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trlProps/ctrlProp1.xml" ContentType="application/vnd.ms-excel.controlproperties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ctrlProps/ctrlProp2.xml" ContentType="application/vnd.ms-excel.controlproperties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queryTables/queryTable2.xml" ContentType="application/vnd.openxmlformats-officedocument.spreadsheetml.queryTable+xml"/>
  <Override PartName="/xl/tables/table10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updateLinks="always"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mydrive.mdlz.com/personal/himanshu_chauhan_mdlz_com/Documents/DMS-2/"/>
    </mc:Choice>
  </mc:AlternateContent>
  <xr:revisionPtr revIDLastSave="670" documentId="13_ncr:1_{F64157DA-FF73-47A1-A31F-8D579AD298C9}" xr6:coauthVersionLast="47" xr6:coauthVersionMax="47" xr10:uidLastSave="{C212B98E-597D-4378-A83E-AABBC306123D}"/>
  <bookViews>
    <workbookView xWindow="-110" yWindow="-110" windowWidth="19420" windowHeight="11500" firstSheet="3" activeTab="4" xr2:uid="{46DEC192-9542-4667-96EA-28DAC432AD56}"/>
  </bookViews>
  <sheets>
    <sheet name="Report" sheetId="32" state="hidden" r:id="rId1"/>
    <sheet name="Shift Wise Downtime" sheetId="31" state="hidden" r:id="rId2"/>
    <sheet name="Shift Wise-Data Sheet" sheetId="30" state="hidden" r:id="rId3"/>
    <sheet name="Downtime Data" sheetId="6" r:id="rId4"/>
    <sheet name="Data Sheet" sheetId="1" r:id="rId5"/>
    <sheet name="GE Loss%" sheetId="3" r:id="rId6"/>
    <sheet name="Pivot Tables" sheetId="7" state="hidden" r:id="rId7"/>
    <sheet name="Line Name" sheetId="11" state="hidden" r:id="rId8"/>
    <sheet name="Coated Rework Data" sheetId="27" state="hidden" r:id="rId9"/>
    <sheet name="DMS-2" sheetId="22" r:id="rId10"/>
    <sheet name="Attendance" sheetId="25" r:id="rId11"/>
    <sheet name="Overweight Data" sheetId="12" r:id="rId12"/>
    <sheet name="Look up (2)" sheetId="4" r:id="rId13"/>
    <sheet name="MTBF &amp; EFFICIENCY" sheetId="23" state="hidden" r:id="rId14"/>
    <sheet name="Minor Stops (2)" sheetId="24" state="hidden" r:id="rId15"/>
    <sheet name="Analysis Dashboard" sheetId="8" state="hidden" r:id="rId16"/>
  </sheets>
  <externalReferences>
    <externalReference r:id="rId17"/>
    <externalReference r:id="rId18"/>
  </externalReferences>
  <definedNames>
    <definedName name="_10.3GM" localSheetId="12">'Look up (2)'!$BD$7</definedName>
    <definedName name="_10.3GM" localSheetId="11">'Look up (2)'!$BD$7</definedName>
    <definedName name="_10.3GM">'Look up (2)'!$BD$7</definedName>
    <definedName name="_10.3GM_HT" localSheetId="12">'Look up (2)'!#REF!</definedName>
    <definedName name="_10.3GM_HT" localSheetId="11">#REF!</definedName>
    <definedName name="_10.3GM_HT">'Look up (2)'!$BD$8</definedName>
    <definedName name="_10GM" localSheetId="12">'Look up (2)'!#REF!</definedName>
    <definedName name="_10GM" localSheetId="11">#REF!</definedName>
    <definedName name="_10GM">'Look up (2)'!$BD$5</definedName>
    <definedName name="_10GM_HT" localSheetId="12">'Look up (2)'!#REF!</definedName>
    <definedName name="_10GM_HT" localSheetId="11">#REF!</definedName>
    <definedName name="_10GM_HT">'Look up (2)'!$BD$6</definedName>
    <definedName name="_11GM" localSheetId="12">'Look up (2)'!#REF!</definedName>
    <definedName name="_11GM" localSheetId="11">#REF!</definedName>
    <definedName name="_11GM">'Look up (2)'!$BD$3</definedName>
    <definedName name="_11GM_HT" localSheetId="12">'Look up (2)'!#REF!</definedName>
    <definedName name="_11GM_HT" localSheetId="11">#REF!</definedName>
    <definedName name="_11GM_HT">'Look up (2)'!$BD$4</definedName>
    <definedName name="_12GM" localSheetId="12">'Look up (2)'!#REF!</definedName>
    <definedName name="_12GM" localSheetId="11">#REF!</definedName>
    <definedName name="_12GM">'Look up (2)'!$BD$2</definedName>
    <definedName name="_9.1_GM" localSheetId="12">'Look up (2)'!#REF!</definedName>
    <definedName name="_9.1_GM" localSheetId="11">#REF!</definedName>
    <definedName name="_9.1_GM">'Look up (2)'!$BD$9</definedName>
    <definedName name="_9.1_GM_HT" localSheetId="12">'Look up (2)'!#REF!</definedName>
    <definedName name="_9.1_GM_HT" localSheetId="11">#REF!</definedName>
    <definedName name="_9.1_GM_HT">'Look up (2)'!$BD$10</definedName>
    <definedName name="_xlnm._FilterDatabase" localSheetId="7" hidden="1">'Line Name'!#REF!</definedName>
    <definedName name="ADS">#REF!</definedName>
    <definedName name="ADS_">'Look up (2)'!$B$24:$B$28</definedName>
    <definedName name="ADS_HLL">'Look up (2)'!$AD$2:$AD$587</definedName>
    <definedName name="Attendance">OFFSET('DMS-2'!Full_Print,0,0,'DMS-2'!Last_Row)</definedName>
    <definedName name="Batching">'Look up (2)'!$B$5:$B$11</definedName>
    <definedName name="Batching_Hopper_H_4101">'Look up (2)'!$G$2:$G$1275</definedName>
    <definedName name="Batching_Hopper_H_4102">'Look up (2)'!$H$2:$H$1246</definedName>
    <definedName name="Batter_Mixer_T_4108">'Look up (2)'!$I$2:$I$1033</definedName>
    <definedName name="Batter_Mixer_T_4109">'Look up (2)'!$J$2:$J$1091</definedName>
    <definedName name="Beg_Bal" localSheetId="9">#REF!</definedName>
    <definedName name="Beg_Bal">#REF!</definedName>
    <definedName name="Belt">#REF!</definedName>
    <definedName name="Book_Cooler">'Look up (2)'!$O$2:$O$1228</definedName>
    <definedName name="Book_Cooler_">'Look up (2)'!$B$13</definedName>
    <definedName name="Caramel">#REF!</definedName>
    <definedName name="Cbox_Checkweigher">'Look up (2)'!$AS$2:$AS$1679</definedName>
    <definedName name="ChargingSystem">'Look up (2)'!$D$2:$D$1000</definedName>
    <definedName name="Chilled_water">'Look up (2)'!$AU$2:$AU$2039</definedName>
    <definedName name="Compressed_air">'Look up (2)'!$AV$2:$AV$1274</definedName>
    <definedName name="Contimix">#REF!</definedName>
    <definedName name="Cooling_Tunnel_HLL">'Look up (2)'!$X$2:$X$1844</definedName>
    <definedName name="Cooling_Tunnel_Samridhi">'Look up (2)'!$W$2:$W$1739</definedName>
    <definedName name="CoolingTunnel">'Look up (2)'!$B$21:$B$22</definedName>
    <definedName name="CT">#REF!</definedName>
    <definedName name="Cum_Int" localSheetId="9">#REF!</definedName>
    <definedName name="Cum_Int">#REF!</definedName>
    <definedName name="Cutter">#REF!</definedName>
    <definedName name="Cutter_">'Look up (2)'!$B$15:$B$16</definedName>
    <definedName name="Cutter_HLL">'Look up (2)'!$R$2:$R$1269</definedName>
    <definedName name="Cutter_Samridhi">'Look up (2)'!$Q$2:$Q$1679</definedName>
    <definedName name="Data" localSheetId="9">#REF!</definedName>
    <definedName name="Data">#REF!</definedName>
    <definedName name="DayAxis" localSheetId="9">OFFSET(INDIRECT(#REF!&amp;"!$a$1"),3,MATCH(#REF!,INDIRECT(#REF!&amp;"!$1:$1"),0)-1,1,COUNTIF(INDIRECT(#REF!&amp;"!$1:$1"),#REF!))</definedName>
    <definedName name="DayAxis" localSheetId="7">OFFSET(INDIRECT(#REF!&amp;"!$a$1"),3,MATCH(#REF!,INDIRECT(#REF!&amp;"!$1:$1"),0)-1,1,COUNTIF(INDIRECT(#REF!&amp;"!$1:$1"),#REF!))</definedName>
    <definedName name="DayAxis" localSheetId="11">OFFSET(INDIRECT(#REF!&amp;"!$a$1"),3,MATCH(#REF!,INDIRECT(#REF!&amp;"!$1:$1"),0)-1,1,COUNTIF(INDIRECT(#REF!&amp;"!$1:$1"),#REF!))</definedName>
    <definedName name="DayAxis">OFFSET(INDIRECT(#REF!&amp;"!$a$1"),3,MATCH(#REF!,INDIRECT(#REF!&amp;"!$1:$1"),0)-1,1,COUNTIF(INDIRECT(#REF!&amp;"!$1:$1"),#REF!))</definedName>
    <definedName name="DayTrend" localSheetId="9">OFFSET(INDIRECT(#REF!&amp;"!$a$1"),MATCH(#REF!,INDIRECT(#REF!&amp;"!$A$1:$A$33"),0)-1,MATCH(#REF!,INDIRECT(#REF!&amp;"!$1:$1"),0)-1,1,COUNTIF(INDIRECT(#REF!&amp;"!$1:$1"),#REF!))</definedName>
    <definedName name="DayTrend" localSheetId="7">OFFSET(INDIRECT(#REF!&amp;"!$a$1"),MATCH(#REF!,INDIRECT(#REF!&amp;"!$A$1:$A$33"),0)-1,MATCH(#REF!,INDIRECT(#REF!&amp;"!$1:$1"),0)-1,1,COUNTIF(INDIRECT(#REF!&amp;"!$1:$1"),#REF!))</definedName>
    <definedName name="DayTrend" localSheetId="11">OFFSET(INDIRECT(#REF!&amp;"!$a$1"),MATCH(#REF!,INDIRECT(#REF!&amp;"!$A$1:$A$33"),0)-1,MATCH(#REF!,INDIRECT(#REF!&amp;"!$1:$1"),0)-1,1,COUNTIF(INDIRECT(#REF!&amp;"!$1:$1"),#REF!))</definedName>
    <definedName name="DayTrend">OFFSET(INDIRECT(#REF!&amp;"!$a$1"),MATCH(#REF!,INDIRECT(#REF!&amp;"!$A$1:$A$33"),0)-1,MATCH(#REF!,INDIRECT(#REF!&amp;"!$1:$1"),0)-1,1,COUNTIF(INDIRECT(#REF!&amp;"!$1:$1"),#REF!))</definedName>
    <definedName name="DCI1_">'Look up (2)'!$Z$2:$Z$1034</definedName>
    <definedName name="DCI2_">'Look up (2)'!$AA$2:$AA$1364</definedName>
    <definedName name="DCI3_">'Look up (2)'!$AB$2:$AB$1439</definedName>
    <definedName name="DCI4_">'Look up (2)'!$AC$2:$AC$1484</definedName>
    <definedName name="DTAxis2m" localSheetId="9">OFFSET(#REF!,1,0,#REF!,1)</definedName>
    <definedName name="DTAxis2m" localSheetId="7">OFFSET(#REF!,1,0,#REF!,1)</definedName>
    <definedName name="DTAxis2m" localSheetId="11">OFFSET(#REF!,1,0,#REF!,1)</definedName>
    <definedName name="DTAxis2m">OFFSET(#REF!,1,0,#REF!,1)</definedName>
    <definedName name="DTAxis2w" localSheetId="9">OFFSET(#REF!,1,0,#REF!,1)</definedName>
    <definedName name="DTAxis2w" localSheetId="7">OFFSET(#REF!,1,0,#REF!,1)</definedName>
    <definedName name="DTAxis2w" localSheetId="11">OFFSET(#REF!,1,0,#REF!,1)</definedName>
    <definedName name="DTAxis2w">OFFSET(#REF!,1,0,#REF!,1)</definedName>
    <definedName name="DTAxism" localSheetId="9">OFFSET(#REF!,1,0,#REF!,1)</definedName>
    <definedName name="DTAxism" localSheetId="7">OFFSET(#REF!,1,0,#REF!,1)</definedName>
    <definedName name="DTAxism" localSheetId="11">OFFSET(#REF!,1,0,#REF!,1)</definedName>
    <definedName name="DTAxism">OFFSET(#REF!,1,0,#REF!,1)</definedName>
    <definedName name="DTAxisw" localSheetId="9">OFFSET(#REF!,1,0,#REF!,1)</definedName>
    <definedName name="DTAxisw" localSheetId="7">OFFSET(#REF!,1,0,#REF!,1)</definedName>
    <definedName name="DTAxisw" localSheetId="11">OFFSET(#REF!,1,0,#REF!,1)</definedName>
    <definedName name="DTAxisw">OFFSET(#REF!,1,0,#REF!,1)</definedName>
    <definedName name="End_Bal" localSheetId="9">#REF!</definedName>
    <definedName name="End_Bal">#REF!</definedName>
    <definedName name="Enrober">#REF!</definedName>
    <definedName name="Enrober_">'Look up (2)'!$B$17:$B$18</definedName>
    <definedName name="Enrober_HL">'Look up (2)'!$T$2:$T$2009</definedName>
    <definedName name="Enrober_Samridhi">'Look up (2)'!$S$2:$S$2324</definedName>
    <definedName name="Equipments_R" localSheetId="9">IF(AND(#REF!&lt;&gt;""),INDIRECT("Equipments[Equipment / Process]"))</definedName>
    <definedName name="Equipments_R" localSheetId="11">IF(AND(#REF!&lt;&gt;""),INDIRECT("Equipments[Equipment / Process]"))</definedName>
    <definedName name="Equipments_R">IF(AND(#REF!&lt;&gt;""),INDIRECT("Equipments[Equipment / Process]"))</definedName>
    <definedName name="EqupDTm" localSheetId="9">OFFSET(#REF!,1,0,#REF!,1)</definedName>
    <definedName name="EqupDTm" localSheetId="7">OFFSET(#REF!,1,0,#REF!,1)</definedName>
    <definedName name="EqupDTm" localSheetId="11">OFFSET(#REF!,1,0,#REF!,1)</definedName>
    <definedName name="EqupDTm">OFFSET(#REF!,1,0,#REF!,1)</definedName>
    <definedName name="EqupDTw" localSheetId="9">OFFSET(#REF!,1,0,#REF!,1)</definedName>
    <definedName name="EqupDTw" localSheetId="7">OFFSET(#REF!,1,0,#REF!,1)</definedName>
    <definedName name="EqupDTw" localSheetId="11">OFFSET(#REF!,1,0,#REF!,1)</definedName>
    <definedName name="EqupDTw">OFFSET(#REF!,1,0,#REF!,1)</definedName>
    <definedName name="ExternalData_1" localSheetId="8" hidden="1">'Coated Rework Data'!$A$1:$F$200</definedName>
    <definedName name="ExternalData_1" localSheetId="14" hidden="1">'Minor Stops (2)'!$A$1:$G$10024</definedName>
    <definedName name="ExternalData_1" localSheetId="13" hidden="1">'MTBF &amp; EFFICIENCY'!$A$1:$I$5470</definedName>
    <definedName name="Extra_Pay" localSheetId="9">#REF!</definedName>
    <definedName name="Extra_Pay">#REF!</definedName>
    <definedName name="Frappe">#REF!</definedName>
    <definedName name="Full_Line">'Look up (2)'!$AX$2:$AX$2309</definedName>
    <definedName name="Full_Print" localSheetId="9">#REF!</definedName>
    <definedName name="Full_Print">#REF!</definedName>
    <definedName name="Glidepath" localSheetId="9">OFFSET(#REF!,MATCH(#REF!,#REF!,0),1,1,12)</definedName>
    <definedName name="Glidepath" localSheetId="7">OFFSET(#REF!,MATCH(#REF!,#REF!,0),1,1,12)</definedName>
    <definedName name="Glidepath" localSheetId="11">OFFSET(#REF!,MATCH(#REF!,#REF!,0),1,1,12)</definedName>
    <definedName name="Glidepath">OFFSET(#REF!,MATCH(#REF!,#REF!,0),1,1,12)</definedName>
    <definedName name="HCM">#REF!</definedName>
    <definedName name="HCM_">'Look up (2)'!$B$29:$B$35</definedName>
    <definedName name="HCM1_">'Look up (2)'!$AE$2:$AE$1051</definedName>
    <definedName name="HCM2_">'Look up (2)'!$AF$2:$AF$1229</definedName>
    <definedName name="HCM3_">'Look up (2)'!$AG$2:$AG$1133</definedName>
    <definedName name="HCM4_">'Look up (2)'!$AH$2:$AH$1814</definedName>
    <definedName name="HCM5_">'Look up (2)'!$AI$2:$AI$2039</definedName>
    <definedName name="HCM6_">'Look up (2)'!$AJ$2:$AJ$1096</definedName>
    <definedName name="HCM7_">'Look up (2)'!$AK$2:$AK$1664</definedName>
    <definedName name="Header_Row" localSheetId="9">ROW(#REF!)</definedName>
    <definedName name="Header_Row">ROW(#REF!)</definedName>
    <definedName name="Holding_Tank_T_4118">'Look up (2)'!$K$2:$K$1120</definedName>
    <definedName name="Holding_Tank_T_4119">'Look up (2)'!$L$2:$L$1141</definedName>
    <definedName name="Hot_water">'Look up (2)'!$AT$2:$AT$1979</definedName>
    <definedName name="HT_Sam">'Look up (2)'!$BD$11</definedName>
    <definedName name="HT_Sam_HLL_10.3G">'Look up (2)'!$BD$12</definedName>
    <definedName name="HT_Sam_HLL_HT">'Look up (2)'!$BD$13</definedName>
    <definedName name="Int" localSheetId="9">#REF!</definedName>
    <definedName name="Int">#REF!</definedName>
    <definedName name="Interest_Rate" localSheetId="9">#REF!</definedName>
    <definedName name="Interest_Rate">#REF!</definedName>
    <definedName name="Kitchen">#REF!</definedName>
    <definedName name="Krishna">#REF!+#REF!</definedName>
    <definedName name="Laminator">'Look up (2)'!$P$2:$P$1123</definedName>
    <definedName name="Laminator_">'Look up (2)'!$B$14</definedName>
    <definedName name="Last_Row" localSheetId="9">IF('DMS-2'!Values_Entered,'DMS-2'!Header_Row+'DMS-2'!Number_of_Payments,'DMS-2'!Header_Row)</definedName>
    <definedName name="Last_Row" localSheetId="11">IF('Overweight Data'!Values_Entered,Header_Row+'Overweight Data'!Number_of_Payments,Header_Row)</definedName>
    <definedName name="Last_Row">IF(Values_Entered,Header_Row+Number_of_Payments,Header_Row)</definedName>
    <definedName name="Line">#REF!</definedName>
    <definedName name="Line_">'Look up (2)'!$B$48</definedName>
    <definedName name="Loan_Amount" localSheetId="9">#REF!</definedName>
    <definedName name="Loan_Amount">#REF!</definedName>
    <definedName name="Loan_Start" localSheetId="9">#REF!</definedName>
    <definedName name="Loan_Start">#REF!</definedName>
    <definedName name="Loan_Years" localSheetId="9">#REF!</definedName>
    <definedName name="Loan_Years">#REF!</definedName>
    <definedName name="lstClasses">#REF!</definedName>
    <definedName name="lstGPAMapping">#REF!</definedName>
    <definedName name="lstTypes">#REF!</definedName>
    <definedName name="ManoJ">#REF!</definedName>
    <definedName name="Metal_Detector">'Look up (2)'!$Y$2:$Y$1474</definedName>
    <definedName name="MetalDetector">'Look up (2)'!$B$23</definedName>
    <definedName name="MonthTrend" localSheetId="9">OFFSET(#REF!,MATCH(#REF!,#REF!,0),1,1,12)</definedName>
    <definedName name="MonthTrend" localSheetId="7">OFFSET(#REF!,MATCH(#REF!,#REF!,0),1,1,12)</definedName>
    <definedName name="MonthTrend" localSheetId="11">OFFSET(#REF!,MATCH(#REF!,#REF!,0),1,1,12)</definedName>
    <definedName name="MonthTrend">OFFSET(#REF!,MATCH(#REF!,#REF!,0),1,1,12)</definedName>
    <definedName name="Num_Pmt_Per_Year" localSheetId="9">#REF!</definedName>
    <definedName name="Num_Pmt_Per_Year">#REF!</definedName>
    <definedName name="Number_of_Payments" localSheetId="9">MATCH(0.01,'DMS-2'!End_Bal,-1)+1</definedName>
    <definedName name="Number_of_Payments" localSheetId="11">MATCH(0.01,End_Bal,-1)+1</definedName>
    <definedName name="Number_of_Payments">MATCH(0.01,End_Bal,-1)+1</definedName>
    <definedName name="Outer_Checkweigher">'Look up (2)'!$AR$2:$AR$1193</definedName>
    <definedName name="Outer_ConveyoR">'Look up (2)'!$AQ$2:$AQ$2039</definedName>
    <definedName name="Oven">'Look up (2)'!$N$2:$N$1265</definedName>
    <definedName name="Oven_">'Look up (2)'!$B$4</definedName>
    <definedName name="PartDTm" localSheetId="9">OFFSET(#REF!,1,0,#REF!,1)</definedName>
    <definedName name="PartDTm" localSheetId="7">OFFSET(#REF!,1,0,#REF!,1)</definedName>
    <definedName name="PartDTm" localSheetId="11">OFFSET(#REF!,1,0,#REF!,1)</definedName>
    <definedName name="PartDTm">OFFSET(#REF!,1,0,#REF!,1)</definedName>
    <definedName name="PartDTw" localSheetId="9">OFFSET(#REF!,1,0,#REF!,1)</definedName>
    <definedName name="PartDTw" localSheetId="7">OFFSET(#REF!,1,0,#REF!,1)</definedName>
    <definedName name="PartDTw" localSheetId="11">OFFSET(#REF!,1,0,#REF!,1)</definedName>
    <definedName name="PartDTw">OFFSET(#REF!,1,0,#REF!,1)</definedName>
    <definedName name="Pay_Date" localSheetId="9">#REF!</definedName>
    <definedName name="Pay_Date">#REF!</definedName>
    <definedName name="Pay_Num" localSheetId="9">#REF!</definedName>
    <definedName name="Pay_Num">#REF!</definedName>
    <definedName name="Payment_Date" localSheetId="9">DATE(YEAR('DMS-2'!Loan_Start),MONTH('DMS-2'!Loan_Start)+Payment_Number,DAY('DMS-2'!Loan_Start))</definedName>
    <definedName name="Payment_Date" localSheetId="11">DATE(YEAR(Loan_Start),MONTH(Loan_Start)+Payment_Number,DAY(Loan_Start))</definedName>
    <definedName name="Payment_Date" localSheetId="1">DATE(YEAR([0]!Loan_Start),MONTH([0]!Loan_Start)+Payment_Number,DAY([0]!Loan_Start))</definedName>
    <definedName name="Payment_Date" localSheetId="2">DATE(YEAR([0]!Loan_Start),MONTH([0]!Loan_Start)+Payment_Number,DAY([0]!Loan_Start))</definedName>
    <definedName name="Payment_Date">DATE(YEAR(Loan_Start),MONTH(Loan_Start)+Payment_Number,DAY(Loan_Start))</definedName>
    <definedName name="Perk_Cutter">'Look up (2)'!$Q$2:$Q$83</definedName>
    <definedName name="Perk_HCM_1">'Look up (2)'!$AE$2:$AE$456</definedName>
    <definedName name="Perk_HCM_2">'Look up (2)'!$AF$2:$AF$153</definedName>
    <definedName name="Perk_HCM_3">'Look up (2)'!$AG$2:$AG$212</definedName>
    <definedName name="Perk_HCM_4">'Look up (2)'!$AH$2:$AH$224</definedName>
    <definedName name="Perk_HLL_Cutter">'Look up (2)'!$R$2:$R$103</definedName>
    <definedName name="Perk_HLM_1">'Look up (2)'!$AI$2:$AI$207</definedName>
    <definedName name="Perk_HLM_2">'Look up (2)'!$AJ$2:$AJ$161</definedName>
    <definedName name="Perk_HLM_3">'Look up (2)'!$AK$2:$AK$130</definedName>
    <definedName name="Perk_TTLi_1">'Look up (2)'!$AL$2:$AL$151</definedName>
    <definedName name="Perk_TTLi_2">'Look up (2)'!$AM$2:$AM$127</definedName>
    <definedName name="Perk_TTLi_3">'Look up (2)'!$AN$1:$AN$169</definedName>
    <definedName name="Perk_TTLi_4">'Look up (2)'!$AO$2:$AO$148</definedName>
    <definedName name="Perk_TTM_5">'Look up (2)'!$AP$2:$AP$118</definedName>
    <definedName name="Planned_Loss">'Look up (2)'!$AZ$2:$AZ$8</definedName>
    <definedName name="Power_failure">'Look up (2)'!$AW$2:$AW$1919</definedName>
    <definedName name="Princ" localSheetId="9">#REF!</definedName>
    <definedName name="Princ">#REF!</definedName>
    <definedName name="Print_Area_Reset" localSheetId="9">OFFSET('DMS-2'!Full_Print,0,0,'DMS-2'!Last_Row)</definedName>
    <definedName name="Print_Area_Reset" localSheetId="11">OFFSET(Full_Print,0,0,'Overweight Data'!Last_Row)</definedName>
    <definedName name="Print_Area_Reset">OFFSET(Full_Print,0,0,Last_Row)</definedName>
    <definedName name="ProcessDT2m" localSheetId="9">OFFSET(#REF!,1,0,#REF!,1)</definedName>
    <definedName name="ProcessDT2m" localSheetId="7">OFFSET(#REF!,1,0,#REF!,1)</definedName>
    <definedName name="ProcessDT2m" localSheetId="11">OFFSET(#REF!,1,0,#REF!,1)</definedName>
    <definedName name="ProcessDT2m">OFFSET(#REF!,1,0,#REF!,1)</definedName>
    <definedName name="ProcessDT2w" localSheetId="9">OFFSET(#REF!,1,0,#REF!,1)</definedName>
    <definedName name="ProcessDT2w" localSheetId="7">OFFSET(#REF!,1,0,#REF!,1)</definedName>
    <definedName name="ProcessDT2w" localSheetId="11">OFFSET(#REF!,1,0,#REF!,1)</definedName>
    <definedName name="ProcessDT2w">OFFSET(#REF!,1,0,#REF!,1)</definedName>
    <definedName name="ProcessDTm" localSheetId="9">OFFSET(#REF!,1,0,#REF!,1)</definedName>
    <definedName name="ProcessDTm" localSheetId="7">OFFSET(#REF!,1,0,#REF!,1)</definedName>
    <definedName name="ProcessDTm" localSheetId="11">OFFSET(#REF!,1,0,#REF!,1)</definedName>
    <definedName name="ProcessDTm">OFFSET(#REF!,1,0,#REF!,1)</definedName>
    <definedName name="ProcessDTw" localSheetId="9">OFFSET(#REF!,1,0,#REF!,1)</definedName>
    <definedName name="ProcessDTw" localSheetId="7">OFFSET(#REF!,1,0,#REF!,1)</definedName>
    <definedName name="ProcessDTw" localSheetId="11">OFFSET(#REF!,1,0,#REF!,1)</definedName>
    <definedName name="ProcessDTw">OFFSET(#REF!,1,0,#REF!,1)</definedName>
    <definedName name="Reason290" localSheetId="9">#REF!</definedName>
    <definedName name="Reason290">#REF!</definedName>
    <definedName name="RotaryShifter">'Look up (2)'!$E$2:$E$1001</definedName>
    <definedName name="Sched_Pay" localSheetId="9">#REF!</definedName>
    <definedName name="Sched_Pay">#REF!</definedName>
    <definedName name="Scheduled_Extra_Payments" localSheetId="9">#REF!</definedName>
    <definedName name="Scheduled_Extra_Payments">#REF!</definedName>
    <definedName name="Scheduled_Interest_Rate" localSheetId="9">#REF!</definedName>
    <definedName name="Scheduled_Interest_Rate">#REF!</definedName>
    <definedName name="Scheduled_Monthly_Payment" localSheetId="9">#REF!</definedName>
    <definedName name="Scheduled_Monthly_Payment">#REF!</definedName>
    <definedName name="Secondary_Packing">'Look up (2)'!$B$41:$B$43</definedName>
    <definedName name="Sheeter">#REF!</definedName>
    <definedName name="Silo">'Look up (2)'!$F$2:$F$1004</definedName>
    <definedName name="SKU" localSheetId="9">'[1]Look up (2)'!#REF!</definedName>
    <definedName name="SKU" localSheetId="11">#REF!</definedName>
    <definedName name="SKU">'Look up (2)'!#REF!</definedName>
    <definedName name="SKU_R" localSheetId="9">IF(AND(#REF!&lt;&gt;""),INDIRECT("SKU[SKU]"),"")</definedName>
    <definedName name="SKU_R" localSheetId="11">IF(AND(#REF!&lt;&gt;""),INDIRECT("SKU[SKU]"),"")</definedName>
    <definedName name="SKU_R">IF(AND(#REF!&lt;&gt;""),INDIRECT("SKU[SKU]"),"")</definedName>
    <definedName name="Storage_Tank_T_4110">'Look up (2)'!$M$2:$M$1155</definedName>
    <definedName name="SugarChargingStation">'Look up (2)'!$D$2:$D$1023</definedName>
    <definedName name="Technical_Module">'Look up (2)'!$BG$2:$BG$5</definedName>
    <definedName name="Temperor">#REF!</definedName>
    <definedName name="Temperor_">'Look up (2)'!$B$19:$B$20</definedName>
    <definedName name="Temperor__HL">'Look up (2)'!$V$2:$V$1244</definedName>
    <definedName name="Temperor_Samridhi">'Look up (2)'!$U$2:$U$1589</definedName>
    <definedName name="Tertiary">#REF!</definedName>
    <definedName name="TippingStation">'Look up (2)'!$B$2:$B$4</definedName>
    <definedName name="Total_Interest" localSheetId="9">#REF!</definedName>
    <definedName name="Total_Interest">#REF!</definedName>
    <definedName name="Total_Pay" localSheetId="9">#REF!</definedName>
    <definedName name="Total_Pay">#REF!</definedName>
    <definedName name="TTLI">#REF!</definedName>
    <definedName name="TTLI_">'Look up (2)'!$B$36:$B$40</definedName>
    <definedName name="TTLI1_">'Look up (2)'!$AL$2:$AL$1544</definedName>
    <definedName name="TTLI2_">'Look up (2)'!$AM$2:$AM$1619</definedName>
    <definedName name="TTLI3_">'Look up (2)'!$AN$2:$AN$1664</definedName>
    <definedName name="TTLI4_">'Look up (2)'!$AO$2:$AO$1679</definedName>
    <definedName name="TTME_">'Look up (2)'!$AP$2:$AP$1874</definedName>
    <definedName name="Unplanned_Loss">'Look up (2)'!$BA$2:$BA$7</definedName>
    <definedName name="Utility" localSheetId="9">#REF!</definedName>
    <definedName name="Utility">'Look up (2)'!$B$38:$B$42</definedName>
    <definedName name="Utility_">'Look up (2)'!$B$44:$B$47</definedName>
    <definedName name="Values_Entered" localSheetId="9">IF('DMS-2'!Loan_Amount*'DMS-2'!Interest_Rate*'DMS-2'!Loan_Years*'DMS-2'!Loan_Start&gt;0,1,0)</definedName>
    <definedName name="Values_Entered" localSheetId="11">IF(Loan_Amount*Interest_Rate*Loan_Years*Loan_Start&gt;0,1,0)</definedName>
    <definedName name="Values_Entered">IF(Loan_Amount*Interest_Rate*Loan_Years*Loan_Start&gt;0,1,0)</definedName>
  </definedNames>
  <calcPr calcId="191028"/>
  <pivotCaches>
    <pivotCache cacheId="0" r:id="rId19"/>
    <pivotCache cacheId="1" r:id="rId20"/>
    <pivotCache cacheId="2" r:id="rId2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60" i="1" l="1"/>
  <c r="F260" i="1"/>
  <c r="L259" i="1"/>
  <c r="F259" i="1"/>
  <c r="I429" i="6"/>
  <c r="L258" i="1"/>
  <c r="F258" i="1"/>
  <c r="B4" i="22"/>
  <c r="G4" i="22"/>
  <c r="H7" i="22" s="1"/>
  <c r="J4" i="22"/>
  <c r="K9" i="22" s="1"/>
  <c r="M4" i="22"/>
  <c r="N7" i="22" s="1"/>
  <c r="P4" i="22"/>
  <c r="Q7" i="22" s="1"/>
  <c r="S4" i="22"/>
  <c r="T7" i="22" s="1"/>
  <c r="V4" i="22"/>
  <c r="W7" i="22" s="1"/>
  <c r="B5" i="22"/>
  <c r="E751" i="12"/>
  <c r="E750" i="12"/>
  <c r="E749" i="12"/>
  <c r="E754" i="12"/>
  <c r="E753" i="12"/>
  <c r="E752" i="12"/>
  <c r="F752" i="12" s="1"/>
  <c r="F755" i="12"/>
  <c r="E757" i="12"/>
  <c r="E756" i="12"/>
  <c r="E755" i="12"/>
  <c r="AD257" i="1"/>
  <c r="I427" i="6"/>
  <c r="I426" i="6"/>
  <c r="I425" i="6"/>
  <c r="I424" i="6"/>
  <c r="I423" i="6"/>
  <c r="I422" i="6"/>
  <c r="I421" i="6"/>
  <c r="I420" i="6"/>
  <c r="I419" i="6"/>
  <c r="I418" i="6"/>
  <c r="I417" i="6"/>
  <c r="I416" i="6"/>
  <c r="I415" i="6"/>
  <c r="I414" i="6"/>
  <c r="I413" i="6"/>
  <c r="I412" i="6"/>
  <c r="I411" i="6"/>
  <c r="L257" i="1"/>
  <c r="I408" i="6"/>
  <c r="L255" i="1"/>
  <c r="L256" i="1"/>
  <c r="F255" i="1"/>
  <c r="E748" i="12"/>
  <c r="E747" i="12"/>
  <c r="F746" i="12"/>
  <c r="E746" i="12"/>
  <c r="E745" i="12"/>
  <c r="E744" i="12"/>
  <c r="E743" i="12"/>
  <c r="F743" i="12" s="1"/>
  <c r="I407" i="6"/>
  <c r="I406" i="6"/>
  <c r="I405" i="6"/>
  <c r="I404" i="6"/>
  <c r="I403" i="6"/>
  <c r="I402" i="6"/>
  <c r="I401" i="6"/>
  <c r="I400" i="6"/>
  <c r="I399" i="6"/>
  <c r="I398" i="6"/>
  <c r="I397" i="6"/>
  <c r="I396" i="6"/>
  <c r="I395" i="6"/>
  <c r="I394" i="6"/>
  <c r="I393" i="6"/>
  <c r="I392" i="6"/>
  <c r="I391" i="6"/>
  <c r="I390" i="6"/>
  <c r="I389" i="6"/>
  <c r="I388" i="6"/>
  <c r="I387" i="6"/>
  <c r="I386" i="6"/>
  <c r="I385" i="6"/>
  <c r="I384" i="6"/>
  <c r="I383" i="6"/>
  <c r="I382" i="6"/>
  <c r="I381" i="6"/>
  <c r="I380" i="6"/>
  <c r="I379" i="6"/>
  <c r="I378" i="6"/>
  <c r="AC254" i="1"/>
  <c r="I377" i="6"/>
  <c r="L254" i="1"/>
  <c r="I247" i="6"/>
  <c r="I246" i="6"/>
  <c r="I245" i="6"/>
  <c r="I244" i="6"/>
  <c r="I243" i="6"/>
  <c r="I242" i="6"/>
  <c r="I241" i="6"/>
  <c r="I240" i="6"/>
  <c r="I239" i="6"/>
  <c r="I238" i="6"/>
  <c r="I237" i="6"/>
  <c r="I236" i="6"/>
  <c r="I235" i="6"/>
  <c r="I234" i="6"/>
  <c r="I233" i="6"/>
  <c r="I232" i="6"/>
  <c r="I231" i="6"/>
  <c r="I230" i="6"/>
  <c r="I229" i="6"/>
  <c r="I228" i="6"/>
  <c r="I227" i="6"/>
  <c r="I226" i="6"/>
  <c r="I225" i="6"/>
  <c r="I224" i="6"/>
  <c r="I223" i="6"/>
  <c r="I222" i="6"/>
  <c r="I221" i="6"/>
  <c r="I220" i="6"/>
  <c r="I219" i="6"/>
  <c r="I275" i="6"/>
  <c r="I274" i="6"/>
  <c r="I273" i="6"/>
  <c r="I272" i="6"/>
  <c r="I271" i="6"/>
  <c r="I270" i="6"/>
  <c r="I269" i="6"/>
  <c r="I268" i="6"/>
  <c r="I267" i="6"/>
  <c r="I266" i="6"/>
  <c r="I265" i="6"/>
  <c r="I264" i="6"/>
  <c r="I263" i="6"/>
  <c r="I262" i="6"/>
  <c r="I261" i="6"/>
  <c r="I260" i="6"/>
  <c r="I259" i="6"/>
  <c r="I258" i="6"/>
  <c r="I257" i="6"/>
  <c r="I256" i="6"/>
  <c r="I255" i="6"/>
  <c r="I254" i="6"/>
  <c r="I253" i="6"/>
  <c r="I252" i="6"/>
  <c r="I251" i="6"/>
  <c r="I250" i="6"/>
  <c r="I249" i="6"/>
  <c r="I248" i="6"/>
  <c r="I312" i="6"/>
  <c r="I311" i="6"/>
  <c r="I310" i="6"/>
  <c r="I309" i="6"/>
  <c r="I308" i="6"/>
  <c r="I307" i="6"/>
  <c r="I306" i="6"/>
  <c r="I305" i="6"/>
  <c r="I304" i="6"/>
  <c r="I303" i="6"/>
  <c r="I302" i="6"/>
  <c r="I301" i="6"/>
  <c r="I300" i="6"/>
  <c r="I299" i="6"/>
  <c r="I298" i="6"/>
  <c r="I297" i="6"/>
  <c r="I296" i="6"/>
  <c r="I295" i="6"/>
  <c r="I294" i="6"/>
  <c r="I293" i="6"/>
  <c r="I292" i="6"/>
  <c r="I291" i="6"/>
  <c r="I290" i="6"/>
  <c r="I289" i="6"/>
  <c r="I288" i="6"/>
  <c r="I287" i="6"/>
  <c r="I286" i="6"/>
  <c r="I285" i="6"/>
  <c r="I284" i="6"/>
  <c r="I283" i="6"/>
  <c r="I334" i="6"/>
  <c r="AB251" i="1"/>
  <c r="I344" i="6"/>
  <c r="I343" i="6"/>
  <c r="I342" i="6"/>
  <c r="I341" i="6"/>
  <c r="I340" i="6"/>
  <c r="I339" i="6"/>
  <c r="I338" i="6"/>
  <c r="I337" i="6"/>
  <c r="I336" i="6"/>
  <c r="I335" i="6"/>
  <c r="I333" i="6"/>
  <c r="I332" i="6"/>
  <c r="I331" i="6"/>
  <c r="I330" i="6"/>
  <c r="I329" i="6"/>
  <c r="I328" i="6"/>
  <c r="I327" i="6"/>
  <c r="I326" i="6"/>
  <c r="I325" i="6"/>
  <c r="I324" i="6"/>
  <c r="I323" i="6"/>
  <c r="I322" i="6"/>
  <c r="I321" i="6"/>
  <c r="I320" i="6"/>
  <c r="I319" i="6"/>
  <c r="I318" i="6"/>
  <c r="I317" i="6"/>
  <c r="I316" i="6"/>
  <c r="L253" i="1"/>
  <c r="I373" i="6"/>
  <c r="I374" i="6"/>
  <c r="I368" i="6"/>
  <c r="I366" i="6"/>
  <c r="I367" i="6"/>
  <c r="I369" i="6"/>
  <c r="I370" i="6"/>
  <c r="I371" i="6"/>
  <c r="I372" i="6"/>
  <c r="I349" i="6"/>
  <c r="E253" i="1"/>
  <c r="I364" i="6"/>
  <c r="I363" i="6"/>
  <c r="I362" i="6"/>
  <c r="I361" i="6"/>
  <c r="I360" i="6"/>
  <c r="I359" i="6"/>
  <c r="I358" i="6"/>
  <c r="I357" i="6"/>
  <c r="I356" i="6"/>
  <c r="I355" i="6"/>
  <c r="I354" i="6"/>
  <c r="I353" i="6"/>
  <c r="I352" i="6"/>
  <c r="I351" i="6"/>
  <c r="I350" i="6"/>
  <c r="I348" i="6"/>
  <c r="I347" i="6"/>
  <c r="I346" i="6"/>
  <c r="I345" i="6"/>
  <c r="H365" i="6"/>
  <c r="I365" i="6" s="1"/>
  <c r="L251" i="1"/>
  <c r="AE251" i="1"/>
  <c r="D260" i="1" a="1"/>
  <c r="D257" i="1" a="1"/>
  <c r="D255" i="1" a="1"/>
  <c r="D256" i="1" a="1"/>
  <c r="D258" i="1" a="1"/>
  <c r="D259" i="1" a="1"/>
  <c r="D260" i="1" l="1"/>
  <c r="D259" i="1"/>
  <c r="D258" i="1"/>
  <c r="H9" i="22"/>
  <c r="T8" i="22"/>
  <c r="T9" i="22"/>
  <c r="M15" i="22"/>
  <c r="N13" i="22"/>
  <c r="Q9" i="22"/>
  <c r="N9" i="22"/>
  <c r="H18" i="22"/>
  <c r="Q17" i="22"/>
  <c r="P17" i="22"/>
  <c r="N17" i="22"/>
  <c r="M17" i="22"/>
  <c r="N15" i="22"/>
  <c r="J5" i="22"/>
  <c r="G5" i="22"/>
  <c r="K15" i="22"/>
  <c r="J15" i="22"/>
  <c r="H15" i="22"/>
  <c r="G15" i="22"/>
  <c r="K13" i="22"/>
  <c r="H13" i="22"/>
  <c r="V17" i="22"/>
  <c r="T19" i="22"/>
  <c r="T17" i="22"/>
  <c r="T12" i="22"/>
  <c r="Q12" i="22"/>
  <c r="H17" i="22"/>
  <c r="H12" i="22"/>
  <c r="H8" i="22"/>
  <c r="T18" i="22"/>
  <c r="V15" i="22"/>
  <c r="N11" i="22"/>
  <c r="V5" i="22"/>
  <c r="Q18" i="22"/>
  <c r="T15" i="22"/>
  <c r="K11" i="22"/>
  <c r="S5" i="22"/>
  <c r="N18" i="22"/>
  <c r="S15" i="22"/>
  <c r="H11" i="22"/>
  <c r="P5" i="22"/>
  <c r="K18" i="22"/>
  <c r="P15" i="22"/>
  <c r="W9" i="22"/>
  <c r="M5" i="22"/>
  <c r="W12" i="22"/>
  <c r="N8" i="22"/>
  <c r="N19" i="22"/>
  <c r="K12" i="22"/>
  <c r="K8" i="22"/>
  <c r="H19" i="22"/>
  <c r="K7" i="22"/>
  <c r="W8" i="22"/>
  <c r="Q19" i="22"/>
  <c r="K17" i="22"/>
  <c r="N12" i="22"/>
  <c r="J17" i="22"/>
  <c r="K19" i="22"/>
  <c r="G17" i="22"/>
  <c r="T11" i="22"/>
  <c r="W18" i="22"/>
  <c r="W15" i="22"/>
  <c r="Q11" i="22"/>
  <c r="W17" i="22"/>
  <c r="Q15" i="22"/>
  <c r="W11" i="22"/>
  <c r="Q8" i="22"/>
  <c r="S17" i="22"/>
  <c r="W19" i="22"/>
  <c r="W13" i="22"/>
  <c r="T13" i="22"/>
  <c r="Q13" i="22"/>
  <c r="F749" i="12"/>
  <c r="D257" i="1"/>
  <c r="D256" i="1"/>
  <c r="D255" i="1"/>
  <c r="AD250" i="1"/>
  <c r="AC250" i="1"/>
  <c r="I278" i="6"/>
  <c r="I277" i="6"/>
  <c r="L250" i="1"/>
  <c r="H16" i="32" l="1"/>
  <c r="H15" i="32"/>
  <c r="H14" i="32"/>
  <c r="H13" i="32"/>
  <c r="H12" i="32"/>
  <c r="H11" i="32"/>
  <c r="H10" i="32"/>
  <c r="H9" i="32"/>
  <c r="H8" i="32"/>
  <c r="G2" i="32"/>
  <c r="C4" i="32"/>
  <c r="G4" i="32" s="1"/>
  <c r="C3" i="32"/>
  <c r="G3" i="32" s="1"/>
  <c r="AD245" i="30"/>
  <c r="AD243" i="30"/>
  <c r="AE243" i="30"/>
  <c r="AF243" i="30"/>
  <c r="M243" i="30"/>
  <c r="M244" i="30"/>
  <c r="M245" i="30"/>
  <c r="G244" i="30"/>
  <c r="G245" i="30"/>
  <c r="N1" i="30"/>
  <c r="F1" i="30"/>
  <c r="J1" i="30"/>
  <c r="K1" i="30"/>
  <c r="L1" i="30"/>
  <c r="Q1" i="30"/>
  <c r="R1" i="30"/>
  <c r="AX373" i="30"/>
  <c r="AY373" i="30" s="1"/>
  <c r="AV373" i="30"/>
  <c r="AS373" i="30"/>
  <c r="AK373" i="30"/>
  <c r="AW373" i="30" s="1"/>
  <c r="AJ373" i="30"/>
  <c r="T373" i="30"/>
  <c r="B373" i="30"/>
  <c r="AX372" i="30"/>
  <c r="AY372" i="30" s="1"/>
  <c r="AV372" i="30"/>
  <c r="AS372" i="30"/>
  <c r="AK372" i="30"/>
  <c r="AW372" i="30" s="1"/>
  <c r="AJ372" i="30"/>
  <c r="T372" i="30"/>
  <c r="B372" i="30"/>
  <c r="AX371" i="30"/>
  <c r="AY371" i="30" s="1"/>
  <c r="AV371" i="30"/>
  <c r="AS371" i="30"/>
  <c r="AK371" i="30"/>
  <c r="AW371" i="30" s="1"/>
  <c r="AJ371" i="30"/>
  <c r="T371" i="30"/>
  <c r="B371" i="30"/>
  <c r="AX370" i="30"/>
  <c r="AY370" i="30" s="1"/>
  <c r="AV370" i="30"/>
  <c r="AS370" i="30"/>
  <c r="AK370" i="30"/>
  <c r="AW370" i="30" s="1"/>
  <c r="AJ370" i="30"/>
  <c r="T370" i="30"/>
  <c r="B370" i="30"/>
  <c r="AX369" i="30"/>
  <c r="AY369" i="30" s="1"/>
  <c r="AV369" i="30"/>
  <c r="AS369" i="30"/>
  <c r="AK369" i="30"/>
  <c r="AW369" i="30" s="1"/>
  <c r="AJ369" i="30"/>
  <c r="T369" i="30"/>
  <c r="B369" i="30"/>
  <c r="AX368" i="30"/>
  <c r="AY368" i="30" s="1"/>
  <c r="AV368" i="30"/>
  <c r="AS368" i="30"/>
  <c r="AK368" i="30"/>
  <c r="AW368" i="30" s="1"/>
  <c r="AJ368" i="30"/>
  <c r="T368" i="30"/>
  <c r="B368" i="30"/>
  <c r="AX367" i="30"/>
  <c r="AY367" i="30" s="1"/>
  <c r="AV367" i="30"/>
  <c r="AS367" i="30"/>
  <c r="AK367" i="30"/>
  <c r="AW367" i="30" s="1"/>
  <c r="AJ367" i="30"/>
  <c r="T367" i="30"/>
  <c r="B367" i="30"/>
  <c r="AX366" i="30"/>
  <c r="AY366" i="30" s="1"/>
  <c r="AV366" i="30"/>
  <c r="AS366" i="30"/>
  <c r="AK366" i="30"/>
  <c r="AW366" i="30" s="1"/>
  <c r="AJ366" i="30"/>
  <c r="T366" i="30"/>
  <c r="B366" i="30"/>
  <c r="AX365" i="30"/>
  <c r="AY365" i="30" s="1"/>
  <c r="AV365" i="30"/>
  <c r="AS365" i="30"/>
  <c r="AK365" i="30"/>
  <c r="AW365" i="30" s="1"/>
  <c r="AJ365" i="30"/>
  <c r="T365" i="30"/>
  <c r="B365" i="30"/>
  <c r="AX364" i="30"/>
  <c r="AY364" i="30" s="1"/>
  <c r="AV364" i="30"/>
  <c r="AS364" i="30"/>
  <c r="AK364" i="30"/>
  <c r="AW364" i="30" s="1"/>
  <c r="AJ364" i="30"/>
  <c r="T364" i="30"/>
  <c r="B364" i="30"/>
  <c r="AX363" i="30"/>
  <c r="AY363" i="30" s="1"/>
  <c r="AV363" i="30"/>
  <c r="AS363" i="30"/>
  <c r="AK363" i="30"/>
  <c r="AW363" i="30" s="1"/>
  <c r="AJ363" i="30"/>
  <c r="T363" i="30"/>
  <c r="B363" i="30"/>
  <c r="AX362" i="30"/>
  <c r="AY362" i="30" s="1"/>
  <c r="AV362" i="30"/>
  <c r="AS362" i="30"/>
  <c r="AK362" i="30"/>
  <c r="AW362" i="30" s="1"/>
  <c r="AJ362" i="30"/>
  <c r="T362" i="30"/>
  <c r="B362" i="30"/>
  <c r="AX361" i="30"/>
  <c r="AY361" i="30" s="1"/>
  <c r="AV361" i="30"/>
  <c r="AS361" i="30"/>
  <c r="AK361" i="30"/>
  <c r="AW361" i="30" s="1"/>
  <c r="AJ361" i="30"/>
  <c r="T361" i="30"/>
  <c r="B361" i="30"/>
  <c r="AX360" i="30"/>
  <c r="AY360" i="30" s="1"/>
  <c r="AV360" i="30"/>
  <c r="AS360" i="30"/>
  <c r="AK360" i="30"/>
  <c r="AW360" i="30" s="1"/>
  <c r="AJ360" i="30"/>
  <c r="T360" i="30"/>
  <c r="B360" i="30"/>
  <c r="AX359" i="30"/>
  <c r="AY359" i="30" s="1"/>
  <c r="AV359" i="30"/>
  <c r="AS359" i="30"/>
  <c r="AK359" i="30"/>
  <c r="AW359" i="30" s="1"/>
  <c r="AJ359" i="30"/>
  <c r="T359" i="30"/>
  <c r="B359" i="30"/>
  <c r="AX358" i="30"/>
  <c r="AY358" i="30" s="1"/>
  <c r="AV358" i="30"/>
  <c r="AS358" i="30"/>
  <c r="AK358" i="30"/>
  <c r="AW358" i="30" s="1"/>
  <c r="AJ358" i="30"/>
  <c r="T358" i="30"/>
  <c r="B358" i="30"/>
  <c r="AX357" i="30"/>
  <c r="AY357" i="30" s="1"/>
  <c r="AV357" i="30"/>
  <c r="AS357" i="30"/>
  <c r="AK357" i="30"/>
  <c r="AW357" i="30" s="1"/>
  <c r="AJ357" i="30"/>
  <c r="T357" i="30"/>
  <c r="B357" i="30"/>
  <c r="AX356" i="30"/>
  <c r="AY356" i="30" s="1"/>
  <c r="AV356" i="30"/>
  <c r="AS356" i="30"/>
  <c r="AK356" i="30"/>
  <c r="AW356" i="30" s="1"/>
  <c r="AJ356" i="30"/>
  <c r="T356" i="30"/>
  <c r="B356" i="30"/>
  <c r="AX355" i="30"/>
  <c r="AY355" i="30" s="1"/>
  <c r="AV355" i="30"/>
  <c r="AS355" i="30"/>
  <c r="AK355" i="30"/>
  <c r="AW355" i="30" s="1"/>
  <c r="AJ355" i="30"/>
  <c r="T355" i="30"/>
  <c r="B355" i="30"/>
  <c r="AX354" i="30"/>
  <c r="AY354" i="30" s="1"/>
  <c r="AV354" i="30"/>
  <c r="AS354" i="30"/>
  <c r="AK354" i="30"/>
  <c r="AW354" i="30" s="1"/>
  <c r="AJ354" i="30"/>
  <c r="T354" i="30"/>
  <c r="B354" i="30"/>
  <c r="AX353" i="30"/>
  <c r="AY353" i="30" s="1"/>
  <c r="AV353" i="30"/>
  <c r="AS353" i="30"/>
  <c r="AK353" i="30"/>
  <c r="AW353" i="30" s="1"/>
  <c r="AJ353" i="30"/>
  <c r="T353" i="30"/>
  <c r="B353" i="30"/>
  <c r="AX352" i="30"/>
  <c r="AY352" i="30" s="1"/>
  <c r="AV352" i="30"/>
  <c r="AS352" i="30"/>
  <c r="AK352" i="30"/>
  <c r="AW352" i="30" s="1"/>
  <c r="AJ352" i="30"/>
  <c r="T352" i="30"/>
  <c r="B352" i="30"/>
  <c r="AX351" i="30"/>
  <c r="AY351" i="30" s="1"/>
  <c r="AV351" i="30"/>
  <c r="AS351" i="30"/>
  <c r="AK351" i="30"/>
  <c r="AW351" i="30" s="1"/>
  <c r="AJ351" i="30"/>
  <c r="T351" i="30"/>
  <c r="B351" i="30"/>
  <c r="AX350" i="30"/>
  <c r="AY350" i="30" s="1"/>
  <c r="AV350" i="30"/>
  <c r="AS350" i="30"/>
  <c r="AK350" i="30"/>
  <c r="AW350" i="30" s="1"/>
  <c r="AJ350" i="30"/>
  <c r="T350" i="30"/>
  <c r="B350" i="30"/>
  <c r="AX349" i="30"/>
  <c r="AY349" i="30" s="1"/>
  <c r="AV349" i="30"/>
  <c r="AS349" i="30"/>
  <c r="AK349" i="30"/>
  <c r="AW349" i="30" s="1"/>
  <c r="AJ349" i="30"/>
  <c r="T349" i="30"/>
  <c r="B349" i="30"/>
  <c r="AX348" i="30"/>
  <c r="AY348" i="30" s="1"/>
  <c r="AV348" i="30"/>
  <c r="AS348" i="30"/>
  <c r="AK348" i="30"/>
  <c r="AW348" i="30" s="1"/>
  <c r="AJ348" i="30"/>
  <c r="T348" i="30"/>
  <c r="B348" i="30"/>
  <c r="AX347" i="30"/>
  <c r="AY347" i="30" s="1"/>
  <c r="AV347" i="30"/>
  <c r="AS347" i="30"/>
  <c r="AK347" i="30"/>
  <c r="AW347" i="30" s="1"/>
  <c r="AJ347" i="30"/>
  <c r="T347" i="30"/>
  <c r="B347" i="30"/>
  <c r="AX346" i="30"/>
  <c r="AY346" i="30" s="1"/>
  <c r="AV346" i="30"/>
  <c r="AS346" i="30"/>
  <c r="AK346" i="30"/>
  <c r="AW346" i="30" s="1"/>
  <c r="AJ346" i="30"/>
  <c r="T346" i="30"/>
  <c r="B346" i="30"/>
  <c r="AX345" i="30"/>
  <c r="AY345" i="30" s="1"/>
  <c r="AV345" i="30"/>
  <c r="AS345" i="30"/>
  <c r="AK345" i="30"/>
  <c r="AW345" i="30" s="1"/>
  <c r="AJ345" i="30"/>
  <c r="T345" i="30"/>
  <c r="B345" i="30"/>
  <c r="AX344" i="30"/>
  <c r="AY344" i="30" s="1"/>
  <c r="AV344" i="30"/>
  <c r="AS344" i="30"/>
  <c r="AK344" i="30"/>
  <c r="AW344" i="30" s="1"/>
  <c r="AJ344" i="30"/>
  <c r="T344" i="30"/>
  <c r="B344" i="30"/>
  <c r="AX343" i="30"/>
  <c r="AY343" i="30" s="1"/>
  <c r="AV343" i="30"/>
  <c r="AS343" i="30"/>
  <c r="AK343" i="30"/>
  <c r="AW343" i="30" s="1"/>
  <c r="AJ343" i="30"/>
  <c r="T343" i="30"/>
  <c r="B343" i="30"/>
  <c r="AX342" i="30"/>
  <c r="AY342" i="30" s="1"/>
  <c r="AV342" i="30"/>
  <c r="AS342" i="30"/>
  <c r="AK342" i="30"/>
  <c r="AW342" i="30" s="1"/>
  <c r="AJ342" i="30"/>
  <c r="T342" i="30"/>
  <c r="B342" i="30"/>
  <c r="AX341" i="30"/>
  <c r="AY341" i="30" s="1"/>
  <c r="AV341" i="30"/>
  <c r="AS341" i="30"/>
  <c r="AK341" i="30"/>
  <c r="AW341" i="30" s="1"/>
  <c r="AJ341" i="30"/>
  <c r="T341" i="30"/>
  <c r="B341" i="30"/>
  <c r="AX340" i="30"/>
  <c r="AY340" i="30" s="1"/>
  <c r="AV340" i="30"/>
  <c r="AS340" i="30"/>
  <c r="AK340" i="30"/>
  <c r="AW340" i="30" s="1"/>
  <c r="AJ340" i="30"/>
  <c r="T340" i="30"/>
  <c r="B340" i="30"/>
  <c r="AX339" i="30"/>
  <c r="AY339" i="30" s="1"/>
  <c r="AV339" i="30"/>
  <c r="AS339" i="30"/>
  <c r="AK339" i="30"/>
  <c r="AW339" i="30" s="1"/>
  <c r="AJ339" i="30"/>
  <c r="T339" i="30"/>
  <c r="B339" i="30"/>
  <c r="AX338" i="30"/>
  <c r="AY338" i="30" s="1"/>
  <c r="AV338" i="30"/>
  <c r="AS338" i="30"/>
  <c r="AK338" i="30"/>
  <c r="AW338" i="30" s="1"/>
  <c r="AJ338" i="30"/>
  <c r="T338" i="30"/>
  <c r="B338" i="30"/>
  <c r="AX337" i="30"/>
  <c r="AY337" i="30" s="1"/>
  <c r="AV337" i="30"/>
  <c r="AS337" i="30"/>
  <c r="AK337" i="30"/>
  <c r="AW337" i="30" s="1"/>
  <c r="AJ337" i="30"/>
  <c r="T337" i="30"/>
  <c r="B337" i="30"/>
  <c r="AX336" i="30"/>
  <c r="AY336" i="30" s="1"/>
  <c r="AV336" i="30"/>
  <c r="AS336" i="30"/>
  <c r="AK336" i="30"/>
  <c r="AW336" i="30" s="1"/>
  <c r="AJ336" i="30"/>
  <c r="T336" i="30"/>
  <c r="B336" i="30"/>
  <c r="AX335" i="30"/>
  <c r="AY335" i="30" s="1"/>
  <c r="AV335" i="30"/>
  <c r="AS335" i="30"/>
  <c r="AK335" i="30"/>
  <c r="AW335" i="30" s="1"/>
  <c r="AJ335" i="30"/>
  <c r="T335" i="30"/>
  <c r="B335" i="30"/>
  <c r="AX334" i="30"/>
  <c r="AY334" i="30" s="1"/>
  <c r="AV334" i="30"/>
  <c r="AS334" i="30"/>
  <c r="AK334" i="30"/>
  <c r="AW334" i="30" s="1"/>
  <c r="AJ334" i="30"/>
  <c r="T334" i="30"/>
  <c r="B334" i="30"/>
  <c r="AX333" i="30"/>
  <c r="AY333" i="30" s="1"/>
  <c r="AV333" i="30"/>
  <c r="AS333" i="30"/>
  <c r="AK333" i="30"/>
  <c r="AW333" i="30" s="1"/>
  <c r="AJ333" i="30"/>
  <c r="T333" i="30"/>
  <c r="B333" i="30"/>
  <c r="AX332" i="30"/>
  <c r="AY332" i="30" s="1"/>
  <c r="AV332" i="30"/>
  <c r="AS332" i="30"/>
  <c r="AK332" i="30"/>
  <c r="AW332" i="30" s="1"/>
  <c r="AJ332" i="30"/>
  <c r="T332" i="30"/>
  <c r="AI332" i="30" s="1"/>
  <c r="B332" i="30"/>
  <c r="AX331" i="30"/>
  <c r="AY331" i="30" s="1"/>
  <c r="AV331" i="30"/>
  <c r="AS331" i="30"/>
  <c r="AK331" i="30"/>
  <c r="AW331" i="30" s="1"/>
  <c r="AJ331" i="30"/>
  <c r="T331" i="30"/>
  <c r="B331" i="30"/>
  <c r="AX330" i="30"/>
  <c r="AY330" i="30" s="1"/>
  <c r="AV330" i="30"/>
  <c r="AS330" i="30"/>
  <c r="AK330" i="30"/>
  <c r="AW330" i="30" s="1"/>
  <c r="AJ330" i="30"/>
  <c r="T330" i="30"/>
  <c r="B330" i="30"/>
  <c r="AX329" i="30"/>
  <c r="AY329" i="30" s="1"/>
  <c r="AV329" i="30"/>
  <c r="AS329" i="30"/>
  <c r="AK329" i="30"/>
  <c r="AW329" i="30" s="1"/>
  <c r="AJ329" i="30"/>
  <c r="T329" i="30"/>
  <c r="B329" i="30"/>
  <c r="AX328" i="30"/>
  <c r="AY328" i="30" s="1"/>
  <c r="AV328" i="30"/>
  <c r="AS328" i="30"/>
  <c r="AK328" i="30"/>
  <c r="AW328" i="30" s="1"/>
  <c r="AJ328" i="30"/>
  <c r="T328" i="30"/>
  <c r="B328" i="30"/>
  <c r="AX327" i="30"/>
  <c r="AY327" i="30" s="1"/>
  <c r="AV327" i="30"/>
  <c r="AS327" i="30"/>
  <c r="AK327" i="30"/>
  <c r="AW327" i="30" s="1"/>
  <c r="AJ327" i="30"/>
  <c r="T327" i="30"/>
  <c r="B327" i="30"/>
  <c r="AX326" i="30"/>
  <c r="AY326" i="30" s="1"/>
  <c r="AV326" i="30"/>
  <c r="AS326" i="30"/>
  <c r="AK326" i="30"/>
  <c r="AW326" i="30" s="1"/>
  <c r="AJ326" i="30"/>
  <c r="T326" i="30"/>
  <c r="B326" i="30"/>
  <c r="AX325" i="30"/>
  <c r="AY325" i="30" s="1"/>
  <c r="AV325" i="30"/>
  <c r="AS325" i="30"/>
  <c r="AK325" i="30"/>
  <c r="AW325" i="30" s="1"/>
  <c r="AJ325" i="30"/>
  <c r="T325" i="30"/>
  <c r="B325" i="30"/>
  <c r="AX324" i="30"/>
  <c r="AY324" i="30" s="1"/>
  <c r="AV324" i="30"/>
  <c r="AS324" i="30"/>
  <c r="AK324" i="30"/>
  <c r="AW324" i="30" s="1"/>
  <c r="AJ324" i="30"/>
  <c r="T324" i="30"/>
  <c r="B324" i="30"/>
  <c r="AX323" i="30"/>
  <c r="AY323" i="30" s="1"/>
  <c r="AV323" i="30"/>
  <c r="AS323" i="30"/>
  <c r="AK323" i="30"/>
  <c r="AW323" i="30" s="1"/>
  <c r="AJ323" i="30"/>
  <c r="T323" i="30"/>
  <c r="B323" i="30"/>
  <c r="AX322" i="30"/>
  <c r="AY322" i="30" s="1"/>
  <c r="AV322" i="30"/>
  <c r="AS322" i="30"/>
  <c r="AK322" i="30"/>
  <c r="AW322" i="30" s="1"/>
  <c r="AJ322" i="30"/>
  <c r="T322" i="30"/>
  <c r="B322" i="30"/>
  <c r="AX321" i="30"/>
  <c r="AY321" i="30" s="1"/>
  <c r="AV321" i="30"/>
  <c r="AS321" i="30"/>
  <c r="AK321" i="30"/>
  <c r="AW321" i="30" s="1"/>
  <c r="AJ321" i="30"/>
  <c r="T321" i="30"/>
  <c r="B321" i="30"/>
  <c r="AX320" i="30"/>
  <c r="AY320" i="30" s="1"/>
  <c r="AV320" i="30"/>
  <c r="AS320" i="30"/>
  <c r="AK320" i="30"/>
  <c r="AW320" i="30" s="1"/>
  <c r="AJ320" i="30"/>
  <c r="T320" i="30"/>
  <c r="B320" i="30"/>
  <c r="AX319" i="30"/>
  <c r="AY319" i="30" s="1"/>
  <c r="AV319" i="30"/>
  <c r="AS319" i="30"/>
  <c r="AK319" i="30"/>
  <c r="AW319" i="30" s="1"/>
  <c r="AJ319" i="30"/>
  <c r="T319" i="30"/>
  <c r="B319" i="30"/>
  <c r="AX318" i="30"/>
  <c r="AY318" i="30" s="1"/>
  <c r="AV318" i="30"/>
  <c r="AS318" i="30"/>
  <c r="AK318" i="30"/>
  <c r="AW318" i="30" s="1"/>
  <c r="AJ318" i="30"/>
  <c r="T318" i="30"/>
  <c r="AI318" i="30" s="1"/>
  <c r="B318" i="30"/>
  <c r="AX317" i="30"/>
  <c r="AY317" i="30" s="1"/>
  <c r="AV317" i="30"/>
  <c r="AS317" i="30"/>
  <c r="AK317" i="30"/>
  <c r="AW317" i="30" s="1"/>
  <c r="AJ317" i="30"/>
  <c r="T317" i="30"/>
  <c r="B317" i="30"/>
  <c r="AX316" i="30"/>
  <c r="AY316" i="30" s="1"/>
  <c r="AV316" i="30"/>
  <c r="AS316" i="30"/>
  <c r="AK316" i="30"/>
  <c r="AW316" i="30" s="1"/>
  <c r="AJ316" i="30"/>
  <c r="T316" i="30"/>
  <c r="B316" i="30"/>
  <c r="AX315" i="30"/>
  <c r="AY315" i="30" s="1"/>
  <c r="AV315" i="30"/>
  <c r="AS315" i="30"/>
  <c r="AK315" i="30"/>
  <c r="AW315" i="30" s="1"/>
  <c r="AJ315" i="30"/>
  <c r="T315" i="30"/>
  <c r="B315" i="30"/>
  <c r="AX314" i="30"/>
  <c r="AY314" i="30" s="1"/>
  <c r="AV314" i="30"/>
  <c r="AS314" i="30"/>
  <c r="AK314" i="30"/>
  <c r="AW314" i="30" s="1"/>
  <c r="AJ314" i="30"/>
  <c r="T314" i="30"/>
  <c r="B314" i="30"/>
  <c r="AX313" i="30"/>
  <c r="AY313" i="30" s="1"/>
  <c r="AV313" i="30"/>
  <c r="AS313" i="30"/>
  <c r="AK313" i="30"/>
  <c r="AW313" i="30" s="1"/>
  <c r="AJ313" i="30"/>
  <c r="T313" i="30"/>
  <c r="B313" i="30"/>
  <c r="AX312" i="30"/>
  <c r="AY312" i="30" s="1"/>
  <c r="AV312" i="30"/>
  <c r="AS312" i="30"/>
  <c r="AK312" i="30"/>
  <c r="AW312" i="30" s="1"/>
  <c r="AJ312" i="30"/>
  <c r="T312" i="30"/>
  <c r="B312" i="30"/>
  <c r="AX311" i="30"/>
  <c r="AY311" i="30" s="1"/>
  <c r="AV311" i="30"/>
  <c r="AS311" i="30"/>
  <c r="AK311" i="30"/>
  <c r="AW311" i="30" s="1"/>
  <c r="AJ311" i="30"/>
  <c r="T311" i="30"/>
  <c r="B311" i="30"/>
  <c r="AX310" i="30"/>
  <c r="AY310" i="30" s="1"/>
  <c r="AV310" i="30"/>
  <c r="AS310" i="30"/>
  <c r="AK310" i="30"/>
  <c r="AW310" i="30" s="1"/>
  <c r="AJ310" i="30"/>
  <c r="T310" i="30"/>
  <c r="B310" i="30"/>
  <c r="AX309" i="30"/>
  <c r="AY309" i="30" s="1"/>
  <c r="AV309" i="30"/>
  <c r="AS309" i="30"/>
  <c r="AK309" i="30"/>
  <c r="AW309" i="30" s="1"/>
  <c r="AJ309" i="30"/>
  <c r="T309" i="30"/>
  <c r="B309" i="30"/>
  <c r="AX308" i="30"/>
  <c r="AY308" i="30" s="1"/>
  <c r="AV308" i="30"/>
  <c r="AS308" i="30"/>
  <c r="AK308" i="30"/>
  <c r="AW308" i="30" s="1"/>
  <c r="AJ308" i="30"/>
  <c r="T308" i="30"/>
  <c r="B308" i="30"/>
  <c r="AX307" i="30"/>
  <c r="AY307" i="30" s="1"/>
  <c r="AV307" i="30"/>
  <c r="AS307" i="30"/>
  <c r="AK307" i="30"/>
  <c r="AW307" i="30" s="1"/>
  <c r="AJ307" i="30"/>
  <c r="T307" i="30"/>
  <c r="B307" i="30"/>
  <c r="AX306" i="30"/>
  <c r="AY306" i="30" s="1"/>
  <c r="AV306" i="30"/>
  <c r="AS306" i="30"/>
  <c r="AK306" i="30"/>
  <c r="AW306" i="30" s="1"/>
  <c r="AJ306" i="30"/>
  <c r="T306" i="30"/>
  <c r="B306" i="30"/>
  <c r="AX305" i="30"/>
  <c r="AY305" i="30" s="1"/>
  <c r="AV305" i="30"/>
  <c r="AS305" i="30"/>
  <c r="AK305" i="30"/>
  <c r="AW305" i="30" s="1"/>
  <c r="AJ305" i="30"/>
  <c r="T305" i="30"/>
  <c r="B305" i="30"/>
  <c r="AX304" i="30"/>
  <c r="AY304" i="30" s="1"/>
  <c r="AV304" i="30"/>
  <c r="AS304" i="30"/>
  <c r="AK304" i="30"/>
  <c r="AW304" i="30" s="1"/>
  <c r="AJ304" i="30"/>
  <c r="T304" i="30"/>
  <c r="B304" i="30"/>
  <c r="AX303" i="30"/>
  <c r="AY303" i="30" s="1"/>
  <c r="AV303" i="30"/>
  <c r="AS303" i="30"/>
  <c r="AK303" i="30"/>
  <c r="AW303" i="30" s="1"/>
  <c r="AJ303" i="30"/>
  <c r="T303" i="30"/>
  <c r="B303" i="30"/>
  <c r="AX302" i="30"/>
  <c r="AY302" i="30" s="1"/>
  <c r="AV302" i="30"/>
  <c r="AS302" i="30"/>
  <c r="AK302" i="30"/>
  <c r="AW302" i="30" s="1"/>
  <c r="AJ302" i="30"/>
  <c r="T302" i="30"/>
  <c r="AI302" i="30" s="1"/>
  <c r="B302" i="30"/>
  <c r="AX301" i="30"/>
  <c r="AY301" i="30" s="1"/>
  <c r="AV301" i="30"/>
  <c r="AS301" i="30"/>
  <c r="AK301" i="30"/>
  <c r="AW301" i="30" s="1"/>
  <c r="AJ301" i="30"/>
  <c r="T301" i="30"/>
  <c r="B301" i="30"/>
  <c r="AX300" i="30"/>
  <c r="AY300" i="30" s="1"/>
  <c r="AV300" i="30"/>
  <c r="AS300" i="30"/>
  <c r="AK300" i="30"/>
  <c r="AW300" i="30" s="1"/>
  <c r="AJ300" i="30"/>
  <c r="T300" i="30"/>
  <c r="B300" i="30"/>
  <c r="AX299" i="30"/>
  <c r="AY299" i="30" s="1"/>
  <c r="AV299" i="30"/>
  <c r="AS299" i="30"/>
  <c r="AK299" i="30"/>
  <c r="AW299" i="30" s="1"/>
  <c r="AJ299" i="30"/>
  <c r="T299" i="30"/>
  <c r="B299" i="30"/>
  <c r="AX298" i="30"/>
  <c r="AY298" i="30" s="1"/>
  <c r="AV298" i="30"/>
  <c r="AS298" i="30"/>
  <c r="AK298" i="30"/>
  <c r="AW298" i="30" s="1"/>
  <c r="AJ298" i="30"/>
  <c r="T298" i="30"/>
  <c r="B298" i="30"/>
  <c r="AX297" i="30"/>
  <c r="AY297" i="30" s="1"/>
  <c r="AV297" i="30"/>
  <c r="AS297" i="30"/>
  <c r="AK297" i="30"/>
  <c r="AW297" i="30" s="1"/>
  <c r="AJ297" i="30"/>
  <c r="T297" i="30"/>
  <c r="B297" i="30"/>
  <c r="AX296" i="30"/>
  <c r="AY296" i="30" s="1"/>
  <c r="AV296" i="30"/>
  <c r="AS296" i="30"/>
  <c r="AK296" i="30"/>
  <c r="AW296" i="30" s="1"/>
  <c r="AJ296" i="30"/>
  <c r="T296" i="30"/>
  <c r="B296" i="30"/>
  <c r="AX295" i="30"/>
  <c r="AY295" i="30" s="1"/>
  <c r="AV295" i="30"/>
  <c r="AS295" i="30"/>
  <c r="AK295" i="30"/>
  <c r="AW295" i="30" s="1"/>
  <c r="AJ295" i="30"/>
  <c r="T295" i="30"/>
  <c r="B295" i="30"/>
  <c r="AX294" i="30"/>
  <c r="AY294" i="30" s="1"/>
  <c r="AV294" i="30"/>
  <c r="AS294" i="30"/>
  <c r="AK294" i="30"/>
  <c r="AW294" i="30" s="1"/>
  <c r="AJ294" i="30"/>
  <c r="T294" i="30"/>
  <c r="B294" i="30"/>
  <c r="AX293" i="30"/>
  <c r="AY293" i="30" s="1"/>
  <c r="AV293" i="30"/>
  <c r="AS293" i="30"/>
  <c r="AK293" i="30"/>
  <c r="AW293" i="30" s="1"/>
  <c r="AJ293" i="30"/>
  <c r="T293" i="30"/>
  <c r="B293" i="30"/>
  <c r="AX292" i="30"/>
  <c r="AY292" i="30" s="1"/>
  <c r="AV292" i="30"/>
  <c r="AS292" i="30"/>
  <c r="AK292" i="30"/>
  <c r="AW292" i="30" s="1"/>
  <c r="AJ292" i="30"/>
  <c r="T292" i="30"/>
  <c r="B292" i="30"/>
  <c r="AX291" i="30"/>
  <c r="AY291" i="30" s="1"/>
  <c r="AV291" i="30"/>
  <c r="AS291" i="30"/>
  <c r="AK291" i="30"/>
  <c r="AW291" i="30" s="1"/>
  <c r="AJ291" i="30"/>
  <c r="T291" i="30"/>
  <c r="B291" i="30"/>
  <c r="AX290" i="30"/>
  <c r="AY290" i="30" s="1"/>
  <c r="AV290" i="30"/>
  <c r="AS290" i="30"/>
  <c r="AK290" i="30"/>
  <c r="AW290" i="30" s="1"/>
  <c r="AJ290" i="30"/>
  <c r="T290" i="30"/>
  <c r="B290" i="30"/>
  <c r="AX289" i="30"/>
  <c r="AY289" i="30" s="1"/>
  <c r="AV289" i="30"/>
  <c r="AS289" i="30"/>
  <c r="AK289" i="30"/>
  <c r="AW289" i="30" s="1"/>
  <c r="AJ289" i="30"/>
  <c r="T289" i="30"/>
  <c r="B289" i="30"/>
  <c r="AX288" i="30"/>
  <c r="AY288" i="30" s="1"/>
  <c r="AV288" i="30"/>
  <c r="AS288" i="30"/>
  <c r="AK288" i="30"/>
  <c r="AW288" i="30" s="1"/>
  <c r="AJ288" i="30"/>
  <c r="T288" i="30"/>
  <c r="B288" i="30"/>
  <c r="AX287" i="30"/>
  <c r="AY287" i="30" s="1"/>
  <c r="AV287" i="30"/>
  <c r="AS287" i="30"/>
  <c r="AK287" i="30"/>
  <c r="AW287" i="30" s="1"/>
  <c r="AJ287" i="30"/>
  <c r="T287" i="30"/>
  <c r="B287" i="30"/>
  <c r="AX286" i="30"/>
  <c r="AY286" i="30" s="1"/>
  <c r="AV286" i="30"/>
  <c r="AS286" i="30"/>
  <c r="AK286" i="30"/>
  <c r="AW286" i="30" s="1"/>
  <c r="AJ286" i="30"/>
  <c r="T286" i="30"/>
  <c r="B286" i="30"/>
  <c r="AX285" i="30"/>
  <c r="AY285" i="30" s="1"/>
  <c r="AV285" i="30"/>
  <c r="AS285" i="30"/>
  <c r="AK285" i="30"/>
  <c r="AW285" i="30" s="1"/>
  <c r="AJ285" i="30"/>
  <c r="T285" i="30"/>
  <c r="B285" i="30"/>
  <c r="AX284" i="30"/>
  <c r="AY284" i="30" s="1"/>
  <c r="AV284" i="30"/>
  <c r="AS284" i="30"/>
  <c r="AK284" i="30"/>
  <c r="AW284" i="30" s="1"/>
  <c r="AJ284" i="30"/>
  <c r="T284" i="30"/>
  <c r="B284" i="30"/>
  <c r="AX283" i="30"/>
  <c r="AY283" i="30" s="1"/>
  <c r="AV283" i="30"/>
  <c r="AS283" i="30"/>
  <c r="AK283" i="30"/>
  <c r="AW283" i="30" s="1"/>
  <c r="AJ283" i="30"/>
  <c r="T283" i="30"/>
  <c r="B283" i="30"/>
  <c r="AX282" i="30"/>
  <c r="AY282" i="30" s="1"/>
  <c r="AV282" i="30"/>
  <c r="AS282" i="30"/>
  <c r="AK282" i="30"/>
  <c r="AW282" i="30" s="1"/>
  <c r="AJ282" i="30"/>
  <c r="T282" i="30"/>
  <c r="B282" i="30"/>
  <c r="AX281" i="30"/>
  <c r="AY281" i="30" s="1"/>
  <c r="AV281" i="30"/>
  <c r="AS281" i="30"/>
  <c r="AK281" i="30"/>
  <c r="AW281" i="30" s="1"/>
  <c r="AJ281" i="30"/>
  <c r="T281" i="30"/>
  <c r="B281" i="30"/>
  <c r="AX280" i="30"/>
  <c r="AY280" i="30" s="1"/>
  <c r="AV280" i="30"/>
  <c r="AS280" i="30"/>
  <c r="AK280" i="30"/>
  <c r="AW280" i="30" s="1"/>
  <c r="AJ280" i="30"/>
  <c r="T280" i="30"/>
  <c r="B280" i="30"/>
  <c r="AX279" i="30"/>
  <c r="AY279" i="30" s="1"/>
  <c r="AV279" i="30"/>
  <c r="AS279" i="30"/>
  <c r="AK279" i="30"/>
  <c r="AW279" i="30" s="1"/>
  <c r="AJ279" i="30"/>
  <c r="T279" i="30"/>
  <c r="B279" i="30"/>
  <c r="AX278" i="30"/>
  <c r="AY278" i="30" s="1"/>
  <c r="AV278" i="30"/>
  <c r="AS278" i="30"/>
  <c r="AK278" i="30"/>
  <c r="AW278" i="30" s="1"/>
  <c r="AJ278" i="30"/>
  <c r="T278" i="30"/>
  <c r="B278" i="30"/>
  <c r="AX277" i="30"/>
  <c r="AY277" i="30" s="1"/>
  <c r="AV277" i="30"/>
  <c r="AS277" i="30"/>
  <c r="AK277" i="30"/>
  <c r="AW277" i="30" s="1"/>
  <c r="AJ277" i="30"/>
  <c r="T277" i="30"/>
  <c r="B277" i="30"/>
  <c r="AX276" i="30"/>
  <c r="AY276" i="30" s="1"/>
  <c r="AV276" i="30"/>
  <c r="AS276" i="30"/>
  <c r="AK276" i="30"/>
  <c r="AW276" i="30" s="1"/>
  <c r="AJ276" i="30"/>
  <c r="T276" i="30"/>
  <c r="B276" i="30"/>
  <c r="AX275" i="30"/>
  <c r="AY275" i="30" s="1"/>
  <c r="AV275" i="30"/>
  <c r="AS275" i="30"/>
  <c r="AK275" i="30"/>
  <c r="AW275" i="30" s="1"/>
  <c r="AJ275" i="30"/>
  <c r="T275" i="30"/>
  <c r="B275" i="30"/>
  <c r="AX274" i="30"/>
  <c r="AY274" i="30" s="1"/>
  <c r="AV274" i="30"/>
  <c r="AS274" i="30"/>
  <c r="AK274" i="30"/>
  <c r="AW274" i="30" s="1"/>
  <c r="AJ274" i="30"/>
  <c r="T274" i="30"/>
  <c r="B274" i="30"/>
  <c r="AX273" i="30"/>
  <c r="AY273" i="30" s="1"/>
  <c r="AV273" i="30"/>
  <c r="AS273" i="30"/>
  <c r="AK273" i="30"/>
  <c r="AW273" i="30" s="1"/>
  <c r="AJ273" i="30"/>
  <c r="T273" i="30"/>
  <c r="B273" i="30"/>
  <c r="AX272" i="30"/>
  <c r="AY272" i="30" s="1"/>
  <c r="AV272" i="30"/>
  <c r="AS272" i="30"/>
  <c r="AK272" i="30"/>
  <c r="AW272" i="30" s="1"/>
  <c r="AJ272" i="30"/>
  <c r="T272" i="30"/>
  <c r="B272" i="30"/>
  <c r="AX271" i="30"/>
  <c r="AY271" i="30" s="1"/>
  <c r="AV271" i="30"/>
  <c r="AS271" i="30"/>
  <c r="AK271" i="30"/>
  <c r="AW271" i="30" s="1"/>
  <c r="AJ271" i="30"/>
  <c r="T271" i="30"/>
  <c r="B271" i="30"/>
  <c r="AX270" i="30"/>
  <c r="AY270" i="30" s="1"/>
  <c r="AV270" i="30"/>
  <c r="AS270" i="30"/>
  <c r="AK270" i="30"/>
  <c r="AW270" i="30" s="1"/>
  <c r="AJ270" i="30"/>
  <c r="T270" i="30"/>
  <c r="B270" i="30"/>
  <c r="AX269" i="30"/>
  <c r="AY269" i="30" s="1"/>
  <c r="AV269" i="30"/>
  <c r="AS269" i="30"/>
  <c r="AK269" i="30"/>
  <c r="AW269" i="30" s="1"/>
  <c r="AJ269" i="30"/>
  <c r="T269" i="30"/>
  <c r="B269" i="30"/>
  <c r="AX268" i="30"/>
  <c r="AY268" i="30" s="1"/>
  <c r="AV268" i="30"/>
  <c r="AS268" i="30"/>
  <c r="AK268" i="30"/>
  <c r="AW268" i="30" s="1"/>
  <c r="AJ268" i="30"/>
  <c r="T268" i="30"/>
  <c r="B268" i="30"/>
  <c r="AX267" i="30"/>
  <c r="AY267" i="30" s="1"/>
  <c r="AV267" i="30"/>
  <c r="AS267" i="30"/>
  <c r="AK267" i="30"/>
  <c r="AW267" i="30" s="1"/>
  <c r="AJ267" i="30"/>
  <c r="T267" i="30"/>
  <c r="B267" i="30"/>
  <c r="AX266" i="30"/>
  <c r="AY266" i="30" s="1"/>
  <c r="AV266" i="30"/>
  <c r="AS266" i="30"/>
  <c r="AK266" i="30"/>
  <c r="AW266" i="30" s="1"/>
  <c r="AJ266" i="30"/>
  <c r="T266" i="30"/>
  <c r="B266" i="30"/>
  <c r="AX265" i="30"/>
  <c r="AY265" i="30" s="1"/>
  <c r="AV265" i="30"/>
  <c r="AS265" i="30"/>
  <c r="AK265" i="30"/>
  <c r="AW265" i="30" s="1"/>
  <c r="AJ265" i="30"/>
  <c r="T265" i="30"/>
  <c r="B265" i="30"/>
  <c r="AX264" i="30"/>
  <c r="AY264" i="30" s="1"/>
  <c r="AV264" i="30"/>
  <c r="AS264" i="30"/>
  <c r="AK264" i="30"/>
  <c r="AW264" i="30" s="1"/>
  <c r="AJ264" i="30"/>
  <c r="T264" i="30"/>
  <c r="B264" i="30"/>
  <c r="AX263" i="30"/>
  <c r="AY263" i="30" s="1"/>
  <c r="AV263" i="30"/>
  <c r="AS263" i="30"/>
  <c r="AK263" i="30"/>
  <c r="AW263" i="30" s="1"/>
  <c r="AJ263" i="30"/>
  <c r="T263" i="30"/>
  <c r="B263" i="30"/>
  <c r="AX262" i="30"/>
  <c r="AY262" i="30" s="1"/>
  <c r="AV262" i="30"/>
  <c r="AS262" i="30"/>
  <c r="AK262" i="30"/>
  <c r="AW262" i="30" s="1"/>
  <c r="AJ262" i="30"/>
  <c r="T262" i="30"/>
  <c r="B262" i="30"/>
  <c r="AX261" i="30"/>
  <c r="AY261" i="30" s="1"/>
  <c r="AV261" i="30"/>
  <c r="AS261" i="30"/>
  <c r="AK261" i="30"/>
  <c r="AW261" i="30" s="1"/>
  <c r="AJ261" i="30"/>
  <c r="T261" i="30"/>
  <c r="B261" i="30"/>
  <c r="AX260" i="30"/>
  <c r="AY260" i="30" s="1"/>
  <c r="AV260" i="30"/>
  <c r="AS260" i="30"/>
  <c r="AK260" i="30"/>
  <c r="AW260" i="30" s="1"/>
  <c r="AJ260" i="30"/>
  <c r="T260" i="30"/>
  <c r="B260" i="30"/>
  <c r="AX259" i="30"/>
  <c r="AY259" i="30" s="1"/>
  <c r="AV259" i="30"/>
  <c r="AS259" i="30"/>
  <c r="AK259" i="30"/>
  <c r="AW259" i="30" s="1"/>
  <c r="AJ259" i="30"/>
  <c r="T259" i="30"/>
  <c r="AI259" i="30" s="1"/>
  <c r="B259" i="30"/>
  <c r="AX258" i="30"/>
  <c r="AY258" i="30" s="1"/>
  <c r="AV258" i="30"/>
  <c r="AS258" i="30"/>
  <c r="AK258" i="30"/>
  <c r="AW258" i="30" s="1"/>
  <c r="AJ258" i="30"/>
  <c r="T258" i="30"/>
  <c r="B258" i="30"/>
  <c r="AX257" i="30"/>
  <c r="AY257" i="30" s="1"/>
  <c r="AV257" i="30"/>
  <c r="AS257" i="30"/>
  <c r="AK257" i="30"/>
  <c r="AW257" i="30" s="1"/>
  <c r="AJ257" i="30"/>
  <c r="T257" i="30"/>
  <c r="B257" i="30"/>
  <c r="AX256" i="30"/>
  <c r="AY256" i="30" s="1"/>
  <c r="AV256" i="30"/>
  <c r="AS256" i="30"/>
  <c r="AK256" i="30"/>
  <c r="AW256" i="30" s="1"/>
  <c r="AJ256" i="30"/>
  <c r="T256" i="30"/>
  <c r="B256" i="30"/>
  <c r="AX255" i="30"/>
  <c r="AY255" i="30" s="1"/>
  <c r="AV255" i="30"/>
  <c r="AS255" i="30"/>
  <c r="AK255" i="30"/>
  <c r="AW255" i="30" s="1"/>
  <c r="AJ255" i="30"/>
  <c r="T255" i="30"/>
  <c r="B255" i="30"/>
  <c r="AX254" i="30"/>
  <c r="AY254" i="30" s="1"/>
  <c r="AV254" i="30"/>
  <c r="AS254" i="30"/>
  <c r="AK254" i="30"/>
  <c r="AW254" i="30" s="1"/>
  <c r="AJ254" i="30"/>
  <c r="T254" i="30"/>
  <c r="B254" i="30"/>
  <c r="AX253" i="30"/>
  <c r="AY253" i="30" s="1"/>
  <c r="AV253" i="30"/>
  <c r="AS253" i="30"/>
  <c r="AK253" i="30"/>
  <c r="AW253" i="30" s="1"/>
  <c r="AJ253" i="30"/>
  <c r="T253" i="30"/>
  <c r="B253" i="30"/>
  <c r="AX252" i="30"/>
  <c r="AY252" i="30" s="1"/>
  <c r="AS252" i="30"/>
  <c r="AK252" i="30"/>
  <c r="AW252" i="30" s="1"/>
  <c r="AJ252" i="30"/>
  <c r="T252" i="30"/>
  <c r="B252" i="30"/>
  <c r="AX251" i="30"/>
  <c r="AY251" i="30" s="1"/>
  <c r="AS251" i="30"/>
  <c r="AK251" i="30"/>
  <c r="AW251" i="30" s="1"/>
  <c r="AJ251" i="30"/>
  <c r="T251" i="30"/>
  <c r="B251" i="30"/>
  <c r="AX250" i="30"/>
  <c r="AY250" i="30" s="1"/>
  <c r="AS250" i="30"/>
  <c r="AK250" i="30"/>
  <c r="AW250" i="30" s="1"/>
  <c r="AJ250" i="30"/>
  <c r="T250" i="30"/>
  <c r="B250" i="30"/>
  <c r="AX249" i="30"/>
  <c r="AY249" i="30" s="1"/>
  <c r="AS249" i="30"/>
  <c r="AK249" i="30"/>
  <c r="AW249" i="30" s="1"/>
  <c r="AJ249" i="30"/>
  <c r="T249" i="30"/>
  <c r="B249" i="30"/>
  <c r="AX248" i="30"/>
  <c r="AY248" i="30" s="1"/>
  <c r="AS248" i="30"/>
  <c r="AK248" i="30"/>
  <c r="AW248" i="30" s="1"/>
  <c r="AJ248" i="30"/>
  <c r="T248" i="30"/>
  <c r="B248" i="30"/>
  <c r="AX247" i="30"/>
  <c r="AY247" i="30" s="1"/>
  <c r="AS247" i="30"/>
  <c r="AK247" i="30"/>
  <c r="AW247" i="30" s="1"/>
  <c r="AJ247" i="30"/>
  <c r="T247" i="30"/>
  <c r="B247" i="30"/>
  <c r="AX246" i="30"/>
  <c r="AY246" i="30" s="1"/>
  <c r="AS246" i="30"/>
  <c r="AK246" i="30"/>
  <c r="AW246" i="30" s="1"/>
  <c r="AJ246" i="30"/>
  <c r="T246" i="30"/>
  <c r="B246" i="30"/>
  <c r="AX245" i="30"/>
  <c r="AY245" i="30" s="1"/>
  <c r="AS245" i="30"/>
  <c r="T245" i="30"/>
  <c r="B245" i="30"/>
  <c r="AX244" i="30"/>
  <c r="AY244" i="30" s="1"/>
  <c r="AS244" i="30"/>
  <c r="T244" i="30"/>
  <c r="B244" i="30"/>
  <c r="AX243" i="30"/>
  <c r="AY243" i="30" s="1"/>
  <c r="AS243" i="30"/>
  <c r="T243" i="30"/>
  <c r="B243" i="30"/>
  <c r="AX242" i="30"/>
  <c r="AY242" i="30" s="1"/>
  <c r="AS242" i="30"/>
  <c r="T242" i="30"/>
  <c r="B242" i="30"/>
  <c r="AX241" i="30"/>
  <c r="AY241" i="30" s="1"/>
  <c r="AS241" i="30"/>
  <c r="AK241" i="30"/>
  <c r="AW241" i="30" s="1"/>
  <c r="AJ241" i="30"/>
  <c r="T241" i="30"/>
  <c r="B241" i="30"/>
  <c r="AX240" i="30"/>
  <c r="AY240" i="30" s="1"/>
  <c r="AV240" i="30"/>
  <c r="AS240" i="30"/>
  <c r="AK240" i="30"/>
  <c r="AW240" i="30" s="1"/>
  <c r="AJ240" i="30"/>
  <c r="T240" i="30"/>
  <c r="B240" i="30"/>
  <c r="AX239" i="30"/>
  <c r="AY239" i="30" s="1"/>
  <c r="AV239" i="30"/>
  <c r="AS239" i="30"/>
  <c r="AK239" i="30"/>
  <c r="AW239" i="30" s="1"/>
  <c r="AJ239" i="30"/>
  <c r="T239" i="30"/>
  <c r="B239" i="30"/>
  <c r="AX238" i="30"/>
  <c r="AY238" i="30" s="1"/>
  <c r="AV238" i="30"/>
  <c r="AS238" i="30"/>
  <c r="AK238" i="30"/>
  <c r="AW238" i="30" s="1"/>
  <c r="AJ238" i="30"/>
  <c r="T238" i="30"/>
  <c r="B238" i="30"/>
  <c r="AX237" i="30"/>
  <c r="AY237" i="30" s="1"/>
  <c r="AV237" i="30"/>
  <c r="AS237" i="30"/>
  <c r="AK237" i="30"/>
  <c r="AW237" i="30" s="1"/>
  <c r="AJ237" i="30"/>
  <c r="T237" i="30"/>
  <c r="B237" i="30"/>
  <c r="AX236" i="30"/>
  <c r="AY236" i="30" s="1"/>
  <c r="AV236" i="30"/>
  <c r="AS236" i="30"/>
  <c r="AK236" i="30"/>
  <c r="AW236" i="30" s="1"/>
  <c r="AJ236" i="30"/>
  <c r="T236" i="30"/>
  <c r="B236" i="30"/>
  <c r="AX235" i="30"/>
  <c r="AY235" i="30" s="1"/>
  <c r="AV235" i="30"/>
  <c r="AS235" i="30"/>
  <c r="AK235" i="30"/>
  <c r="AW235" i="30" s="1"/>
  <c r="AJ235" i="30"/>
  <c r="T235" i="30"/>
  <c r="B235" i="30"/>
  <c r="AX234" i="30"/>
  <c r="AY234" i="30" s="1"/>
  <c r="AV234" i="30"/>
  <c r="AS234" i="30"/>
  <c r="AK234" i="30"/>
  <c r="AW234" i="30" s="1"/>
  <c r="AJ234" i="30"/>
  <c r="T234" i="30"/>
  <c r="B234" i="30"/>
  <c r="AX233" i="30"/>
  <c r="AY233" i="30" s="1"/>
  <c r="AV233" i="30"/>
  <c r="AS233" i="30"/>
  <c r="AK233" i="30"/>
  <c r="AW233" i="30" s="1"/>
  <c r="AJ233" i="30"/>
  <c r="T233" i="30"/>
  <c r="B233" i="30"/>
  <c r="AX232" i="30"/>
  <c r="AY232" i="30" s="1"/>
  <c r="AV232" i="30"/>
  <c r="AS232" i="30"/>
  <c r="AK232" i="30"/>
  <c r="AW232" i="30" s="1"/>
  <c r="AJ232" i="30"/>
  <c r="T232" i="30"/>
  <c r="B232" i="30"/>
  <c r="AX231" i="30"/>
  <c r="AY231" i="30" s="1"/>
  <c r="AV231" i="30"/>
  <c r="AS231" i="30"/>
  <c r="AK231" i="30"/>
  <c r="AW231" i="30" s="1"/>
  <c r="AJ231" i="30"/>
  <c r="T231" i="30"/>
  <c r="B231" i="30"/>
  <c r="AX230" i="30"/>
  <c r="AY230" i="30" s="1"/>
  <c r="AV230" i="30"/>
  <c r="AS230" i="30"/>
  <c r="AK230" i="30"/>
  <c r="AW230" i="30" s="1"/>
  <c r="AJ230" i="30"/>
  <c r="T230" i="30"/>
  <c r="B230" i="30"/>
  <c r="AX229" i="30"/>
  <c r="AY229" i="30" s="1"/>
  <c r="AV229" i="30"/>
  <c r="AS229" i="30"/>
  <c r="AK229" i="30"/>
  <c r="AJ229" i="30"/>
  <c r="T229" i="30"/>
  <c r="B229" i="30"/>
  <c r="AX228" i="30"/>
  <c r="AY228" i="30" s="1"/>
  <c r="AV228" i="30"/>
  <c r="AS228" i="30"/>
  <c r="AK228" i="30"/>
  <c r="AW228" i="30" s="1"/>
  <c r="AJ228" i="30"/>
  <c r="T228" i="30"/>
  <c r="B228" i="30"/>
  <c r="AX227" i="30"/>
  <c r="AY227" i="30" s="1"/>
  <c r="AV227" i="30"/>
  <c r="AS227" i="30"/>
  <c r="AK227" i="30"/>
  <c r="AW227" i="30" s="1"/>
  <c r="AJ227" i="30"/>
  <c r="T227" i="30"/>
  <c r="B227" i="30"/>
  <c r="AX226" i="30"/>
  <c r="AY226" i="30" s="1"/>
  <c r="AV226" i="30"/>
  <c r="AS226" i="30"/>
  <c r="AK226" i="30"/>
  <c r="AW226" i="30" s="1"/>
  <c r="AJ226" i="30"/>
  <c r="T226" i="30"/>
  <c r="B226" i="30"/>
  <c r="AX225" i="30"/>
  <c r="AY225" i="30" s="1"/>
  <c r="AV225" i="30"/>
  <c r="AS225" i="30"/>
  <c r="AK225" i="30"/>
  <c r="AW225" i="30" s="1"/>
  <c r="AJ225" i="30"/>
  <c r="T225" i="30"/>
  <c r="B225" i="30"/>
  <c r="AX224" i="30"/>
  <c r="AY224" i="30" s="1"/>
  <c r="AV224" i="30"/>
  <c r="AS224" i="30"/>
  <c r="AK224" i="30"/>
  <c r="AW224" i="30" s="1"/>
  <c r="AJ224" i="30"/>
  <c r="T224" i="30"/>
  <c r="B224" i="30"/>
  <c r="AX223" i="30"/>
  <c r="AY223" i="30" s="1"/>
  <c r="AV223" i="30"/>
  <c r="AS223" i="30"/>
  <c r="AK223" i="30"/>
  <c r="AW223" i="30" s="1"/>
  <c r="AJ223" i="30"/>
  <c r="T223" i="30"/>
  <c r="B223" i="30"/>
  <c r="AX222" i="30"/>
  <c r="AY222" i="30" s="1"/>
  <c r="AV222" i="30"/>
  <c r="AS222" i="30"/>
  <c r="AK222" i="30"/>
  <c r="AW222" i="30" s="1"/>
  <c r="AJ222" i="30"/>
  <c r="T222" i="30"/>
  <c r="B222" i="30"/>
  <c r="AX221" i="30"/>
  <c r="AY221" i="30" s="1"/>
  <c r="AV221" i="30"/>
  <c r="AS221" i="30"/>
  <c r="AK221" i="30"/>
  <c r="AW221" i="30" s="1"/>
  <c r="AJ221" i="30"/>
  <c r="T221" i="30"/>
  <c r="B221" i="30"/>
  <c r="AX220" i="30"/>
  <c r="AY220" i="30" s="1"/>
  <c r="AV220" i="30"/>
  <c r="AS220" i="30"/>
  <c r="AK220" i="30"/>
  <c r="AW220" i="30" s="1"/>
  <c r="AJ220" i="30"/>
  <c r="T220" i="30"/>
  <c r="B220" i="30"/>
  <c r="AX219" i="30"/>
  <c r="AY219" i="30" s="1"/>
  <c r="AS219" i="30"/>
  <c r="AK219" i="30"/>
  <c r="AW219" i="30" s="1"/>
  <c r="AJ219" i="30"/>
  <c r="T219" i="30"/>
  <c r="B219" i="30"/>
  <c r="AX218" i="30"/>
  <c r="AY218" i="30" s="1"/>
  <c r="AS218" i="30"/>
  <c r="AK218" i="30"/>
  <c r="AW218" i="30" s="1"/>
  <c r="AJ218" i="30"/>
  <c r="T218" i="30"/>
  <c r="B218" i="30"/>
  <c r="AX217" i="30"/>
  <c r="AY217" i="30" s="1"/>
  <c r="AS217" i="30"/>
  <c r="AK217" i="30"/>
  <c r="AW217" i="30" s="1"/>
  <c r="AJ217" i="30"/>
  <c r="T217" i="30"/>
  <c r="B217" i="30"/>
  <c r="AX216" i="30"/>
  <c r="AY216" i="30" s="1"/>
  <c r="AS216" i="30"/>
  <c r="AK216" i="30"/>
  <c r="AW216" i="30" s="1"/>
  <c r="AJ216" i="30"/>
  <c r="T216" i="30"/>
  <c r="B216" i="30"/>
  <c r="AX215" i="30"/>
  <c r="AY215" i="30" s="1"/>
  <c r="AS215" i="30"/>
  <c r="AK215" i="30"/>
  <c r="AW215" i="30" s="1"/>
  <c r="AJ215" i="30"/>
  <c r="T215" i="30"/>
  <c r="B215" i="30"/>
  <c r="AX214" i="30"/>
  <c r="AY214" i="30" s="1"/>
  <c r="AS214" i="30"/>
  <c r="AK214" i="30"/>
  <c r="AW214" i="30" s="1"/>
  <c r="AJ214" i="30"/>
  <c r="T214" i="30"/>
  <c r="B214" i="30"/>
  <c r="AX213" i="30"/>
  <c r="AY213" i="30" s="1"/>
  <c r="AS213" i="30"/>
  <c r="AK213" i="30"/>
  <c r="AW213" i="30" s="1"/>
  <c r="AJ213" i="30"/>
  <c r="T213" i="30"/>
  <c r="B213" i="30"/>
  <c r="AX212" i="30"/>
  <c r="AY212" i="30" s="1"/>
  <c r="AS212" i="30"/>
  <c r="AK212" i="30"/>
  <c r="AW212" i="30" s="1"/>
  <c r="AJ212" i="30"/>
  <c r="T212" i="30"/>
  <c r="B212" i="30"/>
  <c r="AX211" i="30"/>
  <c r="AY211" i="30" s="1"/>
  <c r="AS211" i="30"/>
  <c r="AK211" i="30"/>
  <c r="AW211" i="30" s="1"/>
  <c r="AJ211" i="30"/>
  <c r="T211" i="30"/>
  <c r="B211" i="30"/>
  <c r="AX210" i="30"/>
  <c r="AY210" i="30" s="1"/>
  <c r="AS210" i="30"/>
  <c r="AK210" i="30"/>
  <c r="AJ210" i="30"/>
  <c r="T210" i="30"/>
  <c r="B210" i="30"/>
  <c r="AX209" i="30"/>
  <c r="AY209" i="30" s="1"/>
  <c r="AS209" i="30"/>
  <c r="AK209" i="30"/>
  <c r="AW209" i="30" s="1"/>
  <c r="AJ209" i="30"/>
  <c r="T209" i="30"/>
  <c r="B209" i="30"/>
  <c r="AX208" i="30"/>
  <c r="AY208" i="30" s="1"/>
  <c r="AS208" i="30"/>
  <c r="AK208" i="30"/>
  <c r="AW208" i="30" s="1"/>
  <c r="AJ208" i="30"/>
  <c r="T208" i="30"/>
  <c r="B208" i="30"/>
  <c r="AX207" i="30"/>
  <c r="AY207" i="30" s="1"/>
  <c r="AS207" i="30"/>
  <c r="AK207" i="30"/>
  <c r="AW207" i="30" s="1"/>
  <c r="AJ207" i="30"/>
  <c r="T207" i="30"/>
  <c r="B207" i="30"/>
  <c r="AX206" i="30"/>
  <c r="AY206" i="30" s="1"/>
  <c r="AS206" i="30"/>
  <c r="T206" i="30"/>
  <c r="M206" i="30"/>
  <c r="B206" i="30"/>
  <c r="AX205" i="30"/>
  <c r="AY205" i="30" s="1"/>
  <c r="AS205" i="30"/>
  <c r="T205" i="30"/>
  <c r="M205" i="30"/>
  <c r="G205" i="30"/>
  <c r="B205" i="30"/>
  <c r="AX204" i="30"/>
  <c r="AY204" i="30" s="1"/>
  <c r="AS204" i="30"/>
  <c r="T204" i="30"/>
  <c r="M204" i="30"/>
  <c r="B204" i="30"/>
  <c r="AX203" i="30"/>
  <c r="AY203" i="30" s="1"/>
  <c r="AS203" i="30"/>
  <c r="T203" i="30"/>
  <c r="AB203" i="30" s="1"/>
  <c r="M203" i="30"/>
  <c r="B203" i="30"/>
  <c r="AX202" i="30"/>
  <c r="AY202" i="30" s="1"/>
  <c r="AS202" i="30"/>
  <c r="T202" i="30"/>
  <c r="AB202" i="30" s="1"/>
  <c r="M202" i="30"/>
  <c r="G202" i="30"/>
  <c r="B202" i="30"/>
  <c r="AX201" i="30"/>
  <c r="AY201" i="30" s="1"/>
  <c r="AS201" i="30"/>
  <c r="T201" i="30"/>
  <c r="AB201" i="30" s="1"/>
  <c r="M201" i="30"/>
  <c r="B201" i="30"/>
  <c r="AX200" i="30"/>
  <c r="AY200" i="30" s="1"/>
  <c r="AS200" i="30"/>
  <c r="T200" i="30"/>
  <c r="M200" i="30"/>
  <c r="B200" i="30"/>
  <c r="AX199" i="30"/>
  <c r="AY199" i="30" s="1"/>
  <c r="AS199" i="30"/>
  <c r="T199" i="30"/>
  <c r="AB199" i="30" s="1"/>
  <c r="M199" i="30"/>
  <c r="B199" i="30"/>
  <c r="AX198" i="30"/>
  <c r="AY198" i="30" s="1"/>
  <c r="AS198" i="30"/>
  <c r="T198" i="30"/>
  <c r="AB198" i="30" s="1"/>
  <c r="M198" i="30"/>
  <c r="G198" i="30"/>
  <c r="B198" i="30"/>
  <c r="AX197" i="30"/>
  <c r="AY197" i="30" s="1"/>
  <c r="AV197" i="30"/>
  <c r="AS197" i="30"/>
  <c r="T197" i="30"/>
  <c r="AB197" i="30" s="1"/>
  <c r="M197" i="30"/>
  <c r="G197" i="30"/>
  <c r="B197" i="30"/>
  <c r="AX196" i="30"/>
  <c r="AY196" i="30" s="1"/>
  <c r="AV196" i="30"/>
  <c r="AS196" i="30"/>
  <c r="T196" i="30"/>
  <c r="AB196" i="30" s="1"/>
  <c r="M196" i="30"/>
  <c r="B196" i="30"/>
  <c r="AX195" i="30"/>
  <c r="AY195" i="30" s="1"/>
  <c r="AV195" i="30"/>
  <c r="AS195" i="30"/>
  <c r="T195" i="30"/>
  <c r="M195" i="30"/>
  <c r="B195" i="30"/>
  <c r="AX194" i="30"/>
  <c r="AY194" i="30" s="1"/>
  <c r="AV194" i="30"/>
  <c r="AS194" i="30"/>
  <c r="T194" i="30"/>
  <c r="M194" i="30"/>
  <c r="B194" i="30"/>
  <c r="AX193" i="30"/>
  <c r="AY193" i="30" s="1"/>
  <c r="AV193" i="30"/>
  <c r="AS193" i="30"/>
  <c r="T193" i="30"/>
  <c r="AB193" i="30" s="1"/>
  <c r="M193" i="30"/>
  <c r="B193" i="30"/>
  <c r="AX192" i="30"/>
  <c r="AY192" i="30" s="1"/>
  <c r="AV192" i="30"/>
  <c r="AS192" i="30"/>
  <c r="T192" i="30"/>
  <c r="AB192" i="30" s="1"/>
  <c r="M192" i="30"/>
  <c r="G192" i="30"/>
  <c r="B192" i="30"/>
  <c r="AX191" i="30"/>
  <c r="AY191" i="30" s="1"/>
  <c r="AV191" i="30"/>
  <c r="AS191" i="30"/>
  <c r="T191" i="30"/>
  <c r="AB191" i="30" s="1"/>
  <c r="M191" i="30"/>
  <c r="G191" i="30"/>
  <c r="B191" i="30"/>
  <c r="AX190" i="30"/>
  <c r="AY190" i="30" s="1"/>
  <c r="AV190" i="30"/>
  <c r="AS190" i="30"/>
  <c r="T190" i="30"/>
  <c r="AB190" i="30" s="1"/>
  <c r="M190" i="30"/>
  <c r="B190" i="30"/>
  <c r="AX189" i="30"/>
  <c r="AY189" i="30" s="1"/>
  <c r="AV189" i="30"/>
  <c r="AS189" i="30"/>
  <c r="T189" i="30"/>
  <c r="M189" i="30"/>
  <c r="B189" i="30"/>
  <c r="AX188" i="30"/>
  <c r="AY188" i="30" s="1"/>
  <c r="AV188" i="30"/>
  <c r="AS188" i="30"/>
  <c r="T188" i="30"/>
  <c r="M188" i="30"/>
  <c r="B188" i="30"/>
  <c r="AX187" i="30"/>
  <c r="AY187" i="30" s="1"/>
  <c r="AV187" i="30"/>
  <c r="AS187" i="30"/>
  <c r="T187" i="30"/>
  <c r="AB187" i="30" s="1"/>
  <c r="M187" i="30"/>
  <c r="B187" i="30"/>
  <c r="AX186" i="30"/>
  <c r="AY186" i="30" s="1"/>
  <c r="AV186" i="30"/>
  <c r="AS186" i="30"/>
  <c r="T186" i="30"/>
  <c r="AB186" i="30" s="1"/>
  <c r="M186" i="30"/>
  <c r="B186" i="30"/>
  <c r="AX185" i="30"/>
  <c r="AY185" i="30" s="1"/>
  <c r="AV185" i="30"/>
  <c r="AS185" i="30"/>
  <c r="T185" i="30"/>
  <c r="AB185" i="30" s="1"/>
  <c r="M185" i="30"/>
  <c r="B185" i="30"/>
  <c r="AX184" i="30"/>
  <c r="AV184" i="30"/>
  <c r="AS184" i="30"/>
  <c r="AD184" i="30"/>
  <c r="T184" i="30"/>
  <c r="AB184" i="30" s="1"/>
  <c r="M184" i="30"/>
  <c r="B184" i="30"/>
  <c r="AX183" i="30"/>
  <c r="AY183" i="30" s="1"/>
  <c r="AV183" i="30"/>
  <c r="AS183" i="30"/>
  <c r="T183" i="30"/>
  <c r="AB183" i="30" s="1"/>
  <c r="M183" i="30"/>
  <c r="B183" i="30"/>
  <c r="AX182" i="30"/>
  <c r="AY182" i="30" s="1"/>
  <c r="AV182" i="30"/>
  <c r="AS182" i="30"/>
  <c r="T182" i="30"/>
  <c r="M182" i="30"/>
  <c r="B182" i="30"/>
  <c r="AX181" i="30"/>
  <c r="AY181" i="30" s="1"/>
  <c r="AV181" i="30"/>
  <c r="AS181" i="30"/>
  <c r="T181" i="30"/>
  <c r="M181" i="30"/>
  <c r="B181" i="30"/>
  <c r="AX180" i="30"/>
  <c r="AY180" i="30" s="1"/>
  <c r="AV180" i="30"/>
  <c r="AS180" i="30"/>
  <c r="T180" i="30"/>
  <c r="M180" i="30"/>
  <c r="B180" i="30"/>
  <c r="AX179" i="30"/>
  <c r="AY179" i="30" s="1"/>
  <c r="AV179" i="30"/>
  <c r="AS179" i="30"/>
  <c r="T179" i="30"/>
  <c r="M179" i="30"/>
  <c r="B179" i="30"/>
  <c r="AX178" i="30"/>
  <c r="AY178" i="30" s="1"/>
  <c r="AV178" i="30"/>
  <c r="AS178" i="30"/>
  <c r="T178" i="30"/>
  <c r="M178" i="30"/>
  <c r="B178" i="30"/>
  <c r="AX177" i="30"/>
  <c r="AY177" i="30" s="1"/>
  <c r="AV177" i="30"/>
  <c r="AS177" i="30"/>
  <c r="T177" i="30"/>
  <c r="AB177" i="30" s="1"/>
  <c r="M177" i="30"/>
  <c r="B177" i="30"/>
  <c r="AX176" i="30"/>
  <c r="AY176" i="30" s="1"/>
  <c r="AV176" i="30"/>
  <c r="AS176" i="30"/>
  <c r="T176" i="30"/>
  <c r="AB176" i="30" s="1"/>
  <c r="M176" i="30"/>
  <c r="B176" i="30"/>
  <c r="AX175" i="30"/>
  <c r="AV175" i="30"/>
  <c r="AS175" i="30"/>
  <c r="AD175" i="30"/>
  <c r="T175" i="30"/>
  <c r="AB175" i="30" s="1"/>
  <c r="M175" i="30"/>
  <c r="G175" i="30"/>
  <c r="B175" i="30"/>
  <c r="AX174" i="30"/>
  <c r="AY174" i="30" s="1"/>
  <c r="AV174" i="30"/>
  <c r="AS174" i="30"/>
  <c r="T174" i="30"/>
  <c r="AB174" i="30" s="1"/>
  <c r="M174" i="30"/>
  <c r="B174" i="30"/>
  <c r="AX173" i="30"/>
  <c r="AY173" i="30" s="1"/>
  <c r="AV173" i="30"/>
  <c r="AS173" i="30"/>
  <c r="T173" i="30"/>
  <c r="AB173" i="30" s="1"/>
  <c r="M173" i="30"/>
  <c r="B173" i="30"/>
  <c r="AX172" i="30"/>
  <c r="AY172" i="30" s="1"/>
  <c r="AV172" i="30"/>
  <c r="AS172" i="30"/>
  <c r="T172" i="30"/>
  <c r="AB172" i="30" s="1"/>
  <c r="M172" i="30"/>
  <c r="B172" i="30"/>
  <c r="AX171" i="30"/>
  <c r="AV171" i="30"/>
  <c r="AS171" i="30"/>
  <c r="AD171" i="30"/>
  <c r="T171" i="30"/>
  <c r="AB171" i="30" s="1"/>
  <c r="M171" i="30"/>
  <c r="B171" i="30"/>
  <c r="AX170" i="30"/>
  <c r="AY170" i="30" s="1"/>
  <c r="AV170" i="30"/>
  <c r="AS170" i="30"/>
  <c r="T170" i="30"/>
  <c r="AB170" i="30" s="1"/>
  <c r="B170" i="30"/>
  <c r="AX169" i="30"/>
  <c r="AY169" i="30" s="1"/>
  <c r="AV169" i="30"/>
  <c r="AS169" i="30"/>
  <c r="T169" i="30"/>
  <c r="AB169" i="30" s="1"/>
  <c r="M169" i="30"/>
  <c r="B169" i="30"/>
  <c r="AX168" i="30"/>
  <c r="AY168" i="30" s="1"/>
  <c r="AV168" i="30"/>
  <c r="AS168" i="30"/>
  <c r="T168" i="30"/>
  <c r="M168" i="30"/>
  <c r="G168" i="30"/>
  <c r="B168" i="30"/>
  <c r="AX167" i="30"/>
  <c r="AY167" i="30" s="1"/>
  <c r="AV167" i="30"/>
  <c r="AS167" i="30"/>
  <c r="T167" i="30"/>
  <c r="M167" i="30"/>
  <c r="G167" i="30"/>
  <c r="B167" i="30"/>
  <c r="AX166" i="30"/>
  <c r="AY166" i="30" s="1"/>
  <c r="AV166" i="30"/>
  <c r="AS166" i="30"/>
  <c r="T166" i="30"/>
  <c r="M166" i="30"/>
  <c r="B166" i="30"/>
  <c r="AX165" i="30"/>
  <c r="AY165" i="30" s="1"/>
  <c r="AV165" i="30"/>
  <c r="AS165" i="30"/>
  <c r="T165" i="30"/>
  <c r="M165" i="30"/>
  <c r="B165" i="30"/>
  <c r="AX164" i="30"/>
  <c r="AY164" i="30" s="1"/>
  <c r="AV164" i="30"/>
  <c r="AS164" i="30"/>
  <c r="T164" i="30"/>
  <c r="M164" i="30"/>
  <c r="G164" i="30"/>
  <c r="B164" i="30"/>
  <c r="AX163" i="30"/>
  <c r="AV163" i="30"/>
  <c r="AS163" i="30"/>
  <c r="AD163" i="30"/>
  <c r="T163" i="30"/>
  <c r="AB163" i="30" s="1"/>
  <c r="M163" i="30"/>
  <c r="G163" i="30"/>
  <c r="B163" i="30"/>
  <c r="AX162" i="30"/>
  <c r="AY162" i="30" s="1"/>
  <c r="AV162" i="30"/>
  <c r="AS162" i="30"/>
  <c r="T162" i="30"/>
  <c r="M162" i="30"/>
  <c r="G162" i="30"/>
  <c r="B162" i="30"/>
  <c r="AX161" i="30"/>
  <c r="AY161" i="30" s="1"/>
  <c r="AV161" i="30"/>
  <c r="AS161" i="30"/>
  <c r="T161" i="30"/>
  <c r="AB161" i="30" s="1"/>
  <c r="M161" i="30"/>
  <c r="G161" i="30"/>
  <c r="B161" i="30"/>
  <c r="AX160" i="30"/>
  <c r="AY160" i="30" s="1"/>
  <c r="AV160" i="30"/>
  <c r="AS160" i="30"/>
  <c r="T160" i="30"/>
  <c r="AB160" i="30" s="1"/>
  <c r="B160" i="30"/>
  <c r="AX159" i="30"/>
  <c r="AY159" i="30" s="1"/>
  <c r="AV159" i="30"/>
  <c r="AS159" i="30"/>
  <c r="T159" i="30"/>
  <c r="AB159" i="30" s="1"/>
  <c r="B159" i="30"/>
  <c r="AX158" i="30"/>
  <c r="AY158" i="30" s="1"/>
  <c r="AV158" i="30"/>
  <c r="AS158" i="30"/>
  <c r="T158" i="30"/>
  <c r="AB158" i="30" s="1"/>
  <c r="B158" i="30"/>
  <c r="AX157" i="30"/>
  <c r="AY157" i="30" s="1"/>
  <c r="AV157" i="30"/>
  <c r="AS157" i="30"/>
  <c r="T157" i="30"/>
  <c r="AB157" i="30" s="1"/>
  <c r="B157" i="30"/>
  <c r="AX156" i="30"/>
  <c r="AY156" i="30" s="1"/>
  <c r="AV156" i="30"/>
  <c r="AS156" i="30"/>
  <c r="T156" i="30"/>
  <c r="AB156" i="30" s="1"/>
  <c r="M156" i="30"/>
  <c r="B156" i="30"/>
  <c r="AX155" i="30"/>
  <c r="AY155" i="30" s="1"/>
  <c r="AV155" i="30"/>
  <c r="AS155" i="30"/>
  <c r="T155" i="30"/>
  <c r="M155" i="30"/>
  <c r="B155" i="30"/>
  <c r="AX154" i="30"/>
  <c r="AY154" i="30" s="1"/>
  <c r="AV154" i="30"/>
  <c r="AS154" i="30"/>
  <c r="M154" i="30"/>
  <c r="D154" i="30"/>
  <c r="B154" i="30"/>
  <c r="AX153" i="30"/>
  <c r="AY153" i="30" s="1"/>
  <c r="AV153" i="30"/>
  <c r="AS153" i="30"/>
  <c r="M153" i="30"/>
  <c r="D153" i="30"/>
  <c r="B153" i="30"/>
  <c r="AX152" i="30"/>
  <c r="AV152" i="30"/>
  <c r="AS152" i="30"/>
  <c r="AE152" i="30"/>
  <c r="AD152" i="30"/>
  <c r="X152" i="30"/>
  <c r="W152" i="30"/>
  <c r="V152" i="30"/>
  <c r="U152" i="30"/>
  <c r="M152" i="30"/>
  <c r="D152" i="30"/>
  <c r="T152" i="30" s="1"/>
  <c r="B152" i="30"/>
  <c r="AX151" i="30"/>
  <c r="AY151" i="30" s="1"/>
  <c r="AV151" i="30"/>
  <c r="AS151" i="30"/>
  <c r="T151" i="30"/>
  <c r="AB151" i="30" s="1"/>
  <c r="B151" i="30"/>
  <c r="AX150" i="30"/>
  <c r="AY150" i="30" s="1"/>
  <c r="AV150" i="30"/>
  <c r="AS150" i="30"/>
  <c r="T150" i="30"/>
  <c r="AB150" i="30" s="1"/>
  <c r="M150" i="30"/>
  <c r="B150" i="30"/>
  <c r="AX149" i="30"/>
  <c r="AY149" i="30" s="1"/>
  <c r="AV149" i="30"/>
  <c r="AS149" i="30"/>
  <c r="T149" i="30"/>
  <c r="AB149" i="30" s="1"/>
  <c r="M149" i="30"/>
  <c r="G149" i="30"/>
  <c r="B149" i="30"/>
  <c r="AX148" i="30"/>
  <c r="AY148" i="30" s="1"/>
  <c r="AV148" i="30"/>
  <c r="AS148" i="30"/>
  <c r="T148" i="30"/>
  <c r="AB148" i="30" s="1"/>
  <c r="M148" i="30"/>
  <c r="G148" i="30"/>
  <c r="B148" i="30"/>
  <c r="AX147" i="30"/>
  <c r="AY147" i="30" s="1"/>
  <c r="AV147" i="30"/>
  <c r="AS147" i="30"/>
  <c r="T147" i="30"/>
  <c r="M147" i="30"/>
  <c r="G147" i="30"/>
  <c r="B147" i="30"/>
  <c r="AX146" i="30"/>
  <c r="AY146" i="30" s="1"/>
  <c r="AV146" i="30"/>
  <c r="AS146" i="30"/>
  <c r="T146" i="30"/>
  <c r="M146" i="30"/>
  <c r="G146" i="30"/>
  <c r="B146" i="30"/>
  <c r="AX145" i="30"/>
  <c r="AY145" i="30" s="1"/>
  <c r="AV145" i="30"/>
  <c r="AS145" i="30"/>
  <c r="T145" i="30"/>
  <c r="M145" i="30"/>
  <c r="G145" i="30"/>
  <c r="B145" i="30"/>
  <c r="AX144" i="30"/>
  <c r="AY144" i="30" s="1"/>
  <c r="AV144" i="30"/>
  <c r="AS144" i="30"/>
  <c r="T144" i="30"/>
  <c r="AB144" i="30" s="1"/>
  <c r="B144" i="30"/>
  <c r="AX143" i="30"/>
  <c r="AY143" i="30" s="1"/>
  <c r="AV143" i="30"/>
  <c r="AS143" i="30"/>
  <c r="T143" i="30"/>
  <c r="M143" i="30"/>
  <c r="G143" i="30"/>
  <c r="B143" i="30"/>
  <c r="AX142" i="30"/>
  <c r="AY142" i="30" s="1"/>
  <c r="AV142" i="30"/>
  <c r="AS142" i="30"/>
  <c r="T142" i="30"/>
  <c r="M142" i="30"/>
  <c r="G142" i="30"/>
  <c r="B142" i="30"/>
  <c r="AX141" i="30"/>
  <c r="AY141" i="30" s="1"/>
  <c r="AV141" i="30"/>
  <c r="AS141" i="30"/>
  <c r="T141" i="30"/>
  <c r="AB141" i="30" s="1"/>
  <c r="M141" i="30"/>
  <c r="G141" i="30"/>
  <c r="B141" i="30"/>
  <c r="AX140" i="30"/>
  <c r="AV140" i="30"/>
  <c r="AS140" i="30"/>
  <c r="AE140" i="30"/>
  <c r="T140" i="30"/>
  <c r="B140" i="30"/>
  <c r="AX139" i="30"/>
  <c r="AY139" i="30" s="1"/>
  <c r="AV139" i="30"/>
  <c r="AS139" i="30"/>
  <c r="T139" i="30"/>
  <c r="AB139" i="30" s="1"/>
  <c r="M139" i="30"/>
  <c r="B139" i="30"/>
  <c r="AX138" i="30"/>
  <c r="AY138" i="30" s="1"/>
  <c r="AV138" i="30"/>
  <c r="AS138" i="30"/>
  <c r="T138" i="30"/>
  <c r="AB138" i="30" s="1"/>
  <c r="M138" i="30"/>
  <c r="B138" i="30"/>
  <c r="AX137" i="30"/>
  <c r="AY137" i="30" s="1"/>
  <c r="AV137" i="30"/>
  <c r="AS137" i="30"/>
  <c r="T137" i="30"/>
  <c r="AB137" i="30" s="1"/>
  <c r="M137" i="30"/>
  <c r="B137" i="30"/>
  <c r="AX136" i="30"/>
  <c r="AY136" i="30" s="1"/>
  <c r="AV136" i="30"/>
  <c r="AS136" i="30"/>
  <c r="T136" i="30"/>
  <c r="AB136" i="30" s="1"/>
  <c r="M136" i="30"/>
  <c r="B136" i="30"/>
  <c r="AX135" i="30"/>
  <c r="AY135" i="30" s="1"/>
  <c r="AV135" i="30"/>
  <c r="AS135" i="30"/>
  <c r="T135" i="30"/>
  <c r="AB135" i="30" s="1"/>
  <c r="M135" i="30"/>
  <c r="G135" i="30"/>
  <c r="B135" i="30"/>
  <c r="AX134" i="30"/>
  <c r="AV134" i="30"/>
  <c r="AS134" i="30"/>
  <c r="AF134" i="30"/>
  <c r="T134" i="30"/>
  <c r="AB134" i="30" s="1"/>
  <c r="B134" i="30"/>
  <c r="AX133" i="30"/>
  <c r="AY133" i="30" s="1"/>
  <c r="AV133" i="30"/>
  <c r="AS133" i="30"/>
  <c r="T133" i="30"/>
  <c r="AB133" i="30" s="1"/>
  <c r="B133" i="30"/>
  <c r="AX132" i="30"/>
  <c r="AY132" i="30" s="1"/>
  <c r="AV132" i="30"/>
  <c r="AS132" i="30"/>
  <c r="T132" i="30"/>
  <c r="AB132" i="30" s="1"/>
  <c r="M132" i="30"/>
  <c r="B132" i="30"/>
  <c r="AX131" i="30"/>
  <c r="AY131" i="30" s="1"/>
  <c r="AV131" i="30"/>
  <c r="AS131" i="30"/>
  <c r="T131" i="30"/>
  <c r="B131" i="30"/>
  <c r="AX130" i="30"/>
  <c r="AY130" i="30" s="1"/>
  <c r="AV130" i="30"/>
  <c r="AS130" i="30"/>
  <c r="T130" i="30"/>
  <c r="AB130" i="30" s="1"/>
  <c r="G130" i="30"/>
  <c r="B130" i="30"/>
  <c r="AX129" i="30"/>
  <c r="AY129" i="30" s="1"/>
  <c r="AV129" i="30"/>
  <c r="AS129" i="30"/>
  <c r="T129" i="30"/>
  <c r="AB129" i="30" s="1"/>
  <c r="G129" i="30"/>
  <c r="B129" i="30"/>
  <c r="AX128" i="30"/>
  <c r="AY128" i="30" s="1"/>
  <c r="AV128" i="30"/>
  <c r="AS128" i="30"/>
  <c r="T128" i="30"/>
  <c r="AB128" i="30" s="1"/>
  <c r="B128" i="30"/>
  <c r="AX127" i="30"/>
  <c r="AY127" i="30" s="1"/>
  <c r="AV127" i="30"/>
  <c r="AS127" i="30"/>
  <c r="T127" i="30"/>
  <c r="AB127" i="30" s="1"/>
  <c r="M127" i="30"/>
  <c r="B127" i="30"/>
  <c r="AX126" i="30"/>
  <c r="AY126" i="30" s="1"/>
  <c r="AV126" i="30"/>
  <c r="AS126" i="30"/>
  <c r="T126" i="30"/>
  <c r="B126" i="30"/>
  <c r="AX125" i="30"/>
  <c r="AY125" i="30" s="1"/>
  <c r="AV125" i="30"/>
  <c r="AS125" i="30"/>
  <c r="T125" i="30"/>
  <c r="M125" i="30"/>
  <c r="B125" i="30"/>
  <c r="AX124" i="30"/>
  <c r="AY124" i="30" s="1"/>
  <c r="AV124" i="30"/>
  <c r="AS124" i="30"/>
  <c r="T124" i="30"/>
  <c r="B124" i="30"/>
  <c r="AX123" i="30"/>
  <c r="AY123" i="30" s="1"/>
  <c r="AV123" i="30"/>
  <c r="AS123" i="30"/>
  <c r="T123" i="30"/>
  <c r="B123" i="30"/>
  <c r="AX122" i="30"/>
  <c r="AY122" i="30" s="1"/>
  <c r="AV122" i="30"/>
  <c r="AS122" i="30"/>
  <c r="T122" i="30"/>
  <c r="AB122" i="30" s="1"/>
  <c r="B122" i="30"/>
  <c r="AX121" i="30"/>
  <c r="AY121" i="30" s="1"/>
  <c r="AV121" i="30"/>
  <c r="AS121" i="30"/>
  <c r="T121" i="30"/>
  <c r="G121" i="30"/>
  <c r="B121" i="30"/>
  <c r="AX120" i="30"/>
  <c r="AY120" i="30" s="1"/>
  <c r="AV120" i="30"/>
  <c r="AS120" i="30"/>
  <c r="T120" i="30"/>
  <c r="AB120" i="30" s="1"/>
  <c r="B120" i="30"/>
  <c r="AX119" i="30"/>
  <c r="AY119" i="30" s="1"/>
  <c r="AV119" i="30"/>
  <c r="AS119" i="30"/>
  <c r="T119" i="30"/>
  <c r="AB119" i="30" s="1"/>
  <c r="B119" i="30"/>
  <c r="AX118" i="30"/>
  <c r="AY118" i="30" s="1"/>
  <c r="AV118" i="30"/>
  <c r="AS118" i="30"/>
  <c r="T118" i="30"/>
  <c r="AB118" i="30" s="1"/>
  <c r="B118" i="30"/>
  <c r="AX117" i="30"/>
  <c r="AY117" i="30" s="1"/>
  <c r="AV117" i="30"/>
  <c r="AS117" i="30"/>
  <c r="T117" i="30"/>
  <c r="AB117" i="30" s="1"/>
  <c r="B117" i="30"/>
  <c r="AX116" i="30"/>
  <c r="AY116" i="30" s="1"/>
  <c r="AV116" i="30"/>
  <c r="AS116" i="30"/>
  <c r="T116" i="30"/>
  <c r="G116" i="30"/>
  <c r="B116" i="30"/>
  <c r="AX115" i="30"/>
  <c r="AY115" i="30" s="1"/>
  <c r="AV115" i="30"/>
  <c r="AS115" i="30"/>
  <c r="T115" i="30"/>
  <c r="AB115" i="30" s="1"/>
  <c r="B115" i="30"/>
  <c r="AX114" i="30"/>
  <c r="AY114" i="30" s="1"/>
  <c r="AV114" i="30"/>
  <c r="AS114" i="30"/>
  <c r="T114" i="30"/>
  <c r="B114" i="30"/>
  <c r="AX113" i="30"/>
  <c r="AY113" i="30" s="1"/>
  <c r="AV113" i="30"/>
  <c r="AS113" i="30"/>
  <c r="T113" i="30"/>
  <c r="AB113" i="30" s="1"/>
  <c r="B113" i="30"/>
  <c r="AX112" i="30"/>
  <c r="AV112" i="30"/>
  <c r="AS112" i="30"/>
  <c r="AD112" i="30"/>
  <c r="T112" i="30"/>
  <c r="AB112" i="30" s="1"/>
  <c r="M112" i="30"/>
  <c r="B112" i="30"/>
  <c r="AX111" i="30"/>
  <c r="AY111" i="30" s="1"/>
  <c r="AV111" i="30"/>
  <c r="AS111" i="30"/>
  <c r="T111" i="30"/>
  <c r="M111" i="30"/>
  <c r="B111" i="30"/>
  <c r="AX110" i="30"/>
  <c r="AY110" i="30" s="1"/>
  <c r="AV110" i="30"/>
  <c r="AS110" i="30"/>
  <c r="T110" i="30"/>
  <c r="AB110" i="30" s="1"/>
  <c r="M110" i="30"/>
  <c r="B110" i="30"/>
  <c r="AX109" i="30"/>
  <c r="AY109" i="30" s="1"/>
  <c r="AV109" i="30"/>
  <c r="AS109" i="30"/>
  <c r="T109" i="30"/>
  <c r="M109" i="30"/>
  <c r="B109" i="30"/>
  <c r="AX108" i="30"/>
  <c r="AY108" i="30" s="1"/>
  <c r="AV108" i="30"/>
  <c r="AS108" i="30"/>
  <c r="T108" i="30"/>
  <c r="AB108" i="30" s="1"/>
  <c r="M108" i="30"/>
  <c r="B108" i="30"/>
  <c r="AX107" i="30"/>
  <c r="AY107" i="30" s="1"/>
  <c r="AV107" i="30"/>
  <c r="AS107" i="30"/>
  <c r="T107" i="30"/>
  <c r="AB107" i="30" s="1"/>
  <c r="B107" i="30"/>
  <c r="AX106" i="30"/>
  <c r="AY106" i="30" s="1"/>
  <c r="AV106" i="30"/>
  <c r="AS106" i="30"/>
  <c r="T106" i="30"/>
  <c r="AB106" i="30" s="1"/>
  <c r="B106" i="30"/>
  <c r="AX105" i="30"/>
  <c r="AY105" i="30" s="1"/>
  <c r="AV105" i="30"/>
  <c r="AS105" i="30"/>
  <c r="T105" i="30"/>
  <c r="AB105" i="30" s="1"/>
  <c r="B105" i="30"/>
  <c r="AX104" i="30"/>
  <c r="AY104" i="30" s="1"/>
  <c r="AV104" i="30"/>
  <c r="AS104" i="30"/>
  <c r="T104" i="30"/>
  <c r="AB104" i="30" s="1"/>
  <c r="M104" i="30"/>
  <c r="B104" i="30"/>
  <c r="AX103" i="30"/>
  <c r="AY103" i="30" s="1"/>
  <c r="AV103" i="30"/>
  <c r="AS103" i="30"/>
  <c r="T103" i="30"/>
  <c r="AB103" i="30" s="1"/>
  <c r="M103" i="30"/>
  <c r="B103" i="30"/>
  <c r="AX102" i="30"/>
  <c r="AV102" i="30"/>
  <c r="AS102" i="30"/>
  <c r="AD102" i="30"/>
  <c r="T102" i="30"/>
  <c r="AB102" i="30" s="1"/>
  <c r="M102" i="30"/>
  <c r="B102" i="30"/>
  <c r="AX101" i="30"/>
  <c r="AY101" i="30" s="1"/>
  <c r="AV101" i="30"/>
  <c r="AS101" i="30"/>
  <c r="T101" i="30"/>
  <c r="AB101" i="30" s="1"/>
  <c r="M101" i="30"/>
  <c r="B101" i="30"/>
  <c r="AX100" i="30"/>
  <c r="AY100" i="30" s="1"/>
  <c r="AV100" i="30"/>
  <c r="AS100" i="30"/>
  <c r="T100" i="30"/>
  <c r="AB100" i="30" s="1"/>
  <c r="M100" i="30"/>
  <c r="B100" i="30"/>
  <c r="AX99" i="30"/>
  <c r="AY99" i="30" s="1"/>
  <c r="AV99" i="30"/>
  <c r="AS99" i="30"/>
  <c r="T99" i="30"/>
  <c r="AB99" i="30" s="1"/>
  <c r="M99" i="30"/>
  <c r="B99" i="30"/>
  <c r="AX98" i="30"/>
  <c r="AY98" i="30" s="1"/>
  <c r="AV98" i="30"/>
  <c r="AS98" i="30"/>
  <c r="T98" i="30"/>
  <c r="AB98" i="30" s="1"/>
  <c r="M98" i="30"/>
  <c r="B98" i="30"/>
  <c r="AX97" i="30"/>
  <c r="AY97" i="30" s="1"/>
  <c r="AV97" i="30"/>
  <c r="AS97" i="30"/>
  <c r="T97" i="30"/>
  <c r="AB97" i="30" s="1"/>
  <c r="M97" i="30"/>
  <c r="B97" i="30"/>
  <c r="AX96" i="30"/>
  <c r="AY96" i="30" s="1"/>
  <c r="AV96" i="30"/>
  <c r="AS96" i="30"/>
  <c r="T96" i="30"/>
  <c r="AB96" i="30" s="1"/>
  <c r="M96" i="30"/>
  <c r="B96" i="30"/>
  <c r="AX95" i="30"/>
  <c r="AY95" i="30" s="1"/>
  <c r="AV95" i="30"/>
  <c r="AS95" i="30"/>
  <c r="T95" i="30"/>
  <c r="M95" i="30"/>
  <c r="B95" i="30"/>
  <c r="AX94" i="30"/>
  <c r="AY94" i="30" s="1"/>
  <c r="AV94" i="30"/>
  <c r="AS94" i="30"/>
  <c r="T94" i="30"/>
  <c r="AB94" i="30" s="1"/>
  <c r="M94" i="30"/>
  <c r="B94" i="30"/>
  <c r="AX93" i="30"/>
  <c r="AY93" i="30" s="1"/>
  <c r="AV93" i="30"/>
  <c r="AS93" i="30"/>
  <c r="T93" i="30"/>
  <c r="B93" i="30"/>
  <c r="AX92" i="30"/>
  <c r="AY92" i="30" s="1"/>
  <c r="AV92" i="30"/>
  <c r="AS92" i="30"/>
  <c r="T92" i="30"/>
  <c r="AB92" i="30" s="1"/>
  <c r="B92" i="30"/>
  <c r="AX91" i="30"/>
  <c r="AY91" i="30" s="1"/>
  <c r="AV91" i="30"/>
  <c r="AS91" i="30"/>
  <c r="T91" i="30"/>
  <c r="AB91" i="30" s="1"/>
  <c r="M91" i="30"/>
  <c r="G91" i="30"/>
  <c r="B91" i="30"/>
  <c r="AX90" i="30"/>
  <c r="AY90" i="30" s="1"/>
  <c r="AV90" i="30"/>
  <c r="AS90" i="30"/>
  <c r="T90" i="30"/>
  <c r="AB90" i="30" s="1"/>
  <c r="M90" i="30"/>
  <c r="G90" i="30"/>
  <c r="B90" i="30"/>
  <c r="AX89" i="30"/>
  <c r="AY89" i="30" s="1"/>
  <c r="AV89" i="30"/>
  <c r="AS89" i="30"/>
  <c r="T89" i="30"/>
  <c r="AB89" i="30" s="1"/>
  <c r="M89" i="30"/>
  <c r="B89" i="30"/>
  <c r="AX88" i="30"/>
  <c r="AY88" i="30" s="1"/>
  <c r="AV88" i="30"/>
  <c r="AS88" i="30"/>
  <c r="T88" i="30"/>
  <c r="AB88" i="30" s="1"/>
  <c r="B88" i="30"/>
  <c r="AX87" i="30"/>
  <c r="AY87" i="30" s="1"/>
  <c r="AV87" i="30"/>
  <c r="AS87" i="30"/>
  <c r="T87" i="30"/>
  <c r="B87" i="30"/>
  <c r="AX86" i="30"/>
  <c r="AY86" i="30" s="1"/>
  <c r="AV86" i="30"/>
  <c r="AS86" i="30"/>
  <c r="T86" i="30"/>
  <c r="AB86" i="30" s="1"/>
  <c r="B86" i="30"/>
  <c r="AX85" i="30"/>
  <c r="AV85" i="30"/>
  <c r="AS85" i="30"/>
  <c r="AE85" i="30"/>
  <c r="AD85" i="30"/>
  <c r="T85" i="30"/>
  <c r="AB85" i="30" s="1"/>
  <c r="M85" i="30"/>
  <c r="B85" i="30"/>
  <c r="AX84" i="30"/>
  <c r="AY84" i="30" s="1"/>
  <c r="AV84" i="30"/>
  <c r="AS84" i="30"/>
  <c r="T84" i="30"/>
  <c r="AB84" i="30" s="1"/>
  <c r="M84" i="30"/>
  <c r="B84" i="30"/>
  <c r="AX83" i="30"/>
  <c r="AY83" i="30" s="1"/>
  <c r="AV83" i="30"/>
  <c r="AS83" i="30"/>
  <c r="T83" i="30"/>
  <c r="AB83" i="30" s="1"/>
  <c r="M83" i="30"/>
  <c r="B83" i="30"/>
  <c r="AX82" i="30"/>
  <c r="AY82" i="30" s="1"/>
  <c r="AV82" i="30"/>
  <c r="AS82" i="30"/>
  <c r="T82" i="30"/>
  <c r="AB82" i="30" s="1"/>
  <c r="M82" i="30"/>
  <c r="B82" i="30"/>
  <c r="AX81" i="30"/>
  <c r="AY81" i="30" s="1"/>
  <c r="AV81" i="30"/>
  <c r="AS81" i="30"/>
  <c r="T81" i="30"/>
  <c r="AB81" i="30" s="1"/>
  <c r="M81" i="30"/>
  <c r="B81" i="30"/>
  <c r="AX80" i="30"/>
  <c r="AY80" i="30" s="1"/>
  <c r="AV80" i="30"/>
  <c r="AS80" i="30"/>
  <c r="T80" i="30"/>
  <c r="B80" i="30"/>
  <c r="AX79" i="30"/>
  <c r="AY79" i="30" s="1"/>
  <c r="AV79" i="30"/>
  <c r="AS79" i="30"/>
  <c r="T79" i="30"/>
  <c r="M79" i="30"/>
  <c r="B79" i="30"/>
  <c r="AX78" i="30"/>
  <c r="AY78" i="30" s="1"/>
  <c r="AV78" i="30"/>
  <c r="AS78" i="30"/>
  <c r="T78" i="30"/>
  <c r="G78" i="30"/>
  <c r="B78" i="30"/>
  <c r="AX77" i="30"/>
  <c r="AV77" i="30"/>
  <c r="AS77" i="30"/>
  <c r="AD77" i="30"/>
  <c r="T77" i="30"/>
  <c r="AB77" i="30" s="1"/>
  <c r="B77" i="30"/>
  <c r="AX76" i="30"/>
  <c r="AY76" i="30" s="1"/>
  <c r="AV76" i="30"/>
  <c r="AS76" i="30"/>
  <c r="T76" i="30"/>
  <c r="B76" i="30"/>
  <c r="AX75" i="30"/>
  <c r="AY75" i="30" s="1"/>
  <c r="AV75" i="30"/>
  <c r="AS75" i="30"/>
  <c r="T75" i="30"/>
  <c r="AB75" i="30" s="1"/>
  <c r="B75" i="30"/>
  <c r="AX74" i="30"/>
  <c r="AY74" i="30" s="1"/>
  <c r="AV74" i="30"/>
  <c r="AS74" i="30"/>
  <c r="T74" i="30"/>
  <c r="AB74" i="30" s="1"/>
  <c r="B74" i="30"/>
  <c r="AX73" i="30"/>
  <c r="AV73" i="30"/>
  <c r="AS73" i="30"/>
  <c r="AD73" i="30"/>
  <c r="T73" i="30"/>
  <c r="B73" i="30"/>
  <c r="AX72" i="30"/>
  <c r="AY72" i="30" s="1"/>
  <c r="AV72" i="30"/>
  <c r="AS72" i="30"/>
  <c r="T72" i="30"/>
  <c r="AB72" i="30" s="1"/>
  <c r="B72" i="30"/>
  <c r="AX71" i="30"/>
  <c r="AY71" i="30" s="1"/>
  <c r="AV71" i="30"/>
  <c r="AS71" i="30"/>
  <c r="T71" i="30"/>
  <c r="B71" i="30"/>
  <c r="AX70" i="30"/>
  <c r="AY70" i="30" s="1"/>
  <c r="AV70" i="30"/>
  <c r="AS70" i="30"/>
  <c r="T70" i="30"/>
  <c r="M70" i="30"/>
  <c r="B70" i="30"/>
  <c r="AX69" i="30"/>
  <c r="AY69" i="30" s="1"/>
  <c r="AV69" i="30"/>
  <c r="AS69" i="30"/>
  <c r="T69" i="30"/>
  <c r="AB69" i="30" s="1"/>
  <c r="B69" i="30"/>
  <c r="AX68" i="30"/>
  <c r="AY68" i="30" s="1"/>
  <c r="AV68" i="30"/>
  <c r="AS68" i="30"/>
  <c r="AK68" i="30"/>
  <c r="AJ68" i="30"/>
  <c r="T68" i="30"/>
  <c r="B68" i="30"/>
  <c r="AX67" i="30"/>
  <c r="AY67" i="30" s="1"/>
  <c r="AV67" i="30"/>
  <c r="AS67" i="30"/>
  <c r="T67" i="30"/>
  <c r="AB67" i="30" s="1"/>
  <c r="G67" i="30"/>
  <c r="B67" i="30"/>
  <c r="AX66" i="30"/>
  <c r="AY66" i="30" s="1"/>
  <c r="AV66" i="30"/>
  <c r="AS66" i="30"/>
  <c r="T66" i="30"/>
  <c r="AB66" i="30" s="1"/>
  <c r="B66" i="30"/>
  <c r="AX65" i="30"/>
  <c r="AY65" i="30" s="1"/>
  <c r="AV65" i="30"/>
  <c r="AS65" i="30"/>
  <c r="AK65" i="30"/>
  <c r="AW65" i="30" s="1"/>
  <c r="AJ65" i="30"/>
  <c r="T65" i="30"/>
  <c r="B65" i="30"/>
  <c r="AX64" i="30"/>
  <c r="AY64" i="30" s="1"/>
  <c r="AV64" i="30"/>
  <c r="AS64" i="30"/>
  <c r="AK64" i="30"/>
  <c r="AW64" i="30" s="1"/>
  <c r="AJ64" i="30"/>
  <c r="T64" i="30"/>
  <c r="B64" i="30"/>
  <c r="AX63" i="30"/>
  <c r="AY63" i="30" s="1"/>
  <c r="AV63" i="30"/>
  <c r="AS63" i="30"/>
  <c r="AK63" i="30"/>
  <c r="AW63" i="30" s="1"/>
  <c r="AJ63" i="30"/>
  <c r="T63" i="30"/>
  <c r="B63" i="30"/>
  <c r="AX62" i="30"/>
  <c r="AY62" i="30" s="1"/>
  <c r="AV62" i="30"/>
  <c r="AS62" i="30"/>
  <c r="T62" i="30"/>
  <c r="AB62" i="30" s="1"/>
  <c r="G62" i="30"/>
  <c r="B62" i="30"/>
  <c r="AX61" i="30"/>
  <c r="AY61" i="30" s="1"/>
  <c r="AV61" i="30"/>
  <c r="AS61" i="30"/>
  <c r="T61" i="30"/>
  <c r="B61" i="30"/>
  <c r="AX60" i="30"/>
  <c r="AY60" i="30" s="1"/>
  <c r="AV60" i="30"/>
  <c r="AS60" i="30"/>
  <c r="T60" i="30"/>
  <c r="AB60" i="30" s="1"/>
  <c r="B60" i="30"/>
  <c r="AX59" i="30"/>
  <c r="AY59" i="30" s="1"/>
  <c r="AV59" i="30"/>
  <c r="AS59" i="30"/>
  <c r="T59" i="30"/>
  <c r="AB59" i="30" s="1"/>
  <c r="B59" i="30"/>
  <c r="AX58" i="30"/>
  <c r="AY58" i="30" s="1"/>
  <c r="AV58" i="30"/>
  <c r="AS58" i="30"/>
  <c r="T58" i="30"/>
  <c r="AB58" i="30" s="1"/>
  <c r="B58" i="30"/>
  <c r="AX57" i="30"/>
  <c r="AY57" i="30" s="1"/>
  <c r="AV57" i="30"/>
  <c r="AS57" i="30"/>
  <c r="T57" i="30"/>
  <c r="AB57" i="30" s="1"/>
  <c r="B57" i="30"/>
  <c r="AX56" i="30"/>
  <c r="AY56" i="30" s="1"/>
  <c r="AV56" i="30"/>
  <c r="AS56" i="30"/>
  <c r="T56" i="30"/>
  <c r="AB56" i="30" s="1"/>
  <c r="B56" i="30"/>
  <c r="AX55" i="30"/>
  <c r="AY55" i="30" s="1"/>
  <c r="AV55" i="30"/>
  <c r="AS55" i="30"/>
  <c r="T55" i="30"/>
  <c r="AB55" i="30" s="1"/>
  <c r="B55" i="30"/>
  <c r="AX54" i="30"/>
  <c r="AY54" i="30" s="1"/>
  <c r="AV54" i="30"/>
  <c r="AS54" i="30"/>
  <c r="T54" i="30"/>
  <c r="AB54" i="30" s="1"/>
  <c r="B54" i="30"/>
  <c r="AX53" i="30"/>
  <c r="AY53" i="30" s="1"/>
  <c r="AV53" i="30"/>
  <c r="AS53" i="30"/>
  <c r="T53" i="30"/>
  <c r="AB53" i="30" s="1"/>
  <c r="B53" i="30"/>
  <c r="AX52" i="30"/>
  <c r="AY52" i="30" s="1"/>
  <c r="AV52" i="30"/>
  <c r="AS52" i="30"/>
  <c r="T52" i="30"/>
  <c r="AB52" i="30" s="1"/>
  <c r="B52" i="30"/>
  <c r="AX51" i="30"/>
  <c r="AY51" i="30" s="1"/>
  <c r="AV51" i="30"/>
  <c r="AS51" i="30"/>
  <c r="T51" i="30"/>
  <c r="AB51" i="30" s="1"/>
  <c r="B51" i="30"/>
  <c r="AX50" i="30"/>
  <c r="AY50" i="30" s="1"/>
  <c r="AV50" i="30"/>
  <c r="AS50" i="30"/>
  <c r="T50" i="30"/>
  <c r="AB50" i="30" s="1"/>
  <c r="B50" i="30"/>
  <c r="AX49" i="30"/>
  <c r="AY49" i="30" s="1"/>
  <c r="AV49" i="30"/>
  <c r="AS49" i="30"/>
  <c r="T49" i="30"/>
  <c r="AB49" i="30" s="1"/>
  <c r="B49" i="30"/>
  <c r="AX48" i="30"/>
  <c r="AY48" i="30" s="1"/>
  <c r="AV48" i="30"/>
  <c r="AS48" i="30"/>
  <c r="T48" i="30"/>
  <c r="AB48" i="30" s="1"/>
  <c r="B48" i="30"/>
  <c r="AX47" i="30"/>
  <c r="AY47" i="30" s="1"/>
  <c r="AV47" i="30"/>
  <c r="AS47" i="30"/>
  <c r="T47" i="30"/>
  <c r="AB47" i="30" s="1"/>
  <c r="B47" i="30"/>
  <c r="AX46" i="30"/>
  <c r="AY46" i="30" s="1"/>
  <c r="AV46" i="30"/>
  <c r="AS46" i="30"/>
  <c r="T46" i="30"/>
  <c r="AB46" i="30" s="1"/>
  <c r="B46" i="30"/>
  <c r="AX45" i="30"/>
  <c r="AY45" i="30" s="1"/>
  <c r="AV45" i="30"/>
  <c r="AS45" i="30"/>
  <c r="T45" i="30"/>
  <c r="AB45" i="30" s="1"/>
  <c r="B45" i="30"/>
  <c r="AX44" i="30"/>
  <c r="AY44" i="30" s="1"/>
  <c r="AV44" i="30"/>
  <c r="AS44" i="30"/>
  <c r="T44" i="30"/>
  <c r="AB44" i="30" s="1"/>
  <c r="B44" i="30"/>
  <c r="AX43" i="30"/>
  <c r="AY43" i="30" s="1"/>
  <c r="AV43" i="30"/>
  <c r="AS43" i="30"/>
  <c r="T43" i="30"/>
  <c r="AB43" i="30" s="1"/>
  <c r="B43" i="30"/>
  <c r="AX42" i="30"/>
  <c r="AY42" i="30" s="1"/>
  <c r="AV42" i="30"/>
  <c r="AS42" i="30"/>
  <c r="T42" i="30"/>
  <c r="AB42" i="30" s="1"/>
  <c r="B42" i="30"/>
  <c r="AX41" i="30"/>
  <c r="AY41" i="30" s="1"/>
  <c r="AV41" i="30"/>
  <c r="AS41" i="30"/>
  <c r="T41" i="30"/>
  <c r="AB41" i="30" s="1"/>
  <c r="B41" i="30"/>
  <c r="AX40" i="30"/>
  <c r="AY40" i="30" s="1"/>
  <c r="AV40" i="30"/>
  <c r="AS40" i="30"/>
  <c r="T40" i="30"/>
  <c r="AB40" i="30" s="1"/>
  <c r="B40" i="30"/>
  <c r="AX39" i="30"/>
  <c r="AY39" i="30" s="1"/>
  <c r="AV39" i="30"/>
  <c r="AS39" i="30"/>
  <c r="T39" i="30"/>
  <c r="AB39" i="30" s="1"/>
  <c r="B39" i="30"/>
  <c r="AX38" i="30"/>
  <c r="AY38" i="30" s="1"/>
  <c r="AV38" i="30"/>
  <c r="AS38" i="30"/>
  <c r="T38" i="30"/>
  <c r="AB38" i="30" s="1"/>
  <c r="B38" i="30"/>
  <c r="AX37" i="30"/>
  <c r="AY37" i="30" s="1"/>
  <c r="AV37" i="30"/>
  <c r="AS37" i="30"/>
  <c r="T37" i="30"/>
  <c r="AB37" i="30" s="1"/>
  <c r="B37" i="30"/>
  <c r="AX36" i="30"/>
  <c r="AY36" i="30" s="1"/>
  <c r="AV36" i="30"/>
  <c r="AS36" i="30"/>
  <c r="T36" i="30"/>
  <c r="AB36" i="30" s="1"/>
  <c r="B36" i="30"/>
  <c r="AX35" i="30"/>
  <c r="AY35" i="30" s="1"/>
  <c r="AV35" i="30"/>
  <c r="AS35" i="30"/>
  <c r="T35" i="30"/>
  <c r="AB35" i="30" s="1"/>
  <c r="B35" i="30"/>
  <c r="AX34" i="30"/>
  <c r="AY34" i="30" s="1"/>
  <c r="AV34" i="30"/>
  <c r="AS34" i="30"/>
  <c r="T34" i="30"/>
  <c r="AB34" i="30" s="1"/>
  <c r="B34" i="30"/>
  <c r="AX33" i="30"/>
  <c r="AY33" i="30" s="1"/>
  <c r="AV33" i="30"/>
  <c r="AS33" i="30"/>
  <c r="T33" i="30"/>
  <c r="B33" i="30"/>
  <c r="AX32" i="30"/>
  <c r="AY32" i="30" s="1"/>
  <c r="AV32" i="30"/>
  <c r="AS32" i="30"/>
  <c r="T32" i="30"/>
  <c r="B32" i="30"/>
  <c r="AX31" i="30"/>
  <c r="AY31" i="30" s="1"/>
  <c r="AV31" i="30"/>
  <c r="AS31" i="30"/>
  <c r="AK31" i="30"/>
  <c r="AW31" i="30" s="1"/>
  <c r="AJ31" i="30"/>
  <c r="T31" i="30"/>
  <c r="B31" i="30"/>
  <c r="AX30" i="30"/>
  <c r="AY30" i="30" s="1"/>
  <c r="AV30" i="30"/>
  <c r="AS30" i="30"/>
  <c r="T30" i="30"/>
  <c r="B30" i="30"/>
  <c r="AX29" i="30"/>
  <c r="AY29" i="30" s="1"/>
  <c r="AV29" i="30"/>
  <c r="AS29" i="30"/>
  <c r="T29" i="30"/>
  <c r="B29" i="30"/>
  <c r="AX28" i="30"/>
  <c r="AY28" i="30" s="1"/>
  <c r="AV28" i="30"/>
  <c r="AS28" i="30"/>
  <c r="T28" i="30"/>
  <c r="B28" i="30"/>
  <c r="AX27" i="30"/>
  <c r="AY27" i="30" s="1"/>
  <c r="AV27" i="30"/>
  <c r="AS27" i="30"/>
  <c r="T27" i="30"/>
  <c r="B27" i="30"/>
  <c r="AX26" i="30"/>
  <c r="AY26" i="30" s="1"/>
  <c r="AV26" i="30"/>
  <c r="AS26" i="30"/>
  <c r="T26" i="30"/>
  <c r="B26" i="30"/>
  <c r="AX25" i="30"/>
  <c r="AY25" i="30" s="1"/>
  <c r="AV25" i="30"/>
  <c r="AS25" i="30"/>
  <c r="T25" i="30"/>
  <c r="B25" i="30"/>
  <c r="AX24" i="30"/>
  <c r="AY24" i="30" s="1"/>
  <c r="AV24" i="30"/>
  <c r="AS24" i="30"/>
  <c r="T24" i="30"/>
  <c r="B24" i="30"/>
  <c r="AX23" i="30"/>
  <c r="AY23" i="30" s="1"/>
  <c r="AV23" i="30"/>
  <c r="AS23" i="30"/>
  <c r="T23" i="30"/>
  <c r="B23" i="30"/>
  <c r="AX22" i="30"/>
  <c r="AY22" i="30" s="1"/>
  <c r="AV22" i="30"/>
  <c r="AS22" i="30"/>
  <c r="T22" i="30"/>
  <c r="B22" i="30"/>
  <c r="AX21" i="30"/>
  <c r="AY21" i="30" s="1"/>
  <c r="AV21" i="30"/>
  <c r="AS21" i="30"/>
  <c r="T21" i="30"/>
  <c r="B21" i="30"/>
  <c r="AX20" i="30"/>
  <c r="AY20" i="30" s="1"/>
  <c r="AV20" i="30"/>
  <c r="AS20" i="30"/>
  <c r="T20" i="30"/>
  <c r="B20" i="30"/>
  <c r="AX19" i="30"/>
  <c r="AY19" i="30" s="1"/>
  <c r="AV19" i="30"/>
  <c r="AS19" i="30"/>
  <c r="T19" i="30"/>
  <c r="B19" i="30"/>
  <c r="AX18" i="30"/>
  <c r="AY18" i="30" s="1"/>
  <c r="AV18" i="30"/>
  <c r="AS18" i="30"/>
  <c r="T18" i="30"/>
  <c r="B18" i="30"/>
  <c r="AX17" i="30"/>
  <c r="AY17" i="30" s="1"/>
  <c r="AV17" i="30"/>
  <c r="AS17" i="30"/>
  <c r="T17" i="30"/>
  <c r="B17" i="30"/>
  <c r="AX16" i="30"/>
  <c r="AY16" i="30" s="1"/>
  <c r="AV16" i="30"/>
  <c r="AS16" i="30"/>
  <c r="T16" i="30"/>
  <c r="B16" i="30"/>
  <c r="AX15" i="30"/>
  <c r="AY15" i="30" s="1"/>
  <c r="AV15" i="30"/>
  <c r="AS15" i="30"/>
  <c r="T15" i="30"/>
  <c r="B15" i="30"/>
  <c r="AX14" i="30"/>
  <c r="AY14" i="30" s="1"/>
  <c r="AV14" i="30"/>
  <c r="AS14" i="30"/>
  <c r="T14" i="30"/>
  <c r="B14" i="30"/>
  <c r="AX13" i="30"/>
  <c r="AY13" i="30" s="1"/>
  <c r="AV13" i="30"/>
  <c r="AS13" i="30"/>
  <c r="T13" i="30"/>
  <c r="B13" i="30"/>
  <c r="AX12" i="30"/>
  <c r="AY12" i="30" s="1"/>
  <c r="AV12" i="30"/>
  <c r="AS12" i="30"/>
  <c r="T12" i="30"/>
  <c r="B12" i="30"/>
  <c r="AX11" i="30"/>
  <c r="AY11" i="30" s="1"/>
  <c r="AV11" i="30"/>
  <c r="AS11" i="30"/>
  <c r="T11" i="30"/>
  <c r="B11" i="30"/>
  <c r="AX10" i="30"/>
  <c r="AY10" i="30" s="1"/>
  <c r="AV10" i="30"/>
  <c r="AS10" i="30"/>
  <c r="T10" i="30"/>
  <c r="B10" i="30"/>
  <c r="AX9" i="30"/>
  <c r="AY9" i="30" s="1"/>
  <c r="AV9" i="30"/>
  <c r="AS9" i="30"/>
  <c r="T9" i="30"/>
  <c r="B9" i="30"/>
  <c r="AX8" i="30"/>
  <c r="AY8" i="30" s="1"/>
  <c r="AV8" i="30"/>
  <c r="AS8" i="30"/>
  <c r="T8" i="30"/>
  <c r="B8" i="30"/>
  <c r="AX7" i="30"/>
  <c r="AY7" i="30" s="1"/>
  <c r="AV7" i="30"/>
  <c r="AS7" i="30"/>
  <c r="T7" i="30"/>
  <c r="B7" i="30"/>
  <c r="AX6" i="30"/>
  <c r="AY6" i="30" s="1"/>
  <c r="AV6" i="30"/>
  <c r="AS6" i="30"/>
  <c r="T6" i="30"/>
  <c r="B6" i="30"/>
  <c r="AX5" i="30"/>
  <c r="AY5" i="30" s="1"/>
  <c r="AV5" i="30"/>
  <c r="AS5" i="30"/>
  <c r="T5" i="30"/>
  <c r="B5" i="30"/>
  <c r="BE4" i="30"/>
  <c r="AX4" i="30"/>
  <c r="AY4" i="30" s="1"/>
  <c r="AV4" i="30"/>
  <c r="AS4" i="30"/>
  <c r="T4" i="30"/>
  <c r="AB4" i="30" s="1"/>
  <c r="B4" i="30"/>
  <c r="AX3" i="30"/>
  <c r="AY3" i="30" s="1"/>
  <c r="AV3" i="30"/>
  <c r="AS3" i="30"/>
  <c r="T3" i="30"/>
  <c r="B3" i="30"/>
  <c r="F202" i="1"/>
  <c r="AI284" i="30" l="1"/>
  <c r="AI210" i="30"/>
  <c r="AI314" i="30"/>
  <c r="AI248" i="30"/>
  <c r="AI264" i="30"/>
  <c r="AI296" i="30"/>
  <c r="AI351" i="30"/>
  <c r="AI246" i="30"/>
  <c r="AI278" i="30"/>
  <c r="AI234" i="30"/>
  <c r="AI336" i="30"/>
  <c r="AI357" i="30"/>
  <c r="AI257" i="30"/>
  <c r="AI329" i="30"/>
  <c r="AI347" i="30"/>
  <c r="AI276" i="30"/>
  <c r="AI294" i="30"/>
  <c r="AI312" i="30"/>
  <c r="AI330" i="30"/>
  <c r="AI348" i="30"/>
  <c r="AI366" i="30"/>
  <c r="AI343" i="30"/>
  <c r="AI31" i="30"/>
  <c r="AI251" i="30"/>
  <c r="AI269" i="30"/>
  <c r="AI287" i="30"/>
  <c r="AI254" i="30"/>
  <c r="AI272" i="30"/>
  <c r="AI290" i="30"/>
  <c r="AI308" i="30"/>
  <c r="AI306" i="30"/>
  <c r="AI324" i="30"/>
  <c r="AI342" i="30"/>
  <c r="AI215" i="30"/>
  <c r="AI233" i="30"/>
  <c r="AI265" i="30"/>
  <c r="AI283" i="30"/>
  <c r="AI319" i="30"/>
  <c r="AI337" i="30"/>
  <c r="AI373" i="30"/>
  <c r="AI350" i="30"/>
  <c r="AI368" i="30"/>
  <c r="AI241" i="30"/>
  <c r="AI255" i="30"/>
  <c r="AI291" i="30"/>
  <c r="AI309" i="30"/>
  <c r="AI327" i="30"/>
  <c r="AI345" i="30"/>
  <c r="AI268" i="30"/>
  <c r="AI304" i="30"/>
  <c r="AI322" i="30"/>
  <c r="AI340" i="30"/>
  <c r="AI358" i="30"/>
  <c r="AI231" i="30"/>
  <c r="AI263" i="30"/>
  <c r="AI299" i="30"/>
  <c r="AI317" i="30"/>
  <c r="AI335" i="30"/>
  <c r="AI353" i="30"/>
  <c r="AI371" i="30"/>
  <c r="AI221" i="30"/>
  <c r="AI253" i="30"/>
  <c r="AI271" i="30"/>
  <c r="AI289" i="30"/>
  <c r="AI307" i="30"/>
  <c r="AI320" i="30"/>
  <c r="AI338" i="30"/>
  <c r="AI261" i="30"/>
  <c r="AI315" i="30"/>
  <c r="AI333" i="30"/>
  <c r="AI369" i="30"/>
  <c r="AI256" i="30"/>
  <c r="AI274" i="30"/>
  <c r="AI292" i="30"/>
  <c r="AI328" i="30"/>
  <c r="AI346" i="30"/>
  <c r="AI237" i="30"/>
  <c r="AI323" i="30"/>
  <c r="AI341" i="30"/>
  <c r="AI372" i="30"/>
  <c r="AI295" i="30"/>
  <c r="AI313" i="30"/>
  <c r="AI331" i="30"/>
  <c r="AI349" i="30"/>
  <c r="AI367" i="30"/>
  <c r="AI240" i="30"/>
  <c r="AI326" i="30"/>
  <c r="AI344" i="30"/>
  <c r="AI362" i="30"/>
  <c r="AI217" i="30"/>
  <c r="AI235" i="30"/>
  <c r="AI285" i="30"/>
  <c r="AI303" i="30"/>
  <c r="AI280" i="30"/>
  <c r="AI298" i="30"/>
  <c r="AI316" i="30"/>
  <c r="AI334" i="30"/>
  <c r="AI352" i="30"/>
  <c r="AI370" i="30"/>
  <c r="AB63" i="30"/>
  <c r="AL63" i="30" s="1"/>
  <c r="AI63" i="30"/>
  <c r="AB64" i="30"/>
  <c r="AL64" i="30" s="1"/>
  <c r="AI64" i="30"/>
  <c r="AB65" i="30"/>
  <c r="AL65" i="30" s="1"/>
  <c r="AI65" i="30"/>
  <c r="AB68" i="30"/>
  <c r="AL68" i="30" s="1"/>
  <c r="AI68" i="30"/>
  <c r="H207" i="30"/>
  <c r="AI207" i="30"/>
  <c r="AB208" i="30"/>
  <c r="AL208" i="30" s="1"/>
  <c r="AI208" i="30"/>
  <c r="AB209" i="30"/>
  <c r="AL209" i="30" s="1"/>
  <c r="AI209" i="30"/>
  <c r="AB211" i="30"/>
  <c r="AL211" i="30" s="1"/>
  <c r="AI211" i="30"/>
  <c r="AB212" i="30"/>
  <c r="AL212" i="30" s="1"/>
  <c r="AI212" i="30"/>
  <c r="AB213" i="30"/>
  <c r="AL213" i="30" s="1"/>
  <c r="AI213" i="30"/>
  <c r="AB214" i="30"/>
  <c r="AL214" i="30" s="1"/>
  <c r="AI214" i="30"/>
  <c r="AB216" i="30"/>
  <c r="AL216" i="30" s="1"/>
  <c r="AI216" i="30"/>
  <c r="AB218" i="30"/>
  <c r="AL218" i="30" s="1"/>
  <c r="AI218" i="30"/>
  <c r="AB219" i="30"/>
  <c r="AL219" i="30" s="1"/>
  <c r="AI219" i="30"/>
  <c r="AB220" i="30"/>
  <c r="AL220" i="30" s="1"/>
  <c r="AI220" i="30"/>
  <c r="AB222" i="30"/>
  <c r="AL222" i="30" s="1"/>
  <c r="AI222" i="30"/>
  <c r="AB223" i="30"/>
  <c r="AL223" i="30" s="1"/>
  <c r="AI223" i="30"/>
  <c r="AB224" i="30"/>
  <c r="AL224" i="30" s="1"/>
  <c r="AI224" i="30"/>
  <c r="AB225" i="30"/>
  <c r="AL225" i="30" s="1"/>
  <c r="AI225" i="30"/>
  <c r="AB226" i="30"/>
  <c r="AL226" i="30" s="1"/>
  <c r="AI226" i="30"/>
  <c r="AB227" i="30"/>
  <c r="AL227" i="30" s="1"/>
  <c r="AI227" i="30"/>
  <c r="AB228" i="30"/>
  <c r="AL228" i="30" s="1"/>
  <c r="AI228" i="30"/>
  <c r="AB229" i="30"/>
  <c r="AL229" i="30" s="1"/>
  <c r="AI229" i="30"/>
  <c r="AB230" i="30"/>
  <c r="AL230" i="30" s="1"/>
  <c r="AI230" i="30"/>
  <c r="AB232" i="30"/>
  <c r="AL232" i="30" s="1"/>
  <c r="AI232" i="30"/>
  <c r="AB236" i="30"/>
  <c r="AL236" i="30" s="1"/>
  <c r="AI236" i="30"/>
  <c r="AB238" i="30"/>
  <c r="AL238" i="30" s="1"/>
  <c r="AI238" i="30"/>
  <c r="AB239" i="30"/>
  <c r="AL239" i="30" s="1"/>
  <c r="AI239" i="30"/>
  <c r="AB247" i="30"/>
  <c r="AL247" i="30" s="1"/>
  <c r="AI247" i="30"/>
  <c r="AB249" i="30"/>
  <c r="AL249" i="30" s="1"/>
  <c r="AI249" i="30"/>
  <c r="AB250" i="30"/>
  <c r="AL250" i="30" s="1"/>
  <c r="AI250" i="30"/>
  <c r="AB252" i="30"/>
  <c r="AL252" i="30" s="1"/>
  <c r="AI252" i="30"/>
  <c r="AB258" i="30"/>
  <c r="AL258" i="30" s="1"/>
  <c r="AI258" i="30"/>
  <c r="AB260" i="30"/>
  <c r="AL260" i="30" s="1"/>
  <c r="AI260" i="30"/>
  <c r="AB262" i="30"/>
  <c r="AL262" i="30" s="1"/>
  <c r="AI262" i="30"/>
  <c r="AB266" i="30"/>
  <c r="AL266" i="30" s="1"/>
  <c r="AI266" i="30"/>
  <c r="AB267" i="30"/>
  <c r="AL267" i="30" s="1"/>
  <c r="AI267" i="30"/>
  <c r="AB270" i="30"/>
  <c r="AL270" i="30" s="1"/>
  <c r="AI270" i="30"/>
  <c r="AB273" i="30"/>
  <c r="AL273" i="30" s="1"/>
  <c r="AI273" i="30"/>
  <c r="AB275" i="30"/>
  <c r="AL275" i="30" s="1"/>
  <c r="AI275" i="30"/>
  <c r="AB277" i="30"/>
  <c r="AL277" i="30" s="1"/>
  <c r="AI277" i="30"/>
  <c r="AB279" i="30"/>
  <c r="AL279" i="30" s="1"/>
  <c r="AI279" i="30"/>
  <c r="AB281" i="30"/>
  <c r="AL281" i="30" s="1"/>
  <c r="AI281" i="30"/>
  <c r="AB282" i="30"/>
  <c r="AL282" i="30" s="1"/>
  <c r="AI282" i="30"/>
  <c r="AB286" i="30"/>
  <c r="AL286" i="30" s="1"/>
  <c r="AI286" i="30"/>
  <c r="AB288" i="30"/>
  <c r="AL288" i="30" s="1"/>
  <c r="AI288" i="30"/>
  <c r="AB293" i="30"/>
  <c r="AL293" i="30" s="1"/>
  <c r="AI293" i="30"/>
  <c r="AB297" i="30"/>
  <c r="AL297" i="30" s="1"/>
  <c r="AI297" i="30"/>
  <c r="AB300" i="30"/>
  <c r="AL300" i="30" s="1"/>
  <c r="AI300" i="30"/>
  <c r="AB301" i="30"/>
  <c r="AL301" i="30" s="1"/>
  <c r="AI301" i="30"/>
  <c r="AB305" i="30"/>
  <c r="AL305" i="30" s="1"/>
  <c r="AI305" i="30"/>
  <c r="AB310" i="30"/>
  <c r="AL310" i="30" s="1"/>
  <c r="AI310" i="30"/>
  <c r="AB311" i="30"/>
  <c r="AL311" i="30" s="1"/>
  <c r="AI311" i="30"/>
  <c r="AB321" i="30"/>
  <c r="AL321" i="30" s="1"/>
  <c r="AI321" i="30"/>
  <c r="AB325" i="30"/>
  <c r="AL325" i="30" s="1"/>
  <c r="AI325" i="30"/>
  <c r="AB339" i="30"/>
  <c r="AL339" i="30" s="1"/>
  <c r="AI339" i="30"/>
  <c r="AB354" i="30"/>
  <c r="AL354" i="30" s="1"/>
  <c r="AI354" i="30"/>
  <c r="AB355" i="30"/>
  <c r="AL355" i="30" s="1"/>
  <c r="AI355" i="30"/>
  <c r="AB356" i="30"/>
  <c r="AL356" i="30" s="1"/>
  <c r="AI356" i="30"/>
  <c r="AB359" i="30"/>
  <c r="AL359" i="30" s="1"/>
  <c r="AI359" i="30"/>
  <c r="AB360" i="30"/>
  <c r="AL360" i="30" s="1"/>
  <c r="AI360" i="30"/>
  <c r="AB361" i="30"/>
  <c r="AL361" i="30" s="1"/>
  <c r="AI361" i="30"/>
  <c r="AB363" i="30"/>
  <c r="AL363" i="30" s="1"/>
  <c r="AI363" i="30"/>
  <c r="AB364" i="30"/>
  <c r="AL364" i="30" s="1"/>
  <c r="AI364" i="30"/>
  <c r="AB365" i="30"/>
  <c r="AL365" i="30" s="1"/>
  <c r="AI365" i="30"/>
  <c r="G1" i="30"/>
  <c r="I207" i="30"/>
  <c r="AB330" i="30"/>
  <c r="AL330" i="30" s="1"/>
  <c r="AY134" i="30"/>
  <c r="AY140" i="30"/>
  <c r="AY171" i="30"/>
  <c r="AY175" i="30"/>
  <c r="AB257" i="30"/>
  <c r="AL257" i="30" s="1"/>
  <c r="AY152" i="30"/>
  <c r="AB231" i="30"/>
  <c r="AL231" i="30" s="1"/>
  <c r="AY73" i="30"/>
  <c r="AB221" i="30"/>
  <c r="AL221" i="30" s="1"/>
  <c r="AB326" i="30"/>
  <c r="AL326" i="30" s="1"/>
  <c r="AB347" i="30"/>
  <c r="AL347" i="30" s="1"/>
  <c r="AY184" i="30"/>
  <c r="AW229" i="30"/>
  <c r="AB233" i="30"/>
  <c r="AL233" i="30" s="1"/>
  <c r="AB241" i="30"/>
  <c r="AL241" i="30" s="1"/>
  <c r="AB243" i="30"/>
  <c r="AB278" i="30"/>
  <c r="AL278" i="30" s="1"/>
  <c r="AB215" i="30"/>
  <c r="AL215" i="30" s="1"/>
  <c r="AB251" i="30"/>
  <c r="AL251" i="30" s="1"/>
  <c r="AB255" i="30"/>
  <c r="AL255" i="30" s="1"/>
  <c r="AB299" i="30"/>
  <c r="AL299" i="30" s="1"/>
  <c r="AB323" i="30"/>
  <c r="AL323" i="30" s="1"/>
  <c r="AB259" i="30"/>
  <c r="AL259" i="30" s="1"/>
  <c r="AB314" i="30"/>
  <c r="AL314" i="30" s="1"/>
  <c r="AB217" i="30"/>
  <c r="AL217" i="30" s="1"/>
  <c r="AB263" i="30"/>
  <c r="AL263" i="30" s="1"/>
  <c r="AB207" i="30"/>
  <c r="AL207" i="30" s="1"/>
  <c r="AB265" i="30"/>
  <c r="AL265" i="30" s="1"/>
  <c r="AB292" i="30"/>
  <c r="AL292" i="30" s="1"/>
  <c r="AB318" i="30"/>
  <c r="AL318" i="30" s="1"/>
  <c r="AB327" i="30"/>
  <c r="AL327" i="30" s="1"/>
  <c r="AY77" i="30"/>
  <c r="AB320" i="30"/>
  <c r="AL320" i="30" s="1"/>
  <c r="AB335" i="30"/>
  <c r="AL335" i="30" s="1"/>
  <c r="AY85" i="30"/>
  <c r="AB343" i="30"/>
  <c r="AL343" i="30" s="1"/>
  <c r="AB79" i="30"/>
  <c r="AB76" i="30"/>
  <c r="AB121" i="30"/>
  <c r="AB123" i="30"/>
  <c r="AB125" i="30"/>
  <c r="AB131" i="30"/>
  <c r="AB3" i="30"/>
  <c r="AB5" i="30"/>
  <c r="AB6" i="30"/>
  <c r="AB7" i="30"/>
  <c r="AB8" i="30"/>
  <c r="AB9" i="30"/>
  <c r="AB10" i="30"/>
  <c r="AB11" i="30"/>
  <c r="AB12" i="30"/>
  <c r="AB13" i="30"/>
  <c r="AB14" i="30"/>
  <c r="AB15" i="30"/>
  <c r="AB16" i="30"/>
  <c r="AB17" i="30"/>
  <c r="AB18" i="30"/>
  <c r="AB19" i="30"/>
  <c r="AB20" i="30"/>
  <c r="AB21" i="30"/>
  <c r="AB22" i="30"/>
  <c r="AB23" i="30"/>
  <c r="AB24" i="30"/>
  <c r="AB25" i="30"/>
  <c r="AB26" i="30"/>
  <c r="AB27" i="30"/>
  <c r="AB28" i="30"/>
  <c r="AB29" i="30"/>
  <c r="AB30" i="30"/>
  <c r="AB31" i="30"/>
  <c r="AL31" i="30" s="1"/>
  <c r="AB32" i="30"/>
  <c r="AB33" i="30"/>
  <c r="AW68" i="30"/>
  <c r="AB93" i="30"/>
  <c r="AB95" i="30"/>
  <c r="AB87" i="30"/>
  <c r="AB143" i="30"/>
  <c r="AB71" i="30"/>
  <c r="AB111" i="30"/>
  <c r="AB61" i="30"/>
  <c r="AB296" i="30"/>
  <c r="AL296" i="30" s="1"/>
  <c r="AB80" i="30"/>
  <c r="AY102" i="30"/>
  <c r="AB116" i="30"/>
  <c r="AB78" i="30"/>
  <c r="AB114" i="30"/>
  <c r="AB126" i="30"/>
  <c r="AB70" i="30"/>
  <c r="AB73" i="30"/>
  <c r="T154" i="30"/>
  <c r="AB195" i="30"/>
  <c r="AY112" i="30"/>
  <c r="AB124" i="30"/>
  <c r="AB164" i="30"/>
  <c r="AB142" i="30"/>
  <c r="AY163" i="30"/>
  <c r="AB109" i="30"/>
  <c r="AB146" i="30"/>
  <c r="AB165" i="30"/>
  <c r="AB162" i="30"/>
  <c r="AB200" i="30"/>
  <c r="AB206" i="30"/>
  <c r="AB246" i="30"/>
  <c r="AL246" i="30" s="1"/>
  <c r="AB145" i="30"/>
  <c r="AB280" i="30"/>
  <c r="AL280" i="30" s="1"/>
  <c r="AB152" i="30"/>
  <c r="AB210" i="30"/>
  <c r="AL210" i="30" s="1"/>
  <c r="AB178" i="30"/>
  <c r="AB204" i="30"/>
  <c r="AB254" i="30"/>
  <c r="AL254" i="30" s="1"/>
  <c r="AB285" i="30"/>
  <c r="AL285" i="30" s="1"/>
  <c r="AB179" i="30"/>
  <c r="AB180" i="30"/>
  <c r="AB181" i="30"/>
  <c r="AB182" i="30"/>
  <c r="AB188" i="30"/>
  <c r="AB189" i="30"/>
  <c r="AW210" i="30"/>
  <c r="AB338" i="30"/>
  <c r="AL338" i="30" s="1"/>
  <c r="AB317" i="30"/>
  <c r="AL317" i="30" s="1"/>
  <c r="T153" i="30"/>
  <c r="S1" i="30" s="1"/>
  <c r="AB166" i="30"/>
  <c r="AB324" i="30"/>
  <c r="AL324" i="30" s="1"/>
  <c r="AB291" i="30"/>
  <c r="AL291" i="30" s="1"/>
  <c r="AB147" i="30"/>
  <c r="AB167" i="30"/>
  <c r="AB235" i="30"/>
  <c r="AL235" i="30" s="1"/>
  <c r="AB319" i="30"/>
  <c r="AL319" i="30" s="1"/>
  <c r="AB194" i="30"/>
  <c r="AB155" i="30"/>
  <c r="AB168" i="30"/>
  <c r="AB205" i="30"/>
  <c r="AB312" i="30"/>
  <c r="AL312" i="30" s="1"/>
  <c r="AB140" i="30"/>
  <c r="AB269" i="30"/>
  <c r="AL269" i="30" s="1"/>
  <c r="AB295" i="30"/>
  <c r="AL295" i="30" s="1"/>
  <c r="AB349" i="30"/>
  <c r="AL349" i="30" s="1"/>
  <c r="AB351" i="30"/>
  <c r="AL351" i="30" s="1"/>
  <c r="AB271" i="30"/>
  <c r="AL271" i="30" s="1"/>
  <c r="AB302" i="30"/>
  <c r="AL302" i="30" s="1"/>
  <c r="AB303" i="30"/>
  <c r="AL303" i="30" s="1"/>
  <c r="AB309" i="30"/>
  <c r="AL309" i="30" s="1"/>
  <c r="AB240" i="30"/>
  <c r="AL240" i="30" s="1"/>
  <c r="AB248" i="30"/>
  <c r="AL248" i="30" s="1"/>
  <c r="AB256" i="30"/>
  <c r="AL256" i="30" s="1"/>
  <c r="AB264" i="30"/>
  <c r="AL264" i="30" s="1"/>
  <c r="AB276" i="30"/>
  <c r="AL276" i="30" s="1"/>
  <c r="AB287" i="30"/>
  <c r="AL287" i="30" s="1"/>
  <c r="AB334" i="30"/>
  <c r="AL334" i="30" s="1"/>
  <c r="AB345" i="30"/>
  <c r="AL345" i="30" s="1"/>
  <c r="AB367" i="30"/>
  <c r="AL367" i="30" s="1"/>
  <c r="AB237" i="30"/>
  <c r="AL237" i="30" s="1"/>
  <c r="AB245" i="30"/>
  <c r="AB253" i="30"/>
  <c r="AL253" i="30" s="1"/>
  <c r="AB261" i="30"/>
  <c r="AL261" i="30" s="1"/>
  <c r="AB274" i="30"/>
  <c r="AL274" i="30" s="1"/>
  <c r="AB298" i="30"/>
  <c r="AL298" i="30" s="1"/>
  <c r="AB308" i="30"/>
  <c r="AL308" i="30" s="1"/>
  <c r="AB342" i="30"/>
  <c r="AL342" i="30" s="1"/>
  <c r="AB331" i="30"/>
  <c r="AL331" i="30" s="1"/>
  <c r="AB333" i="30"/>
  <c r="AL333" i="30" s="1"/>
  <c r="AB244" i="30"/>
  <c r="AB268" i="30"/>
  <c r="AL268" i="30" s="1"/>
  <c r="AB284" i="30"/>
  <c r="AL284" i="30" s="1"/>
  <c r="AB290" i="30"/>
  <c r="AL290" i="30" s="1"/>
  <c r="AB362" i="30"/>
  <c r="AL362" i="30" s="1"/>
  <c r="AB304" i="30"/>
  <c r="AL304" i="30" s="1"/>
  <c r="AB313" i="30"/>
  <c r="AL313" i="30" s="1"/>
  <c r="AB346" i="30"/>
  <c r="AL346" i="30" s="1"/>
  <c r="AB294" i="30"/>
  <c r="AL294" i="30" s="1"/>
  <c r="AB307" i="30"/>
  <c r="AL307" i="30" s="1"/>
  <c r="AB328" i="30"/>
  <c r="AL328" i="30" s="1"/>
  <c r="AB337" i="30"/>
  <c r="AL337" i="30" s="1"/>
  <c r="AB283" i="30"/>
  <c r="AL283" i="30" s="1"/>
  <c r="AB289" i="30"/>
  <c r="AL289" i="30" s="1"/>
  <c r="AB234" i="30"/>
  <c r="AL234" i="30" s="1"/>
  <c r="AB242" i="30"/>
  <c r="AB272" i="30"/>
  <c r="AL272" i="30" s="1"/>
  <c r="AB315" i="30"/>
  <c r="AL315" i="30" s="1"/>
  <c r="AB350" i="30"/>
  <c r="AL350" i="30" s="1"/>
  <c r="AB341" i="30"/>
  <c r="AL341" i="30" s="1"/>
  <c r="AB366" i="30"/>
  <c r="AL366" i="30" s="1"/>
  <c r="AB306" i="30"/>
  <c r="AL306" i="30" s="1"/>
  <c r="AB322" i="30"/>
  <c r="AL322" i="30" s="1"/>
  <c r="AB352" i="30"/>
  <c r="AL352" i="30" s="1"/>
  <c r="AB368" i="30"/>
  <c r="AL368" i="30" s="1"/>
  <c r="AB371" i="30"/>
  <c r="AL371" i="30" s="1"/>
  <c r="AB316" i="30"/>
  <c r="AL316" i="30" s="1"/>
  <c r="AB332" i="30"/>
  <c r="AL332" i="30" s="1"/>
  <c r="AB336" i="30"/>
  <c r="AL336" i="30" s="1"/>
  <c r="AB340" i="30"/>
  <c r="AL340" i="30" s="1"/>
  <c r="AB344" i="30"/>
  <c r="AL344" i="30" s="1"/>
  <c r="AB348" i="30"/>
  <c r="AL348" i="30" s="1"/>
  <c r="AB358" i="30"/>
  <c r="AL358" i="30" s="1"/>
  <c r="AB370" i="30"/>
  <c r="AL370" i="30" s="1"/>
  <c r="AB357" i="30"/>
  <c r="AL357" i="30" s="1"/>
  <c r="AB373" i="30"/>
  <c r="AL373" i="30" s="1"/>
  <c r="AB329" i="30"/>
  <c r="AL329" i="30" s="1"/>
  <c r="AB353" i="30"/>
  <c r="AL353" i="30" s="1"/>
  <c r="AB369" i="30"/>
  <c r="AL369" i="30" s="1"/>
  <c r="AB372" i="30"/>
  <c r="AL372" i="30" s="1"/>
  <c r="L206" i="1"/>
  <c r="L205" i="1"/>
  <c r="L204" i="1"/>
  <c r="F205" i="1"/>
  <c r="L203" i="1"/>
  <c r="L202" i="1"/>
  <c r="L201" i="1"/>
  <c r="E343" i="30" a="1"/>
  <c r="E249" i="30" a="1"/>
  <c r="E176" i="30" a="1"/>
  <c r="E16" i="30" a="1"/>
  <c r="E28" i="30" a="1"/>
  <c r="E27" i="30" a="1"/>
  <c r="E90" i="30" a="1"/>
  <c r="E288" i="30" a="1"/>
  <c r="E361" i="30" a="1"/>
  <c r="E362" i="30" a="1"/>
  <c r="E102" i="30" a="1"/>
  <c r="E62" i="30" a="1"/>
  <c r="E245" i="30" a="1"/>
  <c r="E54" i="30" a="1"/>
  <c r="E203" i="30" a="1"/>
  <c r="E82" i="30" a="1"/>
  <c r="E8" i="30" a="1"/>
  <c r="E328" i="30" a="1"/>
  <c r="E71" i="30" a="1"/>
  <c r="E186" i="30" a="1"/>
  <c r="E220" i="30" a="1"/>
  <c r="E312" i="30" a="1"/>
  <c r="E311" i="30" a="1"/>
  <c r="E21" i="30" a="1"/>
  <c r="E273" i="30" a="1"/>
  <c r="E291" i="30" a="1"/>
  <c r="E72" i="30" a="1"/>
  <c r="E175" i="30" a="1"/>
  <c r="E50" i="30" a="1"/>
  <c r="E256" i="30" a="1"/>
  <c r="E58" i="30" a="1"/>
  <c r="E292" i="30" a="1"/>
  <c r="E13" i="30" a="1"/>
  <c r="E370" i="30" a="1"/>
  <c r="E202" i="30" a="1"/>
  <c r="E223" i="30" a="1"/>
  <c r="E190" i="30" a="1"/>
  <c r="D202" i="1" a="1"/>
  <c r="E18" i="30" a="1"/>
  <c r="E200" i="30" a="1"/>
  <c r="E170" i="30" a="1"/>
  <c r="E106" i="30" a="1"/>
  <c r="E33" i="30" a="1"/>
  <c r="E103" i="30" a="1"/>
  <c r="E324" i="30" a="1"/>
  <c r="E331" i="30" a="1"/>
  <c r="E81" i="30" a="1"/>
  <c r="E217" i="30" a="1"/>
  <c r="E151" i="30" a="1"/>
  <c r="E99" i="30" a="1"/>
  <c r="E67" i="30" a="1"/>
  <c r="E198" i="30" a="1"/>
  <c r="E317" i="30" a="1"/>
  <c r="E56" i="30" a="1"/>
  <c r="E295" i="30" a="1"/>
  <c r="E63" i="30" a="1"/>
  <c r="E258" i="30" a="1"/>
  <c r="E281" i="30" a="1"/>
  <c r="E38" i="30" a="1"/>
  <c r="E347" i="30" a="1"/>
  <c r="E354" i="30" a="1"/>
  <c r="E113" i="30" a="1"/>
  <c r="E83" i="30" a="1"/>
  <c r="E9" i="30" a="1"/>
  <c r="E157" i="30" a="1"/>
  <c r="E191" i="30" a="1"/>
  <c r="E111" i="30" a="1"/>
  <c r="E109" i="30" a="1"/>
  <c r="E303" i="30" a="1"/>
  <c r="E135" i="30" a="1"/>
  <c r="E264" i="30" a="1"/>
  <c r="E259" i="30" a="1"/>
  <c r="E166" i="30" a="1"/>
  <c r="E266" i="30" a="1"/>
  <c r="E286" i="30" a="1"/>
  <c r="E3" i="30" a="1"/>
  <c r="E122" i="30" a="1"/>
  <c r="E369" i="30" a="1"/>
  <c r="E372" i="30" a="1"/>
  <c r="E87" i="30" a="1"/>
  <c r="E360" i="30" a="1"/>
  <c r="E230" i="30" a="1"/>
  <c r="E20" i="30" a="1"/>
  <c r="E189" i="30" a="1"/>
  <c r="E12" i="30" a="1"/>
  <c r="E251" i="30" a="1"/>
  <c r="E280" i="30" a="1"/>
  <c r="E348" i="30" a="1"/>
  <c r="E69" i="30" a="1"/>
  <c r="E60" i="30" a="1"/>
  <c r="E117" i="30" a="1"/>
  <c r="E224" i="30" a="1"/>
  <c r="E26" i="30" a="1"/>
  <c r="E179" i="30" a="1"/>
  <c r="E182" i="30" a="1"/>
  <c r="E132" i="30" a="1"/>
  <c r="E356" i="30" a="1"/>
  <c r="E290" i="30" a="1"/>
  <c r="E34" i="30" a="1"/>
  <c r="E177" i="30" a="1"/>
  <c r="E73" i="30" a="1"/>
  <c r="E7" i="30" a="1"/>
  <c r="E24" i="30" a="1"/>
  <c r="E367" i="30" a="1"/>
  <c r="E100" i="30" a="1"/>
  <c r="E340" i="30" a="1"/>
  <c r="E368" i="30" a="1"/>
  <c r="E39" i="30" a="1"/>
  <c r="E222" i="30" a="1"/>
  <c r="E115" i="30" a="1"/>
  <c r="E164" i="30" a="1"/>
  <c r="E349" i="30" a="1"/>
  <c r="E167" i="30" a="1"/>
  <c r="E326" i="30" a="1"/>
  <c r="E120" i="30" a="1"/>
  <c r="E329" i="30" a="1"/>
  <c r="E237" i="30" a="1"/>
  <c r="E92" i="30" a="1"/>
  <c r="E133" i="30" a="1"/>
  <c r="E31" i="30" a="1"/>
  <c r="E195" i="30" a="1"/>
  <c r="E338" i="30" a="1"/>
  <c r="E315" i="30" a="1"/>
  <c r="D213" i="1" a="1"/>
  <c r="E341" i="30" a="1"/>
  <c r="E213" i="30" a="1"/>
  <c r="E53" i="30" a="1"/>
  <c r="E257" i="30" a="1"/>
  <c r="E35" i="30" a="1"/>
  <c r="E188" i="30" a="1"/>
  <c r="E300" i="30" a="1"/>
  <c r="E231" i="30" a="1"/>
  <c r="E346" i="30" a="1"/>
  <c r="E45" i="30" a="1"/>
  <c r="E22" i="30" a="1"/>
  <c r="E313" i="30" a="1"/>
  <c r="E363" i="30" a="1"/>
  <c r="E244" i="30" a="1"/>
  <c r="E277" i="30" a="1"/>
  <c r="E214" i="30" a="1"/>
  <c r="E309" i="30" a="1"/>
  <c r="E193" i="30" a="1"/>
  <c r="E353" i="30" a="1"/>
  <c r="E270" i="30" a="1"/>
  <c r="E158" i="30" a="1"/>
  <c r="E77" i="30" a="1"/>
  <c r="E44" i="30" a="1"/>
  <c r="E282" i="30" a="1"/>
  <c r="E74" i="30" a="1"/>
  <c r="E194" i="30" a="1"/>
  <c r="E206" i="30" a="1"/>
  <c r="E358" i="30" a="1"/>
  <c r="E276" i="30" a="1"/>
  <c r="E234" i="30" a="1"/>
  <c r="E149" i="30" a="1"/>
  <c r="E268" i="30" a="1"/>
  <c r="E91" i="30" a="1"/>
  <c r="E298" i="30" a="1"/>
  <c r="E124" i="30" a="1"/>
  <c r="E336" i="30" a="1"/>
  <c r="E254" i="30" a="1"/>
  <c r="E228" i="30" a="1"/>
  <c r="E154" i="30" a="1"/>
  <c r="E235" i="30" a="1"/>
  <c r="E350" i="30" a="1"/>
  <c r="E17" i="30" a="1"/>
  <c r="E172" i="30" a="1"/>
  <c r="E306" i="30" a="1"/>
  <c r="E196" i="30" a="1"/>
  <c r="E118" i="30" a="1"/>
  <c r="E339" i="30" a="1"/>
  <c r="E181" i="30" a="1"/>
  <c r="E271" i="30" a="1"/>
  <c r="E246" i="30" a="1"/>
  <c r="D206" i="1" a="1"/>
  <c r="E252" i="30" a="1"/>
  <c r="E197" i="30" a="1"/>
  <c r="E43" i="30" a="1"/>
  <c r="E250" i="30" a="1"/>
  <c r="E66" i="30" a="1"/>
  <c r="E185" i="30" a="1"/>
  <c r="E51" i="30" a="1"/>
  <c r="E287" i="30" a="1"/>
  <c r="E219" i="30" a="1"/>
  <c r="E345" i="30" a="1"/>
  <c r="E160" i="30" a="1"/>
  <c r="E108" i="30" a="1"/>
  <c r="E30" i="30" a="1"/>
  <c r="E215" i="30" a="1"/>
  <c r="E294" i="30" a="1"/>
  <c r="E114" i="30" a="1"/>
  <c r="E148" i="30" a="1"/>
  <c r="E55" i="30" a="1"/>
  <c r="E93" i="30" a="1"/>
  <c r="E146" i="30" a="1"/>
  <c r="E5" i="30" a="1"/>
  <c r="E138" i="30" a="1"/>
  <c r="E152" i="30" a="1"/>
  <c r="E310" i="30" a="1"/>
  <c r="E127" i="30" a="1"/>
  <c r="E76" i="30" a="1"/>
  <c r="E226" i="30" a="1"/>
  <c r="E137" i="30" a="1"/>
  <c r="E70" i="30" a="1"/>
  <c r="E247" i="30" a="1"/>
  <c r="E47" i="30" a="1"/>
  <c r="E284" i="30" a="1"/>
  <c r="E351" i="30" a="1"/>
  <c r="E101" i="30" a="1"/>
  <c r="E316" i="30" a="1"/>
  <c r="E327" i="30" a="1"/>
  <c r="E308" i="30" a="1"/>
  <c r="E169" i="30" a="1"/>
  <c r="E119" i="30" a="1"/>
  <c r="E65" i="30" a="1"/>
  <c r="D215" i="1" a="1"/>
  <c r="E40" i="30" a="1"/>
  <c r="E97" i="30" a="1"/>
  <c r="E285" i="30" a="1"/>
  <c r="E238" i="30" a="1"/>
  <c r="E318" i="30" a="1"/>
  <c r="E141" i="30" a="1"/>
  <c r="E302" i="30" a="1"/>
  <c r="E227" i="30" a="1"/>
  <c r="E104" i="30" a="1"/>
  <c r="E110" i="30" a="1"/>
  <c r="E107" i="30" a="1"/>
  <c r="E36" i="30" a="1"/>
  <c r="E265" i="30" a="1"/>
  <c r="E155" i="30" a="1"/>
  <c r="E325" i="30" a="1"/>
  <c r="E19" i="30" a="1"/>
  <c r="E232" i="30" a="1"/>
  <c r="E162" i="30" a="1"/>
  <c r="E187" i="30" a="1"/>
  <c r="E267" i="30" a="1"/>
  <c r="E332" i="30" a="1"/>
  <c r="E126" i="30" a="1"/>
  <c r="E334" i="30" a="1"/>
  <c r="E201" i="30" a="1"/>
  <c r="E112" i="30" a="1"/>
  <c r="E144" i="30" a="1"/>
  <c r="E278" i="30" a="1"/>
  <c r="E131" i="30" a="1"/>
  <c r="E321" i="30" a="1"/>
  <c r="E32" i="30" a="1"/>
  <c r="E25" i="30" a="1"/>
  <c r="E355" i="30" a="1"/>
  <c r="E173" i="30" a="1"/>
  <c r="E140" i="30" a="1"/>
  <c r="E75" i="30" a="1"/>
  <c r="E304" i="30" a="1"/>
  <c r="E262" i="30" a="1"/>
  <c r="E263" i="30" a="1"/>
  <c r="E323" i="30" a="1"/>
  <c r="E156" i="30" a="1"/>
  <c r="E243" i="30" a="1"/>
  <c r="E269" i="30" a="1"/>
  <c r="E14" i="30" a="1"/>
  <c r="E23" i="30" a="1"/>
  <c r="E371" i="30" a="1"/>
  <c r="E180" i="30" a="1"/>
  <c r="E344" i="30" a="1"/>
  <c r="E121" i="30" a="1"/>
  <c r="E357" i="30" a="1"/>
  <c r="E6" i="30" a="1"/>
  <c r="E129" i="30" a="1"/>
  <c r="E221" i="30" a="1"/>
  <c r="E178" i="30" a="1"/>
  <c r="E84" i="30" a="1"/>
  <c r="E105" i="30" a="1"/>
  <c r="E301" i="30" a="1"/>
  <c r="E41" i="30" a="1"/>
  <c r="E94" i="30" a="1"/>
  <c r="E293" i="30" a="1"/>
  <c r="E145" i="30" a="1"/>
  <c r="E78" i="30" a="1"/>
  <c r="E335" i="30" a="1"/>
  <c r="E299" i="30" a="1"/>
  <c r="D203" i="1" a="1"/>
  <c r="E88" i="30" a="1"/>
  <c r="E275" i="30" a="1"/>
  <c r="E373" i="30" a="1"/>
  <c r="E366" i="30" a="1"/>
  <c r="E130" i="30" a="1"/>
  <c r="E283" i="30" a="1"/>
  <c r="E49" i="30" a="1"/>
  <c r="E199" i="30" a="1"/>
  <c r="E352" i="30" a="1"/>
  <c r="E136" i="30" a="1"/>
  <c r="E134" i="30" a="1"/>
  <c r="E314" i="30" a="1"/>
  <c r="D205" i="1" a="1"/>
  <c r="E165" i="30" a="1"/>
  <c r="E128" i="30" a="1"/>
  <c r="E57" i="30" a="1"/>
  <c r="E139" i="30" a="1"/>
  <c r="E59" i="30" a="1"/>
  <c r="E319" i="30" a="1"/>
  <c r="E42" i="30" a="1"/>
  <c r="E174" i="30" a="1"/>
  <c r="E52" i="30" a="1"/>
  <c r="E29" i="30" a="1"/>
  <c r="E11" i="30" a="1"/>
  <c r="E171" i="30" a="1"/>
  <c r="E330" i="30" a="1"/>
  <c r="E192" i="30" a="1"/>
  <c r="E272" i="30" a="1"/>
  <c r="E150" i="30" a="1"/>
  <c r="E98" i="30" a="1"/>
  <c r="E80" i="30" a="1"/>
  <c r="E79" i="30" a="1"/>
  <c r="E183" i="30" a="1"/>
  <c r="E163" i="30" a="1"/>
  <c r="E168" i="30" a="1"/>
  <c r="E253" i="30" a="1"/>
  <c r="E359" i="30" a="1"/>
  <c r="E116" i="30" a="1"/>
  <c r="E10" i="30" a="1"/>
  <c r="E333" i="30" a="1"/>
  <c r="E241" i="30" a="1"/>
  <c r="E142" i="30" a="1"/>
  <c r="E205" i="30" a="1"/>
  <c r="E184" i="30" a="1"/>
  <c r="E239" i="30" a="1"/>
  <c r="E260" i="30" a="1"/>
  <c r="E85" i="30" a="1"/>
  <c r="E89" i="30" a="1"/>
  <c r="E125" i="30" a="1"/>
  <c r="E161" i="30" a="1"/>
  <c r="E37" i="30" a="1"/>
  <c r="E305" i="30" a="1"/>
  <c r="E123" i="30" a="1"/>
  <c r="D204" i="1" a="1"/>
  <c r="E255" i="30" a="1"/>
  <c r="E143" i="30" a="1"/>
  <c r="E64" i="30" a="1"/>
  <c r="E307" i="30" a="1"/>
  <c r="E261" i="30" a="1"/>
  <c r="E48" i="30" a="1"/>
  <c r="E296" i="30" a="1"/>
  <c r="E147" i="30" a="1"/>
  <c r="E225" i="30" a="1"/>
  <c r="E289" i="30" a="1"/>
  <c r="E236" i="30" a="1"/>
  <c r="E240" i="30" a="1"/>
  <c r="E229" i="30" a="1"/>
  <c r="E337" i="30" a="1"/>
  <c r="E153" i="30" a="1"/>
  <c r="E15" i="30" a="1"/>
  <c r="E342" i="30" a="1"/>
  <c r="E4" i="30" a="1"/>
  <c r="E61" i="30" a="1"/>
  <c r="E95" i="30" a="1"/>
  <c r="E248" i="30" a="1"/>
  <c r="E96" i="30" a="1"/>
  <c r="E364" i="30" a="1"/>
  <c r="E216" i="30" a="1"/>
  <c r="E204" i="30" a="1"/>
  <c r="E218" i="30" a="1"/>
  <c r="E365" i="30" a="1"/>
  <c r="E86" i="30" a="1"/>
  <c r="E46" i="30" a="1"/>
  <c r="E159" i="30" a="1"/>
  <c r="E279" i="30" a="1"/>
  <c r="E322" i="30" a="1"/>
  <c r="E320" i="30" a="1"/>
  <c r="E297" i="30" a="1"/>
  <c r="D201" i="1" a="1"/>
  <c r="E274" i="30" a="1"/>
  <c r="E313" i="30" l="1"/>
  <c r="H313" i="30" s="1"/>
  <c r="E223" i="30"/>
  <c r="I223" i="30" s="1"/>
  <c r="E277" i="30"/>
  <c r="H277" i="30" s="1"/>
  <c r="E267" i="30"/>
  <c r="I267" i="30" s="1"/>
  <c r="E11" i="30"/>
  <c r="I11" i="30" s="1"/>
  <c r="E280" i="30"/>
  <c r="H280" i="30" s="1"/>
  <c r="E289" i="30"/>
  <c r="I289" i="30" s="1"/>
  <c r="E365" i="30"/>
  <c r="I365" i="30" s="1"/>
  <c r="E345" i="30"/>
  <c r="I345" i="30" s="1"/>
  <c r="E333" i="30"/>
  <c r="I333" i="30" s="1"/>
  <c r="E176" i="30"/>
  <c r="AK176" i="30" s="1"/>
  <c r="AL176" i="30" s="1"/>
  <c r="E126" i="30"/>
  <c r="H126" i="30" s="1"/>
  <c r="E42" i="30"/>
  <c r="I42" i="30" s="1"/>
  <c r="E306" i="30"/>
  <c r="H306" i="30" s="1"/>
  <c r="E234" i="30"/>
  <c r="I234" i="30" s="1"/>
  <c r="E253" i="30"/>
  <c r="H253" i="30" s="1"/>
  <c r="E92" i="30"/>
  <c r="I92" i="30" s="1"/>
  <c r="E73" i="30"/>
  <c r="I73" i="30" s="1"/>
  <c r="E168" i="30"/>
  <c r="H168" i="30" s="1"/>
  <c r="E235" i="30"/>
  <c r="I235" i="30" s="1"/>
  <c r="E164" i="30"/>
  <c r="H164" i="30" s="1"/>
  <c r="E14" i="30"/>
  <c r="AK14" i="30" s="1"/>
  <c r="E44" i="30"/>
  <c r="I44" i="30" s="1"/>
  <c r="E16" i="30"/>
  <c r="AK16" i="30" s="1"/>
  <c r="E278" i="30"/>
  <c r="H278" i="30" s="1"/>
  <c r="E122" i="30"/>
  <c r="H122" i="30" s="1"/>
  <c r="E228" i="30"/>
  <c r="I228" i="30" s="1"/>
  <c r="E111" i="30"/>
  <c r="H111" i="30" s="1"/>
  <c r="E197" i="30"/>
  <c r="AK197" i="30" s="1"/>
  <c r="AW197" i="30" s="1"/>
  <c r="E99" i="30"/>
  <c r="I99" i="30" s="1"/>
  <c r="E355" i="30"/>
  <c r="I355" i="30" s="1"/>
  <c r="E141" i="30"/>
  <c r="I141" i="30" s="1"/>
  <c r="E103" i="30"/>
  <c r="I103" i="30" s="1"/>
  <c r="E91" i="30"/>
  <c r="I91" i="30" s="1"/>
  <c r="E64" i="30"/>
  <c r="I64" i="30" s="1"/>
  <c r="E132" i="30"/>
  <c r="H132" i="30" s="1"/>
  <c r="E262" i="30"/>
  <c r="I262" i="30" s="1"/>
  <c r="E318" i="30"/>
  <c r="H318" i="30" s="1"/>
  <c r="E150" i="30"/>
  <c r="AK150" i="30" s="1"/>
  <c r="E161" i="30"/>
  <c r="AJ161" i="30" s="1"/>
  <c r="E226" i="30"/>
  <c r="I226" i="30" s="1"/>
  <c r="E349" i="30"/>
  <c r="H349" i="30" s="1"/>
  <c r="E163" i="30"/>
  <c r="AJ163" i="30" s="1"/>
  <c r="E47" i="30"/>
  <c r="H47" i="30" s="1"/>
  <c r="E162" i="30"/>
  <c r="H162" i="30" s="1"/>
  <c r="E362" i="30"/>
  <c r="H362" i="30" s="1"/>
  <c r="E266" i="30"/>
  <c r="H266" i="30" s="1"/>
  <c r="E237" i="30"/>
  <c r="I237" i="30" s="1"/>
  <c r="E45" i="30"/>
  <c r="AJ45" i="30" s="1"/>
  <c r="E71" i="30"/>
  <c r="I71" i="30" s="1"/>
  <c r="E284" i="30"/>
  <c r="H284" i="30" s="1"/>
  <c r="E186" i="30"/>
  <c r="H186" i="30" s="1"/>
  <c r="E329" i="30"/>
  <c r="I329" i="30" s="1"/>
  <c r="E57" i="30"/>
  <c r="I57" i="30" s="1"/>
  <c r="E148" i="30"/>
  <c r="AJ148" i="30" s="1"/>
  <c r="E279" i="30"/>
  <c r="I279" i="30" s="1"/>
  <c r="E131" i="30"/>
  <c r="H131" i="30" s="1"/>
  <c r="E230" i="30"/>
  <c r="I230" i="30" s="1"/>
  <c r="E272" i="30"/>
  <c r="I272" i="30" s="1"/>
  <c r="E170" i="30"/>
  <c r="AK170" i="30" s="1"/>
  <c r="E334" i="30"/>
  <c r="I334" i="30" s="1"/>
  <c r="E282" i="30"/>
  <c r="H282" i="30" s="1"/>
  <c r="E247" i="30"/>
  <c r="I247" i="30" s="1"/>
  <c r="E31" i="30"/>
  <c r="H31" i="30" s="1"/>
  <c r="E174" i="30"/>
  <c r="AJ174" i="30" s="1"/>
  <c r="E287" i="30"/>
  <c r="I287" i="30" s="1"/>
  <c r="E84" i="30"/>
  <c r="H84" i="30" s="1"/>
  <c r="E192" i="30"/>
  <c r="AK192" i="30" s="1"/>
  <c r="AW192" i="30" s="1"/>
  <c r="E357" i="30"/>
  <c r="H357" i="30" s="1"/>
  <c r="E185" i="30"/>
  <c r="I185" i="30" s="1"/>
  <c r="E156" i="30"/>
  <c r="AJ156" i="30" s="1"/>
  <c r="E338" i="30"/>
  <c r="I338" i="30" s="1"/>
  <c r="E95" i="30"/>
  <c r="AK95" i="30" s="1"/>
  <c r="AL95" i="30" s="1"/>
  <c r="E290" i="30"/>
  <c r="I290" i="30" s="1"/>
  <c r="E255" i="30"/>
  <c r="I255" i="30" s="1"/>
  <c r="E283" i="30"/>
  <c r="I283" i="30" s="1"/>
  <c r="E335" i="30"/>
  <c r="I335" i="30" s="1"/>
  <c r="E147" i="30"/>
  <c r="AK147" i="30" s="1"/>
  <c r="AL147" i="30" s="1"/>
  <c r="E256" i="30"/>
  <c r="I256" i="30" s="1"/>
  <c r="E361" i="30"/>
  <c r="I361" i="30" s="1"/>
  <c r="E27" i="30"/>
  <c r="I27" i="30" s="1"/>
  <c r="E224" i="30"/>
  <c r="I224" i="30" s="1"/>
  <c r="E330" i="30"/>
  <c r="I330" i="30" s="1"/>
  <c r="E245" i="30"/>
  <c r="I245" i="30" s="1"/>
  <c r="E229" i="30"/>
  <c r="I229" i="30" s="1"/>
  <c r="E198" i="30"/>
  <c r="AJ198" i="30" s="1"/>
  <c r="E38" i="30"/>
  <c r="H38" i="30" s="1"/>
  <c r="E293" i="30"/>
  <c r="I293" i="30" s="1"/>
  <c r="E346" i="30"/>
  <c r="I346" i="30" s="1"/>
  <c r="E221" i="30"/>
  <c r="I221" i="30" s="1"/>
  <c r="E303" i="30"/>
  <c r="H303" i="30" s="1"/>
  <c r="E316" i="30"/>
  <c r="H316" i="30" s="1"/>
  <c r="E351" i="30"/>
  <c r="H351" i="30" s="1"/>
  <c r="E102" i="30"/>
  <c r="I102" i="30" s="1"/>
  <c r="E310" i="30"/>
  <c r="I310" i="30" s="1"/>
  <c r="E299" i="30"/>
  <c r="H299" i="30" s="1"/>
  <c r="E178" i="30"/>
  <c r="I178" i="30" s="1"/>
  <c r="E367" i="30"/>
  <c r="I367" i="30" s="1"/>
  <c r="E59" i="30"/>
  <c r="H59" i="30" s="1"/>
  <c r="E40" i="30"/>
  <c r="H40" i="30" s="1"/>
  <c r="E76" i="30"/>
  <c r="H76" i="30" s="1"/>
  <c r="E288" i="30"/>
  <c r="H288" i="30" s="1"/>
  <c r="E98" i="30"/>
  <c r="I98" i="30" s="1"/>
  <c r="E144" i="30"/>
  <c r="I144" i="30" s="1"/>
  <c r="E133" i="30"/>
  <c r="I133" i="30" s="1"/>
  <c r="E250" i="30"/>
  <c r="H250" i="30" s="1"/>
  <c r="E10" i="30"/>
  <c r="AK10" i="30" s="1"/>
  <c r="E342" i="30"/>
  <c r="I342" i="30" s="1"/>
  <c r="E350" i="30"/>
  <c r="I350" i="30" s="1"/>
  <c r="E5" i="30"/>
  <c r="I5" i="30" s="1"/>
  <c r="E295" i="30"/>
  <c r="I295" i="30" s="1"/>
  <c r="E173" i="30"/>
  <c r="H173" i="30" s="1"/>
  <c r="E4" i="30"/>
  <c r="H4" i="30" s="1"/>
  <c r="E139" i="30"/>
  <c r="H139" i="30" s="1"/>
  <c r="E191" i="30"/>
  <c r="AJ191" i="30" s="1"/>
  <c r="E85" i="30"/>
  <c r="H85" i="30" s="1"/>
  <c r="E63" i="30"/>
  <c r="H63" i="30" s="1"/>
  <c r="E217" i="30"/>
  <c r="I217" i="30" s="1"/>
  <c r="E252" i="30"/>
  <c r="H252" i="30" s="1"/>
  <c r="E107" i="30"/>
  <c r="AJ107" i="30" s="1"/>
  <c r="E285" i="30"/>
  <c r="I285" i="30" s="1"/>
  <c r="E29" i="30"/>
  <c r="AK29" i="30" s="1"/>
  <c r="E32" i="30"/>
  <c r="AK32" i="30" s="1"/>
  <c r="E236" i="30"/>
  <c r="H236" i="30" s="1"/>
  <c r="E270" i="30"/>
  <c r="H270" i="30" s="1"/>
  <c r="E258" i="30"/>
  <c r="I258" i="30" s="1"/>
  <c r="E294" i="30"/>
  <c r="H294" i="30" s="1"/>
  <c r="E311" i="30"/>
  <c r="I311" i="30" s="1"/>
  <c r="E222" i="30"/>
  <c r="I222" i="30" s="1"/>
  <c r="E363" i="30"/>
  <c r="I363" i="30" s="1"/>
  <c r="E172" i="30"/>
  <c r="I172" i="30" s="1"/>
  <c r="E373" i="30"/>
  <c r="I373" i="30" s="1"/>
  <c r="E90" i="30"/>
  <c r="AK90" i="30" s="1"/>
  <c r="AW90" i="30" s="1"/>
  <c r="E140" i="30"/>
  <c r="H140" i="30" s="1"/>
  <c r="E78" i="30"/>
  <c r="AJ78" i="30" s="1"/>
  <c r="E109" i="30"/>
  <c r="AK109" i="30" s="1"/>
  <c r="AW109" i="30" s="1"/>
  <c r="E104" i="30"/>
  <c r="AJ104" i="30" s="1"/>
  <c r="E301" i="30"/>
  <c r="H301" i="30" s="1"/>
  <c r="E34" i="30"/>
  <c r="AK34" i="30" s="1"/>
  <c r="E366" i="30"/>
  <c r="H366" i="30" s="1"/>
  <c r="E88" i="30"/>
  <c r="H88" i="30" s="1"/>
  <c r="E87" i="30"/>
  <c r="H87" i="30" s="1"/>
  <c r="E23" i="30"/>
  <c r="AK23" i="30" s="1"/>
  <c r="E129" i="30"/>
  <c r="I129" i="30" s="1"/>
  <c r="E244" i="30"/>
  <c r="AK244" i="30" s="1"/>
  <c r="AW244" i="30" s="1"/>
  <c r="E292" i="30"/>
  <c r="I292" i="30" s="1"/>
  <c r="E100" i="30"/>
  <c r="AK100" i="30" s="1"/>
  <c r="AW100" i="30" s="1"/>
  <c r="E364" i="30"/>
  <c r="H364" i="30" s="1"/>
  <c r="E181" i="30"/>
  <c r="AK181" i="30" s="1"/>
  <c r="AL181" i="30" s="1"/>
  <c r="E251" i="30"/>
  <c r="I251" i="30" s="1"/>
  <c r="E62" i="30"/>
  <c r="AK62" i="30" s="1"/>
  <c r="E22" i="30"/>
  <c r="I22" i="30" s="1"/>
  <c r="E372" i="30"/>
  <c r="I372" i="30" s="1"/>
  <c r="E30" i="30"/>
  <c r="H30" i="30" s="1"/>
  <c r="E166" i="30"/>
  <c r="AJ166" i="30" s="1"/>
  <c r="E65" i="30"/>
  <c r="I65" i="30" s="1"/>
  <c r="E302" i="30"/>
  <c r="I302" i="30" s="1"/>
  <c r="E205" i="30"/>
  <c r="H205" i="30" s="1"/>
  <c r="E24" i="30"/>
  <c r="I24" i="30" s="1"/>
  <c r="E39" i="30"/>
  <c r="I39" i="30" s="1"/>
  <c r="E246" i="30"/>
  <c r="H246" i="30" s="1"/>
  <c r="E297" i="30"/>
  <c r="H297" i="30" s="1"/>
  <c r="E89" i="30"/>
  <c r="AJ89" i="30" s="1"/>
  <c r="E36" i="30"/>
  <c r="H36" i="30" s="1"/>
  <c r="E55" i="30"/>
  <c r="I55" i="30" s="1"/>
  <c r="E187" i="30"/>
  <c r="H187" i="30" s="1"/>
  <c r="E286" i="30"/>
  <c r="H286" i="30" s="1"/>
  <c r="E276" i="30"/>
  <c r="I276" i="30" s="1"/>
  <c r="E218" i="30"/>
  <c r="I218" i="30" s="1"/>
  <c r="E324" i="30"/>
  <c r="I324" i="30" s="1"/>
  <c r="E238" i="30"/>
  <c r="I238" i="30" s="1"/>
  <c r="E232" i="30"/>
  <c r="I232" i="30" s="1"/>
  <c r="E182" i="30"/>
  <c r="AK182" i="30" s="1"/>
  <c r="AL182" i="30" s="1"/>
  <c r="E225" i="30"/>
  <c r="I225" i="30" s="1"/>
  <c r="E188" i="30"/>
  <c r="H188" i="30" s="1"/>
  <c r="E96" i="30"/>
  <c r="AJ96" i="30" s="1"/>
  <c r="E206" i="30"/>
  <c r="AK206" i="30" s="1"/>
  <c r="AW206" i="30" s="1"/>
  <c r="E332" i="30"/>
  <c r="H332" i="30" s="1"/>
  <c r="E13" i="30"/>
  <c r="AK13" i="30" s="1"/>
  <c r="E159" i="30"/>
  <c r="H159" i="30" s="1"/>
  <c r="E124" i="30"/>
  <c r="I124" i="30" s="1"/>
  <c r="E204" i="30"/>
  <c r="AK204" i="30" s="1"/>
  <c r="AL204" i="30" s="1"/>
  <c r="E371" i="30"/>
  <c r="I371" i="30" s="1"/>
  <c r="E121" i="30"/>
  <c r="AJ121" i="30" s="1"/>
  <c r="E189" i="30"/>
  <c r="AK189" i="30" s="1"/>
  <c r="AW189" i="30" s="1"/>
  <c r="E37" i="30"/>
  <c r="H37" i="30" s="1"/>
  <c r="E331" i="30"/>
  <c r="H331" i="30" s="1"/>
  <c r="E167" i="30"/>
  <c r="H167" i="30" s="1"/>
  <c r="E360" i="30"/>
  <c r="I360" i="30" s="1"/>
  <c r="E75" i="30"/>
  <c r="H75" i="30" s="1"/>
  <c r="E328" i="30"/>
  <c r="H328" i="30" s="1"/>
  <c r="E51" i="30"/>
  <c r="AK51" i="30" s="1"/>
  <c r="E194" i="30"/>
  <c r="I194" i="30" s="1"/>
  <c r="E353" i="30"/>
  <c r="I353" i="30" s="1"/>
  <c r="E215" i="30"/>
  <c r="H215" i="30" s="1"/>
  <c r="E356" i="30"/>
  <c r="I356" i="30" s="1"/>
  <c r="E273" i="30"/>
  <c r="I273" i="30" s="1"/>
  <c r="E105" i="30"/>
  <c r="I105" i="30" s="1"/>
  <c r="E52" i="30"/>
  <c r="H52" i="30" s="1"/>
  <c r="E216" i="30"/>
  <c r="I216" i="30" s="1"/>
  <c r="E134" i="30"/>
  <c r="AJ134" i="30" s="1"/>
  <c r="E261" i="30"/>
  <c r="H261" i="30" s="1"/>
  <c r="E231" i="30"/>
  <c r="H231" i="30" s="1"/>
  <c r="E308" i="30"/>
  <c r="I308" i="30" s="1"/>
  <c r="E86" i="30"/>
  <c r="I86" i="30" s="1"/>
  <c r="E354" i="30"/>
  <c r="I354" i="30" s="1"/>
  <c r="E281" i="30"/>
  <c r="H281" i="30" s="1"/>
  <c r="E108" i="30"/>
  <c r="AJ108" i="30" s="1"/>
  <c r="E81" i="30"/>
  <c r="H81" i="30" s="1"/>
  <c r="E271" i="30"/>
  <c r="I271" i="30" s="1"/>
  <c r="E157" i="30"/>
  <c r="AJ157" i="30" s="1"/>
  <c r="E200" i="30"/>
  <c r="AK200" i="30" s="1"/>
  <c r="AW200" i="30" s="1"/>
  <c r="E274" i="30"/>
  <c r="H274" i="30" s="1"/>
  <c r="E33" i="30"/>
  <c r="H33" i="30" s="1"/>
  <c r="E317" i="30"/>
  <c r="I317" i="30" s="1"/>
  <c r="E227" i="30"/>
  <c r="I227" i="30" s="1"/>
  <c r="E146" i="30"/>
  <c r="H146" i="30" s="1"/>
  <c r="E199" i="30"/>
  <c r="AK199" i="30" s="1"/>
  <c r="AW199" i="30" s="1"/>
  <c r="E79" i="30"/>
  <c r="I79" i="30" s="1"/>
  <c r="E190" i="30"/>
  <c r="I190" i="30" s="1"/>
  <c r="E183" i="30"/>
  <c r="AK183" i="30" s="1"/>
  <c r="AL183" i="30" s="1"/>
  <c r="E115" i="30"/>
  <c r="I115" i="30" s="1"/>
  <c r="E319" i="30"/>
  <c r="H319" i="30" s="1"/>
  <c r="E125" i="30"/>
  <c r="I125" i="30" s="1"/>
  <c r="E214" i="30"/>
  <c r="I214" i="30" s="1"/>
  <c r="E249" i="30"/>
  <c r="I249" i="30" s="1"/>
  <c r="E307" i="30"/>
  <c r="H307" i="30" s="1"/>
  <c r="E298" i="30"/>
  <c r="I298" i="30" s="1"/>
  <c r="E300" i="30"/>
  <c r="H300" i="30" s="1"/>
  <c r="E66" i="30"/>
  <c r="H66" i="30" s="1"/>
  <c r="E315" i="30"/>
  <c r="I315" i="30" s="1"/>
  <c r="E21" i="30"/>
  <c r="AJ21" i="30" s="1"/>
  <c r="E114" i="30"/>
  <c r="H114" i="30" s="1"/>
  <c r="E348" i="30"/>
  <c r="H348" i="30" s="1"/>
  <c r="E149" i="30"/>
  <c r="I149" i="30" s="1"/>
  <c r="E180" i="30"/>
  <c r="I180" i="30" s="1"/>
  <c r="E263" i="30"/>
  <c r="I263" i="30" s="1"/>
  <c r="E165" i="30"/>
  <c r="AK165" i="30" s="1"/>
  <c r="AW165" i="30" s="1"/>
  <c r="E151" i="30"/>
  <c r="H151" i="30" s="1"/>
  <c r="E264" i="30"/>
  <c r="I264" i="30" s="1"/>
  <c r="E155" i="30"/>
  <c r="H155" i="30" s="1"/>
  <c r="E54" i="30"/>
  <c r="H54" i="30" s="1"/>
  <c r="E321" i="30"/>
  <c r="H321" i="30" s="1"/>
  <c r="E128" i="30"/>
  <c r="AJ128" i="30" s="1"/>
  <c r="E56" i="30"/>
  <c r="H56" i="30" s="1"/>
  <c r="E352" i="30"/>
  <c r="I352" i="30" s="1"/>
  <c r="E268" i="30"/>
  <c r="H268" i="30" s="1"/>
  <c r="E26" i="30"/>
  <c r="AK26" i="30" s="1"/>
  <c r="E117" i="30"/>
  <c r="H117" i="30" s="1"/>
  <c r="E368" i="30"/>
  <c r="H368" i="30" s="1"/>
  <c r="E220" i="30"/>
  <c r="I220" i="30" s="1"/>
  <c r="E82" i="30"/>
  <c r="H82" i="30" s="1"/>
  <c r="E265" i="30"/>
  <c r="I265" i="30" s="1"/>
  <c r="E130" i="30"/>
  <c r="AJ130" i="30" s="1"/>
  <c r="E25" i="30"/>
  <c r="H25" i="30" s="1"/>
  <c r="E370" i="30"/>
  <c r="I370" i="30" s="1"/>
  <c r="E347" i="30"/>
  <c r="H347" i="30" s="1"/>
  <c r="E9" i="30"/>
  <c r="AK9" i="30" s="1"/>
  <c r="E118" i="30"/>
  <c r="H118" i="30" s="1"/>
  <c r="E142" i="30"/>
  <c r="AK142" i="30" s="1"/>
  <c r="AW142" i="30" s="1"/>
  <c r="E112" i="30"/>
  <c r="I112" i="30" s="1"/>
  <c r="E260" i="30"/>
  <c r="H260" i="30" s="1"/>
  <c r="E15" i="30"/>
  <c r="AK15" i="30" s="1"/>
  <c r="E314" i="30"/>
  <c r="I314" i="30" s="1"/>
  <c r="E17" i="30"/>
  <c r="AJ17" i="30" s="1"/>
  <c r="E160" i="30"/>
  <c r="H160" i="30" s="1"/>
  <c r="E7" i="30"/>
  <c r="AK7" i="30" s="1"/>
  <c r="E143" i="30"/>
  <c r="I143" i="30" s="1"/>
  <c r="E46" i="30"/>
  <c r="AJ46" i="30" s="1"/>
  <c r="E106" i="30"/>
  <c r="AJ106" i="30" s="1"/>
  <c r="E337" i="30"/>
  <c r="I337" i="30" s="1"/>
  <c r="E325" i="30"/>
  <c r="H325" i="30" s="1"/>
  <c r="E3" i="30"/>
  <c r="I3" i="30" s="1"/>
  <c r="E93" i="30"/>
  <c r="I93" i="30" s="1"/>
  <c r="E259" i="30"/>
  <c r="I259" i="30" s="1"/>
  <c r="E101" i="30"/>
  <c r="H101" i="30" s="1"/>
  <c r="E158" i="30"/>
  <c r="H158" i="30" s="1"/>
  <c r="E257" i="30"/>
  <c r="I257" i="30" s="1"/>
  <c r="E53" i="30"/>
  <c r="H53" i="30" s="1"/>
  <c r="E184" i="30"/>
  <c r="H184" i="30" s="1"/>
  <c r="E58" i="30"/>
  <c r="I58" i="30" s="1"/>
  <c r="E177" i="30"/>
  <c r="AK177" i="30" s="1"/>
  <c r="AW177" i="30" s="1"/>
  <c r="E127" i="30"/>
  <c r="AK127" i="30" s="1"/>
  <c r="E74" i="30"/>
  <c r="AK74" i="30" s="1"/>
  <c r="E269" i="30"/>
  <c r="H269" i="30" s="1"/>
  <c r="E113" i="30"/>
  <c r="I113" i="30" s="1"/>
  <c r="E61" i="30"/>
  <c r="H61" i="30" s="1"/>
  <c r="E94" i="30"/>
  <c r="AK94" i="30" s="1"/>
  <c r="AW94" i="30" s="1"/>
  <c r="E241" i="30"/>
  <c r="H241" i="30" s="1"/>
  <c r="E340" i="30"/>
  <c r="H340" i="30" s="1"/>
  <c r="E8" i="30"/>
  <c r="AK8" i="30" s="1"/>
  <c r="E137" i="30"/>
  <c r="I137" i="30" s="1"/>
  <c r="E326" i="30"/>
  <c r="I326" i="30" s="1"/>
  <c r="E69" i="30"/>
  <c r="I69" i="30" s="1"/>
  <c r="E322" i="30"/>
  <c r="I322" i="30" s="1"/>
  <c r="E6" i="30"/>
  <c r="AJ6" i="30" s="1"/>
  <c r="E369" i="30"/>
  <c r="I369" i="30" s="1"/>
  <c r="E358" i="30"/>
  <c r="I358" i="30" s="1"/>
  <c r="E201" i="30"/>
  <c r="AK201" i="30" s="1"/>
  <c r="E341" i="30"/>
  <c r="I341" i="30" s="1"/>
  <c r="E43" i="30"/>
  <c r="I43" i="30" s="1"/>
  <c r="E219" i="30"/>
  <c r="H219" i="30" s="1"/>
  <c r="E312" i="30"/>
  <c r="H312" i="30" s="1"/>
  <c r="E135" i="30"/>
  <c r="H135" i="30" s="1"/>
  <c r="E67" i="30"/>
  <c r="I67" i="30" s="1"/>
  <c r="E196" i="30"/>
  <c r="AK196" i="30" s="1"/>
  <c r="E254" i="30"/>
  <c r="H254" i="30" s="1"/>
  <c r="E203" i="30"/>
  <c r="AJ203" i="30" s="1"/>
  <c r="E97" i="30"/>
  <c r="AJ97" i="30" s="1"/>
  <c r="E296" i="30"/>
  <c r="I296" i="30" s="1"/>
  <c r="E145" i="30"/>
  <c r="I145" i="30" s="1"/>
  <c r="E195" i="30"/>
  <c r="H195" i="30" s="1"/>
  <c r="E175" i="30"/>
  <c r="I175" i="30" s="1"/>
  <c r="E138" i="30"/>
  <c r="H138" i="30" s="1"/>
  <c r="E239" i="30"/>
  <c r="H239" i="30" s="1"/>
  <c r="E18" i="30"/>
  <c r="AK18" i="30" s="1"/>
  <c r="E320" i="30"/>
  <c r="I320" i="30" s="1"/>
  <c r="E80" i="30"/>
  <c r="I80" i="30" s="1"/>
  <c r="E28" i="30"/>
  <c r="I28" i="30" s="1"/>
  <c r="E344" i="30"/>
  <c r="H344" i="30" s="1"/>
  <c r="E41" i="30"/>
  <c r="I41" i="30" s="1"/>
  <c r="E339" i="30"/>
  <c r="H339" i="30" s="1"/>
  <c r="E248" i="30"/>
  <c r="I248" i="30" s="1"/>
  <c r="E116" i="30"/>
  <c r="AJ116" i="30" s="1"/>
  <c r="E243" i="30"/>
  <c r="AK243" i="30" s="1"/>
  <c r="AW243" i="30" s="1"/>
  <c r="E110" i="30"/>
  <c r="AJ110" i="30" s="1"/>
  <c r="E193" i="30"/>
  <c r="H193" i="30" s="1"/>
  <c r="E120" i="30"/>
  <c r="H120" i="30" s="1"/>
  <c r="E359" i="30"/>
  <c r="H359" i="30" s="1"/>
  <c r="E12" i="30"/>
  <c r="H12" i="30" s="1"/>
  <c r="E336" i="30"/>
  <c r="H336" i="30" s="1"/>
  <c r="E49" i="30"/>
  <c r="AK49" i="30" s="1"/>
  <c r="E171" i="30"/>
  <c r="AJ171" i="30" s="1"/>
  <c r="E77" i="30"/>
  <c r="H77" i="30" s="1"/>
  <c r="E19" i="30"/>
  <c r="I19" i="30" s="1"/>
  <c r="E35" i="30"/>
  <c r="AK35" i="30" s="1"/>
  <c r="E60" i="30"/>
  <c r="H60" i="30" s="1"/>
  <c r="E153" i="30"/>
  <c r="AK153" i="30" s="1"/>
  <c r="AW153" i="30" s="1"/>
  <c r="E343" i="30"/>
  <c r="I343" i="30" s="1"/>
  <c r="E305" i="30"/>
  <c r="I305" i="30" s="1"/>
  <c r="E309" i="30"/>
  <c r="H309" i="30" s="1"/>
  <c r="E240" i="30"/>
  <c r="I240" i="30" s="1"/>
  <c r="E213" i="30"/>
  <c r="H213" i="30" s="1"/>
  <c r="E20" i="30"/>
  <c r="AK20" i="30" s="1"/>
  <c r="E119" i="30"/>
  <c r="H119" i="30" s="1"/>
  <c r="E72" i="30"/>
  <c r="I72" i="30" s="1"/>
  <c r="E275" i="30"/>
  <c r="I275" i="30" s="1"/>
  <c r="E291" i="30"/>
  <c r="I291" i="30" s="1"/>
  <c r="E48" i="30"/>
  <c r="AK48" i="30" s="1"/>
  <c r="E304" i="30"/>
  <c r="I304" i="30" s="1"/>
  <c r="E169" i="30"/>
  <c r="AK169" i="30" s="1"/>
  <c r="E83" i="30"/>
  <c r="H83" i="30" s="1"/>
  <c r="E327" i="30"/>
  <c r="I327" i="30" s="1"/>
  <c r="E179" i="30"/>
  <c r="I179" i="30" s="1"/>
  <c r="E202" i="30"/>
  <c r="AJ202" i="30" s="1"/>
  <c r="E70" i="30"/>
  <c r="H70" i="30" s="1"/>
  <c r="E123" i="30"/>
  <c r="I123" i="30" s="1"/>
  <c r="E50" i="30"/>
  <c r="H50" i="30" s="1"/>
  <c r="E136" i="30"/>
  <c r="H136" i="30" s="1"/>
  <c r="E323" i="30"/>
  <c r="I323" i="30" s="1"/>
  <c r="E152" i="30"/>
  <c r="I152" i="30" s="1"/>
  <c r="AK242" i="30"/>
  <c r="AW242" i="30" s="1"/>
  <c r="AJ242" i="30"/>
  <c r="AI242" i="30" s="1"/>
  <c r="E154" i="30"/>
  <c r="I154" i="30" s="1"/>
  <c r="AB153" i="30"/>
  <c r="AB154" i="30"/>
  <c r="I242" i="30"/>
  <c r="H242" i="30"/>
  <c r="D215" i="1"/>
  <c r="D213" i="1"/>
  <c r="D206" i="1"/>
  <c r="D205" i="1"/>
  <c r="D204" i="1"/>
  <c r="D203" i="1"/>
  <c r="D202" i="1"/>
  <c r="D201" i="1"/>
  <c r="L200" i="1"/>
  <c r="F198" i="1"/>
  <c r="L199" i="1"/>
  <c r="D218" i="1" a="1"/>
  <c r="D200" i="1" a="1"/>
  <c r="D219" i="1" a="1"/>
  <c r="AJ11" i="30" l="1"/>
  <c r="H267" i="30"/>
  <c r="I284" i="30"/>
  <c r="H64" i="30"/>
  <c r="AJ186" i="30"/>
  <c r="AJ103" i="30"/>
  <c r="AK103" i="30"/>
  <c r="AK45" i="30"/>
  <c r="AW45" i="30" s="1"/>
  <c r="AJ84" i="30"/>
  <c r="AK168" i="30"/>
  <c r="AW168" i="30" s="1"/>
  <c r="AJ172" i="30"/>
  <c r="I4" i="30"/>
  <c r="H174" i="30"/>
  <c r="I168" i="30"/>
  <c r="I59" i="30"/>
  <c r="AJ92" i="30"/>
  <c r="AJ100" i="30"/>
  <c r="AI100" i="30" s="1"/>
  <c r="I277" i="30"/>
  <c r="H13" i="30"/>
  <c r="I191" i="30"/>
  <c r="H89" i="30"/>
  <c r="AK89" i="30"/>
  <c r="AI89" i="30" s="1"/>
  <c r="I100" i="30"/>
  <c r="H157" i="30"/>
  <c r="I215" i="30"/>
  <c r="AK157" i="30"/>
  <c r="AI157" i="30" s="1"/>
  <c r="H103" i="30"/>
  <c r="H45" i="30"/>
  <c r="AK186" i="30"/>
  <c r="AL186" i="30" s="1"/>
  <c r="I132" i="30"/>
  <c r="I159" i="30"/>
  <c r="AJ40" i="30"/>
  <c r="AJ206" i="30"/>
  <c r="AI206" i="30" s="1"/>
  <c r="AL100" i="30"/>
  <c r="I13" i="30"/>
  <c r="AK59" i="30"/>
  <c r="AW59" i="30" s="1"/>
  <c r="AJ244" i="30"/>
  <c r="AI244" i="30" s="1"/>
  <c r="H244" i="30"/>
  <c r="I89" i="30"/>
  <c r="AJ139" i="30"/>
  <c r="AK172" i="30"/>
  <c r="AK245" i="30"/>
  <c r="AW245" i="30" s="1"/>
  <c r="I36" i="30"/>
  <c r="H172" i="30"/>
  <c r="AJ159" i="30"/>
  <c r="I321" i="30"/>
  <c r="I8" i="30"/>
  <c r="I254" i="30"/>
  <c r="H292" i="30"/>
  <c r="AJ165" i="30"/>
  <c r="AI165" i="30" s="1"/>
  <c r="AJ245" i="30"/>
  <c r="H343" i="30"/>
  <c r="AK71" i="30"/>
  <c r="AW71" i="30" s="1"/>
  <c r="H8" i="30"/>
  <c r="I196" i="30"/>
  <c r="AJ8" i="30"/>
  <c r="AI8" i="30" s="1"/>
  <c r="H71" i="30"/>
  <c r="H202" i="30"/>
  <c r="AK116" i="30"/>
  <c r="AI116" i="30" s="1"/>
  <c r="H224" i="30"/>
  <c r="AJ164" i="30"/>
  <c r="AK40" i="30"/>
  <c r="AL40" i="30" s="1"/>
  <c r="H200" i="30"/>
  <c r="H235" i="30"/>
  <c r="H116" i="30"/>
  <c r="H11" i="30"/>
  <c r="AK11" i="30"/>
  <c r="H356" i="30"/>
  <c r="AK128" i="30"/>
  <c r="AL128" i="30" s="1"/>
  <c r="AJ85" i="30"/>
  <c r="AJ200" i="30"/>
  <c r="AI200" i="30" s="1"/>
  <c r="AK85" i="30"/>
  <c r="AL85" i="30" s="1"/>
  <c r="H100" i="30"/>
  <c r="AK70" i="30"/>
  <c r="AL70" i="30" s="1"/>
  <c r="AJ137" i="30"/>
  <c r="H305" i="30"/>
  <c r="H41" i="30"/>
  <c r="H203" i="30"/>
  <c r="AL142" i="30"/>
  <c r="AK36" i="30"/>
  <c r="AL36" i="30" s="1"/>
  <c r="AL206" i="30"/>
  <c r="AJ101" i="30"/>
  <c r="H206" i="30"/>
  <c r="H298" i="30"/>
  <c r="AJ59" i="30"/>
  <c r="H248" i="30"/>
  <c r="AK191" i="30"/>
  <c r="AI191" i="30" s="1"/>
  <c r="I192" i="30"/>
  <c r="H191" i="30"/>
  <c r="AJ36" i="30"/>
  <c r="I200" i="30"/>
  <c r="AJ70" i="30"/>
  <c r="AL200" i="30"/>
  <c r="AK81" i="30"/>
  <c r="AL81" i="30" s="1"/>
  <c r="AJ196" i="30"/>
  <c r="AI196" i="30" s="1"/>
  <c r="H137" i="30"/>
  <c r="I174" i="30"/>
  <c r="AL192" i="30"/>
  <c r="AK101" i="30"/>
  <c r="AL101" i="30" s="1"/>
  <c r="I85" i="30"/>
  <c r="I347" i="30"/>
  <c r="I153" i="30"/>
  <c r="I40" i="30"/>
  <c r="H142" i="30"/>
  <c r="AK132" i="30"/>
  <c r="AW132" i="30" s="1"/>
  <c r="I142" i="30"/>
  <c r="AK137" i="30"/>
  <c r="AL137" i="30" s="1"/>
  <c r="H245" i="30"/>
  <c r="I186" i="30"/>
  <c r="AK159" i="30"/>
  <c r="AL159" i="30" s="1"/>
  <c r="AJ142" i="30"/>
  <c r="AI142" i="30" s="1"/>
  <c r="AJ192" i="30"/>
  <c r="AI192" i="30" s="1"/>
  <c r="H42" i="30"/>
  <c r="H334" i="30"/>
  <c r="H350" i="30"/>
  <c r="H365" i="30"/>
  <c r="H171" i="30"/>
  <c r="AK171" i="30"/>
  <c r="AI171" i="30" s="1"/>
  <c r="H121" i="30"/>
  <c r="H108" i="30"/>
  <c r="I280" i="30"/>
  <c r="AJ140" i="30"/>
  <c r="H258" i="30"/>
  <c r="AK140" i="30"/>
  <c r="AW140" i="30" s="1"/>
  <c r="AJ43" i="30"/>
  <c r="AL197" i="30"/>
  <c r="AK43" i="30"/>
  <c r="AW43" i="30" s="1"/>
  <c r="AJ77" i="30"/>
  <c r="H360" i="30"/>
  <c r="I33" i="30"/>
  <c r="AJ66" i="30"/>
  <c r="I182" i="30"/>
  <c r="H23" i="30"/>
  <c r="AJ105" i="30"/>
  <c r="I66" i="30"/>
  <c r="AJ33" i="30"/>
  <c r="I51" i="30"/>
  <c r="AJ188" i="30"/>
  <c r="H289" i="30"/>
  <c r="I157" i="30"/>
  <c r="AK203" i="30"/>
  <c r="AI203" i="30" s="1"/>
  <c r="AJ86" i="30"/>
  <c r="I84" i="30"/>
  <c r="AK188" i="30"/>
  <c r="AW188" i="30" s="1"/>
  <c r="I77" i="30"/>
  <c r="I307" i="30"/>
  <c r="I253" i="30"/>
  <c r="H265" i="30"/>
  <c r="I88" i="30"/>
  <c r="AJ80" i="30"/>
  <c r="I362" i="30"/>
  <c r="I281" i="30"/>
  <c r="AK66" i="30"/>
  <c r="I269" i="30"/>
  <c r="AK86" i="30"/>
  <c r="AL86" i="30" s="1"/>
  <c r="I118" i="30"/>
  <c r="AK42" i="30"/>
  <c r="AW42" i="30" s="1"/>
  <c r="AK84" i="30"/>
  <c r="I87" i="30"/>
  <c r="I197" i="30"/>
  <c r="H311" i="30"/>
  <c r="I31" i="30"/>
  <c r="H141" i="30"/>
  <c r="AK77" i="30"/>
  <c r="AL77" i="30" s="1"/>
  <c r="AJ24" i="30"/>
  <c r="I171" i="30"/>
  <c r="AL165" i="30"/>
  <c r="H24" i="30"/>
  <c r="I35" i="30"/>
  <c r="H197" i="30"/>
  <c r="AJ141" i="30"/>
  <c r="AJ169" i="30"/>
  <c r="AI169" i="30" s="1"/>
  <c r="H80" i="30"/>
  <c r="I294" i="30"/>
  <c r="I205" i="30"/>
  <c r="H337" i="30"/>
  <c r="AK205" i="30"/>
  <c r="AL205" i="30" s="1"/>
  <c r="H335" i="30"/>
  <c r="AJ205" i="30"/>
  <c r="H310" i="30"/>
  <c r="H256" i="30"/>
  <c r="AJ113" i="30"/>
  <c r="AW183" i="30"/>
  <c r="I25" i="30"/>
  <c r="AK28" i="30"/>
  <c r="AL28" i="30" s="1"/>
  <c r="H302" i="30"/>
  <c r="AK19" i="30"/>
  <c r="AW19" i="30" s="1"/>
  <c r="AJ25" i="30"/>
  <c r="I106" i="30"/>
  <c r="I61" i="30"/>
  <c r="AJ183" i="30"/>
  <c r="AI183" i="30" s="1"/>
  <c r="H51" i="30"/>
  <c r="AK141" i="30"/>
  <c r="AL141" i="30" s="1"/>
  <c r="I23" i="30"/>
  <c r="AJ23" i="30"/>
  <c r="AI23" i="30" s="1"/>
  <c r="I282" i="30"/>
  <c r="I147" i="30"/>
  <c r="AJ197" i="30"/>
  <c r="AI197" i="30" s="1"/>
  <c r="I169" i="30"/>
  <c r="AK24" i="30"/>
  <c r="AW24" i="30" s="1"/>
  <c r="I130" i="30"/>
  <c r="I306" i="30"/>
  <c r="H355" i="30"/>
  <c r="H28" i="30"/>
  <c r="AJ88" i="30"/>
  <c r="AW147" i="30"/>
  <c r="I184" i="30"/>
  <c r="H19" i="30"/>
  <c r="AK106" i="30"/>
  <c r="AW106" i="30" s="1"/>
  <c r="H295" i="30"/>
  <c r="I96" i="30"/>
  <c r="H46" i="30"/>
  <c r="AJ19" i="30"/>
  <c r="H99" i="30"/>
  <c r="H106" i="30"/>
  <c r="AJ151" i="30"/>
  <c r="AK113" i="30"/>
  <c r="AW113" i="30" s="1"/>
  <c r="I46" i="30"/>
  <c r="H225" i="30"/>
  <c r="I151" i="30"/>
  <c r="H320" i="30"/>
  <c r="AK25" i="30"/>
  <c r="AW25" i="30" s="1"/>
  <c r="I270" i="30"/>
  <c r="I101" i="30"/>
  <c r="H102" i="30"/>
  <c r="AK46" i="30"/>
  <c r="AW46" i="30" s="1"/>
  <c r="I48" i="30"/>
  <c r="AK61" i="30"/>
  <c r="H237" i="30"/>
  <c r="AJ87" i="30"/>
  <c r="I202" i="30"/>
  <c r="I116" i="30"/>
  <c r="AW181" i="30"/>
  <c r="AW182" i="30"/>
  <c r="AK102" i="30"/>
  <c r="AL102" i="30" s="1"/>
  <c r="I219" i="30"/>
  <c r="H330" i="30"/>
  <c r="H361" i="30"/>
  <c r="AJ48" i="30"/>
  <c r="AI48" i="30" s="1"/>
  <c r="AK75" i="30"/>
  <c r="AL75" i="30" s="1"/>
  <c r="AK118" i="30"/>
  <c r="AW118" i="30" s="1"/>
  <c r="AJ5" i="30"/>
  <c r="AJ61" i="30"/>
  <c r="I266" i="30"/>
  <c r="H115" i="30"/>
  <c r="AK87" i="30"/>
  <c r="AW87" i="30" s="1"/>
  <c r="H192" i="30"/>
  <c r="H259" i="30"/>
  <c r="I164" i="30"/>
  <c r="H264" i="30"/>
  <c r="AK108" i="30"/>
  <c r="AL108" i="30" s="1"/>
  <c r="H169" i="30"/>
  <c r="AK130" i="30"/>
  <c r="AI130" i="30" s="1"/>
  <c r="AK125" i="30"/>
  <c r="AW125" i="30" s="1"/>
  <c r="AJ28" i="30"/>
  <c r="I183" i="30"/>
  <c r="I121" i="30"/>
  <c r="I188" i="30"/>
  <c r="AK162" i="30"/>
  <c r="AL162" i="30" s="1"/>
  <c r="AK99" i="30"/>
  <c r="AW99" i="30" s="1"/>
  <c r="H234" i="30"/>
  <c r="AK151" i="30"/>
  <c r="AL151" i="30" s="1"/>
  <c r="AJ162" i="30"/>
  <c r="H113" i="30"/>
  <c r="H48" i="30"/>
  <c r="I351" i="30"/>
  <c r="I75" i="30"/>
  <c r="H5" i="30"/>
  <c r="AK115" i="30"/>
  <c r="AW115" i="30" s="1"/>
  <c r="AJ99" i="30"/>
  <c r="I162" i="30"/>
  <c r="AJ13" i="30"/>
  <c r="AI13" i="30" s="1"/>
  <c r="H130" i="30"/>
  <c r="H86" i="30"/>
  <c r="AJ75" i="30"/>
  <c r="AJ118" i="30"/>
  <c r="AK5" i="30"/>
  <c r="AW5" i="30" s="1"/>
  <c r="AJ42" i="30"/>
  <c r="AJ168" i="30"/>
  <c r="AJ115" i="30"/>
  <c r="H147" i="30"/>
  <c r="I165" i="30"/>
  <c r="H247" i="30"/>
  <c r="I328" i="30"/>
  <c r="H240" i="30"/>
  <c r="AK202" i="30"/>
  <c r="AW202" i="30" s="1"/>
  <c r="AJ204" i="30"/>
  <c r="AI204" i="30" s="1"/>
  <c r="H196" i="30"/>
  <c r="AL153" i="30"/>
  <c r="I54" i="30"/>
  <c r="AJ4" i="30"/>
  <c r="H43" i="30"/>
  <c r="H263" i="30"/>
  <c r="H353" i="30"/>
  <c r="AK54" i="30"/>
  <c r="AW54" i="30" s="1"/>
  <c r="AK4" i="30"/>
  <c r="AL4" i="30" s="1"/>
  <c r="H367" i="30"/>
  <c r="H178" i="30"/>
  <c r="I90" i="30"/>
  <c r="AK164" i="30"/>
  <c r="AW164" i="30" s="1"/>
  <c r="AK41" i="30"/>
  <c r="AL41" i="30" s="1"/>
  <c r="AJ3" i="30"/>
  <c r="H3" i="30"/>
  <c r="AJ179" i="30"/>
  <c r="I158" i="30"/>
  <c r="I332" i="30"/>
  <c r="AJ158" i="30"/>
  <c r="AK80" i="30"/>
  <c r="AW80" i="30" s="1"/>
  <c r="I246" i="30"/>
  <c r="AK3" i="30"/>
  <c r="AL3" i="30" s="1"/>
  <c r="AK88" i="30"/>
  <c r="AW88" i="30" s="1"/>
  <c r="H194" i="30"/>
  <c r="AJ147" i="30"/>
  <c r="AI147" i="30" s="1"/>
  <c r="AJ102" i="30"/>
  <c r="AJ182" i="30"/>
  <c r="AI182" i="30" s="1"/>
  <c r="I181" i="30"/>
  <c r="H91" i="30"/>
  <c r="H327" i="30"/>
  <c r="AK194" i="30"/>
  <c r="AL194" i="30" s="1"/>
  <c r="H262" i="30"/>
  <c r="H182" i="30"/>
  <c r="I131" i="30"/>
  <c r="H287" i="30"/>
  <c r="AJ91" i="30"/>
  <c r="I339" i="30"/>
  <c r="AJ67" i="30"/>
  <c r="AJ27" i="30"/>
  <c r="H165" i="30"/>
  <c r="H183" i="30"/>
  <c r="H354" i="30"/>
  <c r="I297" i="30"/>
  <c r="I313" i="30"/>
  <c r="AK91" i="30"/>
  <c r="AW91" i="30" s="1"/>
  <c r="AK92" i="30"/>
  <c r="H223" i="30"/>
  <c r="I45" i="30"/>
  <c r="I107" i="30"/>
  <c r="H92" i="30"/>
  <c r="I274" i="30"/>
  <c r="AK139" i="30"/>
  <c r="H67" i="30"/>
  <c r="H27" i="30"/>
  <c r="H153" i="30"/>
  <c r="I203" i="30"/>
  <c r="AK179" i="30"/>
  <c r="AL179" i="30" s="1"/>
  <c r="AJ30" i="30"/>
  <c r="AK73" i="30"/>
  <c r="AW73" i="30" s="1"/>
  <c r="AK178" i="30"/>
  <c r="AL178" i="30" s="1"/>
  <c r="H214" i="30"/>
  <c r="AK27" i="30"/>
  <c r="AL27" i="30" s="1"/>
  <c r="I340" i="30"/>
  <c r="AJ12" i="30"/>
  <c r="AJ54" i="30"/>
  <c r="AK30" i="30"/>
  <c r="AL30" i="30" s="1"/>
  <c r="AK134" i="30"/>
  <c r="AL134" i="30" s="1"/>
  <c r="H73" i="30"/>
  <c r="AJ178" i="30"/>
  <c r="I128" i="30"/>
  <c r="I155" i="30"/>
  <c r="I70" i="30"/>
  <c r="AK60" i="30"/>
  <c r="AW60" i="30" s="1"/>
  <c r="AK67" i="30"/>
  <c r="AL67" i="30" s="1"/>
  <c r="H222" i="30"/>
  <c r="AJ73" i="30"/>
  <c r="AJ58" i="30"/>
  <c r="H128" i="30"/>
  <c r="AJ155" i="30"/>
  <c r="I244" i="30"/>
  <c r="H363" i="30"/>
  <c r="AJ132" i="30"/>
  <c r="I114" i="30"/>
  <c r="AJ60" i="30"/>
  <c r="AK155" i="30"/>
  <c r="I206" i="30"/>
  <c r="AJ71" i="30"/>
  <c r="I60" i="30"/>
  <c r="H179" i="30"/>
  <c r="AK174" i="30"/>
  <c r="AL174" i="30" s="1"/>
  <c r="H9" i="30"/>
  <c r="H93" i="30"/>
  <c r="AJ81" i="30"/>
  <c r="H271" i="30"/>
  <c r="I241" i="30"/>
  <c r="I364" i="30"/>
  <c r="H373" i="30"/>
  <c r="AJ93" i="30"/>
  <c r="H133" i="30"/>
  <c r="H190" i="30"/>
  <c r="AJ153" i="30"/>
  <c r="AI153" i="30" s="1"/>
  <c r="AK93" i="30"/>
  <c r="AL93" i="30" s="1"/>
  <c r="AJ133" i="30"/>
  <c r="AJ194" i="30"/>
  <c r="I9" i="30"/>
  <c r="I136" i="30"/>
  <c r="AJ9" i="30"/>
  <c r="AI9" i="30" s="1"/>
  <c r="I81" i="30"/>
  <c r="AJ136" i="30"/>
  <c r="AJ41" i="30"/>
  <c r="H249" i="30"/>
  <c r="I357" i="30"/>
  <c r="I139" i="30"/>
  <c r="AK143" i="30"/>
  <c r="I7" i="30"/>
  <c r="AJ7" i="30"/>
  <c r="AI7" i="30" s="1"/>
  <c r="I344" i="30"/>
  <c r="AJ135" i="30"/>
  <c r="AW95" i="30"/>
  <c r="I104" i="30"/>
  <c r="I12" i="30"/>
  <c r="AK122" i="30"/>
  <c r="AL122" i="30" s="1"/>
  <c r="AJ176" i="30"/>
  <c r="AI176" i="30" s="1"/>
  <c r="I231" i="30"/>
  <c r="H72" i="30"/>
  <c r="AJ177" i="30"/>
  <c r="AI177" i="30" s="1"/>
  <c r="AK12" i="30"/>
  <c r="AL12" i="30" s="1"/>
  <c r="AK160" i="30"/>
  <c r="AW160" i="30" s="1"/>
  <c r="AK17" i="30"/>
  <c r="AW17" i="30" s="1"/>
  <c r="AJ72" i="30"/>
  <c r="I17" i="30"/>
  <c r="H304" i="30"/>
  <c r="I30" i="30"/>
  <c r="AJ119" i="30"/>
  <c r="I319" i="30"/>
  <c r="AJ95" i="30"/>
  <c r="AI95" i="30" s="1"/>
  <c r="AJ114" i="30"/>
  <c r="H255" i="30"/>
  <c r="H134" i="30"/>
  <c r="AK114" i="30"/>
  <c r="AW114" i="30" s="1"/>
  <c r="I261" i="30"/>
  <c r="I301" i="30"/>
  <c r="I167" i="30"/>
  <c r="H127" i="30"/>
  <c r="AJ180" i="30"/>
  <c r="I10" i="30"/>
  <c r="I316" i="30"/>
  <c r="I138" i="30"/>
  <c r="AK180" i="30"/>
  <c r="AW180" i="30" s="1"/>
  <c r="AK37" i="30"/>
  <c r="AW37" i="30" s="1"/>
  <c r="I166" i="30"/>
  <c r="AJ199" i="30"/>
  <c r="AI199" i="30" s="1"/>
  <c r="AJ131" i="30"/>
  <c r="H35" i="30"/>
  <c r="AK79" i="30"/>
  <c r="AW79" i="30" s="1"/>
  <c r="AJ51" i="30"/>
  <c r="AI51" i="30" s="1"/>
  <c r="AK119" i="30"/>
  <c r="AW119" i="30" s="1"/>
  <c r="H129" i="30"/>
  <c r="H96" i="30"/>
  <c r="I250" i="30"/>
  <c r="H10" i="30"/>
  <c r="I236" i="30"/>
  <c r="AK135" i="30"/>
  <c r="AW135" i="30" s="1"/>
  <c r="AJ82" i="30"/>
  <c r="AJ94" i="30"/>
  <c r="AI94" i="30" s="1"/>
  <c r="I146" i="30"/>
  <c r="H125" i="30"/>
  <c r="AJ126" i="30"/>
  <c r="H166" i="30"/>
  <c r="AJ79" i="30"/>
  <c r="H79" i="30"/>
  <c r="AJ138" i="30"/>
  <c r="H232" i="30"/>
  <c r="AJ37" i="30"/>
  <c r="AK166" i="30"/>
  <c r="AI166" i="30" s="1"/>
  <c r="AK131" i="30"/>
  <c r="AL131" i="30" s="1"/>
  <c r="H218" i="30"/>
  <c r="H17" i="30"/>
  <c r="I119" i="30"/>
  <c r="H221" i="30"/>
  <c r="AJ129" i="30"/>
  <c r="I134" i="30"/>
  <c r="AK96" i="30"/>
  <c r="AI96" i="30" s="1"/>
  <c r="AJ10" i="30"/>
  <c r="AI10" i="30" s="1"/>
  <c r="AL94" i="30"/>
  <c r="I325" i="30"/>
  <c r="I135" i="30"/>
  <c r="H94" i="30"/>
  <c r="I177" i="30"/>
  <c r="H149" i="30"/>
  <c r="AK138" i="30"/>
  <c r="AW138" i="30" s="1"/>
  <c r="AJ143" i="30"/>
  <c r="AJ122" i="30"/>
  <c r="H342" i="30"/>
  <c r="AK129" i="30"/>
  <c r="AL129" i="30" s="1"/>
  <c r="H189" i="30"/>
  <c r="AJ189" i="30"/>
  <c r="AI189" i="30" s="1"/>
  <c r="AJ167" i="30"/>
  <c r="I331" i="30"/>
  <c r="H308" i="30"/>
  <c r="AK126" i="30"/>
  <c r="AL126" i="30" s="1"/>
  <c r="H7" i="30"/>
  <c r="AK72" i="30"/>
  <c r="AW72" i="30" s="1"/>
  <c r="I199" i="30"/>
  <c r="AW176" i="30"/>
  <c r="I160" i="30"/>
  <c r="I49" i="30"/>
  <c r="H18" i="30"/>
  <c r="H220" i="30"/>
  <c r="AK173" i="30"/>
  <c r="AW173" i="30" s="1"/>
  <c r="I74" i="30"/>
  <c r="H341" i="30"/>
  <c r="H346" i="30"/>
  <c r="AK58" i="30"/>
  <c r="AW58" i="30" s="1"/>
  <c r="AJ175" i="30"/>
  <c r="AJ47" i="30"/>
  <c r="AK133" i="30"/>
  <c r="AL133" i="30" s="1"/>
  <c r="H230" i="30"/>
  <c r="AK163" i="30"/>
  <c r="AW163" i="30" s="1"/>
  <c r="I368" i="30"/>
  <c r="I348" i="30"/>
  <c r="H370" i="30"/>
  <c r="I239" i="30"/>
  <c r="I83" i="30"/>
  <c r="H199" i="30"/>
  <c r="AJ160" i="30"/>
  <c r="AJ49" i="30"/>
  <c r="AI49" i="30" s="1"/>
  <c r="I34" i="30"/>
  <c r="I173" i="30"/>
  <c r="H291" i="30"/>
  <c r="H58" i="30"/>
  <c r="H175" i="30"/>
  <c r="AK47" i="30"/>
  <c r="AL47" i="30" s="1"/>
  <c r="H163" i="30"/>
  <c r="I126" i="30"/>
  <c r="I122" i="30"/>
  <c r="H180" i="30"/>
  <c r="AJ146" i="30"/>
  <c r="I18" i="30"/>
  <c r="AJ18" i="30"/>
  <c r="AI18" i="30" s="1"/>
  <c r="AJ190" i="30"/>
  <c r="I349" i="30"/>
  <c r="I29" i="30"/>
  <c r="AJ83" i="30"/>
  <c r="I32" i="30"/>
  <c r="AL177" i="30"/>
  <c r="H345" i="30"/>
  <c r="H49" i="30"/>
  <c r="H34" i="30"/>
  <c r="H39" i="30"/>
  <c r="AJ173" i="30"/>
  <c r="H170" i="30"/>
  <c r="I127" i="30"/>
  <c r="AJ111" i="30"/>
  <c r="H228" i="30"/>
  <c r="H65" i="30"/>
  <c r="H358" i="30"/>
  <c r="H369" i="30"/>
  <c r="I366" i="30"/>
  <c r="I176" i="30"/>
  <c r="AJ127" i="30"/>
  <c r="AI127" i="30" s="1"/>
  <c r="H290" i="30"/>
  <c r="H29" i="30"/>
  <c r="AK83" i="30"/>
  <c r="AW83" i="30" s="1"/>
  <c r="H32" i="30"/>
  <c r="AJ34" i="30"/>
  <c r="AI34" i="30" s="1"/>
  <c r="AJ39" i="30"/>
  <c r="AJ117" i="30"/>
  <c r="I170" i="30"/>
  <c r="AK111" i="30"/>
  <c r="AW111" i="30" s="1"/>
  <c r="I189" i="30"/>
  <c r="I111" i="30"/>
  <c r="H275" i="30"/>
  <c r="H74" i="30"/>
  <c r="AJ29" i="30"/>
  <c r="AI29" i="30" s="1"/>
  <c r="AJ32" i="30"/>
  <c r="AI32" i="30" s="1"/>
  <c r="AJ149" i="30"/>
  <c r="H143" i="30"/>
  <c r="AK39" i="30"/>
  <c r="AL39" i="30" s="1"/>
  <c r="I117" i="30"/>
  <c r="AJ170" i="30"/>
  <c r="AI170" i="30" s="1"/>
  <c r="AK82" i="30"/>
  <c r="AL82" i="30" s="1"/>
  <c r="AJ201" i="30"/>
  <c r="AI201" i="30" s="1"/>
  <c r="I278" i="30"/>
  <c r="I37" i="30"/>
  <c r="H372" i="30"/>
  <c r="I312" i="30"/>
  <c r="H285" i="30"/>
  <c r="H226" i="30"/>
  <c r="I82" i="30"/>
  <c r="H201" i="30"/>
  <c r="H333" i="30"/>
  <c r="I163" i="30"/>
  <c r="AK190" i="30"/>
  <c r="AW190" i="30" s="1"/>
  <c r="H272" i="30"/>
  <c r="AK149" i="30"/>
  <c r="AL149" i="30" s="1"/>
  <c r="AK117" i="30"/>
  <c r="AW117" i="30" s="1"/>
  <c r="AK104" i="30"/>
  <c r="AI104" i="30" s="1"/>
  <c r="AJ35" i="30"/>
  <c r="AI35" i="30" s="1"/>
  <c r="AJ125" i="30"/>
  <c r="I95" i="30"/>
  <c r="I108" i="30"/>
  <c r="AL189" i="30"/>
  <c r="AL199" i="30"/>
  <c r="AJ74" i="30"/>
  <c r="AI74" i="30" s="1"/>
  <c r="I201" i="30"/>
  <c r="I359" i="30"/>
  <c r="H324" i="30"/>
  <c r="H283" i="30"/>
  <c r="I299" i="30"/>
  <c r="AK146" i="30"/>
  <c r="AW146" i="30" s="1"/>
  <c r="H238" i="30"/>
  <c r="H176" i="30"/>
  <c r="I336" i="30"/>
  <c r="H104" i="30"/>
  <c r="H95" i="30"/>
  <c r="I47" i="30"/>
  <c r="I94" i="30"/>
  <c r="AK175" i="30"/>
  <c r="AL175" i="30" s="1"/>
  <c r="I303" i="30"/>
  <c r="AK167" i="30"/>
  <c r="AL167" i="30" s="1"/>
  <c r="H177" i="30"/>
  <c r="AK136" i="30"/>
  <c r="AW136" i="30" s="1"/>
  <c r="AJ145" i="30"/>
  <c r="I268" i="30"/>
  <c r="AJ52" i="30"/>
  <c r="AJ69" i="30"/>
  <c r="H216" i="30"/>
  <c r="I16" i="30"/>
  <c r="I318" i="30"/>
  <c r="AK195" i="30"/>
  <c r="AL195" i="30" s="1"/>
  <c r="I300" i="30"/>
  <c r="AJ185" i="30"/>
  <c r="H371" i="30"/>
  <c r="AK121" i="30"/>
  <c r="AI121" i="30" s="1"/>
  <c r="AK21" i="30"/>
  <c r="AW21" i="30" s="1"/>
  <c r="H109" i="30"/>
  <c r="I161" i="30"/>
  <c r="H243" i="30"/>
  <c r="AK52" i="30"/>
  <c r="AW52" i="30" s="1"/>
  <c r="H90" i="30"/>
  <c r="H16" i="30"/>
  <c r="I56" i="30"/>
  <c r="AK185" i="30"/>
  <c r="AW185" i="30" s="1"/>
  <c r="H62" i="30"/>
  <c r="I50" i="30"/>
  <c r="H55" i="30"/>
  <c r="I78" i="30"/>
  <c r="AK148" i="30"/>
  <c r="AL148" i="30" s="1"/>
  <c r="H257" i="30"/>
  <c r="I288" i="30"/>
  <c r="H57" i="30"/>
  <c r="AK107" i="30"/>
  <c r="AI107" i="30" s="1"/>
  <c r="AK110" i="30"/>
  <c r="AI110" i="30" s="1"/>
  <c r="H6" i="30"/>
  <c r="H338" i="30"/>
  <c r="I52" i="30"/>
  <c r="AJ90" i="30"/>
  <c r="AI90" i="30" s="1"/>
  <c r="H279" i="30"/>
  <c r="I109" i="30"/>
  <c r="AJ16" i="30"/>
  <c r="AI16" i="30" s="1"/>
  <c r="AJ56" i="30"/>
  <c r="I193" i="30"/>
  <c r="H185" i="30"/>
  <c r="I62" i="30"/>
  <c r="I252" i="30"/>
  <c r="AJ50" i="30"/>
  <c r="AJ55" i="30"/>
  <c r="AJ112" i="30"/>
  <c r="H198" i="30"/>
  <c r="H148" i="30"/>
  <c r="AK198" i="30"/>
  <c r="AI198" i="30" s="1"/>
  <c r="H204" i="30"/>
  <c r="H227" i="30"/>
  <c r="I14" i="30"/>
  <c r="H273" i="30"/>
  <c r="AK56" i="30"/>
  <c r="AL56" i="30" s="1"/>
  <c r="AK193" i="30"/>
  <c r="AW193" i="30" s="1"/>
  <c r="AJ62" i="30"/>
  <c r="AI62" i="30" s="1"/>
  <c r="H97" i="30"/>
  <c r="AK50" i="30"/>
  <c r="AW50" i="30" s="1"/>
  <c r="H98" i="30"/>
  <c r="AK55" i="30"/>
  <c r="AW55" i="30" s="1"/>
  <c r="H26" i="30"/>
  <c r="AK112" i="30"/>
  <c r="AL112" i="30" s="1"/>
  <c r="I260" i="30"/>
  <c r="AJ109" i="30"/>
  <c r="AI109" i="30" s="1"/>
  <c r="I76" i="30"/>
  <c r="I243" i="30"/>
  <c r="H161" i="30"/>
  <c r="AK145" i="30"/>
  <c r="AW145" i="30" s="1"/>
  <c r="AJ20" i="30"/>
  <c r="AI20" i="30" s="1"/>
  <c r="AK144" i="30"/>
  <c r="AL144" i="30" s="1"/>
  <c r="H14" i="30"/>
  <c r="H329" i="30"/>
  <c r="H314" i="30"/>
  <c r="H123" i="30"/>
  <c r="AK97" i="30"/>
  <c r="AI97" i="30" s="1"/>
  <c r="AK98" i="30"/>
  <c r="AL98" i="30" s="1"/>
  <c r="I38" i="30"/>
  <c r="H322" i="30"/>
  <c r="I26" i="30"/>
  <c r="H112" i="30"/>
  <c r="H323" i="30"/>
  <c r="H276" i="30"/>
  <c r="H315" i="30"/>
  <c r="AJ181" i="30"/>
  <c r="AI181" i="30" s="1"/>
  <c r="H107" i="30"/>
  <c r="AK44" i="30"/>
  <c r="AL44" i="30" s="1"/>
  <c r="AK33" i="30"/>
  <c r="I213" i="30"/>
  <c r="H144" i="30"/>
  <c r="AJ14" i="30"/>
  <c r="AI14" i="30" s="1"/>
  <c r="AJ123" i="30"/>
  <c r="AJ124" i="30"/>
  <c r="AJ184" i="30"/>
  <c r="AJ38" i="30"/>
  <c r="I150" i="30"/>
  <c r="AJ26" i="30"/>
  <c r="AI26" i="30" s="1"/>
  <c r="H352" i="30"/>
  <c r="I20" i="30"/>
  <c r="H20" i="30"/>
  <c r="AK105" i="30"/>
  <c r="H105" i="30"/>
  <c r="AL109" i="30"/>
  <c r="AK158" i="30"/>
  <c r="AL158" i="30" s="1"/>
  <c r="H78" i="30"/>
  <c r="AK123" i="30"/>
  <c r="AW123" i="30" s="1"/>
  <c r="AK124" i="30"/>
  <c r="AW124" i="30" s="1"/>
  <c r="AK184" i="30"/>
  <c r="AL184" i="30" s="1"/>
  <c r="AK38" i="30"/>
  <c r="AW38" i="30" s="1"/>
  <c r="AJ76" i="30"/>
  <c r="AK78" i="30"/>
  <c r="AI78" i="30" s="1"/>
  <c r="H293" i="30"/>
  <c r="H317" i="30"/>
  <c r="H150" i="30"/>
  <c r="AJ144" i="30"/>
  <c r="AK76" i="30"/>
  <c r="AW76" i="30" s="1"/>
  <c r="I198" i="30"/>
  <c r="AJ195" i="30"/>
  <c r="AJ44" i="30"/>
  <c r="H22" i="30"/>
  <c r="I15" i="30"/>
  <c r="H217" i="30"/>
  <c r="H110" i="30"/>
  <c r="AK156" i="30"/>
  <c r="AL156" i="30" s="1"/>
  <c r="I6" i="30"/>
  <c r="AK187" i="30"/>
  <c r="AW187" i="30" s="1"/>
  <c r="H229" i="30"/>
  <c r="I204" i="30"/>
  <c r="H145" i="30"/>
  <c r="I97" i="30"/>
  <c r="I148" i="30"/>
  <c r="AK6" i="30"/>
  <c r="AI6" i="30" s="1"/>
  <c r="H15" i="30"/>
  <c r="AJ193" i="30"/>
  <c r="AJ57" i="30"/>
  <c r="AL90" i="30"/>
  <c r="AK69" i="30"/>
  <c r="AJ22" i="30"/>
  <c r="AJ15" i="30"/>
  <c r="AI15" i="30" s="1"/>
  <c r="I110" i="30"/>
  <c r="H156" i="30"/>
  <c r="I120" i="30"/>
  <c r="I140" i="30"/>
  <c r="I63" i="30"/>
  <c r="H21" i="30"/>
  <c r="AJ187" i="30"/>
  <c r="AJ150" i="30"/>
  <c r="AI150" i="30" s="1"/>
  <c r="AK161" i="30"/>
  <c r="AW161" i="30" s="1"/>
  <c r="I286" i="30"/>
  <c r="I53" i="30"/>
  <c r="AK57" i="30"/>
  <c r="AL57" i="30" s="1"/>
  <c r="H69" i="30"/>
  <c r="AW204" i="30"/>
  <c r="AK22" i="30"/>
  <c r="AW22" i="30" s="1"/>
  <c r="AK53" i="30"/>
  <c r="I156" i="30"/>
  <c r="AK120" i="30"/>
  <c r="AL120" i="30" s="1"/>
  <c r="I21" i="30"/>
  <c r="I187" i="30"/>
  <c r="H326" i="30"/>
  <c r="AJ98" i="30"/>
  <c r="H181" i="30"/>
  <c r="AJ243" i="30"/>
  <c r="AI243" i="30" s="1"/>
  <c r="H296" i="30"/>
  <c r="AJ53" i="30"/>
  <c r="I195" i="30"/>
  <c r="I309" i="30"/>
  <c r="AJ120" i="30"/>
  <c r="H251" i="30"/>
  <c r="H124" i="30"/>
  <c r="H44" i="30"/>
  <c r="AJ152" i="30"/>
  <c r="AL244" i="30"/>
  <c r="H152" i="30"/>
  <c r="AK152" i="30"/>
  <c r="AL152" i="30" s="1"/>
  <c r="AL242" i="30"/>
  <c r="AL243" i="30"/>
  <c r="H154" i="30"/>
  <c r="AW196" i="30"/>
  <c r="AL196" i="30"/>
  <c r="AW51" i="30"/>
  <c r="AL51" i="30"/>
  <c r="AL74" i="30"/>
  <c r="AW74" i="30"/>
  <c r="AW7" i="30"/>
  <c r="AL7" i="30"/>
  <c r="AL201" i="30"/>
  <c r="AW201" i="30"/>
  <c r="AW29" i="30"/>
  <c r="AL29" i="30"/>
  <c r="AW18" i="30"/>
  <c r="AL18" i="30"/>
  <c r="AW10" i="30"/>
  <c r="AL10" i="30"/>
  <c r="AW20" i="30"/>
  <c r="AL20" i="30"/>
  <c r="AW49" i="30"/>
  <c r="AL49" i="30"/>
  <c r="AW150" i="30"/>
  <c r="AL150" i="30"/>
  <c r="AW23" i="30"/>
  <c r="AL23" i="30"/>
  <c r="AL170" i="30"/>
  <c r="AW170" i="30"/>
  <c r="AW35" i="30"/>
  <c r="AL35" i="30"/>
  <c r="AW26" i="30"/>
  <c r="AL26" i="30"/>
  <c r="AW34" i="30"/>
  <c r="AL34" i="30"/>
  <c r="AL48" i="30"/>
  <c r="AW48" i="30"/>
  <c r="AW169" i="30"/>
  <c r="AL169" i="30"/>
  <c r="AW9" i="30"/>
  <c r="AL9" i="30"/>
  <c r="AW16" i="30"/>
  <c r="AL16" i="30"/>
  <c r="AW8" i="30"/>
  <c r="AL8" i="30"/>
  <c r="AW127" i="30"/>
  <c r="AL127" i="30"/>
  <c r="AW32" i="30"/>
  <c r="AL32" i="30"/>
  <c r="AW13" i="30"/>
  <c r="AL13" i="30"/>
  <c r="AW15" i="30"/>
  <c r="AL15" i="30"/>
  <c r="AW14" i="30"/>
  <c r="AL14" i="30"/>
  <c r="AW62" i="30"/>
  <c r="AL62" i="30"/>
  <c r="AK154" i="30"/>
  <c r="AJ154" i="30"/>
  <c r="D219" i="1"/>
  <c r="D218" i="1"/>
  <c r="D200" i="1"/>
  <c r="AI11" i="30" l="1"/>
  <c r="AI45" i="30"/>
  <c r="AI103" i="30"/>
  <c r="AL168" i="30"/>
  <c r="AW157" i="30"/>
  <c r="AL103" i="30"/>
  <c r="AW103" i="30"/>
  <c r="AL45" i="30"/>
  <c r="AW186" i="30"/>
  <c r="AI172" i="30"/>
  <c r="AI168" i="30"/>
  <c r="AI92" i="30"/>
  <c r="AI84" i="30"/>
  <c r="AW89" i="30"/>
  <c r="AL157" i="30"/>
  <c r="AL89" i="30"/>
  <c r="AI186" i="30"/>
  <c r="AI44" i="30"/>
  <c r="AI139" i="30"/>
  <c r="AW172" i="30"/>
  <c r="AL59" i="30"/>
  <c r="AI105" i="30"/>
  <c r="AI128" i="30"/>
  <c r="AL71" i="30"/>
  <c r="AL172" i="30"/>
  <c r="AI59" i="30"/>
  <c r="AI245" i="30"/>
  <c r="AL245" i="30"/>
  <c r="AW128" i="30"/>
  <c r="AI71" i="30"/>
  <c r="AW116" i="30"/>
  <c r="AL116" i="30"/>
  <c r="AI40" i="30"/>
  <c r="AI70" i="30"/>
  <c r="AW70" i="30"/>
  <c r="AW40" i="30"/>
  <c r="AW81" i="30"/>
  <c r="AL11" i="30"/>
  <c r="AW11" i="30"/>
  <c r="AI85" i="30"/>
  <c r="AW85" i="30"/>
  <c r="AI36" i="30"/>
  <c r="AW36" i="30"/>
  <c r="AI205" i="30"/>
  <c r="AL84" i="30"/>
  <c r="AI167" i="30"/>
  <c r="AL191" i="30"/>
  <c r="AI162" i="30"/>
  <c r="AW191" i="30"/>
  <c r="AI118" i="30"/>
  <c r="AW84" i="30"/>
  <c r="AI159" i="30"/>
  <c r="AI73" i="30"/>
  <c r="AW141" i="30"/>
  <c r="AI106" i="30"/>
  <c r="AW101" i="30"/>
  <c r="AI101" i="30"/>
  <c r="AI81" i="30"/>
  <c r="AW77" i="30"/>
  <c r="AL173" i="30"/>
  <c r="AW86" i="30"/>
  <c r="AW102" i="30"/>
  <c r="AW137" i="30"/>
  <c r="AI137" i="30"/>
  <c r="AI41" i="30"/>
  <c r="AI117" i="30"/>
  <c r="AL203" i="30"/>
  <c r="AI61" i="30"/>
  <c r="AI132" i="30"/>
  <c r="AL132" i="30"/>
  <c r="AW47" i="30"/>
  <c r="AI140" i="30"/>
  <c r="AI12" i="30"/>
  <c r="AL46" i="30"/>
  <c r="AI43" i="30"/>
  <c r="AW159" i="30"/>
  <c r="AW171" i="30"/>
  <c r="AW139" i="30"/>
  <c r="AL171" i="30"/>
  <c r="AW162" i="30"/>
  <c r="AL139" i="30"/>
  <c r="AW112" i="30"/>
  <c r="AW205" i="30"/>
  <c r="AL107" i="30"/>
  <c r="AI33" i="30"/>
  <c r="AW167" i="30"/>
  <c r="AL140" i="30"/>
  <c r="AL42" i="30"/>
  <c r="AL188" i="30"/>
  <c r="AL25" i="30"/>
  <c r="AI42" i="30"/>
  <c r="AI87" i="30"/>
  <c r="AI113" i="30"/>
  <c r="AI19" i="30"/>
  <c r="AI24" i="30"/>
  <c r="AI91" i="30"/>
  <c r="AL99" i="30"/>
  <c r="AL87" i="30"/>
  <c r="AW203" i="30"/>
  <c r="AI77" i="30"/>
  <c r="AI46" i="30"/>
  <c r="AW3" i="30"/>
  <c r="AW78" i="30"/>
  <c r="AW30" i="30"/>
  <c r="AI25" i="30"/>
  <c r="AI3" i="30"/>
  <c r="AL106" i="30"/>
  <c r="AI39" i="30"/>
  <c r="AI173" i="30"/>
  <c r="AI141" i="30"/>
  <c r="AL118" i="30"/>
  <c r="AW110" i="30"/>
  <c r="AL43" i="30"/>
  <c r="AI122" i="30"/>
  <c r="AI30" i="30"/>
  <c r="AI188" i="30"/>
  <c r="AL78" i="30"/>
  <c r="AI17" i="30"/>
  <c r="AL17" i="30"/>
  <c r="AL61" i="30"/>
  <c r="AI131" i="30"/>
  <c r="AI66" i="30"/>
  <c r="AW61" i="30"/>
  <c r="AI115" i="30"/>
  <c r="AI151" i="30"/>
  <c r="AL66" i="30"/>
  <c r="AW67" i="30"/>
  <c r="AI133" i="30"/>
  <c r="AL117" i="30"/>
  <c r="AL60" i="30"/>
  <c r="AW179" i="30"/>
  <c r="AW44" i="30"/>
  <c r="AL24" i="30"/>
  <c r="AW107" i="30"/>
  <c r="AL88" i="30"/>
  <c r="AI86" i="30"/>
  <c r="AW66" i="30"/>
  <c r="AW56" i="30"/>
  <c r="AW104" i="30"/>
  <c r="AW174" i="30"/>
  <c r="AI80" i="30"/>
  <c r="AL113" i="30"/>
  <c r="AI179" i="30"/>
  <c r="AW133" i="30"/>
  <c r="AL80" i="30"/>
  <c r="AI28" i="30"/>
  <c r="AI5" i="30"/>
  <c r="AI111" i="30"/>
  <c r="AI99" i="30"/>
  <c r="AW178" i="30"/>
  <c r="AI88" i="30"/>
  <c r="AL125" i="30"/>
  <c r="AI27" i="30"/>
  <c r="AI102" i="30"/>
  <c r="AL38" i="30"/>
  <c r="AL55" i="30"/>
  <c r="AI54" i="30"/>
  <c r="AL5" i="30"/>
  <c r="AL115" i="30"/>
  <c r="AL91" i="30"/>
  <c r="AL111" i="30"/>
  <c r="AW4" i="30"/>
  <c r="AW93" i="30"/>
  <c r="AL54" i="30"/>
  <c r="AW130" i="30"/>
  <c r="AI108" i="30"/>
  <c r="AI60" i="30"/>
  <c r="AI21" i="30"/>
  <c r="AL21" i="30"/>
  <c r="AW194" i="30"/>
  <c r="AW41" i="30"/>
  <c r="AW120" i="30"/>
  <c r="AW27" i="30"/>
  <c r="AW98" i="30"/>
  <c r="AW12" i="30"/>
  <c r="AL160" i="30"/>
  <c r="AW75" i="30"/>
  <c r="AL19" i="30"/>
  <c r="AW108" i="30"/>
  <c r="AL130" i="30"/>
  <c r="AW131" i="30"/>
  <c r="AI75" i="30"/>
  <c r="AL166" i="30"/>
  <c r="AI194" i="30"/>
  <c r="AW28" i="30"/>
  <c r="AI174" i="30"/>
  <c r="AW126" i="30"/>
  <c r="AI155" i="30"/>
  <c r="AW151" i="30"/>
  <c r="AL180" i="30"/>
  <c r="AL92" i="30"/>
  <c r="AL155" i="30"/>
  <c r="AI160" i="30"/>
  <c r="AI143" i="30"/>
  <c r="AL138" i="30"/>
  <c r="AI125" i="30"/>
  <c r="AL202" i="30"/>
  <c r="AL121" i="30"/>
  <c r="AI47" i="30"/>
  <c r="AW121" i="30"/>
  <c r="AW166" i="30"/>
  <c r="AI202" i="30"/>
  <c r="AL193" i="30"/>
  <c r="AW6" i="30"/>
  <c r="AW57" i="30"/>
  <c r="AW92" i="30"/>
  <c r="AW155" i="30"/>
  <c r="AI4" i="30"/>
  <c r="AI56" i="30"/>
  <c r="AW198" i="30"/>
  <c r="AI52" i="30"/>
  <c r="AI67" i="30"/>
  <c r="AI178" i="30"/>
  <c r="AL161" i="30"/>
  <c r="AI164" i="30"/>
  <c r="AL163" i="30"/>
  <c r="AI163" i="30"/>
  <c r="AI79" i="30"/>
  <c r="AL104" i="30"/>
  <c r="AW82" i="30"/>
  <c r="AI193" i="30"/>
  <c r="AL187" i="30"/>
  <c r="AI190" i="30"/>
  <c r="AL73" i="30"/>
  <c r="AL72" i="30"/>
  <c r="AI93" i="30"/>
  <c r="AI72" i="30"/>
  <c r="AL79" i="30"/>
  <c r="AW122" i="30"/>
  <c r="AL164" i="30"/>
  <c r="AI134" i="30"/>
  <c r="AI149" i="30"/>
  <c r="AI129" i="30"/>
  <c r="AL143" i="30"/>
  <c r="AI135" i="30"/>
  <c r="AI136" i="30"/>
  <c r="AL52" i="30"/>
  <c r="AW143" i="30"/>
  <c r="AL198" i="30"/>
  <c r="AI98" i="30"/>
  <c r="AL136" i="30"/>
  <c r="AW134" i="30"/>
  <c r="AI22" i="30"/>
  <c r="AI138" i="30"/>
  <c r="AL110" i="30"/>
  <c r="AW175" i="30"/>
  <c r="AW129" i="30"/>
  <c r="AL6" i="30"/>
  <c r="AL135" i="30"/>
  <c r="AI124" i="30"/>
  <c r="AI119" i="30"/>
  <c r="AI114" i="30"/>
  <c r="AI120" i="30"/>
  <c r="AI195" i="30"/>
  <c r="AI126" i="30"/>
  <c r="AL119" i="30"/>
  <c r="AI175" i="30"/>
  <c r="AI145" i="30"/>
  <c r="AI82" i="30"/>
  <c r="AL114" i="30"/>
  <c r="AL123" i="30"/>
  <c r="AW149" i="30"/>
  <c r="AL185" i="30"/>
  <c r="AL83" i="30"/>
  <c r="AI69" i="30"/>
  <c r="AW39" i="30"/>
  <c r="AL190" i="30"/>
  <c r="AI57" i="30"/>
  <c r="AL146" i="30"/>
  <c r="AW105" i="30"/>
  <c r="AI37" i="30"/>
  <c r="AL105" i="30"/>
  <c r="AL145" i="30"/>
  <c r="AI58" i="30"/>
  <c r="AI180" i="30"/>
  <c r="AI83" i="30"/>
  <c r="AI146" i="30"/>
  <c r="AI38" i="30"/>
  <c r="AI112" i="30"/>
  <c r="AW96" i="30"/>
  <c r="AI161" i="30"/>
  <c r="AI187" i="30"/>
  <c r="AI76" i="30"/>
  <c r="AI55" i="30"/>
  <c r="AL76" i="30"/>
  <c r="AL58" i="30"/>
  <c r="AI158" i="30"/>
  <c r="AI123" i="30"/>
  <c r="AL96" i="30"/>
  <c r="AL37" i="30"/>
  <c r="AI53" i="30"/>
  <c r="I1" i="30"/>
  <c r="AI185" i="30"/>
  <c r="AL124" i="30"/>
  <c r="AL53" i="30"/>
  <c r="AI156" i="30"/>
  <c r="AI50" i="30"/>
  <c r="AW53" i="30"/>
  <c r="AI148" i="30"/>
  <c r="AL50" i="30"/>
  <c r="AL33" i="30"/>
  <c r="AW158" i="30"/>
  <c r="AW33" i="30"/>
  <c r="AW97" i="30"/>
  <c r="AL22" i="30"/>
  <c r="AI184" i="30"/>
  <c r="AW144" i="30"/>
  <c r="AW195" i="30"/>
  <c r="AI144" i="30"/>
  <c r="AW156" i="30"/>
  <c r="AW69" i="30"/>
  <c r="AW184" i="30"/>
  <c r="AL97" i="30"/>
  <c r="AW148" i="30"/>
  <c r="AL69" i="30"/>
  <c r="H1" i="30"/>
  <c r="AJ1" i="30"/>
  <c r="AI154" i="30"/>
  <c r="AI152" i="30"/>
  <c r="AW152" i="30"/>
  <c r="AL154" i="30"/>
  <c r="AW154" i="30"/>
  <c r="BD4" i="1"/>
  <c r="L198" i="1"/>
  <c r="E577" i="12"/>
  <c r="E576" i="12"/>
  <c r="E575" i="12"/>
  <c r="D198" i="1" a="1"/>
  <c r="D3" i="1" a="1"/>
  <c r="D3" i="1" l="1"/>
  <c r="D198" i="1"/>
  <c r="L197" i="1" l="1"/>
  <c r="F197" i="1"/>
  <c r="E568" i="12"/>
  <c r="E567" i="12"/>
  <c r="E566" i="12"/>
  <c r="L196" i="1"/>
  <c r="D197" i="1" a="1"/>
  <c r="D197" i="1" l="1"/>
  <c r="AJ197" i="1" s="1"/>
  <c r="L195" i="1"/>
  <c r="L194" i="1"/>
  <c r="I206" i="6"/>
  <c r="L193" i="1"/>
  <c r="E562" i="12"/>
  <c r="E561" i="12"/>
  <c r="E560" i="12"/>
  <c r="L192" i="1"/>
  <c r="F192" i="1"/>
  <c r="L191" i="1"/>
  <c r="L190" i="1"/>
  <c r="F191" i="1"/>
  <c r="L189" i="1"/>
  <c r="L188" i="1"/>
  <c r="L187" i="1"/>
  <c r="L186" i="1"/>
  <c r="L185" i="1"/>
  <c r="L184" i="1"/>
  <c r="E529" i="12"/>
  <c r="E528" i="12"/>
  <c r="E527" i="12"/>
  <c r="AC184" i="1"/>
  <c r="F168" i="1"/>
  <c r="L183" i="1"/>
  <c r="L182" i="1"/>
  <c r="L181" i="1"/>
  <c r="F161" i="1"/>
  <c r="F162" i="1"/>
  <c r="F163" i="1"/>
  <c r="F164" i="1"/>
  <c r="F167" i="1"/>
  <c r="F175" i="1"/>
  <c r="F62" i="1"/>
  <c r="F67" i="1"/>
  <c r="F78" i="1"/>
  <c r="F90" i="1"/>
  <c r="J1" i="1"/>
  <c r="F91" i="1"/>
  <c r="F116" i="1"/>
  <c r="F121" i="1"/>
  <c r="F129" i="1"/>
  <c r="F130" i="1"/>
  <c r="F135" i="1"/>
  <c r="F141" i="1"/>
  <c r="F142" i="1"/>
  <c r="F143" i="1"/>
  <c r="F145" i="1"/>
  <c r="F146" i="1"/>
  <c r="F147" i="1"/>
  <c r="F148" i="1"/>
  <c r="F149" i="1"/>
  <c r="L180" i="1"/>
  <c r="L179" i="1"/>
  <c r="E520" i="12"/>
  <c r="E519" i="12"/>
  <c r="E518" i="12"/>
  <c r="L178" i="1"/>
  <c r="S126" i="1"/>
  <c r="AA126" i="1" s="1"/>
  <c r="E517" i="12"/>
  <c r="E516" i="12"/>
  <c r="E515" i="12"/>
  <c r="E514" i="12"/>
  <c r="E513" i="12"/>
  <c r="E512" i="12"/>
  <c r="L177" i="1"/>
  <c r="AC175" i="1"/>
  <c r="L176" i="1"/>
  <c r="L175" i="1"/>
  <c r="L174" i="1"/>
  <c r="L173" i="1"/>
  <c r="L172" i="1"/>
  <c r="AC171" i="1"/>
  <c r="L171" i="1"/>
  <c r="L169" i="1"/>
  <c r="L168" i="1"/>
  <c r="L167" i="1"/>
  <c r="L165" i="1"/>
  <c r="L164" i="1"/>
  <c r="L163" i="1"/>
  <c r="L162" i="1"/>
  <c r="L161" i="1"/>
  <c r="L166" i="1"/>
  <c r="AC163" i="1"/>
  <c r="E451" i="12"/>
  <c r="E450" i="12"/>
  <c r="E449" i="12"/>
  <c r="L155" i="1"/>
  <c r="L156" i="1"/>
  <c r="E448" i="12"/>
  <c r="E447" i="12"/>
  <c r="E446" i="12"/>
  <c r="L154" i="1"/>
  <c r="C154" i="1"/>
  <c r="E445" i="12"/>
  <c r="E444" i="12"/>
  <c r="E443" i="12"/>
  <c r="E442" i="12"/>
  <c r="E441" i="12"/>
  <c r="E440" i="12"/>
  <c r="E439" i="12"/>
  <c r="E438" i="12"/>
  <c r="E437" i="12"/>
  <c r="L153" i="1"/>
  <c r="C153" i="1"/>
  <c r="S153" i="1" s="1"/>
  <c r="AA153" i="1" s="1"/>
  <c r="B7" i="25"/>
  <c r="B6" i="25"/>
  <c r="E15" i="25"/>
  <c r="F15" i="25"/>
  <c r="G15" i="25"/>
  <c r="H15" i="25"/>
  <c r="C15" i="25"/>
  <c r="D15" i="25"/>
  <c r="AD152" i="1"/>
  <c r="AD85" i="1"/>
  <c r="AD140" i="1"/>
  <c r="AC152" i="1"/>
  <c r="W152" i="1"/>
  <c r="H3" i="3" s="1" a="1"/>
  <c r="H3" i="3" s="1"/>
  <c r="V152" i="1"/>
  <c r="G13" i="3" s="1" a="1"/>
  <c r="G13" i="3" s="1"/>
  <c r="U152" i="1"/>
  <c r="F13" i="3" s="1" a="1"/>
  <c r="F13" i="3" s="1"/>
  <c r="T152" i="1"/>
  <c r="E13" i="3" s="1" a="1"/>
  <c r="E13" i="3" s="1"/>
  <c r="L152" i="1"/>
  <c r="C152" i="1"/>
  <c r="S152" i="1" s="1"/>
  <c r="B2" i="25"/>
  <c r="B3" i="25"/>
  <c r="B4" i="25"/>
  <c r="B5" i="25"/>
  <c r="B8" i="25"/>
  <c r="B9" i="25"/>
  <c r="B10" i="25"/>
  <c r="B11" i="25"/>
  <c r="B12" i="25"/>
  <c r="B13" i="25"/>
  <c r="B14" i="25"/>
  <c r="E436" i="12"/>
  <c r="E435" i="12"/>
  <c r="E434" i="12"/>
  <c r="L150" i="1"/>
  <c r="E430" i="12"/>
  <c r="E429" i="12"/>
  <c r="E428" i="12"/>
  <c r="E433" i="12"/>
  <c r="E432" i="12"/>
  <c r="E431" i="12"/>
  <c r="L148" i="1"/>
  <c r="L149" i="1"/>
  <c r="E427" i="12"/>
  <c r="E426" i="12"/>
  <c r="E425" i="12"/>
  <c r="L147" i="1"/>
  <c r="L146" i="1"/>
  <c r="L145" i="1"/>
  <c r="E418" i="12"/>
  <c r="E417" i="12"/>
  <c r="E416" i="12"/>
  <c r="E409" i="12"/>
  <c r="E408" i="12"/>
  <c r="E407" i="12"/>
  <c r="E406" i="12"/>
  <c r="E405" i="12"/>
  <c r="E404" i="12"/>
  <c r="L141" i="1"/>
  <c r="L142" i="1"/>
  <c r="L143" i="1"/>
  <c r="L139" i="1"/>
  <c r="E400" i="12"/>
  <c r="E399" i="12"/>
  <c r="E398" i="12"/>
  <c r="L138" i="1"/>
  <c r="E397" i="12"/>
  <c r="E396" i="12"/>
  <c r="E395" i="12"/>
  <c r="E391" i="12"/>
  <c r="E390" i="12"/>
  <c r="E389" i="12"/>
  <c r="E388" i="12"/>
  <c r="E387" i="12"/>
  <c r="E386" i="12"/>
  <c r="L137" i="1"/>
  <c r="L135" i="1"/>
  <c r="L136" i="1"/>
  <c r="AE134" i="1"/>
  <c r="E385" i="12"/>
  <c r="E384" i="12"/>
  <c r="E383" i="12"/>
  <c r="L132" i="1"/>
  <c r="E370" i="12"/>
  <c r="E369" i="12"/>
  <c r="E368" i="12"/>
  <c r="L127" i="1"/>
  <c r="E361" i="12"/>
  <c r="E360" i="12"/>
  <c r="E359" i="12"/>
  <c r="L125" i="1"/>
  <c r="E358" i="12"/>
  <c r="E356" i="12"/>
  <c r="E355" i="12"/>
  <c r="L112" i="1"/>
  <c r="S112" i="1"/>
  <c r="AA112" i="1" s="1"/>
  <c r="AC112" i="1"/>
  <c r="AR112" i="1"/>
  <c r="AW112" i="1"/>
  <c r="S113" i="1"/>
  <c r="AA113" i="1" s="1"/>
  <c r="AR113" i="1"/>
  <c r="AW113" i="1"/>
  <c r="AX113" i="1" s="1"/>
  <c r="S114" i="1"/>
  <c r="AA114" i="1" s="1"/>
  <c r="AR114" i="1"/>
  <c r="AW114" i="1"/>
  <c r="AX114" i="1" s="1"/>
  <c r="S115" i="1"/>
  <c r="AA115" i="1" s="1"/>
  <c r="AR115" i="1"/>
  <c r="AW115" i="1"/>
  <c r="AX115" i="1" s="1"/>
  <c r="S116" i="1"/>
  <c r="AA116" i="1" s="1"/>
  <c r="AR116" i="1"/>
  <c r="AW116" i="1"/>
  <c r="AX116" i="1" s="1"/>
  <c r="S117" i="1"/>
  <c r="AA117" i="1" s="1"/>
  <c r="AR117" i="1"/>
  <c r="AW117" i="1"/>
  <c r="AX117" i="1" s="1"/>
  <c r="S118" i="1"/>
  <c r="AA118" i="1" s="1"/>
  <c r="AR118" i="1"/>
  <c r="AW118" i="1"/>
  <c r="AX118" i="1" s="1"/>
  <c r="S119" i="1"/>
  <c r="AA119" i="1" s="1"/>
  <c r="AR119" i="1"/>
  <c r="AW119" i="1"/>
  <c r="AX119" i="1" s="1"/>
  <c r="S120" i="1"/>
  <c r="AA120" i="1" s="1"/>
  <c r="AR120" i="1"/>
  <c r="AW120" i="1"/>
  <c r="AX120" i="1" s="1"/>
  <c r="S121" i="1"/>
  <c r="AA121" i="1" s="1"/>
  <c r="AR121" i="1"/>
  <c r="AW121" i="1"/>
  <c r="AX121" i="1" s="1"/>
  <c r="S3" i="1"/>
  <c r="AA3" i="1" s="1"/>
  <c r="S4" i="1"/>
  <c r="AA4" i="1" s="1"/>
  <c r="S5" i="1"/>
  <c r="AA5" i="1" s="1"/>
  <c r="S6" i="1"/>
  <c r="AA6" i="1" s="1"/>
  <c r="S7" i="1"/>
  <c r="AA7" i="1" s="1"/>
  <c r="S8" i="1"/>
  <c r="AA8" i="1" s="1"/>
  <c r="S9" i="1"/>
  <c r="AA9" i="1" s="1"/>
  <c r="S10" i="1"/>
  <c r="AA10" i="1" s="1"/>
  <c r="S11" i="1"/>
  <c r="AA11" i="1" s="1"/>
  <c r="S12" i="1"/>
  <c r="AA12" i="1" s="1"/>
  <c r="S13" i="1"/>
  <c r="AA13" i="1" s="1"/>
  <c r="S14" i="1"/>
  <c r="AA14" i="1" s="1"/>
  <c r="S15" i="1"/>
  <c r="AA15" i="1" s="1"/>
  <c r="S16" i="1"/>
  <c r="AA16" i="1" s="1"/>
  <c r="S17" i="1"/>
  <c r="AA17" i="1" s="1"/>
  <c r="S18" i="1"/>
  <c r="AA18" i="1" s="1"/>
  <c r="S19" i="1"/>
  <c r="AA19" i="1" s="1"/>
  <c r="S20" i="1"/>
  <c r="AA20" i="1" s="1"/>
  <c r="S21" i="1"/>
  <c r="AA21" i="1" s="1"/>
  <c r="S22" i="1"/>
  <c r="AA22" i="1" s="1"/>
  <c r="S23" i="1"/>
  <c r="AA23" i="1" s="1"/>
  <c r="S24" i="1"/>
  <c r="AA24" i="1" s="1"/>
  <c r="S25" i="1"/>
  <c r="AA25" i="1" s="1"/>
  <c r="S26" i="1"/>
  <c r="S27" i="1"/>
  <c r="AA27" i="1" s="1"/>
  <c r="S28" i="1"/>
  <c r="AA28" i="1" s="1"/>
  <c r="S29" i="1"/>
  <c r="AA29" i="1" s="1"/>
  <c r="S30" i="1"/>
  <c r="AA30" i="1" s="1"/>
  <c r="S31" i="1"/>
  <c r="AA31" i="1" s="1"/>
  <c r="S32" i="1"/>
  <c r="AA32" i="1" s="1"/>
  <c r="S33" i="1"/>
  <c r="AA33" i="1" s="1"/>
  <c r="S34" i="1"/>
  <c r="AA34" i="1" s="1"/>
  <c r="S35" i="1"/>
  <c r="AA35" i="1" s="1"/>
  <c r="S36" i="1"/>
  <c r="AA36" i="1" s="1"/>
  <c r="S37" i="1"/>
  <c r="AA37" i="1" s="1"/>
  <c r="S38" i="1"/>
  <c r="AA38" i="1" s="1"/>
  <c r="S39" i="1"/>
  <c r="AA39" i="1" s="1"/>
  <c r="S40" i="1"/>
  <c r="AA40" i="1" s="1"/>
  <c r="S41" i="1"/>
  <c r="AA41" i="1" s="1"/>
  <c r="S42" i="1"/>
  <c r="AA42" i="1" s="1"/>
  <c r="S43" i="1"/>
  <c r="AA43" i="1" s="1"/>
  <c r="S44" i="1"/>
  <c r="AA44" i="1" s="1"/>
  <c r="S45" i="1"/>
  <c r="AA45" i="1" s="1"/>
  <c r="S46" i="1"/>
  <c r="AA46" i="1" s="1"/>
  <c r="S47" i="1"/>
  <c r="AA47" i="1" s="1"/>
  <c r="S48" i="1"/>
  <c r="AA48" i="1" s="1"/>
  <c r="S49" i="1"/>
  <c r="AA49" i="1" s="1"/>
  <c r="S50" i="1"/>
  <c r="AA50" i="1" s="1"/>
  <c r="S51" i="1"/>
  <c r="AA51" i="1" s="1"/>
  <c r="S52" i="1"/>
  <c r="AA52" i="1" s="1"/>
  <c r="S53" i="1"/>
  <c r="AA53" i="1" s="1"/>
  <c r="S54" i="1"/>
  <c r="AA54" i="1" s="1"/>
  <c r="S55" i="1"/>
  <c r="AA55" i="1" s="1"/>
  <c r="S56" i="1"/>
  <c r="AA56" i="1" s="1"/>
  <c r="S57" i="1"/>
  <c r="AA57" i="1" s="1"/>
  <c r="S58" i="1"/>
  <c r="AA58" i="1" s="1"/>
  <c r="S59" i="1"/>
  <c r="AA59" i="1" s="1"/>
  <c r="S60" i="1"/>
  <c r="AA60" i="1" s="1"/>
  <c r="S61" i="1"/>
  <c r="AA61" i="1" s="1"/>
  <c r="S62" i="1"/>
  <c r="AA62" i="1" s="1"/>
  <c r="S63" i="1"/>
  <c r="AA63" i="1" s="1"/>
  <c r="S64" i="1"/>
  <c r="AA64" i="1" s="1"/>
  <c r="S65" i="1"/>
  <c r="AA65" i="1" s="1"/>
  <c r="S66" i="1"/>
  <c r="AA66" i="1" s="1"/>
  <c r="S67" i="1"/>
  <c r="AA67" i="1" s="1"/>
  <c r="S68" i="1"/>
  <c r="S69" i="1"/>
  <c r="AA69" i="1" s="1"/>
  <c r="S70" i="1"/>
  <c r="AA70" i="1" s="1"/>
  <c r="S71" i="1"/>
  <c r="AA71" i="1" s="1"/>
  <c r="S72" i="1"/>
  <c r="AA72" i="1" s="1"/>
  <c r="S73" i="1"/>
  <c r="AA73" i="1" s="1"/>
  <c r="S74" i="1"/>
  <c r="AA74" i="1" s="1"/>
  <c r="S75" i="1"/>
  <c r="AA75" i="1" s="1"/>
  <c r="S76" i="1"/>
  <c r="AA76" i="1" s="1"/>
  <c r="S77" i="1"/>
  <c r="AA77" i="1" s="1"/>
  <c r="S78" i="1"/>
  <c r="AA78" i="1" s="1"/>
  <c r="S79" i="1"/>
  <c r="AA79" i="1" s="1"/>
  <c r="S80" i="1"/>
  <c r="AA80" i="1" s="1"/>
  <c r="S81" i="1"/>
  <c r="AA81" i="1" s="1"/>
  <c r="S82" i="1"/>
  <c r="AA82" i="1" s="1"/>
  <c r="S83" i="1"/>
  <c r="AA83" i="1" s="1"/>
  <c r="S84" i="1"/>
  <c r="AA84" i="1" s="1"/>
  <c r="S85" i="1"/>
  <c r="AA85" i="1" s="1"/>
  <c r="S86" i="1"/>
  <c r="AA86" i="1" s="1"/>
  <c r="S87" i="1"/>
  <c r="AA87" i="1" s="1"/>
  <c r="S88" i="1"/>
  <c r="AA88" i="1" s="1"/>
  <c r="S89" i="1"/>
  <c r="AA89" i="1" s="1"/>
  <c r="S90" i="1"/>
  <c r="AA90" i="1" s="1"/>
  <c r="S91" i="1"/>
  <c r="AA91" i="1" s="1"/>
  <c r="S92" i="1"/>
  <c r="S93" i="1"/>
  <c r="AA93" i="1" s="1"/>
  <c r="S94" i="1"/>
  <c r="AA94" i="1" s="1"/>
  <c r="S95" i="1"/>
  <c r="AA95" i="1" s="1"/>
  <c r="S96" i="1"/>
  <c r="AA96" i="1" s="1"/>
  <c r="S97" i="1"/>
  <c r="AA97" i="1" s="1"/>
  <c r="S98" i="1"/>
  <c r="AA98" i="1" s="1"/>
  <c r="S99" i="1"/>
  <c r="AA99" i="1" s="1"/>
  <c r="S100" i="1"/>
  <c r="AA100" i="1" s="1"/>
  <c r="S101" i="1"/>
  <c r="AA101" i="1" s="1"/>
  <c r="S102" i="1"/>
  <c r="AA102" i="1" s="1"/>
  <c r="S103" i="1"/>
  <c r="AA103" i="1" s="1"/>
  <c r="S104" i="1"/>
  <c r="S105" i="1"/>
  <c r="AA105" i="1" s="1"/>
  <c r="S106" i="1"/>
  <c r="AA106" i="1" s="1"/>
  <c r="S107" i="1"/>
  <c r="AA107" i="1" s="1"/>
  <c r="S108" i="1"/>
  <c r="AA108" i="1" s="1"/>
  <c r="S109" i="1"/>
  <c r="AA109" i="1" s="1"/>
  <c r="S110" i="1"/>
  <c r="AA110" i="1" s="1"/>
  <c r="S111" i="1"/>
  <c r="AA111" i="1" s="1"/>
  <c r="S122" i="1"/>
  <c r="AA122" i="1" s="1"/>
  <c r="S123" i="1"/>
  <c r="AA123" i="1" s="1"/>
  <c r="S124" i="1"/>
  <c r="AA124" i="1" s="1"/>
  <c r="S125" i="1"/>
  <c r="AA125" i="1" s="1"/>
  <c r="S127" i="1"/>
  <c r="AA127" i="1" s="1"/>
  <c r="S128" i="1"/>
  <c r="AA128" i="1" s="1"/>
  <c r="S129" i="1"/>
  <c r="AA129" i="1" s="1"/>
  <c r="S130" i="1"/>
  <c r="AA130" i="1" s="1"/>
  <c r="S131" i="1"/>
  <c r="AA131" i="1" s="1"/>
  <c r="S132" i="1"/>
  <c r="AA132" i="1" s="1"/>
  <c r="S133" i="1"/>
  <c r="AA133" i="1" s="1"/>
  <c r="S134" i="1"/>
  <c r="AA134" i="1" s="1"/>
  <c r="S135" i="1"/>
  <c r="S136" i="1"/>
  <c r="AA136" i="1" s="1"/>
  <c r="S137" i="1"/>
  <c r="AA137" i="1" s="1"/>
  <c r="S138" i="1"/>
  <c r="AA138" i="1" s="1"/>
  <c r="S139" i="1"/>
  <c r="AA139" i="1" s="1"/>
  <c r="S140" i="1"/>
  <c r="AA140" i="1" s="1"/>
  <c r="S141" i="1"/>
  <c r="AA141" i="1" s="1"/>
  <c r="S142" i="1"/>
  <c r="AA142" i="1" s="1"/>
  <c r="S143" i="1"/>
  <c r="AA143" i="1" s="1"/>
  <c r="S144" i="1"/>
  <c r="AA144" i="1" s="1"/>
  <c r="S145" i="1"/>
  <c r="AA145" i="1" s="1"/>
  <c r="S146" i="1"/>
  <c r="AA146" i="1" s="1"/>
  <c r="S147" i="1"/>
  <c r="AA147" i="1" s="1"/>
  <c r="S148" i="1"/>
  <c r="AA148" i="1" s="1"/>
  <c r="S149" i="1"/>
  <c r="AA149" i="1" s="1"/>
  <c r="S150" i="1"/>
  <c r="AA150" i="1" s="1"/>
  <c r="S151" i="1"/>
  <c r="AA151" i="1" s="1"/>
  <c r="S155" i="1"/>
  <c r="AA155" i="1" s="1"/>
  <c r="S156" i="1"/>
  <c r="AA156" i="1" s="1"/>
  <c r="S157" i="1"/>
  <c r="AA157" i="1" s="1"/>
  <c r="S158" i="1"/>
  <c r="AA158" i="1" s="1"/>
  <c r="S159" i="1"/>
  <c r="AA159" i="1" s="1"/>
  <c r="S160" i="1"/>
  <c r="AA160" i="1" s="1"/>
  <c r="S161" i="1"/>
  <c r="AA161" i="1" s="1"/>
  <c r="S162" i="1"/>
  <c r="AA162" i="1" s="1"/>
  <c r="S163" i="1"/>
  <c r="AA163" i="1" s="1"/>
  <c r="S164" i="1"/>
  <c r="AA164" i="1" s="1"/>
  <c r="S165" i="1"/>
  <c r="AA165" i="1" s="1"/>
  <c r="S166" i="1"/>
  <c r="AA166" i="1" s="1"/>
  <c r="S167" i="1"/>
  <c r="AA167" i="1" s="1"/>
  <c r="S168" i="1"/>
  <c r="AA168" i="1" s="1"/>
  <c r="S169" i="1"/>
  <c r="AA169" i="1" s="1"/>
  <c r="S170" i="1"/>
  <c r="AA170" i="1" s="1"/>
  <c r="S171" i="1"/>
  <c r="AA171" i="1" s="1"/>
  <c r="S172" i="1"/>
  <c r="AA172" i="1" s="1"/>
  <c r="S173" i="1"/>
  <c r="AA173" i="1" s="1"/>
  <c r="S174" i="1"/>
  <c r="AA174" i="1" s="1"/>
  <c r="S175" i="1"/>
  <c r="AA175" i="1" s="1"/>
  <c r="S176" i="1"/>
  <c r="AA176" i="1" s="1"/>
  <c r="S177" i="1"/>
  <c r="AA177" i="1" s="1"/>
  <c r="S178" i="1"/>
  <c r="AA178" i="1" s="1"/>
  <c r="S179" i="1"/>
  <c r="AA179" i="1" s="1"/>
  <c r="S180" i="1"/>
  <c r="AA180" i="1" s="1"/>
  <c r="S181" i="1"/>
  <c r="AA181" i="1" s="1"/>
  <c r="S182" i="1"/>
  <c r="AA182" i="1" s="1"/>
  <c r="S183" i="1"/>
  <c r="AA183" i="1" s="1"/>
  <c r="S184" i="1"/>
  <c r="AA184" i="1" s="1"/>
  <c r="S185" i="1"/>
  <c r="AA185" i="1" s="1"/>
  <c r="S186" i="1"/>
  <c r="AA186" i="1" s="1"/>
  <c r="S187" i="1"/>
  <c r="AA187" i="1" s="1"/>
  <c r="S188" i="1"/>
  <c r="AA188" i="1" s="1"/>
  <c r="S189" i="1"/>
  <c r="AA189" i="1" s="1"/>
  <c r="S190" i="1"/>
  <c r="AA190" i="1" s="1"/>
  <c r="S191" i="1"/>
  <c r="AA191" i="1" s="1"/>
  <c r="S192" i="1"/>
  <c r="AA192" i="1" s="1"/>
  <c r="S193" i="1"/>
  <c r="S194" i="1"/>
  <c r="AA194" i="1" s="1"/>
  <c r="S195" i="1"/>
  <c r="AA195" i="1" s="1"/>
  <c r="S196" i="1"/>
  <c r="AA196" i="1" s="1"/>
  <c r="S197" i="1"/>
  <c r="AA197" i="1" s="1"/>
  <c r="S198" i="1"/>
  <c r="AA198" i="1" s="1"/>
  <c r="S199" i="1"/>
  <c r="AA199" i="1" s="1"/>
  <c r="S200" i="1"/>
  <c r="AA200" i="1" s="1"/>
  <c r="S201" i="1"/>
  <c r="AA201" i="1" s="1"/>
  <c r="S202" i="1"/>
  <c r="AA202" i="1" s="1"/>
  <c r="S203" i="1"/>
  <c r="AA203" i="1" s="1"/>
  <c r="S204" i="1"/>
  <c r="AA204" i="1" s="1"/>
  <c r="S205" i="1"/>
  <c r="AA205" i="1" s="1"/>
  <c r="S206" i="1"/>
  <c r="AA206" i="1" s="1"/>
  <c r="S207" i="1"/>
  <c r="S208" i="1"/>
  <c r="AA208" i="1" s="1"/>
  <c r="S209" i="1"/>
  <c r="AA209" i="1" s="1"/>
  <c r="S210" i="1"/>
  <c r="AA210" i="1" s="1"/>
  <c r="S211" i="1"/>
  <c r="AA211" i="1" s="1"/>
  <c r="S212" i="1"/>
  <c r="AA212" i="1" s="1"/>
  <c r="S213" i="1"/>
  <c r="AA213" i="1" s="1"/>
  <c r="S214" i="1"/>
  <c r="AA214" i="1" s="1"/>
  <c r="S215" i="1"/>
  <c r="AA215" i="1" s="1"/>
  <c r="S216" i="1"/>
  <c r="AA216" i="1" s="1"/>
  <c r="S217" i="1"/>
  <c r="AA217" i="1" s="1"/>
  <c r="S218" i="1"/>
  <c r="AA218" i="1" s="1"/>
  <c r="S219" i="1"/>
  <c r="AA219" i="1" s="1"/>
  <c r="S220" i="1"/>
  <c r="S221" i="1"/>
  <c r="S222" i="1"/>
  <c r="AA222" i="1" s="1"/>
  <c r="AJ222" i="1"/>
  <c r="AV222" i="1" s="1"/>
  <c r="S223" i="1"/>
  <c r="AA223" i="1" s="1"/>
  <c r="AJ223" i="1"/>
  <c r="AV223" i="1" s="1"/>
  <c r="S224" i="1"/>
  <c r="AJ224" i="1"/>
  <c r="AV224" i="1" s="1"/>
  <c r="S225" i="1"/>
  <c r="AA225" i="1" s="1"/>
  <c r="S226" i="1"/>
  <c r="AA226" i="1" s="1"/>
  <c r="AJ226" i="1"/>
  <c r="S227" i="1"/>
  <c r="S228" i="1"/>
  <c r="AA228" i="1" s="1"/>
  <c r="S229" i="1"/>
  <c r="AA229" i="1" s="1"/>
  <c r="AJ229" i="1"/>
  <c r="AV229" i="1" s="1"/>
  <c r="S230" i="1"/>
  <c r="AA230" i="1" s="1"/>
  <c r="S231" i="1"/>
  <c r="AA231" i="1" s="1"/>
  <c r="S232" i="1"/>
  <c r="AA232" i="1" s="1"/>
  <c r="S233" i="1"/>
  <c r="S234" i="1"/>
  <c r="AA234" i="1" s="1"/>
  <c r="S235" i="1"/>
  <c r="AA235" i="1" s="1"/>
  <c r="S236" i="1"/>
  <c r="AA236" i="1" s="1"/>
  <c r="AJ236" i="1"/>
  <c r="AV236" i="1" s="1"/>
  <c r="S237" i="1"/>
  <c r="AA237" i="1" s="1"/>
  <c r="S238" i="1"/>
  <c r="AA238" i="1" s="1"/>
  <c r="S239" i="1"/>
  <c r="S240" i="1"/>
  <c r="AA240" i="1" s="1"/>
  <c r="S241" i="1"/>
  <c r="AA241" i="1" s="1"/>
  <c r="S242" i="1"/>
  <c r="AA242" i="1" s="1"/>
  <c r="S243" i="1"/>
  <c r="AA243" i="1" s="1"/>
  <c r="S244" i="1"/>
  <c r="AA244" i="1" s="1"/>
  <c r="S245" i="1"/>
  <c r="AA245" i="1" s="1"/>
  <c r="S246" i="1"/>
  <c r="AA246" i="1" s="1"/>
  <c r="S247" i="1"/>
  <c r="AA247" i="1" s="1"/>
  <c r="S248" i="1"/>
  <c r="AA248" i="1" s="1"/>
  <c r="S249" i="1"/>
  <c r="S250" i="1"/>
  <c r="AA250" i="1" s="1"/>
  <c r="S251" i="1"/>
  <c r="S252" i="1"/>
  <c r="AA252" i="1" s="1"/>
  <c r="S253" i="1"/>
  <c r="AA253" i="1" s="1"/>
  <c r="S254" i="1"/>
  <c r="AA254" i="1" s="1"/>
  <c r="S255" i="1"/>
  <c r="AA255" i="1" s="1"/>
  <c r="S256" i="1"/>
  <c r="AA256" i="1" s="1"/>
  <c r="S257" i="1"/>
  <c r="AA257" i="1" s="1"/>
  <c r="S258" i="1"/>
  <c r="AA258" i="1" s="1"/>
  <c r="S259" i="1"/>
  <c r="AA259" i="1" s="1"/>
  <c r="AJ259" i="1"/>
  <c r="AV259" i="1" s="1"/>
  <c r="S260" i="1"/>
  <c r="AJ260" i="1"/>
  <c r="AV260" i="1" s="1"/>
  <c r="S261" i="1"/>
  <c r="AA261" i="1" s="1"/>
  <c r="S262" i="1"/>
  <c r="AA262" i="1" s="1"/>
  <c r="AJ262" i="1"/>
  <c r="AV262" i="1" s="1"/>
  <c r="S263" i="1"/>
  <c r="AA263" i="1" s="1"/>
  <c r="AJ263" i="1"/>
  <c r="AV263" i="1" s="1"/>
  <c r="S264" i="1"/>
  <c r="AA264" i="1" s="1"/>
  <c r="S265" i="1"/>
  <c r="S266" i="1"/>
  <c r="AA266" i="1" s="1"/>
  <c r="S267" i="1"/>
  <c r="AA267" i="1" s="1"/>
  <c r="S268" i="1"/>
  <c r="AA268" i="1" s="1"/>
  <c r="S269" i="1"/>
  <c r="S270" i="1"/>
  <c r="S271" i="1"/>
  <c r="AA271" i="1" s="1"/>
  <c r="S272" i="1"/>
  <c r="AA272" i="1" s="1"/>
  <c r="S273" i="1"/>
  <c r="AA273" i="1" s="1"/>
  <c r="S274" i="1"/>
  <c r="AA274" i="1" s="1"/>
  <c r="S275" i="1"/>
  <c r="S276" i="1"/>
  <c r="AA276" i="1" s="1"/>
  <c r="S277" i="1"/>
  <c r="AA277" i="1" s="1"/>
  <c r="S278" i="1"/>
  <c r="AA278" i="1" s="1"/>
  <c r="S279" i="1"/>
  <c r="AA279" i="1" s="1"/>
  <c r="S280" i="1"/>
  <c r="AA280" i="1" s="1"/>
  <c r="S281" i="1"/>
  <c r="AA281" i="1" s="1"/>
  <c r="AJ281" i="1"/>
  <c r="AV281" i="1" s="1"/>
  <c r="S282" i="1"/>
  <c r="AA282" i="1" s="1"/>
  <c r="S283" i="1"/>
  <c r="S284" i="1"/>
  <c r="AA284" i="1" s="1"/>
  <c r="S285" i="1"/>
  <c r="AA285" i="1" s="1"/>
  <c r="S286" i="1"/>
  <c r="AA286" i="1" s="1"/>
  <c r="AJ286" i="1"/>
  <c r="AV286" i="1" s="1"/>
  <c r="S287" i="1"/>
  <c r="AA287" i="1" s="1"/>
  <c r="S288" i="1"/>
  <c r="AA288" i="1" s="1"/>
  <c r="S289" i="1"/>
  <c r="AA289" i="1" s="1"/>
  <c r="S290" i="1"/>
  <c r="AA290" i="1" s="1"/>
  <c r="S291" i="1"/>
  <c r="AA291" i="1" s="1"/>
  <c r="AJ291" i="1"/>
  <c r="S292" i="1"/>
  <c r="S293" i="1"/>
  <c r="S294" i="1"/>
  <c r="AA294" i="1" s="1"/>
  <c r="AJ294" i="1"/>
  <c r="AV294" i="1" s="1"/>
  <c r="S295" i="1"/>
  <c r="AA295" i="1" s="1"/>
  <c r="S296" i="1"/>
  <c r="AA296" i="1" s="1"/>
  <c r="S297" i="1"/>
  <c r="S298" i="1"/>
  <c r="AA298" i="1" s="1"/>
  <c r="S299" i="1"/>
  <c r="AA299" i="1" s="1"/>
  <c r="S300" i="1"/>
  <c r="AA300" i="1" s="1"/>
  <c r="S301" i="1"/>
  <c r="AA301" i="1" s="1"/>
  <c r="AJ301" i="1"/>
  <c r="AV301" i="1" s="1"/>
  <c r="S302" i="1"/>
  <c r="AA302" i="1" s="1"/>
  <c r="S303" i="1"/>
  <c r="AA303" i="1" s="1"/>
  <c r="S304" i="1"/>
  <c r="AA304" i="1" s="1"/>
  <c r="AJ304" i="1"/>
  <c r="AV304" i="1" s="1"/>
  <c r="S305" i="1"/>
  <c r="AA305" i="1" s="1"/>
  <c r="S306" i="1"/>
  <c r="AA306" i="1"/>
  <c r="S307" i="1"/>
  <c r="AA307" i="1" s="1"/>
  <c r="S308" i="1"/>
  <c r="S309" i="1"/>
  <c r="AA309" i="1" s="1"/>
  <c r="S310" i="1"/>
  <c r="AA310" i="1" s="1"/>
  <c r="S311" i="1"/>
  <c r="AA311" i="1" s="1"/>
  <c r="S312" i="1"/>
  <c r="AJ312" i="1"/>
  <c r="AV312" i="1" s="1"/>
  <c r="S313" i="1"/>
  <c r="AA313" i="1" s="1"/>
  <c r="S314" i="1"/>
  <c r="AA314" i="1" s="1"/>
  <c r="S315" i="1"/>
  <c r="S316" i="1"/>
  <c r="AA316" i="1" s="1"/>
  <c r="S317" i="1"/>
  <c r="S318" i="1"/>
  <c r="AA318" i="1" s="1"/>
  <c r="S319" i="1"/>
  <c r="AA319" i="1" s="1"/>
  <c r="S320" i="1"/>
  <c r="AA320" i="1" s="1"/>
  <c r="S321" i="1"/>
  <c r="AA321" i="1" s="1"/>
  <c r="S322" i="1"/>
  <c r="S323" i="1"/>
  <c r="S324" i="1"/>
  <c r="AA324" i="1" s="1"/>
  <c r="S325" i="1"/>
  <c r="AA325" i="1" s="1"/>
  <c r="AJ325" i="1"/>
  <c r="AV325" i="1" s="1"/>
  <c r="S326" i="1"/>
  <c r="AA326" i="1" s="1"/>
  <c r="AJ326" i="1"/>
  <c r="S327" i="1"/>
  <c r="AA327" i="1" s="1"/>
  <c r="AJ327" i="1"/>
  <c r="AV327" i="1" s="1"/>
  <c r="S328" i="1"/>
  <c r="AA328" i="1" s="1"/>
  <c r="S329" i="1"/>
  <c r="S330" i="1"/>
  <c r="AA330" i="1" s="1"/>
  <c r="S331" i="1"/>
  <c r="AA331" i="1" s="1"/>
  <c r="S332" i="1"/>
  <c r="S333" i="1"/>
  <c r="AA333" i="1" s="1"/>
  <c r="S334" i="1"/>
  <c r="AA334" i="1" s="1"/>
  <c r="S335" i="1"/>
  <c r="AA335" i="1" s="1"/>
  <c r="S336" i="1"/>
  <c r="AA336" i="1" s="1"/>
  <c r="S337" i="1"/>
  <c r="AA337" i="1" s="1"/>
  <c r="AJ337" i="1"/>
  <c r="AV337" i="1" s="1"/>
  <c r="S338" i="1"/>
  <c r="AA338" i="1" s="1"/>
  <c r="S339" i="1"/>
  <c r="AA339" i="1" s="1"/>
  <c r="S340" i="1"/>
  <c r="AA340" i="1" s="1"/>
  <c r="S341" i="1"/>
  <c r="AA341" i="1" s="1"/>
  <c r="S342" i="1"/>
  <c r="AA342" i="1" s="1"/>
  <c r="S343" i="1"/>
  <c r="AA343" i="1" s="1"/>
  <c r="S344" i="1"/>
  <c r="AA344" i="1" s="1"/>
  <c r="S345" i="1"/>
  <c r="AA345" i="1" s="1"/>
  <c r="AJ345" i="1"/>
  <c r="S346" i="1"/>
  <c r="AA346" i="1" s="1"/>
  <c r="S347" i="1"/>
  <c r="AA347" i="1" s="1"/>
  <c r="AJ347" i="1"/>
  <c r="AV347" i="1" s="1"/>
  <c r="S348" i="1"/>
  <c r="AA348" i="1" s="1"/>
  <c r="S349" i="1"/>
  <c r="S350" i="1"/>
  <c r="S351" i="1"/>
  <c r="S352" i="1"/>
  <c r="S353" i="1"/>
  <c r="AA353" i="1" s="1"/>
  <c r="S354" i="1"/>
  <c r="AA354" i="1" s="1"/>
  <c r="S355" i="1"/>
  <c r="AA355" i="1" s="1"/>
  <c r="S356" i="1"/>
  <c r="AA356" i="1" s="1"/>
  <c r="S357" i="1"/>
  <c r="AA357" i="1" s="1"/>
  <c r="S358" i="1"/>
  <c r="AA358" i="1" s="1"/>
  <c r="S359" i="1"/>
  <c r="AA359" i="1" s="1"/>
  <c r="AJ359" i="1"/>
  <c r="AV359" i="1" s="1"/>
  <c r="S360" i="1"/>
  <c r="AA360" i="1" s="1"/>
  <c r="AJ360" i="1"/>
  <c r="AV360" i="1" s="1"/>
  <c r="S361" i="1"/>
  <c r="AA361" i="1" s="1"/>
  <c r="S362" i="1"/>
  <c r="AA362" i="1" s="1"/>
  <c r="S363" i="1"/>
  <c r="AA363" i="1" s="1"/>
  <c r="S364" i="1"/>
  <c r="AA364" i="1" s="1"/>
  <c r="S365" i="1"/>
  <c r="AA365" i="1" s="1"/>
  <c r="S366" i="1"/>
  <c r="AA366" i="1" s="1"/>
  <c r="S367" i="1"/>
  <c r="AA367" i="1" s="1"/>
  <c r="S368" i="1"/>
  <c r="AA368" i="1" s="1"/>
  <c r="S369" i="1"/>
  <c r="AA369" i="1" s="1"/>
  <c r="S370" i="1"/>
  <c r="AA370" i="1" s="1"/>
  <c r="S371" i="1"/>
  <c r="AA371" i="1" s="1"/>
  <c r="AJ371" i="1"/>
  <c r="AV371" i="1" s="1"/>
  <c r="S372" i="1"/>
  <c r="AA372" i="1" s="1"/>
  <c r="S373" i="1"/>
  <c r="AI31" i="1"/>
  <c r="AI63" i="1"/>
  <c r="AI64" i="1"/>
  <c r="AI65" i="1"/>
  <c r="AI68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4" i="1"/>
  <c r="AI236" i="1"/>
  <c r="AI237" i="1"/>
  <c r="AI238" i="1"/>
  <c r="AI252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J268" i="1"/>
  <c r="AV268" i="1" s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J297" i="1"/>
  <c r="AI298" i="1"/>
  <c r="AI299" i="1"/>
  <c r="AI300" i="1"/>
  <c r="AJ300" i="1"/>
  <c r="AV300" i="1" s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J31" i="1"/>
  <c r="AJ63" i="1"/>
  <c r="AJ64" i="1"/>
  <c r="AV64" i="1" s="1"/>
  <c r="AJ65" i="1"/>
  <c r="AV65" i="1" s="1"/>
  <c r="AJ68" i="1"/>
  <c r="AV68" i="1" s="1"/>
  <c r="AJ220" i="1"/>
  <c r="AV220" i="1" s="1"/>
  <c r="AJ221" i="1"/>
  <c r="AJ225" i="1"/>
  <c r="AJ227" i="1"/>
  <c r="AV227" i="1" s="1"/>
  <c r="AJ228" i="1"/>
  <c r="AV228" i="1" s="1"/>
  <c r="AJ230" i="1"/>
  <c r="AV230" i="1" s="1"/>
  <c r="AJ231" i="1"/>
  <c r="AV231" i="1" s="1"/>
  <c r="AJ232" i="1"/>
  <c r="AV232" i="1" s="1"/>
  <c r="AJ234" i="1"/>
  <c r="AV234" i="1" s="1"/>
  <c r="AJ237" i="1"/>
  <c r="AV237" i="1" s="1"/>
  <c r="AJ238" i="1"/>
  <c r="AV238" i="1" s="1"/>
  <c r="AJ252" i="1"/>
  <c r="AJ255" i="1"/>
  <c r="AV255" i="1" s="1"/>
  <c r="AJ256" i="1"/>
  <c r="AV256" i="1" s="1"/>
  <c r="AJ257" i="1"/>
  <c r="AV257" i="1" s="1"/>
  <c r="AJ258" i="1"/>
  <c r="AV258" i="1" s="1"/>
  <c r="AJ261" i="1"/>
  <c r="AV261" i="1" s="1"/>
  <c r="AJ264" i="1"/>
  <c r="AV264" i="1" s="1"/>
  <c r="AJ265" i="1"/>
  <c r="AV265" i="1" s="1"/>
  <c r="AJ266" i="1"/>
  <c r="AV266" i="1" s="1"/>
  <c r="AJ267" i="1"/>
  <c r="AV267" i="1" s="1"/>
  <c r="AJ269" i="1"/>
  <c r="AV269" i="1" s="1"/>
  <c r="AJ270" i="1"/>
  <c r="AV270" i="1" s="1"/>
  <c r="AJ271" i="1"/>
  <c r="AV271" i="1" s="1"/>
  <c r="AJ272" i="1"/>
  <c r="AV272" i="1" s="1"/>
  <c r="AJ273" i="1"/>
  <c r="AV273" i="1" s="1"/>
  <c r="AJ274" i="1"/>
  <c r="AJ275" i="1"/>
  <c r="AJ276" i="1"/>
  <c r="AV276" i="1" s="1"/>
  <c r="AJ277" i="1"/>
  <c r="AV277" i="1" s="1"/>
  <c r="AJ278" i="1"/>
  <c r="AV278" i="1" s="1"/>
  <c r="AJ279" i="1"/>
  <c r="AV279" i="1" s="1"/>
  <c r="AJ280" i="1"/>
  <c r="AV280" i="1" s="1"/>
  <c r="AJ282" i="1"/>
  <c r="AV282" i="1" s="1"/>
  <c r="AJ283" i="1"/>
  <c r="AV283" i="1" s="1"/>
  <c r="AJ284" i="1"/>
  <c r="AV284" i="1" s="1"/>
  <c r="AJ285" i="1"/>
  <c r="AJ287" i="1"/>
  <c r="AV287" i="1" s="1"/>
  <c r="AJ288" i="1"/>
  <c r="AV288" i="1" s="1"/>
  <c r="AJ289" i="1"/>
  <c r="AV289" i="1" s="1"/>
  <c r="AJ290" i="1"/>
  <c r="AV290" i="1" s="1"/>
  <c r="AJ292" i="1"/>
  <c r="AV292" i="1" s="1"/>
  <c r="AJ293" i="1"/>
  <c r="AV293" i="1" s="1"/>
  <c r="AJ295" i="1"/>
  <c r="AV295" i="1" s="1"/>
  <c r="AJ296" i="1"/>
  <c r="AV296" i="1" s="1"/>
  <c r="AJ298" i="1"/>
  <c r="AV298" i="1" s="1"/>
  <c r="AJ299" i="1"/>
  <c r="AJ302" i="1"/>
  <c r="AV302" i="1" s="1"/>
  <c r="AJ303" i="1"/>
  <c r="AV303" i="1" s="1"/>
  <c r="AJ305" i="1"/>
  <c r="AV305" i="1" s="1"/>
  <c r="AJ306" i="1"/>
  <c r="AV306" i="1" s="1"/>
  <c r="AJ307" i="1"/>
  <c r="AV307" i="1" s="1"/>
  <c r="AJ308" i="1"/>
  <c r="AV308" i="1" s="1"/>
  <c r="AJ309" i="1"/>
  <c r="AV309" i="1" s="1"/>
  <c r="AJ310" i="1"/>
  <c r="AV310" i="1" s="1"/>
  <c r="AJ311" i="1"/>
  <c r="AV311" i="1" s="1"/>
  <c r="AJ313" i="1"/>
  <c r="AV313" i="1" s="1"/>
  <c r="AJ314" i="1"/>
  <c r="AV314" i="1" s="1"/>
  <c r="AJ315" i="1"/>
  <c r="AJ316" i="1"/>
  <c r="AV316" i="1" s="1"/>
  <c r="AJ317" i="1"/>
  <c r="AV317" i="1" s="1"/>
  <c r="AJ318" i="1"/>
  <c r="AV318" i="1" s="1"/>
  <c r="AJ319" i="1"/>
  <c r="AV319" i="1" s="1"/>
  <c r="AJ320" i="1"/>
  <c r="AV320" i="1" s="1"/>
  <c r="AJ321" i="1"/>
  <c r="AV321" i="1" s="1"/>
  <c r="AJ322" i="1"/>
  <c r="AV322" i="1" s="1"/>
  <c r="AJ323" i="1"/>
  <c r="AV323" i="1" s="1"/>
  <c r="AJ324" i="1"/>
  <c r="AJ328" i="1"/>
  <c r="AV328" i="1" s="1"/>
  <c r="AJ329" i="1"/>
  <c r="AV329" i="1" s="1"/>
  <c r="AJ330" i="1"/>
  <c r="AV330" i="1" s="1"/>
  <c r="AJ331" i="1"/>
  <c r="AV331" i="1" s="1"/>
  <c r="AJ332" i="1"/>
  <c r="AV332" i="1" s="1"/>
  <c r="AJ333" i="1"/>
  <c r="AV333" i="1" s="1"/>
  <c r="AJ334" i="1"/>
  <c r="AV334" i="1" s="1"/>
  <c r="AJ335" i="1"/>
  <c r="AV335" i="1" s="1"/>
  <c r="AJ336" i="1"/>
  <c r="AJ338" i="1"/>
  <c r="AV338" i="1" s="1"/>
  <c r="AJ339" i="1"/>
  <c r="AV339" i="1" s="1"/>
  <c r="AJ340" i="1"/>
  <c r="AV340" i="1" s="1"/>
  <c r="AJ341" i="1"/>
  <c r="AV341" i="1" s="1"/>
  <c r="AJ342" i="1"/>
  <c r="AV342" i="1" s="1"/>
  <c r="AJ343" i="1"/>
  <c r="AV343" i="1" s="1"/>
  <c r="AJ344" i="1"/>
  <c r="AV344" i="1" s="1"/>
  <c r="AJ346" i="1"/>
  <c r="AJ348" i="1"/>
  <c r="AJ349" i="1"/>
  <c r="AV349" i="1" s="1"/>
  <c r="AJ350" i="1"/>
  <c r="AV350" i="1" s="1"/>
  <c r="AJ351" i="1"/>
  <c r="AV351" i="1" s="1"/>
  <c r="AJ352" i="1"/>
  <c r="AV352" i="1" s="1"/>
  <c r="AJ353" i="1"/>
  <c r="AV353" i="1" s="1"/>
  <c r="AJ354" i="1"/>
  <c r="AJ355" i="1"/>
  <c r="AV355" i="1" s="1"/>
  <c r="AJ356" i="1"/>
  <c r="AJ357" i="1"/>
  <c r="AV357" i="1" s="1"/>
  <c r="AJ358" i="1"/>
  <c r="AV358" i="1" s="1"/>
  <c r="AJ361" i="1"/>
  <c r="AV361" i="1" s="1"/>
  <c r="AJ362" i="1"/>
  <c r="AV362" i="1" s="1"/>
  <c r="AJ363" i="1"/>
  <c r="AV363" i="1" s="1"/>
  <c r="AJ364" i="1"/>
  <c r="AV364" i="1" s="1"/>
  <c r="AJ365" i="1"/>
  <c r="AJ366" i="1"/>
  <c r="AJ367" i="1"/>
  <c r="AV367" i="1" s="1"/>
  <c r="AJ368" i="1"/>
  <c r="AV368" i="1" s="1"/>
  <c r="AJ369" i="1"/>
  <c r="AV369" i="1" s="1"/>
  <c r="AJ370" i="1"/>
  <c r="AV370" i="1" s="1"/>
  <c r="AJ372" i="1"/>
  <c r="AV372" i="1" s="1"/>
  <c r="AJ373" i="1"/>
  <c r="AV373" i="1" s="1"/>
  <c r="AU3" i="1"/>
  <c r="AU4" i="1"/>
  <c r="AU5" i="1"/>
  <c r="AU6" i="1"/>
  <c r="AU227" i="1"/>
  <c r="AU253" i="1"/>
  <c r="AU254" i="1"/>
  <c r="AU255" i="1"/>
  <c r="AU256" i="1"/>
  <c r="AU257" i="1"/>
  <c r="AU258" i="1"/>
  <c r="AU259" i="1"/>
  <c r="AU260" i="1"/>
  <c r="AU261" i="1"/>
  <c r="AU262" i="1"/>
  <c r="AU263" i="1"/>
  <c r="AU264" i="1"/>
  <c r="AU265" i="1"/>
  <c r="AU266" i="1"/>
  <c r="AU267" i="1"/>
  <c r="AU268" i="1"/>
  <c r="AU269" i="1"/>
  <c r="AU270" i="1"/>
  <c r="AU271" i="1"/>
  <c r="AU272" i="1"/>
  <c r="AU273" i="1"/>
  <c r="AU274" i="1"/>
  <c r="AU275" i="1"/>
  <c r="AU276" i="1"/>
  <c r="AU277" i="1"/>
  <c r="AU278" i="1"/>
  <c r="AU279" i="1"/>
  <c r="AU280" i="1"/>
  <c r="AU281" i="1"/>
  <c r="AU282" i="1"/>
  <c r="AU283" i="1"/>
  <c r="AU284" i="1"/>
  <c r="AU285" i="1"/>
  <c r="AU286" i="1"/>
  <c r="AU287" i="1"/>
  <c r="AU288" i="1"/>
  <c r="AU289" i="1"/>
  <c r="AU290" i="1"/>
  <c r="AU291" i="1"/>
  <c r="AU292" i="1"/>
  <c r="AU293" i="1"/>
  <c r="AU294" i="1"/>
  <c r="AU295" i="1"/>
  <c r="AU296" i="1"/>
  <c r="AU297" i="1"/>
  <c r="AU298" i="1"/>
  <c r="AU299" i="1"/>
  <c r="AU300" i="1"/>
  <c r="AU301" i="1"/>
  <c r="AU302" i="1"/>
  <c r="AU303" i="1"/>
  <c r="AU304" i="1"/>
  <c r="AU305" i="1"/>
  <c r="AU306" i="1"/>
  <c r="AU307" i="1"/>
  <c r="AU308" i="1"/>
  <c r="AU309" i="1"/>
  <c r="AU310" i="1"/>
  <c r="AU311" i="1"/>
  <c r="AU312" i="1"/>
  <c r="AU313" i="1"/>
  <c r="AU314" i="1"/>
  <c r="AU315" i="1"/>
  <c r="AU316" i="1"/>
  <c r="AU317" i="1"/>
  <c r="AU318" i="1"/>
  <c r="AU319" i="1"/>
  <c r="AU320" i="1"/>
  <c r="AU321" i="1"/>
  <c r="AU322" i="1"/>
  <c r="AU323" i="1"/>
  <c r="AU324" i="1"/>
  <c r="AU325" i="1"/>
  <c r="AU326" i="1"/>
  <c r="AU327" i="1"/>
  <c r="AU328" i="1"/>
  <c r="AU329" i="1"/>
  <c r="AU330" i="1"/>
  <c r="AU331" i="1"/>
  <c r="AU332" i="1"/>
  <c r="AU333" i="1"/>
  <c r="AU334" i="1"/>
  <c r="AU335" i="1"/>
  <c r="AU336" i="1"/>
  <c r="AU337" i="1"/>
  <c r="AU338" i="1"/>
  <c r="AU339" i="1"/>
  <c r="AU340" i="1"/>
  <c r="AU341" i="1"/>
  <c r="AU342" i="1"/>
  <c r="AU343" i="1"/>
  <c r="AU344" i="1"/>
  <c r="AU345" i="1"/>
  <c r="AU346" i="1"/>
  <c r="AU347" i="1"/>
  <c r="AU348" i="1"/>
  <c r="AU349" i="1"/>
  <c r="AU350" i="1"/>
  <c r="AU351" i="1"/>
  <c r="AU352" i="1"/>
  <c r="AU353" i="1"/>
  <c r="AU354" i="1"/>
  <c r="AU355" i="1"/>
  <c r="AU356" i="1"/>
  <c r="AU357" i="1"/>
  <c r="AU358" i="1"/>
  <c r="AU359" i="1"/>
  <c r="AU360" i="1"/>
  <c r="AU361" i="1"/>
  <c r="AU362" i="1"/>
  <c r="AU363" i="1"/>
  <c r="AU364" i="1"/>
  <c r="AU365" i="1"/>
  <c r="AU366" i="1"/>
  <c r="AU367" i="1"/>
  <c r="AU368" i="1"/>
  <c r="AU369" i="1"/>
  <c r="AU370" i="1"/>
  <c r="AU371" i="1"/>
  <c r="AU372" i="1"/>
  <c r="AU373" i="1"/>
  <c r="AW3" i="1"/>
  <c r="AX3" i="1" s="1"/>
  <c r="AW4" i="1"/>
  <c r="AX4" i="1" s="1"/>
  <c r="AW5" i="1"/>
  <c r="AX5" i="1" s="1"/>
  <c r="AW6" i="1"/>
  <c r="AX6" i="1" s="1"/>
  <c r="AW7" i="1"/>
  <c r="AX7" i="1" s="1"/>
  <c r="AW8" i="1"/>
  <c r="AX8" i="1" s="1"/>
  <c r="AW9" i="1"/>
  <c r="AX9" i="1" s="1"/>
  <c r="AW10" i="1"/>
  <c r="AX10" i="1" s="1"/>
  <c r="AW11" i="1"/>
  <c r="AX11" i="1" s="1"/>
  <c r="AW12" i="1"/>
  <c r="AX12" i="1" s="1"/>
  <c r="AW13" i="1"/>
  <c r="AX13" i="1" s="1"/>
  <c r="AW14" i="1"/>
  <c r="AX14" i="1" s="1"/>
  <c r="AW15" i="1"/>
  <c r="AX15" i="1" s="1"/>
  <c r="AW16" i="1"/>
  <c r="AX16" i="1" s="1"/>
  <c r="AW17" i="1"/>
  <c r="AX17" i="1" s="1"/>
  <c r="AW18" i="1"/>
  <c r="AX18" i="1" s="1"/>
  <c r="AW19" i="1"/>
  <c r="AX19" i="1" s="1"/>
  <c r="AW20" i="1"/>
  <c r="AX20" i="1" s="1"/>
  <c r="AW21" i="1"/>
  <c r="AX21" i="1" s="1"/>
  <c r="AW22" i="1"/>
  <c r="AX22" i="1" s="1"/>
  <c r="AW23" i="1"/>
  <c r="AX23" i="1" s="1"/>
  <c r="AW24" i="1"/>
  <c r="AX24" i="1" s="1"/>
  <c r="AW25" i="1"/>
  <c r="AX25" i="1" s="1"/>
  <c r="AW26" i="1"/>
  <c r="AX26" i="1" s="1"/>
  <c r="AW27" i="1"/>
  <c r="AX27" i="1" s="1"/>
  <c r="AW28" i="1"/>
  <c r="AX28" i="1" s="1"/>
  <c r="AW29" i="1"/>
  <c r="AX29" i="1" s="1"/>
  <c r="AW30" i="1"/>
  <c r="AX30" i="1" s="1"/>
  <c r="AW31" i="1"/>
  <c r="AX31" i="1" s="1"/>
  <c r="AW32" i="1"/>
  <c r="AX32" i="1" s="1"/>
  <c r="AW33" i="1"/>
  <c r="AX33" i="1" s="1"/>
  <c r="AW34" i="1"/>
  <c r="AX34" i="1" s="1"/>
  <c r="AW35" i="1"/>
  <c r="AX35" i="1" s="1"/>
  <c r="AW36" i="1"/>
  <c r="AX36" i="1" s="1"/>
  <c r="AW37" i="1"/>
  <c r="AX37" i="1" s="1"/>
  <c r="AW38" i="1"/>
  <c r="AX38" i="1" s="1"/>
  <c r="AW39" i="1"/>
  <c r="AX39" i="1" s="1"/>
  <c r="AW40" i="1"/>
  <c r="AX40" i="1" s="1"/>
  <c r="AW41" i="1"/>
  <c r="AX41" i="1" s="1"/>
  <c r="AW42" i="1"/>
  <c r="AX42" i="1" s="1"/>
  <c r="AW43" i="1"/>
  <c r="AX43" i="1" s="1"/>
  <c r="AW44" i="1"/>
  <c r="AX44" i="1" s="1"/>
  <c r="AW45" i="1"/>
  <c r="AX45" i="1" s="1"/>
  <c r="AW46" i="1"/>
  <c r="AX46" i="1" s="1"/>
  <c r="AW47" i="1"/>
  <c r="AX47" i="1" s="1"/>
  <c r="AW48" i="1"/>
  <c r="AX48" i="1" s="1"/>
  <c r="AW49" i="1"/>
  <c r="AX49" i="1" s="1"/>
  <c r="AW50" i="1"/>
  <c r="AX50" i="1" s="1"/>
  <c r="AW51" i="1"/>
  <c r="AX51" i="1" s="1"/>
  <c r="AW52" i="1"/>
  <c r="AX52" i="1" s="1"/>
  <c r="AW53" i="1"/>
  <c r="AX53" i="1" s="1"/>
  <c r="AW54" i="1"/>
  <c r="AX54" i="1" s="1"/>
  <c r="AW55" i="1"/>
  <c r="AX55" i="1" s="1"/>
  <c r="AW56" i="1"/>
  <c r="AX56" i="1" s="1"/>
  <c r="AW57" i="1"/>
  <c r="AX57" i="1" s="1"/>
  <c r="AW58" i="1"/>
  <c r="AX58" i="1" s="1"/>
  <c r="AW59" i="1"/>
  <c r="AX59" i="1" s="1"/>
  <c r="AW60" i="1"/>
  <c r="AX60" i="1" s="1"/>
  <c r="AW61" i="1"/>
  <c r="AX61" i="1" s="1"/>
  <c r="AW62" i="1"/>
  <c r="AX62" i="1" s="1"/>
  <c r="AW63" i="1"/>
  <c r="AX63" i="1" s="1"/>
  <c r="AW64" i="1"/>
  <c r="AX64" i="1" s="1"/>
  <c r="AW65" i="1"/>
  <c r="AX65" i="1" s="1"/>
  <c r="AW66" i="1"/>
  <c r="AX66" i="1" s="1"/>
  <c r="AW67" i="1"/>
  <c r="AX67" i="1" s="1"/>
  <c r="AW68" i="1"/>
  <c r="AX68" i="1" s="1"/>
  <c r="AW69" i="1"/>
  <c r="AX69" i="1" s="1"/>
  <c r="AW70" i="1"/>
  <c r="AX70" i="1" s="1"/>
  <c r="AW71" i="1"/>
  <c r="AX71" i="1" s="1"/>
  <c r="AW72" i="1"/>
  <c r="AX72" i="1" s="1"/>
  <c r="AW73" i="1"/>
  <c r="AW74" i="1"/>
  <c r="AX74" i="1" s="1"/>
  <c r="AW75" i="1"/>
  <c r="AX75" i="1" s="1"/>
  <c r="AW76" i="1"/>
  <c r="AX76" i="1" s="1"/>
  <c r="AW77" i="1"/>
  <c r="AW78" i="1"/>
  <c r="AX78" i="1" s="1"/>
  <c r="AW79" i="1"/>
  <c r="AX79" i="1" s="1"/>
  <c r="AW80" i="1"/>
  <c r="AX80" i="1" s="1"/>
  <c r="AW81" i="1"/>
  <c r="AX81" i="1" s="1"/>
  <c r="AW82" i="1"/>
  <c r="AX82" i="1" s="1"/>
  <c r="AW83" i="1"/>
  <c r="AX83" i="1" s="1"/>
  <c r="AW84" i="1"/>
  <c r="AX84" i="1" s="1"/>
  <c r="AW85" i="1"/>
  <c r="AW86" i="1"/>
  <c r="AX86" i="1" s="1"/>
  <c r="AW87" i="1"/>
  <c r="AX87" i="1" s="1"/>
  <c r="AW88" i="1"/>
  <c r="AX88" i="1" s="1"/>
  <c r="AW89" i="1"/>
  <c r="AX89" i="1" s="1"/>
  <c r="AW90" i="1"/>
  <c r="AX90" i="1" s="1"/>
  <c r="AW91" i="1"/>
  <c r="AX91" i="1" s="1"/>
  <c r="AW92" i="1"/>
  <c r="AX92" i="1" s="1"/>
  <c r="AW93" i="1"/>
  <c r="AX93" i="1" s="1"/>
  <c r="AW94" i="1"/>
  <c r="AX94" i="1" s="1"/>
  <c r="AW95" i="1"/>
  <c r="AX95" i="1" s="1"/>
  <c r="AW96" i="1"/>
  <c r="AX96" i="1" s="1"/>
  <c r="AW97" i="1"/>
  <c r="AX97" i="1" s="1"/>
  <c r="AW98" i="1"/>
  <c r="AX98" i="1" s="1"/>
  <c r="AW99" i="1"/>
  <c r="AX99" i="1" s="1"/>
  <c r="AW100" i="1"/>
  <c r="AX100" i="1" s="1"/>
  <c r="AW101" i="1"/>
  <c r="AX101" i="1" s="1"/>
  <c r="AW102" i="1"/>
  <c r="AW103" i="1"/>
  <c r="AX103" i="1" s="1"/>
  <c r="AW104" i="1"/>
  <c r="AX104" i="1" s="1"/>
  <c r="AW105" i="1"/>
  <c r="AX105" i="1" s="1"/>
  <c r="AW106" i="1"/>
  <c r="AX106" i="1" s="1"/>
  <c r="AW107" i="1"/>
  <c r="AX107" i="1" s="1"/>
  <c r="AW108" i="1"/>
  <c r="AX108" i="1" s="1"/>
  <c r="AW109" i="1"/>
  <c r="AX109" i="1" s="1"/>
  <c r="AW110" i="1"/>
  <c r="AX110" i="1" s="1"/>
  <c r="AW111" i="1"/>
  <c r="AX111" i="1" s="1"/>
  <c r="AW122" i="1"/>
  <c r="AX122" i="1" s="1"/>
  <c r="AW123" i="1"/>
  <c r="AX123" i="1" s="1"/>
  <c r="AW124" i="1"/>
  <c r="AX124" i="1" s="1"/>
  <c r="AW125" i="1"/>
  <c r="AX125" i="1" s="1"/>
  <c r="AW126" i="1"/>
  <c r="AX126" i="1" s="1"/>
  <c r="AW127" i="1"/>
  <c r="AX127" i="1" s="1"/>
  <c r="AW128" i="1"/>
  <c r="AX128" i="1" s="1"/>
  <c r="AW129" i="1"/>
  <c r="AX129" i="1" s="1"/>
  <c r="AW130" i="1"/>
  <c r="AX130" i="1" s="1"/>
  <c r="AW131" i="1"/>
  <c r="AX131" i="1" s="1"/>
  <c r="AW132" i="1"/>
  <c r="AX132" i="1" s="1"/>
  <c r="AW133" i="1"/>
  <c r="AX133" i="1" s="1"/>
  <c r="AW134" i="1"/>
  <c r="AX134" i="1" s="1"/>
  <c r="AW135" i="1"/>
  <c r="AX135" i="1" s="1"/>
  <c r="AW136" i="1"/>
  <c r="AX136" i="1" s="1"/>
  <c r="AW137" i="1"/>
  <c r="AX137" i="1" s="1"/>
  <c r="AW138" i="1"/>
  <c r="AX138" i="1" s="1"/>
  <c r="AW139" i="1"/>
  <c r="AX139" i="1" s="1"/>
  <c r="AW140" i="1"/>
  <c r="AW141" i="1"/>
  <c r="AX141" i="1" s="1"/>
  <c r="AW142" i="1"/>
  <c r="AX142" i="1" s="1"/>
  <c r="AW143" i="1"/>
  <c r="AX143" i="1" s="1"/>
  <c r="AW144" i="1"/>
  <c r="AX144" i="1" s="1"/>
  <c r="AW145" i="1"/>
  <c r="AX145" i="1" s="1"/>
  <c r="AW146" i="1"/>
  <c r="AX146" i="1" s="1"/>
  <c r="AW147" i="1"/>
  <c r="AX147" i="1" s="1"/>
  <c r="AW148" i="1"/>
  <c r="AX148" i="1" s="1"/>
  <c r="AW149" i="1"/>
  <c r="AX149" i="1" s="1"/>
  <c r="AW150" i="1"/>
  <c r="AX150" i="1" s="1"/>
  <c r="AW151" i="1"/>
  <c r="AX151" i="1" s="1"/>
  <c r="AW152" i="1"/>
  <c r="AW153" i="1"/>
  <c r="AX153" i="1" s="1"/>
  <c r="AW154" i="1"/>
  <c r="AX154" i="1" s="1"/>
  <c r="AW155" i="1"/>
  <c r="AX155" i="1" s="1"/>
  <c r="AW156" i="1"/>
  <c r="AX156" i="1" s="1"/>
  <c r="AW157" i="1"/>
  <c r="AX157" i="1" s="1"/>
  <c r="AW158" i="1"/>
  <c r="AX158" i="1" s="1"/>
  <c r="AW159" i="1"/>
  <c r="AX159" i="1" s="1"/>
  <c r="AW160" i="1"/>
  <c r="AX160" i="1" s="1"/>
  <c r="AW161" i="1"/>
  <c r="AX161" i="1" s="1"/>
  <c r="AW162" i="1"/>
  <c r="AX162" i="1" s="1"/>
  <c r="AW163" i="1"/>
  <c r="AX163" i="1" s="1"/>
  <c r="AW164" i="1"/>
  <c r="AX164" i="1" s="1"/>
  <c r="AW165" i="1"/>
  <c r="AX165" i="1" s="1"/>
  <c r="AW166" i="1"/>
  <c r="AX166" i="1" s="1"/>
  <c r="AW167" i="1"/>
  <c r="AX167" i="1" s="1"/>
  <c r="AW168" i="1"/>
  <c r="AX168" i="1" s="1"/>
  <c r="AW169" i="1"/>
  <c r="AX169" i="1" s="1"/>
  <c r="AW170" i="1"/>
  <c r="AX170" i="1" s="1"/>
  <c r="AW171" i="1"/>
  <c r="AW172" i="1"/>
  <c r="AX172" i="1" s="1"/>
  <c r="AW173" i="1"/>
  <c r="AX173" i="1" s="1"/>
  <c r="AW174" i="1"/>
  <c r="AX174" i="1" s="1"/>
  <c r="AW175" i="1"/>
  <c r="AX175" i="1" s="1"/>
  <c r="AW176" i="1"/>
  <c r="AX176" i="1" s="1"/>
  <c r="AW177" i="1"/>
  <c r="AX177" i="1" s="1"/>
  <c r="AW178" i="1"/>
  <c r="AX178" i="1" s="1"/>
  <c r="AW179" i="1"/>
  <c r="AX179" i="1" s="1"/>
  <c r="AW180" i="1"/>
  <c r="AX180" i="1" s="1"/>
  <c r="AW181" i="1"/>
  <c r="AX181" i="1" s="1"/>
  <c r="AW182" i="1"/>
  <c r="AX182" i="1" s="1"/>
  <c r="AW183" i="1"/>
  <c r="AX183" i="1" s="1"/>
  <c r="AW184" i="1"/>
  <c r="AW185" i="1"/>
  <c r="AX185" i="1" s="1"/>
  <c r="AW186" i="1"/>
  <c r="AX186" i="1" s="1"/>
  <c r="AW187" i="1"/>
  <c r="AX187" i="1" s="1"/>
  <c r="AW188" i="1"/>
  <c r="AX188" i="1" s="1"/>
  <c r="AW189" i="1"/>
  <c r="AX189" i="1" s="1"/>
  <c r="AW190" i="1"/>
  <c r="AX190" i="1" s="1"/>
  <c r="AW191" i="1"/>
  <c r="AX191" i="1" s="1"/>
  <c r="AW192" i="1"/>
  <c r="AX192" i="1" s="1"/>
  <c r="AW193" i="1"/>
  <c r="AX193" i="1" s="1"/>
  <c r="AW194" i="1"/>
  <c r="AX194" i="1" s="1"/>
  <c r="AW195" i="1"/>
  <c r="AX195" i="1" s="1"/>
  <c r="AW196" i="1"/>
  <c r="AX196" i="1" s="1"/>
  <c r="AW197" i="1"/>
  <c r="AX197" i="1" s="1"/>
  <c r="AW198" i="1"/>
  <c r="AX198" i="1" s="1"/>
  <c r="AW199" i="1"/>
  <c r="AX199" i="1" s="1"/>
  <c r="AW200" i="1"/>
  <c r="AX200" i="1" s="1"/>
  <c r="AW201" i="1"/>
  <c r="AX201" i="1" s="1"/>
  <c r="AW202" i="1"/>
  <c r="AX202" i="1" s="1"/>
  <c r="AW203" i="1"/>
  <c r="AX203" i="1" s="1"/>
  <c r="AW204" i="1"/>
  <c r="AX204" i="1" s="1"/>
  <c r="AW205" i="1"/>
  <c r="AX205" i="1" s="1"/>
  <c r="AW206" i="1"/>
  <c r="AX206" i="1" s="1"/>
  <c r="AW207" i="1"/>
  <c r="AX207" i="1" s="1"/>
  <c r="AW208" i="1"/>
  <c r="AX208" i="1" s="1"/>
  <c r="AW209" i="1"/>
  <c r="AX209" i="1" s="1"/>
  <c r="AW210" i="1"/>
  <c r="AX210" i="1" s="1"/>
  <c r="AW211" i="1"/>
  <c r="AX211" i="1" s="1"/>
  <c r="AW212" i="1"/>
  <c r="AX212" i="1" s="1"/>
  <c r="AW213" i="1"/>
  <c r="AX213" i="1" s="1"/>
  <c r="AW214" i="1"/>
  <c r="AX214" i="1" s="1"/>
  <c r="AW215" i="1"/>
  <c r="AX215" i="1" s="1"/>
  <c r="AW216" i="1"/>
  <c r="AX216" i="1" s="1"/>
  <c r="AW217" i="1"/>
  <c r="AX217" i="1" s="1"/>
  <c r="AW218" i="1"/>
  <c r="AX218" i="1" s="1"/>
  <c r="AW219" i="1"/>
  <c r="AX219" i="1" s="1"/>
  <c r="AW220" i="1"/>
  <c r="AX220" i="1" s="1"/>
  <c r="AW221" i="1"/>
  <c r="AX221" i="1" s="1"/>
  <c r="AW222" i="1"/>
  <c r="AX222" i="1" s="1"/>
  <c r="AW223" i="1"/>
  <c r="AX223" i="1" s="1"/>
  <c r="AW224" i="1"/>
  <c r="AX224" i="1" s="1"/>
  <c r="AW225" i="1"/>
  <c r="AX225" i="1" s="1"/>
  <c r="AW226" i="1"/>
  <c r="AX226" i="1" s="1"/>
  <c r="AW227" i="1"/>
  <c r="AX227" i="1" s="1"/>
  <c r="AW228" i="1"/>
  <c r="AX228" i="1" s="1"/>
  <c r="AW229" i="1"/>
  <c r="AX229" i="1" s="1"/>
  <c r="AW230" i="1"/>
  <c r="AX230" i="1" s="1"/>
  <c r="AW231" i="1"/>
  <c r="AX231" i="1" s="1"/>
  <c r="AW232" i="1"/>
  <c r="AX232" i="1" s="1"/>
  <c r="AW233" i="1"/>
  <c r="AX233" i="1" s="1"/>
  <c r="AW234" i="1"/>
  <c r="AX234" i="1" s="1"/>
  <c r="AW235" i="1"/>
  <c r="AX235" i="1" s="1"/>
  <c r="AW236" i="1"/>
  <c r="AX236" i="1" s="1"/>
  <c r="AW237" i="1"/>
  <c r="AX237" i="1" s="1"/>
  <c r="AW238" i="1"/>
  <c r="AX238" i="1" s="1"/>
  <c r="AW239" i="1"/>
  <c r="AX239" i="1" s="1"/>
  <c r="AW240" i="1"/>
  <c r="AX240" i="1" s="1"/>
  <c r="AW241" i="1"/>
  <c r="AX241" i="1" s="1"/>
  <c r="AW242" i="1"/>
  <c r="AX242" i="1" s="1"/>
  <c r="AW243" i="1"/>
  <c r="AX243" i="1" s="1"/>
  <c r="AW244" i="1"/>
  <c r="AX244" i="1" s="1"/>
  <c r="AW245" i="1"/>
  <c r="AX245" i="1" s="1"/>
  <c r="AW246" i="1"/>
  <c r="AX246" i="1" s="1"/>
  <c r="AW247" i="1"/>
  <c r="AX247" i="1" s="1"/>
  <c r="AW248" i="1"/>
  <c r="AX248" i="1" s="1"/>
  <c r="AW249" i="1"/>
  <c r="AX249" i="1" s="1"/>
  <c r="AW250" i="1"/>
  <c r="AX250" i="1" s="1"/>
  <c r="AW251" i="1"/>
  <c r="AX251" i="1" s="1"/>
  <c r="AW252" i="1"/>
  <c r="AX252" i="1" s="1"/>
  <c r="AW253" i="1"/>
  <c r="AX253" i="1" s="1"/>
  <c r="AW254" i="1"/>
  <c r="AX254" i="1" s="1"/>
  <c r="AW255" i="1"/>
  <c r="AX255" i="1" s="1"/>
  <c r="AW256" i="1"/>
  <c r="AX256" i="1" s="1"/>
  <c r="AW257" i="1"/>
  <c r="AX257" i="1" s="1"/>
  <c r="AW258" i="1"/>
  <c r="AX258" i="1" s="1"/>
  <c r="AW259" i="1"/>
  <c r="AX259" i="1" s="1"/>
  <c r="AW260" i="1"/>
  <c r="AX260" i="1" s="1"/>
  <c r="AW261" i="1"/>
  <c r="AX261" i="1" s="1"/>
  <c r="AW262" i="1"/>
  <c r="AX262" i="1" s="1"/>
  <c r="AW263" i="1"/>
  <c r="AX263" i="1" s="1"/>
  <c r="AW264" i="1"/>
  <c r="AX264" i="1" s="1"/>
  <c r="AW265" i="1"/>
  <c r="AX265" i="1" s="1"/>
  <c r="AW266" i="1"/>
  <c r="AX266" i="1" s="1"/>
  <c r="AW267" i="1"/>
  <c r="AX267" i="1" s="1"/>
  <c r="AW268" i="1"/>
  <c r="AX268" i="1" s="1"/>
  <c r="AW269" i="1"/>
  <c r="AX269" i="1" s="1"/>
  <c r="AW270" i="1"/>
  <c r="AX270" i="1" s="1"/>
  <c r="AW271" i="1"/>
  <c r="AX271" i="1" s="1"/>
  <c r="AW272" i="1"/>
  <c r="AX272" i="1" s="1"/>
  <c r="AW273" i="1"/>
  <c r="AX273" i="1" s="1"/>
  <c r="AW274" i="1"/>
  <c r="AX274" i="1" s="1"/>
  <c r="AW275" i="1"/>
  <c r="AX275" i="1" s="1"/>
  <c r="AW276" i="1"/>
  <c r="AX276" i="1" s="1"/>
  <c r="AW277" i="1"/>
  <c r="AX277" i="1" s="1"/>
  <c r="AW278" i="1"/>
  <c r="AX278" i="1" s="1"/>
  <c r="AW279" i="1"/>
  <c r="AX279" i="1" s="1"/>
  <c r="AW280" i="1"/>
  <c r="AX280" i="1" s="1"/>
  <c r="AW281" i="1"/>
  <c r="AX281" i="1" s="1"/>
  <c r="AW282" i="1"/>
  <c r="AX282" i="1" s="1"/>
  <c r="AW283" i="1"/>
  <c r="AX283" i="1" s="1"/>
  <c r="AW284" i="1"/>
  <c r="AX284" i="1" s="1"/>
  <c r="AW285" i="1"/>
  <c r="AX285" i="1" s="1"/>
  <c r="AW286" i="1"/>
  <c r="AX286" i="1" s="1"/>
  <c r="AW287" i="1"/>
  <c r="AX287" i="1" s="1"/>
  <c r="AW288" i="1"/>
  <c r="AX288" i="1" s="1"/>
  <c r="AW289" i="1"/>
  <c r="AX289" i="1" s="1"/>
  <c r="AW290" i="1"/>
  <c r="AX290" i="1" s="1"/>
  <c r="AW291" i="1"/>
  <c r="AX291" i="1" s="1"/>
  <c r="AW292" i="1"/>
  <c r="AX292" i="1" s="1"/>
  <c r="AW293" i="1"/>
  <c r="AX293" i="1" s="1"/>
  <c r="AW294" i="1"/>
  <c r="AX294" i="1" s="1"/>
  <c r="AW295" i="1"/>
  <c r="AX295" i="1" s="1"/>
  <c r="AW296" i="1"/>
  <c r="AX296" i="1" s="1"/>
  <c r="AW297" i="1"/>
  <c r="AX297" i="1" s="1"/>
  <c r="AW298" i="1"/>
  <c r="AX298" i="1" s="1"/>
  <c r="AW299" i="1"/>
  <c r="AX299" i="1" s="1"/>
  <c r="AW300" i="1"/>
  <c r="AX300" i="1" s="1"/>
  <c r="AW301" i="1"/>
  <c r="AX301" i="1" s="1"/>
  <c r="AW302" i="1"/>
  <c r="AX302" i="1" s="1"/>
  <c r="AW303" i="1"/>
  <c r="AX303" i="1" s="1"/>
  <c r="AW304" i="1"/>
  <c r="AX304" i="1" s="1"/>
  <c r="AW305" i="1"/>
  <c r="AX305" i="1" s="1"/>
  <c r="AW306" i="1"/>
  <c r="AX306" i="1" s="1"/>
  <c r="AW307" i="1"/>
  <c r="AX307" i="1" s="1"/>
  <c r="AW308" i="1"/>
  <c r="AX308" i="1" s="1"/>
  <c r="AW309" i="1"/>
  <c r="AX309" i="1" s="1"/>
  <c r="AW310" i="1"/>
  <c r="AX310" i="1" s="1"/>
  <c r="AW311" i="1"/>
  <c r="AX311" i="1" s="1"/>
  <c r="AW312" i="1"/>
  <c r="AX312" i="1" s="1"/>
  <c r="AW313" i="1"/>
  <c r="AX313" i="1" s="1"/>
  <c r="AW314" i="1"/>
  <c r="AX314" i="1" s="1"/>
  <c r="AW315" i="1"/>
  <c r="AX315" i="1" s="1"/>
  <c r="AW316" i="1"/>
  <c r="AX316" i="1" s="1"/>
  <c r="AW317" i="1"/>
  <c r="AX317" i="1" s="1"/>
  <c r="AW318" i="1"/>
  <c r="AX318" i="1" s="1"/>
  <c r="AW319" i="1"/>
  <c r="AX319" i="1" s="1"/>
  <c r="AW320" i="1"/>
  <c r="AX320" i="1" s="1"/>
  <c r="AW321" i="1"/>
  <c r="AX321" i="1" s="1"/>
  <c r="AW322" i="1"/>
  <c r="AX322" i="1" s="1"/>
  <c r="AW323" i="1"/>
  <c r="AX323" i="1" s="1"/>
  <c r="AW324" i="1"/>
  <c r="AX324" i="1" s="1"/>
  <c r="AW325" i="1"/>
  <c r="AX325" i="1" s="1"/>
  <c r="AW326" i="1"/>
  <c r="AX326" i="1" s="1"/>
  <c r="AW327" i="1"/>
  <c r="AX327" i="1" s="1"/>
  <c r="AW328" i="1"/>
  <c r="AX328" i="1" s="1"/>
  <c r="AW329" i="1"/>
  <c r="AX329" i="1" s="1"/>
  <c r="AW330" i="1"/>
  <c r="AX330" i="1" s="1"/>
  <c r="AW331" i="1"/>
  <c r="AX331" i="1" s="1"/>
  <c r="AW332" i="1"/>
  <c r="AX332" i="1" s="1"/>
  <c r="AW333" i="1"/>
  <c r="AX333" i="1" s="1"/>
  <c r="AW334" i="1"/>
  <c r="AX334" i="1" s="1"/>
  <c r="AW335" i="1"/>
  <c r="AX335" i="1" s="1"/>
  <c r="AW336" i="1"/>
  <c r="AX336" i="1" s="1"/>
  <c r="AW337" i="1"/>
  <c r="AX337" i="1" s="1"/>
  <c r="AW338" i="1"/>
  <c r="AX338" i="1" s="1"/>
  <c r="AW339" i="1"/>
  <c r="AX339" i="1" s="1"/>
  <c r="AW340" i="1"/>
  <c r="AX340" i="1" s="1"/>
  <c r="AW341" i="1"/>
  <c r="AX341" i="1" s="1"/>
  <c r="AW342" i="1"/>
  <c r="AX342" i="1" s="1"/>
  <c r="AW343" i="1"/>
  <c r="AX343" i="1" s="1"/>
  <c r="AW344" i="1"/>
  <c r="AX344" i="1" s="1"/>
  <c r="AW345" i="1"/>
  <c r="AX345" i="1" s="1"/>
  <c r="AW346" i="1"/>
  <c r="AX346" i="1" s="1"/>
  <c r="AW347" i="1"/>
  <c r="AX347" i="1" s="1"/>
  <c r="AW348" i="1"/>
  <c r="AX348" i="1" s="1"/>
  <c r="AW349" i="1"/>
  <c r="AX349" i="1" s="1"/>
  <c r="AW350" i="1"/>
  <c r="AX350" i="1" s="1"/>
  <c r="AW351" i="1"/>
  <c r="AX351" i="1" s="1"/>
  <c r="AW352" i="1"/>
  <c r="AX352" i="1" s="1"/>
  <c r="AW353" i="1"/>
  <c r="AX353" i="1" s="1"/>
  <c r="AW354" i="1"/>
  <c r="AX354" i="1" s="1"/>
  <c r="AW355" i="1"/>
  <c r="AX355" i="1" s="1"/>
  <c r="AW356" i="1"/>
  <c r="AX356" i="1" s="1"/>
  <c r="AW357" i="1"/>
  <c r="AX357" i="1" s="1"/>
  <c r="AW358" i="1"/>
  <c r="AX358" i="1" s="1"/>
  <c r="AW359" i="1"/>
  <c r="AX359" i="1" s="1"/>
  <c r="AW360" i="1"/>
  <c r="AX360" i="1" s="1"/>
  <c r="AW361" i="1"/>
  <c r="AX361" i="1" s="1"/>
  <c r="AW362" i="1"/>
  <c r="AX362" i="1" s="1"/>
  <c r="AW363" i="1"/>
  <c r="AX363" i="1" s="1"/>
  <c r="AW364" i="1"/>
  <c r="AX364" i="1" s="1"/>
  <c r="AW365" i="1"/>
  <c r="AX365" i="1" s="1"/>
  <c r="AW366" i="1"/>
  <c r="AX366" i="1" s="1"/>
  <c r="AW367" i="1"/>
  <c r="AX367" i="1" s="1"/>
  <c r="AW368" i="1"/>
  <c r="AX368" i="1" s="1"/>
  <c r="AW369" i="1"/>
  <c r="AX369" i="1" s="1"/>
  <c r="AW370" i="1"/>
  <c r="AX370" i="1" s="1"/>
  <c r="AW371" i="1"/>
  <c r="AX371" i="1" s="1"/>
  <c r="AW372" i="1"/>
  <c r="AX372" i="1" s="1"/>
  <c r="AW373" i="1"/>
  <c r="AX373" i="1" s="1"/>
  <c r="E322" i="12"/>
  <c r="E321" i="12"/>
  <c r="E320" i="12"/>
  <c r="E319" i="12"/>
  <c r="E318" i="12"/>
  <c r="E317" i="12"/>
  <c r="L111" i="1"/>
  <c r="E316" i="12"/>
  <c r="E315" i="12"/>
  <c r="E314" i="12"/>
  <c r="F314" i="12"/>
  <c r="AU110" i="1"/>
  <c r="L110" i="1"/>
  <c r="E313" i="12"/>
  <c r="E312" i="12"/>
  <c r="E311" i="12"/>
  <c r="F311" i="12"/>
  <c r="AU109" i="1"/>
  <c r="L109" i="1"/>
  <c r="L108" i="1"/>
  <c r="E307" i="12"/>
  <c r="E306" i="12"/>
  <c r="E305" i="12"/>
  <c r="E304" i="12"/>
  <c r="E302" i="12"/>
  <c r="E64" i="12"/>
  <c r="E62" i="12"/>
  <c r="E301" i="12"/>
  <c r="E300" i="12"/>
  <c r="E299" i="12"/>
  <c r="E298" i="12"/>
  <c r="E297" i="12"/>
  <c r="E296" i="12"/>
  <c r="E295" i="12"/>
  <c r="E294" i="12"/>
  <c r="E293" i="12"/>
  <c r="E292" i="12"/>
  <c r="E291" i="12"/>
  <c r="E290" i="12"/>
  <c r="L103" i="1"/>
  <c r="L104" i="1"/>
  <c r="F302" i="12"/>
  <c r="AU106" i="1"/>
  <c r="F62" i="12"/>
  <c r="AU26" i="1"/>
  <c r="L102" i="1"/>
  <c r="AC102" i="1"/>
  <c r="E289" i="12"/>
  <c r="E288" i="12"/>
  <c r="E287" i="12"/>
  <c r="L101" i="1"/>
  <c r="E283" i="12"/>
  <c r="E282" i="12"/>
  <c r="E281" i="12"/>
  <c r="E286" i="12"/>
  <c r="E285" i="12"/>
  <c r="E284" i="12"/>
  <c r="L99" i="1"/>
  <c r="L100" i="1"/>
  <c r="E280" i="12"/>
  <c r="E279" i="12"/>
  <c r="E278" i="12"/>
  <c r="L98" i="1"/>
  <c r="E277" i="12"/>
  <c r="E276" i="12"/>
  <c r="E275" i="12"/>
  <c r="E274" i="12"/>
  <c r="E273" i="12"/>
  <c r="E272" i="12"/>
  <c r="L97" i="1"/>
  <c r="K6" i="11"/>
  <c r="AR97" i="1"/>
  <c r="F272" i="12"/>
  <c r="AU96" i="1"/>
  <c r="AR98" i="1"/>
  <c r="AR99" i="1"/>
  <c r="AR100" i="1"/>
  <c r="AR101" i="1"/>
  <c r="D4" i="11"/>
  <c r="F10" i="11" s="1"/>
  <c r="L96" i="1"/>
  <c r="L95" i="1"/>
  <c r="E268" i="12"/>
  <c r="E267" i="12"/>
  <c r="E266" i="12"/>
  <c r="L94" i="1"/>
  <c r="AC73" i="1"/>
  <c r="AC77" i="1"/>
  <c r="E256" i="12"/>
  <c r="E255" i="12"/>
  <c r="E254" i="12"/>
  <c r="L91" i="1"/>
  <c r="L90" i="1"/>
  <c r="L89" i="1"/>
  <c r="F266" i="12"/>
  <c r="AU94" i="1"/>
  <c r="AC85" i="1"/>
  <c r="L85" i="1"/>
  <c r="L84" i="1"/>
  <c r="L83" i="1"/>
  <c r="L82" i="1"/>
  <c r="L81" i="1"/>
  <c r="L79" i="1"/>
  <c r="E211" i="12"/>
  <c r="E210" i="12"/>
  <c r="E209" i="12"/>
  <c r="G10" i="11"/>
  <c r="L70" i="1"/>
  <c r="P12" i="11"/>
  <c r="O12" i="11"/>
  <c r="E155" i="12"/>
  <c r="E156" i="12"/>
  <c r="AR56" i="1"/>
  <c r="AR3" i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102" i="1"/>
  <c r="AR103" i="1"/>
  <c r="AR104" i="1"/>
  <c r="AR105" i="1"/>
  <c r="AR106" i="1"/>
  <c r="AR107" i="1"/>
  <c r="AR108" i="1"/>
  <c r="AR109" i="1"/>
  <c r="AR110" i="1"/>
  <c r="AR11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AR143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160" i="1"/>
  <c r="AR161" i="1"/>
  <c r="AR162" i="1"/>
  <c r="AR163" i="1"/>
  <c r="AR164" i="1"/>
  <c r="AR165" i="1"/>
  <c r="AR166" i="1"/>
  <c r="AR167" i="1"/>
  <c r="AR168" i="1"/>
  <c r="AR169" i="1"/>
  <c r="AR170" i="1"/>
  <c r="AR171" i="1"/>
  <c r="AR172" i="1"/>
  <c r="AR173" i="1"/>
  <c r="AR174" i="1"/>
  <c r="AR175" i="1"/>
  <c r="AR176" i="1"/>
  <c r="AR177" i="1"/>
  <c r="AR178" i="1"/>
  <c r="AR179" i="1"/>
  <c r="AR180" i="1"/>
  <c r="AR181" i="1"/>
  <c r="AR182" i="1"/>
  <c r="AR183" i="1"/>
  <c r="AR184" i="1"/>
  <c r="AR185" i="1"/>
  <c r="AR186" i="1"/>
  <c r="AR187" i="1"/>
  <c r="AR188" i="1"/>
  <c r="AR189" i="1"/>
  <c r="AR190" i="1"/>
  <c r="AR191" i="1"/>
  <c r="AR192" i="1"/>
  <c r="AR193" i="1"/>
  <c r="AR194" i="1"/>
  <c r="AR195" i="1"/>
  <c r="AR196" i="1"/>
  <c r="AR197" i="1"/>
  <c r="AR198" i="1"/>
  <c r="AR199" i="1"/>
  <c r="AR200" i="1"/>
  <c r="AR201" i="1"/>
  <c r="AR202" i="1"/>
  <c r="AR203" i="1"/>
  <c r="AR204" i="1"/>
  <c r="AR205" i="1"/>
  <c r="AR206" i="1"/>
  <c r="AR207" i="1"/>
  <c r="AR208" i="1"/>
  <c r="AR209" i="1"/>
  <c r="AR210" i="1"/>
  <c r="AR211" i="1"/>
  <c r="AR212" i="1"/>
  <c r="AR213" i="1"/>
  <c r="AR214" i="1"/>
  <c r="AR215" i="1"/>
  <c r="AR216" i="1"/>
  <c r="AR217" i="1"/>
  <c r="AR218" i="1"/>
  <c r="AR219" i="1"/>
  <c r="AR220" i="1"/>
  <c r="AR221" i="1"/>
  <c r="AR222" i="1"/>
  <c r="AR223" i="1"/>
  <c r="AR224" i="1"/>
  <c r="AR225" i="1"/>
  <c r="AR226" i="1"/>
  <c r="AR227" i="1"/>
  <c r="AR228" i="1"/>
  <c r="AR229" i="1"/>
  <c r="AR230" i="1"/>
  <c r="AR231" i="1"/>
  <c r="AR232" i="1"/>
  <c r="AR233" i="1"/>
  <c r="AR234" i="1"/>
  <c r="AR235" i="1"/>
  <c r="AR236" i="1"/>
  <c r="AR237" i="1"/>
  <c r="AR238" i="1"/>
  <c r="AR239" i="1"/>
  <c r="AR240" i="1"/>
  <c r="AR241" i="1"/>
  <c r="AR242" i="1"/>
  <c r="AR243" i="1"/>
  <c r="AR244" i="1"/>
  <c r="AR245" i="1"/>
  <c r="AR246" i="1"/>
  <c r="AR247" i="1"/>
  <c r="AR248" i="1"/>
  <c r="AR249" i="1"/>
  <c r="AR250" i="1"/>
  <c r="AR251" i="1"/>
  <c r="AR252" i="1"/>
  <c r="AR253" i="1"/>
  <c r="AR254" i="1"/>
  <c r="AR255" i="1"/>
  <c r="AR256" i="1"/>
  <c r="AR257" i="1"/>
  <c r="AR258" i="1"/>
  <c r="AR259" i="1"/>
  <c r="AR260" i="1"/>
  <c r="AR261" i="1"/>
  <c r="AR262" i="1"/>
  <c r="AR263" i="1"/>
  <c r="AR264" i="1"/>
  <c r="AR265" i="1"/>
  <c r="AR266" i="1"/>
  <c r="AR267" i="1"/>
  <c r="AR268" i="1"/>
  <c r="AR269" i="1"/>
  <c r="AR270" i="1"/>
  <c r="AR271" i="1"/>
  <c r="AR272" i="1"/>
  <c r="AR273" i="1"/>
  <c r="AR274" i="1"/>
  <c r="AR275" i="1"/>
  <c r="AR276" i="1"/>
  <c r="AR277" i="1"/>
  <c r="AR278" i="1"/>
  <c r="AR279" i="1"/>
  <c r="AR280" i="1"/>
  <c r="AR281" i="1"/>
  <c r="AR282" i="1"/>
  <c r="AR283" i="1"/>
  <c r="AR284" i="1"/>
  <c r="AR285" i="1"/>
  <c r="AR286" i="1"/>
  <c r="AR287" i="1"/>
  <c r="AR288" i="1"/>
  <c r="AR289" i="1"/>
  <c r="AR290" i="1"/>
  <c r="AR291" i="1"/>
  <c r="AR292" i="1"/>
  <c r="AR293" i="1"/>
  <c r="AR294" i="1"/>
  <c r="AR295" i="1"/>
  <c r="AR296" i="1"/>
  <c r="AR297" i="1"/>
  <c r="AR298" i="1"/>
  <c r="AR299" i="1"/>
  <c r="AR300" i="1"/>
  <c r="AR301" i="1"/>
  <c r="AR302" i="1"/>
  <c r="AR303" i="1"/>
  <c r="AR304" i="1"/>
  <c r="AR305" i="1"/>
  <c r="AR306" i="1"/>
  <c r="AR307" i="1"/>
  <c r="AR308" i="1"/>
  <c r="AR309" i="1"/>
  <c r="AR310" i="1"/>
  <c r="AR311" i="1"/>
  <c r="AR312" i="1"/>
  <c r="AR313" i="1"/>
  <c r="AR314" i="1"/>
  <c r="AR315" i="1"/>
  <c r="AR316" i="1"/>
  <c r="AR317" i="1"/>
  <c r="AR318" i="1"/>
  <c r="AR319" i="1"/>
  <c r="AR320" i="1"/>
  <c r="AR321" i="1"/>
  <c r="AR322" i="1"/>
  <c r="AR323" i="1"/>
  <c r="AR324" i="1"/>
  <c r="AR325" i="1"/>
  <c r="AR326" i="1"/>
  <c r="AR327" i="1"/>
  <c r="AR328" i="1"/>
  <c r="AR329" i="1"/>
  <c r="AR330" i="1"/>
  <c r="AR331" i="1"/>
  <c r="AR332" i="1"/>
  <c r="AR333" i="1"/>
  <c r="AR334" i="1"/>
  <c r="AR335" i="1"/>
  <c r="AR336" i="1"/>
  <c r="AR337" i="1"/>
  <c r="AR338" i="1"/>
  <c r="AR339" i="1"/>
  <c r="AR340" i="1"/>
  <c r="AR341" i="1"/>
  <c r="AR342" i="1"/>
  <c r="AR343" i="1"/>
  <c r="AR344" i="1"/>
  <c r="AR345" i="1"/>
  <c r="AR346" i="1"/>
  <c r="AR347" i="1"/>
  <c r="AR348" i="1"/>
  <c r="AR349" i="1"/>
  <c r="AR350" i="1"/>
  <c r="AR351" i="1"/>
  <c r="AR352" i="1"/>
  <c r="AR353" i="1"/>
  <c r="AR354" i="1"/>
  <c r="AR355" i="1"/>
  <c r="AR356" i="1"/>
  <c r="AR357" i="1"/>
  <c r="AR358" i="1"/>
  <c r="AR359" i="1"/>
  <c r="AR360" i="1"/>
  <c r="AR361" i="1"/>
  <c r="AR362" i="1"/>
  <c r="AR363" i="1"/>
  <c r="AR364" i="1"/>
  <c r="AR365" i="1"/>
  <c r="AR366" i="1"/>
  <c r="AR367" i="1"/>
  <c r="AR368" i="1"/>
  <c r="AR369" i="1"/>
  <c r="AR370" i="1"/>
  <c r="AR371" i="1"/>
  <c r="AR372" i="1"/>
  <c r="AR373" i="1"/>
  <c r="N10" i="11"/>
  <c r="E121" i="12"/>
  <c r="E120" i="12"/>
  <c r="E119" i="12"/>
  <c r="F119" i="12"/>
  <c r="AU45" i="1"/>
  <c r="E742" i="12"/>
  <c r="E741" i="12"/>
  <c r="E740" i="12"/>
  <c r="E739" i="12"/>
  <c r="E738" i="12"/>
  <c r="E737" i="12"/>
  <c r="F737" i="12" s="1"/>
  <c r="E733" i="12"/>
  <c r="E732" i="12"/>
  <c r="E731" i="12"/>
  <c r="F731" i="12" s="1"/>
  <c r="E730" i="12"/>
  <c r="E729" i="12"/>
  <c r="E728" i="12"/>
  <c r="M727" i="12"/>
  <c r="E727" i="12"/>
  <c r="M726" i="12"/>
  <c r="E726" i="12"/>
  <c r="M725" i="12"/>
  <c r="E725" i="12"/>
  <c r="F725" i="12"/>
  <c r="AV247" i="30" s="1"/>
  <c r="M724" i="12"/>
  <c r="E724" i="12"/>
  <c r="M723" i="12"/>
  <c r="E723" i="12"/>
  <c r="M722" i="12"/>
  <c r="E722" i="12"/>
  <c r="F722" i="12" s="1"/>
  <c r="E721" i="12"/>
  <c r="E720" i="12"/>
  <c r="E719" i="12"/>
  <c r="E718" i="12"/>
  <c r="E717" i="12"/>
  <c r="E716" i="12"/>
  <c r="F716" i="12" s="1"/>
  <c r="AU244" i="1" s="1"/>
  <c r="E715" i="12"/>
  <c r="E714" i="12"/>
  <c r="F713" i="12" s="1"/>
  <c r="E713" i="12"/>
  <c r="E712" i="12"/>
  <c r="E711" i="12"/>
  <c r="E710" i="12"/>
  <c r="E709" i="12"/>
  <c r="E708" i="12"/>
  <c r="E707" i="12"/>
  <c r="E706" i="12"/>
  <c r="E705" i="12"/>
  <c r="E704" i="12"/>
  <c r="E703" i="12"/>
  <c r="F701" i="12"/>
  <c r="AU239" i="1"/>
  <c r="E702" i="12"/>
  <c r="E701" i="12"/>
  <c r="E700" i="12"/>
  <c r="E699" i="12"/>
  <c r="E698" i="12"/>
  <c r="E697" i="12"/>
  <c r="E696" i="12"/>
  <c r="E695" i="12"/>
  <c r="E694" i="12"/>
  <c r="E693" i="12"/>
  <c r="E692" i="12"/>
  <c r="F692" i="12"/>
  <c r="AU236" i="1"/>
  <c r="E691" i="12"/>
  <c r="E690" i="12"/>
  <c r="F689" i="12"/>
  <c r="AU235" i="1"/>
  <c r="E689" i="12"/>
  <c r="E688" i="12"/>
  <c r="E687" i="12"/>
  <c r="E686" i="12"/>
  <c r="E685" i="12"/>
  <c r="E684" i="12"/>
  <c r="E683" i="12"/>
  <c r="E682" i="12"/>
  <c r="E681" i="12"/>
  <c r="E680" i="12"/>
  <c r="E679" i="12"/>
  <c r="E678" i="12"/>
  <c r="E677" i="12"/>
  <c r="F677" i="12"/>
  <c r="AU231" i="1"/>
  <c r="E676" i="12"/>
  <c r="E675" i="12"/>
  <c r="E674" i="12"/>
  <c r="E673" i="12"/>
  <c r="E672" i="12"/>
  <c r="E671" i="12"/>
  <c r="E670" i="12"/>
  <c r="E669" i="12"/>
  <c r="E668" i="12"/>
  <c r="E664" i="12"/>
  <c r="E663" i="12"/>
  <c r="E662" i="12"/>
  <c r="E661" i="12"/>
  <c r="E660" i="12"/>
  <c r="E659" i="12"/>
  <c r="F659" i="12"/>
  <c r="AU225" i="1"/>
  <c r="E658" i="12"/>
  <c r="E657" i="12"/>
  <c r="E656" i="12"/>
  <c r="E655" i="12"/>
  <c r="E654" i="12"/>
  <c r="E653" i="12"/>
  <c r="E652" i="12"/>
  <c r="E651" i="12"/>
  <c r="F650" i="12"/>
  <c r="AU222" i="1"/>
  <c r="E650" i="12"/>
  <c r="E649" i="12"/>
  <c r="E648" i="12"/>
  <c r="E647" i="12"/>
  <c r="E646" i="12"/>
  <c r="E645" i="12"/>
  <c r="E644" i="12"/>
  <c r="E736" i="12"/>
  <c r="F734" i="12" s="1"/>
  <c r="AV250" i="30" s="1"/>
  <c r="E735" i="12"/>
  <c r="E734" i="12"/>
  <c r="E640" i="12"/>
  <c r="E639" i="12"/>
  <c r="F638" i="12" s="1"/>
  <c r="E638" i="12"/>
  <c r="E637" i="12"/>
  <c r="E636" i="12"/>
  <c r="E635" i="12"/>
  <c r="E634" i="12"/>
  <c r="E633" i="12"/>
  <c r="E632" i="12"/>
  <c r="F632" i="12" s="1"/>
  <c r="E631" i="12"/>
  <c r="F629" i="12" s="1"/>
  <c r="E630" i="12"/>
  <c r="E629" i="12"/>
  <c r="E628" i="12"/>
  <c r="E627" i="12"/>
  <c r="E626" i="12"/>
  <c r="E625" i="12"/>
  <c r="E624" i="12"/>
  <c r="E623" i="12"/>
  <c r="F623" i="12"/>
  <c r="AV213" i="30" s="1"/>
  <c r="E622" i="12"/>
  <c r="E621" i="12"/>
  <c r="E620" i="12"/>
  <c r="F620" i="12" s="1"/>
  <c r="E619" i="12"/>
  <c r="E618" i="12"/>
  <c r="E617" i="12"/>
  <c r="E616" i="12"/>
  <c r="F614" i="12" s="1"/>
  <c r="E615" i="12"/>
  <c r="E614" i="12"/>
  <c r="E613" i="12"/>
  <c r="E612" i="12"/>
  <c r="E611" i="12"/>
  <c r="E610" i="12"/>
  <c r="E609" i="12"/>
  <c r="E608" i="12"/>
  <c r="E607" i="12"/>
  <c r="E606" i="12"/>
  <c r="F605" i="12" s="1"/>
  <c r="E605" i="12"/>
  <c r="E604" i="12"/>
  <c r="E603" i="12"/>
  <c r="E602" i="12"/>
  <c r="E601" i="12"/>
  <c r="E600" i="12"/>
  <c r="E599" i="12"/>
  <c r="E598" i="12"/>
  <c r="E597" i="12"/>
  <c r="E596" i="12"/>
  <c r="E595" i="12"/>
  <c r="E594" i="12"/>
  <c r="E593" i="12"/>
  <c r="E592" i="12"/>
  <c r="E591" i="12"/>
  <c r="E590" i="12"/>
  <c r="E589" i="12"/>
  <c r="E588" i="12"/>
  <c r="E587" i="12"/>
  <c r="E586" i="12"/>
  <c r="F584" i="12" s="1"/>
  <c r="AV200" i="30" s="1"/>
  <c r="E585" i="12"/>
  <c r="E584" i="12"/>
  <c r="E583" i="12"/>
  <c r="E582" i="12"/>
  <c r="E581" i="12"/>
  <c r="E580" i="12"/>
  <c r="E579" i="12"/>
  <c r="E578" i="12"/>
  <c r="F578" i="12" s="1"/>
  <c r="AV198" i="30" s="1"/>
  <c r="E574" i="12"/>
  <c r="E573" i="12"/>
  <c r="E572" i="12"/>
  <c r="E571" i="12"/>
  <c r="E570" i="12"/>
  <c r="E569" i="12"/>
  <c r="E565" i="12"/>
  <c r="E564" i="12"/>
  <c r="E563" i="12"/>
  <c r="E559" i="12"/>
  <c r="E558" i="12"/>
  <c r="F557" i="12"/>
  <c r="AU191" i="1"/>
  <c r="E557" i="12"/>
  <c r="E556" i="12"/>
  <c r="E555" i="12"/>
  <c r="E554" i="12"/>
  <c r="E553" i="12"/>
  <c r="E552" i="12"/>
  <c r="E551" i="12"/>
  <c r="E550" i="12"/>
  <c r="E549" i="12"/>
  <c r="E548" i="12"/>
  <c r="E547" i="12"/>
  <c r="E546" i="12"/>
  <c r="E545" i="12"/>
  <c r="E544" i="12"/>
  <c r="E543" i="12"/>
  <c r="E542" i="12"/>
  <c r="E541" i="12"/>
  <c r="E540" i="12"/>
  <c r="E539" i="12"/>
  <c r="E538" i="12"/>
  <c r="E537" i="12"/>
  <c r="E536" i="12"/>
  <c r="E535" i="12"/>
  <c r="E534" i="12"/>
  <c r="F533" i="12"/>
  <c r="AU183" i="1"/>
  <c r="E533" i="12"/>
  <c r="E532" i="12"/>
  <c r="E531" i="12"/>
  <c r="E530" i="12"/>
  <c r="F527" i="12"/>
  <c r="AU181" i="1"/>
  <c r="E526" i="12"/>
  <c r="E525" i="12"/>
  <c r="E524" i="12"/>
  <c r="E523" i="12"/>
  <c r="E522" i="12"/>
  <c r="E521" i="12"/>
  <c r="F512" i="12"/>
  <c r="AU176" i="1"/>
  <c r="E511" i="12"/>
  <c r="E510" i="12"/>
  <c r="E509" i="12"/>
  <c r="E508" i="12"/>
  <c r="E507" i="12"/>
  <c r="E506" i="12"/>
  <c r="F506" i="12"/>
  <c r="AU174" i="1"/>
  <c r="E505" i="12"/>
  <c r="E504" i="12"/>
  <c r="E503" i="12"/>
  <c r="F503" i="12"/>
  <c r="AU173" i="1"/>
  <c r="E502" i="12"/>
  <c r="E501" i="12"/>
  <c r="E500" i="12"/>
  <c r="E499" i="12"/>
  <c r="E498" i="12"/>
  <c r="E497" i="12"/>
  <c r="E496" i="12"/>
  <c r="E495" i="12"/>
  <c r="E494" i="12"/>
  <c r="E493" i="12"/>
  <c r="E492" i="12"/>
  <c r="E491" i="12"/>
  <c r="F491" i="12"/>
  <c r="AU169" i="1"/>
  <c r="E490" i="12"/>
  <c r="E489" i="12"/>
  <c r="E488" i="12"/>
  <c r="F488" i="12"/>
  <c r="AU168" i="1"/>
  <c r="E487" i="12"/>
  <c r="E486" i="12"/>
  <c r="E485" i="12"/>
  <c r="E484" i="12"/>
  <c r="E483" i="12"/>
  <c r="E482" i="12"/>
  <c r="E481" i="12"/>
  <c r="E480" i="12"/>
  <c r="E479" i="12"/>
  <c r="E478" i="12"/>
  <c r="E477" i="12"/>
  <c r="F476" i="12"/>
  <c r="AU164" i="1"/>
  <c r="E476" i="12"/>
  <c r="E475" i="12"/>
  <c r="E474" i="12"/>
  <c r="E473" i="12"/>
  <c r="E472" i="12"/>
  <c r="E471" i="12"/>
  <c r="E470" i="12"/>
  <c r="E469" i="12"/>
  <c r="E468" i="12"/>
  <c r="E467" i="12"/>
  <c r="E466" i="12"/>
  <c r="E465" i="12"/>
  <c r="E464" i="12"/>
  <c r="F464" i="12"/>
  <c r="AU160" i="1"/>
  <c r="E463" i="12"/>
  <c r="E462" i="12"/>
  <c r="E461" i="12"/>
  <c r="E460" i="12"/>
  <c r="E459" i="12"/>
  <c r="E458" i="12"/>
  <c r="F458" i="12"/>
  <c r="AU158" i="1"/>
  <c r="E457" i="12"/>
  <c r="E456" i="12"/>
  <c r="E455" i="12"/>
  <c r="E454" i="12"/>
  <c r="E453" i="12"/>
  <c r="E452" i="12"/>
  <c r="F443" i="12"/>
  <c r="AU153" i="1"/>
  <c r="F440" i="12"/>
  <c r="AU152" i="1"/>
  <c r="F428" i="12"/>
  <c r="AU148" i="1"/>
  <c r="E424" i="12"/>
  <c r="E423" i="12"/>
  <c r="E422" i="12"/>
  <c r="E421" i="12"/>
  <c r="E420" i="12"/>
  <c r="E419" i="12"/>
  <c r="F419" i="12"/>
  <c r="AU145" i="1"/>
  <c r="E415" i="12"/>
  <c r="E414" i="12"/>
  <c r="E413" i="12"/>
  <c r="E412" i="12"/>
  <c r="E411" i="12"/>
  <c r="E410" i="12"/>
  <c r="F404" i="12"/>
  <c r="AU140" i="1"/>
  <c r="E403" i="12"/>
  <c r="E402" i="12"/>
  <c r="E401" i="12"/>
  <c r="E394" i="12"/>
  <c r="E393" i="12"/>
  <c r="E392" i="12"/>
  <c r="F392" i="12"/>
  <c r="AU136" i="1"/>
  <c r="F386" i="12"/>
  <c r="AU134" i="1"/>
  <c r="F383" i="12"/>
  <c r="AU133" i="1"/>
  <c r="E382" i="12"/>
  <c r="E381" i="12"/>
  <c r="E380" i="12"/>
  <c r="E379" i="12"/>
  <c r="E378" i="12"/>
  <c r="E377" i="12"/>
  <c r="E376" i="12"/>
  <c r="E375" i="12"/>
  <c r="E374" i="12"/>
  <c r="F374" i="12"/>
  <c r="AU130" i="1"/>
  <c r="E373" i="12"/>
  <c r="E372" i="12"/>
  <c r="E371" i="12"/>
  <c r="F368" i="12"/>
  <c r="AU128" i="1"/>
  <c r="E367" i="12"/>
  <c r="E366" i="12"/>
  <c r="E365" i="12"/>
  <c r="F365" i="12"/>
  <c r="AU127" i="1"/>
  <c r="E364" i="12"/>
  <c r="E363" i="12"/>
  <c r="E362" i="12"/>
  <c r="F359" i="12"/>
  <c r="AU125" i="1"/>
  <c r="F356" i="12"/>
  <c r="AU124" i="1"/>
  <c r="E353" i="12"/>
  <c r="E352" i="12"/>
  <c r="E351" i="12"/>
  <c r="E350" i="12"/>
  <c r="E349" i="12"/>
  <c r="E348" i="12"/>
  <c r="E347" i="12"/>
  <c r="E346" i="12"/>
  <c r="E345" i="12"/>
  <c r="E344" i="12"/>
  <c r="F344" i="12"/>
  <c r="AU120" i="1"/>
  <c r="E343" i="12"/>
  <c r="E342" i="12"/>
  <c r="E341" i="12"/>
  <c r="E340" i="12"/>
  <c r="E339" i="12"/>
  <c r="E338" i="12"/>
  <c r="F338" i="12"/>
  <c r="AU118" i="1"/>
  <c r="E337" i="12"/>
  <c r="E336" i="12"/>
  <c r="E335" i="12"/>
  <c r="E334" i="12"/>
  <c r="E333" i="12"/>
  <c r="E332" i="12"/>
  <c r="E331" i="12"/>
  <c r="E330" i="12"/>
  <c r="E329" i="12"/>
  <c r="E328" i="12"/>
  <c r="E327" i="12"/>
  <c r="E326" i="12"/>
  <c r="E325" i="12"/>
  <c r="E324" i="12"/>
  <c r="E323" i="12"/>
  <c r="F320" i="12"/>
  <c r="AU112" i="1"/>
  <c r="E310" i="12"/>
  <c r="E309" i="12"/>
  <c r="E308" i="12"/>
  <c r="F305" i="12"/>
  <c r="AU107" i="1"/>
  <c r="F296" i="12"/>
  <c r="AU104" i="1"/>
  <c r="F293" i="12"/>
  <c r="AU103" i="1"/>
  <c r="F290" i="12"/>
  <c r="AU102" i="1"/>
  <c r="F287" i="12"/>
  <c r="AU101" i="1"/>
  <c r="F284" i="12"/>
  <c r="AU100" i="1"/>
  <c r="F281" i="12"/>
  <c r="AU99" i="1"/>
  <c r="F278" i="12"/>
  <c r="AU98" i="1"/>
  <c r="F275" i="12"/>
  <c r="AU97" i="1"/>
  <c r="E271" i="12"/>
  <c r="E270" i="12"/>
  <c r="E269" i="12"/>
  <c r="E265" i="12"/>
  <c r="E264" i="12"/>
  <c r="E263" i="12"/>
  <c r="E262" i="12"/>
  <c r="E261" i="12"/>
  <c r="E260" i="12"/>
  <c r="E259" i="12"/>
  <c r="E258" i="12"/>
  <c r="E257" i="12"/>
  <c r="F254" i="12"/>
  <c r="AU90" i="1"/>
  <c r="E253" i="12"/>
  <c r="E252" i="12"/>
  <c r="E251" i="12"/>
  <c r="E250" i="12"/>
  <c r="E249" i="12"/>
  <c r="E248" i="12"/>
  <c r="F248" i="12"/>
  <c r="AU88" i="1"/>
  <c r="E247" i="12"/>
  <c r="E246" i="12"/>
  <c r="E245" i="12"/>
  <c r="E244" i="12"/>
  <c r="E243" i="12"/>
  <c r="E242" i="12"/>
  <c r="E241" i="12"/>
  <c r="E240" i="12"/>
  <c r="E239" i="12"/>
  <c r="E238" i="12"/>
  <c r="E237" i="12"/>
  <c r="E236" i="12"/>
  <c r="E235" i="12"/>
  <c r="E234" i="12"/>
  <c r="E233" i="12"/>
  <c r="E232" i="12"/>
  <c r="E231" i="12"/>
  <c r="E230" i="12"/>
  <c r="E229" i="12"/>
  <c r="E228" i="12"/>
  <c r="E227" i="12"/>
  <c r="E226" i="12"/>
  <c r="E225" i="12"/>
  <c r="E224" i="12"/>
  <c r="E223" i="12"/>
  <c r="E222" i="12"/>
  <c r="E221" i="12"/>
  <c r="E220" i="12"/>
  <c r="E219" i="12"/>
  <c r="E218" i="12"/>
  <c r="E217" i="12"/>
  <c r="E216" i="12"/>
  <c r="E215" i="12"/>
  <c r="E214" i="12"/>
  <c r="E213" i="12"/>
  <c r="E212" i="12"/>
  <c r="F209" i="12"/>
  <c r="AU75" i="1"/>
  <c r="E208" i="12"/>
  <c r="E207" i="12"/>
  <c r="E206" i="12"/>
  <c r="E205" i="12"/>
  <c r="E204" i="12"/>
  <c r="E203" i="12"/>
  <c r="E202" i="12"/>
  <c r="E201" i="12"/>
  <c r="E200" i="12"/>
  <c r="E199" i="12"/>
  <c r="E198" i="12"/>
  <c r="E197" i="12"/>
  <c r="E196" i="12"/>
  <c r="E195" i="12"/>
  <c r="E194" i="12"/>
  <c r="E193" i="12"/>
  <c r="E192" i="12"/>
  <c r="E191" i="12"/>
  <c r="E190" i="12"/>
  <c r="E189" i="12"/>
  <c r="E188" i="12"/>
  <c r="E187" i="12"/>
  <c r="E186" i="12"/>
  <c r="F185" i="12"/>
  <c r="AU67" i="1"/>
  <c r="E185" i="12"/>
  <c r="E184" i="12"/>
  <c r="E183" i="12"/>
  <c r="E182" i="12"/>
  <c r="F182" i="12"/>
  <c r="AU66" i="1"/>
  <c r="E181" i="12"/>
  <c r="E180" i="12"/>
  <c r="E179" i="12"/>
  <c r="E178" i="12"/>
  <c r="E177" i="12"/>
  <c r="E176" i="12"/>
  <c r="E175" i="12"/>
  <c r="E174" i="12"/>
  <c r="E173" i="12"/>
  <c r="E172" i="12"/>
  <c r="E171" i="12"/>
  <c r="E170" i="12"/>
  <c r="E169" i="12"/>
  <c r="E168" i="12"/>
  <c r="E167" i="12"/>
  <c r="F167" i="12"/>
  <c r="AU61" i="1"/>
  <c r="E166" i="12"/>
  <c r="E165" i="12"/>
  <c r="E164" i="12"/>
  <c r="E163" i="12"/>
  <c r="E162" i="12"/>
  <c r="E161" i="12"/>
  <c r="E160" i="12"/>
  <c r="E159" i="12"/>
  <c r="E158" i="12"/>
  <c r="E157" i="12"/>
  <c r="F155" i="12"/>
  <c r="AU57" i="1"/>
  <c r="E154" i="12"/>
  <c r="E153" i="12"/>
  <c r="E152" i="12"/>
  <c r="E151" i="12"/>
  <c r="E150" i="12"/>
  <c r="E149" i="12"/>
  <c r="E148" i="12"/>
  <c r="E147" i="12"/>
  <c r="E146" i="12"/>
  <c r="F146" i="12"/>
  <c r="AU54" i="1"/>
  <c r="E145" i="12"/>
  <c r="E144" i="12"/>
  <c r="E143" i="12"/>
  <c r="E142" i="12"/>
  <c r="E141" i="12"/>
  <c r="E140" i="12"/>
  <c r="E139" i="12"/>
  <c r="E138" i="12"/>
  <c r="E137" i="12"/>
  <c r="E136" i="12"/>
  <c r="E135" i="12"/>
  <c r="E134" i="12"/>
  <c r="E133" i="12"/>
  <c r="E132" i="12"/>
  <c r="E131" i="12"/>
  <c r="F131" i="12"/>
  <c r="AU49" i="1"/>
  <c r="E130" i="12"/>
  <c r="E129" i="12"/>
  <c r="E128" i="12"/>
  <c r="E127" i="12"/>
  <c r="E126" i="12"/>
  <c r="E125" i="12"/>
  <c r="F125" i="12"/>
  <c r="AU47" i="1"/>
  <c r="E124" i="12"/>
  <c r="E123" i="12"/>
  <c r="E122" i="12"/>
  <c r="E118" i="12"/>
  <c r="E117" i="12"/>
  <c r="E116" i="12"/>
  <c r="E115" i="12"/>
  <c r="E114" i="12"/>
  <c r="E113" i="12"/>
  <c r="F113" i="12"/>
  <c r="AU43" i="1"/>
  <c r="E112" i="12"/>
  <c r="E111" i="12"/>
  <c r="E110" i="12"/>
  <c r="F110" i="12"/>
  <c r="AU42" i="1"/>
  <c r="E109" i="12"/>
  <c r="E108" i="12"/>
  <c r="E107" i="12"/>
  <c r="F107" i="12"/>
  <c r="AU41" i="1"/>
  <c r="E106" i="12"/>
  <c r="E105" i="12"/>
  <c r="E104" i="12"/>
  <c r="E103" i="12"/>
  <c r="E102" i="12"/>
  <c r="E101" i="12"/>
  <c r="E100" i="12"/>
  <c r="E99" i="12"/>
  <c r="E98" i="12"/>
  <c r="F98" i="12"/>
  <c r="AU38" i="1"/>
  <c r="E97" i="12"/>
  <c r="E96" i="12"/>
  <c r="E95" i="12"/>
  <c r="F95" i="12"/>
  <c r="AU37" i="1"/>
  <c r="E94" i="12"/>
  <c r="E93" i="12"/>
  <c r="E92" i="12"/>
  <c r="F92" i="12"/>
  <c r="AU36" i="1"/>
  <c r="E91" i="12"/>
  <c r="E90" i="12"/>
  <c r="E89" i="12"/>
  <c r="E88" i="12"/>
  <c r="E87" i="12"/>
  <c r="E86" i="12"/>
  <c r="F86" i="12"/>
  <c r="AU34" i="1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1" i="12"/>
  <c r="E60" i="12"/>
  <c r="E59" i="12"/>
  <c r="E58" i="12"/>
  <c r="E57" i="12"/>
  <c r="E56" i="12"/>
  <c r="F56" i="12"/>
  <c r="AU24" i="1"/>
  <c r="E55" i="12"/>
  <c r="E54" i="12"/>
  <c r="E53" i="12"/>
  <c r="F53" i="12"/>
  <c r="AU23" i="1"/>
  <c r="E52" i="12"/>
  <c r="E51" i="12"/>
  <c r="E50" i="12"/>
  <c r="E49" i="12"/>
  <c r="E48" i="12"/>
  <c r="E47" i="12"/>
  <c r="F47" i="12"/>
  <c r="AU21" i="1"/>
  <c r="E46" i="12"/>
  <c r="E45" i="12"/>
  <c r="E44" i="12"/>
  <c r="E43" i="12"/>
  <c r="E42" i="12"/>
  <c r="E41" i="12"/>
  <c r="F41" i="12"/>
  <c r="AU19" i="1"/>
  <c r="E40" i="12"/>
  <c r="E39" i="12"/>
  <c r="E38" i="12"/>
  <c r="E37" i="12"/>
  <c r="E36" i="12"/>
  <c r="E35" i="12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F20" i="12"/>
  <c r="AU12" i="1"/>
  <c r="E19" i="12"/>
  <c r="E18" i="12"/>
  <c r="E17" i="12"/>
  <c r="E16" i="12"/>
  <c r="E15" i="12"/>
  <c r="E14" i="12"/>
  <c r="E13" i="12"/>
  <c r="E12" i="12"/>
  <c r="E11" i="12"/>
  <c r="E10" i="12"/>
  <c r="E9" i="12"/>
  <c r="E8" i="12"/>
  <c r="F8" i="12"/>
  <c r="AU8" i="1"/>
  <c r="E7" i="12"/>
  <c r="E6" i="12"/>
  <c r="E5" i="12"/>
  <c r="F5" i="12"/>
  <c r="AU7" i="1"/>
  <c r="E4" i="12"/>
  <c r="E3" i="12"/>
  <c r="E2" i="12"/>
  <c r="N8" i="11"/>
  <c r="D8" i="11"/>
  <c r="L8" i="11"/>
  <c r="D76" i="11"/>
  <c r="D75" i="11"/>
  <c r="D74" i="11"/>
  <c r="D73" i="11"/>
  <c r="D72" i="11"/>
  <c r="D71" i="11"/>
  <c r="D70" i="11"/>
  <c r="D69" i="11"/>
  <c r="D68" i="11"/>
  <c r="D67" i="11"/>
  <c r="D66" i="11"/>
  <c r="D65" i="11"/>
  <c r="D55" i="11"/>
  <c r="D56" i="11" s="1"/>
  <c r="D57" i="11" s="1"/>
  <c r="D58" i="11" s="1"/>
  <c r="D59" i="11" s="1"/>
  <c r="D60" i="11" s="1"/>
  <c r="D61" i="11" s="1"/>
  <c r="D62" i="11" s="1"/>
  <c r="D63" i="11" s="1"/>
  <c r="T12" i="11"/>
  <c r="T11" i="11"/>
  <c r="T10" i="11"/>
  <c r="T9" i="11"/>
  <c r="T8" i="11"/>
  <c r="T7" i="11"/>
  <c r="T6" i="11"/>
  <c r="H8" i="11"/>
  <c r="T5" i="11"/>
  <c r="T4" i="11"/>
  <c r="V7" i="11" s="1" a="1"/>
  <c r="V7" i="11" s="1"/>
  <c r="Q1" i="1"/>
  <c r="P1" i="1"/>
  <c r="M1" i="1"/>
  <c r="K1" i="1"/>
  <c r="I1" i="1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R13" i="3" a="1"/>
  <c r="R13" i="3" s="1"/>
  <c r="Q13" i="3" a="1"/>
  <c r="Q13" i="3"/>
  <c r="P13" i="3" a="1"/>
  <c r="P13" i="3" s="1"/>
  <c r="K13" i="3" a="1"/>
  <c r="K13" i="3" s="1"/>
  <c r="J13" i="3" a="1"/>
  <c r="J13" i="3" s="1"/>
  <c r="I13" i="3" a="1"/>
  <c r="I13" i="3"/>
  <c r="R12" i="3" a="1"/>
  <c r="R12" i="3" s="1"/>
  <c r="Q12" i="3" a="1"/>
  <c r="Q12" i="3" s="1"/>
  <c r="P12" i="3" a="1"/>
  <c r="P12" i="3" s="1"/>
  <c r="K12" i="3" a="1"/>
  <c r="K12" i="3" s="1"/>
  <c r="J12" i="3" a="1"/>
  <c r="J12" i="3" s="1"/>
  <c r="I12" i="3" a="1"/>
  <c r="I12" i="3" s="1"/>
  <c r="R11" i="3" a="1"/>
  <c r="R11" i="3" s="1"/>
  <c r="Q11" i="3" a="1"/>
  <c r="Q11" i="3" s="1"/>
  <c r="P11" i="3" a="1"/>
  <c r="P11" i="3" s="1"/>
  <c r="K11" i="3" a="1"/>
  <c r="K11" i="3" s="1"/>
  <c r="J11" i="3" a="1"/>
  <c r="J11" i="3" s="1"/>
  <c r="I11" i="3" a="1"/>
  <c r="I11" i="3"/>
  <c r="R10" i="3" a="1"/>
  <c r="R10" i="3" s="1"/>
  <c r="Q10" i="3" a="1"/>
  <c r="Q10" i="3" s="1"/>
  <c r="P10" i="3" a="1"/>
  <c r="P10" i="3" s="1"/>
  <c r="K10" i="3" a="1"/>
  <c r="K10" i="3" s="1"/>
  <c r="J10" i="3" a="1"/>
  <c r="J10" i="3" s="1"/>
  <c r="I10" i="3" a="1"/>
  <c r="I10" i="3" s="1"/>
  <c r="R9" i="3" a="1"/>
  <c r="R9" i="3" s="1"/>
  <c r="Q9" i="3" a="1"/>
  <c r="Q9" i="3" s="1"/>
  <c r="P9" i="3" a="1"/>
  <c r="P9" i="3" s="1"/>
  <c r="K9" i="3" a="1"/>
  <c r="K9" i="3" s="1"/>
  <c r="J9" i="3" a="1"/>
  <c r="J9" i="3" s="1"/>
  <c r="I9" i="3" a="1"/>
  <c r="I9" i="3" s="1"/>
  <c r="R8" i="3" a="1"/>
  <c r="R8" i="3" s="1"/>
  <c r="Q8" i="3" a="1"/>
  <c r="Q8" i="3" s="1"/>
  <c r="P8" i="3" a="1"/>
  <c r="P8" i="3" s="1"/>
  <c r="K8" i="3" a="1"/>
  <c r="K8" i="3" s="1"/>
  <c r="J8" i="3" a="1"/>
  <c r="J8" i="3" s="1"/>
  <c r="I8" i="3" a="1"/>
  <c r="I8" i="3" s="1"/>
  <c r="R7" i="3" a="1"/>
  <c r="R7" i="3" s="1"/>
  <c r="Q7" i="3" a="1"/>
  <c r="Q7" i="3" s="1"/>
  <c r="P7" i="3" a="1"/>
  <c r="P7" i="3" s="1"/>
  <c r="K7" i="3" a="1"/>
  <c r="K7" i="3" s="1"/>
  <c r="J7" i="3" a="1"/>
  <c r="J7" i="3" s="1"/>
  <c r="I7" i="3" a="1"/>
  <c r="I7" i="3"/>
  <c r="R6" i="3" a="1"/>
  <c r="R6" i="3" s="1"/>
  <c r="Q6" i="3" a="1"/>
  <c r="Q6" i="3" s="1"/>
  <c r="P6" i="3" a="1"/>
  <c r="P6" i="3" s="1"/>
  <c r="K6" i="3" a="1"/>
  <c r="K6" i="3" s="1"/>
  <c r="J6" i="3" a="1"/>
  <c r="J6" i="3" s="1"/>
  <c r="I6" i="3" a="1"/>
  <c r="I6" i="3" s="1"/>
  <c r="R5" i="3" a="1"/>
  <c r="R5" i="3" s="1"/>
  <c r="Q5" i="3" a="1"/>
  <c r="Q5" i="3" s="1"/>
  <c r="P5" i="3" a="1"/>
  <c r="P5" i="3" s="1"/>
  <c r="K5" i="3" a="1"/>
  <c r="K5" i="3" s="1"/>
  <c r="J5" i="3" a="1"/>
  <c r="J5" i="3" s="1"/>
  <c r="I5" i="3" a="1"/>
  <c r="I5" i="3" s="1"/>
  <c r="R4" i="3" a="1"/>
  <c r="R4" i="3" s="1"/>
  <c r="Q4" i="3" a="1"/>
  <c r="Q4" i="3" s="1"/>
  <c r="P4" i="3" a="1"/>
  <c r="P4" i="3" s="1"/>
  <c r="K4" i="3" a="1"/>
  <c r="K4" i="3" s="1"/>
  <c r="J4" i="3" a="1"/>
  <c r="J4" i="3" s="1"/>
  <c r="I4" i="3" a="1"/>
  <c r="I4" i="3" s="1"/>
  <c r="R3" i="3" a="1"/>
  <c r="R3" i="3" s="1"/>
  <c r="Q3" i="3" a="1"/>
  <c r="Q3" i="3" s="1"/>
  <c r="P3" i="3" a="1"/>
  <c r="P3" i="3" s="1"/>
  <c r="K3" i="3" a="1"/>
  <c r="K3" i="3" s="1"/>
  <c r="J3" i="3" a="1"/>
  <c r="J3" i="3" s="1"/>
  <c r="I3" i="3" a="1"/>
  <c r="I3" i="3" s="1"/>
  <c r="R2" i="3" a="1"/>
  <c r="R2" i="3" s="1"/>
  <c r="Q2" i="3" a="1"/>
  <c r="Q2" i="3" s="1"/>
  <c r="P2" i="3" a="1"/>
  <c r="P2" i="3" s="1"/>
  <c r="I2" i="3" a="1"/>
  <c r="I2" i="3" s="1"/>
  <c r="J2" i="3" a="1"/>
  <c r="J2" i="3" s="1"/>
  <c r="K2" i="3" a="1"/>
  <c r="K2" i="3" s="1"/>
  <c r="B9" i="1"/>
  <c r="B8" i="1"/>
  <c r="B7" i="1"/>
  <c r="B6" i="1"/>
  <c r="B5" i="1"/>
  <c r="B4" i="1"/>
  <c r="B3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10" i="1"/>
  <c r="F422" i="12"/>
  <c r="AU146" i="1"/>
  <c r="F380" i="12"/>
  <c r="AU132" i="1"/>
  <c r="F362" i="12"/>
  <c r="AU126" i="1"/>
  <c r="F26" i="12"/>
  <c r="AU14" i="1"/>
  <c r="F77" i="12"/>
  <c r="AU31" i="1"/>
  <c r="F173" i="12"/>
  <c r="AU63" i="1"/>
  <c r="F188" i="12"/>
  <c r="AU68" i="1"/>
  <c r="F479" i="12"/>
  <c r="AU165" i="1"/>
  <c r="F494" i="12"/>
  <c r="AU170" i="1"/>
  <c r="F158" i="12"/>
  <c r="AU58" i="1"/>
  <c r="F416" i="12"/>
  <c r="AU144" i="1"/>
  <c r="F434" i="12"/>
  <c r="AU150" i="1"/>
  <c r="F683" i="12"/>
  <c r="AU233" i="1"/>
  <c r="F29" i="12"/>
  <c r="AU15" i="1"/>
  <c r="F80" i="12"/>
  <c r="AU32" i="1"/>
  <c r="F575" i="12"/>
  <c r="F686" i="12"/>
  <c r="AU234" i="1"/>
  <c r="N725" i="12"/>
  <c r="F14" i="12"/>
  <c r="AU10" i="1"/>
  <c r="F65" i="12"/>
  <c r="AU27" i="1"/>
  <c r="F545" i="12"/>
  <c r="AU187" i="1"/>
  <c r="F653" i="12"/>
  <c r="AU223" i="1"/>
  <c r="F728" i="12"/>
  <c r="AV248" i="30" s="1"/>
  <c r="AU248" i="1"/>
  <c r="F461" i="12"/>
  <c r="AU159" i="1"/>
  <c r="F32" i="12"/>
  <c r="AU16" i="1"/>
  <c r="F308" i="12"/>
  <c r="AU108" i="1"/>
  <c r="F407" i="12"/>
  <c r="AU141" i="1"/>
  <c r="F452" i="12"/>
  <c r="AU156" i="1"/>
  <c r="F674" i="12"/>
  <c r="AU230" i="1"/>
  <c r="F704" i="12"/>
  <c r="AU240" i="1"/>
  <c r="F194" i="12"/>
  <c r="AU70" i="1"/>
  <c r="F17" i="12"/>
  <c r="AU11" i="1"/>
  <c r="F68" i="12"/>
  <c r="AU28" i="1"/>
  <c r="F245" i="12"/>
  <c r="AU87" i="1"/>
  <c r="F263" i="12"/>
  <c r="AU93" i="1"/>
  <c r="F455" i="12"/>
  <c r="AU157" i="1"/>
  <c r="F470" i="12"/>
  <c r="AU162" i="1"/>
  <c r="F563" i="12"/>
  <c r="F518" i="12"/>
  <c r="AU178" i="1"/>
  <c r="F626" i="12"/>
  <c r="AV214" i="30" s="1"/>
  <c r="AU214" i="1"/>
  <c r="F395" i="12"/>
  <c r="AU137" i="1"/>
  <c r="F410" i="12"/>
  <c r="AU142" i="1"/>
  <c r="F116" i="12"/>
  <c r="AU44" i="1"/>
  <c r="F566" i="12"/>
  <c r="N722" i="12"/>
  <c r="F104" i="12"/>
  <c r="AU40" i="1"/>
  <c r="F122" i="12"/>
  <c r="AU46" i="1"/>
  <c r="F710" i="12"/>
  <c r="AV242" i="30" s="1"/>
  <c r="AU242" i="1"/>
  <c r="F74" i="12"/>
  <c r="AU30" i="1"/>
  <c r="F170" i="12"/>
  <c r="AU62" i="1"/>
  <c r="F539" i="12"/>
  <c r="AU185" i="1"/>
  <c r="F569" i="12"/>
  <c r="AU195" i="1"/>
  <c r="F662" i="12"/>
  <c r="AU226" i="1"/>
  <c r="F680" i="12"/>
  <c r="AU232" i="1"/>
  <c r="F341" i="12"/>
  <c r="AU119" i="1"/>
  <c r="F326" i="12"/>
  <c r="AU114" i="1"/>
  <c r="F329" i="12"/>
  <c r="AU115" i="1"/>
  <c r="F347" i="12"/>
  <c r="AU121" i="1"/>
  <c r="F332" i="12"/>
  <c r="AU116" i="1"/>
  <c r="F335" i="12"/>
  <c r="AU117" i="1"/>
  <c r="F350" i="12"/>
  <c r="AU122" i="1"/>
  <c r="F413" i="12"/>
  <c r="AU143" i="1"/>
  <c r="F608" i="12"/>
  <c r="AV208" i="30" s="1"/>
  <c r="AU208" i="1"/>
  <c r="F11" i="12"/>
  <c r="AU9" i="1"/>
  <c r="F59" i="12"/>
  <c r="AU25" i="1"/>
  <c r="F371" i="12"/>
  <c r="AU129" i="1"/>
  <c r="F431" i="12"/>
  <c r="AU149" i="1"/>
  <c r="F446" i="12"/>
  <c r="AU154" i="1"/>
  <c r="F671" i="12"/>
  <c r="AU229" i="1"/>
  <c r="F740" i="12"/>
  <c r="AV252" i="30" s="1"/>
  <c r="AU252" i="1"/>
  <c r="F548" i="12"/>
  <c r="AU188" i="1"/>
  <c r="F473" i="12"/>
  <c r="AU163" i="1"/>
  <c r="F44" i="12"/>
  <c r="AU20" i="1"/>
  <c r="F89" i="12"/>
  <c r="AU35" i="1"/>
  <c r="F317" i="12"/>
  <c r="AU111" i="1"/>
  <c r="F401" i="12"/>
  <c r="AU139" i="1"/>
  <c r="F611" i="12"/>
  <c r="AV209" i="30" s="1"/>
  <c r="AU209" i="1"/>
  <c r="F644" i="12"/>
  <c r="AU220" i="1"/>
  <c r="F521" i="12"/>
  <c r="AU179" i="1"/>
  <c r="F2" i="12"/>
  <c r="F50" i="12"/>
  <c r="AU22" i="1"/>
  <c r="F239" i="12"/>
  <c r="AU85" i="1"/>
  <c r="F377" i="12"/>
  <c r="AU131" i="1"/>
  <c r="F467" i="12"/>
  <c r="AU161" i="1"/>
  <c r="F482" i="12"/>
  <c r="AU166" i="1"/>
  <c r="F707" i="12"/>
  <c r="AV241" i="30" s="1"/>
  <c r="F719" i="12"/>
  <c r="AU245" i="1" s="1"/>
  <c r="F449" i="12"/>
  <c r="AU155" i="1"/>
  <c r="F35" i="12"/>
  <c r="AU17" i="1"/>
  <c r="F83" i="12"/>
  <c r="AU33" i="1"/>
  <c r="F176" i="12"/>
  <c r="AU64" i="1"/>
  <c r="F323" i="12"/>
  <c r="AU113" i="1"/>
  <c r="F437" i="12"/>
  <c r="AU151" i="1"/>
  <c r="F617" i="12"/>
  <c r="AV211" i="30" s="1"/>
  <c r="F647" i="12"/>
  <c r="AU221" i="1"/>
  <c r="F389" i="12"/>
  <c r="AU135" i="1"/>
  <c r="F695" i="12"/>
  <c r="AU237" i="1"/>
  <c r="F218" i="12"/>
  <c r="AU78" i="1"/>
  <c r="F38" i="12"/>
  <c r="AU18" i="1"/>
  <c r="F179" i="12"/>
  <c r="AU65" i="1"/>
  <c r="F227" i="12"/>
  <c r="AU81" i="1"/>
  <c r="F260" i="12"/>
  <c r="AU92" i="1"/>
  <c r="F353" i="12"/>
  <c r="AU123" i="1"/>
  <c r="F425" i="12"/>
  <c r="AU147" i="1"/>
  <c r="F515" i="12"/>
  <c r="AU177" i="1"/>
  <c r="F560" i="12"/>
  <c r="AU192" i="1"/>
  <c r="F635" i="12"/>
  <c r="AV217" i="30" s="1"/>
  <c r="F656" i="12"/>
  <c r="AU224" i="1"/>
  <c r="F23" i="12"/>
  <c r="AU13" i="1"/>
  <c r="F71" i="12"/>
  <c r="AU29" i="1"/>
  <c r="F101" i="12"/>
  <c r="AU39" i="1"/>
  <c r="F149" i="12"/>
  <c r="AU55" i="1"/>
  <c r="F299" i="12"/>
  <c r="AU105" i="1"/>
  <c r="F398" i="12"/>
  <c r="AU138" i="1"/>
  <c r="F485" i="12"/>
  <c r="AU167" i="1"/>
  <c r="F668" i="12"/>
  <c r="AU228" i="1"/>
  <c r="F698" i="12"/>
  <c r="AU238" i="1"/>
  <c r="F251" i="12"/>
  <c r="AU89" i="1"/>
  <c r="F152" i="12"/>
  <c r="AU56" i="1"/>
  <c r="F257" i="12"/>
  <c r="AU91" i="1"/>
  <c r="F128" i="12"/>
  <c r="AU48" i="1"/>
  <c r="F143" i="12"/>
  <c r="AU53" i="1"/>
  <c r="F230" i="12"/>
  <c r="AU82" i="1"/>
  <c r="F233" i="12"/>
  <c r="AU83" i="1"/>
  <c r="F164" i="12"/>
  <c r="AU60" i="1"/>
  <c r="F203" i="12"/>
  <c r="AU73" i="1"/>
  <c r="F221" i="12"/>
  <c r="AU79" i="1"/>
  <c r="F236" i="12"/>
  <c r="AU84" i="1"/>
  <c r="F269" i="12"/>
  <c r="AU95" i="1"/>
  <c r="F242" i="12"/>
  <c r="AU86" i="1"/>
  <c r="F224" i="12"/>
  <c r="AU80" i="1"/>
  <c r="F215" i="12"/>
  <c r="AU77" i="1"/>
  <c r="F212" i="12"/>
  <c r="AU76" i="1"/>
  <c r="F191" i="12"/>
  <c r="F197" i="12"/>
  <c r="AU71" i="1"/>
  <c r="F200" i="12"/>
  <c r="AU72" i="1"/>
  <c r="F206" i="12"/>
  <c r="AU74" i="1"/>
  <c r="J6" i="11"/>
  <c r="F134" i="12"/>
  <c r="AU50" i="1"/>
  <c r="F140" i="12"/>
  <c r="AU52" i="1"/>
  <c r="F137" i="12"/>
  <c r="AU51" i="1"/>
  <c r="F161" i="12"/>
  <c r="AU59" i="1"/>
  <c r="E1" i="1"/>
  <c r="L6" i="11" s="1"/>
  <c r="O10" i="11"/>
  <c r="P10" i="11"/>
  <c r="J7" i="11"/>
  <c r="O8" i="11"/>
  <c r="P8" i="11"/>
  <c r="AU69" i="1"/>
  <c r="M13" i="3" a="1"/>
  <c r="M13" i="3" s="1"/>
  <c r="M3" i="3" a="1"/>
  <c r="M3" i="3" s="1"/>
  <c r="M12" i="3" a="1"/>
  <c r="M12" i="3" s="1"/>
  <c r="M10" i="3" a="1"/>
  <c r="M10" i="3" s="1"/>
  <c r="M9" i="3" a="1"/>
  <c r="M9" i="3" s="1"/>
  <c r="M8" i="3" a="1"/>
  <c r="M8" i="3" s="1"/>
  <c r="M7" i="3" a="1"/>
  <c r="M7" i="3" s="1"/>
  <c r="M4" i="3" a="1"/>
  <c r="M4" i="3" s="1"/>
  <c r="M6" i="3" a="1"/>
  <c r="M6" i="3" s="1"/>
  <c r="M11" i="3" a="1"/>
  <c r="M11" i="3" s="1"/>
  <c r="M2" i="3" a="1"/>
  <c r="M2" i="3" s="1"/>
  <c r="M5" i="3" a="1"/>
  <c r="M5" i="3" s="1"/>
  <c r="F509" i="12"/>
  <c r="AU175" i="1"/>
  <c r="F500" i="12"/>
  <c r="AU172" i="1"/>
  <c r="F497" i="12"/>
  <c r="AU171" i="1"/>
  <c r="AV221" i="1"/>
  <c r="AA26" i="1"/>
  <c r="F554" i="12"/>
  <c r="AU190" i="1"/>
  <c r="F551" i="12"/>
  <c r="AU189" i="1"/>
  <c r="F536" i="12"/>
  <c r="AU184" i="1"/>
  <c r="F542" i="12"/>
  <c r="AU186" i="1"/>
  <c r="AH318" i="1"/>
  <c r="AA373" i="1"/>
  <c r="AK373" i="1" s="1"/>
  <c r="AH273" i="1"/>
  <c r="F530" i="12"/>
  <c r="AU182" i="1"/>
  <c r="F524" i="12"/>
  <c r="AU180" i="1"/>
  <c r="K7" i="11"/>
  <c r="AV326" i="1"/>
  <c r="D182" i="1" a="1"/>
  <c r="D66" i="1" a="1"/>
  <c r="D151" i="1" a="1"/>
  <c r="D292" i="1" a="1"/>
  <c r="D169" i="1" a="1"/>
  <c r="D67" i="1" a="1"/>
  <c r="D193" i="1" a="1"/>
  <c r="D76" i="1" a="1"/>
  <c r="D312" i="1" a="1"/>
  <c r="D94" i="1" a="1"/>
  <c r="D251" i="1" a="1"/>
  <c r="D161" i="1" a="1"/>
  <c r="D311" i="1" a="1"/>
  <c r="D171" i="1" a="1"/>
  <c r="D62" i="1" a="1"/>
  <c r="D247" i="1" a="1"/>
  <c r="D236" i="1" a="1"/>
  <c r="D133" i="1" a="1"/>
  <c r="D19" i="1" a="1"/>
  <c r="D105" i="1" a="1"/>
  <c r="D59" i="1" a="1"/>
  <c r="D294" i="1" a="1"/>
  <c r="D367" i="1" a="1"/>
  <c r="D341" i="1" a="1"/>
  <c r="D283" i="1" a="1"/>
  <c r="D125" i="1" a="1"/>
  <c r="D60" i="1" a="1"/>
  <c r="D289" i="1" a="1"/>
  <c r="D243" i="1" a="1"/>
  <c r="D334" i="1" a="1"/>
  <c r="D345" i="1" a="1"/>
  <c r="D216" i="1" a="1"/>
  <c r="D291" i="1" a="1"/>
  <c r="D38" i="1" a="1"/>
  <c r="D307" i="1" a="1"/>
  <c r="D91" i="1" a="1"/>
  <c r="D252" i="1" a="1"/>
  <c r="D167" i="1" a="1"/>
  <c r="D237" i="1" a="1"/>
  <c r="D356" i="1" a="1"/>
  <c r="D92" i="1" a="1"/>
  <c r="D188" i="1" a="1"/>
  <c r="D228" i="1" a="1"/>
  <c r="D185" i="1" a="1"/>
  <c r="D326" i="1" a="1"/>
  <c r="D227" i="1" a="1"/>
  <c r="D5" i="1" a="1"/>
  <c r="D369" i="1" a="1"/>
  <c r="D126" i="1" a="1"/>
  <c r="D145" i="1" a="1"/>
  <c r="D371" i="1" a="1"/>
  <c r="D355" i="1" a="1"/>
  <c r="D180" i="1" a="1"/>
  <c r="D103" i="1" a="1"/>
  <c r="D226" i="1" a="1"/>
  <c r="D25" i="1" a="1"/>
  <c r="D272" i="1" a="1"/>
  <c r="D301" i="1" a="1"/>
  <c r="D21" i="1" a="1"/>
  <c r="D33" i="1" a="1"/>
  <c r="D189" i="1" a="1"/>
  <c r="D168" i="1" a="1"/>
  <c r="D290" i="1" a="1"/>
  <c r="D65" i="1" a="1"/>
  <c r="D75" i="1" a="1"/>
  <c r="D99" i="1" a="1"/>
  <c r="D306" i="1" a="1"/>
  <c r="D363" i="1" a="1"/>
  <c r="D234" i="1" a="1"/>
  <c r="D348" i="1" a="1"/>
  <c r="D246" i="1" a="1"/>
  <c r="D102" i="1" a="1"/>
  <c r="D324" i="1" a="1"/>
  <c r="D155" i="1" a="1"/>
  <c r="D339" i="1" a="1"/>
  <c r="D57" i="1" a="1"/>
  <c r="D149" i="1" a="1"/>
  <c r="D10" i="1" a="1"/>
  <c r="D41" i="1" a="1"/>
  <c r="D8" i="1" a="1"/>
  <c r="D166" i="1" a="1"/>
  <c r="D297" i="1" a="1"/>
  <c r="D17" i="1" a="1"/>
  <c r="D250" i="1" a="1"/>
  <c r="D136" i="1" a="1"/>
  <c r="D70" i="1" a="1"/>
  <c r="D37" i="1" a="1"/>
  <c r="D174" i="1" a="1"/>
  <c r="D28" i="1" a="1"/>
  <c r="D349" i="1" a="1"/>
  <c r="D106" i="1" a="1"/>
  <c r="D156" i="1" a="1"/>
  <c r="D73" i="1" a="1"/>
  <c r="D44" i="1" a="1"/>
  <c r="D142" i="1" a="1"/>
  <c r="D254" i="1" a="1"/>
  <c r="D115" i="1" a="1"/>
  <c r="D12" i="1" a="1"/>
  <c r="D42" i="1" a="1"/>
  <c r="D337" i="1" a="1"/>
  <c r="D69" i="1" a="1"/>
  <c r="D129" i="1" a="1"/>
  <c r="D162" i="1" a="1"/>
  <c r="D85" i="1" a="1"/>
  <c r="D36" i="1" a="1"/>
  <c r="D271" i="1" a="1"/>
  <c r="D273" i="1" a="1"/>
  <c r="D221" i="1" a="1"/>
  <c r="D235" i="1" a="1"/>
  <c r="D74" i="1" a="1"/>
  <c r="D320" i="1" a="1"/>
  <c r="D354" i="1" a="1"/>
  <c r="D346" i="1" a="1"/>
  <c r="D190" i="1" a="1"/>
  <c r="D11" i="1" a="1"/>
  <c r="D109" i="1" a="1"/>
  <c r="D31" i="1" a="1"/>
  <c r="D47" i="1" a="1"/>
  <c r="D30" i="1" a="1"/>
  <c r="D97" i="1" a="1"/>
  <c r="D214" i="1" a="1"/>
  <c r="D275" i="1" a="1"/>
  <c r="D13" i="1" a="1"/>
  <c r="D317" i="1" a="1"/>
  <c r="D27" i="1" a="1"/>
  <c r="D282" i="1" a="1"/>
  <c r="D54" i="1" a="1"/>
  <c r="D119" i="1" a="1"/>
  <c r="D177" i="1" a="1"/>
  <c r="D370" i="1" a="1"/>
  <c r="D112" i="1" a="1"/>
  <c r="D287" i="1" a="1"/>
  <c r="D319" i="1" a="1"/>
  <c r="D128" i="1" a="1"/>
  <c r="D134" i="1" a="1"/>
  <c r="D111" i="1" a="1"/>
  <c r="D328" i="1" a="1"/>
  <c r="D350" i="1" a="1"/>
  <c r="D318" i="1" a="1"/>
  <c r="D141" i="1" a="1"/>
  <c r="D303" i="1" a="1"/>
  <c r="D123" i="1" a="1"/>
  <c r="D173" i="1" a="1"/>
  <c r="D150" i="1" a="1"/>
  <c r="D61" i="1" a="1"/>
  <c r="D139" i="1" a="1"/>
  <c r="D332" i="1" a="1"/>
  <c r="D20" i="1" a="1"/>
  <c r="D238" i="1" a="1"/>
  <c r="D220" i="1" a="1"/>
  <c r="D135" i="1" a="1"/>
  <c r="D217" i="1" a="1"/>
  <c r="D7" i="1" a="1"/>
  <c r="D77" i="1" a="1"/>
  <c r="D80" i="1" a="1"/>
  <c r="D45" i="1" a="1"/>
  <c r="D55" i="1" a="1"/>
  <c r="D26" i="1" a="1"/>
  <c r="D88" i="1" a="1"/>
  <c r="D331" i="1" a="1"/>
  <c r="D192" i="1" a="1"/>
  <c r="D361" i="1" a="1"/>
  <c r="D4" i="1" a="1"/>
  <c r="D50" i="1" a="1"/>
  <c r="D314" i="1" a="1"/>
  <c r="D140" i="1" a="1"/>
  <c r="D86" i="1" a="1"/>
  <c r="D127" i="1" a="1"/>
  <c r="D148" i="1" a="1"/>
  <c r="D101" i="1" a="1"/>
  <c r="D231" i="1" a="1"/>
  <c r="D268" i="1" a="1"/>
  <c r="D316" i="1" a="1"/>
  <c r="D96" i="1" a="1"/>
  <c r="D191" i="1" a="1"/>
  <c r="D232" i="1" a="1"/>
  <c r="D340" i="1" a="1"/>
  <c r="D293" i="1" a="1"/>
  <c r="D229" i="1" a="1"/>
  <c r="D90" i="1" a="1"/>
  <c r="D40" i="1" a="1"/>
  <c r="D373" i="1" a="1"/>
  <c r="D83" i="1" a="1"/>
  <c r="D359" i="1" a="1"/>
  <c r="D16" i="1" a="1"/>
  <c r="D263" i="1" a="1"/>
  <c r="D298" i="1" a="1"/>
  <c r="D365" i="1" a="1"/>
  <c r="D34" i="1" a="1"/>
  <c r="D244" i="1" a="1"/>
  <c r="D159" i="1" a="1"/>
  <c r="D176" i="1" a="1"/>
  <c r="D107" i="1" a="1"/>
  <c r="D360" i="1" a="1"/>
  <c r="D49" i="1" a="1"/>
  <c r="D122" i="1" a="1"/>
  <c r="D338" i="1" a="1"/>
  <c r="D9" i="1" a="1"/>
  <c r="D323" i="1" a="1"/>
  <c r="D93" i="1" a="1"/>
  <c r="D309" i="1" a="1"/>
  <c r="D18" i="1" a="1"/>
  <c r="D124" i="1" a="1"/>
  <c r="D222" i="1" a="1"/>
  <c r="D310" i="1" a="1"/>
  <c r="D357" i="1" a="1"/>
  <c r="D241" i="1" a="1"/>
  <c r="D39" i="1" a="1"/>
  <c r="D58" i="1" a="1"/>
  <c r="D131" i="1" a="1"/>
  <c r="D240" i="1" a="1"/>
  <c r="D183" i="1" a="1"/>
  <c r="D95" i="1" a="1"/>
  <c r="D170" i="1" a="1"/>
  <c r="D224" i="1" a="1"/>
  <c r="D300" i="1" a="1"/>
  <c r="D325" i="1" a="1"/>
  <c r="D322" i="1" a="1"/>
  <c r="D104" i="1" a="1"/>
  <c r="D175" i="1" a="1"/>
  <c r="D321" i="1" a="1"/>
  <c r="D329" i="1" a="1"/>
  <c r="D223" i="1" a="1"/>
  <c r="D358" i="1" a="1"/>
  <c r="D160" i="1" a="1"/>
  <c r="D165" i="1" a="1"/>
  <c r="D46" i="1" a="1"/>
  <c r="D157" i="1" a="1"/>
  <c r="D78" i="1" a="1"/>
  <c r="D56" i="1" a="1"/>
  <c r="D239" i="1" a="1"/>
  <c r="D248" i="1" a="1"/>
  <c r="D253" i="1" a="1"/>
  <c r="D147" i="1" a="1"/>
  <c r="D266" i="1" a="1"/>
  <c r="D108" i="1" a="1"/>
  <c r="D64" i="1" a="1"/>
  <c r="D143" i="1" a="1"/>
  <c r="D281" i="1" a="1"/>
  <c r="D278" i="1" a="1"/>
  <c r="D372" i="1" a="1"/>
  <c r="D279" i="1" a="1"/>
  <c r="D330" i="1" a="1"/>
  <c r="D23" i="1" a="1"/>
  <c r="D327" i="1" a="1"/>
  <c r="D48" i="1" a="1"/>
  <c r="D362" i="1" a="1"/>
  <c r="D274" i="1" a="1"/>
  <c r="D14" i="1" a="1"/>
  <c r="D333" i="1" a="1"/>
  <c r="D270" i="1" a="1"/>
  <c r="D89" i="1" a="1"/>
  <c r="D305" i="1" a="1"/>
  <c r="D186" i="1" a="1"/>
  <c r="D15" i="1" a="1"/>
  <c r="D84" i="1" a="1"/>
  <c r="D72" i="1" a="1"/>
  <c r="D82" i="1" a="1"/>
  <c r="D343" i="1" a="1"/>
  <c r="D172" i="1" a="1"/>
  <c r="D24" i="1" a="1"/>
  <c r="D121" i="1" a="1"/>
  <c r="D265" i="1" a="1"/>
  <c r="D164" i="1" a="1"/>
  <c r="D364" i="1" a="1"/>
  <c r="D284" i="1" a="1"/>
  <c r="D63" i="1" a="1"/>
  <c r="D299" i="1" a="1"/>
  <c r="D304" i="1" a="1"/>
  <c r="D347" i="1" a="1"/>
  <c r="D352" i="1" a="1"/>
  <c r="D114" i="1" a="1"/>
  <c r="D225" i="1" a="1"/>
  <c r="D138" i="1" a="1"/>
  <c r="D52" i="1" a="1"/>
  <c r="D71" i="1" a="1"/>
  <c r="D280" i="1" a="1"/>
  <c r="D120" i="1" a="1"/>
  <c r="D288" i="1" a="1"/>
  <c r="D313" i="1" a="1"/>
  <c r="D113" i="1" a="1"/>
  <c r="D53" i="1" a="1"/>
  <c r="D262" i="1" a="1"/>
  <c r="D110" i="1" a="1"/>
  <c r="D22" i="1" a="1"/>
  <c r="D98" i="1" a="1"/>
  <c r="D277" i="1" a="1"/>
  <c r="D194" i="1" a="1"/>
  <c r="D137" i="1" a="1"/>
  <c r="D344" i="1" a="1"/>
  <c r="D276" i="1" a="1"/>
  <c r="D196" i="1" a="1"/>
  <c r="D267" i="1" a="1"/>
  <c r="D261" i="1" a="1"/>
  <c r="D342" i="1" a="1"/>
  <c r="D81" i="1" a="1"/>
  <c r="D315" i="1" a="1"/>
  <c r="D51" i="1" a="1"/>
  <c r="D79" i="1" a="1"/>
  <c r="D302" i="1" a="1"/>
  <c r="D163" i="1" a="1"/>
  <c r="D264" i="1" a="1"/>
  <c r="D100" i="1" a="1"/>
  <c r="D269" i="1" a="1"/>
  <c r="D249" i="1" a="1"/>
  <c r="D29" i="1" a="1"/>
  <c r="D308" i="1" a="1"/>
  <c r="D178" i="1" a="1"/>
  <c r="D6" i="1" a="1"/>
  <c r="D368" i="1" a="1"/>
  <c r="D296" i="1" a="1"/>
  <c r="D179" i="1" a="1"/>
  <c r="D351" i="1" a="1"/>
  <c r="D335" i="1" a="1"/>
  <c r="D245" i="1" a="1"/>
  <c r="D130" i="1" a="1"/>
  <c r="D87" i="1" a="1"/>
  <c r="D158" i="1" a="1"/>
  <c r="D336" i="1" a="1"/>
  <c r="D286" i="1" a="1"/>
  <c r="D242" i="1" a="1"/>
  <c r="D144" i="1" a="1"/>
  <c r="D116" i="1" a="1"/>
  <c r="D181" i="1" a="1"/>
  <c r="D35" i="1" a="1"/>
  <c r="D132" i="1" a="1"/>
  <c r="D230" i="1" a="1"/>
  <c r="D146" i="1" a="1"/>
  <c r="D32" i="1" a="1"/>
  <c r="D285" i="1" a="1"/>
  <c r="D187" i="1" a="1"/>
  <c r="D195" i="1" a="1"/>
  <c r="D43" i="1" a="1"/>
  <c r="D117" i="1" a="1"/>
  <c r="D184" i="1" a="1"/>
  <c r="D199" i="1" a="1"/>
  <c r="D295" i="1" a="1"/>
  <c r="D366" i="1" a="1"/>
  <c r="D118" i="1" a="1"/>
  <c r="D353" i="1" a="1"/>
  <c r="AA260" i="1" l="1"/>
  <c r="G260" i="1"/>
  <c r="H260" i="1"/>
  <c r="F641" i="12"/>
  <c r="AV219" i="30" s="1"/>
  <c r="AV212" i="30"/>
  <c r="AU212" i="1"/>
  <c r="AV246" i="30"/>
  <c r="AU246" i="1"/>
  <c r="AV249" i="30"/>
  <c r="AU249" i="1"/>
  <c r="AV207" i="30"/>
  <c r="AU207" i="1"/>
  <c r="AV251" i="30"/>
  <c r="AU251" i="1"/>
  <c r="AV218" i="30"/>
  <c r="AU218" i="1"/>
  <c r="AV244" i="30"/>
  <c r="AV243" i="30"/>
  <c r="AV245" i="30"/>
  <c r="AU243" i="1"/>
  <c r="AV210" i="30"/>
  <c r="AU210" i="1"/>
  <c r="AV215" i="30"/>
  <c r="AU215" i="1"/>
  <c r="AV216" i="30"/>
  <c r="AU216" i="1"/>
  <c r="F602" i="12"/>
  <c r="AU250" i="1"/>
  <c r="AU247" i="1"/>
  <c r="F590" i="12"/>
  <c r="AV202" i="30" s="1"/>
  <c r="F593" i="12"/>
  <c r="AU213" i="1"/>
  <c r="AU211" i="1"/>
  <c r="AU241" i="1"/>
  <c r="F581" i="12"/>
  <c r="AV199" i="30" s="1"/>
  <c r="AU217" i="1"/>
  <c r="F599" i="12"/>
  <c r="AU219" i="1"/>
  <c r="AH301" i="1"/>
  <c r="AH321" i="1"/>
  <c r="AX171" i="1"/>
  <c r="AH333" i="1"/>
  <c r="F1" i="1"/>
  <c r="L7" i="11" s="1"/>
  <c r="AK237" i="1"/>
  <c r="N2" i="3" a="1"/>
  <c r="N2" i="3" s="1"/>
  <c r="N5" i="3" a="1"/>
  <c r="N5" i="3" s="1"/>
  <c r="F3" i="3" a="1"/>
  <c r="F3" i="3" s="1"/>
  <c r="H10" i="3" a="1"/>
  <c r="H10" i="3" s="1"/>
  <c r="F10" i="3" a="1"/>
  <c r="F10" i="3" s="1"/>
  <c r="F5" i="3" a="1"/>
  <c r="F5" i="3" s="1"/>
  <c r="AA207" i="1"/>
  <c r="H207" i="1"/>
  <c r="G207" i="1"/>
  <c r="F12" i="3" a="1"/>
  <c r="F12" i="3" s="1"/>
  <c r="E10" i="3" a="1"/>
  <c r="E10" i="3" s="1"/>
  <c r="E11" i="3" a="1"/>
  <c r="E11" i="3" s="1"/>
  <c r="E2" i="3" a="1"/>
  <c r="E2" i="3" s="1"/>
  <c r="N12" i="3" a="1"/>
  <c r="N12" i="3" s="1"/>
  <c r="AX85" i="1"/>
  <c r="AH367" i="1"/>
  <c r="AH340" i="1"/>
  <c r="AH339" i="1"/>
  <c r="AH305" i="1"/>
  <c r="AH303" i="1"/>
  <c r="AH290" i="1"/>
  <c r="AH278" i="1"/>
  <c r="AH349" i="1"/>
  <c r="AH345" i="1"/>
  <c r="AH334" i="1"/>
  <c r="AK320" i="1"/>
  <c r="AH312" i="1"/>
  <c r="AK271" i="1"/>
  <c r="AH269" i="1"/>
  <c r="AK256" i="1"/>
  <c r="O13" i="3" a="1"/>
  <c r="O13" i="3" s="1"/>
  <c r="F596" i="12"/>
  <c r="E9" i="3" a="1"/>
  <c r="E9" i="3" s="1"/>
  <c r="N8" i="3" a="1"/>
  <c r="N8" i="3" s="1"/>
  <c r="E7" i="3" a="1"/>
  <c r="E7" i="3" s="1"/>
  <c r="E6" i="3" a="1"/>
  <c r="E6" i="3" s="1"/>
  <c r="F2" i="3" a="1"/>
  <c r="F2" i="3" s="1"/>
  <c r="F11" i="3" a="1"/>
  <c r="F11" i="3" s="1"/>
  <c r="AA269" i="1"/>
  <c r="AK269" i="1" s="1"/>
  <c r="AH364" i="1"/>
  <c r="AH316" i="1"/>
  <c r="AH287" i="1"/>
  <c r="AH255" i="1"/>
  <c r="AK343" i="1"/>
  <c r="AH361" i="1"/>
  <c r="AH337" i="1"/>
  <c r="AH285" i="1"/>
  <c r="AK228" i="1"/>
  <c r="AH228" i="1"/>
  <c r="E12" i="3" a="1"/>
  <c r="E12" i="3" s="1"/>
  <c r="AH231" i="1"/>
  <c r="AH359" i="1"/>
  <c r="AH272" i="1"/>
  <c r="AH295" i="1"/>
  <c r="F587" i="12"/>
  <c r="AV201" i="30" s="1"/>
  <c r="E4" i="3" a="1"/>
  <c r="E4" i="3" s="1"/>
  <c r="AH357" i="1"/>
  <c r="AH65" i="1"/>
  <c r="AH289" i="1"/>
  <c r="AH264" i="1"/>
  <c r="AH64" i="1"/>
  <c r="AA349" i="1"/>
  <c r="AK349" i="1" s="1"/>
  <c r="AK268" i="1"/>
  <c r="O7" i="3" a="1"/>
  <c r="O7" i="3" s="1"/>
  <c r="AH256" i="1"/>
  <c r="AH306" i="1"/>
  <c r="AH300" i="1"/>
  <c r="H8" i="3" a="1"/>
  <c r="H8" i="3" s="1"/>
  <c r="AH257" i="1"/>
  <c r="AH353" i="1"/>
  <c r="O5" i="3" a="1"/>
  <c r="O5" i="3" s="1"/>
  <c r="AH262" i="1"/>
  <c r="AH354" i="1"/>
  <c r="AH276" i="1"/>
  <c r="O8" i="3" a="1"/>
  <c r="O8" i="3" s="1"/>
  <c r="AK371" i="1"/>
  <c r="AH258" i="1"/>
  <c r="AH372" i="1"/>
  <c r="O11" i="3" a="1"/>
  <c r="O11" i="3" s="1"/>
  <c r="AH225" i="1"/>
  <c r="AA312" i="1"/>
  <c r="AK312" i="1" s="1"/>
  <c r="AK333" i="1"/>
  <c r="AH222" i="1"/>
  <c r="AH327" i="1"/>
  <c r="AH331" i="1"/>
  <c r="AH270" i="1"/>
  <c r="E5" i="3" a="1"/>
  <c r="E5" i="3" s="1"/>
  <c r="F8" i="3" a="1"/>
  <c r="F8" i="3" s="1"/>
  <c r="F9" i="3" a="1"/>
  <c r="F9" i="3" s="1"/>
  <c r="H2" i="3" a="1"/>
  <c r="H2" i="3" s="1"/>
  <c r="E3" i="3" a="1"/>
  <c r="E3" i="3" s="1"/>
  <c r="H4" i="3" a="1"/>
  <c r="H4" i="3" s="1"/>
  <c r="H13" i="3" a="1"/>
  <c r="H13" i="3" s="1"/>
  <c r="H11" i="3" a="1"/>
  <c r="H11" i="3" s="1"/>
  <c r="N9" i="3" a="1"/>
  <c r="N9" i="3" s="1"/>
  <c r="AU200" i="1"/>
  <c r="H9" i="3" a="1"/>
  <c r="H9" i="3" s="1"/>
  <c r="H6" i="3" a="1"/>
  <c r="H6" i="3" s="1"/>
  <c r="H5" i="3" a="1"/>
  <c r="H5" i="3" s="1"/>
  <c r="G12" i="3" a="1"/>
  <c r="G12" i="3" s="1"/>
  <c r="G7" i="3" a="1"/>
  <c r="G7" i="3" s="1"/>
  <c r="G2" i="3" a="1"/>
  <c r="G2" i="3" s="1"/>
  <c r="AU199" i="1"/>
  <c r="O11" i="11"/>
  <c r="S154" i="1"/>
  <c r="AA154" i="1" s="1"/>
  <c r="AA332" i="1"/>
  <c r="AK332" i="1" s="1"/>
  <c r="AH332" i="1"/>
  <c r="AA350" i="1"/>
  <c r="AK350" i="1" s="1"/>
  <c r="AH350" i="1"/>
  <c r="AK363" i="1"/>
  <c r="AA351" i="1"/>
  <c r="AK351" i="1" s="1"/>
  <c r="AH351" i="1"/>
  <c r="AH302" i="1"/>
  <c r="AA224" i="1"/>
  <c r="AK224" i="1" s="1"/>
  <c r="AH224" i="1"/>
  <c r="AA233" i="1"/>
  <c r="AX184" i="1"/>
  <c r="AA152" i="1"/>
  <c r="N10" i="3" a="1"/>
  <c r="N10" i="3" s="1"/>
  <c r="H7" i="3" a="1"/>
  <c r="H7" i="3" s="1"/>
  <c r="G8" i="3" a="1"/>
  <c r="G8" i="3" s="1"/>
  <c r="AX112" i="1"/>
  <c r="AX140" i="1"/>
  <c r="AH304" i="1"/>
  <c r="N13" i="3" a="1"/>
  <c r="N13" i="3" s="1"/>
  <c r="G10" i="3" a="1"/>
  <c r="G10" i="3" s="1"/>
  <c r="AH362" i="1"/>
  <c r="AV225" i="1"/>
  <c r="G3" i="3" a="1"/>
  <c r="G3" i="3" s="1"/>
  <c r="AH260" i="1"/>
  <c r="AX152" i="1"/>
  <c r="O4" i="3" a="1"/>
  <c r="O4" i="3" s="1"/>
  <c r="N6" i="3" a="1"/>
  <c r="N6" i="3" s="1"/>
  <c r="N7" i="3" a="1"/>
  <c r="N7" i="3" s="1"/>
  <c r="AH371" i="1"/>
  <c r="G4" i="3" a="1"/>
  <c r="G4" i="3" s="1"/>
  <c r="G11" i="3" a="1"/>
  <c r="G11" i="3" s="1"/>
  <c r="AH271" i="1"/>
  <c r="G9" i="3" a="1"/>
  <c r="G9" i="3" s="1"/>
  <c r="AV354" i="1"/>
  <c r="AA270" i="1"/>
  <c r="AK270" i="1" s="1"/>
  <c r="AA249" i="1"/>
  <c r="O2" i="3" a="1"/>
  <c r="O2" i="3" s="1"/>
  <c r="AH234" i="1"/>
  <c r="AH307" i="1"/>
  <c r="O6" i="3" a="1"/>
  <c r="O6" i="3" s="1"/>
  <c r="AH229" i="1"/>
  <c r="AH296" i="1"/>
  <c r="AH277" i="1"/>
  <c r="H12" i="3" a="1"/>
  <c r="H12" i="3" s="1"/>
  <c r="G6" i="3" a="1"/>
  <c r="G6" i="3" s="1"/>
  <c r="AH344" i="1"/>
  <c r="AX102" i="1"/>
  <c r="AX77" i="1"/>
  <c r="AX73" i="1"/>
  <c r="AH368" i="1"/>
  <c r="AH343" i="1"/>
  <c r="AH336" i="1"/>
  <c r="AH320" i="1"/>
  <c r="AH319" i="1"/>
  <c r="AH261" i="1"/>
  <c r="AH252" i="1"/>
  <c r="AH238" i="1"/>
  <c r="AH230" i="1"/>
  <c r="AK372" i="1"/>
  <c r="AK370" i="1"/>
  <c r="AK369" i="1"/>
  <c r="AK368" i="1"/>
  <c r="AK365" i="1"/>
  <c r="AK364" i="1"/>
  <c r="AH363" i="1"/>
  <c r="AK362" i="1"/>
  <c r="AK359" i="1"/>
  <c r="AK347" i="1"/>
  <c r="AK346" i="1"/>
  <c r="AK342" i="1"/>
  <c r="AK341" i="1"/>
  <c r="AK340" i="1"/>
  <c r="AK339" i="1"/>
  <c r="AK338" i="1"/>
  <c r="AH338" i="1"/>
  <c r="AK337" i="1"/>
  <c r="AK335" i="1"/>
  <c r="AK334" i="1"/>
  <c r="AK331" i="1"/>
  <c r="AK330" i="1"/>
  <c r="AK328" i="1"/>
  <c r="AK327" i="1"/>
  <c r="AK326" i="1"/>
  <c r="AK325" i="1"/>
  <c r="AK321" i="1"/>
  <c r="AK319" i="1"/>
  <c r="AK318" i="1"/>
  <c r="AH317" i="1"/>
  <c r="AK316" i="1"/>
  <c r="AK313" i="1"/>
  <c r="AK311" i="1"/>
  <c r="AK310" i="1"/>
  <c r="AK309" i="1"/>
  <c r="AK307" i="1"/>
  <c r="AK306" i="1"/>
  <c r="AK305" i="1"/>
  <c r="AK303" i="1"/>
  <c r="AK302" i="1"/>
  <c r="AK301" i="1"/>
  <c r="AK300" i="1"/>
  <c r="AK299" i="1"/>
  <c r="AH294" i="1"/>
  <c r="AK294" i="1"/>
  <c r="AK290" i="1"/>
  <c r="AK289" i="1"/>
  <c r="AK287" i="1"/>
  <c r="AK282" i="1"/>
  <c r="AK281" i="1"/>
  <c r="AK277" i="1"/>
  <c r="AK276" i="1"/>
  <c r="AK273" i="1"/>
  <c r="AK272" i="1"/>
  <c r="AK264" i="1"/>
  <c r="AK263" i="1"/>
  <c r="AH263" i="1"/>
  <c r="AK262" i="1"/>
  <c r="AK261" i="1"/>
  <c r="AK260" i="1"/>
  <c r="AK259" i="1"/>
  <c r="AK257" i="1"/>
  <c r="AK255" i="1"/>
  <c r="AK238" i="1"/>
  <c r="AK234" i="1"/>
  <c r="AK231" i="1"/>
  <c r="AK230" i="1"/>
  <c r="AK229" i="1"/>
  <c r="AH226" i="1"/>
  <c r="AK225" i="1"/>
  <c r="AK223" i="1"/>
  <c r="AH223" i="1"/>
  <c r="AK222" i="1"/>
  <c r="AH68" i="1"/>
  <c r="AK65" i="1"/>
  <c r="AK64" i="1"/>
  <c r="O10" i="3" a="1"/>
  <c r="O10" i="3" s="1"/>
  <c r="AU198" i="1"/>
  <c r="O3" i="3" a="1"/>
  <c r="O3" i="3" s="1"/>
  <c r="G5" i="3" a="1"/>
  <c r="G5" i="3" s="1"/>
  <c r="F7" i="3" a="1"/>
  <c r="F7" i="3" s="1"/>
  <c r="F4" i="3" a="1"/>
  <c r="F4" i="3" s="1"/>
  <c r="E8" i="3" a="1"/>
  <c r="E8" i="3" s="1"/>
  <c r="O9" i="3" a="1"/>
  <c r="O9" i="3" s="1"/>
  <c r="AI197" i="1"/>
  <c r="AH197" i="1" s="1"/>
  <c r="AU197" i="1"/>
  <c r="O12" i="3" a="1"/>
  <c r="O12" i="3" s="1"/>
  <c r="F6" i="3" a="1"/>
  <c r="F6" i="3" s="1"/>
  <c r="AU193" i="1"/>
  <c r="F572" i="12"/>
  <c r="AU196" i="1" s="1"/>
  <c r="AK367" i="1"/>
  <c r="AK197" i="1"/>
  <c r="AK361" i="1"/>
  <c r="AK274" i="1"/>
  <c r="D196" i="1"/>
  <c r="D195" i="1"/>
  <c r="AV197" i="1"/>
  <c r="AH366" i="1"/>
  <c r="AK354" i="1"/>
  <c r="AH328" i="1"/>
  <c r="AK304" i="1"/>
  <c r="AH365" i="1"/>
  <c r="AK353" i="1"/>
  <c r="AH283" i="1"/>
  <c r="AK226" i="1"/>
  <c r="AH288" i="1"/>
  <c r="AH370" i="1"/>
  <c r="AK336" i="1"/>
  <c r="AK344" i="1"/>
  <c r="AA317" i="1"/>
  <c r="AK317" i="1" s="1"/>
  <c r="AA239" i="1"/>
  <c r="AH282" i="1"/>
  <c r="AH268" i="1"/>
  <c r="AK360" i="1"/>
  <c r="AK280" i="1"/>
  <c r="AK258" i="1"/>
  <c r="AH341" i="1"/>
  <c r="AH280" i="1"/>
  <c r="AK279" i="1"/>
  <c r="AK285" i="1"/>
  <c r="AH358" i="1"/>
  <c r="AH342" i="1"/>
  <c r="AH326" i="1"/>
  <c r="AH310" i="1"/>
  <c r="AH281" i="1"/>
  <c r="AH267" i="1"/>
  <c r="AH237" i="1"/>
  <c r="AH369" i="1"/>
  <c r="AK266" i="1"/>
  <c r="AH347" i="1"/>
  <c r="AK267" i="1"/>
  <c r="AH346" i="1"/>
  <c r="AH373" i="1"/>
  <c r="AH325" i="1"/>
  <c r="AH309" i="1"/>
  <c r="AH266" i="1"/>
  <c r="AH236" i="1"/>
  <c r="AK278" i="1"/>
  <c r="AH265" i="1"/>
  <c r="AH279" i="1"/>
  <c r="AK314" i="1"/>
  <c r="AK288" i="1"/>
  <c r="AH330" i="1"/>
  <c r="AA68" i="1"/>
  <c r="AK68" i="1" s="1"/>
  <c r="AH335" i="1"/>
  <c r="AH232" i="1"/>
  <c r="AH286" i="1"/>
  <c r="AK236" i="1"/>
  <c r="AH313" i="1"/>
  <c r="AK286" i="1"/>
  <c r="AK232" i="1"/>
  <c r="AH259" i="1"/>
  <c r="AK358" i="1"/>
  <c r="AK296" i="1"/>
  <c r="AK357" i="1"/>
  <c r="AH322" i="1"/>
  <c r="AK295" i="1"/>
  <c r="AV226" i="1"/>
  <c r="W7" i="11" a="1"/>
  <c r="W7" i="11" s="1"/>
  <c r="X7" i="11" s="1"/>
  <c r="U9" i="11" a="1"/>
  <c r="U9" i="11" s="1"/>
  <c r="W9" i="11" a="1"/>
  <c r="W9" i="11" s="1"/>
  <c r="X9" i="11" s="1"/>
  <c r="V11" i="11" a="1"/>
  <c r="V11" i="11" s="1"/>
  <c r="AK324" i="1"/>
  <c r="AU194" i="1"/>
  <c r="AK284" i="1"/>
  <c r="W10" i="11" a="1"/>
  <c r="W10" i="11" s="1"/>
  <c r="X10" i="11" s="1"/>
  <c r="U6" i="11" a="1"/>
  <c r="U6" i="11" s="1"/>
  <c r="U4" i="11" a="1"/>
  <c r="U4" i="11" s="1"/>
  <c r="V8" i="11" a="1"/>
  <c r="V8" i="11" s="1"/>
  <c r="U5" i="11" a="1"/>
  <c r="U5" i="11" s="1"/>
  <c r="V9" i="11" a="1"/>
  <c r="V9" i="11" s="1"/>
  <c r="W11" i="11" a="1"/>
  <c r="W11" i="11" s="1"/>
  <c r="X11" i="11" s="1"/>
  <c r="W8" i="11" a="1"/>
  <c r="W8" i="11" s="1"/>
  <c r="X8" i="11" s="1"/>
  <c r="U8" i="11" a="1"/>
  <c r="U8" i="11" s="1"/>
  <c r="U12" i="11" a="1"/>
  <c r="U12" i="11" s="1"/>
  <c r="V4" i="11" a="1"/>
  <c r="V4" i="11" s="1"/>
  <c r="V10" i="11" a="1"/>
  <c r="V10" i="11" s="1"/>
  <c r="U11" i="11" a="1"/>
  <c r="U11" i="11" s="1"/>
  <c r="F5" i="11"/>
  <c r="J5" i="11"/>
  <c r="F9" i="11"/>
  <c r="V5" i="11" a="1"/>
  <c r="V5" i="11" s="1"/>
  <c r="W5" i="11" a="1"/>
  <c r="W5" i="11" s="1"/>
  <c r="X5" i="11" s="1"/>
  <c r="N13" i="11"/>
  <c r="F8" i="11"/>
  <c r="W6" i="11" a="1"/>
  <c r="W6" i="11" s="1"/>
  <c r="X6" i="11" s="1"/>
  <c r="V12" i="11" a="1"/>
  <c r="V12" i="11" s="1"/>
  <c r="N7" i="11"/>
  <c r="V6" i="11" a="1"/>
  <c r="V6" i="11" s="1"/>
  <c r="W4" i="11" a="1"/>
  <c r="W4" i="11" s="1"/>
  <c r="X4" i="11" s="1"/>
  <c r="G7" i="11"/>
  <c r="U7" i="11" a="1"/>
  <c r="U7" i="11" s="1"/>
  <c r="W12" i="11" a="1"/>
  <c r="W12" i="11" s="1"/>
  <c r="X12" i="11" s="1"/>
  <c r="U10" i="11" a="1"/>
  <c r="U10" i="11" s="1"/>
  <c r="N12" i="11"/>
  <c r="G6" i="11"/>
  <c r="F12" i="11"/>
  <c r="D118" i="1"/>
  <c r="D67" i="1"/>
  <c r="D361" i="1"/>
  <c r="D78" i="1"/>
  <c r="D188" i="1"/>
  <c r="D297" i="1"/>
  <c r="D159" i="1"/>
  <c r="D100" i="1"/>
  <c r="D342" i="1"/>
  <c r="D31" i="1"/>
  <c r="D313" i="1"/>
  <c r="D277" i="1"/>
  <c r="D270" i="1"/>
  <c r="D124" i="1"/>
  <c r="D317" i="1"/>
  <c r="D60" i="1"/>
  <c r="D329" i="1"/>
  <c r="D137" i="1"/>
  <c r="H137" i="1" s="1"/>
  <c r="D84" i="1"/>
  <c r="D269" i="1"/>
  <c r="D161" i="1"/>
  <c r="D251" i="1"/>
  <c r="D12" i="1"/>
  <c r="D326" i="1"/>
  <c r="D347" i="1"/>
  <c r="D178" i="1"/>
  <c r="D53" i="1"/>
  <c r="D19" i="1"/>
  <c r="D339" i="1"/>
  <c r="D312" i="1"/>
  <c r="D69" i="1"/>
  <c r="D36" i="1"/>
  <c r="D173" i="1"/>
  <c r="D223" i="1"/>
  <c r="D149" i="1"/>
  <c r="D83" i="1"/>
  <c r="D104" i="1"/>
  <c r="H104" i="1" s="1"/>
  <c r="D162" i="1"/>
  <c r="D99" i="1"/>
  <c r="D96" i="1"/>
  <c r="D164" i="1"/>
  <c r="D136" i="1"/>
  <c r="D345" i="1"/>
  <c r="G345" i="1" s="1"/>
  <c r="D92" i="1"/>
  <c r="G92" i="1" s="1"/>
  <c r="D38" i="1"/>
  <c r="D240" i="1"/>
  <c r="D155" i="1"/>
  <c r="D29" i="1"/>
  <c r="D319" i="1"/>
  <c r="D298" i="1"/>
  <c r="D4" i="1"/>
  <c r="D266" i="1"/>
  <c r="D44" i="1"/>
  <c r="D15" i="1"/>
  <c r="D8" i="1"/>
  <c r="D82" i="1"/>
  <c r="D245" i="1"/>
  <c r="D191" i="1"/>
  <c r="D32" i="1"/>
  <c r="D368" i="1"/>
  <c r="D284" i="1"/>
  <c r="D7" i="1"/>
  <c r="G7" i="1" s="1"/>
  <c r="D252" i="1"/>
  <c r="D34" i="1"/>
  <c r="D37" i="1"/>
  <c r="D140" i="1"/>
  <c r="D150" i="1"/>
  <c r="D61" i="1"/>
  <c r="D62" i="1"/>
  <c r="D236" i="1"/>
  <c r="D119" i="1"/>
  <c r="D353" i="1"/>
  <c r="D365" i="1"/>
  <c r="D338" i="1"/>
  <c r="D97" i="1"/>
  <c r="D274" i="1"/>
  <c r="H274" i="1" s="1"/>
  <c r="D336" i="1"/>
  <c r="D231" i="1"/>
  <c r="D79" i="1"/>
  <c r="D325" i="1"/>
  <c r="D295" i="1"/>
  <c r="D146" i="1"/>
  <c r="D142" i="1"/>
  <c r="D267" i="1"/>
  <c r="D174" i="1"/>
  <c r="D113" i="1"/>
  <c r="D254" i="1"/>
  <c r="D42" i="1"/>
  <c r="D35" i="1"/>
  <c r="D144" i="1"/>
  <c r="D299" i="1"/>
  <c r="D48" i="1"/>
  <c r="D309" i="1"/>
  <c r="D120" i="1"/>
  <c r="D273" i="1"/>
  <c r="D157" i="1"/>
  <c r="D81" i="1"/>
  <c r="D106" i="1"/>
  <c r="D363" i="1"/>
  <c r="D304" i="1"/>
  <c r="D230" i="1"/>
  <c r="D352" i="1"/>
  <c r="D289" i="1"/>
  <c r="D272" i="1"/>
  <c r="D65" i="1"/>
  <c r="D98" i="1"/>
  <c r="D279" i="1"/>
  <c r="D160" i="1"/>
  <c r="D296" i="1"/>
  <c r="D85" i="1"/>
  <c r="D54" i="1"/>
  <c r="D134" i="1"/>
  <c r="D185" i="1"/>
  <c r="D235" i="1"/>
  <c r="D103" i="1"/>
  <c r="D11" i="1"/>
  <c r="D91" i="1"/>
  <c r="D163" i="1"/>
  <c r="D300" i="1"/>
  <c r="D176" i="1"/>
  <c r="D50" i="1"/>
  <c r="D242" i="1"/>
  <c r="D318" i="1"/>
  <c r="D94" i="1"/>
  <c r="D263" i="1"/>
  <c r="D121" i="1"/>
  <c r="D282" i="1"/>
  <c r="D28" i="1"/>
  <c r="D131" i="1"/>
  <c r="D127" i="1"/>
  <c r="D358" i="1"/>
  <c r="D123" i="1"/>
  <c r="D70" i="1"/>
  <c r="D24" i="1"/>
  <c r="D341" i="1"/>
  <c r="D22" i="1"/>
  <c r="D115" i="1"/>
  <c r="D243" i="1"/>
  <c r="D232" i="1"/>
  <c r="D122" i="1"/>
  <c r="D276" i="1"/>
  <c r="D56" i="1"/>
  <c r="D221" i="1"/>
  <c r="G221" i="1" s="1"/>
  <c r="D133" i="1"/>
  <c r="D372" i="1"/>
  <c r="D335" i="1"/>
  <c r="D47" i="1"/>
  <c r="D95" i="1"/>
  <c r="D247" i="1"/>
  <c r="D364" i="1"/>
  <c r="D332" i="1"/>
  <c r="D43" i="1"/>
  <c r="D315" i="1"/>
  <c r="D183" i="1"/>
  <c r="D311" i="1"/>
  <c r="D77" i="1"/>
  <c r="D181" i="1"/>
  <c r="D73" i="1"/>
  <c r="D57" i="1"/>
  <c r="D128" i="1"/>
  <c r="D16" i="1"/>
  <c r="D271" i="1"/>
  <c r="D179" i="1"/>
  <c r="D126" i="1"/>
  <c r="D250" i="1"/>
  <c r="D290" i="1"/>
  <c r="D262" i="1"/>
  <c r="D39" i="1"/>
  <c r="D151" i="1"/>
  <c r="D63" i="1"/>
  <c r="D6" i="1"/>
  <c r="D310" i="1"/>
  <c r="D292" i="1"/>
  <c r="D285" i="1"/>
  <c r="D108" i="1"/>
  <c r="D5" i="1"/>
  <c r="D26" i="1"/>
  <c r="D320" i="1"/>
  <c r="D288" i="1"/>
  <c r="D327" i="1"/>
  <c r="D306" i="1"/>
  <c r="D280" i="1"/>
  <c r="D241" i="1"/>
  <c r="D330" i="1"/>
  <c r="D217" i="1"/>
  <c r="D268" i="1"/>
  <c r="D253" i="1"/>
  <c r="D168" i="1"/>
  <c r="D275" i="1"/>
  <c r="D190" i="1"/>
  <c r="D86" i="1"/>
  <c r="D93" i="1"/>
  <c r="D348" i="1"/>
  <c r="D101" i="1"/>
  <c r="D234" i="1"/>
  <c r="G234" i="1" s="1"/>
  <c r="D145" i="1"/>
  <c r="D367" i="1"/>
  <c r="D20" i="1"/>
  <c r="D182" i="1"/>
  <c r="G182" i="1" s="1"/>
  <c r="D110" i="1"/>
  <c r="D74" i="1"/>
  <c r="D321" i="1"/>
  <c r="D239" i="1"/>
  <c r="D333" i="1"/>
  <c r="D184" i="1"/>
  <c r="D229" i="1"/>
  <c r="D147" i="1"/>
  <c r="AJ147" i="1" s="1"/>
  <c r="D303" i="1"/>
  <c r="D301" i="1"/>
  <c r="D25" i="1"/>
  <c r="D27" i="1"/>
  <c r="D214" i="1"/>
  <c r="D322" i="1"/>
  <c r="D139" i="1"/>
  <c r="D72" i="1"/>
  <c r="G72" i="1" s="1"/>
  <c r="D171" i="1"/>
  <c r="D180" i="1"/>
  <c r="D175" i="1"/>
  <c r="D132" i="1"/>
  <c r="D350" i="1"/>
  <c r="D369" i="1"/>
  <c r="D362" i="1"/>
  <c r="D220" i="1"/>
  <c r="D59" i="1"/>
  <c r="D51" i="1"/>
  <c r="D64" i="1"/>
  <c r="D17" i="1"/>
  <c r="D331" i="1"/>
  <c r="D71" i="1"/>
  <c r="D129" i="1"/>
  <c r="D248" i="1"/>
  <c r="D316" i="1"/>
  <c r="D371" i="1"/>
  <c r="D46" i="1"/>
  <c r="D366" i="1"/>
  <c r="D244" i="1"/>
  <c r="D370" i="1"/>
  <c r="D334" i="1"/>
  <c r="D10" i="1"/>
  <c r="D9" i="1"/>
  <c r="D177" i="1"/>
  <c r="D294" i="1"/>
  <c r="D187" i="1"/>
  <c r="D344" i="1"/>
  <c r="D89" i="1"/>
  <c r="D302" i="1"/>
  <c r="D227" i="1"/>
  <c r="D75" i="1"/>
  <c r="D21" i="1"/>
  <c r="D112" i="1"/>
  <c r="D324" i="1"/>
  <c r="D343" i="1"/>
  <c r="D307" i="1"/>
  <c r="D264" i="1"/>
  <c r="D141" i="1"/>
  <c r="D117" i="1"/>
  <c r="D76" i="1"/>
  <c r="D261" i="1"/>
  <c r="D308" i="1"/>
  <c r="D41" i="1"/>
  <c r="D355" i="1"/>
  <c r="D360" i="1"/>
  <c r="D170" i="1"/>
  <c r="D314" i="1"/>
  <c r="D90" i="1"/>
  <c r="D357" i="1"/>
  <c r="D49" i="1"/>
  <c r="D14" i="1"/>
  <c r="D323" i="1"/>
  <c r="D125" i="1"/>
  <c r="D265" i="1"/>
  <c r="D226" i="1"/>
  <c r="D88" i="1"/>
  <c r="D238" i="1"/>
  <c r="D228" i="1"/>
  <c r="D166" i="1"/>
  <c r="D328" i="1"/>
  <c r="D216" i="1"/>
  <c r="D107" i="1"/>
  <c r="D225" i="1"/>
  <c r="D156" i="1"/>
  <c r="D237" i="1"/>
  <c r="D13" i="1"/>
  <c r="D66" i="1"/>
  <c r="D224" i="1"/>
  <c r="D58" i="1"/>
  <c r="D30" i="1"/>
  <c r="D167" i="1"/>
  <c r="D18" i="1"/>
  <c r="D169" i="1"/>
  <c r="D359" i="1"/>
  <c r="D373" i="1"/>
  <c r="D148" i="1"/>
  <c r="D249" i="1"/>
  <c r="D135" i="1"/>
  <c r="H135" i="1" s="1"/>
  <c r="D158" i="1"/>
  <c r="D222" i="1"/>
  <c r="D287" i="1"/>
  <c r="D130" i="1"/>
  <c r="D105" i="1"/>
  <c r="D52" i="1"/>
  <c r="D87" i="1"/>
  <c r="D114" i="1"/>
  <c r="D337" i="1"/>
  <c r="D40" i="1"/>
  <c r="D283" i="1"/>
  <c r="D186" i="1"/>
  <c r="D293" i="1"/>
  <c r="D109" i="1"/>
  <c r="D291" i="1"/>
  <c r="D55" i="1"/>
  <c r="D349" i="1"/>
  <c r="D278" i="1"/>
  <c r="D281" i="1"/>
  <c r="D102" i="1"/>
  <c r="D116" i="1"/>
  <c r="D165" i="1"/>
  <c r="D246" i="1"/>
  <c r="D340" i="1"/>
  <c r="D80" i="1"/>
  <c r="D356" i="1"/>
  <c r="D143" i="1"/>
  <c r="D45" i="1"/>
  <c r="D33" i="1"/>
  <c r="D354" i="1"/>
  <c r="D23" i="1"/>
  <c r="D351" i="1"/>
  <c r="D346" i="1"/>
  <c r="D286" i="1"/>
  <c r="D172" i="1"/>
  <c r="D111" i="1"/>
  <c r="D305" i="1"/>
  <c r="D138" i="1"/>
  <c r="D193" i="1"/>
  <c r="D192" i="1"/>
  <c r="D189" i="1"/>
  <c r="D199" i="1"/>
  <c r="D194" i="1"/>
  <c r="G12" i="11"/>
  <c r="AA104" i="1"/>
  <c r="AA92" i="1"/>
  <c r="AH355" i="1"/>
  <c r="AK355" i="1"/>
  <c r="AV291" i="1"/>
  <c r="AK291" i="1"/>
  <c r="AH291" i="1"/>
  <c r="AV285" i="1"/>
  <c r="AV274" i="1"/>
  <c r="AV63" i="1"/>
  <c r="AH63" i="1"/>
  <c r="AV297" i="1"/>
  <c r="AV31" i="1"/>
  <c r="AH31" i="1"/>
  <c r="AK31" i="1"/>
  <c r="AH360" i="1"/>
  <c r="AV356" i="1"/>
  <c r="AH356" i="1"/>
  <c r="AK356" i="1"/>
  <c r="AK63" i="1"/>
  <c r="AA135" i="1"/>
  <c r="AV336" i="1"/>
  <c r="AK252" i="1"/>
  <c r="AV252" i="1"/>
  <c r="AA221" i="1"/>
  <c r="AK221" i="1" s="1"/>
  <c r="AH221" i="1"/>
  <c r="AV345" i="1"/>
  <c r="AK345" i="1"/>
  <c r="AH274" i="1"/>
  <c r="AA220" i="1"/>
  <c r="AK220" i="1" s="1"/>
  <c r="AH220" i="1"/>
  <c r="AH352" i="1"/>
  <c r="AA352" i="1"/>
  <c r="AK352" i="1" s="1"/>
  <c r="AA227" i="1"/>
  <c r="AK227" i="1" s="1"/>
  <c r="AH227" i="1"/>
  <c r="AV348" i="1"/>
  <c r="AH348" i="1"/>
  <c r="AK348" i="1"/>
  <c r="AV346" i="1"/>
  <c r="AH293" i="1"/>
  <c r="AA293" i="1"/>
  <c r="AK293" i="1" s="1"/>
  <c r="AA283" i="1"/>
  <c r="AK283" i="1" s="1"/>
  <c r="AV275" i="1"/>
  <c r="AA292" i="1"/>
  <c r="AK292" i="1" s="1"/>
  <c r="AH292" i="1"/>
  <c r="AK366" i="1"/>
  <c r="AV366" i="1"/>
  <c r="AA308" i="1"/>
  <c r="AK308" i="1" s="1"/>
  <c r="AH308" i="1"/>
  <c r="AA251" i="1"/>
  <c r="AV365" i="1"/>
  <c r="AH324" i="1"/>
  <c r="AV315" i="1"/>
  <c r="AV299" i="1"/>
  <c r="AH299" i="1"/>
  <c r="AH315" i="1"/>
  <c r="AA315" i="1"/>
  <c r="AK315" i="1" s="1"/>
  <c r="N4" i="3" a="1"/>
  <c r="N4" i="3" s="1"/>
  <c r="AK298" i="1"/>
  <c r="AH298" i="1"/>
  <c r="AA323" i="1"/>
  <c r="AK323" i="1" s="1"/>
  <c r="AH323" i="1"/>
  <c r="AH314" i="1"/>
  <c r="AA265" i="1"/>
  <c r="AK265" i="1" s="1"/>
  <c r="AV324" i="1"/>
  <c r="AA322" i="1"/>
  <c r="AK322" i="1" s="1"/>
  <c r="AH329" i="1"/>
  <c r="AA329" i="1"/>
  <c r="AK329" i="1" s="1"/>
  <c r="AA275" i="1"/>
  <c r="AK275" i="1" s="1"/>
  <c r="AH275" i="1"/>
  <c r="AA193" i="1"/>
  <c r="N3" i="3" a="1"/>
  <c r="N3" i="3" s="1"/>
  <c r="AH284" i="1"/>
  <c r="N11" i="3" a="1"/>
  <c r="N11" i="3" s="1"/>
  <c r="AA297" i="1"/>
  <c r="AK297" i="1" s="1"/>
  <c r="AH297" i="1"/>
  <c r="AH311" i="1"/>
  <c r="D154" i="1" a="1"/>
  <c r="D153" i="1" a="1"/>
  <c r="D152" i="1" a="1"/>
  <c r="P11" i="11" l="1"/>
  <c r="W21" i="22"/>
  <c r="N21" i="22"/>
  <c r="H21" i="22"/>
  <c r="Q21" i="22"/>
  <c r="T21" i="22"/>
  <c r="K21" i="22"/>
  <c r="K20" i="22"/>
  <c r="H20" i="22"/>
  <c r="W20" i="22"/>
  <c r="T20" i="22"/>
  <c r="Q20" i="22"/>
  <c r="N20" i="22"/>
  <c r="W22" i="22"/>
  <c r="N22" i="22"/>
  <c r="H22" i="22"/>
  <c r="T22" i="22"/>
  <c r="Q22" i="22"/>
  <c r="K22" i="22"/>
  <c r="AI239" i="1"/>
  <c r="AJ239" i="1"/>
  <c r="AV239" i="1" s="1"/>
  <c r="AJ254" i="1"/>
  <c r="AI254" i="1"/>
  <c r="AJ253" i="1"/>
  <c r="AI253" i="1"/>
  <c r="AJ251" i="1"/>
  <c r="AV251" i="1" s="1"/>
  <c r="AI251" i="1"/>
  <c r="AU202" i="1"/>
  <c r="AU203" i="1"/>
  <c r="AV203" i="30"/>
  <c r="AU204" i="1"/>
  <c r="AV204" i="30"/>
  <c r="AU206" i="1"/>
  <c r="AV206" i="30"/>
  <c r="AU205" i="1"/>
  <c r="AV205" i="30"/>
  <c r="AJ250" i="1"/>
  <c r="AI250" i="1"/>
  <c r="AI247" i="1"/>
  <c r="AJ247" i="1"/>
  <c r="AI249" i="1"/>
  <c r="AJ249" i="1"/>
  <c r="AV249" i="1" s="1"/>
  <c r="AI246" i="1"/>
  <c r="AJ246" i="1"/>
  <c r="AI244" i="1"/>
  <c r="AJ244" i="1"/>
  <c r="AJ243" i="1"/>
  <c r="AI243" i="1"/>
  <c r="AJ242" i="1"/>
  <c r="AI242" i="1"/>
  <c r="AJ241" i="1"/>
  <c r="AI241" i="1"/>
  <c r="AI245" i="1"/>
  <c r="AJ245" i="1"/>
  <c r="AI248" i="1"/>
  <c r="AJ248" i="1"/>
  <c r="AJ240" i="1"/>
  <c r="AI240" i="1"/>
  <c r="R1" i="1"/>
  <c r="AI233" i="1"/>
  <c r="AJ233" i="1"/>
  <c r="AV233" i="1" s="1"/>
  <c r="AJ235" i="1"/>
  <c r="AI235" i="1"/>
  <c r="D10" i="3" a="1"/>
  <c r="D10" i="3" s="1"/>
  <c r="D23" i="3" s="1"/>
  <c r="H23" i="3" s="1"/>
  <c r="D153" i="1"/>
  <c r="AI153" i="1" s="1"/>
  <c r="D152" i="1"/>
  <c r="H152" i="1" s="1"/>
  <c r="D9" i="3" a="1"/>
  <c r="D9" i="3" s="1"/>
  <c r="D22" i="3" s="1"/>
  <c r="P22" i="3" s="1"/>
  <c r="D2" i="3" a="1"/>
  <c r="D2" i="3" s="1"/>
  <c r="D15" i="3" s="1"/>
  <c r="P15" i="3" s="1"/>
  <c r="D3" i="3" a="1"/>
  <c r="D3" i="3" s="1"/>
  <c r="D16" i="3" s="1"/>
  <c r="F16" i="3" s="1"/>
  <c r="D4" i="3" a="1"/>
  <c r="D4" i="3" s="1"/>
  <c r="D17" i="3" s="1"/>
  <c r="H17" i="3" s="1"/>
  <c r="D12" i="3" a="1"/>
  <c r="D12" i="3" s="1"/>
  <c r="D25" i="3" s="1"/>
  <c r="K25" i="3" s="1"/>
  <c r="D8" i="3" a="1"/>
  <c r="D8" i="3" s="1"/>
  <c r="D21" i="3" s="1"/>
  <c r="N21" i="3" s="1"/>
  <c r="D13" i="3" a="1"/>
  <c r="D13" i="3" s="1"/>
  <c r="D26" i="3" s="1"/>
  <c r="N26" i="3" s="1"/>
  <c r="D6" i="3" a="1"/>
  <c r="D6" i="3" s="1"/>
  <c r="D19" i="3" s="1"/>
  <c r="R19" i="3" s="1"/>
  <c r="D11" i="3" a="1"/>
  <c r="D11" i="3" s="1"/>
  <c r="D24" i="3" s="1"/>
  <c r="H24" i="3" s="1"/>
  <c r="D7" i="3" a="1"/>
  <c r="D7" i="3" s="1"/>
  <c r="D20" i="3" s="1"/>
  <c r="I20" i="3" s="1"/>
  <c r="AU201" i="1"/>
  <c r="G8" i="11"/>
  <c r="D5" i="3" a="1"/>
  <c r="D5" i="3" s="1"/>
  <c r="D18" i="3" s="1"/>
  <c r="I18" i="3" s="1"/>
  <c r="D154" i="1"/>
  <c r="G154" i="1" s="1"/>
  <c r="AJ196" i="1"/>
  <c r="AI196" i="1"/>
  <c r="AI219" i="1"/>
  <c r="AJ219" i="1"/>
  <c r="AJ218" i="1"/>
  <c r="AI218" i="1"/>
  <c r="H234" i="1"/>
  <c r="AI216" i="1"/>
  <c r="AJ216" i="1"/>
  <c r="AJ212" i="1"/>
  <c r="AI212" i="1"/>
  <c r="AJ215" i="1"/>
  <c r="AI215" i="1"/>
  <c r="AJ217" i="1"/>
  <c r="AI217" i="1"/>
  <c r="AJ210" i="1"/>
  <c r="AI210" i="1"/>
  <c r="AJ214" i="1"/>
  <c r="AI214" i="1"/>
  <c r="AJ213" i="1"/>
  <c r="AI213" i="1"/>
  <c r="AJ211" i="1"/>
  <c r="AI211" i="1"/>
  <c r="AI209" i="1"/>
  <c r="AJ209" i="1"/>
  <c r="AI200" i="1"/>
  <c r="AJ200" i="1"/>
  <c r="AI203" i="1"/>
  <c r="AJ203" i="1"/>
  <c r="AJ202" i="1"/>
  <c r="AI202" i="1"/>
  <c r="AI199" i="1"/>
  <c r="AJ199" i="1"/>
  <c r="AJ206" i="1"/>
  <c r="AI206" i="1"/>
  <c r="AI204" i="1"/>
  <c r="AJ204" i="1"/>
  <c r="AI207" i="1"/>
  <c r="AJ207" i="1"/>
  <c r="AJ201" i="1"/>
  <c r="AI201" i="1"/>
  <c r="AJ205" i="1"/>
  <c r="AI205" i="1"/>
  <c r="AI208" i="1"/>
  <c r="AJ208" i="1"/>
  <c r="AJ198" i="1"/>
  <c r="AI198" i="1"/>
  <c r="H221" i="1"/>
  <c r="H345" i="1"/>
  <c r="G274" i="1"/>
  <c r="AJ192" i="1"/>
  <c r="AI192" i="1"/>
  <c r="G192" i="1"/>
  <c r="H192" i="1"/>
  <c r="G33" i="1"/>
  <c r="H33" i="1"/>
  <c r="AJ33" i="1"/>
  <c r="AI33" i="1"/>
  <c r="G109" i="1"/>
  <c r="AJ109" i="1"/>
  <c r="AI109" i="1"/>
  <c r="H109" i="1"/>
  <c r="G249" i="1"/>
  <c r="H249" i="1"/>
  <c r="G107" i="1"/>
  <c r="AI107" i="1"/>
  <c r="AJ107" i="1"/>
  <c r="H107" i="1"/>
  <c r="AJ90" i="1"/>
  <c r="AI90" i="1"/>
  <c r="G90" i="1"/>
  <c r="H90" i="1"/>
  <c r="AI112" i="1"/>
  <c r="G112" i="1"/>
  <c r="AJ112" i="1"/>
  <c r="H112" i="1"/>
  <c r="H244" i="1"/>
  <c r="G244" i="1"/>
  <c r="G362" i="1"/>
  <c r="H362" i="1"/>
  <c r="AI147" i="1"/>
  <c r="AH147" i="1" s="1"/>
  <c r="H147" i="1"/>
  <c r="G147" i="1"/>
  <c r="H93" i="1"/>
  <c r="G93" i="1"/>
  <c r="AJ93" i="1"/>
  <c r="AI93" i="1"/>
  <c r="H306" i="1"/>
  <c r="G306" i="1"/>
  <c r="H290" i="1"/>
  <c r="G290" i="1"/>
  <c r="G332" i="1"/>
  <c r="H332" i="1"/>
  <c r="G22" i="1"/>
  <c r="H22" i="1"/>
  <c r="AI22" i="1"/>
  <c r="AJ22" i="1"/>
  <c r="AJ176" i="1"/>
  <c r="AI176" i="1"/>
  <c r="G176" i="1"/>
  <c r="H176" i="1"/>
  <c r="H65" i="1"/>
  <c r="G65" i="1"/>
  <c r="G35" i="1"/>
  <c r="AJ35" i="1"/>
  <c r="H35" i="1"/>
  <c r="AI35" i="1"/>
  <c r="AJ97" i="1"/>
  <c r="G97" i="1"/>
  <c r="AI97" i="1"/>
  <c r="H97" i="1"/>
  <c r="AI32" i="1"/>
  <c r="H32" i="1"/>
  <c r="G32" i="1"/>
  <c r="AJ32" i="1"/>
  <c r="AJ92" i="1"/>
  <c r="H92" i="1"/>
  <c r="AI92" i="1"/>
  <c r="G339" i="1"/>
  <c r="H339" i="1"/>
  <c r="H270" i="1"/>
  <c r="G270" i="1"/>
  <c r="G104" i="1"/>
  <c r="G218" i="1"/>
  <c r="H218" i="1"/>
  <c r="AI45" i="1"/>
  <c r="AJ45" i="1"/>
  <c r="G45" i="1"/>
  <c r="H45" i="1"/>
  <c r="H293" i="1"/>
  <c r="G293" i="1"/>
  <c r="AJ148" i="1"/>
  <c r="H148" i="1"/>
  <c r="G148" i="1"/>
  <c r="AI148" i="1"/>
  <c r="G216" i="1"/>
  <c r="H216" i="1"/>
  <c r="H314" i="1"/>
  <c r="G314" i="1"/>
  <c r="G366" i="1"/>
  <c r="H366" i="1"/>
  <c r="G369" i="1"/>
  <c r="H369" i="1"/>
  <c r="G229" i="1"/>
  <c r="H229" i="1"/>
  <c r="G258" i="1"/>
  <c r="H258" i="1"/>
  <c r="H327" i="1"/>
  <c r="G327" i="1"/>
  <c r="G250" i="1"/>
  <c r="H250" i="1"/>
  <c r="G364" i="1"/>
  <c r="H364" i="1"/>
  <c r="H341" i="1"/>
  <c r="G341" i="1"/>
  <c r="G300" i="1"/>
  <c r="H300" i="1"/>
  <c r="H272" i="1"/>
  <c r="G272" i="1"/>
  <c r="AJ42" i="1"/>
  <c r="AI42" i="1"/>
  <c r="G42" i="1"/>
  <c r="H42" i="1"/>
  <c r="H338" i="1"/>
  <c r="G338" i="1"/>
  <c r="AJ191" i="1"/>
  <c r="G191" i="1"/>
  <c r="AI191" i="1"/>
  <c r="H191" i="1"/>
  <c r="AI19" i="1"/>
  <c r="G19" i="1"/>
  <c r="H19" i="1"/>
  <c r="AJ19" i="1"/>
  <c r="H277" i="1"/>
  <c r="G277" i="1"/>
  <c r="AI12" i="1"/>
  <c r="AJ12" i="1"/>
  <c r="G12" i="1"/>
  <c r="H12" i="1"/>
  <c r="AV147" i="1"/>
  <c r="AK147" i="1"/>
  <c r="AJ193" i="1"/>
  <c r="AI193" i="1"/>
  <c r="G193" i="1"/>
  <c r="H193" i="1"/>
  <c r="AJ143" i="1"/>
  <c r="AI143" i="1"/>
  <c r="G143" i="1"/>
  <c r="H143" i="1"/>
  <c r="H186" i="1"/>
  <c r="AJ186" i="1"/>
  <c r="AI186" i="1"/>
  <c r="G186" i="1"/>
  <c r="H373" i="1"/>
  <c r="G373" i="1"/>
  <c r="H328" i="1"/>
  <c r="G328" i="1"/>
  <c r="AJ170" i="1"/>
  <c r="AI170" i="1"/>
  <c r="H170" i="1"/>
  <c r="G170" i="1"/>
  <c r="G21" i="1"/>
  <c r="AJ21" i="1"/>
  <c r="H21" i="1"/>
  <c r="AI21" i="1"/>
  <c r="AJ46" i="1"/>
  <c r="AI46" i="1"/>
  <c r="H46" i="1"/>
  <c r="G46" i="1"/>
  <c r="H350" i="1"/>
  <c r="G350" i="1"/>
  <c r="G184" i="1"/>
  <c r="H184" i="1"/>
  <c r="AJ184" i="1"/>
  <c r="AI184" i="1"/>
  <c r="G86" i="1"/>
  <c r="AI86" i="1"/>
  <c r="H86" i="1"/>
  <c r="AJ86" i="1"/>
  <c r="G288" i="1"/>
  <c r="H288" i="1"/>
  <c r="AJ126" i="1"/>
  <c r="AI126" i="1"/>
  <c r="H126" i="1"/>
  <c r="G126" i="1"/>
  <c r="G247" i="1"/>
  <c r="H247" i="1"/>
  <c r="AJ24" i="1"/>
  <c r="H24" i="1"/>
  <c r="AI24" i="1"/>
  <c r="G24" i="1"/>
  <c r="AI163" i="1"/>
  <c r="H163" i="1"/>
  <c r="G163" i="1"/>
  <c r="AJ163" i="1"/>
  <c r="G289" i="1"/>
  <c r="H289" i="1"/>
  <c r="H254" i="1"/>
  <c r="G254" i="1"/>
  <c r="H365" i="1"/>
  <c r="G365" i="1"/>
  <c r="G245" i="1"/>
  <c r="H245" i="1"/>
  <c r="AJ136" i="1"/>
  <c r="H136" i="1"/>
  <c r="AI136" i="1"/>
  <c r="G136" i="1"/>
  <c r="H53" i="1"/>
  <c r="G53" i="1"/>
  <c r="AI53" i="1"/>
  <c r="AJ53" i="1"/>
  <c r="G313" i="1"/>
  <c r="H313" i="1"/>
  <c r="H356" i="1"/>
  <c r="G356" i="1"/>
  <c r="H166" i="1"/>
  <c r="AJ166" i="1"/>
  <c r="AI166" i="1"/>
  <c r="G166" i="1"/>
  <c r="H360" i="1"/>
  <c r="G360" i="1"/>
  <c r="AJ75" i="1"/>
  <c r="H75" i="1"/>
  <c r="AI75" i="1"/>
  <c r="G75" i="1"/>
  <c r="H371" i="1"/>
  <c r="G371" i="1"/>
  <c r="G132" i="1"/>
  <c r="AI132" i="1"/>
  <c r="H132" i="1"/>
  <c r="AJ132" i="1"/>
  <c r="G333" i="1"/>
  <c r="H333" i="1"/>
  <c r="G320" i="1"/>
  <c r="H320" i="1"/>
  <c r="AJ179" i="1"/>
  <c r="G179" i="1"/>
  <c r="H179" i="1"/>
  <c r="AI179" i="1"/>
  <c r="H95" i="1"/>
  <c r="G95" i="1"/>
  <c r="AI95" i="1"/>
  <c r="AJ95" i="1"/>
  <c r="AI70" i="1"/>
  <c r="AJ70" i="1"/>
  <c r="H70" i="1"/>
  <c r="G70" i="1"/>
  <c r="AI91" i="1"/>
  <c r="AJ91" i="1"/>
  <c r="H91" i="1"/>
  <c r="G91" i="1"/>
  <c r="G352" i="1"/>
  <c r="H352" i="1"/>
  <c r="AI3" i="1"/>
  <c r="G3" i="1"/>
  <c r="H3" i="1"/>
  <c r="AJ3" i="1"/>
  <c r="G353" i="1"/>
  <c r="H353" i="1"/>
  <c r="AI82" i="1"/>
  <c r="G82" i="1"/>
  <c r="H82" i="1"/>
  <c r="AJ82" i="1"/>
  <c r="AJ164" i="1"/>
  <c r="G164" i="1"/>
  <c r="AI164" i="1"/>
  <c r="H164" i="1"/>
  <c r="G178" i="1"/>
  <c r="AJ178" i="1"/>
  <c r="H178" i="1"/>
  <c r="AI178" i="1"/>
  <c r="G204" i="1"/>
  <c r="H204" i="1"/>
  <c r="AJ80" i="1"/>
  <c r="H80" i="1"/>
  <c r="G80" i="1"/>
  <c r="AI80" i="1"/>
  <c r="H283" i="1"/>
  <c r="G283" i="1"/>
  <c r="H359" i="1"/>
  <c r="G359" i="1"/>
  <c r="G228" i="1"/>
  <c r="H228" i="1"/>
  <c r="H355" i="1"/>
  <c r="G355" i="1"/>
  <c r="G227" i="1"/>
  <c r="H227" i="1"/>
  <c r="G316" i="1"/>
  <c r="H316" i="1"/>
  <c r="H175" i="1"/>
  <c r="AI175" i="1"/>
  <c r="G175" i="1"/>
  <c r="AJ175" i="1"/>
  <c r="G239" i="1"/>
  <c r="G197" i="1"/>
  <c r="H197" i="1"/>
  <c r="AI26" i="1"/>
  <c r="H26" i="1"/>
  <c r="AJ26" i="1"/>
  <c r="G26" i="1"/>
  <c r="G271" i="1"/>
  <c r="H271" i="1"/>
  <c r="AJ195" i="1"/>
  <c r="G195" i="1"/>
  <c r="AI195" i="1"/>
  <c r="H195" i="1"/>
  <c r="AI123" i="1"/>
  <c r="G123" i="1"/>
  <c r="AJ123" i="1"/>
  <c r="H123" i="1"/>
  <c r="AI11" i="1"/>
  <c r="G11" i="1"/>
  <c r="AJ11" i="1"/>
  <c r="H11" i="1"/>
  <c r="H230" i="1"/>
  <c r="G230" i="1"/>
  <c r="AJ113" i="1"/>
  <c r="AI113" i="1"/>
  <c r="H113" i="1"/>
  <c r="G113" i="1"/>
  <c r="AJ119" i="1"/>
  <c r="AI119" i="1"/>
  <c r="H119" i="1"/>
  <c r="G119" i="1"/>
  <c r="H8" i="1"/>
  <c r="AI8" i="1"/>
  <c r="G8" i="1"/>
  <c r="AJ8" i="1"/>
  <c r="AI96" i="1"/>
  <c r="G96" i="1"/>
  <c r="AJ96" i="1"/>
  <c r="H96" i="1"/>
  <c r="H347" i="1"/>
  <c r="G347" i="1"/>
  <c r="G31" i="1"/>
  <c r="H31" i="1"/>
  <c r="AI162" i="1"/>
  <c r="H162" i="1"/>
  <c r="AJ162" i="1"/>
  <c r="G162" i="1"/>
  <c r="AI194" i="1"/>
  <c r="AJ194" i="1"/>
  <c r="H194" i="1"/>
  <c r="G194" i="1"/>
  <c r="G205" i="1"/>
  <c r="H205" i="1"/>
  <c r="G340" i="1"/>
  <c r="H340" i="1"/>
  <c r="AJ40" i="1"/>
  <c r="AI40" i="1"/>
  <c r="H40" i="1"/>
  <c r="G40" i="1"/>
  <c r="G169" i="1"/>
  <c r="AI169" i="1"/>
  <c r="AJ169" i="1"/>
  <c r="H169" i="1"/>
  <c r="G238" i="1"/>
  <c r="G41" i="1"/>
  <c r="AJ41" i="1"/>
  <c r="H41" i="1"/>
  <c r="AI41" i="1"/>
  <c r="G302" i="1"/>
  <c r="H302" i="1"/>
  <c r="H248" i="1"/>
  <c r="G248" i="1"/>
  <c r="H180" i="1"/>
  <c r="G180" i="1"/>
  <c r="AJ180" i="1"/>
  <c r="AI180" i="1"/>
  <c r="G321" i="1"/>
  <c r="H321" i="1"/>
  <c r="G5" i="1"/>
  <c r="H5" i="1"/>
  <c r="AJ5" i="1"/>
  <c r="AI5" i="1"/>
  <c r="H16" i="1"/>
  <c r="AI16" i="1"/>
  <c r="G16" i="1"/>
  <c r="AJ16" i="1"/>
  <c r="AJ47" i="1"/>
  <c r="H47" i="1"/>
  <c r="AI47" i="1"/>
  <c r="G47" i="1"/>
  <c r="G358" i="1"/>
  <c r="H358" i="1"/>
  <c r="AJ103" i="1"/>
  <c r="H103" i="1"/>
  <c r="AI103" i="1"/>
  <c r="G103" i="1"/>
  <c r="G304" i="1"/>
  <c r="H304" i="1"/>
  <c r="AJ174" i="1"/>
  <c r="G174" i="1"/>
  <c r="H174" i="1"/>
  <c r="AI174" i="1"/>
  <c r="H236" i="1"/>
  <c r="G236" i="1"/>
  <c r="G15" i="1"/>
  <c r="H15" i="1"/>
  <c r="AJ15" i="1"/>
  <c r="AI15" i="1"/>
  <c r="H99" i="1"/>
  <c r="AI99" i="1"/>
  <c r="G99" i="1"/>
  <c r="AJ99" i="1"/>
  <c r="H326" i="1"/>
  <c r="G326" i="1"/>
  <c r="H342" i="1"/>
  <c r="G342" i="1"/>
  <c r="H138" i="1"/>
  <c r="G138" i="1"/>
  <c r="AI138" i="1"/>
  <c r="AJ138" i="1"/>
  <c r="G165" i="1"/>
  <c r="AJ165" i="1"/>
  <c r="AI165" i="1"/>
  <c r="H165" i="1"/>
  <c r="AJ114" i="1"/>
  <c r="G114" i="1"/>
  <c r="H114" i="1"/>
  <c r="AI114" i="1"/>
  <c r="AI167" i="1"/>
  <c r="H167" i="1"/>
  <c r="AJ167" i="1"/>
  <c r="G167" i="1"/>
  <c r="G226" i="1"/>
  <c r="H226" i="1"/>
  <c r="G261" i="1"/>
  <c r="H261" i="1"/>
  <c r="H256" i="1"/>
  <c r="G256" i="1"/>
  <c r="H72" i="1"/>
  <c r="AI72" i="1"/>
  <c r="AJ72" i="1"/>
  <c r="G110" i="1"/>
  <c r="H110" i="1"/>
  <c r="AJ110" i="1"/>
  <c r="AI110" i="1"/>
  <c r="AJ190" i="1"/>
  <c r="AI190" i="1"/>
  <c r="G190" i="1"/>
  <c r="H190" i="1"/>
  <c r="G285" i="1"/>
  <c r="H285" i="1"/>
  <c r="H257" i="1"/>
  <c r="G257" i="1"/>
  <c r="G372" i="1"/>
  <c r="H372" i="1"/>
  <c r="AJ131" i="1"/>
  <c r="AI131" i="1"/>
  <c r="H131" i="1"/>
  <c r="G131" i="1"/>
  <c r="H259" i="1"/>
  <c r="G259" i="1"/>
  <c r="G106" i="1"/>
  <c r="H106" i="1"/>
  <c r="AI106" i="1"/>
  <c r="AJ106" i="1"/>
  <c r="H142" i="1"/>
  <c r="AJ142" i="1"/>
  <c r="AI142" i="1"/>
  <c r="G142" i="1"/>
  <c r="H61" i="1"/>
  <c r="AJ61" i="1"/>
  <c r="AI61" i="1"/>
  <c r="G61" i="1"/>
  <c r="AJ44" i="1"/>
  <c r="AI44" i="1"/>
  <c r="H44" i="1"/>
  <c r="G44" i="1"/>
  <c r="AJ104" i="1"/>
  <c r="AI104" i="1"/>
  <c r="H251" i="1"/>
  <c r="G251" i="1"/>
  <c r="G159" i="1"/>
  <c r="AJ159" i="1"/>
  <c r="AI159" i="1"/>
  <c r="H159" i="1"/>
  <c r="G219" i="1"/>
  <c r="H219" i="1"/>
  <c r="H305" i="1"/>
  <c r="G305" i="1"/>
  <c r="G116" i="1"/>
  <c r="H116" i="1"/>
  <c r="AI116" i="1"/>
  <c r="AJ116" i="1"/>
  <c r="G87" i="1"/>
  <c r="H87" i="1"/>
  <c r="AJ87" i="1"/>
  <c r="AI87" i="1"/>
  <c r="G30" i="1"/>
  <c r="AJ30" i="1"/>
  <c r="AI30" i="1"/>
  <c r="H30" i="1"/>
  <c r="G265" i="1"/>
  <c r="H265" i="1"/>
  <c r="H76" i="1"/>
  <c r="AI76" i="1"/>
  <c r="AJ76" i="1"/>
  <c r="G76" i="1"/>
  <c r="H344" i="1"/>
  <c r="G344" i="1"/>
  <c r="G71" i="1"/>
  <c r="AI71" i="1"/>
  <c r="AJ71" i="1"/>
  <c r="H71" i="1"/>
  <c r="G139" i="1"/>
  <c r="AJ139" i="1"/>
  <c r="AI139" i="1"/>
  <c r="H139" i="1"/>
  <c r="G215" i="1"/>
  <c r="H215" i="1"/>
  <c r="G275" i="1"/>
  <c r="H275" i="1"/>
  <c r="H292" i="1"/>
  <c r="G292" i="1"/>
  <c r="G57" i="1"/>
  <c r="AJ57" i="1"/>
  <c r="H57" i="1"/>
  <c r="AI57" i="1"/>
  <c r="H133" i="1"/>
  <c r="AI133" i="1"/>
  <c r="AJ133" i="1"/>
  <c r="G133" i="1"/>
  <c r="G28" i="1"/>
  <c r="H28" i="1"/>
  <c r="AJ28" i="1"/>
  <c r="AI28" i="1"/>
  <c r="H185" i="1"/>
  <c r="AJ185" i="1"/>
  <c r="G185" i="1"/>
  <c r="AI185" i="1"/>
  <c r="AI81" i="1"/>
  <c r="G81" i="1"/>
  <c r="H81" i="1"/>
  <c r="AJ81" i="1"/>
  <c r="G146" i="1"/>
  <c r="AJ146" i="1"/>
  <c r="AI146" i="1"/>
  <c r="H146" i="1"/>
  <c r="AJ150" i="1"/>
  <c r="H150" i="1"/>
  <c r="G150" i="1"/>
  <c r="AI150" i="1"/>
  <c r="H266" i="1"/>
  <c r="G266" i="1"/>
  <c r="AJ83" i="1"/>
  <c r="H83" i="1"/>
  <c r="G83" i="1"/>
  <c r="AI83" i="1"/>
  <c r="AI161" i="1"/>
  <c r="H161" i="1"/>
  <c r="G161" i="1"/>
  <c r="AJ161" i="1"/>
  <c r="H297" i="1"/>
  <c r="G297" i="1"/>
  <c r="G267" i="1"/>
  <c r="H267" i="1"/>
  <c r="G200" i="1"/>
  <c r="H200" i="1"/>
  <c r="AI111" i="1"/>
  <c r="G111" i="1"/>
  <c r="AJ111" i="1"/>
  <c r="H111" i="1"/>
  <c r="AI102" i="1"/>
  <c r="H102" i="1"/>
  <c r="G102" i="1"/>
  <c r="AJ102" i="1"/>
  <c r="AI52" i="1"/>
  <c r="G52" i="1"/>
  <c r="H52" i="1"/>
  <c r="AJ52" i="1"/>
  <c r="G58" i="1"/>
  <c r="H58" i="1"/>
  <c r="AI58" i="1"/>
  <c r="AJ58" i="1"/>
  <c r="G125" i="1"/>
  <c r="H125" i="1"/>
  <c r="AI125" i="1"/>
  <c r="AJ125" i="1"/>
  <c r="AI187" i="1"/>
  <c r="H187" i="1"/>
  <c r="G187" i="1"/>
  <c r="AJ187" i="1"/>
  <c r="G322" i="1"/>
  <c r="H322" i="1"/>
  <c r="H182" i="1"/>
  <c r="AI182" i="1"/>
  <c r="AJ182" i="1"/>
  <c r="G168" i="1"/>
  <c r="AI168" i="1"/>
  <c r="H168" i="1"/>
  <c r="AJ168" i="1"/>
  <c r="H310" i="1"/>
  <c r="G310" i="1"/>
  <c r="AI73" i="1"/>
  <c r="AJ73" i="1"/>
  <c r="H73" i="1"/>
  <c r="G73" i="1"/>
  <c r="G282" i="1"/>
  <c r="H282" i="1"/>
  <c r="AI134" i="1"/>
  <c r="AJ134" i="1"/>
  <c r="G134" i="1"/>
  <c r="H134" i="1"/>
  <c r="AI157" i="1"/>
  <c r="H157" i="1"/>
  <c r="AJ157" i="1"/>
  <c r="G157" i="1"/>
  <c r="G140" i="1"/>
  <c r="H140" i="1"/>
  <c r="AI140" i="1"/>
  <c r="AJ140" i="1"/>
  <c r="AI4" i="1"/>
  <c r="AJ4" i="1"/>
  <c r="G4" i="1"/>
  <c r="H4" i="1"/>
  <c r="G149" i="1"/>
  <c r="H149" i="1"/>
  <c r="AJ149" i="1"/>
  <c r="AI149" i="1"/>
  <c r="H269" i="1"/>
  <c r="G269" i="1"/>
  <c r="AJ188" i="1"/>
  <c r="G188" i="1"/>
  <c r="H188" i="1"/>
  <c r="AI188" i="1"/>
  <c r="AJ189" i="1"/>
  <c r="H189" i="1"/>
  <c r="AI189" i="1"/>
  <c r="G189" i="1"/>
  <c r="AI172" i="1"/>
  <c r="H172" i="1"/>
  <c r="G172" i="1"/>
  <c r="AJ172" i="1"/>
  <c r="G281" i="1"/>
  <c r="H281" i="1"/>
  <c r="G105" i="1"/>
  <c r="AJ105" i="1"/>
  <c r="AI105" i="1"/>
  <c r="H105" i="1"/>
  <c r="H224" i="1"/>
  <c r="G224" i="1"/>
  <c r="AI117" i="1"/>
  <c r="G117" i="1"/>
  <c r="AJ117" i="1"/>
  <c r="H117" i="1"/>
  <c r="H294" i="1"/>
  <c r="G294" i="1"/>
  <c r="G331" i="1"/>
  <c r="H331" i="1"/>
  <c r="G214" i="1"/>
  <c r="H214" i="1"/>
  <c r="G20" i="1"/>
  <c r="AI20" i="1"/>
  <c r="H20" i="1"/>
  <c r="AJ20" i="1"/>
  <c r="G253" i="1"/>
  <c r="H253" i="1"/>
  <c r="AI6" i="1"/>
  <c r="G6" i="1"/>
  <c r="H6" i="1"/>
  <c r="AJ6" i="1"/>
  <c r="H181" i="1"/>
  <c r="AJ181" i="1"/>
  <c r="G181" i="1"/>
  <c r="AI181" i="1"/>
  <c r="H56" i="1"/>
  <c r="G56" i="1"/>
  <c r="AI56" i="1"/>
  <c r="AJ56" i="1"/>
  <c r="AJ121" i="1"/>
  <c r="H121" i="1"/>
  <c r="G121" i="1"/>
  <c r="AI121" i="1"/>
  <c r="H54" i="1"/>
  <c r="AI54" i="1"/>
  <c r="G54" i="1"/>
  <c r="AJ54" i="1"/>
  <c r="H273" i="1"/>
  <c r="G273" i="1"/>
  <c r="H295" i="1"/>
  <c r="G295" i="1"/>
  <c r="AJ37" i="1"/>
  <c r="AI37" i="1"/>
  <c r="H37" i="1"/>
  <c r="G37" i="1"/>
  <c r="H298" i="1"/>
  <c r="G298" i="1"/>
  <c r="H223" i="1"/>
  <c r="G223" i="1"/>
  <c r="H84" i="1"/>
  <c r="G84" i="1"/>
  <c r="AI84" i="1"/>
  <c r="AJ84" i="1"/>
  <c r="AJ78" i="1"/>
  <c r="H78" i="1"/>
  <c r="G78" i="1"/>
  <c r="AI78" i="1"/>
  <c r="AI62" i="1"/>
  <c r="AJ62" i="1"/>
  <c r="G62" i="1"/>
  <c r="H62" i="1"/>
  <c r="G203" i="1"/>
  <c r="H203" i="1"/>
  <c r="G286" i="1"/>
  <c r="H286" i="1"/>
  <c r="H255" i="1"/>
  <c r="G255" i="1"/>
  <c r="H130" i="1"/>
  <c r="AJ130" i="1"/>
  <c r="G130" i="1"/>
  <c r="AI130" i="1"/>
  <c r="AI66" i="1"/>
  <c r="H66" i="1"/>
  <c r="AJ66" i="1"/>
  <c r="G66" i="1"/>
  <c r="G323" i="1"/>
  <c r="H323" i="1"/>
  <c r="AI141" i="1"/>
  <c r="H141" i="1"/>
  <c r="G141" i="1"/>
  <c r="AJ141" i="1"/>
  <c r="AJ177" i="1"/>
  <c r="G177" i="1"/>
  <c r="AI177" i="1"/>
  <c r="H177" i="1"/>
  <c r="AJ17" i="1"/>
  <c r="H17" i="1"/>
  <c r="G17" i="1"/>
  <c r="AI17" i="1"/>
  <c r="AJ27" i="1"/>
  <c r="G27" i="1"/>
  <c r="AI27" i="1"/>
  <c r="H27" i="1"/>
  <c r="G367" i="1"/>
  <c r="H367" i="1"/>
  <c r="H268" i="1"/>
  <c r="G268" i="1"/>
  <c r="G63" i="1"/>
  <c r="H63" i="1"/>
  <c r="AI77" i="1"/>
  <c r="H77" i="1"/>
  <c r="G77" i="1"/>
  <c r="AJ77" i="1"/>
  <c r="H276" i="1"/>
  <c r="G276" i="1"/>
  <c r="G263" i="1"/>
  <c r="H263" i="1"/>
  <c r="G85" i="1"/>
  <c r="AJ85" i="1"/>
  <c r="H85" i="1"/>
  <c r="AI85" i="1"/>
  <c r="AJ120" i="1"/>
  <c r="G120" i="1"/>
  <c r="H120" i="1"/>
  <c r="AI120" i="1"/>
  <c r="G325" i="1"/>
  <c r="H325" i="1"/>
  <c r="AI34" i="1"/>
  <c r="AJ34" i="1"/>
  <c r="G34" i="1"/>
  <c r="H34" i="1"/>
  <c r="G319" i="1"/>
  <c r="H319" i="1"/>
  <c r="H213" i="1"/>
  <c r="G213" i="1"/>
  <c r="G137" i="1"/>
  <c r="AI137" i="1"/>
  <c r="AJ137" i="1"/>
  <c r="H361" i="1"/>
  <c r="G361" i="1"/>
  <c r="H363" i="1"/>
  <c r="G363" i="1"/>
  <c r="H198" i="1"/>
  <c r="G198" i="1"/>
  <c r="G346" i="1"/>
  <c r="H346" i="1"/>
  <c r="H278" i="1"/>
  <c r="G278" i="1"/>
  <c r="G287" i="1"/>
  <c r="H287" i="1"/>
  <c r="AJ13" i="1"/>
  <c r="AI13" i="1"/>
  <c r="G13" i="1"/>
  <c r="H13" i="1"/>
  <c r="H264" i="1"/>
  <c r="G264" i="1"/>
  <c r="AI9" i="1"/>
  <c r="G9" i="1"/>
  <c r="AJ9" i="1"/>
  <c r="H9" i="1"/>
  <c r="H64" i="1"/>
  <c r="G64" i="1"/>
  <c r="AI25" i="1"/>
  <c r="AJ25" i="1"/>
  <c r="H25" i="1"/>
  <c r="G25" i="1"/>
  <c r="AJ145" i="1"/>
  <c r="H145" i="1"/>
  <c r="AI145" i="1"/>
  <c r="G145" i="1"/>
  <c r="G217" i="1"/>
  <c r="H217" i="1"/>
  <c r="AI151" i="1"/>
  <c r="AJ151" i="1"/>
  <c r="H151" i="1"/>
  <c r="G151" i="1"/>
  <c r="G311" i="1"/>
  <c r="H311" i="1"/>
  <c r="AJ122" i="1"/>
  <c r="AI122" i="1"/>
  <c r="H122" i="1"/>
  <c r="G122" i="1"/>
  <c r="AI94" i="1"/>
  <c r="G94" i="1"/>
  <c r="H94" i="1"/>
  <c r="AJ94" i="1"/>
  <c r="H296" i="1"/>
  <c r="G296" i="1"/>
  <c r="H309" i="1"/>
  <c r="G309" i="1"/>
  <c r="H79" i="1"/>
  <c r="G79" i="1"/>
  <c r="AJ79" i="1"/>
  <c r="AI79" i="1"/>
  <c r="H252" i="1"/>
  <c r="G252" i="1"/>
  <c r="AJ29" i="1"/>
  <c r="AI29" i="1"/>
  <c r="H29" i="1"/>
  <c r="G29" i="1"/>
  <c r="G173" i="1"/>
  <c r="AJ173" i="1"/>
  <c r="AI173" i="1"/>
  <c r="H173" i="1"/>
  <c r="G329" i="1"/>
  <c r="H329" i="1"/>
  <c r="G196" i="1"/>
  <c r="H196" i="1"/>
  <c r="G246" i="1"/>
  <c r="H246" i="1"/>
  <c r="G337" i="1"/>
  <c r="H337" i="1"/>
  <c r="AI18" i="1"/>
  <c r="H18" i="1"/>
  <c r="AJ18" i="1"/>
  <c r="G18" i="1"/>
  <c r="G88" i="1"/>
  <c r="AI88" i="1"/>
  <c r="AJ88" i="1"/>
  <c r="H88" i="1"/>
  <c r="G308" i="1"/>
  <c r="H308" i="1"/>
  <c r="H89" i="1"/>
  <c r="G89" i="1"/>
  <c r="AJ89" i="1"/>
  <c r="AI89" i="1"/>
  <c r="AI129" i="1"/>
  <c r="G129" i="1"/>
  <c r="H129" i="1"/>
  <c r="AJ129" i="1"/>
  <c r="G171" i="1"/>
  <c r="H171" i="1"/>
  <c r="AI171" i="1"/>
  <c r="AJ171" i="1"/>
  <c r="G74" i="1"/>
  <c r="AI74" i="1"/>
  <c r="AJ74" i="1"/>
  <c r="H74" i="1"/>
  <c r="H201" i="1"/>
  <c r="G201" i="1"/>
  <c r="H108" i="1"/>
  <c r="G108" i="1"/>
  <c r="AJ108" i="1"/>
  <c r="AI108" i="1"/>
  <c r="H128" i="1"/>
  <c r="AJ128" i="1"/>
  <c r="AI128" i="1"/>
  <c r="G128" i="1"/>
  <c r="G335" i="1"/>
  <c r="H335" i="1"/>
  <c r="AJ100" i="1"/>
  <c r="G100" i="1"/>
  <c r="AI100" i="1"/>
  <c r="H100" i="1"/>
  <c r="G199" i="1"/>
  <c r="H199" i="1"/>
  <c r="G351" i="1"/>
  <c r="H351" i="1"/>
  <c r="H349" i="1"/>
  <c r="G349" i="1"/>
  <c r="H222" i="1"/>
  <c r="G222" i="1"/>
  <c r="G237" i="1"/>
  <c r="H237" i="1"/>
  <c r="AJ14" i="1"/>
  <c r="AI14" i="1"/>
  <c r="H14" i="1"/>
  <c r="G14" i="1"/>
  <c r="H307" i="1"/>
  <c r="G307" i="1"/>
  <c r="AJ10" i="1"/>
  <c r="G10" i="1"/>
  <c r="H10" i="1"/>
  <c r="AI10" i="1"/>
  <c r="H51" i="1"/>
  <c r="G51" i="1"/>
  <c r="AI51" i="1"/>
  <c r="AJ51" i="1"/>
  <c r="G330" i="1"/>
  <c r="H330" i="1"/>
  <c r="G202" i="1"/>
  <c r="H202" i="1"/>
  <c r="AI183" i="1"/>
  <c r="AJ183" i="1"/>
  <c r="H183" i="1"/>
  <c r="G183" i="1"/>
  <c r="H232" i="1"/>
  <c r="G232" i="1"/>
  <c r="G318" i="1"/>
  <c r="H318" i="1"/>
  <c r="AJ160" i="1"/>
  <c r="H160" i="1"/>
  <c r="AI160" i="1"/>
  <c r="G160" i="1"/>
  <c r="AI48" i="1"/>
  <c r="G48" i="1"/>
  <c r="H48" i="1"/>
  <c r="AJ48" i="1"/>
  <c r="G231" i="1"/>
  <c r="H231" i="1"/>
  <c r="AJ7" i="1"/>
  <c r="AI7" i="1"/>
  <c r="H7" i="1"/>
  <c r="G155" i="1"/>
  <c r="H155" i="1"/>
  <c r="AI155" i="1"/>
  <c r="AJ155" i="1"/>
  <c r="G36" i="1"/>
  <c r="AJ36" i="1"/>
  <c r="AI36" i="1"/>
  <c r="H36" i="1"/>
  <c r="AJ60" i="1"/>
  <c r="H60" i="1"/>
  <c r="AI60" i="1"/>
  <c r="G60" i="1"/>
  <c r="H67" i="1"/>
  <c r="G67" i="1"/>
  <c r="AJ67" i="1"/>
  <c r="AI67" i="1"/>
  <c r="H235" i="1"/>
  <c r="G235" i="1"/>
  <c r="H206" i="1"/>
  <c r="G206" i="1"/>
  <c r="G23" i="1"/>
  <c r="H23" i="1"/>
  <c r="AI23" i="1"/>
  <c r="AJ23" i="1"/>
  <c r="H55" i="1"/>
  <c r="AI55" i="1"/>
  <c r="G55" i="1"/>
  <c r="AJ55" i="1"/>
  <c r="AJ158" i="1"/>
  <c r="AI158" i="1"/>
  <c r="G158" i="1"/>
  <c r="H158" i="1"/>
  <c r="AI156" i="1"/>
  <c r="G156" i="1"/>
  <c r="H156" i="1"/>
  <c r="AJ156" i="1"/>
  <c r="G49" i="1"/>
  <c r="H49" i="1"/>
  <c r="AI49" i="1"/>
  <c r="AJ49" i="1"/>
  <c r="H343" i="1"/>
  <c r="G343" i="1"/>
  <c r="G334" i="1"/>
  <c r="H334" i="1"/>
  <c r="AJ59" i="1"/>
  <c r="AI59" i="1"/>
  <c r="G59" i="1"/>
  <c r="H59" i="1"/>
  <c r="G301" i="1"/>
  <c r="H301" i="1"/>
  <c r="H101" i="1"/>
  <c r="G101" i="1"/>
  <c r="AJ101" i="1"/>
  <c r="AI101" i="1"/>
  <c r="G241" i="1"/>
  <c r="H241" i="1"/>
  <c r="AJ39" i="1"/>
  <c r="AI39" i="1"/>
  <c r="H39" i="1"/>
  <c r="G39" i="1"/>
  <c r="H315" i="1"/>
  <c r="G315" i="1"/>
  <c r="H243" i="1"/>
  <c r="G243" i="1"/>
  <c r="G242" i="1"/>
  <c r="H242" i="1"/>
  <c r="G279" i="1"/>
  <c r="H279" i="1"/>
  <c r="G299" i="1"/>
  <c r="H299" i="1"/>
  <c r="H336" i="1"/>
  <c r="G336" i="1"/>
  <c r="G284" i="1"/>
  <c r="H284" i="1"/>
  <c r="G240" i="1"/>
  <c r="H240" i="1"/>
  <c r="H69" i="1"/>
  <c r="G69" i="1"/>
  <c r="AJ69" i="1"/>
  <c r="AI69" i="1"/>
  <c r="H317" i="1"/>
  <c r="G317" i="1"/>
  <c r="AI118" i="1"/>
  <c r="AJ118" i="1"/>
  <c r="G118" i="1"/>
  <c r="H118" i="1"/>
  <c r="AJ127" i="1"/>
  <c r="G127" i="1"/>
  <c r="AI127" i="1"/>
  <c r="H127" i="1"/>
  <c r="H354" i="1"/>
  <c r="G354" i="1"/>
  <c r="G291" i="1"/>
  <c r="H291" i="1"/>
  <c r="AJ135" i="1"/>
  <c r="G135" i="1"/>
  <c r="AI135" i="1"/>
  <c r="G225" i="1"/>
  <c r="H225" i="1"/>
  <c r="G357" i="1"/>
  <c r="H357" i="1"/>
  <c r="G324" i="1"/>
  <c r="H324" i="1"/>
  <c r="H370" i="1"/>
  <c r="G370" i="1"/>
  <c r="G220" i="1"/>
  <c r="H220" i="1"/>
  <c r="H303" i="1"/>
  <c r="G303" i="1"/>
  <c r="H348" i="1"/>
  <c r="G348" i="1"/>
  <c r="H280" i="1"/>
  <c r="G280" i="1"/>
  <c r="G262" i="1"/>
  <c r="H262" i="1"/>
  <c r="AJ43" i="1"/>
  <c r="H43" i="1"/>
  <c r="G43" i="1"/>
  <c r="AI43" i="1"/>
  <c r="AI115" i="1"/>
  <c r="H115" i="1"/>
  <c r="AJ115" i="1"/>
  <c r="G115" i="1"/>
  <c r="G50" i="1"/>
  <c r="H50" i="1"/>
  <c r="AI50" i="1"/>
  <c r="AJ50" i="1"/>
  <c r="AI98" i="1"/>
  <c r="G98" i="1"/>
  <c r="AJ98" i="1"/>
  <c r="H98" i="1"/>
  <c r="AI144" i="1"/>
  <c r="G144" i="1"/>
  <c r="AJ144" i="1"/>
  <c r="H144" i="1"/>
  <c r="H368" i="1"/>
  <c r="G368" i="1"/>
  <c r="G38" i="1"/>
  <c r="AI38" i="1"/>
  <c r="AJ38" i="1"/>
  <c r="H38" i="1"/>
  <c r="G312" i="1"/>
  <c r="H312" i="1"/>
  <c r="AJ124" i="1"/>
  <c r="G124" i="1"/>
  <c r="AI124" i="1"/>
  <c r="H124" i="1"/>
  <c r="AH239" i="1" l="1"/>
  <c r="AK239" i="1"/>
  <c r="AH254" i="1"/>
  <c r="AV254" i="1"/>
  <c r="AK254" i="1"/>
  <c r="AH253" i="1"/>
  <c r="AV253" i="1"/>
  <c r="AK253" i="1"/>
  <c r="AH251" i="1"/>
  <c r="AK251" i="1"/>
  <c r="AH243" i="1"/>
  <c r="AH250" i="1"/>
  <c r="AH240" i="1"/>
  <c r="AH241" i="1"/>
  <c r="AH249" i="1"/>
  <c r="AV250" i="1"/>
  <c r="AK250" i="1"/>
  <c r="AH245" i="1"/>
  <c r="AV241" i="1"/>
  <c r="AK241" i="1"/>
  <c r="AH242" i="1"/>
  <c r="AV243" i="1"/>
  <c r="AK243" i="1"/>
  <c r="AV242" i="1"/>
  <c r="AK242" i="1"/>
  <c r="AV244" i="1"/>
  <c r="AK244" i="1"/>
  <c r="AH244" i="1"/>
  <c r="AV246" i="1"/>
  <c r="AK246" i="1"/>
  <c r="AH246" i="1"/>
  <c r="AV248" i="1"/>
  <c r="AK248" i="1"/>
  <c r="AV247" i="1"/>
  <c r="AK247" i="1"/>
  <c r="AH248" i="1"/>
  <c r="AH247" i="1"/>
  <c r="AV245" i="1"/>
  <c r="AK245" i="1"/>
  <c r="AK249" i="1"/>
  <c r="AV240" i="1"/>
  <c r="AK240" i="1"/>
  <c r="AH233" i="1"/>
  <c r="AK233" i="1"/>
  <c r="AH235" i="1"/>
  <c r="AV235" i="1"/>
  <c r="AK235" i="1"/>
  <c r="N23" i="3"/>
  <c r="E23" i="3"/>
  <c r="J23" i="3"/>
  <c r="M23" i="3"/>
  <c r="F23" i="3"/>
  <c r="G152" i="1"/>
  <c r="H153" i="1"/>
  <c r="AJ153" i="1"/>
  <c r="AV153" i="1" s="1"/>
  <c r="G153" i="1"/>
  <c r="AI152" i="1"/>
  <c r="O23" i="3"/>
  <c r="G23" i="3"/>
  <c r="K23" i="3"/>
  <c r="Q23" i="3"/>
  <c r="R23" i="3"/>
  <c r="P23" i="3"/>
  <c r="I23" i="3"/>
  <c r="AJ152" i="1"/>
  <c r="AV152" i="1" s="1"/>
  <c r="Q22" i="3"/>
  <c r="I22" i="3"/>
  <c r="N22" i="3"/>
  <c r="K22" i="3"/>
  <c r="G22" i="3"/>
  <c r="E22" i="3"/>
  <c r="J22" i="3"/>
  <c r="R22" i="3"/>
  <c r="O22" i="3"/>
  <c r="F22" i="3"/>
  <c r="M22" i="3"/>
  <c r="H22" i="3"/>
  <c r="H15" i="3"/>
  <c r="M17" i="3"/>
  <c r="I25" i="3"/>
  <c r="E25" i="3"/>
  <c r="Q25" i="3"/>
  <c r="F15" i="3"/>
  <c r="N15" i="3"/>
  <c r="G15" i="3"/>
  <c r="Q15" i="3"/>
  <c r="R17" i="3"/>
  <c r="O15" i="3"/>
  <c r="N17" i="3"/>
  <c r="M15" i="3"/>
  <c r="O17" i="3"/>
  <c r="I15" i="3"/>
  <c r="K15" i="3"/>
  <c r="J17" i="3"/>
  <c r="J15" i="3"/>
  <c r="K17" i="3"/>
  <c r="E15" i="3"/>
  <c r="G17" i="3"/>
  <c r="E17" i="3"/>
  <c r="R15" i="3"/>
  <c r="Q17" i="3"/>
  <c r="K19" i="3"/>
  <c r="R21" i="3"/>
  <c r="J21" i="3"/>
  <c r="H25" i="3"/>
  <c r="H21" i="3"/>
  <c r="F25" i="3"/>
  <c r="M25" i="3"/>
  <c r="O21" i="3"/>
  <c r="R25" i="3"/>
  <c r="G21" i="3"/>
  <c r="O25" i="3"/>
  <c r="G24" i="3"/>
  <c r="E24" i="3"/>
  <c r="O24" i="3"/>
  <c r="J24" i="3"/>
  <c r="F24" i="3"/>
  <c r="P24" i="3"/>
  <c r="M24" i="3"/>
  <c r="Q24" i="3"/>
  <c r="R24" i="3"/>
  <c r="I24" i="3"/>
  <c r="G25" i="3"/>
  <c r="P17" i="3"/>
  <c r="F17" i="3"/>
  <c r="I17" i="3"/>
  <c r="K16" i="3"/>
  <c r="H16" i="3"/>
  <c r="O16" i="3"/>
  <c r="G16" i="3"/>
  <c r="R16" i="3"/>
  <c r="I16" i="3"/>
  <c r="F26" i="3"/>
  <c r="N19" i="3"/>
  <c r="M26" i="3"/>
  <c r="J16" i="3"/>
  <c r="Q19" i="3"/>
  <c r="O26" i="3"/>
  <c r="H26" i="3"/>
  <c r="P16" i="3"/>
  <c r="G19" i="3"/>
  <c r="J25" i="3"/>
  <c r="H19" i="3"/>
  <c r="E16" i="3"/>
  <c r="N25" i="3"/>
  <c r="R26" i="3"/>
  <c r="Q16" i="3"/>
  <c r="N16" i="3"/>
  <c r="M16" i="3"/>
  <c r="P25" i="3"/>
  <c r="E26" i="3"/>
  <c r="G26" i="3"/>
  <c r="K26" i="3"/>
  <c r="J26" i="3"/>
  <c r="Q26" i="3"/>
  <c r="I26" i="3"/>
  <c r="P26" i="3"/>
  <c r="I19" i="3"/>
  <c r="K20" i="3"/>
  <c r="H20" i="3"/>
  <c r="M21" i="3"/>
  <c r="M20" i="3"/>
  <c r="K21" i="3"/>
  <c r="R20" i="3"/>
  <c r="F20" i="3"/>
  <c r="Q21" i="3"/>
  <c r="P19" i="3"/>
  <c r="F19" i="3"/>
  <c r="J20" i="3"/>
  <c r="N24" i="3"/>
  <c r="P21" i="3"/>
  <c r="E19" i="3"/>
  <c r="O20" i="3"/>
  <c r="I21" i="3"/>
  <c r="F21" i="3"/>
  <c r="M19" i="3"/>
  <c r="E20" i="3"/>
  <c r="O19" i="3"/>
  <c r="J19" i="3"/>
  <c r="Q20" i="3"/>
  <c r="G20" i="3"/>
  <c r="E21" i="3"/>
  <c r="K24" i="3"/>
  <c r="P20" i="3"/>
  <c r="N20" i="3"/>
  <c r="Q18" i="3"/>
  <c r="O18" i="3"/>
  <c r="H18" i="3"/>
  <c r="F18" i="3"/>
  <c r="N18" i="3"/>
  <c r="K18" i="3"/>
  <c r="P18" i="3"/>
  <c r="J18" i="3"/>
  <c r="E18" i="3"/>
  <c r="G18" i="3"/>
  <c r="R18" i="3"/>
  <c r="M18" i="3"/>
  <c r="H154" i="1"/>
  <c r="AI154" i="1"/>
  <c r="AJ154" i="1"/>
  <c r="AH196" i="1"/>
  <c r="J9" i="11"/>
  <c r="AV196" i="1"/>
  <c r="AK196" i="1"/>
  <c r="J8" i="11"/>
  <c r="AH218" i="1"/>
  <c r="AH213" i="1"/>
  <c r="AH219" i="1"/>
  <c r="AV218" i="1"/>
  <c r="AK218" i="1"/>
  <c r="AV219" i="1"/>
  <c r="AK219" i="1"/>
  <c r="AH206" i="1"/>
  <c r="AH214" i="1"/>
  <c r="AH202" i="1"/>
  <c r="AH217" i="1"/>
  <c r="AH216" i="1"/>
  <c r="AH212" i="1"/>
  <c r="AH210" i="1"/>
  <c r="AH211" i="1"/>
  <c r="AV211" i="1"/>
  <c r="AK211" i="1"/>
  <c r="AV213" i="1"/>
  <c r="AK213" i="1"/>
  <c r="AV214" i="1"/>
  <c r="AK214" i="1"/>
  <c r="AV217" i="1"/>
  <c r="AK217" i="1"/>
  <c r="AH215" i="1"/>
  <c r="AV210" i="1"/>
  <c r="AK210" i="1"/>
  <c r="AV215" i="1"/>
  <c r="AK215" i="1"/>
  <c r="AH200" i="1"/>
  <c r="AV212" i="1"/>
  <c r="AK212" i="1"/>
  <c r="AH201" i="1"/>
  <c r="AV216" i="1"/>
  <c r="AK216" i="1"/>
  <c r="AH207" i="1"/>
  <c r="AH209" i="1"/>
  <c r="AK209" i="1"/>
  <c r="AV209" i="1"/>
  <c r="AV201" i="1"/>
  <c r="AK201" i="1"/>
  <c r="AK207" i="1"/>
  <c r="AV207" i="1"/>
  <c r="AV204" i="1"/>
  <c r="AK204" i="1"/>
  <c r="AH204" i="1"/>
  <c r="AV206" i="1"/>
  <c r="AK206" i="1"/>
  <c r="AV199" i="1"/>
  <c r="AK199" i="1"/>
  <c r="AH199" i="1"/>
  <c r="AK202" i="1"/>
  <c r="AV202" i="1"/>
  <c r="AV208" i="1"/>
  <c r="AK208" i="1"/>
  <c r="AV203" i="1"/>
  <c r="AK203" i="1"/>
  <c r="AH208" i="1"/>
  <c r="AH203" i="1"/>
  <c r="AH205" i="1"/>
  <c r="AV200" i="1"/>
  <c r="AK200" i="1"/>
  <c r="AV205" i="1"/>
  <c r="AK205" i="1"/>
  <c r="AH198" i="1"/>
  <c r="AK198" i="1"/>
  <c r="AV198" i="1"/>
  <c r="AH143" i="1"/>
  <c r="AH47" i="1"/>
  <c r="AH184" i="1"/>
  <c r="AH170" i="1"/>
  <c r="AH193" i="1"/>
  <c r="AH35" i="1"/>
  <c r="AH161" i="1"/>
  <c r="AH138" i="1"/>
  <c r="AH191" i="1"/>
  <c r="AH33" i="1"/>
  <c r="AH192" i="1"/>
  <c r="AH121" i="1"/>
  <c r="AH186" i="1"/>
  <c r="AH91" i="1"/>
  <c r="AH166" i="1"/>
  <c r="AH99" i="1"/>
  <c r="AH125" i="1"/>
  <c r="AH76" i="1"/>
  <c r="AH167" i="1"/>
  <c r="AH101" i="1"/>
  <c r="AH189" i="1"/>
  <c r="AH97" i="1"/>
  <c r="AH93" i="1"/>
  <c r="AH23" i="1"/>
  <c r="AH49" i="1"/>
  <c r="AH106" i="1"/>
  <c r="AH127" i="1"/>
  <c r="AH51" i="1"/>
  <c r="AH129" i="1"/>
  <c r="AH187" i="1"/>
  <c r="AH54" i="1"/>
  <c r="AH62" i="1"/>
  <c r="AH116" i="1"/>
  <c r="AH107" i="1"/>
  <c r="AH84" i="1"/>
  <c r="AH168" i="1"/>
  <c r="AH162" i="1"/>
  <c r="AH45" i="1"/>
  <c r="AH7" i="1"/>
  <c r="AH157" i="1"/>
  <c r="AH131" i="1"/>
  <c r="AH15" i="1"/>
  <c r="AH182" i="1"/>
  <c r="AH60" i="1"/>
  <c r="AH159" i="1"/>
  <c r="AH142" i="1"/>
  <c r="AH128" i="1"/>
  <c r="AH87" i="1"/>
  <c r="AH169" i="1"/>
  <c r="AH58" i="1"/>
  <c r="AH188" i="1"/>
  <c r="AH57" i="1"/>
  <c r="AH71" i="1"/>
  <c r="AH74" i="1"/>
  <c r="AH43" i="1"/>
  <c r="AH104" i="1"/>
  <c r="AH190" i="1"/>
  <c r="AH5" i="1"/>
  <c r="AH41" i="1"/>
  <c r="AH92" i="1"/>
  <c r="AH34" i="1"/>
  <c r="AH56" i="1"/>
  <c r="AH73" i="1"/>
  <c r="AH69" i="1"/>
  <c r="AH89" i="1"/>
  <c r="AH103" i="1"/>
  <c r="AH44" i="1"/>
  <c r="AH119" i="1"/>
  <c r="AH175" i="1"/>
  <c r="AH98" i="1"/>
  <c r="AH122" i="1"/>
  <c r="AH32" i="1"/>
  <c r="AH55" i="1"/>
  <c r="AH141" i="1"/>
  <c r="AH113" i="1"/>
  <c r="AH82" i="1"/>
  <c r="AH50" i="1"/>
  <c r="AH88" i="1"/>
  <c r="AH27" i="1"/>
  <c r="AH6" i="1"/>
  <c r="AH117" i="1"/>
  <c r="AH172" i="1"/>
  <c r="AH139" i="1"/>
  <c r="AH30" i="1"/>
  <c r="AH14" i="1"/>
  <c r="AH146" i="1"/>
  <c r="AH165" i="1"/>
  <c r="AH174" i="1"/>
  <c r="AH40" i="1"/>
  <c r="AH148" i="1"/>
  <c r="AH17" i="1"/>
  <c r="AH96" i="1"/>
  <c r="AH26" i="1"/>
  <c r="AH12" i="1"/>
  <c r="AH178" i="1"/>
  <c r="AH42" i="1"/>
  <c r="AK180" i="1"/>
  <c r="AV180" i="1"/>
  <c r="AV195" i="1"/>
  <c r="AK195" i="1"/>
  <c r="AK114" i="1"/>
  <c r="AV114" i="1"/>
  <c r="AH86" i="1"/>
  <c r="AH124" i="1"/>
  <c r="AK98" i="1"/>
  <c r="AV98" i="1"/>
  <c r="AV59" i="1"/>
  <c r="AK59" i="1"/>
  <c r="AV158" i="1"/>
  <c r="AK158" i="1"/>
  <c r="AH10" i="1"/>
  <c r="AH94" i="1"/>
  <c r="AV145" i="1"/>
  <c r="AK145" i="1"/>
  <c r="AV177" i="1"/>
  <c r="AK177" i="1"/>
  <c r="AH78" i="1"/>
  <c r="AH181" i="1"/>
  <c r="AK105" i="1"/>
  <c r="AV105" i="1"/>
  <c r="AV168" i="1"/>
  <c r="AK168" i="1"/>
  <c r="AH102" i="1"/>
  <c r="AH185" i="1"/>
  <c r="AV110" i="1"/>
  <c r="AK110" i="1"/>
  <c r="AK123" i="1"/>
  <c r="AV123" i="1"/>
  <c r="AV179" i="1"/>
  <c r="AK179" i="1"/>
  <c r="AK75" i="1"/>
  <c r="AV75" i="1"/>
  <c r="AV163" i="1"/>
  <c r="AK163" i="1"/>
  <c r="AK101" i="1"/>
  <c r="AV101" i="1"/>
  <c r="AV4" i="1"/>
  <c r="AK4" i="1"/>
  <c r="AH194" i="1"/>
  <c r="AH70" i="1"/>
  <c r="AH135" i="1"/>
  <c r="AK55" i="1"/>
  <c r="AV55" i="1"/>
  <c r="AH67" i="1"/>
  <c r="AH29" i="1"/>
  <c r="AH13" i="1"/>
  <c r="AK141" i="1"/>
  <c r="AV141" i="1"/>
  <c r="AV157" i="1"/>
  <c r="AK157" i="1"/>
  <c r="AK125" i="1"/>
  <c r="AV125" i="1"/>
  <c r="AV83" i="1"/>
  <c r="AK83" i="1"/>
  <c r="AK76" i="1"/>
  <c r="AV76" i="1"/>
  <c r="AV167" i="1"/>
  <c r="AK167" i="1"/>
  <c r="AK162" i="1"/>
  <c r="AV162" i="1"/>
  <c r="AV175" i="1"/>
  <c r="AK175" i="1"/>
  <c r="AH80" i="1"/>
  <c r="AK19" i="1"/>
  <c r="AV19" i="1"/>
  <c r="AK48" i="1"/>
  <c r="AV48" i="1"/>
  <c r="AV60" i="1"/>
  <c r="AK60" i="1"/>
  <c r="AK124" i="1"/>
  <c r="AV124" i="1"/>
  <c r="AV29" i="1"/>
  <c r="AK29" i="1"/>
  <c r="AK13" i="1"/>
  <c r="AV13" i="1"/>
  <c r="AV137" i="1"/>
  <c r="AK137" i="1"/>
  <c r="AV120" i="1"/>
  <c r="AK120" i="1"/>
  <c r="AV181" i="1"/>
  <c r="AK181" i="1"/>
  <c r="AH149" i="1"/>
  <c r="AK111" i="1"/>
  <c r="AV111" i="1"/>
  <c r="AV185" i="1"/>
  <c r="AK185" i="1"/>
  <c r="AK44" i="1"/>
  <c r="AV44" i="1"/>
  <c r="AK103" i="1"/>
  <c r="AV103" i="1"/>
  <c r="AH123" i="1"/>
  <c r="AH164" i="1"/>
  <c r="AH126" i="1"/>
  <c r="AH46" i="1"/>
  <c r="AK186" i="1"/>
  <c r="AV186" i="1"/>
  <c r="AV93" i="1"/>
  <c r="AK93" i="1"/>
  <c r="AH90" i="1"/>
  <c r="AV171" i="1"/>
  <c r="AK171" i="1"/>
  <c r="AV22" i="1"/>
  <c r="AK22" i="1"/>
  <c r="AV67" i="1"/>
  <c r="AK67" i="1"/>
  <c r="AV50" i="1"/>
  <c r="AK50" i="1"/>
  <c r="AK135" i="1"/>
  <c r="AV135" i="1"/>
  <c r="AH39" i="1"/>
  <c r="AK7" i="1"/>
  <c r="AV7" i="1"/>
  <c r="AV10" i="1"/>
  <c r="AK10" i="1"/>
  <c r="AH100" i="1"/>
  <c r="AK74" i="1"/>
  <c r="AV74" i="1"/>
  <c r="AK25" i="1"/>
  <c r="AV25" i="1"/>
  <c r="AH137" i="1"/>
  <c r="AH85" i="1"/>
  <c r="AV78" i="1"/>
  <c r="AK78" i="1"/>
  <c r="AV149" i="1"/>
  <c r="AK149" i="1"/>
  <c r="AK72" i="1"/>
  <c r="AV72" i="1"/>
  <c r="AV91" i="1"/>
  <c r="AK91" i="1"/>
  <c r="AV126" i="1"/>
  <c r="AK126" i="1"/>
  <c r="AK46" i="1"/>
  <c r="AV46" i="1"/>
  <c r="AK45" i="1"/>
  <c r="AV45" i="1"/>
  <c r="AK90" i="1"/>
  <c r="AV90" i="1"/>
  <c r="AV53" i="1"/>
  <c r="AK53" i="1"/>
  <c r="AH38" i="1"/>
  <c r="AK183" i="1"/>
  <c r="AV183" i="1"/>
  <c r="AV122" i="1"/>
  <c r="AK122" i="1"/>
  <c r="AH25" i="1"/>
  <c r="AK84" i="1"/>
  <c r="AV84" i="1"/>
  <c r="AK54" i="1"/>
  <c r="AV54" i="1"/>
  <c r="AV6" i="1"/>
  <c r="AK6" i="1"/>
  <c r="AK172" i="1"/>
  <c r="AV172" i="1"/>
  <c r="AV182" i="1"/>
  <c r="AK182" i="1"/>
  <c r="AH111" i="1"/>
  <c r="AH150" i="1"/>
  <c r="AH28" i="1"/>
  <c r="AH61" i="1"/>
  <c r="AK131" i="1"/>
  <c r="AV131" i="1"/>
  <c r="AH72" i="1"/>
  <c r="AH114" i="1"/>
  <c r="AV15" i="1"/>
  <c r="AK15" i="1"/>
  <c r="AK169" i="1"/>
  <c r="AV169" i="1"/>
  <c r="AK119" i="1"/>
  <c r="AV119" i="1"/>
  <c r="AH195" i="1"/>
  <c r="AK80" i="1"/>
  <c r="AV80" i="1"/>
  <c r="AV164" i="1"/>
  <c r="AK164" i="1"/>
  <c r="AH21" i="1"/>
  <c r="AH19" i="1"/>
  <c r="AV92" i="1"/>
  <c r="AK92" i="1"/>
  <c r="AK21" i="1"/>
  <c r="AV21" i="1"/>
  <c r="AK115" i="1"/>
  <c r="AV115" i="1"/>
  <c r="AK39" i="1"/>
  <c r="AV39" i="1"/>
  <c r="AK49" i="1"/>
  <c r="AV49" i="1"/>
  <c r="AK23" i="1"/>
  <c r="AV23" i="1"/>
  <c r="AH183" i="1"/>
  <c r="AK100" i="1"/>
  <c r="AV100" i="1"/>
  <c r="AK88" i="1"/>
  <c r="AV88" i="1"/>
  <c r="AH79" i="1"/>
  <c r="AV85" i="1"/>
  <c r="AK85" i="1"/>
  <c r="AK117" i="1"/>
  <c r="AV117" i="1"/>
  <c r="AK58" i="1"/>
  <c r="AV58" i="1"/>
  <c r="AV28" i="1"/>
  <c r="AK28" i="1"/>
  <c r="AK61" i="1"/>
  <c r="AV61" i="1"/>
  <c r="AH180" i="1"/>
  <c r="AK82" i="1"/>
  <c r="AV82" i="1"/>
  <c r="AV166" i="1"/>
  <c r="AK166" i="1"/>
  <c r="AK32" i="1"/>
  <c r="AV32" i="1"/>
  <c r="AH176" i="1"/>
  <c r="AV107" i="1"/>
  <c r="AK107" i="1"/>
  <c r="AV192" i="1"/>
  <c r="AK192" i="1"/>
  <c r="AH134" i="1"/>
  <c r="AK70" i="1"/>
  <c r="AV70" i="1"/>
  <c r="AK9" i="1"/>
  <c r="AV9" i="1"/>
  <c r="AK27" i="1"/>
  <c r="AV27" i="1"/>
  <c r="AK30" i="1"/>
  <c r="AV30" i="1"/>
  <c r="AV47" i="1"/>
  <c r="AK47" i="1"/>
  <c r="AV113" i="1"/>
  <c r="AK113" i="1"/>
  <c r="AV118" i="1"/>
  <c r="AK118" i="1"/>
  <c r="AK156" i="1"/>
  <c r="AV156" i="1"/>
  <c r="AH48" i="1"/>
  <c r="AV14" i="1"/>
  <c r="AK14" i="1"/>
  <c r="AV18" i="1"/>
  <c r="AK18" i="1"/>
  <c r="AV151" i="1"/>
  <c r="AK151" i="1"/>
  <c r="AH4" i="1"/>
  <c r="AK52" i="1"/>
  <c r="AV52" i="1"/>
  <c r="AK133" i="1"/>
  <c r="AV133" i="1"/>
  <c r="AV159" i="1"/>
  <c r="AK159" i="1"/>
  <c r="AV142" i="1"/>
  <c r="AK142" i="1"/>
  <c r="AV16" i="1"/>
  <c r="AK16" i="1"/>
  <c r="AV95" i="1"/>
  <c r="AK95" i="1"/>
  <c r="AH132" i="1"/>
  <c r="AH163" i="1"/>
  <c r="AK38" i="1"/>
  <c r="AV38" i="1"/>
  <c r="AK86" i="1"/>
  <c r="AV86" i="1"/>
  <c r="AH171" i="1"/>
  <c r="AV139" i="1"/>
  <c r="AK139" i="1"/>
  <c r="AH115" i="1"/>
  <c r="AH118" i="1"/>
  <c r="AH36" i="1"/>
  <c r="AV128" i="1"/>
  <c r="AK128" i="1"/>
  <c r="AV129" i="1"/>
  <c r="AK129" i="1"/>
  <c r="AH151" i="1"/>
  <c r="AH9" i="1"/>
  <c r="AH66" i="1"/>
  <c r="AK20" i="1"/>
  <c r="AV20" i="1"/>
  <c r="AV140" i="1"/>
  <c r="AK140" i="1"/>
  <c r="AV161" i="1"/>
  <c r="AK161" i="1"/>
  <c r="AV146" i="1"/>
  <c r="AK146" i="1"/>
  <c r="AH133" i="1"/>
  <c r="AV165" i="1"/>
  <c r="AK165" i="1"/>
  <c r="AK40" i="1"/>
  <c r="AV40" i="1"/>
  <c r="AV96" i="1"/>
  <c r="AK96" i="1"/>
  <c r="AK26" i="1"/>
  <c r="AV26" i="1"/>
  <c r="AH95" i="1"/>
  <c r="AK36" i="1"/>
  <c r="AV36" i="1"/>
  <c r="AH160" i="1"/>
  <c r="AH18" i="1"/>
  <c r="AK34" i="1"/>
  <c r="AV34" i="1"/>
  <c r="AK77" i="1"/>
  <c r="AV77" i="1"/>
  <c r="AH130" i="1"/>
  <c r="AV121" i="1"/>
  <c r="AK121" i="1"/>
  <c r="AV189" i="1"/>
  <c r="AK189" i="1"/>
  <c r="AH140" i="1"/>
  <c r="AK187" i="1"/>
  <c r="AV187" i="1"/>
  <c r="AK71" i="1"/>
  <c r="AV71" i="1"/>
  <c r="AV87" i="1"/>
  <c r="AK87" i="1"/>
  <c r="AV106" i="1"/>
  <c r="AK106" i="1"/>
  <c r="AH16" i="1"/>
  <c r="AK3" i="1"/>
  <c r="AV3" i="1"/>
  <c r="AH136" i="1"/>
  <c r="AH24" i="1"/>
  <c r="AV184" i="1"/>
  <c r="AK184" i="1"/>
  <c r="AV170" i="1"/>
  <c r="AK170" i="1"/>
  <c r="AV193" i="1"/>
  <c r="AK193" i="1"/>
  <c r="AV12" i="1"/>
  <c r="AK12" i="1"/>
  <c r="AH109" i="1"/>
  <c r="AK150" i="1"/>
  <c r="AV150" i="1"/>
  <c r="AV132" i="1"/>
  <c r="AK132" i="1"/>
  <c r="AH53" i="1"/>
  <c r="AK143" i="1"/>
  <c r="AV143" i="1"/>
  <c r="AV191" i="1"/>
  <c r="AK191" i="1"/>
  <c r="AV144" i="1"/>
  <c r="AK144" i="1"/>
  <c r="AH156" i="1"/>
  <c r="AK51" i="1"/>
  <c r="AV51" i="1"/>
  <c r="AH108" i="1"/>
  <c r="AH173" i="1"/>
  <c r="AV17" i="1"/>
  <c r="AK17" i="1"/>
  <c r="AV56" i="1"/>
  <c r="AK56" i="1"/>
  <c r="AH20" i="1"/>
  <c r="AK73" i="1"/>
  <c r="AV73" i="1"/>
  <c r="AH52" i="1"/>
  <c r="AV81" i="1"/>
  <c r="AK81" i="1"/>
  <c r="AV138" i="1"/>
  <c r="AK138" i="1"/>
  <c r="AV174" i="1"/>
  <c r="AK174" i="1"/>
  <c r="AK11" i="1"/>
  <c r="AV11" i="1"/>
  <c r="AV97" i="1"/>
  <c r="AK97" i="1"/>
  <c r="AK109" i="1"/>
  <c r="AV109" i="1"/>
  <c r="AV176" i="1"/>
  <c r="AK176" i="1"/>
  <c r="AK130" i="1"/>
  <c r="AV130" i="1"/>
  <c r="AK102" i="1"/>
  <c r="AV102" i="1"/>
  <c r="AV8" i="1"/>
  <c r="AK8" i="1"/>
  <c r="AH179" i="1"/>
  <c r="AK136" i="1"/>
  <c r="AV136" i="1"/>
  <c r="AV24" i="1"/>
  <c r="AK24" i="1"/>
  <c r="AK112" i="1"/>
  <c r="AV112" i="1"/>
  <c r="AV79" i="1"/>
  <c r="AK79" i="1"/>
  <c r="AK134" i="1"/>
  <c r="AV134" i="1"/>
  <c r="AV194" i="1"/>
  <c r="AK194" i="1"/>
  <c r="AV66" i="1"/>
  <c r="AK66" i="1"/>
  <c r="AK155" i="1"/>
  <c r="AV155" i="1"/>
  <c r="AH144" i="1"/>
  <c r="AK43" i="1"/>
  <c r="AV43" i="1"/>
  <c r="AK127" i="1"/>
  <c r="AV127" i="1"/>
  <c r="AV69" i="1"/>
  <c r="AK69" i="1"/>
  <c r="AH155" i="1"/>
  <c r="AH145" i="1"/>
  <c r="AH77" i="1"/>
  <c r="AH177" i="1"/>
  <c r="AV62" i="1"/>
  <c r="AK62" i="1"/>
  <c r="AH37" i="1"/>
  <c r="AH83" i="1"/>
  <c r="AK57" i="1"/>
  <c r="AV57" i="1"/>
  <c r="AK116" i="1"/>
  <c r="AV116" i="1"/>
  <c r="AK104" i="1"/>
  <c r="AV104" i="1"/>
  <c r="AV190" i="1"/>
  <c r="AK190" i="1"/>
  <c r="AK5" i="1"/>
  <c r="AV5" i="1"/>
  <c r="AH11" i="1"/>
  <c r="AH3" i="1"/>
  <c r="AH75" i="1"/>
  <c r="AV42" i="1"/>
  <c r="AK42" i="1"/>
  <c r="AV148" i="1"/>
  <c r="AK148" i="1"/>
  <c r="AH22" i="1"/>
  <c r="AK160" i="1"/>
  <c r="AV160" i="1"/>
  <c r="AV108" i="1"/>
  <c r="AK108" i="1"/>
  <c r="AV173" i="1"/>
  <c r="AK173" i="1"/>
  <c r="AK94" i="1"/>
  <c r="AV94" i="1"/>
  <c r="AH59" i="1"/>
  <c r="AH158" i="1"/>
  <c r="AV89" i="1"/>
  <c r="AK89" i="1"/>
  <c r="AH120" i="1"/>
  <c r="AV37" i="1"/>
  <c r="AK37" i="1"/>
  <c r="AH105" i="1"/>
  <c r="AV188" i="1"/>
  <c r="AK188" i="1"/>
  <c r="AH81" i="1"/>
  <c r="AH110" i="1"/>
  <c r="AV99" i="1"/>
  <c r="AK99" i="1"/>
  <c r="AV41" i="1"/>
  <c r="AK41" i="1"/>
  <c r="AH8" i="1"/>
  <c r="AK178" i="1"/>
  <c r="AV178" i="1"/>
  <c r="AV35" i="1"/>
  <c r="AK35" i="1"/>
  <c r="AH112" i="1"/>
  <c r="AK33" i="1"/>
  <c r="AV33" i="1"/>
  <c r="H1" i="1" l="1"/>
  <c r="G1" i="1"/>
  <c r="AI1" i="1"/>
  <c r="L23" i="3"/>
  <c r="L22" i="3"/>
  <c r="AK153" i="1"/>
  <c r="AH153" i="1"/>
  <c r="AH152" i="1"/>
  <c r="T11" i="3" a="1"/>
  <c r="T11" i="3" s="1"/>
  <c r="T24" i="3" s="1"/>
  <c r="AK152" i="1"/>
  <c r="V8" i="3" a="1"/>
  <c r="V8" i="3" s="1"/>
  <c r="C8" i="3" s="1"/>
  <c r="C21" i="3" s="1"/>
  <c r="L15" i="3"/>
  <c r="L17" i="3"/>
  <c r="L25" i="3"/>
  <c r="L24" i="3"/>
  <c r="L26" i="3"/>
  <c r="L16" i="3"/>
  <c r="L19" i="3"/>
  <c r="L20" i="3"/>
  <c r="L21" i="3"/>
  <c r="L18" i="3"/>
  <c r="V4" i="3" a="1"/>
  <c r="V4" i="3" s="1"/>
  <c r="C4" i="3" s="1"/>
  <c r="C17" i="3" s="1"/>
  <c r="V3" i="3" a="1"/>
  <c r="V3" i="3" s="1"/>
  <c r="C3" i="3" s="1"/>
  <c r="C16" i="3" s="1"/>
  <c r="AV154" i="1"/>
  <c r="V6" i="3" a="1"/>
  <c r="V6" i="3" s="1"/>
  <c r="C6" i="3" s="1"/>
  <c r="C19" i="3" s="1"/>
  <c r="V2" i="3" a="1"/>
  <c r="V2" i="3" s="1"/>
  <c r="C2" i="3" s="1"/>
  <c r="C15" i="3" s="1"/>
  <c r="V12" i="3" a="1"/>
  <c r="V12" i="3" s="1"/>
  <c r="C12" i="3" s="1"/>
  <c r="C25" i="3" s="1"/>
  <c r="AK154" i="1"/>
  <c r="V5" i="3" a="1"/>
  <c r="V5" i="3" s="1"/>
  <c r="C5" i="3" s="1"/>
  <c r="C18" i="3" s="1"/>
  <c r="V9" i="3" a="1"/>
  <c r="V9" i="3" s="1"/>
  <c r="C9" i="3" s="1"/>
  <c r="C22" i="3" s="1"/>
  <c r="T4" i="3" a="1"/>
  <c r="T4" i="3" s="1"/>
  <c r="T17" i="3" s="1"/>
  <c r="T7" i="3" a="1"/>
  <c r="T7" i="3" s="1"/>
  <c r="T20" i="3" s="1"/>
  <c r="V13" i="3" a="1"/>
  <c r="V13" i="3" s="1"/>
  <c r="C13" i="3" s="1"/>
  <c r="C26" i="3" s="1"/>
  <c r="V11" i="3" a="1"/>
  <c r="V11" i="3" s="1"/>
  <c r="C11" i="3" s="1"/>
  <c r="C24" i="3" s="1"/>
  <c r="V7" i="3" a="1"/>
  <c r="V7" i="3" s="1"/>
  <c r="C7" i="3" s="1"/>
  <c r="C20" i="3" s="1"/>
  <c r="T9" i="3" a="1"/>
  <c r="T9" i="3" s="1"/>
  <c r="T22" i="3" s="1"/>
  <c r="T5" i="3" a="1"/>
  <c r="T5" i="3" s="1"/>
  <c r="T18" i="3" s="1"/>
  <c r="T10" i="3" a="1"/>
  <c r="T10" i="3" s="1"/>
  <c r="T23" i="3" s="1"/>
  <c r="T12" i="3" a="1"/>
  <c r="T12" i="3" s="1"/>
  <c r="T25" i="3" s="1"/>
  <c r="T3" i="3" a="1"/>
  <c r="T3" i="3" s="1"/>
  <c r="T16" i="3" s="1"/>
  <c r="T8" i="3" a="1"/>
  <c r="T8" i="3" s="1"/>
  <c r="T21" i="3" s="1"/>
  <c r="T6" i="3" a="1"/>
  <c r="T6" i="3" s="1"/>
  <c r="T19" i="3" s="1"/>
  <c r="T2" i="3" a="1"/>
  <c r="T2" i="3" s="1"/>
  <c r="T15" i="3" s="1"/>
  <c r="T13" i="3" a="1"/>
  <c r="T13" i="3" s="1"/>
  <c r="T26" i="3" s="1"/>
  <c r="AH154" i="1"/>
  <c r="V10" i="3" a="1"/>
  <c r="V10" i="3" s="1"/>
  <c r="C10" i="3" s="1"/>
  <c r="C23" i="3" s="1"/>
  <c r="F11" i="11"/>
  <c r="K9" i="11" a="1"/>
  <c r="K9" i="11" s="1"/>
  <c r="G11" i="11"/>
  <c r="S3" i="3" l="1" a="1"/>
  <c r="S3" i="3" s="1"/>
  <c r="S16" i="3" s="1"/>
  <c r="U16" i="3" s="1"/>
  <c r="S2" i="3" a="1"/>
  <c r="S2" i="3" s="1"/>
  <c r="S15" i="3" s="1"/>
  <c r="U15" i="3" s="1"/>
  <c r="S7" i="3" a="1"/>
  <c r="S7" i="3" s="1"/>
  <c r="S20" i="3" s="1"/>
  <c r="U20" i="3" s="1"/>
  <c r="S12" i="3" a="1"/>
  <c r="S12" i="3" s="1"/>
  <c r="S25" i="3" s="1"/>
  <c r="U25" i="3" s="1"/>
  <c r="S6" i="3" a="1"/>
  <c r="S6" i="3" s="1"/>
  <c r="S19" i="3" s="1"/>
  <c r="U19" i="3" s="1"/>
  <c r="S4" i="3" a="1"/>
  <c r="S4" i="3" s="1"/>
  <c r="S17" i="3" s="1"/>
  <c r="U17" i="3" s="1"/>
  <c r="S10" i="3" a="1"/>
  <c r="S10" i="3" s="1"/>
  <c r="S23" i="3" s="1"/>
  <c r="U23" i="3" s="1"/>
  <c r="S5" i="3" a="1"/>
  <c r="S5" i="3" s="1"/>
  <c r="S18" i="3" s="1"/>
  <c r="U18" i="3" s="1"/>
  <c r="S11" i="3" a="1"/>
  <c r="S11" i="3" s="1"/>
  <c r="S24" i="3" s="1"/>
  <c r="U24" i="3" s="1"/>
  <c r="S8" i="3" a="1"/>
  <c r="S8" i="3" s="1"/>
  <c r="S21" i="3" s="1"/>
  <c r="U21" i="3" s="1"/>
  <c r="S9" i="3" a="1"/>
  <c r="S9" i="3" s="1"/>
  <c r="S22" i="3" s="1"/>
  <c r="U22" i="3" s="1"/>
  <c r="S13" i="3" a="1"/>
  <c r="S13" i="3" s="1"/>
  <c r="S26" i="3" s="1"/>
  <c r="U26" i="3" s="1"/>
  <c r="K8" i="11"/>
  <c r="L9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tc={5EDB1A9D-7D77-4CEC-A94F-D434E179AAEA}</author>
    <author>tc={D5BFF628-BBC1-43D2-B493-9F2B62A9C1E0}</author>
    <author>tc={B8D19983-3A8C-47C8-8E54-C5B310651CC6}</author>
    <author>tc={DDAEB5A6-D072-4789-9F39-E14DEDD84B0C}</author>
    <author>tc={FDB0369B-F903-4B6A-98C0-4AFF07BE5580}</author>
    <author>tc={EBB9B01C-1ED4-4B45-A778-F914CE18F4C3}</author>
    <author>tc={E7B0E962-092A-4A5B-98B0-DA96B33A4471}</author>
    <author>tc={95712157-E6B0-4C4D-B3BF-73D17E9773F1}</author>
    <author>tc={EE41B432-FA49-4493-977C-AB4856A46CC5}</author>
    <author>tc={CFC62DD0-428E-4D8B-9087-A56C84FC7D73}</author>
    <author>tc={3573E35A-B4F0-4E8C-91A4-B45512067388}</author>
    <author>tc={61B0D92E-0F0A-4DED-8266-ACA567ECD7C0}</author>
    <author>Mathur, Manoj</author>
    <author>tc={D7856890-9924-4CB3-B26B-B2712A374437}</author>
    <author>tc={6967F4B3-503C-4995-A4EC-A73FABD9696D}</author>
    <author>tc={AE751B22-C781-49CB-8DDE-6C35F7375B8C}</author>
    <author>tc={6A7054B0-775D-4AE2-BF2D-E7634337040F}</author>
    <author>tc={FCE04B78-2F80-4087-8189-E6E3972C35BC}</author>
    <author>tc={AB785273-D311-46CE-92B3-B49A5E05AC21}</author>
    <author>tc={4CDFF3C7-FE33-4A67-B569-50A2BE0967E0}</author>
    <author>tc={7CB13DA7-BD1C-4DED-A006-885FDDF30864}</author>
    <author>tc={EA6F772C-E075-465B-B900-2629BB922766}</author>
    <author>tc={13C76C07-4A40-4BA6-9111-8895F0D1F420}</author>
    <author>tc={8C518F25-88ED-416D-AFD3-F147F1507F19}</author>
    <author>tc={683645F2-1970-4A88-9043-4E16E3FB0356}</author>
    <author>tc={CD5F6539-3A74-4A89-8369-358C6251E0AC}</author>
    <author>tc={A60AA3DE-ECBD-46EE-B15B-6CAA018C28AE}</author>
    <author>tc={586CD1E9-9FF3-4489-B2C7-52484E10EEAD}</author>
    <author>tc={C285F044-6CE4-4EE9-810B-1D3DD6F93C13}</author>
  </authors>
  <commentList>
    <comment ref="AD36" authorId="0" shapeId="0" xr:uid="{5EDB1A9D-7D77-4CEC-A94F-D434E179AAEA}">
      <text>
        <t>[Threaded comment]
Your version of Excel allows you to read this threaded comment; however, any edits to it will get removed if the file is opened in a newer version of Excel. Learn more: https://go.microsoft.com/fwlink/?linkid=870924
Comment:
    Wheat floor silo scrapper broken</t>
      </text>
    </comment>
    <comment ref="AG42" authorId="1" shapeId="0" xr:uid="{D5BFF628-BBC1-43D2-B493-9F2B62A9C1E0}">
      <text>
        <t>[Threaded comment]
Your version of Excel allows you to read this threaded comment; however, any edits to it will get removed if the file is opened in a newer version of Excel. Learn more: https://go.microsoft.com/fwlink/?linkid=870924
Comment:
    05 Sfcs short from regular manning in B shift</t>
      </text>
    </comment>
    <comment ref="AG45" authorId="2" shapeId="0" xr:uid="{B8D19983-3A8C-47C8-8E54-C5B310651CC6}">
      <text>
        <t>[Threaded comment]
Your version of Excel allows you to read this threaded comment; however, any edits to it will get removed if the file is opened in a newer version of Excel. Learn more: https://go.microsoft.com/fwlink/?linkid=870924
Comment:
    03 sfcs shortfal from Regualr mannig</t>
      </text>
    </comment>
    <comment ref="AF46" authorId="3" shapeId="0" xr:uid="{DDAEB5A6-D072-4789-9F39-E14DEDD84B0C}">
      <text>
        <t>[Threaded comment]
Your version of Excel allows you to read this threaded comment; however, any edits to it will get removed if the file is opened in a newer version of Excel. Learn more: https://go.microsoft.com/fwlink/?linkid=870924
Comment:
    Power fluctuations ,interruptions</t>
      </text>
    </comment>
    <comment ref="AG46" authorId="4" shapeId="0" xr:uid="{FDB0369B-F903-4B6A-98C0-4AFF07BE5580}">
      <text>
        <t>[Threaded comment]
Your version of Excel allows you to read this threaded comment; however, any edits to it will get removed if the file is opened in a newer version of Excel. Learn more: https://go.microsoft.com/fwlink/?linkid=870924
Comment:
    07 sfcs short from regular manning in C shift</t>
      </text>
    </comment>
    <comment ref="AD47" authorId="5" shapeId="0" xr:uid="{EBB9B01C-1ED4-4B45-A778-F914CE18F4C3}">
      <text>
        <t>[Threaded comment]
Your version of Excel allows you to read this threaded comment; however, any edits to it will get removed if the file is opened in a newer version of Excel. Learn more: https://go.microsoft.com/fwlink/?linkid=870924
Comment:
    Batter transfer Pump from holding to service tank Jamming (Flavor jar piece found inside pump casing)</t>
      </text>
    </comment>
    <comment ref="AE48" authorId="6" shapeId="0" xr:uid="{E7B0E962-092A-4A5B-98B0-DA96B33A4471}">
      <text>
        <t>[Threaded comment]
Your version of Excel allows you to read this threaded comment; however, any edits to it will get removed if the file is opened in a newer version of Excel. Learn more: https://go.microsoft.com/fwlink/?linkid=870924
Comment:
    Temperor feed pump &amp; ADS tripping</t>
      </text>
    </comment>
    <comment ref="AG48" authorId="7" shapeId="0" xr:uid="{95712157-E6B0-4C4D-B3BF-73D17E9773F1}">
      <text>
        <t>[Threaded comment]
Your version of Excel allows you to read this threaded comment; however, any edits to it will get removed if the file is opened in a newer version of Excel. Learn more: https://go.microsoft.com/fwlink/?linkid=870924
Comment:
    Regular Manpower has not turned up in C shift</t>
      </text>
    </comment>
    <comment ref="AD50" authorId="8" shapeId="0" xr:uid="{EE41B432-FA49-4493-977C-AB4856A46CC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Laminator motion control fault
</t>
      </text>
    </comment>
    <comment ref="AE50" authorId="9" shapeId="0" xr:uid="{CFC62DD0-428E-4D8B-9087-A56C84FC7D73}">
      <text>
        <t>[Threaded comment]
Your version of Excel allows you to read this threaded comment; however, any edits to it will get removed if the file is opened in a newer version of Excel. Learn more: https://go.microsoft.com/fwlink/?linkid=870924
Comment:
    Chocolate transfer line from Temperor to Enrober Jamming</t>
      </text>
    </comment>
    <comment ref="AE51" authorId="10" shapeId="0" xr:uid="{3573E35A-B4F0-4E8C-91A4-B45512067388}">
      <text>
        <t>[Threaded comment]
Your version of Excel allows you to read this threaded comment; however, any edits to it will get removed if the file is opened in a newer version of Excel. Learn more: https://go.microsoft.com/fwlink/?linkid=870924
Comment:
    Cream transfer line Jamming from tank to laminator</t>
      </text>
    </comment>
    <comment ref="AG51" authorId="11" shapeId="0" xr:uid="{61B0D92E-0F0A-4DED-8266-ACA567ECD7C0}">
      <text>
        <t>[Threaded comment]
Your version of Excel allows you to read this threaded comment; however, any edits to it will get removed if the file is opened in a newer version of Excel. Learn more: https://go.microsoft.com/fwlink/?linkid=870924
Comment:
    Regular manpower has not turned up in C shift</t>
      </text>
    </comment>
    <comment ref="AF53" authorId="12" shapeId="0" xr:uid="{269418D4-A1E9-4941-AA86-9CA98BAACF88}">
      <text>
        <r>
          <rPr>
            <b/>
            <sz val="9"/>
            <color indexed="81"/>
            <rFont val="Tahoma"/>
            <family val="2"/>
          </rPr>
          <t>Mathur, Manoj:</t>
        </r>
        <r>
          <rPr>
            <sz val="9"/>
            <color indexed="81"/>
            <rFont val="Tahoma"/>
            <family val="2"/>
          </rPr>
          <t xml:space="preserve">
compressed air pressure dropped
</t>
        </r>
      </text>
    </comment>
    <comment ref="AD54" authorId="13" shapeId="0" xr:uid="{D7856890-9924-4CB3-B26B-B2712A374437}">
      <text>
        <t>[Threaded comment]
Your version of Excel allows you to read this threaded comment; however, any edits to it will get removed if the file is opened in a newer version of Excel. Learn more: https://go.microsoft.com/fwlink/?linkid=870924
Comment:
    HCM3 Film feeder drive fault</t>
      </text>
    </comment>
    <comment ref="AD55" authorId="14" shapeId="0" xr:uid="{6967F4B3-503C-4995-A4EC-A73FABD9696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TTLI1 - Outer crushing at closing unit
Reply:
    HCM3 FILM feeder fault </t>
      </text>
    </comment>
    <comment ref="AE57" authorId="12" shapeId="0" xr:uid="{A952F1F3-FB1B-4990-8D56-0584417FDA95}">
      <text>
        <r>
          <rPr>
            <b/>
            <sz val="9"/>
            <color indexed="81"/>
            <rFont val="Tahoma"/>
            <family val="2"/>
          </rPr>
          <t>Mathur, Manoj:</t>
        </r>
        <r>
          <rPr>
            <sz val="9"/>
            <color indexed="81"/>
            <rFont val="Tahoma"/>
            <family val="2"/>
          </rPr>
          <t xml:space="preserve">
Gun chocking resulted to book shortage</t>
        </r>
      </text>
    </comment>
    <comment ref="L106" authorId="15" shapeId="0" xr:uid="{AE751B22-C781-49CB-8DDE-6C35F7375B8C}">
      <text>
        <t>[Threaded comment]
Your version of Excel allows you to read this threaded comment; however, any edits to it will get removed if the file is opened in a newer version of Excel. Learn more: https://go.microsoft.com/fwlink/?linkid=870924
Comment:
    Outer &amp; Laminate Trial</t>
      </text>
    </comment>
    <comment ref="AG114" authorId="16" shapeId="0" xr:uid="{6A7054B0-775D-4AE2-BF2D-E7634337040F}">
      <text>
        <t>[Threaded comment]
Your version of Excel allows you to read this threaded comment; however, any edits to it will get removed if the file is opened in a newer version of Excel. Learn more: https://go.microsoft.com/fwlink/?linkid=870924
Comment:
    HLL Shut in C shift</t>
      </text>
    </comment>
    <comment ref="AE115" authorId="17" shapeId="0" xr:uid="{FCE04B78-2F80-4087-8189-E6E3972C35BC}">
      <text>
        <t>[Threaded comment]
Your version of Excel allows you to read this threaded comment; however, any edits to it will get removed if the file is opened in a newer version of Excel. Learn more: https://go.microsoft.com/fwlink/?linkid=870924
Comment:
    Batching  &amp; laminator issues hence Oven Performance impacted</t>
      </text>
    </comment>
    <comment ref="AG115" authorId="18" shapeId="0" xr:uid="{AB785273-D311-46CE-92B3-B49A5E05AC21}">
      <text>
        <t>[Threaded comment]
Your version of Excel allows you to read this threaded comment; however, any edits to it will get removed if the file is opened in a newer version of Excel. Learn more: https://go.microsoft.com/fwlink/?linkid=870924
Comment:
    HLL shut in C shift &amp; In B shift sam section impacted bcoz of new unskilled manpower engaged in line (on account of higher absenteism)</t>
      </text>
    </comment>
    <comment ref="AE116" authorId="19" shapeId="0" xr:uid="{4CDFF3C7-FE33-4A67-B569-50A2BE0967E0}">
      <text>
        <t>[Threaded comment]
Your version of Excel allows you to read this threaded comment; however, any edits to it will get removed if the file is opened in a newer version of Excel. Learn more: https://go.microsoft.com/fwlink/?linkid=870924
Comment:
    Book jamming at cutter</t>
      </text>
    </comment>
    <comment ref="AG116" authorId="20" shapeId="0" xr:uid="{7CB13DA7-BD1C-4DED-A006-885FDDF30864}">
      <text>
        <t>[Threaded comment]
Your version of Excel allows you to read this threaded comment; however, any edits to it will get removed if the file is opened in a newer version of Excel. Learn more: https://go.microsoft.com/fwlink/?linkid=870924
Comment:
    Oven regular manning not turned up</t>
      </text>
    </comment>
    <comment ref="AD117" authorId="21" shapeId="0" xr:uid="{EA6F772C-E075-465B-B900-2629BB922766}">
      <text>
        <t>[Threaded comment]
Your version of Excel allows you to read this threaded comment; however, any edits to it will get removed if the file is opened in a newer version of Excel. Learn more: https://go.microsoft.com/fwlink/?linkid=870924
Comment:
    Book cooler jamming &amp; TTLI4 Shut for 8 hrs for Glue unit</t>
      </text>
    </comment>
    <comment ref="AE117" authorId="22" shapeId="0" xr:uid="{13C76C07-4A40-4BA6-9111-8895F0D1F42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Die sticking (105) hence die locking error </t>
      </text>
    </comment>
    <comment ref="AD118" authorId="23" shapeId="0" xr:uid="{8C518F25-88ED-416D-AFD3-F147F1507F1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Cooling Tunnel chain broken (Needs to check TBM) </t>
      </text>
    </comment>
    <comment ref="AE118" authorId="24" shapeId="0" xr:uid="{683645F2-1970-4A88-9043-4E16E3FB0356}">
      <text>
        <t>[Threaded comment]
Your version of Excel allows you to read this threaded comment; however, any edits to it will get removed if the file is opened in a newer version of Excel. Learn more: https://go.microsoft.com/fwlink/?linkid=870924
Comment:
    Oven Impacted in C shift for batching related variations with RWF</t>
      </text>
    </comment>
    <comment ref="AD119" authorId="25" shapeId="0" xr:uid="{CD5F6539-3A74-4A89-8369-358C6251E0A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Cutter wire blade broken
</t>
      </text>
    </comment>
    <comment ref="AD120" authorId="26" shapeId="0" xr:uid="{A60AA3DE-ECBD-46EE-B15B-6CAA018C28AE}">
      <text>
        <t>[Threaded comment]
Your version of Excel allows you to read this threaded comment; however, any edits to it will get removed if the file is opened in a newer version of Excel. Learn more: https://go.microsoft.com/fwlink/?linkid=870924
Comment:
    Cutter wire blade broken in B shift</t>
      </text>
    </comment>
    <comment ref="AE121" authorId="27" shapeId="0" xr:uid="{586CD1E9-9FF3-4489-B2C7-52484E10EEAD}">
      <text>
        <t>[Threaded comment]
Your version of Excel allows you to read this threaded comment; however, any edits to it will get removed if the file is opened in a newer version of Excel. Learn more: https://go.microsoft.com/fwlink/?linkid=870924
Comment:
    RBLT Belt tracking</t>
      </text>
    </comment>
    <comment ref="AD131" authorId="28" shapeId="0" xr:uid="{C285F044-6CE4-4EE9-810B-1D3DD6F93C13}">
      <text>
        <t>[Threaded comment]
Your version of Excel allows you to read this threaded comment; however, any edits to it will get removed if the file is opened in a newer version of Excel. Learn more: https://go.microsoft.com/fwlink/?linkid=870924
Comment:
    Cutter wire blade broken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tc={3F71E2AD-1023-4A1D-B856-A660F53B1DF3}</author>
    <author>tc={0A8B8FD3-44A0-46D2-95E8-325C0F40F1A9}</author>
    <author>tc={62AADD28-EE7B-42BF-A22E-C03238530485}</author>
    <author>tc={248237AF-157D-4295-B5D1-37C2848A9496}</author>
    <author>tc={28F62BFC-C3A0-49D7-9B49-6FD2075CC953}</author>
    <author>tc={24591414-5716-4438-951C-12EE33735DD1}</author>
    <author>tc={F9A5B538-9C98-41D2-8274-A12C99F1C0B5}</author>
    <author>tc={31A92308-4AC9-4070-99D8-0BD2B31B02B6}</author>
    <author>tc={81C6DA22-4D65-4DA3-B852-A0E04C913C6E}</author>
    <author>tc={63A00212-1D21-449E-B930-D36684DE2257}</author>
    <author>tc={88A90013-257F-43F7-99D8-83B532C3AFA2}</author>
    <author>tc={32ED1757-D69D-4D79-A420-D2046C7A9944}</author>
    <author>Mathur, Manoj</author>
    <author>tc={430D49AC-4F08-447E-990F-C82F3A995BCE}</author>
    <author>tc={19B4BF41-917D-4E9F-96A8-1B5E7090823C}</author>
    <author>tc={1074999E-EE4A-4AC8-B971-50C3002B498C}</author>
    <author>tc={CD381779-8497-47F5-B42F-2F2BE9AE69A3}</author>
    <author>tc={9D1F48E2-8B26-4CF0-AFC2-DE9D1C68D293}</author>
    <author>tc={DD38C47B-7B17-4CEC-B5CE-B41B84463922}</author>
    <author>tc={F9250483-1A05-44A1-9E10-F93540796016}</author>
    <author>tc={8E192563-0D64-4D88-AE4C-7A19C7513583}</author>
    <author>tc={98C5D3DD-77A1-4BA8-9523-78BF93A50F11}</author>
    <author>tc={BEA8C741-F0B5-455C-9F0E-D3EBCF9B778B}</author>
    <author>tc={103608B2-41B6-4A46-92DD-770E89CBD37A}</author>
    <author>tc={CE4FE3F5-79AD-4D77-9640-F0473FAFCCA1}</author>
    <author>tc={A94628B5-C537-4160-B439-5F24B78478B8}</author>
    <author>tc={52A5763F-4516-4CEE-A375-3B5CE2B2F0B7}</author>
    <author>tc={C4F0C2E5-A3C6-47DC-B799-F0596C97E8B6}</author>
    <author>tc={01FE334B-1C9E-4561-9A17-EB5730FF9764}</author>
  </authors>
  <commentList>
    <comment ref="AC36" authorId="0" shapeId="0" xr:uid="{3F71E2AD-1023-4A1D-B856-A660F53B1DF3}">
      <text>
        <t>[Threaded comment]
Your version of Excel allows you to read this threaded comment; however, any edits to it will get removed if the file is opened in a newer version of Excel. Learn more: https://go.microsoft.com/fwlink/?linkid=870924
Comment:
    Wheat floor silo scrapper broken</t>
      </text>
    </comment>
    <comment ref="AF42" authorId="1" shapeId="0" xr:uid="{0A8B8FD3-44A0-46D2-95E8-325C0F40F1A9}">
      <text>
        <t>[Threaded comment]
Your version of Excel allows you to read this threaded comment; however, any edits to it will get removed if the file is opened in a newer version of Excel. Learn more: https://go.microsoft.com/fwlink/?linkid=870924
Comment:
    05 Sfcs short from regular manning in B shift</t>
      </text>
    </comment>
    <comment ref="AF45" authorId="2" shapeId="0" xr:uid="{62AADD28-EE7B-42BF-A22E-C03238530485}">
      <text>
        <t>[Threaded comment]
Your version of Excel allows you to read this threaded comment; however, any edits to it will get removed if the file is opened in a newer version of Excel. Learn more: https://go.microsoft.com/fwlink/?linkid=870924
Comment:
    03 sfcs shortfal from Regualr mannig</t>
      </text>
    </comment>
    <comment ref="AE46" authorId="3" shapeId="0" xr:uid="{248237AF-157D-4295-B5D1-37C2848A9496}">
      <text>
        <t>[Threaded comment]
Your version of Excel allows you to read this threaded comment; however, any edits to it will get removed if the file is opened in a newer version of Excel. Learn more: https://go.microsoft.com/fwlink/?linkid=870924
Comment:
    Power fluctuations ,interruptions</t>
      </text>
    </comment>
    <comment ref="AF46" authorId="4" shapeId="0" xr:uid="{28F62BFC-C3A0-49D7-9B49-6FD2075CC953}">
      <text>
        <t>[Threaded comment]
Your version of Excel allows you to read this threaded comment; however, any edits to it will get removed if the file is opened in a newer version of Excel. Learn more: https://go.microsoft.com/fwlink/?linkid=870924
Comment:
    07 sfcs short from regular manning in C shift</t>
      </text>
    </comment>
    <comment ref="AC47" authorId="5" shapeId="0" xr:uid="{24591414-5716-4438-951C-12EE33735DD1}">
      <text>
        <t>[Threaded comment]
Your version of Excel allows you to read this threaded comment; however, any edits to it will get removed if the file is opened in a newer version of Excel. Learn more: https://go.microsoft.com/fwlink/?linkid=870924
Comment:
    Batter transfer Pump from holding to service tank Jamming (Flavor jar piece found inside pump casing)</t>
      </text>
    </comment>
    <comment ref="AD48" authorId="6" shapeId="0" xr:uid="{F9A5B538-9C98-41D2-8274-A12C99F1C0B5}">
      <text>
        <t>[Threaded comment]
Your version of Excel allows you to read this threaded comment; however, any edits to it will get removed if the file is opened in a newer version of Excel. Learn more: https://go.microsoft.com/fwlink/?linkid=870924
Comment:
    Temperor feed pump &amp; ADS tripping</t>
      </text>
    </comment>
    <comment ref="AF48" authorId="7" shapeId="0" xr:uid="{31A92308-4AC9-4070-99D8-0BD2B31B02B6}">
      <text>
        <t>[Threaded comment]
Your version of Excel allows you to read this threaded comment; however, any edits to it will get removed if the file is opened in a newer version of Excel. Learn more: https://go.microsoft.com/fwlink/?linkid=870924
Comment:
    Regular Manpower has not turned up in C shift</t>
      </text>
    </comment>
    <comment ref="AC50" authorId="8" shapeId="0" xr:uid="{81C6DA22-4D65-4DA3-B852-A0E04C913C6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Laminator motion control fault
</t>
      </text>
    </comment>
    <comment ref="AD50" authorId="9" shapeId="0" xr:uid="{63A00212-1D21-449E-B930-D36684DE2257}">
      <text>
        <t>[Threaded comment]
Your version of Excel allows you to read this threaded comment; however, any edits to it will get removed if the file is opened in a newer version of Excel. Learn more: https://go.microsoft.com/fwlink/?linkid=870924
Comment:
    Chocolate transfer line from Temperor to Enrober Jamming</t>
      </text>
    </comment>
    <comment ref="AD51" authorId="10" shapeId="0" xr:uid="{88A90013-257F-43F7-99D8-83B532C3AFA2}">
      <text>
        <t>[Threaded comment]
Your version of Excel allows you to read this threaded comment; however, any edits to it will get removed if the file is opened in a newer version of Excel. Learn more: https://go.microsoft.com/fwlink/?linkid=870924
Comment:
    Cream transfer line Jamming from tank to laminator</t>
      </text>
    </comment>
    <comment ref="AF51" authorId="11" shapeId="0" xr:uid="{32ED1757-D69D-4D79-A420-D2046C7A9944}">
      <text>
        <t>[Threaded comment]
Your version of Excel allows you to read this threaded comment; however, any edits to it will get removed if the file is opened in a newer version of Excel. Learn more: https://go.microsoft.com/fwlink/?linkid=870924
Comment:
    Regular manpower has not turned up in C shift</t>
      </text>
    </comment>
    <comment ref="AE53" authorId="12" shapeId="0" xr:uid="{D71383B1-E851-4AEA-8B6C-2BA6B969702F}">
      <text>
        <r>
          <rPr>
            <b/>
            <sz val="9"/>
            <color indexed="81"/>
            <rFont val="Tahoma"/>
            <family val="2"/>
          </rPr>
          <t>Mathur, Manoj:</t>
        </r>
        <r>
          <rPr>
            <sz val="9"/>
            <color indexed="81"/>
            <rFont val="Tahoma"/>
            <family val="2"/>
          </rPr>
          <t xml:space="preserve">
compressed air pressure dropped
</t>
        </r>
      </text>
    </comment>
    <comment ref="AC54" authorId="13" shapeId="0" xr:uid="{430D49AC-4F08-447E-990F-C82F3A995BCE}">
      <text>
        <t>[Threaded comment]
Your version of Excel allows you to read this threaded comment; however, any edits to it will get removed if the file is opened in a newer version of Excel. Learn more: https://go.microsoft.com/fwlink/?linkid=870924
Comment:
    HCM3 Film feeder drive fault</t>
      </text>
    </comment>
    <comment ref="AC55" authorId="14" shapeId="0" xr:uid="{19B4BF41-917D-4E9F-96A8-1B5E7090823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TTLI1 - Outer crushing at closing unit
Reply:
    HCM3 FILM feeder fault </t>
      </text>
    </comment>
    <comment ref="AD57" authorId="12" shapeId="0" xr:uid="{F6181F42-8A55-4972-819C-C74ECB427A0B}">
      <text>
        <r>
          <rPr>
            <b/>
            <sz val="9"/>
            <color indexed="81"/>
            <rFont val="Tahoma"/>
            <family val="2"/>
          </rPr>
          <t>Mathur, Manoj:</t>
        </r>
        <r>
          <rPr>
            <sz val="9"/>
            <color indexed="81"/>
            <rFont val="Tahoma"/>
            <family val="2"/>
          </rPr>
          <t xml:space="preserve">
Gun chocking resulted to book shortage</t>
        </r>
      </text>
    </comment>
    <comment ref="K106" authorId="15" shapeId="0" xr:uid="{1074999E-EE4A-4AC8-B971-50C3002B498C}">
      <text>
        <t>[Threaded comment]
Your version of Excel allows you to read this threaded comment; however, any edits to it will get removed if the file is opened in a newer version of Excel. Learn more: https://go.microsoft.com/fwlink/?linkid=870924
Comment:
    Outer &amp; Laminate Trial</t>
      </text>
    </comment>
    <comment ref="AF114" authorId="16" shapeId="0" xr:uid="{CD381779-8497-47F5-B42F-2F2BE9AE69A3}">
      <text>
        <t>[Threaded comment]
Your version of Excel allows you to read this threaded comment; however, any edits to it will get removed if the file is opened in a newer version of Excel. Learn more: https://go.microsoft.com/fwlink/?linkid=870924
Comment:
    HLL Shut in C shift</t>
      </text>
    </comment>
    <comment ref="AD115" authorId="17" shapeId="0" xr:uid="{9D1F48E2-8B26-4CF0-AFC2-DE9D1C68D293}">
      <text>
        <t>[Threaded comment]
Your version of Excel allows you to read this threaded comment; however, any edits to it will get removed if the file is opened in a newer version of Excel. Learn more: https://go.microsoft.com/fwlink/?linkid=870924
Comment:
    Batching  &amp; laminator issues hence Oven Performance impacted</t>
      </text>
    </comment>
    <comment ref="AF115" authorId="18" shapeId="0" xr:uid="{DD38C47B-7B17-4CEC-B5CE-B41B84463922}">
      <text>
        <t>[Threaded comment]
Your version of Excel allows you to read this threaded comment; however, any edits to it will get removed if the file is opened in a newer version of Excel. Learn more: https://go.microsoft.com/fwlink/?linkid=870924
Comment:
    HLL shut in C shift &amp; In B shift sam section impacted bcoz of new unskilled manpower engaged in line (on account of higher absenteism)</t>
      </text>
    </comment>
    <comment ref="AD116" authorId="19" shapeId="0" xr:uid="{F9250483-1A05-44A1-9E10-F93540796016}">
      <text>
        <t>[Threaded comment]
Your version of Excel allows you to read this threaded comment; however, any edits to it will get removed if the file is opened in a newer version of Excel. Learn more: https://go.microsoft.com/fwlink/?linkid=870924
Comment:
    Book jamming at cutter</t>
      </text>
    </comment>
    <comment ref="AF116" authorId="20" shapeId="0" xr:uid="{8E192563-0D64-4D88-AE4C-7A19C7513583}">
      <text>
        <t>[Threaded comment]
Your version of Excel allows you to read this threaded comment; however, any edits to it will get removed if the file is opened in a newer version of Excel. Learn more: https://go.microsoft.com/fwlink/?linkid=870924
Comment:
    Oven regular manning not turned up</t>
      </text>
    </comment>
    <comment ref="AC117" authorId="21" shapeId="0" xr:uid="{98C5D3DD-77A1-4BA8-9523-78BF93A50F11}">
      <text>
        <t>[Threaded comment]
Your version of Excel allows you to read this threaded comment; however, any edits to it will get removed if the file is opened in a newer version of Excel. Learn more: https://go.microsoft.com/fwlink/?linkid=870924
Comment:
    Book cooler jamming &amp; TTLI4 Shut for 8 hrs for Glue unit</t>
      </text>
    </comment>
    <comment ref="AD117" authorId="22" shapeId="0" xr:uid="{BEA8C741-F0B5-455C-9F0E-D3EBCF9B778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Die sticking (105) hence die locking error </t>
      </text>
    </comment>
    <comment ref="AC118" authorId="23" shapeId="0" xr:uid="{103608B2-41B6-4A46-92DD-770E89CBD37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Cooling Tunnel chain broken (Needs to check TBM) </t>
      </text>
    </comment>
    <comment ref="AD118" authorId="24" shapeId="0" xr:uid="{CE4FE3F5-79AD-4D77-9640-F0473FAFCCA1}">
      <text>
        <t>[Threaded comment]
Your version of Excel allows you to read this threaded comment; however, any edits to it will get removed if the file is opened in a newer version of Excel. Learn more: https://go.microsoft.com/fwlink/?linkid=870924
Comment:
    Oven Impacted in C shift for batching related variations with RWF</t>
      </text>
    </comment>
    <comment ref="AC119" authorId="25" shapeId="0" xr:uid="{A94628B5-C537-4160-B439-5F24B78478B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Cutter wire blade broken
</t>
      </text>
    </comment>
    <comment ref="AC120" authorId="26" shapeId="0" xr:uid="{52A5763F-4516-4CEE-A375-3B5CE2B2F0B7}">
      <text>
        <t>[Threaded comment]
Your version of Excel allows you to read this threaded comment; however, any edits to it will get removed if the file is opened in a newer version of Excel. Learn more: https://go.microsoft.com/fwlink/?linkid=870924
Comment:
    Cutter wire blade broken in B shift</t>
      </text>
    </comment>
    <comment ref="AD121" authorId="27" shapeId="0" xr:uid="{C4F0C2E5-A3C6-47DC-B799-F0596C97E8B6}">
      <text>
        <t>[Threaded comment]
Your version of Excel allows you to read this threaded comment; however, any edits to it will get removed if the file is opened in a newer version of Excel. Learn more: https://go.microsoft.com/fwlink/?linkid=870924
Comment:
    RBLT Belt tracking</t>
      </text>
    </comment>
    <comment ref="AC131" authorId="28" shapeId="0" xr:uid="{01FE334B-1C9E-4561-9A17-EB5730FF9764}">
      <text>
        <t>[Threaded comment]
Your version of Excel allows you to read this threaded comment; however, any edits to it will get removed if the file is opened in a newer version of Excel. Learn more: https://go.microsoft.com/fwlink/?linkid=870924
Comment:
    Cutter wire blade broken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interval="60" name="Query - Minor Stops" description="Connection to the 'Minor Stops' query in the workbook." type="5" refreshedVersion="8" background="1" refreshOnLoad="1" saveData="1">
    <dbPr connection="Provider=Microsoft.Mashup.OleDb.1;Data Source=$Workbook$;Location=&quot;Minor Stops&quot;;Extended Properties=&quot;&quot;" command="SELECT * FROM [Minor Stops]"/>
  </connection>
  <connection id="2" xr16:uid="{00000000-0015-0000-FFFF-FFFF01000000}" keepAlive="1" interval="60" name="Query - MTBF &amp; EFFICIENCY" description="Connection to the 'MTBF &amp; EFFICIENCY' query in the workbook." type="5" refreshedVersion="8" background="1" refreshOnLoad="1" saveData="1">
    <dbPr connection="Provider=Microsoft.Mashup.OleDb.1;Data Source=$Workbook$;Location=&quot;MTBF &amp; EFFICIENCY&quot;;Extended Properties=&quot;&quot;" command="SELECT * FROM [MTBF &amp; EFFICIENCY]"/>
  </connection>
  <connection id="3" xr16:uid="{00000000-0015-0000-FFFF-FFFF02000000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4" xr16:uid="{00000000-0015-0000-FFFF-FFFF03000000}" keepAlive="1" name="Query - Parameter3" description="Connection to the 'Parameter3' query in the workbook." type="5" refreshedVersion="0" background="1">
    <dbPr connection="Provider=Microsoft.Mashup.OleDb.1;Data Source=$Workbook$;Location=Parameter3;Extended Properties=&quot;&quot;" command="SELECT * FROM [Parameter3]"/>
  </connection>
  <connection id="5" xr16:uid="{00000000-0015-0000-FFFF-FFFF04000000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6" xr16:uid="{00000000-0015-0000-FFFF-FFFF05000000}" keepAlive="1" name="Query - Sample File (3)" description="Connection to the 'Sample File (3)' query in the workbook." type="5" refreshedVersion="0" background="1">
    <dbPr connection="Provider=Microsoft.Mashup.OleDb.1;Data Source=$Workbook$;Location=&quot;Sample File (3)&quot;;Extended Properties=&quot;&quot;" command="SELECT * FROM [Sample File (3)]"/>
  </connection>
  <connection id="7" xr16:uid="{00000000-0015-0000-FFFF-FFFF06000000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8" xr16:uid="{00000000-0015-0000-FFFF-FFFF07000000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9" xr16:uid="{00000000-0015-0000-FFFF-FFFF08000000}" keepAlive="1" name="Query - Transform File (3)" description="Connection to the 'Transform File (3)' query in the workbook." type="5" refreshedVersion="0" background="1">
    <dbPr connection="Provider=Microsoft.Mashup.OleDb.1;Data Source=$Workbook$;Location=&quot;Transform File (3)&quot;;Extended Properties=&quot;&quot;" command="SELECT * FROM [Transform File (3)]"/>
  </connection>
  <connection id="10" xr16:uid="{00000000-0015-0000-FFFF-FFFF09000000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11" xr16:uid="{00000000-0015-0000-FFFF-FFFF0A000000}" keepAlive="1" name="Query - Transform Sample File (3)" description="Connection to the 'Transform Sample File (3)' query in the workbook." type="5" refreshedVersion="0" background="1">
    <dbPr connection="Provider=Microsoft.Mashup.OleDb.1;Data Source=$Workbook$;Location=&quot;Transform Sample File (3)&quot;;Extended Properties=&quot;&quot;" command="SELECT * FROM [Transform Sample File (3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<sst xmlns="http://schemas.openxmlformats.org/spreadsheetml/2006/main" count="118708" uniqueCount="848">
  <si>
    <t>Date</t>
  </si>
  <si>
    <t>SHIFT</t>
  </si>
  <si>
    <t>PROD</t>
  </si>
  <si>
    <t>GE%</t>
  </si>
  <si>
    <t>UNPLANNED DOWNTIME</t>
  </si>
  <si>
    <t>quality loss</t>
  </si>
  <si>
    <t>OEE%</t>
  </si>
  <si>
    <t>A</t>
  </si>
  <si>
    <t>B</t>
  </si>
  <si>
    <t>C</t>
  </si>
  <si>
    <t>LOSS DETAILS</t>
  </si>
  <si>
    <t>shift</t>
  </si>
  <si>
    <t>Operation</t>
  </si>
  <si>
    <t>Equipment</t>
  </si>
  <si>
    <t>Failure Description</t>
  </si>
  <si>
    <t>line downtime</t>
  </si>
  <si>
    <t>Action Taken</t>
  </si>
  <si>
    <t>GE LOSS%(SHIFT)</t>
  </si>
  <si>
    <t>Utility_</t>
  </si>
  <si>
    <t>Compressed_air</t>
  </si>
  <si>
    <t>Air Pressure Low</t>
  </si>
  <si>
    <t>Communication given to utiity team. Air pressure restored</t>
  </si>
  <si>
    <t>HCM_</t>
  </si>
  <si>
    <t>HCM5_</t>
  </si>
  <si>
    <t>Pouch Leakage issue</t>
  </si>
  <si>
    <t>Cutter_</t>
  </si>
  <si>
    <t>Cutter_Samridhi</t>
  </si>
  <si>
    <t>Book Jamming @ Cutter</t>
  </si>
  <si>
    <t>AD4 Quantity reduced from 200 to 190g</t>
  </si>
  <si>
    <t>ADS_</t>
  </si>
  <si>
    <t>DCI4_</t>
  </si>
  <si>
    <t>DU4R belt tracking issue</t>
  </si>
  <si>
    <t>Tracking motor not available, Manual Adjustment done</t>
  </si>
  <si>
    <t>TTLI_</t>
  </si>
  <si>
    <t>TTLI1_</t>
  </si>
  <si>
    <t>Glue unit not ready</t>
  </si>
  <si>
    <t>ClosingSOV was faulty : Replaced,</t>
  </si>
  <si>
    <t>HCM2_</t>
  </si>
  <si>
    <t>Code Misprint issue</t>
  </si>
  <si>
    <t>Encoder to be replaced, Currently running @ 400 ppm</t>
  </si>
  <si>
    <t>Oven_</t>
  </si>
  <si>
    <t>Oven</t>
  </si>
  <si>
    <t>Bubble Scrapper Jam</t>
  </si>
  <si>
    <t>Broken Scrapper Removed</t>
  </si>
  <si>
    <t>Fire Tripping issue</t>
  </si>
  <si>
    <t>Ignition Electrode mounting loose,ground issue,Electrode replaced</t>
  </si>
  <si>
    <t>Loss Category</t>
  </si>
  <si>
    <t>Loss Type</t>
  </si>
  <si>
    <t>Equipment Class</t>
  </si>
  <si>
    <t>Equipment Downtime</t>
  </si>
  <si>
    <t>Unplanned_Loss</t>
  </si>
  <si>
    <t>Line_Delays</t>
  </si>
  <si>
    <t>Operational_Losses</t>
  </si>
  <si>
    <t>Breakdowns</t>
  </si>
  <si>
    <t>Day</t>
  </si>
  <si>
    <t>SKU</t>
  </si>
  <si>
    <t>SOC (TPD)</t>
  </si>
  <si>
    <t>Plan</t>
  </si>
  <si>
    <t>Volume Delivered (T)</t>
  </si>
  <si>
    <t>GE - Target</t>
  </si>
  <si>
    <t>GE - Actual</t>
  </si>
  <si>
    <t>Legal Non-Operating Time</t>
  </si>
  <si>
    <t>No Demand Time</t>
  </si>
  <si>
    <t>Force Majeure</t>
  </si>
  <si>
    <t>Quality Loss (T)</t>
  </si>
  <si>
    <t>waste (%) - MTD</t>
  </si>
  <si>
    <t>Bulk on Floor (T)</t>
  </si>
  <si>
    <t>Offline Packing (MT)</t>
  </si>
  <si>
    <t>rework on floor(T)</t>
  </si>
  <si>
    <t>TBM ACTIVITIES PLANNED</t>
  </si>
  <si>
    <t>TBM ACTIVITIES COMPLETED</t>
  </si>
  <si>
    <t>Hours Used</t>
  </si>
  <si>
    <t>Planned Maintenance</t>
  </si>
  <si>
    <t>Planned AM</t>
  </si>
  <si>
    <t>Sanitation</t>
  </si>
  <si>
    <t>Changeovers</t>
  </si>
  <si>
    <t>Planned Stops</t>
  </si>
  <si>
    <t>Consumables replacement</t>
  </si>
  <si>
    <t>Start and Finish Production</t>
  </si>
  <si>
    <t>PRODUCTION HOURS</t>
  </si>
  <si>
    <t>Minor Stoppages</t>
  </si>
  <si>
    <t>Operational Losses</t>
  </si>
  <si>
    <t>Line Delays</t>
  </si>
  <si>
    <t>Labor Management</t>
  </si>
  <si>
    <t>Material Shortages</t>
  </si>
  <si>
    <t>Speed Loss (Hrs)</t>
  </si>
  <si>
    <t>Quality Loss (Hrs)</t>
  </si>
  <si>
    <t>Operating Time</t>
  </si>
  <si>
    <t>Operating Time (Planned)</t>
  </si>
  <si>
    <t>CL Deployed at Line</t>
  </si>
  <si>
    <t>CIL-DONE</t>
  </si>
  <si>
    <t xml:space="preserve">centreline check </t>
  </si>
  <si>
    <t>TBM ACTIVITIES PLANNED2</t>
  </si>
  <si>
    <t>TBM ACTIVITIES COMPLETED2</t>
  </si>
  <si>
    <t>tbm-on time completion</t>
  </si>
  <si>
    <t>mtbf</t>
  </si>
  <si>
    <t>BOS</t>
  </si>
  <si>
    <t>UNSAFE CONDITIONS REPORTED</t>
  </si>
  <si>
    <t>OVERWEIGHT</t>
  </si>
  <si>
    <t>MTBB</t>
  </si>
  <si>
    <t># Stops</t>
  </si>
  <si>
    <t>MTTR</t>
  </si>
  <si>
    <t>R&amp;R</t>
  </si>
  <si>
    <t>GWF Month</t>
  </si>
  <si>
    <t>_10GM_HT</t>
  </si>
  <si>
    <t>NO</t>
  </si>
  <si>
    <t>_10.3GM</t>
  </si>
  <si>
    <t>YES</t>
  </si>
  <si>
    <t>_10.3GM_HT</t>
  </si>
  <si>
    <t>HT_Sam</t>
  </si>
  <si>
    <t>HT_Sam_HLL_HT</t>
  </si>
  <si>
    <t>HT_Sam_HLL_10.3G</t>
  </si>
  <si>
    <t>swp impacted</t>
  </si>
  <si>
    <t>MODULE</t>
  </si>
  <si>
    <t>SGA</t>
  </si>
  <si>
    <t>Line_</t>
  </si>
  <si>
    <t>Full_Line</t>
  </si>
  <si>
    <t>Planned_Loss</t>
  </si>
  <si>
    <t>CIL</t>
  </si>
  <si>
    <t>Changeover from HT to 10.3g</t>
  </si>
  <si>
    <t>Changeover from 30 U to 48 u</t>
  </si>
  <si>
    <t>ADS_HLL</t>
  </si>
  <si>
    <t>DU-2 belt tracking</t>
  </si>
  <si>
    <t>DRIVES &amp; PT</t>
  </si>
  <si>
    <t>PERK PACKING</t>
  </si>
  <si>
    <t>TTLI3_</t>
  </si>
  <si>
    <t>CLO/CT11: Axis1 Position Error</t>
  </si>
  <si>
    <t>Minor_Stoppages</t>
  </si>
  <si>
    <t>FASTENERS</t>
  </si>
  <si>
    <t>Laminator_</t>
  </si>
  <si>
    <t>Laminator</t>
  </si>
  <si>
    <t>Rope Conveyor guides setting</t>
  </si>
  <si>
    <t>Rope Conveyor Guide Setting done</t>
  </si>
  <si>
    <t>CENTRELINING</t>
  </si>
  <si>
    <t>PERK MAKING</t>
  </si>
  <si>
    <t>TTLI2_</t>
  </si>
  <si>
    <t>Book_Cooler_</t>
  </si>
  <si>
    <t>Book_Cooler</t>
  </si>
  <si>
    <t>Book Jamming in book cooler</t>
  </si>
  <si>
    <t>Changeover to HT</t>
  </si>
  <si>
    <t>Changeover from 48units to 30 units</t>
  </si>
  <si>
    <t>Die Scrapper striking with Dies</t>
  </si>
  <si>
    <t>Scrapper setting done
Air Release settings adjusted</t>
  </si>
  <si>
    <t>ABH</t>
  </si>
  <si>
    <t>Die bolt broken</t>
  </si>
  <si>
    <t>Die bolt replaced.</t>
  </si>
  <si>
    <t>GLUE SYSTEM</t>
  </si>
  <si>
    <t>HCM1_</t>
  </si>
  <si>
    <t>Open/CutPouch issue</t>
  </si>
  <si>
    <t>Film Tracking issue</t>
  </si>
  <si>
    <t>7 Links removed</t>
  </si>
  <si>
    <t>Book Cooler chain length correction</t>
  </si>
  <si>
    <t>Pusher Mounting Broken</t>
  </si>
  <si>
    <t>HCM3_</t>
  </si>
  <si>
    <t>SENSOR</t>
  </si>
  <si>
    <t>Cutter Wire broken</t>
  </si>
  <si>
    <t>Changeover to HT @ Samridhi Line</t>
  </si>
  <si>
    <t>Crème not spreading properly</t>
  </si>
  <si>
    <t>Crème Scrapper Replaced</t>
  </si>
  <si>
    <t>Laminate Shortage</t>
  </si>
  <si>
    <t>Material_Shortages</t>
  </si>
  <si>
    <t>CoolingTunnel</t>
  </si>
  <si>
    <t>Cooling_Tunnel_Samridhi</t>
  </si>
  <si>
    <t>Cooling Tunnel drive chain broken</t>
  </si>
  <si>
    <t>TBM</t>
  </si>
  <si>
    <t>DCI1_</t>
  </si>
  <si>
    <t>DU-1 Belt Tracking</t>
  </si>
  <si>
    <t>Batching</t>
  </si>
  <si>
    <t>Batter_Mixer_T_4109</t>
  </si>
  <si>
    <t>Batching Scada Malfunctioning</t>
  </si>
  <si>
    <t>ELECTRICAL</t>
  </si>
  <si>
    <t>Cutter_HLL</t>
  </si>
  <si>
    <t>Pusher Mounting broken</t>
  </si>
  <si>
    <t>PGR-Top guide Cyliner mounting broken</t>
  </si>
  <si>
    <t>PNEUMATICS</t>
  </si>
  <si>
    <t>HCM4_</t>
  </si>
  <si>
    <t>TippingStation</t>
  </si>
  <si>
    <t>Silo</t>
  </si>
  <si>
    <t>RWF Silo agitator broken</t>
  </si>
  <si>
    <t>Centrelining of Feeder assembly done</t>
  </si>
  <si>
    <t>Cleaning done</t>
  </si>
  <si>
    <t>Power_failure</t>
  </si>
  <si>
    <t>Power Failure</t>
  </si>
  <si>
    <t>Holding_Tank_T_4119</t>
  </si>
  <si>
    <t>Batter Transfer Pump Jam</t>
  </si>
  <si>
    <t xml:space="preserve">Batter pump dismantling and cleaning done </t>
  </si>
  <si>
    <t>Enrober_</t>
  </si>
  <si>
    <t>Enrober_Samridhi</t>
  </si>
  <si>
    <t>Chocolate transfer pump tripped</t>
  </si>
  <si>
    <t>Unskilled Manpower</t>
  </si>
  <si>
    <t>Labor_Management</t>
  </si>
  <si>
    <t>Line Run @ 9b/m in C Shift</t>
  </si>
  <si>
    <t>Crème Transfer Line Jam</t>
  </si>
  <si>
    <t>Burn Crème blocks found. Heat tracing Corrected</t>
  </si>
  <si>
    <t>Metering belt Drive Fault</t>
  </si>
  <si>
    <t>Infeed Stopper Malfunctioning</t>
  </si>
  <si>
    <t>PGR sockets broken</t>
  </si>
  <si>
    <t>Wiremesh Link damage</t>
  </si>
  <si>
    <t>Manpower Shortage</t>
  </si>
  <si>
    <t xml:space="preserve">Buses Arrived Late. </t>
  </si>
  <si>
    <t>TTLI4_</t>
  </si>
  <si>
    <t>Transport belt Gear box Jam</t>
  </si>
  <si>
    <t>Gear box replaced</t>
  </si>
  <si>
    <t>Triangular belt drive belt broken</t>
  </si>
  <si>
    <t>Cross Seal Drive Fault</t>
  </si>
  <si>
    <t>Enrober Heating</t>
  </si>
  <si>
    <t>Planned_Stops</t>
  </si>
  <si>
    <t>U-1 Belt Tracking</t>
  </si>
  <si>
    <t>Tracking motor Electrical Conditions found Open</t>
  </si>
  <si>
    <t>Book CoolerChain derailed</t>
  </si>
  <si>
    <t>Abnormal Sound from Oven-Die Opener base plate loose</t>
  </si>
  <si>
    <t>Pressing Station motion control</t>
  </si>
  <si>
    <t>Drive Motor Replaced</t>
  </si>
  <si>
    <t>Detailer Jam</t>
  </si>
  <si>
    <t>Deatiler shaft bush replaced, Open wirings corrected</t>
  </si>
  <si>
    <t>Planned_Maintenance</t>
  </si>
  <si>
    <t>Scrapper got bend,repaired and fixed</t>
  </si>
  <si>
    <t>Transfer Conveyor Gearbox replacement</t>
  </si>
  <si>
    <t>Chocolate Line jamming issue(Temperor to Enrober)</t>
  </si>
  <si>
    <t>Heat tracing found tripped</t>
  </si>
  <si>
    <t>Link Replaced</t>
  </si>
  <si>
    <t>Vaccum Formation issue @ Pressing Station</t>
  </si>
  <si>
    <t>Batter_Mixer_T_4108</t>
  </si>
  <si>
    <t>High batter Viscosity</t>
  </si>
  <si>
    <t>High Chocolate Viscosity</t>
  </si>
  <si>
    <t>Scrapper removed and chain alignment done</t>
  </si>
  <si>
    <t>MetalDetector</t>
  </si>
  <si>
    <t>Metal_Detector</t>
  </si>
  <si>
    <t>Overdumping issue</t>
  </si>
  <si>
    <t>Chain lock replaced</t>
  </si>
  <si>
    <t>Wire replaced</t>
  </si>
  <si>
    <t>Ionization electrode ad cable replaced</t>
  </si>
  <si>
    <t>Cutter wire replaced</t>
  </si>
  <si>
    <t>Packing End Support roller broken and belt torn</t>
  </si>
  <si>
    <t>Roller repaired and belt replaced</t>
  </si>
  <si>
    <t>PGR Shaft worn out</t>
  </si>
  <si>
    <t>Shaft repair done</t>
  </si>
  <si>
    <t>BT-Idler Pulley worn out</t>
  </si>
  <si>
    <t>PGR Sockets replaced</t>
  </si>
  <si>
    <t>Enrober Heater not working</t>
  </si>
  <si>
    <t>Power Supply not coming</t>
  </si>
  <si>
    <t>Batter transfer pump jam</t>
  </si>
  <si>
    <t>Overhead Safety Switch Fault</t>
  </si>
  <si>
    <t>Gun Changeover to 3.2mm gun</t>
  </si>
  <si>
    <t>Emergency button malfunctioning</t>
  </si>
  <si>
    <t>PGR belt bearing worn out : replaced</t>
  </si>
  <si>
    <t>Chocolate solidification issue</t>
  </si>
  <si>
    <t>Batter Gun choking</t>
  </si>
  <si>
    <t>Wire broken 3 times: Replaced,Frame bolts worn out</t>
  </si>
  <si>
    <t>Cutter Infeed belt roller worn out</t>
  </si>
  <si>
    <t>Cutter Drive Chain lock bearing broken</t>
  </si>
  <si>
    <t>Replaced</t>
  </si>
  <si>
    <t>2 Wafers book passing book checkweigher</t>
  </si>
  <si>
    <t>Wafer Sticking issue</t>
  </si>
  <si>
    <t>Book cooler chain damage</t>
  </si>
  <si>
    <t>Entry and exit guides worn out : Replaced</t>
  </si>
  <si>
    <t>CLO/TFXX: Backdoor Hor. Actuator Not ON</t>
  </si>
  <si>
    <t>Cylinder Replaced</t>
  </si>
  <si>
    <t>HXX: Outfeed Belt Drive Fault</t>
  </si>
  <si>
    <t>Motor Replaced,Roller replaced &amp; Belt replaced</t>
  </si>
  <si>
    <t>Arch Conveyor Speed sync issue</t>
  </si>
  <si>
    <t>Sensor</t>
  </si>
  <si>
    <t>Code misprint issue</t>
  </si>
  <si>
    <t>Fin Wheel Drive fault</t>
  </si>
  <si>
    <t>Startup &amp; Shut down</t>
  </si>
  <si>
    <t>Start_and_Finish_Production</t>
  </si>
  <si>
    <t>Storage_Tank_T_4110</t>
  </si>
  <si>
    <t>Acceleration Belt Drive fault</t>
  </si>
  <si>
    <t>Face Feeder belt Jam</t>
  </si>
  <si>
    <t>Vaccum belt Jam</t>
  </si>
  <si>
    <t>Crème Transfer Pump Jam</t>
  </si>
  <si>
    <t>Chocolate Line jamming issue</t>
  </si>
  <si>
    <t>Roller Worn out: Bearings replaced</t>
  </si>
  <si>
    <t>Burner Orientation Correction</t>
  </si>
  <si>
    <t>Roller Cleaning done &amp; Sensitivity Corrected</t>
  </si>
  <si>
    <t>Power Supply changed</t>
  </si>
  <si>
    <t>DU4-R Station hang</t>
  </si>
  <si>
    <t>Power reset done</t>
  </si>
  <si>
    <t>DU-1 Pusher Jam</t>
  </si>
  <si>
    <t>Pusher bend: Got stucked</t>
  </si>
  <si>
    <t>Motor Replaced</t>
  </si>
  <si>
    <t>Outer Tilting issue</t>
  </si>
  <si>
    <t>Discharge Valve Malfunctioning</t>
  </si>
  <si>
    <t>Discharge valve cylinder malfunctioning</t>
  </si>
  <si>
    <t>Valves &amp; Pneumatics</t>
  </si>
  <si>
    <t>FWV Gripper worn out</t>
  </si>
  <si>
    <t>Aigner-1 Malfunctioning</t>
  </si>
  <si>
    <t>Sensors</t>
  </si>
  <si>
    <t>Pusher Foundation bolt broken</t>
  </si>
  <si>
    <t>Exhaust Pressure Switch Fault</t>
  </si>
  <si>
    <t>Bar breakage issue</t>
  </si>
  <si>
    <t>Gear Box Replaced</t>
  </si>
  <si>
    <t>Bearing Housing found broken,Oil found in Terminal Box</t>
  </si>
  <si>
    <t>FT Cylinder broken</t>
  </si>
  <si>
    <t>Closing unit chain homing issue</t>
  </si>
  <si>
    <t>Perk-HCM-1</t>
  </si>
  <si>
    <t>FBX: Jam At Infeed</t>
  </si>
  <si>
    <t>FBX: Overflow At Infeed</t>
  </si>
  <si>
    <t>HXX: Film Is Broken</t>
  </si>
  <si>
    <t>Perk-HCM-2</t>
  </si>
  <si>
    <t>HXX: Both Film Reels Are Empty</t>
  </si>
  <si>
    <t>Perk-HCM-3</t>
  </si>
  <si>
    <t>HXX: Infeed Rejection Consecutive</t>
  </si>
  <si>
    <t>Perk-HCM-4</t>
  </si>
  <si>
    <t>Cover Folding Box Open</t>
  </si>
  <si>
    <t>Perk-HLM-1</t>
  </si>
  <si>
    <t>OverHeight Product Detected</t>
  </si>
  <si>
    <t>Paper Out Of Register</t>
  </si>
  <si>
    <t>Product jam detected at flow wrapper infeed</t>
  </si>
  <si>
    <t>Perk-HLM-2</t>
  </si>
  <si>
    <t>Perk-TTLi-1</t>
  </si>
  <si>
    <t>FOR/BP11: Hand Over Of Blank Failed</t>
  </si>
  <si>
    <t>FOR/FT11: Hand Over Failure Of Tray</t>
  </si>
  <si>
    <t>Perk-TTLi-2</t>
  </si>
  <si>
    <t>Perk-TTLi-3</t>
  </si>
  <si>
    <t>LOD/PGR11: Product Frequency Too High</t>
  </si>
  <si>
    <t>LOD/TGR11: Robot-Gripper Sensor Fault</t>
  </si>
  <si>
    <t>Perk-TTLi-4</t>
  </si>
  <si>
    <t>LOD/EM: Emergency Stop Button 1</t>
  </si>
  <si>
    <t>LOD/EM: Emergency Stop HMI 11</t>
  </si>
  <si>
    <t>Wrapper main guard open FW-01</t>
  </si>
  <si>
    <t>LOD/TPG11: Move Time Out</t>
  </si>
  <si>
    <t>LOD/SAF: Safety Circuit Not Ready</t>
  </si>
  <si>
    <t>LOD/FWV11: Position Trigger Sensor Fail</t>
  </si>
  <si>
    <t>Batter Deposition Pump Tripping</t>
  </si>
  <si>
    <t>One Connector Replaced in Panel</t>
  </si>
  <si>
    <t>Laminate Opening issue</t>
  </si>
  <si>
    <t>Discharge belt jam</t>
  </si>
  <si>
    <t xml:space="preserve">Glue not coming in closing </t>
  </si>
  <si>
    <t>Handover blank fail</t>
  </si>
  <si>
    <t>Belt and Roller bearings replaced</t>
  </si>
  <si>
    <t>SOV Replaced</t>
  </si>
  <si>
    <t>HXX: Data Printer Not Ready</t>
  </si>
  <si>
    <t>LOD/TPL11: Axis 1 HW Positive Overtravel</t>
  </si>
  <si>
    <t>Cover Machine Discharge Open</t>
  </si>
  <si>
    <t>TP-11 Drive Fault</t>
  </si>
  <si>
    <t>Servo Motor and Control Cards Replaced</t>
  </si>
  <si>
    <t>FOR/BM11: No Carton In Magazine</t>
  </si>
  <si>
    <t>CLO/TFXX: Jam On Tray Infeed</t>
  </si>
  <si>
    <t>LOD/DH: State Decel Not Leave In Time</t>
  </si>
  <si>
    <t>Crème shortage from chocolate Plant</t>
  </si>
  <si>
    <t>RBLT Tracking issue</t>
  </si>
  <si>
    <t>Perk TTM-5</t>
  </si>
  <si>
    <t>HXX: Film Registration Error</t>
  </si>
  <si>
    <t>Wrapper Discharge Reject Sensor Blocked Alarm</t>
  </si>
  <si>
    <t>Perk-PDS</t>
  </si>
  <si>
    <t>System Init Active</t>
  </si>
  <si>
    <t>LOD/PGR11: Train Reached Estop Distance</t>
  </si>
  <si>
    <t>CLO/CSC11: Tray Validation Failed</t>
  </si>
  <si>
    <t>LOD/PGR11: Axis Gearing Error</t>
  </si>
  <si>
    <t>Cooling_Tunnel_HLL</t>
  </si>
  <si>
    <t>Cooling tunnel belt track</t>
  </si>
  <si>
    <t>Perk-Cutter</t>
  </si>
  <si>
    <t>Month</t>
  </si>
  <si>
    <t>GE (Target)</t>
  </si>
  <si>
    <t>GE(Actual)</t>
  </si>
  <si>
    <t>Planned Autonomous Maintenance</t>
  </si>
  <si>
    <t>Labor Management Losses</t>
  </si>
  <si>
    <t>Speed Loss</t>
  </si>
  <si>
    <t>Quality Loss</t>
  </si>
  <si>
    <t>Planned Loss</t>
  </si>
  <si>
    <t>Unplanned Loss</t>
  </si>
  <si>
    <t>(All)</t>
  </si>
  <si>
    <t>Row Labels</t>
  </si>
  <si>
    <t>Average of GE - Actual</t>
  </si>
  <si>
    <t>(Multiple Items)</t>
  </si>
  <si>
    <t>Santation</t>
  </si>
  <si>
    <t xml:space="preserve"> Qulity Loss</t>
  </si>
  <si>
    <t xml:space="preserve"> Changeovars</t>
  </si>
  <si>
    <t>Planed Autonomous Maintenance</t>
  </si>
  <si>
    <t>Brakdowns</t>
  </si>
  <si>
    <t>Operational Loss</t>
  </si>
  <si>
    <t xml:space="preserve"> Minor Stops</t>
  </si>
  <si>
    <t>Planed Maintenance</t>
  </si>
  <si>
    <t>Planed Stops</t>
  </si>
  <si>
    <t>Consumables replacment</t>
  </si>
  <si>
    <t>Sum of Start and Finish Prod</t>
  </si>
  <si>
    <t>Line Delay</t>
  </si>
  <si>
    <t>Labor Management Loss</t>
  </si>
  <si>
    <t>Material Shortage</t>
  </si>
  <si>
    <t>Speed Los</t>
  </si>
  <si>
    <t>Sum of line downtime</t>
  </si>
  <si>
    <t>Sum of line downtime2</t>
  </si>
  <si>
    <t>Grand Total</t>
  </si>
  <si>
    <t>(blank)</t>
  </si>
  <si>
    <t>``````````````````````````````</t>
  </si>
  <si>
    <t>Min</t>
  </si>
  <si>
    <t xml:space="preserve"> :  -  </t>
  </si>
  <si>
    <t>LINE PERFORMANCE SCORECARD</t>
  </si>
  <si>
    <t>Loss Time</t>
  </si>
  <si>
    <t>Data Sheet</t>
  </si>
  <si>
    <t>Safety</t>
  </si>
  <si>
    <t>Delivery</t>
  </si>
  <si>
    <t>Quality &amp; Cost</t>
  </si>
  <si>
    <t>KPI</t>
  </si>
  <si>
    <t>MTD</t>
  </si>
  <si>
    <t>YTD</t>
  </si>
  <si>
    <t>CIL-COMPLIANCE</t>
  </si>
  <si>
    <t>FIN</t>
  </si>
  <si>
    <t>Day Overweight%</t>
  </si>
  <si>
    <t>CL-COMPLIANCE</t>
  </si>
  <si>
    <t>CIL-STATUS (DAY)</t>
  </si>
  <si>
    <t>Yield Loss (%) - MTD</t>
  </si>
  <si>
    <t>CL-STATUS (DAY)</t>
  </si>
  <si>
    <t>GE (Actual)</t>
  </si>
  <si>
    <t>Offline Packing % (MTD)</t>
  </si>
  <si>
    <t>CL Deployed at Line (Day)</t>
  </si>
  <si>
    <t xml:space="preserve">
</t>
  </si>
  <si>
    <t>CL Deployed at Line (MTD Average)</t>
  </si>
  <si>
    <t>TBM COMPLIANCE%</t>
  </si>
  <si>
    <t>REWORK ON FLOOR</t>
  </si>
  <si>
    <t>DATE</t>
  </si>
  <si>
    <t>Volume</t>
  </si>
  <si>
    <t>Generation</t>
  </si>
  <si>
    <t>Refeed</t>
  </si>
  <si>
    <t>Net generation</t>
  </si>
  <si>
    <t>Generation%</t>
  </si>
  <si>
    <t>DMS - 2 board PERK</t>
  </si>
  <si>
    <t>KPI / KAI</t>
  </si>
  <si>
    <t>target</t>
  </si>
  <si>
    <t>actual</t>
  </si>
  <si>
    <t>SAFETY</t>
  </si>
  <si>
    <t xml:space="preserve">BOS </t>
  </si>
  <si>
    <t>Nos</t>
  </si>
  <si>
    <t>UNSAFE CONDITIONS</t>
  </si>
  <si>
    <t>quality</t>
  </si>
  <si>
    <t xml:space="preserve">Quality Loss </t>
  </si>
  <si>
    <t>MT</t>
  </si>
  <si>
    <t>PAPAS</t>
  </si>
  <si>
    <t>%</t>
  </si>
  <si>
    <t>CIL-Compliance (MTD)</t>
  </si>
  <si>
    <t>CL-Compliance (MTD)</t>
  </si>
  <si>
    <t>PM Compliance(MTD)</t>
  </si>
  <si>
    <t>DELIVERY</t>
  </si>
  <si>
    <t>Hrs</t>
  </si>
  <si>
    <t>Breakdowns(hrs)</t>
  </si>
  <si>
    <t>MTBF</t>
  </si>
  <si>
    <t>Abnormalities Closure%</t>
  </si>
  <si>
    <t>Production (Day)</t>
  </si>
  <si>
    <t>AC Volume (For the month)</t>
  </si>
  <si>
    <t>Production (MTD)</t>
  </si>
  <si>
    <t>COST</t>
  </si>
  <si>
    <t>Waste cost (%)</t>
  </si>
  <si>
    <t>Overweight (Day)</t>
  </si>
  <si>
    <t>SUSTAINABILITY</t>
  </si>
  <si>
    <t>RLNG Consumption</t>
  </si>
  <si>
    <t>MMBTU</t>
  </si>
  <si>
    <t>morale</t>
  </si>
  <si>
    <t>Attendance%</t>
  </si>
  <si>
    <t>Name</t>
  </si>
  <si>
    <t>27-May</t>
  </si>
  <si>
    <t>28-May</t>
  </si>
  <si>
    <t>29-May</t>
  </si>
  <si>
    <t>30-May</t>
  </si>
  <si>
    <t>31-May</t>
  </si>
  <si>
    <t>1-Jun</t>
  </si>
  <si>
    <t>2-Jun</t>
  </si>
  <si>
    <t>3-Jun</t>
  </si>
  <si>
    <t>4-Jun</t>
  </si>
  <si>
    <t>5-Jun</t>
  </si>
  <si>
    <t>6-Jun</t>
  </si>
  <si>
    <t>7-Jun</t>
  </si>
  <si>
    <t>8-Jun</t>
  </si>
  <si>
    <t>9-Jun</t>
  </si>
  <si>
    <t>10-Jun</t>
  </si>
  <si>
    <t>11-Jun</t>
  </si>
  <si>
    <t>12-Jun</t>
  </si>
  <si>
    <t>13-Jun</t>
  </si>
  <si>
    <t>14-Jun</t>
  </si>
  <si>
    <t>15-Jun</t>
  </si>
  <si>
    <t>16-Jun</t>
  </si>
  <si>
    <t>17-Jun</t>
  </si>
  <si>
    <t>18-Jun</t>
  </si>
  <si>
    <t>19-Jun</t>
  </si>
  <si>
    <t>20-Jun</t>
  </si>
  <si>
    <t>Manoj Mathur</t>
  </si>
  <si>
    <t>Deepesh</t>
  </si>
  <si>
    <t>Himanshu</t>
  </si>
  <si>
    <t>Shift Lead</t>
  </si>
  <si>
    <t>Quality</t>
  </si>
  <si>
    <t>Kitchen</t>
  </si>
  <si>
    <t>Cutter</t>
  </si>
  <si>
    <t>HLL-Cutter</t>
  </si>
  <si>
    <t>Leg1&amp;2</t>
  </si>
  <si>
    <t>Leg-3&amp;4</t>
  </si>
  <si>
    <t>Leg5&amp;6&amp;7</t>
  </si>
  <si>
    <t>Shift</t>
  </si>
  <si>
    <t>Standard Weight</t>
  </si>
  <si>
    <t>Actual Weight</t>
  </si>
  <si>
    <t>Overweight %</t>
  </si>
  <si>
    <t>Target</t>
  </si>
  <si>
    <t>ChargingSystem</t>
  </si>
  <si>
    <t>RotaryShifter</t>
  </si>
  <si>
    <t>Batching_Hopper_H_4101</t>
  </si>
  <si>
    <t>Batching_Hopper_H_4102</t>
  </si>
  <si>
    <t>Holding_Tank_T_4118</t>
  </si>
  <si>
    <t>Perk-Oven</t>
  </si>
  <si>
    <t>Perk-HLL-Cutter</t>
  </si>
  <si>
    <t>Enrober_HL</t>
  </si>
  <si>
    <t>Temperor_Samridhi</t>
  </si>
  <si>
    <t>Temperor- HL</t>
  </si>
  <si>
    <t>DCI2_</t>
  </si>
  <si>
    <t>DCI3_</t>
  </si>
  <si>
    <t>ADS HLL</t>
  </si>
  <si>
    <t>Perk-HLM-3</t>
  </si>
  <si>
    <t>Outer_ConveyoR</t>
  </si>
  <si>
    <t>Outer Checkweigher</t>
  </si>
  <si>
    <t>Cbox_Checkweigher</t>
  </si>
  <si>
    <t>Hot_water</t>
  </si>
  <si>
    <t>Chilled_water</t>
  </si>
  <si>
    <t>SOC_</t>
  </si>
  <si>
    <t>Technical_Module</t>
  </si>
  <si>
    <t>Maida leakage from RALV</t>
  </si>
  <si>
    <t>Rotory shifter jamming issue</t>
  </si>
  <si>
    <t>RWF Silo Rupture disc alarm</t>
  </si>
  <si>
    <t>Mixer Alignment issue-Rotor Colliding with stator</t>
  </si>
  <si>
    <t>Batter Transfer Pump Replacemrnt</t>
  </si>
  <si>
    <t>Joint bar formation @ Pre enrober belt</t>
  </si>
  <si>
    <t>Detaler motor installation'</t>
  </si>
  <si>
    <t>Temperor Agitator Tripping issue</t>
  </si>
  <si>
    <t>HLL Cooling Tunnel Drive roller damage</t>
  </si>
  <si>
    <t>Tension roller came out</t>
  </si>
  <si>
    <t>Belt Tracking issue</t>
  </si>
  <si>
    <t>Outer deformation issue</t>
  </si>
  <si>
    <t>Short Count issue</t>
  </si>
  <si>
    <t>Changeover from 10g to 10.3g</t>
  </si>
  <si>
    <t>_12GM</t>
  </si>
  <si>
    <t>Drives &amp;Power Transmission</t>
  </si>
  <si>
    <t>Vibro Sieve not working</t>
  </si>
  <si>
    <t>Starch Silo Rupture disc alarm</t>
  </si>
  <si>
    <t>Service Tank and Recirculation Line Cleaning</t>
  </si>
  <si>
    <t>Pusher plate jam</t>
  </si>
  <si>
    <t>Chocolate jamming inside tank</t>
  </si>
  <si>
    <t>High Misaligned Dumping</t>
  </si>
  <si>
    <t>HLL ADS Communication error</t>
  </si>
  <si>
    <t>Pusher Jerking issue</t>
  </si>
  <si>
    <t>DriveRoller damage</t>
  </si>
  <si>
    <t>Discharge belt roller damage</t>
  </si>
  <si>
    <t>Vaccum belt damage</t>
  </si>
  <si>
    <t>Outer discharge pusher plate broken</t>
  </si>
  <si>
    <t>Tray Handling unit calibration issue</t>
  </si>
  <si>
    <t>Planned_AM</t>
  </si>
  <si>
    <t>_11GM</t>
  </si>
  <si>
    <t>Fasteners</t>
  </si>
  <si>
    <t>Purging System not working</t>
  </si>
  <si>
    <t>Tank Cleaning-Fungus issue</t>
  </si>
  <si>
    <t>Bar jamming @ distributor</t>
  </si>
  <si>
    <t>Cutter Trimming not proper/Bar damage issue</t>
  </si>
  <si>
    <t>Low Chocolate Viscosity</t>
  </si>
  <si>
    <t>Temperor HMI Faulty</t>
  </si>
  <si>
    <t>Cooling Tunnel belt not running</t>
  </si>
  <si>
    <t>DU-1 belt motor Jam</t>
  </si>
  <si>
    <t>Pusher Drive Fault</t>
  </si>
  <si>
    <t>High Rejection</t>
  </si>
  <si>
    <t>Infeed Crash</t>
  </si>
  <si>
    <t>_11GM_HT</t>
  </si>
  <si>
    <t>RALV jamming issue</t>
  </si>
  <si>
    <t>Black particles coming from book cooler</t>
  </si>
  <si>
    <t>Top Sheet Failure</t>
  </si>
  <si>
    <t>Bar Accumulation between Pre enrober &amp; Enrober</t>
  </si>
  <si>
    <t>Preenrober belt touching with Enrober belt</t>
  </si>
  <si>
    <t>Drive Shaft broken and belt torn</t>
  </si>
  <si>
    <t>DU-1 Diverter drive fault</t>
  </si>
  <si>
    <t>Paper Out of Register</t>
  </si>
  <si>
    <t>_10GM</t>
  </si>
  <si>
    <t>Pneumatics</t>
  </si>
  <si>
    <t>Screw Conveyor Jam</t>
  </si>
  <si>
    <t>Motor Protector Conveyor belt 35Q5 fault</t>
  </si>
  <si>
    <t>Safety Circuit not healthy</t>
  </si>
  <si>
    <t>Bottom issue in Coated bars</t>
  </si>
  <si>
    <t>RBLT Belt Torn</t>
  </si>
  <si>
    <t>High Outer Rejection</t>
  </si>
  <si>
    <t>Outer not closing</t>
  </si>
  <si>
    <t>Valves</t>
  </si>
  <si>
    <t>Starch Silo motor Tripped</t>
  </si>
  <si>
    <t>Die Running Wheel bearing broken</t>
  </si>
  <si>
    <t>Tensioner Assembly Planned Maintenance</t>
  </si>
  <si>
    <t>Scrapper filing done</t>
  </si>
  <si>
    <t>Distributor installation at Pre enrober belt</t>
  </si>
  <si>
    <t>Waitbelt Motion error</t>
  </si>
  <si>
    <t>Wrapper End Crimp Jam</t>
  </si>
  <si>
    <t>FWV Position getting changed</t>
  </si>
  <si>
    <t>Consumables_replacement</t>
  </si>
  <si>
    <t>Electrical systems</t>
  </si>
  <si>
    <t>High Wafer rejection</t>
  </si>
  <si>
    <t>Poor Quality book formation</t>
  </si>
  <si>
    <t>Product Jamming at Pre enrober guides</t>
  </si>
  <si>
    <t>DU4R Diverter Position error</t>
  </si>
  <si>
    <t>Infeed chain drive fault</t>
  </si>
  <si>
    <t>Abnormal Sound From Vaccum Blower</t>
  </si>
  <si>
    <t>Poor Quality of Parkson Outers</t>
  </si>
  <si>
    <t>Glue Systems</t>
  </si>
  <si>
    <t>Temperor_</t>
  </si>
  <si>
    <t>Book Cooler Exit guides Fixing</t>
  </si>
  <si>
    <t>Crème hopper cleaning</t>
  </si>
  <si>
    <t>Pre enrober drive shaft broken</t>
  </si>
  <si>
    <t>Joint Bar issue</t>
  </si>
  <si>
    <t>TTME Changeover from 96U to 48U</t>
  </si>
  <si>
    <t>_9.1_GM</t>
  </si>
  <si>
    <t>Hydraulic systems</t>
  </si>
  <si>
    <t>Die bolts inspection and tightening.</t>
  </si>
  <si>
    <t>Aigner-2 Malfunctioning</t>
  </si>
  <si>
    <t>Enrober Preventive Maintenance</t>
  </si>
  <si>
    <t>FBX:JAM AT INFEED</t>
  </si>
  <si>
    <t>_9.1_GM_HT</t>
  </si>
  <si>
    <t>IR-Sensor guard fixing</t>
  </si>
  <si>
    <t>Book Damage/MisAlignment @ Sandwich Stacker</t>
  </si>
  <si>
    <t>HXX:FILM IS BROKEN</t>
  </si>
  <si>
    <t>Air pipe broken</t>
  </si>
  <si>
    <t>Wirebelt Jamming issue</t>
  </si>
  <si>
    <t>Bar Jumping issue</t>
  </si>
  <si>
    <t>Blank Picker not moving</t>
  </si>
  <si>
    <t>Chocolate Tank transfer line valve malfunctioning</t>
  </si>
  <si>
    <t>Transition to optimized outers</t>
  </si>
  <si>
    <t>Fire Detection Camera not working</t>
  </si>
  <si>
    <t>Crème Hopper Safety Switch Fault</t>
  </si>
  <si>
    <t>Chocolate pump low flow issue</t>
  </si>
  <si>
    <t>Triangular belt PM</t>
  </si>
  <si>
    <t>Turnover wheel missing bars</t>
  </si>
  <si>
    <t>Changeover from HT to 9.1g</t>
  </si>
  <si>
    <t>Secondary_Packing</t>
  </si>
  <si>
    <t>Rope Conveyor broken</t>
  </si>
  <si>
    <t>Book Checkweigher HMI Installation</t>
  </si>
  <si>
    <t>Chocolate lumps coming from transfer line</t>
  </si>
  <si>
    <t>Bad Registartion marks detected</t>
  </si>
  <si>
    <t>Batter Service Container Replacement</t>
  </si>
  <si>
    <t>Burnt chocolate grits coming at enrober</t>
  </si>
  <si>
    <t>Salty Crème</t>
  </si>
  <si>
    <t>Oven Power Failure</t>
  </si>
  <si>
    <t>Wirebelt drive tripping issue</t>
  </si>
  <si>
    <t>Outer jamming in closing unit</t>
  </si>
  <si>
    <t>Changeover to 30 units non aliay</t>
  </si>
  <si>
    <t>Abnormal Sound from Pre enrober belt drive</t>
  </si>
  <si>
    <t>Glue not coming in forming unit</t>
  </si>
  <si>
    <t>Temperor_HL</t>
  </si>
  <si>
    <t>Locking System Failure</t>
  </si>
  <si>
    <t>Pre enrober belt stopped/Tripped</t>
  </si>
  <si>
    <t>HXX: Film Tracking Control Film</t>
  </si>
  <si>
    <t>SMPS got faulty</t>
  </si>
  <si>
    <t>Pre enrober belt drive chain broken</t>
  </si>
  <si>
    <t>CLO/CDC11: Pusher / Actuator Not ON Time</t>
  </si>
  <si>
    <t>Discharge Rope Conveyor Pulley Jam</t>
  </si>
  <si>
    <t>Product pump replacement</t>
  </si>
  <si>
    <t>Air Formation while batter deposition</t>
  </si>
  <si>
    <t>Enrober Drive Fault</t>
  </si>
  <si>
    <t>HXX: Registration Mark Not Detected</t>
  </si>
  <si>
    <t>Return Pump Jam</t>
  </si>
  <si>
    <t>Blank Transport belt broken</t>
  </si>
  <si>
    <t>Vaccum Pipe Replacement</t>
  </si>
  <si>
    <t>TPL Suction tube broken</t>
  </si>
  <si>
    <t>Open Pouch issue</t>
  </si>
  <si>
    <t>FOR/BP11:Handover of Blank Failed</t>
  </si>
  <si>
    <t>HCM not taking feed</t>
  </si>
  <si>
    <t>Control belt drive roller worn out</t>
  </si>
  <si>
    <t>Pusher chain broken</t>
  </si>
  <si>
    <t>Metering belt roller Jam</t>
  </si>
  <si>
    <t>Closing Pusher broken</t>
  </si>
  <si>
    <t>CLO/CSC11: Axis 1 Position Error</t>
  </si>
  <si>
    <t>FOR/GLU11: Glueing Unit Not Ready</t>
  </si>
  <si>
    <t>FWV Homing Sensor Changed</t>
  </si>
  <si>
    <t>Top Loader dislocated</t>
  </si>
  <si>
    <t>Forming unit spline hub replacement</t>
  </si>
  <si>
    <t>FWV Sensor malfunctioning</t>
  </si>
  <si>
    <t>Glue unit Replacement</t>
  </si>
  <si>
    <t>FT-Axis Poistion Error</t>
  </si>
  <si>
    <t>ADS Samridhi</t>
  </si>
  <si>
    <t>ADS HL</t>
  </si>
  <si>
    <t>Source.Name</t>
  </si>
  <si>
    <t>Line</t>
  </si>
  <si>
    <t>Date Calendar DateTime</t>
  </si>
  <si>
    <t>Machine Name</t>
  </si>
  <si>
    <t>Uptime</t>
  </si>
  <si>
    <t>Stops</t>
  </si>
  <si>
    <t>Line MTBF</t>
  </si>
  <si>
    <t>MDLZ Minor Stoppages (Mins)</t>
  </si>
  <si>
    <t>MDLZ GE %</t>
  </si>
  <si>
    <t>Co-Extrusion Line</t>
  </si>
  <si>
    <t>Coex-AW3</t>
  </si>
  <si>
    <t>Coex-AW1</t>
  </si>
  <si>
    <t>Coex-AW2</t>
  </si>
  <si>
    <t>Samridhi 5 Star Line</t>
  </si>
  <si>
    <t>FS-HCM-1</t>
  </si>
  <si>
    <t>FS-TTLi-4</t>
  </si>
  <si>
    <t>FS-HCM-2</t>
  </si>
  <si>
    <t>FS-HCM-4</t>
  </si>
  <si>
    <t>FS-TTLi-3</t>
  </si>
  <si>
    <t>FS-TTM-5</t>
  </si>
  <si>
    <t>FS-HRM-5</t>
  </si>
  <si>
    <t>FS-TTLi-1</t>
  </si>
  <si>
    <t>FS-HCM-3</t>
  </si>
  <si>
    <t>FS-TTLi-2</t>
  </si>
  <si>
    <t>Samridhi Perk Line</t>
  </si>
  <si>
    <t>Co-Extrusion Line Total</t>
  </si>
  <si>
    <t>Samridhi 5 Star Line Total</t>
  </si>
  <si>
    <t>Samridhi Perk Line Total</t>
  </si>
  <si>
    <t>Reason Name</t>
  </si>
  <si>
    <t>sum([Duration For MTTR])*60</t>
  </si>
  <si>
    <t>PX18 Jam At Former</t>
  </si>
  <si>
    <t>Down Strem Machine Faulty</t>
  </si>
  <si>
    <t>S20 Main Cover is Open</t>
  </si>
  <si>
    <t>PX5PX6 No Paper</t>
  </si>
  <si>
    <t>PX8PX9 No Paper</t>
  </si>
  <si>
    <t>U42 Printer Not Ready</t>
  </si>
  <si>
    <t>Uncutted Packages</t>
  </si>
  <si>
    <t>Print Mark Deviation</t>
  </si>
  <si>
    <t>Rocker Loose Position</t>
  </si>
  <si>
    <t>PX3 No Print Mark Detected</t>
  </si>
  <si>
    <t>Press Reset PB</t>
  </si>
  <si>
    <t>S25 Flap Accum AC Drive Open</t>
  </si>
  <si>
    <t>PX16 jam At LSE</t>
  </si>
  <si>
    <t>MCR32 No On Switchable</t>
  </si>
  <si>
    <t>Servo Foil Fault</t>
  </si>
  <si>
    <t>Point iO Machine Not Ready</t>
  </si>
  <si>
    <t>Chain Reference Time Out</t>
  </si>
  <si>
    <t>S26 Flap Accum Servo Drive Open</t>
  </si>
  <si>
    <t>Servo Chain Fault</t>
  </si>
  <si>
    <t>Servo Rope Former Fault</t>
  </si>
  <si>
    <t>Cover Machine Outfeed Open</t>
  </si>
  <si>
    <t>Position Error-2</t>
  </si>
  <si>
    <t>Film Out Of Window</t>
  </si>
  <si>
    <t>TTL1X/CS11: Lost Tray In Sliding Area</t>
  </si>
  <si>
    <t>LOD/FWV11: Pos Trigger Sensor Failure</t>
  </si>
  <si>
    <t>Double Package Rejected Over Several Cyc</t>
  </si>
  <si>
    <t>CLO/CSC11: Tray Length Not Ok</t>
  </si>
  <si>
    <t>LOD/HXX11: Upstrm M/C Not Home in time</t>
  </si>
  <si>
    <t>LOD/FWV11: Rejects Consecutive</t>
  </si>
  <si>
    <t>Film Is Broken-1</t>
  </si>
  <si>
    <t>HXX: Double Package Rejected many times</t>
  </si>
  <si>
    <t>HXX: Too Many Consecutive Rejects</t>
  </si>
  <si>
    <t>Film Registration Error</t>
  </si>
  <si>
    <t>HXX: FilmTrackControl Film Out Of Window</t>
  </si>
  <si>
    <t>Communication Fault</t>
  </si>
  <si>
    <t>TTL1X/CS11: BoxJam In Front Of CS</t>
  </si>
  <si>
    <t>Main Cover Open</t>
  </si>
  <si>
    <t>LOD/PGR11: Train Didn'T Catch Up Fast</t>
  </si>
  <si>
    <t>Door Metering Belt Open</t>
  </si>
  <si>
    <t>Jam B/w Discharge And Gap Closing Belts</t>
  </si>
  <si>
    <t>Door Machine Discharge Open</t>
  </si>
  <si>
    <t>Position Error-5</t>
  </si>
  <si>
    <t>CLO/CT11: Closing Discharge Not Ready</t>
  </si>
  <si>
    <t>Door Turning Belts Open</t>
  </si>
  <si>
    <t>CLO/CSC11: Axis 1 Drive Fault</t>
  </si>
  <si>
    <t>Door Control Belt Open</t>
  </si>
  <si>
    <t>Check Film</t>
  </si>
  <si>
    <t>FOR/HMI: Product Setup Download Active</t>
  </si>
  <si>
    <t>Registration Mark Not Detected</t>
  </si>
  <si>
    <t>Not Ready-2</t>
  </si>
  <si>
    <t>Door Finwheels Open</t>
  </si>
  <si>
    <t>CLO/TS11: Axis 1 Drive Fault</t>
  </si>
  <si>
    <t>HXX: Infeed Chain Drive Fault</t>
  </si>
  <si>
    <t>HXX: Cross Seal Position Error</t>
  </si>
  <si>
    <t>LOD/HXX11:Upstrm M/C Not Deceled In Time</t>
  </si>
  <si>
    <t>Sensor Not Ok</t>
  </si>
  <si>
    <t>Drive Fault-6</t>
  </si>
  <si>
    <t>Cylinder Blocked-1</t>
  </si>
  <si>
    <t>Door Alignment Belt Open</t>
  </si>
  <si>
    <t>HXX: Bad Registration Marks Detected</t>
  </si>
  <si>
    <t>LOD/DOR: Door 1 Not Locked</t>
  </si>
  <si>
    <t>No New Roll Successfully Prepared</t>
  </si>
  <si>
    <t>Position Error-1</t>
  </si>
  <si>
    <t>LOD/TPL11: Wrong Gripper Installed</t>
  </si>
  <si>
    <t>Emergency Stop Distribution Unit</t>
  </si>
  <si>
    <t>Film Is Broken-2</t>
  </si>
  <si>
    <t>LOD/TPL11: Gripper Vacuum Pump Not ON</t>
  </si>
  <si>
    <t>Synch Link Fault</t>
  </si>
  <si>
    <t>FOR/TT11: Vacuum Pump Fault</t>
  </si>
  <si>
    <t>CLO/TFXX: Bckdoor Ver Actuator Not OnTime</t>
  </si>
  <si>
    <t>Bad Registration Marks Detected</t>
  </si>
  <si>
    <t>TTL1X/CS11: H/W overtravel - 1</t>
  </si>
  <si>
    <t>Communication Fault With Upstream</t>
  </si>
  <si>
    <t>LOD/UDI: Synchlink PI - Connection Error</t>
  </si>
  <si>
    <t>Door Acceleration Belt Open</t>
  </si>
  <si>
    <t>LOD/EM: Emergency Stop Button 2</t>
  </si>
  <si>
    <t>LOD/DOR: Door 5 Not Locked</t>
  </si>
  <si>
    <t>LOD/SM: Calculation Active</t>
  </si>
  <si>
    <t>Top Loader Suction Pipe &amp; Gripper Alarm</t>
  </si>
  <si>
    <t>Exhaust Valve Fault-2</t>
  </si>
  <si>
    <t>LOD/PGR11: Position Cam Status Lost</t>
  </si>
  <si>
    <t>LOD/GMS: Asi-Bus Communication</t>
  </si>
  <si>
    <t>LOTO Switch Main Cabinet Turned Off</t>
  </si>
  <si>
    <t>FOR/BP11: Picking Of Blank Failed</t>
  </si>
  <si>
    <t>Emergency Stop Alignment Belts</t>
  </si>
  <si>
    <t>Door Before Metal Detector Open</t>
  </si>
  <si>
    <t>LOD/TPL11: No Gripper Connected</t>
  </si>
  <si>
    <t>Side Alignment Belt Out Of Operating Pos</t>
  </si>
  <si>
    <t>LOD/PGR11:Train Reached Wrng Distance</t>
  </si>
  <si>
    <t>LOD/DOR: Door 6 Not Locked</t>
  </si>
  <si>
    <t>Door Infeed Chain Open</t>
  </si>
  <si>
    <t>Missing Splice Signal</t>
  </si>
  <si>
    <t>Gripper Crashed-1</t>
  </si>
  <si>
    <t>Magazine Is Empty</t>
  </si>
  <si>
    <t>Vacuum Error Open Door And Remove Blanks</t>
  </si>
  <si>
    <t>LOD/PGR11: Trains To Near</t>
  </si>
  <si>
    <t>LOD/PGR11: Infeed Crash</t>
  </si>
  <si>
    <t>Carrierpositionerror On Belt 6</t>
  </si>
  <si>
    <t>Axis Position Error</t>
  </si>
  <si>
    <t>Motion Instruction Error-12</t>
  </si>
  <si>
    <t>Move Time Out</t>
  </si>
  <si>
    <t>Drive Fault-2</t>
  </si>
  <si>
    <t>Upstream Machine Is Not Homed Anymore</t>
  </si>
  <si>
    <t>LOD/FWV11: No Feedback From Vacuum Pump</t>
  </si>
  <si>
    <t>LOD/TPL11:UngroupFinger(Not In Pick Pos)</t>
  </si>
  <si>
    <t>Pusher Drop-Sensor Fault</t>
  </si>
  <si>
    <t>Reject Contrainer Full</t>
  </si>
  <si>
    <t>Transport Fault</t>
  </si>
  <si>
    <t>LOD/DOR: Door 2 Not Locked</t>
  </si>
  <si>
    <t>Carrierpositionerror On Belt 4</t>
  </si>
  <si>
    <t>Glue Unit Not Ready-2</t>
  </si>
  <si>
    <t>FOR/SAF: Safety Circuit Not Ready</t>
  </si>
  <si>
    <t>CIP-Sync - Data Connection Error</t>
  </si>
  <si>
    <t>Reset Required</t>
  </si>
  <si>
    <t>Trayclamping Sensorerror On The Closer</t>
  </si>
  <si>
    <t>Emergency Stop HMI</t>
  </si>
  <si>
    <t>CLO/TS11: Axis 1 Position Error</t>
  </si>
  <si>
    <t>CLO/TTV: Decel Not Finished In Time</t>
  </si>
  <si>
    <t>FS-Case Packing</t>
  </si>
  <si>
    <t>Box On Carrier After Closer</t>
  </si>
  <si>
    <t>No Air Pressure</t>
  </si>
  <si>
    <t>Emergency Stop Machine</t>
  </si>
  <si>
    <t>Trains To Near</t>
  </si>
  <si>
    <t>HXX: Film Feeder Servo Output Too High</t>
  </si>
  <si>
    <t>FOR/FT11: Axis 1 Drive Fault</t>
  </si>
  <si>
    <t>LOD/GMS: Air Pressure Too Low</t>
  </si>
  <si>
    <t>Air Pressure Too Low</t>
  </si>
  <si>
    <t>Circuit Breaker Tripped-1</t>
  </si>
  <si>
    <t>LOD/DOR: Door 3 Not Locked</t>
  </si>
  <si>
    <t>LOD/TGR11: Trays On The Tray Acceleratio</t>
  </si>
  <si>
    <t>LOD/HXX11: Upstream Machine Not Homed</t>
  </si>
  <si>
    <t>Jam At Discharge And Gap Closing Belts</t>
  </si>
  <si>
    <t>Discharge top guard open FW-04</t>
  </si>
  <si>
    <t>CLO/TFXX: Backdoor Ver. Actuator Not ON</t>
  </si>
  <si>
    <t>HXX: Double Package Rejected</t>
  </si>
  <si>
    <t>LOD/SM: No Communication To MCP11</t>
  </si>
  <si>
    <t>LOD/SM: No Reset Acknowledge</t>
  </si>
  <si>
    <t>LOD/SM: State Timeout: Initialisation</t>
  </si>
  <si>
    <t>FOR/BT11: Position Error</t>
  </si>
  <si>
    <t>FBX: Metering Belt Position Error</t>
  </si>
  <si>
    <t>FOR/BP11: Drive Fault</t>
  </si>
  <si>
    <t>LOD/TGR11: Timeout Close Side Guide</t>
  </si>
  <si>
    <t>LOD/TGR11: Timeout Open Side Guide</t>
  </si>
  <si>
    <t>LOD/DOR: Door 3 Open</t>
  </si>
  <si>
    <t>Clamp Cylinder Blocked</t>
  </si>
  <si>
    <t>Minor Stops(No)</t>
  </si>
  <si>
    <t>Wirebelt link broken</t>
  </si>
  <si>
    <t>Daily_Efficiency_MTBF_2026_09_10.xlsx</t>
  </si>
  <si>
    <t>Daily_Minor_Stops_2026_09_10.xlsx</t>
  </si>
  <si>
    <t>Daily_Efficiency_MTBF_2026_09_11.xlsx</t>
  </si>
  <si>
    <t>Daily_Minor_Stops_2026_09_11.xlsx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</si>
</sst>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mmm\-yy;@"/>
    <numFmt numFmtId="165" formatCode="[$-409]d\-mmm\-yy;@"/>
    <numFmt numFmtId="166" formatCode="0.0"/>
    <numFmt numFmtId="167" formatCode="0.0%"/>
    <numFmt numFmtId="168" formatCode="[$-409]d\-mmm;@"/>
    <numFmt numFmtId="169" formatCode="h:mm;@"/>
    <numFmt numFmtId="170" formatCode="[$-F400]h:mm:ss\ AM/PM"/>
    <numFmt numFmtId="171" formatCode="#,##0.0#;\-#,##0.0#"/>
  </numFmts>
  <fonts count="4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0"/>
      <name val="MDLZ BITE TYPE"/>
    </font>
    <font>
      <b/>
      <sz val="11"/>
      <color theme="1"/>
      <name val="Aptos Narrow"/>
      <family val="2"/>
      <scheme val="minor"/>
    </font>
    <font>
      <b/>
      <sz val="9"/>
      <color theme="0"/>
      <name val="Trebuchet MS"/>
      <family val="2"/>
    </font>
    <font>
      <sz val="8"/>
      <name val="Aptos Narrow"/>
      <family val="2"/>
      <scheme val="minor"/>
    </font>
    <font>
      <sz val="10"/>
      <color theme="1"/>
      <name val="Arial"/>
      <family val="2"/>
    </font>
    <font>
      <b/>
      <sz val="11"/>
      <color theme="1"/>
      <name val="Aptos Narrow"/>
      <family val="2"/>
      <charset val="134"/>
      <scheme val="minor"/>
    </font>
    <font>
      <sz val="7"/>
      <color rgb="FF5B6372"/>
      <name val="Arial"/>
      <family val="2"/>
    </font>
    <font>
      <sz val="10"/>
      <color rgb="FF5B6372"/>
      <name val="Arial"/>
      <family val="2"/>
    </font>
    <font>
      <sz val="11"/>
      <color theme="1"/>
      <name val="Aptos Narrow"/>
      <family val="2"/>
      <charset val="134"/>
      <scheme val="minor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i/>
      <sz val="16"/>
      <color theme="0"/>
      <name val="Times New Roman"/>
      <family val="1"/>
    </font>
    <font>
      <b/>
      <i/>
      <sz val="32"/>
      <color rgb="FFFFFF00"/>
      <name val="Aptos Narrow"/>
      <family val="2"/>
      <scheme val="minor"/>
    </font>
    <font>
      <b/>
      <i/>
      <sz val="20"/>
      <color rgb="FFFFFF00"/>
      <name val="Aptos Narrow"/>
      <family val="2"/>
      <scheme val="minor"/>
    </font>
    <font>
      <u/>
      <sz val="20"/>
      <color theme="0"/>
      <name val="MDLZ BITE TYPE"/>
    </font>
    <font>
      <u/>
      <sz val="18"/>
      <color theme="1"/>
      <name val="MDLZ BITE TYPE"/>
    </font>
    <font>
      <b/>
      <sz val="14"/>
      <color rgb="FFFFFF0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252C2F"/>
      <name val="Aptos Narrow"/>
      <family val="2"/>
      <scheme val="minor"/>
    </font>
    <font>
      <b/>
      <sz val="28"/>
      <color theme="0"/>
      <name val="MDLZ BITE TYPE"/>
      <family val="3"/>
    </font>
    <font>
      <b/>
      <sz val="14"/>
      <color theme="0"/>
      <name val="Aptos Narrow"/>
      <family val="2"/>
      <scheme val="minor"/>
    </font>
    <font>
      <b/>
      <sz val="12"/>
      <name val="Aptos Narrow"/>
      <family val="2"/>
      <scheme val="minor"/>
    </font>
    <font>
      <b/>
      <sz val="10"/>
      <name val="Aptos Narrow"/>
      <family val="2"/>
      <scheme val="minor"/>
    </font>
    <font>
      <b/>
      <sz val="12"/>
      <name val="MDLZ BITE TYPE"/>
    </font>
    <font>
      <b/>
      <sz val="12"/>
      <color theme="1"/>
      <name val="MDLZ BITE TYPE"/>
    </font>
    <font>
      <b/>
      <sz val="12"/>
      <name val="MDLZ BITE TYPE"/>
      <family val="3"/>
    </font>
    <font>
      <b/>
      <sz val="12"/>
      <color theme="0"/>
      <name val="MDLZ BITE TYPE"/>
    </font>
    <font>
      <b/>
      <sz val="10"/>
      <color theme="1"/>
      <name val="Aptos Narrow"/>
      <family val="2"/>
      <scheme val="minor"/>
    </font>
    <font>
      <b/>
      <sz val="14"/>
      <color theme="0"/>
      <name val="MDLZ BITE TYPE"/>
    </font>
    <font>
      <b/>
      <sz val="14"/>
      <color theme="0"/>
      <name val="MDLZ BITE TYPE"/>
      <family val="3"/>
    </font>
    <font>
      <b/>
      <sz val="22"/>
      <color theme="0"/>
      <name val="Aptos Narrow"/>
      <family val="2"/>
      <scheme val="minor"/>
    </font>
    <font>
      <b/>
      <sz val="14"/>
      <color theme="0"/>
      <name val="Aptos"/>
      <family val="2"/>
    </font>
    <font>
      <b/>
      <sz val="24"/>
      <color theme="0"/>
      <name val="MDLZ BITE TYPE"/>
      <family val="3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theme="0"/>
      <name val="MDLZ BITE TYPE"/>
    </font>
    <font>
      <b/>
      <sz val="10"/>
      <color indexed="9"/>
      <name val="MDLZ BITE TYPE"/>
    </font>
    <font>
      <b/>
      <sz val="11"/>
      <color theme="1"/>
      <name val="MDLZ BITE TYPE"/>
    </font>
    <font>
      <sz val="14"/>
      <color indexed="9"/>
      <name val="MDLZ BITE TYPE"/>
    </font>
    <font>
      <sz val="14"/>
      <color theme="1"/>
      <name val="MDLZ BITE TYPE"/>
    </font>
    <font>
      <sz val="14"/>
      <color theme="1"/>
      <name val="Aptos Narrow"/>
      <family val="2"/>
      <scheme val="minor"/>
    </font>
    <font>
      <sz val="9"/>
      <color indexed="9"/>
      <name val="MDLZ BITE TYPE"/>
    </font>
    <font>
      <sz val="11"/>
      <color rgb="FF5B6372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rgb="FFCC339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2060"/>
        <bgColor theme="5"/>
      </patternFill>
    </fill>
    <fill>
      <patternFill patternType="solid">
        <fgColor theme="8" tint="-0.499984740745262"/>
        <bgColor theme="5"/>
      </patternFill>
    </fill>
    <fill>
      <patternFill patternType="solid">
        <fgColor theme="8" tint="-0.249977111117893"/>
        <bgColor theme="5"/>
      </patternFill>
    </fill>
    <fill>
      <patternFill patternType="solid">
        <fgColor rgb="FFCC6600"/>
        <bgColor theme="5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7998901333658864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C3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DF2D3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theme="9" tint="0.39997558519241921"/>
        <bgColor indexed="64"/>
      </patternFill>
    </fill>
  </fills>
  <borders count="102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5"/>
      </left>
      <right/>
      <top style="thin">
        <color theme="5"/>
      </top>
      <bottom/>
      <diagonal/>
    </border>
    <border>
      <left style="medium">
        <color theme="0" tint="-0.249977111117893"/>
      </left>
      <right/>
      <top style="medium">
        <color theme="0" tint="-0.249977111117893"/>
      </top>
      <bottom/>
      <diagonal/>
    </border>
    <border>
      <left/>
      <right style="medium">
        <color theme="0" tint="-0.249977111117893"/>
      </right>
      <top style="medium">
        <color theme="0" tint="-0.249977111117893"/>
      </top>
      <bottom/>
      <diagonal/>
    </border>
    <border>
      <left/>
      <right/>
      <top style="medium">
        <color theme="0" tint="-0.249977111117893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theme="8"/>
      </left>
      <right style="thin">
        <color theme="8"/>
      </right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/>
      </left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 style="medium">
        <color rgb="FFCCCCCC"/>
      </left>
      <right style="medium">
        <color rgb="FF4472C4"/>
      </right>
      <top style="medium">
        <color rgb="FFCCCCCC"/>
      </top>
      <bottom style="medium">
        <color rgb="FF4472C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4472C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rgb="FF7030A0"/>
      </left>
      <right style="thin">
        <color auto="1"/>
      </right>
      <top style="medium">
        <color rgb="FF7030A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7030A0"/>
      </top>
      <bottom style="thin">
        <color auto="1"/>
      </bottom>
      <diagonal/>
    </border>
    <border>
      <left style="thin">
        <color auto="1"/>
      </left>
      <right/>
      <top style="medium">
        <color rgb="FF7030A0"/>
      </top>
      <bottom/>
      <diagonal/>
    </border>
    <border>
      <left/>
      <right/>
      <top style="medium">
        <color rgb="FF7030A0"/>
      </top>
      <bottom/>
      <diagonal/>
    </border>
    <border>
      <left/>
      <right style="thin">
        <color auto="1"/>
      </right>
      <top style="medium">
        <color rgb="FF7030A0"/>
      </top>
      <bottom/>
      <diagonal/>
    </border>
    <border>
      <left style="thin">
        <color auto="1"/>
      </left>
      <right style="medium">
        <color rgb="FF7030A0"/>
      </right>
      <top style="medium">
        <color rgb="FF7030A0"/>
      </top>
      <bottom style="thin">
        <color auto="1"/>
      </bottom>
      <diagonal/>
    </border>
    <border>
      <left style="medium">
        <color rgb="FF7030A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rgb="FF7030A0"/>
      </right>
      <top/>
      <bottom style="thin">
        <color auto="1"/>
      </bottom>
      <diagonal/>
    </border>
    <border>
      <left style="medium">
        <color rgb="FF7030A0"/>
      </left>
      <right style="thin">
        <color auto="1"/>
      </right>
      <top style="thin">
        <color auto="1"/>
      </top>
      <bottom style="medium">
        <color rgb="FF7030A0"/>
      </bottom>
      <diagonal/>
    </border>
    <border>
      <left style="thin">
        <color auto="1"/>
      </left>
      <right style="thin">
        <color auto="1"/>
      </right>
      <top/>
      <bottom style="medium">
        <color rgb="FF7030A0"/>
      </bottom>
      <diagonal/>
    </border>
    <border>
      <left style="thin">
        <color auto="1"/>
      </left>
      <right/>
      <top/>
      <bottom style="medium">
        <color rgb="FF7030A0"/>
      </bottom>
      <diagonal/>
    </border>
    <border>
      <left/>
      <right/>
      <top/>
      <bottom style="medium">
        <color rgb="FF7030A0"/>
      </bottom>
      <diagonal/>
    </border>
    <border>
      <left/>
      <right style="thin">
        <color auto="1"/>
      </right>
      <top/>
      <bottom style="medium">
        <color rgb="FF7030A0"/>
      </bottom>
      <diagonal/>
    </border>
    <border>
      <left style="thin">
        <color auto="1"/>
      </left>
      <right style="medium">
        <color rgb="FF7030A0"/>
      </right>
      <top/>
      <bottom style="medium">
        <color rgb="FF7030A0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/>
      <right style="double">
        <color theme="1"/>
      </right>
      <top style="double">
        <color theme="1"/>
      </top>
      <bottom style="double">
        <color theme="1"/>
      </bottom>
      <diagonal/>
    </border>
    <border>
      <left style="double">
        <color theme="1"/>
      </left>
      <right style="double">
        <color theme="1"/>
      </right>
      <top style="double">
        <color theme="1"/>
      </top>
      <bottom style="double">
        <color theme="1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 style="double">
        <color theme="1"/>
      </top>
      <bottom style="double">
        <color theme="1"/>
      </bottom>
      <diagonal/>
    </border>
    <border>
      <left style="double">
        <color theme="1"/>
      </left>
      <right/>
      <top style="double">
        <color theme="1"/>
      </top>
      <bottom style="double">
        <color theme="1"/>
      </bottom>
      <diagonal/>
    </border>
    <border>
      <left style="double">
        <color theme="1"/>
      </left>
      <right style="double">
        <color theme="1"/>
      </right>
      <top/>
      <bottom/>
      <diagonal/>
    </border>
    <border>
      <left style="double">
        <color theme="1"/>
      </left>
      <right style="double">
        <color theme="1"/>
      </right>
      <top style="double">
        <color theme="1"/>
      </top>
      <bottom/>
      <diagonal/>
    </border>
    <border>
      <left style="double">
        <color theme="1"/>
      </left>
      <right style="double">
        <color theme="1"/>
      </right>
      <top/>
      <bottom style="double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rgb="FFFFC000"/>
      </right>
      <top style="medium">
        <color rgb="FFFFC000"/>
      </top>
      <bottom style="medium">
        <color rgb="FFFFC000"/>
      </bottom>
      <diagonal/>
    </border>
    <border>
      <left style="medium">
        <color rgb="FFFFC000"/>
      </left>
      <right/>
      <top style="medium">
        <color rgb="FFFFC000"/>
      </top>
      <bottom style="medium">
        <color rgb="FFFFC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 style="medium">
        <color rgb="FFFFC000"/>
      </top>
      <bottom style="medium">
        <color rgb="FFFFC000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/>
    <xf numFmtId="9" fontId="1" fillId="0" borderId="0" applyFont="0" applyFill="0" applyBorder="0" applyAlignment="0" applyProtection="0"/>
    <xf numFmtId="0" fontId="1" fillId="0" borderId="0"/>
  </cellStyleXfs>
  <cellXfs count="418">
    <xf numFmtId="0" fontId="0" fillId="0" borderId="0" xfId="0"/>
    <xf numFmtId="0" fontId="2" fillId="5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167" fontId="0" fillId="0" borderId="0" xfId="0" applyNumberFormat="1"/>
    <xf numFmtId="0" fontId="4" fillId="16" borderId="9" xfId="4" applyFont="1" applyFill="1" applyBorder="1" applyAlignment="1">
      <alignment horizontal="center" vertical="center" wrapText="1"/>
    </xf>
    <xf numFmtId="0" fontId="4" fillId="17" borderId="10" xfId="4" applyFont="1" applyFill="1" applyBorder="1" applyAlignment="1">
      <alignment horizontal="center" vertical="center" wrapText="1"/>
    </xf>
    <xf numFmtId="0" fontId="4" fillId="17" borderId="11" xfId="4" applyFont="1" applyFill="1" applyBorder="1" applyAlignment="1">
      <alignment horizontal="center" vertical="center" wrapText="1"/>
    </xf>
    <xf numFmtId="0" fontId="4" fillId="18" borderId="10" xfId="4" applyFont="1" applyFill="1" applyBorder="1" applyAlignment="1">
      <alignment horizontal="center" vertical="center" wrapText="1"/>
    </xf>
    <xf numFmtId="0" fontId="4" fillId="18" borderId="12" xfId="4" applyFont="1" applyFill="1" applyBorder="1" applyAlignment="1">
      <alignment horizontal="center" vertical="center" wrapText="1"/>
    </xf>
    <xf numFmtId="0" fontId="4" fillId="18" borderId="11" xfId="4" applyFont="1" applyFill="1" applyBorder="1" applyAlignment="1">
      <alignment horizontal="center" vertical="center" wrapText="1"/>
    </xf>
    <xf numFmtId="0" fontId="4" fillId="19" borderId="10" xfId="4" applyFont="1" applyFill="1" applyBorder="1" applyAlignment="1">
      <alignment horizontal="center" vertical="center" wrapText="1"/>
    </xf>
    <xf numFmtId="0" fontId="4" fillId="19" borderId="12" xfId="4" applyFont="1" applyFill="1" applyBorder="1" applyAlignment="1">
      <alignment horizontal="center" vertical="center" wrapText="1"/>
    </xf>
    <xf numFmtId="0" fontId="4" fillId="19" borderId="11" xfId="4" applyFont="1" applyFill="1" applyBorder="1" applyAlignment="1">
      <alignment horizontal="center" vertical="center" wrapText="1"/>
    </xf>
    <xf numFmtId="9" fontId="0" fillId="0" borderId="0" xfId="0" applyNumberFormat="1"/>
    <xf numFmtId="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4" fillId="19" borderId="0" xfId="4" applyFont="1" applyFill="1" applyAlignment="1">
      <alignment horizontal="center" vertical="center" wrapText="1"/>
    </xf>
    <xf numFmtId="166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7" fontId="0" fillId="0" borderId="0" xfId="1" applyNumberFormat="1" applyFont="1" applyAlignment="1">
      <alignment horizontal="center"/>
    </xf>
    <xf numFmtId="165" fontId="0" fillId="12" borderId="6" xfId="0" applyNumberFormat="1" applyFill="1" applyBorder="1" applyAlignment="1">
      <alignment horizontal="center" vertical="center"/>
    </xf>
    <xf numFmtId="17" fontId="0" fillId="12" borderId="7" xfId="0" applyNumberFormat="1" applyFill="1" applyBorder="1" applyAlignment="1">
      <alignment horizontal="center" vertical="center"/>
    </xf>
    <xf numFmtId="0" fontId="0" fillId="13" borderId="7" xfId="0" applyFill="1" applyBorder="1" applyAlignment="1" applyProtection="1">
      <alignment horizontal="center" vertical="center"/>
      <protection locked="0"/>
    </xf>
    <xf numFmtId="166" fontId="0" fillId="12" borderId="7" xfId="0" applyNumberFormat="1" applyFill="1" applyBorder="1" applyAlignment="1">
      <alignment horizontal="center" vertical="center"/>
    </xf>
    <xf numFmtId="166" fontId="0" fillId="13" borderId="7" xfId="0" applyNumberFormat="1" applyFill="1" applyBorder="1" applyAlignment="1" applyProtection="1">
      <alignment horizontal="center" vertical="center"/>
      <protection locked="0"/>
    </xf>
    <xf numFmtId="166" fontId="0" fillId="12" borderId="7" xfId="0" applyNumberFormat="1" applyFill="1" applyBorder="1" applyAlignment="1" applyProtection="1">
      <alignment horizontal="center" vertical="center"/>
      <protection locked="0"/>
    </xf>
    <xf numFmtId="167" fontId="0" fillId="12" borderId="7" xfId="1" applyNumberFormat="1" applyFont="1" applyFill="1" applyBorder="1" applyAlignment="1" applyProtection="1">
      <alignment horizontal="center" vertical="center"/>
    </xf>
    <xf numFmtId="1" fontId="0" fillId="14" borderId="7" xfId="0" applyNumberFormat="1" applyFill="1" applyBorder="1" applyAlignment="1" applyProtection="1">
      <alignment horizontal="center" vertical="center"/>
      <protection locked="0"/>
    </xf>
    <xf numFmtId="167" fontId="0" fillId="13" borderId="7" xfId="1" applyNumberFormat="1" applyFont="1" applyFill="1" applyBorder="1" applyAlignment="1" applyProtection="1">
      <alignment horizontal="center" vertical="center"/>
      <protection locked="0"/>
    </xf>
    <xf numFmtId="0" fontId="0" fillId="12" borderId="7" xfId="0" applyFill="1" applyBorder="1" applyAlignment="1">
      <alignment horizontal="center" vertical="center"/>
    </xf>
    <xf numFmtId="166" fontId="0" fillId="15" borderId="7" xfId="0" applyNumberFormat="1" applyFill="1" applyBorder="1" applyAlignment="1">
      <alignment horizontal="center" vertical="center"/>
    </xf>
    <xf numFmtId="3" fontId="0" fillId="13" borderId="5" xfId="1" applyNumberFormat="1" applyFont="1" applyFill="1" applyBorder="1" applyAlignment="1" applyProtection="1">
      <alignment horizontal="center" vertical="center"/>
      <protection locked="0"/>
    </xf>
    <xf numFmtId="164" fontId="0" fillId="15" borderId="8" xfId="0" applyNumberFormat="1" applyFill="1" applyBorder="1" applyAlignment="1">
      <alignment horizontal="center" vertical="center"/>
    </xf>
    <xf numFmtId="167" fontId="0" fillId="0" borderId="0" xfId="1" applyNumberFormat="1" applyFont="1" applyFill="1" applyBorder="1" applyAlignment="1">
      <alignment horizontal="center"/>
    </xf>
    <xf numFmtId="0" fontId="4" fillId="18" borderId="0" xfId="4" applyFont="1" applyFill="1" applyAlignment="1">
      <alignment horizontal="center" vertical="center" wrapText="1"/>
    </xf>
    <xf numFmtId="0" fontId="6" fillId="0" borderId="0" xfId="0" applyFont="1" applyAlignment="1">
      <alignment wrapText="1"/>
    </xf>
    <xf numFmtId="0" fontId="6" fillId="0" borderId="14" xfId="0" applyFont="1" applyBorder="1" applyAlignment="1">
      <alignment wrapText="1"/>
    </xf>
    <xf numFmtId="0" fontId="3" fillId="0" borderId="15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8" fillId="0" borderId="0" xfId="0" applyFont="1" applyAlignment="1">
      <alignment wrapText="1"/>
    </xf>
    <xf numFmtId="0" fontId="3" fillId="0" borderId="18" xfId="0" applyFont="1" applyBorder="1" applyAlignment="1">
      <alignment vertical="center"/>
    </xf>
    <xf numFmtId="0" fontId="9" fillId="0" borderId="0" xfId="0" applyFont="1" applyAlignment="1">
      <alignment wrapText="1"/>
    </xf>
    <xf numFmtId="0" fontId="6" fillId="0" borderId="19" xfId="0" applyFont="1" applyBorder="1" applyAlignment="1">
      <alignment wrapText="1"/>
    </xf>
    <xf numFmtId="0" fontId="1" fillId="0" borderId="20" xfId="0" applyFont="1" applyBorder="1" applyAlignment="1">
      <alignment horizontal="left" vertical="center"/>
    </xf>
    <xf numFmtId="2" fontId="6" fillId="0" borderId="0" xfId="0" applyNumberFormat="1" applyFont="1" applyAlignment="1">
      <alignment wrapText="1"/>
    </xf>
    <xf numFmtId="2" fontId="6" fillId="0" borderId="14" xfId="0" applyNumberFormat="1" applyFont="1" applyBorder="1" applyAlignment="1">
      <alignment wrapText="1"/>
    </xf>
    <xf numFmtId="0" fontId="0" fillId="0" borderId="0" xfId="0" applyAlignment="1">
      <alignment vertical="center"/>
    </xf>
    <xf numFmtId="0" fontId="10" fillId="0" borderId="20" xfId="0" applyFont="1" applyBorder="1" applyAlignment="1">
      <alignment horizontal="left" vertical="center"/>
    </xf>
    <xf numFmtId="0" fontId="11" fillId="0" borderId="14" xfId="0" applyFont="1" applyBorder="1" applyAlignment="1">
      <alignment wrapText="1"/>
    </xf>
    <xf numFmtId="0" fontId="0" fillId="0" borderId="17" xfId="0" applyBorder="1" applyAlignment="1">
      <alignment vertical="center"/>
    </xf>
    <xf numFmtId="0" fontId="0" fillId="0" borderId="16" xfId="0" applyBorder="1" applyAlignment="1">
      <alignment vertical="center"/>
    </xf>
    <xf numFmtId="0" fontId="6" fillId="20" borderId="14" xfId="0" applyFont="1" applyFill="1" applyBorder="1" applyAlignment="1">
      <alignment wrapText="1"/>
    </xf>
    <xf numFmtId="0" fontId="1" fillId="0" borderId="5" xfId="0" applyFont="1" applyBorder="1" applyAlignment="1">
      <alignment horizontal="left" vertical="center"/>
    </xf>
    <xf numFmtId="0" fontId="12" fillId="0" borderId="21" xfId="0" applyFont="1" applyBorder="1" applyAlignment="1">
      <alignment wrapText="1"/>
    </xf>
    <xf numFmtId="0" fontId="11" fillId="0" borderId="19" xfId="0" applyFont="1" applyBorder="1" applyAlignment="1">
      <alignment wrapText="1"/>
    </xf>
    <xf numFmtId="0" fontId="11" fillId="0" borderId="22" xfId="0" applyFont="1" applyBorder="1" applyAlignment="1">
      <alignment wrapText="1"/>
    </xf>
    <xf numFmtId="0" fontId="11" fillId="0" borderId="23" xfId="0" applyFont="1" applyBorder="1" applyAlignment="1">
      <alignment wrapText="1"/>
    </xf>
    <xf numFmtId="0" fontId="3" fillId="0" borderId="0" xfId="0" applyFont="1"/>
    <xf numFmtId="0" fontId="0" fillId="0" borderId="5" xfId="0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3" borderId="0" xfId="0" applyFill="1"/>
    <xf numFmtId="167" fontId="0" fillId="0" borderId="0" xfId="0" applyNumberFormat="1" applyAlignment="1">
      <alignment horizontal="center"/>
    </xf>
    <xf numFmtId="167" fontId="0" fillId="0" borderId="0" xfId="1" applyNumberFormat="1" applyFont="1"/>
    <xf numFmtId="9" fontId="0" fillId="0" borderId="0" xfId="1" applyFont="1" applyAlignment="1">
      <alignment horizontal="center"/>
    </xf>
    <xf numFmtId="2" fontId="0" fillId="13" borderId="7" xfId="1" applyNumberFormat="1" applyFont="1" applyFill="1" applyBorder="1" applyAlignment="1" applyProtection="1">
      <alignment horizontal="center" vertical="center"/>
      <protection locked="0"/>
    </xf>
    <xf numFmtId="2" fontId="0" fillId="13" borderId="7" xfId="0" applyNumberFormat="1" applyFill="1" applyBorder="1" applyAlignment="1" applyProtection="1">
      <alignment horizontal="center" vertical="center"/>
      <protection locked="0"/>
    </xf>
    <xf numFmtId="2" fontId="0" fillId="0" borderId="0" xfId="1" applyNumberFormat="1" applyFont="1" applyAlignment="1">
      <alignment horizontal="center"/>
    </xf>
    <xf numFmtId="0" fontId="3" fillId="20" borderId="5" xfId="0" applyFont="1" applyFill="1" applyBorder="1" applyAlignment="1">
      <alignment horizontal="center" vertical="center"/>
    </xf>
    <xf numFmtId="0" fontId="3" fillId="20" borderId="5" xfId="0" applyFont="1" applyFill="1" applyBorder="1" applyAlignment="1">
      <alignment horizontal="center" vertical="center" wrapText="1"/>
    </xf>
    <xf numFmtId="166" fontId="3" fillId="20" borderId="5" xfId="0" applyNumberFormat="1" applyFont="1" applyFill="1" applyBorder="1" applyAlignment="1">
      <alignment horizontal="center" vertical="center"/>
    </xf>
    <xf numFmtId="0" fontId="3" fillId="20" borderId="13" xfId="0" applyFont="1" applyFill="1" applyBorder="1" applyAlignment="1">
      <alignment horizontal="center" vertical="center"/>
    </xf>
    <xf numFmtId="166" fontId="0" fillId="0" borderId="5" xfId="0" applyNumberFormat="1" applyBorder="1" applyAlignment="1">
      <alignment horizontal="center"/>
    </xf>
    <xf numFmtId="167" fontId="0" fillId="0" borderId="5" xfId="1" applyNumberFormat="1" applyFont="1" applyBorder="1" applyAlignment="1">
      <alignment horizontal="center"/>
    </xf>
    <xf numFmtId="0" fontId="0" fillId="0" borderId="5" xfId="0" applyBorder="1"/>
    <xf numFmtId="166" fontId="0" fillId="0" borderId="5" xfId="0" applyNumberFormat="1" applyBorder="1"/>
    <xf numFmtId="168" fontId="0" fillId="0" borderId="0" xfId="0" applyNumberFormat="1"/>
    <xf numFmtId="0" fontId="0" fillId="0" borderId="0" xfId="0" applyProtection="1">
      <protection hidden="1"/>
    </xf>
    <xf numFmtId="14" fontId="0" fillId="0" borderId="0" xfId="0" applyNumberFormat="1"/>
    <xf numFmtId="166" fontId="0" fillId="13" borderId="7" xfId="1" applyNumberFormat="1" applyFont="1" applyFill="1" applyBorder="1" applyAlignment="1" applyProtection="1">
      <alignment horizontal="center" vertical="center"/>
      <protection locked="0"/>
    </xf>
    <xf numFmtId="0" fontId="15" fillId="21" borderId="0" xfId="7" applyFill="1" applyProtection="1">
      <protection locked="0"/>
    </xf>
    <xf numFmtId="168" fontId="15" fillId="21" borderId="0" xfId="7" applyNumberFormat="1" applyFill="1" applyAlignment="1" applyProtection="1">
      <alignment horizontal="center"/>
      <protection locked="0"/>
    </xf>
    <xf numFmtId="0" fontId="15" fillId="21" borderId="0" xfId="7" applyFill="1" applyAlignment="1" applyProtection="1">
      <alignment horizontal="center"/>
      <protection locked="0"/>
    </xf>
    <xf numFmtId="0" fontId="15" fillId="0" borderId="0" xfId="7" applyAlignment="1" applyProtection="1">
      <alignment horizontal="center"/>
      <protection locked="0"/>
    </xf>
    <xf numFmtId="0" fontId="15" fillId="0" borderId="0" xfId="7" applyProtection="1">
      <protection locked="0"/>
    </xf>
    <xf numFmtId="0" fontId="19" fillId="21" borderId="0" xfId="7" applyFont="1" applyFill="1" applyAlignment="1" applyProtection="1">
      <alignment vertical="center"/>
      <protection locked="0"/>
    </xf>
    <xf numFmtId="0" fontId="19" fillId="13" borderId="0" xfId="7" applyFont="1" applyFill="1" applyAlignment="1" applyProtection="1">
      <alignment vertical="center"/>
      <protection locked="0"/>
    </xf>
    <xf numFmtId="0" fontId="3" fillId="22" borderId="5" xfId="7" applyFont="1" applyFill="1" applyBorder="1" applyAlignment="1" applyProtection="1">
      <alignment horizontal="center" vertical="center"/>
      <protection locked="0"/>
    </xf>
    <xf numFmtId="0" fontId="13" fillId="0" borderId="0" xfId="7" applyFont="1" applyProtection="1">
      <protection locked="0"/>
    </xf>
    <xf numFmtId="168" fontId="15" fillId="0" borderId="0" xfId="7" applyNumberFormat="1" applyAlignment="1" applyProtection="1">
      <alignment horizontal="center"/>
      <protection locked="0"/>
    </xf>
    <xf numFmtId="0" fontId="15" fillId="0" borderId="26" xfId="7" applyBorder="1" applyProtection="1">
      <protection locked="0"/>
    </xf>
    <xf numFmtId="0" fontId="15" fillId="0" borderId="27" xfId="7" applyBorder="1" applyProtection="1">
      <protection locked="0"/>
    </xf>
    <xf numFmtId="14" fontId="23" fillId="14" borderId="36" xfId="7" applyNumberFormat="1" applyFont="1" applyFill="1" applyBorder="1" applyAlignment="1" applyProtection="1">
      <alignment horizontal="center" vertical="center"/>
      <protection locked="0"/>
    </xf>
    <xf numFmtId="0" fontId="24" fillId="14" borderId="5" xfId="7" applyFont="1" applyFill="1" applyBorder="1" applyAlignment="1" applyProtection="1">
      <alignment horizontal="center" vertical="center"/>
      <protection locked="0"/>
    </xf>
    <xf numFmtId="0" fontId="24" fillId="14" borderId="5" xfId="7" applyFont="1" applyFill="1" applyBorder="1" applyAlignment="1" applyProtection="1">
      <alignment horizontal="left" vertical="center"/>
      <protection locked="0"/>
    </xf>
    <xf numFmtId="0" fontId="24" fillId="14" borderId="37" xfId="7" applyFont="1" applyFill="1" applyBorder="1" applyAlignment="1" applyProtection="1">
      <alignment horizontal="center" vertical="center"/>
      <protection locked="0"/>
    </xf>
    <xf numFmtId="0" fontId="3" fillId="22" borderId="31" xfId="7" applyFont="1" applyFill="1" applyBorder="1" applyAlignment="1" applyProtection="1">
      <alignment horizontal="center"/>
      <protection locked="0"/>
    </xf>
    <xf numFmtId="168" fontId="3" fillId="22" borderId="32" xfId="7" applyNumberFormat="1" applyFont="1" applyFill="1" applyBorder="1" applyAlignment="1" applyProtection="1">
      <alignment horizontal="center"/>
      <protection locked="0"/>
    </xf>
    <xf numFmtId="0" fontId="3" fillId="22" borderId="32" xfId="7" applyFont="1" applyFill="1" applyBorder="1" applyAlignment="1" applyProtection="1">
      <alignment horizontal="center"/>
      <protection locked="0"/>
    </xf>
    <xf numFmtId="0" fontId="3" fillId="22" borderId="34" xfId="7" applyFont="1" applyFill="1" applyBorder="1" applyAlignment="1" applyProtection="1">
      <alignment horizontal="center"/>
      <protection locked="0"/>
    </xf>
    <xf numFmtId="0" fontId="3" fillId="22" borderId="1" xfId="7" applyFont="1" applyFill="1" applyBorder="1" applyAlignment="1" applyProtection="1">
      <alignment horizontal="center"/>
      <protection locked="0"/>
    </xf>
    <xf numFmtId="168" fontId="3" fillId="22" borderId="2" xfId="7" applyNumberFormat="1" applyFont="1" applyFill="1" applyBorder="1" applyAlignment="1" applyProtection="1">
      <alignment horizontal="center"/>
      <protection locked="0"/>
    </xf>
    <xf numFmtId="0" fontId="3" fillId="22" borderId="2" xfId="7" applyFont="1" applyFill="1" applyBorder="1" applyAlignment="1" applyProtection="1">
      <alignment horizontal="center"/>
      <protection locked="0"/>
    </xf>
    <xf numFmtId="0" fontId="3" fillId="22" borderId="40" xfId="7" applyFont="1" applyFill="1" applyBorder="1" applyAlignment="1" applyProtection="1">
      <alignment horizontal="center"/>
      <protection locked="0"/>
    </xf>
    <xf numFmtId="166" fontId="15" fillId="0" borderId="44" xfId="7" applyNumberFormat="1" applyBorder="1" applyAlignment="1" applyProtection="1">
      <alignment horizontal="center" vertical="center"/>
      <protection locked="0"/>
    </xf>
    <xf numFmtId="0" fontId="3" fillId="0" borderId="1" xfId="7" applyFont="1" applyBorder="1" applyAlignment="1" applyProtection="1">
      <alignment vertical="center"/>
      <protection locked="0"/>
    </xf>
    <xf numFmtId="9" fontId="1" fillId="0" borderId="2" xfId="1" applyFont="1" applyBorder="1" applyAlignment="1" applyProtection="1">
      <alignment horizontal="center" vertical="center"/>
      <protection locked="0"/>
    </xf>
    <xf numFmtId="1" fontId="15" fillId="25" borderId="40" xfId="7" applyNumberFormat="1" applyFill="1" applyBorder="1" applyAlignment="1" applyProtection="1">
      <alignment horizontal="center" vertical="center"/>
      <protection locked="0"/>
    </xf>
    <xf numFmtId="0" fontId="3" fillId="0" borderId="45" xfId="7" applyFont="1" applyBorder="1" applyAlignment="1" applyProtection="1">
      <alignment vertical="center"/>
      <protection locked="0"/>
    </xf>
    <xf numFmtId="166" fontId="15" fillId="27" borderId="5" xfId="7" applyNumberFormat="1" applyFill="1" applyBorder="1" applyAlignment="1" applyProtection="1">
      <alignment horizontal="center" vertical="center"/>
      <protection locked="0"/>
    </xf>
    <xf numFmtId="166" fontId="15" fillId="27" borderId="46" xfId="7" applyNumberFormat="1" applyFill="1" applyBorder="1" applyAlignment="1" applyProtection="1">
      <alignment horizontal="center" vertical="center"/>
      <protection locked="0"/>
    </xf>
    <xf numFmtId="166" fontId="15" fillId="0" borderId="46" xfId="7" applyNumberFormat="1" applyBorder="1" applyAlignment="1" applyProtection="1">
      <alignment horizontal="center" vertical="center"/>
      <protection locked="0"/>
    </xf>
    <xf numFmtId="0" fontId="3" fillId="0" borderId="36" xfId="7" applyFont="1" applyBorder="1" applyAlignment="1" applyProtection="1">
      <alignment vertical="center"/>
      <protection locked="0"/>
    </xf>
    <xf numFmtId="1" fontId="15" fillId="0" borderId="5" xfId="7" applyNumberFormat="1" applyBorder="1" applyAlignment="1" applyProtection="1">
      <alignment horizontal="center" vertical="center"/>
      <protection locked="0"/>
    </xf>
    <xf numFmtId="1" fontId="15" fillId="25" borderId="37" xfId="7" applyNumberFormat="1" applyFill="1" applyBorder="1" applyAlignment="1" applyProtection="1">
      <alignment horizontal="center" vertical="center"/>
      <protection locked="0"/>
    </xf>
    <xf numFmtId="0" fontId="3" fillId="0" borderId="45" xfId="7" applyFont="1" applyBorder="1" applyAlignment="1" applyProtection="1">
      <alignment vertical="center" wrapText="1"/>
      <protection locked="0"/>
    </xf>
    <xf numFmtId="166" fontId="15" fillId="0" borderId="5" xfId="7" applyNumberFormat="1" applyBorder="1" applyAlignment="1" applyProtection="1">
      <alignment horizontal="center" vertical="center"/>
      <protection locked="0"/>
    </xf>
    <xf numFmtId="0" fontId="3" fillId="0" borderId="52" xfId="7" applyFont="1" applyBorder="1" applyAlignment="1" applyProtection="1">
      <alignment vertical="center"/>
      <protection locked="0"/>
    </xf>
    <xf numFmtId="9" fontId="0" fillId="0" borderId="53" xfId="1" applyFont="1" applyBorder="1" applyAlignment="1" applyProtection="1">
      <alignment horizontal="center" vertical="center"/>
      <protection locked="0"/>
    </xf>
    <xf numFmtId="9" fontId="0" fillId="0" borderId="54" xfId="1" applyFont="1" applyBorder="1" applyAlignment="1" applyProtection="1">
      <alignment horizontal="center" vertical="center"/>
      <protection locked="0"/>
    </xf>
    <xf numFmtId="9" fontId="1" fillId="27" borderId="5" xfId="1" applyFont="1" applyFill="1" applyBorder="1" applyAlignment="1" applyProtection="1">
      <alignment horizontal="center" vertical="center"/>
      <protection locked="0"/>
    </xf>
    <xf numFmtId="167" fontId="0" fillId="27" borderId="46" xfId="8" applyNumberFormat="1" applyFont="1" applyFill="1" applyBorder="1" applyAlignment="1" applyProtection="1">
      <alignment horizontal="center" vertical="center"/>
      <protection locked="0"/>
    </xf>
    <xf numFmtId="0" fontId="0" fillId="0" borderId="0" xfId="7" applyFont="1" applyProtection="1">
      <protection locked="0"/>
    </xf>
    <xf numFmtId="9" fontId="1" fillId="0" borderId="5" xfId="1" applyFont="1" applyBorder="1" applyAlignment="1" applyProtection="1">
      <alignment horizontal="center" vertical="center"/>
      <protection locked="0"/>
    </xf>
    <xf numFmtId="167" fontId="0" fillId="0" borderId="53" xfId="8" applyNumberFormat="1" applyFont="1" applyBorder="1" applyAlignment="1" applyProtection="1">
      <alignment horizontal="center" vertical="center"/>
      <protection locked="0"/>
    </xf>
    <xf numFmtId="167" fontId="0" fillId="0" borderId="51" xfId="8" applyNumberFormat="1" applyFont="1" applyBorder="1" applyAlignment="1" applyProtection="1">
      <alignment horizontal="center" vertical="center"/>
      <protection locked="0"/>
    </xf>
    <xf numFmtId="14" fontId="23" fillId="14" borderId="52" xfId="7" applyNumberFormat="1" applyFont="1" applyFill="1" applyBorder="1" applyAlignment="1" applyProtection="1">
      <alignment horizontal="center" vertical="center"/>
      <protection locked="0"/>
    </xf>
    <xf numFmtId="0" fontId="24" fillId="14" borderId="53" xfId="7" applyFont="1" applyFill="1" applyBorder="1" applyAlignment="1" applyProtection="1">
      <alignment horizontal="center" vertical="center"/>
      <protection locked="0"/>
    </xf>
    <xf numFmtId="0" fontId="24" fillId="14" borderId="53" xfId="7" applyFont="1" applyFill="1" applyBorder="1" applyAlignment="1" applyProtection="1">
      <alignment horizontal="left" vertical="center"/>
      <protection locked="0"/>
    </xf>
    <xf numFmtId="0" fontId="24" fillId="14" borderId="54" xfId="7" applyFont="1" applyFill="1" applyBorder="1" applyAlignment="1" applyProtection="1">
      <alignment horizontal="center" vertical="center"/>
      <protection locked="0"/>
    </xf>
    <xf numFmtId="14" fontId="15" fillId="0" borderId="0" xfId="7" applyNumberFormat="1" applyAlignment="1" applyProtection="1">
      <alignment vertical="center"/>
      <protection locked="0"/>
    </xf>
    <xf numFmtId="0" fontId="3" fillId="21" borderId="0" xfId="7" applyFont="1" applyFill="1" applyProtection="1">
      <protection locked="0"/>
    </xf>
    <xf numFmtId="0" fontId="3" fillId="0" borderId="0" xfId="7" applyFont="1" applyAlignment="1" applyProtection="1">
      <alignment horizontal="center"/>
      <protection locked="0"/>
    </xf>
    <xf numFmtId="0" fontId="15" fillId="21" borderId="0" xfId="7" applyFill="1" applyAlignment="1" applyProtection="1">
      <alignment vertical="center"/>
      <protection locked="0"/>
    </xf>
    <xf numFmtId="0" fontId="3" fillId="21" borderId="0" xfId="7" applyFont="1" applyFill="1" applyAlignment="1" applyProtection="1">
      <alignment horizontal="center"/>
      <protection locked="0"/>
    </xf>
    <xf numFmtId="0" fontId="3" fillId="13" borderId="0" xfId="7" applyFont="1" applyFill="1" applyAlignment="1" applyProtection="1">
      <alignment horizontal="center"/>
      <protection locked="0"/>
    </xf>
    <xf numFmtId="0" fontId="15" fillId="0" borderId="0" xfId="7" applyAlignment="1" applyProtection="1">
      <alignment vertical="center"/>
      <protection locked="0"/>
    </xf>
    <xf numFmtId="1" fontId="15" fillId="0" borderId="0" xfId="7" applyNumberFormat="1" applyProtection="1">
      <protection locked="0"/>
    </xf>
    <xf numFmtId="1" fontId="15" fillId="0" borderId="0" xfId="7" applyNumberFormat="1" applyAlignment="1" applyProtection="1">
      <alignment horizontal="center"/>
      <protection locked="0"/>
    </xf>
    <xf numFmtId="168" fontId="15" fillId="0" borderId="0" xfId="7" applyNumberFormat="1" applyProtection="1">
      <protection locked="0"/>
    </xf>
    <xf numFmtId="0" fontId="3" fillId="22" borderId="28" xfId="7" applyFont="1" applyFill="1" applyBorder="1" applyAlignment="1" applyProtection="1">
      <alignment horizontal="center" vertical="center"/>
      <protection locked="0"/>
    </xf>
    <xf numFmtId="0" fontId="3" fillId="22" borderId="41" xfId="7" applyFont="1" applyFill="1" applyBorder="1" applyAlignment="1" applyProtection="1">
      <alignment horizontal="center" vertical="center"/>
      <protection locked="0"/>
    </xf>
    <xf numFmtId="0" fontId="3" fillId="22" borderId="29" xfId="7" applyFont="1" applyFill="1" applyBorder="1" applyAlignment="1" applyProtection="1">
      <alignment horizontal="center" vertical="center"/>
      <protection locked="0"/>
    </xf>
    <xf numFmtId="14" fontId="23" fillId="14" borderId="57" xfId="7" applyNumberFormat="1" applyFont="1" applyFill="1" applyBorder="1" applyAlignment="1" applyProtection="1">
      <alignment horizontal="center" vertical="center"/>
      <protection locked="0"/>
    </xf>
    <xf numFmtId="0" fontId="15" fillId="0" borderId="58" xfId="7" applyBorder="1" applyProtection="1">
      <protection locked="0"/>
    </xf>
    <xf numFmtId="0" fontId="15" fillId="0" borderId="59" xfId="7" applyBorder="1" applyProtection="1">
      <protection locked="0"/>
    </xf>
    <xf numFmtId="0" fontId="15" fillId="0" borderId="60" xfId="7" applyBorder="1" applyProtection="1">
      <protection locked="0"/>
    </xf>
    <xf numFmtId="0" fontId="15" fillId="0" borderId="61" xfId="7" applyBorder="1" applyProtection="1">
      <protection locked="0"/>
    </xf>
    <xf numFmtId="0" fontId="15" fillId="0" borderId="62" xfId="7" applyBorder="1" applyAlignment="1" applyProtection="1">
      <alignment horizontal="center"/>
      <protection locked="0"/>
    </xf>
    <xf numFmtId="14" fontId="23" fillId="14" borderId="63" xfId="7" applyNumberFormat="1" applyFont="1" applyFill="1" applyBorder="1" applyAlignment="1" applyProtection="1">
      <alignment horizontal="center" vertical="center"/>
      <protection locked="0"/>
    </xf>
    <xf numFmtId="0" fontId="15" fillId="0" borderId="25" xfId="7" applyBorder="1" applyProtection="1">
      <protection locked="0"/>
    </xf>
    <xf numFmtId="0" fontId="15" fillId="0" borderId="24" xfId="7" applyBorder="1" applyProtection="1">
      <protection locked="0"/>
    </xf>
    <xf numFmtId="0" fontId="15" fillId="0" borderId="64" xfId="7" applyBorder="1" applyProtection="1">
      <protection locked="0"/>
    </xf>
    <xf numFmtId="0" fontId="15" fillId="0" borderId="65" xfId="7" applyBorder="1" applyAlignment="1" applyProtection="1">
      <alignment horizontal="center"/>
      <protection locked="0"/>
    </xf>
    <xf numFmtId="14" fontId="23" fillId="14" borderId="66" xfId="7" applyNumberFormat="1" applyFont="1" applyFill="1" applyBorder="1" applyAlignment="1" applyProtection="1">
      <alignment horizontal="center" vertical="center"/>
      <protection locked="0"/>
    </xf>
    <xf numFmtId="0" fontId="15" fillId="0" borderId="67" xfId="7" applyBorder="1" applyProtection="1">
      <protection locked="0"/>
    </xf>
    <xf numFmtId="0" fontId="15" fillId="0" borderId="68" xfId="7" applyBorder="1" applyProtection="1">
      <protection locked="0"/>
    </xf>
    <xf numFmtId="0" fontId="15" fillId="0" borderId="69" xfId="7" applyBorder="1" applyProtection="1">
      <protection locked="0"/>
    </xf>
    <xf numFmtId="0" fontId="15" fillId="0" borderId="70" xfId="7" applyBorder="1" applyProtection="1">
      <protection locked="0"/>
    </xf>
    <xf numFmtId="0" fontId="15" fillId="0" borderId="71" xfId="7" applyBorder="1" applyAlignment="1" applyProtection="1">
      <alignment horizontal="center"/>
      <protection locked="0"/>
    </xf>
    <xf numFmtId="0" fontId="0" fillId="0" borderId="75" xfId="0" applyBorder="1"/>
    <xf numFmtId="167" fontId="3" fillId="30" borderId="82" xfId="1" applyNumberFormat="1" applyFont="1" applyFill="1" applyBorder="1" applyAlignment="1">
      <alignment horizontal="center"/>
    </xf>
    <xf numFmtId="167" fontId="3" fillId="0" borderId="81" xfId="1" applyNumberFormat="1" applyFont="1" applyBorder="1" applyAlignment="1">
      <alignment horizontal="center"/>
    </xf>
    <xf numFmtId="9" fontId="3" fillId="30" borderId="82" xfId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7" fillId="31" borderId="82" xfId="9" applyFont="1" applyFill="1" applyBorder="1" applyAlignment="1">
      <alignment horizontal="center" vertical="center"/>
    </xf>
    <xf numFmtId="0" fontId="27" fillId="26" borderId="82" xfId="9" applyFont="1" applyFill="1" applyBorder="1" applyAlignment="1">
      <alignment horizontal="center" vertical="center"/>
    </xf>
    <xf numFmtId="1" fontId="0" fillId="0" borderId="0" xfId="0" applyNumberFormat="1"/>
    <xf numFmtId="9" fontId="3" fillId="13" borderId="74" xfId="1" applyFont="1" applyFill="1" applyBorder="1" applyAlignment="1" applyProtection="1">
      <alignment horizontal="center" vertical="center"/>
      <protection locked="0" hidden="1"/>
    </xf>
    <xf numFmtId="9" fontId="3" fillId="30" borderId="82" xfId="0" applyNumberFormat="1" applyFont="1" applyFill="1" applyBorder="1" applyAlignment="1">
      <alignment horizontal="center"/>
    </xf>
    <xf numFmtId="9" fontId="3" fillId="30" borderId="82" xfId="0" applyNumberFormat="1" applyFont="1" applyFill="1" applyBorder="1" applyAlignment="1" applyProtection="1">
      <alignment horizontal="center"/>
      <protection locked="0"/>
    </xf>
    <xf numFmtId="9" fontId="3" fillId="13" borderId="74" xfId="1" applyFont="1" applyFill="1" applyBorder="1" applyAlignment="1" applyProtection="1">
      <alignment horizontal="center" vertical="center"/>
      <protection hidden="1"/>
    </xf>
    <xf numFmtId="0" fontId="3" fillId="30" borderId="82" xfId="0" applyFont="1" applyFill="1" applyBorder="1" applyAlignment="1">
      <alignment horizontal="center"/>
    </xf>
    <xf numFmtId="0" fontId="3" fillId="30" borderId="82" xfId="0" applyFont="1" applyFill="1" applyBorder="1" applyAlignment="1" applyProtection="1">
      <alignment horizontal="center"/>
      <protection locked="0"/>
    </xf>
    <xf numFmtId="1" fontId="3" fillId="0" borderId="82" xfId="0" applyNumberFormat="1" applyFont="1" applyBorder="1" applyAlignment="1">
      <alignment horizontal="center"/>
    </xf>
    <xf numFmtId="1" fontId="3" fillId="30" borderId="82" xfId="0" applyNumberFormat="1" applyFont="1" applyFill="1" applyBorder="1" applyAlignment="1">
      <alignment horizontal="center"/>
    </xf>
    <xf numFmtId="0" fontId="0" fillId="13" borderId="83" xfId="0" applyFill="1" applyBorder="1"/>
    <xf numFmtId="0" fontId="0" fillId="0" borderId="0" xfId="1" applyNumberFormat="1" applyFont="1"/>
    <xf numFmtId="9" fontId="0" fillId="0" borderId="0" xfId="1" applyFont="1" applyBorder="1"/>
    <xf numFmtId="166" fontId="3" fillId="30" borderId="82" xfId="0" applyNumberFormat="1" applyFont="1" applyFill="1" applyBorder="1" applyAlignment="1">
      <alignment horizontal="center"/>
    </xf>
    <xf numFmtId="9" fontId="3" fillId="0" borderId="87" xfId="0" applyNumberFormat="1" applyFont="1" applyBorder="1" applyAlignment="1">
      <alignment horizontal="center"/>
    </xf>
    <xf numFmtId="0" fontId="3" fillId="0" borderId="85" xfId="0" applyFont="1" applyBorder="1" applyAlignment="1">
      <alignment horizontal="center"/>
    </xf>
    <xf numFmtId="0" fontId="3" fillId="0" borderId="82" xfId="0" applyFont="1" applyBorder="1" applyAlignment="1">
      <alignment horizontal="center"/>
    </xf>
    <xf numFmtId="0" fontId="3" fillId="0" borderId="87" xfId="0" applyFont="1" applyBorder="1" applyAlignment="1">
      <alignment horizontal="center"/>
    </xf>
    <xf numFmtId="0" fontId="27" fillId="32" borderId="82" xfId="9" applyFont="1" applyFill="1" applyBorder="1" applyAlignment="1">
      <alignment horizontal="center" vertical="center"/>
    </xf>
    <xf numFmtId="0" fontId="27" fillId="27" borderId="82" xfId="9" applyFont="1" applyFill="1" applyBorder="1" applyAlignment="1">
      <alignment horizontal="center" vertical="center"/>
    </xf>
    <xf numFmtId="168" fontId="31" fillId="33" borderId="89" xfId="9" applyNumberFormat="1" applyFont="1" applyFill="1" applyBorder="1" applyAlignment="1">
      <alignment horizontal="center" vertical="center"/>
    </xf>
    <xf numFmtId="0" fontId="3" fillId="31" borderId="90" xfId="0" applyFont="1" applyFill="1" applyBorder="1"/>
    <xf numFmtId="0" fontId="3" fillId="31" borderId="91" xfId="0" applyFont="1" applyFill="1" applyBorder="1"/>
    <xf numFmtId="0" fontId="3" fillId="31" borderId="92" xfId="0" applyFont="1" applyFill="1" applyBorder="1"/>
    <xf numFmtId="169" fontId="3" fillId="31" borderId="0" xfId="0" applyNumberFormat="1" applyFont="1" applyFill="1" applyAlignment="1">
      <alignment horizontal="center"/>
    </xf>
    <xf numFmtId="0" fontId="3" fillId="11" borderId="0" xfId="0" applyFont="1" applyFill="1"/>
    <xf numFmtId="0" fontId="3" fillId="14" borderId="0" xfId="0" applyFont="1" applyFill="1"/>
    <xf numFmtId="0" fontId="26" fillId="11" borderId="27" xfId="0" applyFont="1" applyFill="1" applyBorder="1" applyAlignment="1">
      <alignment vertical="center"/>
    </xf>
    <xf numFmtId="0" fontId="26" fillId="11" borderId="0" xfId="0" applyFont="1" applyFill="1" applyAlignment="1">
      <alignment vertical="center"/>
    </xf>
    <xf numFmtId="170" fontId="33" fillId="28" borderId="96" xfId="0" applyNumberFormat="1" applyFont="1" applyFill="1" applyBorder="1" applyAlignment="1">
      <alignment horizontal="center" vertical="center"/>
    </xf>
    <xf numFmtId="0" fontId="35" fillId="0" borderId="41" xfId="9" applyFont="1" applyBorder="1" applyAlignment="1">
      <alignment horizontal="center" vertical="center" wrapText="1"/>
    </xf>
    <xf numFmtId="0" fontId="35" fillId="13" borderId="0" xfId="9" applyFont="1" applyFill="1" applyAlignment="1">
      <alignment horizontal="center" vertical="center"/>
    </xf>
    <xf numFmtId="0" fontId="35" fillId="13" borderId="0" xfId="9" applyFont="1" applyFill="1" applyAlignment="1">
      <alignment horizontal="center" vertical="center" wrapText="1"/>
    </xf>
    <xf numFmtId="0" fontId="36" fillId="13" borderId="0" xfId="9" applyFont="1" applyFill="1" applyAlignment="1">
      <alignment horizontal="center" vertical="center" wrapText="1"/>
    </xf>
    <xf numFmtId="15" fontId="3" fillId="28" borderId="79" xfId="0" applyNumberFormat="1" applyFont="1" applyFill="1" applyBorder="1" applyAlignment="1">
      <alignment horizontal="center" vertical="center"/>
    </xf>
    <xf numFmtId="166" fontId="3" fillId="0" borderId="82" xfId="1" applyNumberFormat="1" applyFont="1" applyBorder="1" applyAlignment="1">
      <alignment horizontal="center"/>
    </xf>
    <xf numFmtId="9" fontId="3" fillId="0" borderId="82" xfId="1" applyFont="1" applyBorder="1" applyAlignment="1">
      <alignment horizontal="center"/>
    </xf>
    <xf numFmtId="166" fontId="3" fillId="0" borderId="81" xfId="1" applyNumberFormat="1" applyFont="1" applyBorder="1" applyAlignment="1">
      <alignment horizontal="center"/>
    </xf>
    <xf numFmtId="2" fontId="3" fillId="30" borderId="82" xfId="1" applyNumberFormat="1" applyFont="1" applyFill="1" applyBorder="1" applyAlignment="1">
      <alignment horizontal="center"/>
    </xf>
    <xf numFmtId="166" fontId="3" fillId="30" borderId="82" xfId="1" applyNumberFormat="1" applyFont="1" applyFill="1" applyBorder="1" applyAlignment="1">
      <alignment horizontal="center"/>
    </xf>
    <xf numFmtId="167" fontId="0" fillId="13" borderId="8" xfId="1" applyNumberFormat="1" applyFont="1" applyFill="1" applyBorder="1" applyAlignment="1" applyProtection="1">
      <alignment horizontal="center" vertical="center"/>
      <protection locked="0"/>
    </xf>
    <xf numFmtId="10" fontId="0" fillId="0" borderId="0" xfId="0" applyNumberFormat="1" applyAlignment="1">
      <alignment horizontal="center" vertical="center"/>
    </xf>
    <xf numFmtId="167" fontId="0" fillId="0" borderId="24" xfId="0" applyNumberForma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29" borderId="83" xfId="0" applyFill="1" applyBorder="1" applyAlignment="1">
      <alignment horizontal="center"/>
    </xf>
    <xf numFmtId="0" fontId="26" fillId="29" borderId="0" xfId="0" applyFont="1" applyFill="1" applyAlignment="1">
      <alignment horizontal="center" vertical="center"/>
    </xf>
    <xf numFmtId="0" fontId="3" fillId="0" borderId="77" xfId="0" applyFont="1" applyBorder="1" applyAlignment="1">
      <alignment horizontal="center"/>
    </xf>
    <xf numFmtId="10" fontId="3" fillId="0" borderId="0" xfId="0" applyNumberFormat="1" applyFont="1" applyAlignment="1">
      <alignment horizontal="center"/>
    </xf>
    <xf numFmtId="166" fontId="0" fillId="13" borderId="8" xfId="1" applyNumberFormat="1" applyFont="1" applyFill="1" applyBorder="1" applyAlignment="1" applyProtection="1">
      <alignment horizontal="center" vertical="center"/>
      <protection locked="0"/>
    </xf>
    <xf numFmtId="1" fontId="0" fillId="0" borderId="0" xfId="1" applyNumberFormat="1" applyFont="1"/>
    <xf numFmtId="1" fontId="0" fillId="13" borderId="8" xfId="1" applyNumberFormat="1" applyFont="1" applyFill="1" applyBorder="1" applyAlignment="1" applyProtection="1">
      <alignment horizontal="center" vertical="center"/>
      <protection locked="0"/>
    </xf>
    <xf numFmtId="1" fontId="3" fillId="30" borderId="82" xfId="1" applyNumberFormat="1" applyFont="1" applyFill="1" applyBorder="1" applyAlignment="1">
      <alignment horizontal="center"/>
    </xf>
    <xf numFmtId="1" fontId="3" fillId="0" borderId="81" xfId="0" applyNumberFormat="1" applyFont="1" applyBorder="1" applyAlignment="1">
      <alignment horizontal="center"/>
    </xf>
    <xf numFmtId="167" fontId="27" fillId="31" borderId="82" xfId="1" applyNumberFormat="1" applyFont="1" applyFill="1" applyBorder="1" applyAlignment="1">
      <alignment horizontal="center" vertical="center"/>
    </xf>
    <xf numFmtId="167" fontId="3" fillId="0" borderId="0" xfId="1" applyNumberFormat="1" applyFont="1" applyAlignment="1">
      <alignment horizontal="center"/>
    </xf>
    <xf numFmtId="168" fontId="3" fillId="20" borderId="45" xfId="0" applyNumberFormat="1" applyFont="1" applyFill="1" applyBorder="1" applyAlignment="1">
      <alignment horizontal="center" vertical="center"/>
    </xf>
    <xf numFmtId="168" fontId="0" fillId="0" borderId="6" xfId="0" applyNumberFormat="1" applyBorder="1" applyAlignment="1">
      <alignment horizontal="center" vertical="center"/>
    </xf>
    <xf numFmtId="168" fontId="0" fillId="0" borderId="64" xfId="0" applyNumberFormat="1" applyBorder="1" applyAlignment="1">
      <alignment horizontal="center" vertical="center"/>
    </xf>
    <xf numFmtId="168" fontId="0" fillId="0" borderId="73" xfId="0" applyNumberFormat="1" applyBorder="1" applyAlignment="1">
      <alignment horizontal="center" vertical="center"/>
    </xf>
    <xf numFmtId="167" fontId="3" fillId="30" borderId="0" xfId="1" applyNumberFormat="1" applyFont="1" applyFill="1" applyBorder="1" applyAlignment="1">
      <alignment horizontal="center"/>
    </xf>
    <xf numFmtId="167" fontId="3" fillId="0" borderId="0" xfId="1" applyNumberFormat="1" applyFont="1" applyBorder="1" applyAlignment="1">
      <alignment horizontal="center"/>
    </xf>
    <xf numFmtId="0" fontId="28" fillId="35" borderId="85" xfId="9" applyFont="1" applyFill="1" applyBorder="1" applyAlignment="1">
      <alignment horizontal="left" vertical="center"/>
    </xf>
    <xf numFmtId="166" fontId="15" fillId="0" borderId="0" xfId="7" applyNumberFormat="1" applyProtection="1">
      <protection locked="0"/>
    </xf>
    <xf numFmtId="166" fontId="0" fillId="14" borderId="7" xfId="0" applyNumberFormat="1" applyFill="1" applyBorder="1" applyAlignment="1" applyProtection="1">
      <alignment horizontal="center" vertical="center"/>
      <protection locked="0"/>
    </xf>
    <xf numFmtId="9" fontId="0" fillId="13" borderId="5" xfId="1" applyFont="1" applyFill="1" applyBorder="1" applyAlignment="1" applyProtection="1">
      <alignment horizontal="center" vertical="center"/>
      <protection locked="0"/>
    </xf>
    <xf numFmtId="0" fontId="41" fillId="2" borderId="1" xfId="0" applyFont="1" applyFill="1" applyBorder="1" applyAlignment="1">
      <alignment horizontal="center" vertical="center"/>
    </xf>
    <xf numFmtId="0" fontId="41" fillId="2" borderId="2" xfId="0" applyFont="1" applyFill="1" applyBorder="1" applyAlignment="1">
      <alignment horizontal="center" vertical="center"/>
    </xf>
    <xf numFmtId="0" fontId="41" fillId="3" borderId="2" xfId="0" applyFont="1" applyFill="1" applyBorder="1" applyAlignment="1">
      <alignment horizontal="center" vertical="center" wrapText="1"/>
    </xf>
    <xf numFmtId="0" fontId="41" fillId="4" borderId="2" xfId="0" applyFont="1" applyFill="1" applyBorder="1" applyAlignment="1">
      <alignment horizontal="center" vertical="center" wrapText="1"/>
    </xf>
    <xf numFmtId="0" fontId="41" fillId="2" borderId="2" xfId="0" applyFont="1" applyFill="1" applyBorder="1" applyAlignment="1">
      <alignment horizontal="center" vertical="center" wrapText="1"/>
    </xf>
    <xf numFmtId="0" fontId="41" fillId="5" borderId="2" xfId="0" applyFont="1" applyFill="1" applyBorder="1" applyAlignment="1">
      <alignment horizontal="center" vertical="center" wrapText="1"/>
    </xf>
    <xf numFmtId="0" fontId="41" fillId="6" borderId="2" xfId="0" applyFont="1" applyFill="1" applyBorder="1" applyAlignment="1">
      <alignment horizontal="center" vertical="center" wrapText="1"/>
    </xf>
    <xf numFmtId="0" fontId="41" fillId="7" borderId="2" xfId="0" applyFont="1" applyFill="1" applyBorder="1" applyAlignment="1">
      <alignment horizontal="center" vertical="center" wrapText="1"/>
    </xf>
    <xf numFmtId="0" fontId="41" fillId="8" borderId="2" xfId="0" applyFont="1" applyFill="1" applyBorder="1" applyAlignment="1">
      <alignment horizontal="center" vertical="center" wrapText="1"/>
    </xf>
    <xf numFmtId="0" fontId="41" fillId="9" borderId="2" xfId="0" applyFont="1" applyFill="1" applyBorder="1" applyAlignment="1">
      <alignment horizontal="center" vertical="center" wrapText="1"/>
    </xf>
    <xf numFmtId="0" fontId="41" fillId="10" borderId="2" xfId="0" applyFont="1" applyFill="1" applyBorder="1" applyAlignment="1">
      <alignment horizontal="center" vertical="center" wrapText="1"/>
    </xf>
    <xf numFmtId="0" fontId="41" fillId="11" borderId="3" xfId="0" applyFont="1" applyFill="1" applyBorder="1" applyAlignment="1">
      <alignment horizontal="center" vertical="center" wrapText="1"/>
    </xf>
    <xf numFmtId="167" fontId="41" fillId="11" borderId="3" xfId="1" applyNumberFormat="1" applyFont="1" applyFill="1" applyBorder="1" applyAlignment="1">
      <alignment horizontal="center" vertical="center" wrapText="1"/>
    </xf>
    <xf numFmtId="1" fontId="41" fillId="11" borderId="3" xfId="1" applyNumberFormat="1" applyFont="1" applyFill="1" applyBorder="1" applyAlignment="1">
      <alignment horizontal="center" vertical="center" wrapText="1"/>
    </xf>
    <xf numFmtId="0" fontId="41" fillId="5" borderId="4" xfId="0" applyFont="1" applyFill="1" applyBorder="1" applyAlignment="1">
      <alignment horizontal="center" vertical="center" wrapText="1"/>
    </xf>
    <xf numFmtId="15" fontId="0" fillId="0" borderId="5" xfId="0" applyNumberFormat="1" applyBorder="1"/>
    <xf numFmtId="0" fontId="0" fillId="0" borderId="5" xfId="0" applyBorder="1" applyAlignment="1" applyProtection="1">
      <alignment vertical="center"/>
      <protection locked="0"/>
    </xf>
    <xf numFmtId="0" fontId="0" fillId="0" borderId="46" xfId="0" applyBorder="1"/>
    <xf numFmtId="0" fontId="0" fillId="0" borderId="72" xfId="0" applyBorder="1" applyAlignment="1">
      <alignment horizontal="left"/>
    </xf>
    <xf numFmtId="0" fontId="0" fillId="0" borderId="72" xfId="0" applyBorder="1" applyAlignment="1">
      <alignment horizontal="center"/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72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167" fontId="0" fillId="37" borderId="0" xfId="1" applyNumberFormat="1" applyFont="1" applyFill="1" applyBorder="1" applyAlignment="1">
      <alignment horizontal="center"/>
    </xf>
    <xf numFmtId="167" fontId="0" fillId="37" borderId="72" xfId="1" applyNumberFormat="1" applyFont="1" applyFill="1" applyBorder="1" applyAlignment="1">
      <alignment horizontal="center"/>
    </xf>
    <xf numFmtId="0" fontId="42" fillId="36" borderId="3" xfId="0" applyFont="1" applyFill="1" applyBorder="1" applyAlignment="1">
      <alignment horizontal="center"/>
    </xf>
    <xf numFmtId="16" fontId="42" fillId="36" borderId="3" xfId="0" applyNumberFormat="1" applyFont="1" applyFill="1" applyBorder="1" applyAlignment="1">
      <alignment horizontal="center"/>
    </xf>
    <xf numFmtId="0" fontId="43" fillId="0" borderId="0" xfId="0" applyFont="1"/>
    <xf numFmtId="9" fontId="0" fillId="0" borderId="0" xfId="0" applyNumberFormat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4" fillId="36" borderId="3" xfId="0" applyFont="1" applyFill="1" applyBorder="1" applyAlignment="1">
      <alignment horizontal="center" vertical="center"/>
    </xf>
    <xf numFmtId="0" fontId="45" fillId="0" borderId="0" xfId="0" applyFont="1" applyAlignment="1">
      <alignment horizontal="center"/>
    </xf>
    <xf numFmtId="15" fontId="46" fillId="0" borderId="5" xfId="0" applyNumberFormat="1" applyFont="1" applyBorder="1"/>
    <xf numFmtId="0" fontId="46" fillId="0" borderId="5" xfId="0" applyFont="1" applyBorder="1" applyAlignment="1" applyProtection="1">
      <alignment vertical="center"/>
      <protection locked="0"/>
    </xf>
    <xf numFmtId="0" fontId="46" fillId="0" borderId="0" xfId="0" applyFont="1"/>
    <xf numFmtId="1" fontId="46" fillId="0" borderId="5" xfId="0" applyNumberFormat="1" applyFont="1" applyBorder="1" applyAlignment="1" applyProtection="1">
      <alignment vertical="center"/>
      <protection locked="0"/>
    </xf>
    <xf numFmtId="0" fontId="46" fillId="0" borderId="5" xfId="0" applyFont="1" applyBorder="1" applyAlignment="1" applyProtection="1">
      <alignment vertical="center" wrapText="1"/>
      <protection locked="0"/>
    </xf>
    <xf numFmtId="16" fontId="46" fillId="0" borderId="5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5" fontId="0" fillId="12" borderId="101" xfId="0" applyNumberFormat="1" applyFill="1" applyBorder="1" applyAlignment="1">
      <alignment horizontal="center" vertical="center"/>
    </xf>
    <xf numFmtId="17" fontId="0" fillId="12" borderId="100" xfId="0" applyNumberFormat="1" applyFill="1" applyBorder="1" applyAlignment="1">
      <alignment horizontal="center" vertical="center"/>
    </xf>
    <xf numFmtId="166" fontId="0" fillId="12" borderId="100" xfId="0" applyNumberForma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9" fontId="0" fillId="0" borderId="5" xfId="1" applyFont="1" applyBorder="1" applyAlignment="1">
      <alignment horizontal="center" vertical="center"/>
    </xf>
    <xf numFmtId="9" fontId="0" fillId="0" borderId="5" xfId="1" applyFont="1" applyBorder="1" applyAlignment="1">
      <alignment horizontal="center"/>
    </xf>
    <xf numFmtId="0" fontId="47" fillId="36" borderId="8" xfId="0" applyFont="1" applyFill="1" applyBorder="1" applyAlignment="1">
      <alignment horizontal="center" vertical="center"/>
    </xf>
    <xf numFmtId="16" fontId="23" fillId="0" borderId="5" xfId="0" applyNumberFormat="1" applyFont="1" applyBorder="1" applyAlignment="1">
      <alignment horizontal="center"/>
    </xf>
    <xf numFmtId="17" fontId="23" fillId="12" borderId="7" xfId="0" applyNumberFormat="1" applyFont="1" applyFill="1" applyBorder="1" applyAlignment="1">
      <alignment horizontal="center" vertical="center"/>
    </xf>
    <xf numFmtId="0" fontId="23" fillId="0" borderId="5" xfId="0" applyFont="1" applyBorder="1" applyAlignment="1" applyProtection="1">
      <alignment vertical="center"/>
      <protection locked="0"/>
    </xf>
    <xf numFmtId="0" fontId="23" fillId="0" borderId="5" xfId="0" applyFont="1" applyBorder="1" applyAlignment="1" applyProtection="1">
      <alignment vertical="center" wrapText="1"/>
      <protection locked="0"/>
    </xf>
    <xf numFmtId="0" fontId="23" fillId="0" borderId="5" xfId="0" applyFont="1" applyBorder="1" applyAlignment="1" applyProtection="1">
      <alignment horizontal="center" vertical="center"/>
      <protection locked="0"/>
    </xf>
    <xf numFmtId="1" fontId="23" fillId="0" borderId="5" xfId="0" applyNumberFormat="1" applyFont="1" applyBorder="1" applyAlignment="1" applyProtection="1">
      <alignment horizontal="center" vertical="center"/>
      <protection locked="0"/>
    </xf>
    <xf numFmtId="0" fontId="47" fillId="36" borderId="8" xfId="0" applyFont="1" applyFill="1" applyBorder="1" applyAlignment="1">
      <alignment horizontal="center" vertical="center" wrapText="1"/>
    </xf>
    <xf numFmtId="16" fontId="23" fillId="0" borderId="5" xfId="0" applyNumberFormat="1" applyFont="1" applyBorder="1" applyAlignment="1">
      <alignment horizontal="center" vertical="center"/>
    </xf>
    <xf numFmtId="0" fontId="2" fillId="2" borderId="5" xfId="0" applyFont="1" applyFill="1" applyBorder="1" applyAlignment="1" applyProtection="1">
      <alignment horizontal="center" vertical="center"/>
      <protection hidden="1"/>
    </xf>
    <xf numFmtId="2" fontId="0" fillId="0" borderId="5" xfId="1" applyNumberFormat="1" applyFont="1" applyBorder="1" applyAlignment="1" applyProtection="1">
      <alignment horizontal="center" vertical="center"/>
      <protection hidden="1"/>
    </xf>
    <xf numFmtId="0" fontId="47" fillId="36" borderId="0" xfId="0" applyFont="1" applyFill="1" applyAlignment="1">
      <alignment horizontal="center" vertical="center"/>
    </xf>
    <xf numFmtId="167" fontId="0" fillId="0" borderId="5" xfId="1" applyNumberFormat="1" applyFont="1" applyBorder="1"/>
    <xf numFmtId="0" fontId="44" fillId="36" borderId="5" xfId="0" applyFont="1" applyFill="1" applyBorder="1" applyAlignment="1">
      <alignment horizontal="center" vertical="center"/>
    </xf>
    <xf numFmtId="0" fontId="34" fillId="11" borderId="13" xfId="0" applyFont="1" applyFill="1" applyBorder="1" applyAlignment="1">
      <alignment horizontal="center" vertical="center"/>
    </xf>
    <xf numFmtId="0" fontId="46" fillId="0" borderId="46" xfId="0" applyFont="1" applyBorder="1"/>
    <xf numFmtId="0" fontId="46" fillId="0" borderId="5" xfId="0" applyFont="1" applyBorder="1"/>
    <xf numFmtId="0" fontId="48" fillId="0" borderId="0" xfId="0" applyFont="1"/>
    <xf numFmtId="0" fontId="48" fillId="0" borderId="5" xfId="0" applyFont="1" applyBorder="1"/>
    <xf numFmtId="0" fontId="46" fillId="0" borderId="0" xfId="0" applyFont="1" applyAlignment="1" applyProtection="1">
      <alignment vertical="center"/>
      <protection locked="0"/>
    </xf>
    <xf numFmtId="171" fontId="48" fillId="0" borderId="5" xfId="0" applyNumberFormat="1" applyFont="1" applyBorder="1"/>
    <xf numFmtId="1" fontId="46" fillId="0" borderId="0" xfId="0" applyNumberFormat="1" applyFont="1" applyAlignment="1" applyProtection="1">
      <alignment vertical="center"/>
      <protection locked="0"/>
    </xf>
    <xf numFmtId="0" fontId="46" fillId="0" borderId="46" xfId="0" applyFont="1" applyBorder="1" applyAlignment="1" applyProtection="1">
      <alignment vertical="center"/>
      <protection locked="0"/>
    </xf>
    <xf numFmtId="171" fontId="48" fillId="0" borderId="0" xfId="0" applyNumberFormat="1" applyFont="1"/>
    <xf numFmtId="0" fontId="28" fillId="33" borderId="81" xfId="9" applyFont="1" applyFill="1" applyBorder="1" applyAlignment="1">
      <alignment horizontal="left" vertical="center"/>
    </xf>
    <xf numFmtId="0" fontId="0" fillId="29" borderId="79" xfId="0" applyFill="1" applyBorder="1"/>
    <xf numFmtId="0" fontId="0" fillId="29" borderId="77" xfId="0" applyFill="1" applyBorder="1"/>
    <xf numFmtId="0" fontId="0" fillId="29" borderId="78" xfId="0" applyFill="1" applyBorder="1"/>
    <xf numFmtId="167" fontId="28" fillId="31" borderId="82" xfId="1" applyNumberFormat="1" applyFont="1" applyFill="1" applyBorder="1" applyAlignment="1">
      <alignment vertical="center"/>
    </xf>
    <xf numFmtId="0" fontId="28" fillId="31" borderId="82" xfId="9" applyFont="1" applyFill="1" applyBorder="1" applyAlignment="1">
      <alignment vertical="center"/>
    </xf>
    <xf numFmtId="0" fontId="28" fillId="26" borderId="82" xfId="9" applyFont="1" applyFill="1" applyBorder="1" applyAlignment="1">
      <alignment vertical="center"/>
    </xf>
    <xf numFmtId="166" fontId="3" fillId="0" borderId="85" xfId="0" applyNumberFormat="1" applyFont="1" applyBorder="1"/>
    <xf numFmtId="166" fontId="3" fillId="0" borderId="81" xfId="0" applyNumberFormat="1" applyFont="1" applyBorder="1"/>
    <xf numFmtId="0" fontId="3" fillId="0" borderId="85" xfId="0" applyFont="1" applyBorder="1"/>
    <xf numFmtId="0" fontId="3" fillId="0" borderId="84" xfId="0" applyFont="1" applyBorder="1"/>
    <xf numFmtId="0" fontId="3" fillId="0" borderId="81" xfId="0" applyFont="1" applyBorder="1"/>
    <xf numFmtId="0" fontId="28" fillId="33" borderId="81" xfId="9" applyFont="1" applyFill="1" applyBorder="1" applyAlignment="1">
      <alignment vertical="center"/>
    </xf>
    <xf numFmtId="0" fontId="28" fillId="35" borderId="85" xfId="9" applyFont="1" applyFill="1" applyBorder="1" applyAlignment="1">
      <alignment vertical="center"/>
    </xf>
    <xf numFmtId="0" fontId="28" fillId="35" borderId="81" xfId="9" applyFont="1" applyFill="1" applyBorder="1" applyAlignment="1">
      <alignment vertical="center"/>
    </xf>
    <xf numFmtId="168" fontId="32" fillId="11" borderId="94" xfId="9" applyNumberFormat="1" applyFont="1" applyFill="1" applyBorder="1" applyAlignment="1">
      <alignment vertical="center" wrapText="1"/>
    </xf>
    <xf numFmtId="168" fontId="32" fillId="11" borderId="93" xfId="9" applyNumberFormat="1" applyFont="1" applyFill="1" applyBorder="1" applyAlignment="1">
      <alignment vertical="center" wrapText="1"/>
    </xf>
    <xf numFmtId="0" fontId="28" fillId="32" borderId="85" xfId="9" applyFont="1" applyFill="1" applyBorder="1" applyAlignment="1">
      <alignment vertical="center" wrapText="1"/>
    </xf>
    <xf numFmtId="0" fontId="28" fillId="32" borderId="81" xfId="9" applyFont="1" applyFill="1" applyBorder="1" applyAlignment="1">
      <alignment vertical="center" wrapText="1"/>
    </xf>
    <xf numFmtId="0" fontId="3" fillId="0" borderId="77" xfId="0" applyFont="1" applyBorder="1"/>
    <xf numFmtId="10" fontId="3" fillId="0" borderId="0" xfId="0" applyNumberFormat="1" applyFont="1"/>
    <xf numFmtId="0" fontId="28" fillId="26" borderId="85" xfId="9" applyFont="1" applyFill="1" applyBorder="1" applyAlignment="1">
      <alignment vertical="center"/>
    </xf>
    <xf numFmtId="0" fontId="28" fillId="26" borderId="81" xfId="9" applyFont="1" applyFill="1" applyBorder="1" applyAlignment="1">
      <alignment vertical="center"/>
    </xf>
    <xf numFmtId="0" fontId="28" fillId="27" borderId="82" xfId="9" applyFont="1" applyFill="1" applyBorder="1" applyAlignment="1">
      <alignment vertical="center"/>
    </xf>
    <xf numFmtId="0" fontId="28" fillId="27" borderId="82" xfId="9" applyFont="1" applyFill="1" applyBorder="1" applyAlignment="1">
      <alignment vertical="center" wrapText="1"/>
    </xf>
    <xf numFmtId="0" fontId="30" fillId="27" borderId="87" xfId="0" applyFont="1" applyFill="1" applyBorder="1" applyAlignment="1">
      <alignment vertical="center"/>
    </xf>
    <xf numFmtId="0" fontId="0" fillId="29" borderId="98" xfId="0" applyFill="1" applyBorder="1"/>
    <xf numFmtId="0" fontId="0" fillId="29" borderId="80" xfId="0" applyFill="1" applyBorder="1"/>
    <xf numFmtId="0" fontId="0" fillId="29" borderId="83" xfId="0" applyFill="1" applyBorder="1"/>
    <xf numFmtId="0" fontId="38" fillId="11" borderId="0" xfId="0" applyFont="1" applyFill="1" applyAlignment="1">
      <alignment vertical="center"/>
    </xf>
    <xf numFmtId="0" fontId="25" fillId="29" borderId="98" xfId="0" applyFont="1" applyFill="1" applyBorder="1" applyAlignment="1">
      <alignment vertical="center"/>
    </xf>
    <xf numFmtId="0" fontId="25" fillId="29" borderId="80" xfId="0" applyFont="1" applyFill="1" applyBorder="1" applyAlignment="1">
      <alignment vertical="center"/>
    </xf>
    <xf numFmtId="0" fontId="25" fillId="29" borderId="76" xfId="0" applyFont="1" applyFill="1" applyBorder="1" applyAlignment="1">
      <alignment vertical="center"/>
    </xf>
    <xf numFmtId="0" fontId="37" fillId="34" borderId="94" xfId="0" applyFont="1" applyFill="1" applyBorder="1" applyAlignment="1">
      <alignment vertical="center"/>
    </xf>
    <xf numFmtId="0" fontId="37" fillId="34" borderId="97" xfId="0" applyFont="1" applyFill="1" applyBorder="1" applyAlignment="1">
      <alignment vertical="center"/>
    </xf>
    <xf numFmtId="0" fontId="37" fillId="34" borderId="93" xfId="0" applyFont="1" applyFill="1" applyBorder="1" applyAlignment="1">
      <alignment vertical="center"/>
    </xf>
    <xf numFmtId="0" fontId="26" fillId="29" borderId="41" xfId="0" applyFont="1" applyFill="1" applyBorder="1" applyAlignment="1">
      <alignment vertical="center"/>
    </xf>
    <xf numFmtId="0" fontId="26" fillId="29" borderId="95" xfId="0" applyFont="1" applyFill="1" applyBorder="1" applyAlignment="1">
      <alignment vertical="center"/>
    </xf>
    <xf numFmtId="0" fontId="26" fillId="29" borderId="27" xfId="0" applyFont="1" applyFill="1" applyBorder="1" applyAlignment="1">
      <alignment vertical="center"/>
    </xf>
    <xf numFmtId="0" fontId="26" fillId="29" borderId="0" xfId="0" applyFont="1" applyFill="1" applyAlignment="1">
      <alignment vertical="center"/>
    </xf>
    <xf numFmtId="168" fontId="34" fillId="34" borderId="94" xfId="9" applyNumberFormat="1" applyFont="1" applyFill="1" applyBorder="1" applyAlignment="1">
      <alignment vertical="center" wrapText="1"/>
    </xf>
    <xf numFmtId="168" fontId="34" fillId="34" borderId="93" xfId="9" applyNumberFormat="1" applyFont="1" applyFill="1" applyBorder="1" applyAlignment="1">
      <alignment vertical="center" wrapText="1"/>
    </xf>
    <xf numFmtId="0" fontId="30" fillId="27" borderId="88" xfId="0" applyFont="1" applyFill="1" applyBorder="1" applyAlignment="1">
      <alignment horizontal="left" vertical="center"/>
    </xf>
    <xf numFmtId="0" fontId="29" fillId="32" borderId="87" xfId="9" applyFont="1" applyFill="1" applyBorder="1" applyAlignment="1">
      <alignment horizontal="left" vertical="center"/>
    </xf>
    <xf numFmtId="0" fontId="29" fillId="32" borderId="88" xfId="9" applyFont="1" applyFill="1" applyBorder="1" applyAlignment="1">
      <alignment horizontal="left" vertical="center"/>
    </xf>
    <xf numFmtId="0" fontId="29" fillId="26" borderId="87" xfId="9" applyFont="1" applyFill="1" applyBorder="1" applyAlignment="1">
      <alignment horizontal="left" vertical="center"/>
    </xf>
    <xf numFmtId="0" fontId="29" fillId="26" borderId="86" xfId="9" applyFont="1" applyFill="1" applyBorder="1" applyAlignment="1">
      <alignment horizontal="left" vertical="center"/>
    </xf>
    <xf numFmtId="0" fontId="29" fillId="26" borderId="88" xfId="9" applyFont="1" applyFill="1" applyBorder="1" applyAlignment="1">
      <alignment horizontal="left" vertical="center"/>
    </xf>
    <xf numFmtId="0" fontId="29" fillId="35" borderId="82" xfId="9" applyFont="1" applyFill="1" applyBorder="1" applyAlignment="1">
      <alignment horizontal="left" vertical="center"/>
    </xf>
    <xf numFmtId="168" fontId="46" fillId="0" borderId="5" xfId="0" applyNumberFormat="1" applyFont="1" applyBorder="1"/>
    <xf numFmtId="168" fontId="46" fillId="0" borderId="5" xfId="0" applyNumberFormat="1" applyFont="1" applyBorder="1" applyAlignment="1">
      <alignment vertical="center"/>
    </xf>
    <xf numFmtId="0" fontId="29" fillId="33" borderId="87" xfId="9" applyFont="1" applyFill="1" applyBorder="1" applyAlignment="1">
      <alignment horizontal="left" vertical="center"/>
    </xf>
    <xf numFmtId="0" fontId="29" fillId="33" borderId="86" xfId="9" applyFont="1" applyFill="1" applyBorder="1" applyAlignment="1">
      <alignment horizontal="left" vertical="center"/>
    </xf>
    <xf numFmtId="0" fontId="29" fillId="33" borderId="88" xfId="9" applyFont="1" applyFill="1" applyBorder="1" applyAlignment="1">
      <alignment horizontal="left" vertical="center"/>
    </xf>
    <xf numFmtId="0" fontId="29" fillId="31" borderId="87" xfId="9" applyFont="1" applyFill="1" applyBorder="1" applyAlignment="1">
      <alignment horizontal="left" vertical="center"/>
    </xf>
    <xf numFmtId="0" fontId="29" fillId="31" borderId="88" xfId="9" applyFont="1" applyFill="1" applyBorder="1" applyAlignment="1">
      <alignment horizontal="left" vertical="center"/>
    </xf>
    <xf numFmtId="22" fontId="0" fillId="29" borderId="79" xfId="0" applyNumberFormat="1" applyFill="1" applyBorder="1" applyAlignment="1">
      <alignment horizontal="center"/>
    </xf>
    <xf numFmtId="22" fontId="0" fillId="29" borderId="78" xfId="0" applyNumberFormat="1" applyFill="1" applyBorder="1" applyAlignment="1">
      <alignment horizontal="center"/>
    </xf>
    <xf numFmtId="22" fontId="0" fillId="29" borderId="99" xfId="0" applyNumberFormat="1" applyFill="1" applyBorder="1" applyAlignment="1">
      <alignment horizontal="center"/>
    </xf>
    <xf numFmtId="1" fontId="16" fillId="0" borderId="0" xfId="8" applyNumberFormat="1" applyFont="1" applyFill="1" applyBorder="1" applyAlignment="1" applyProtection="1">
      <alignment horizontal="left" vertical="center" wrapText="1"/>
      <protection locked="0"/>
    </xf>
    <xf numFmtId="168" fontId="17" fillId="13" borderId="0" xfId="6" applyNumberFormat="1" applyFont="1" applyFill="1" applyBorder="1" applyAlignment="1" applyProtection="1">
      <alignment horizontal="center" vertical="center"/>
      <protection locked="0"/>
    </xf>
    <xf numFmtId="0" fontId="18" fillId="11" borderId="0" xfId="7" applyFont="1" applyFill="1" applyAlignment="1" applyProtection="1">
      <alignment horizontal="center" vertical="center"/>
      <protection locked="0"/>
    </xf>
    <xf numFmtId="0" fontId="20" fillId="23" borderId="28" xfId="6" applyFont="1" applyFill="1" applyBorder="1" applyAlignment="1" applyProtection="1">
      <alignment horizontal="center" vertical="center" wrapText="1"/>
      <protection locked="0"/>
    </xf>
    <xf numFmtId="0" fontId="20" fillId="23" borderId="29" xfId="6" applyFont="1" applyFill="1" applyBorder="1" applyAlignment="1" applyProtection="1">
      <alignment horizontal="center" vertical="center" wrapText="1"/>
      <protection locked="0"/>
    </xf>
    <xf numFmtId="0" fontId="20" fillId="23" borderId="38" xfId="6" applyFont="1" applyFill="1" applyBorder="1" applyAlignment="1" applyProtection="1">
      <alignment horizontal="center" vertical="center" wrapText="1"/>
      <protection locked="0"/>
    </xf>
    <xf numFmtId="0" fontId="20" fillId="23" borderId="39" xfId="6" applyFont="1" applyFill="1" applyBorder="1" applyAlignment="1" applyProtection="1">
      <alignment horizontal="center" vertical="center" wrapText="1"/>
      <protection locked="0"/>
    </xf>
    <xf numFmtId="165" fontId="21" fillId="20" borderId="30" xfId="7" applyNumberFormat="1" applyFont="1" applyFill="1" applyBorder="1" applyAlignment="1" applyProtection="1">
      <alignment horizontal="center" vertical="center" wrapText="1"/>
      <protection locked="0"/>
    </xf>
    <xf numFmtId="165" fontId="21" fillId="20" borderId="38" xfId="7" applyNumberFormat="1" applyFont="1" applyFill="1" applyBorder="1" applyAlignment="1" applyProtection="1">
      <alignment horizontal="center" vertical="center" wrapText="1"/>
      <protection locked="0"/>
    </xf>
    <xf numFmtId="0" fontId="22" fillId="24" borderId="31" xfId="7" applyFont="1" applyFill="1" applyBorder="1" applyAlignment="1" applyProtection="1">
      <alignment horizontal="center" vertical="center"/>
      <protection locked="0"/>
    </xf>
    <xf numFmtId="0" fontId="22" fillId="24" borderId="32" xfId="7" applyFont="1" applyFill="1" applyBorder="1" applyAlignment="1" applyProtection="1">
      <alignment horizontal="center" vertical="center"/>
      <protection locked="0"/>
    </xf>
    <xf numFmtId="0" fontId="22" fillId="24" borderId="33" xfId="7" applyFont="1" applyFill="1" applyBorder="1" applyAlignment="1" applyProtection="1">
      <alignment horizontal="center" vertical="center"/>
      <protection locked="0"/>
    </xf>
    <xf numFmtId="0" fontId="22" fillId="24" borderId="34" xfId="7" applyFont="1" applyFill="1" applyBorder="1" applyAlignment="1" applyProtection="1">
      <alignment horizontal="center" vertical="center"/>
      <protection locked="0"/>
    </xf>
    <xf numFmtId="0" fontId="22" fillId="24" borderId="35" xfId="7" applyFont="1" applyFill="1" applyBorder="1" applyAlignment="1" applyProtection="1">
      <alignment horizontal="center" vertical="center"/>
      <protection locked="0"/>
    </xf>
    <xf numFmtId="168" fontId="3" fillId="22" borderId="33" xfId="7" applyNumberFormat="1" applyFont="1" applyFill="1" applyBorder="1" applyAlignment="1" applyProtection="1">
      <alignment horizontal="center"/>
      <protection locked="0"/>
    </xf>
    <xf numFmtId="168" fontId="3" fillId="22" borderId="41" xfId="7" applyNumberFormat="1" applyFont="1" applyFill="1" applyBorder="1" applyAlignment="1" applyProtection="1">
      <alignment horizontal="center"/>
      <protection locked="0"/>
    </xf>
    <xf numFmtId="168" fontId="3" fillId="22" borderId="29" xfId="7" applyNumberFormat="1" applyFont="1" applyFill="1" applyBorder="1" applyAlignment="1" applyProtection="1">
      <alignment horizontal="center"/>
      <protection locked="0"/>
    </xf>
    <xf numFmtId="168" fontId="3" fillId="0" borderId="42" xfId="7" applyNumberFormat="1" applyFont="1" applyBorder="1" applyAlignment="1" applyProtection="1">
      <alignment horizontal="left" vertical="center" wrapText="1"/>
      <protection locked="0"/>
    </xf>
    <xf numFmtId="168" fontId="3" fillId="0" borderId="43" xfId="7" applyNumberFormat="1" applyFont="1" applyBorder="1" applyAlignment="1" applyProtection="1">
      <alignment horizontal="left" vertical="center" wrapText="1"/>
      <protection locked="0"/>
    </xf>
    <xf numFmtId="167" fontId="15" fillId="0" borderId="2" xfId="7" applyNumberFormat="1" applyBorder="1" applyAlignment="1" applyProtection="1">
      <alignment horizontal="center" vertical="center"/>
      <protection locked="0"/>
    </xf>
    <xf numFmtId="167" fontId="15" fillId="0" borderId="40" xfId="7" applyNumberFormat="1" applyBorder="1" applyAlignment="1" applyProtection="1">
      <alignment horizontal="center" vertical="center"/>
      <protection locked="0"/>
    </xf>
    <xf numFmtId="168" fontId="3" fillId="0" borderId="47" xfId="7" applyNumberFormat="1" applyFont="1" applyBorder="1" applyAlignment="1" applyProtection="1">
      <alignment horizontal="left" vertical="center" wrapText="1"/>
      <protection locked="0"/>
    </xf>
    <xf numFmtId="168" fontId="3" fillId="0" borderId="48" xfId="7" applyNumberFormat="1" applyFont="1" applyBorder="1" applyAlignment="1" applyProtection="1">
      <alignment horizontal="left" vertical="center" wrapText="1"/>
      <protection locked="0"/>
    </xf>
    <xf numFmtId="166" fontId="15" fillId="0" borderId="5" xfId="7" applyNumberFormat="1" applyBorder="1" applyAlignment="1" applyProtection="1">
      <alignment horizontal="center" vertical="center"/>
      <protection locked="0"/>
    </xf>
    <xf numFmtId="166" fontId="15" fillId="0" borderId="37" xfId="7" applyNumberFormat="1" applyBorder="1" applyAlignment="1" applyProtection="1">
      <alignment horizontal="center" vertical="center"/>
      <protection locked="0"/>
    </xf>
    <xf numFmtId="168" fontId="3" fillId="0" borderId="49" xfId="7" applyNumberFormat="1" applyFont="1" applyBorder="1" applyAlignment="1" applyProtection="1">
      <alignment horizontal="left" vertical="center" wrapText="1"/>
      <protection locked="0"/>
    </xf>
    <xf numFmtId="168" fontId="3" fillId="0" borderId="50" xfId="7" applyNumberFormat="1" applyFont="1" applyBorder="1" applyAlignment="1" applyProtection="1">
      <alignment horizontal="left" vertical="center" wrapText="1"/>
      <protection locked="0"/>
    </xf>
    <xf numFmtId="167" fontId="0" fillId="0" borderId="5" xfId="1" applyNumberFormat="1" applyFont="1" applyBorder="1" applyAlignment="1" applyProtection="1">
      <alignment horizontal="center" vertical="center"/>
      <protection locked="0"/>
    </xf>
    <xf numFmtId="167" fontId="0" fillId="0" borderId="37" xfId="1" applyNumberFormat="1" applyFont="1" applyBorder="1" applyAlignment="1" applyProtection="1">
      <alignment horizontal="center" vertical="center"/>
      <protection locked="0"/>
    </xf>
    <xf numFmtId="1" fontId="16" fillId="26" borderId="26" xfId="8" applyNumberFormat="1" applyFont="1" applyFill="1" applyBorder="1" applyAlignment="1" applyProtection="1">
      <alignment horizontal="left" vertical="center" wrapText="1"/>
      <protection locked="0"/>
    </xf>
    <xf numFmtId="1" fontId="16" fillId="26" borderId="0" xfId="8" applyNumberFormat="1" applyFont="1" applyFill="1" applyBorder="1" applyAlignment="1" applyProtection="1">
      <alignment horizontal="left" vertical="center" wrapText="1"/>
      <protection locked="0"/>
    </xf>
    <xf numFmtId="1" fontId="16" fillId="26" borderId="27" xfId="8" applyNumberFormat="1" applyFont="1" applyFill="1" applyBorder="1" applyAlignment="1" applyProtection="1">
      <alignment horizontal="left" vertical="center" wrapText="1"/>
      <protection locked="0"/>
    </xf>
    <xf numFmtId="0" fontId="15" fillId="0" borderId="5" xfId="7" applyBorder="1" applyAlignment="1" applyProtection="1">
      <alignment horizontal="center" vertical="center"/>
      <protection locked="0"/>
    </xf>
    <xf numFmtId="0" fontId="15" fillId="0" borderId="37" xfId="7" applyBorder="1" applyAlignment="1" applyProtection="1">
      <alignment horizontal="center" vertical="center"/>
      <protection locked="0"/>
    </xf>
    <xf numFmtId="0" fontId="3" fillId="20" borderId="0" xfId="7" applyFont="1" applyFill="1" applyAlignment="1" applyProtection="1">
      <alignment horizontal="left" vertical="top" wrapText="1"/>
      <protection locked="0"/>
    </xf>
    <xf numFmtId="0" fontId="3" fillId="20" borderId="0" xfId="7" applyFont="1" applyFill="1" applyAlignment="1" applyProtection="1">
      <alignment horizontal="left" vertical="top"/>
      <protection locked="0"/>
    </xf>
    <xf numFmtId="0" fontId="3" fillId="20" borderId="27" xfId="7" applyFont="1" applyFill="1" applyBorder="1" applyAlignment="1" applyProtection="1">
      <alignment horizontal="left" vertical="top"/>
      <protection locked="0"/>
    </xf>
    <xf numFmtId="1" fontId="15" fillId="0" borderId="51" xfId="7" applyNumberFormat="1" applyBorder="1" applyAlignment="1" applyProtection="1">
      <alignment horizontal="center" vertical="center"/>
      <protection locked="0"/>
    </xf>
    <xf numFmtId="1" fontId="15" fillId="0" borderId="55" xfId="7" applyNumberFormat="1" applyBorder="1" applyAlignment="1" applyProtection="1">
      <alignment horizontal="center" vertical="center"/>
      <protection locked="0"/>
    </xf>
    <xf numFmtId="1" fontId="15" fillId="0" borderId="56" xfId="7" applyNumberFormat="1" applyBorder="1" applyAlignment="1" applyProtection="1">
      <alignment horizontal="center" vertical="center"/>
      <protection locked="0"/>
    </xf>
    <xf numFmtId="0" fontId="3" fillId="22" borderId="41" xfId="7" applyFont="1" applyFill="1" applyBorder="1" applyAlignment="1" applyProtection="1">
      <alignment horizontal="center" vertical="center"/>
      <protection locked="0"/>
    </xf>
    <xf numFmtId="1" fontId="16" fillId="26" borderId="28" xfId="8" applyNumberFormat="1" applyFont="1" applyFill="1" applyBorder="1" applyAlignment="1" applyProtection="1">
      <alignment horizontal="left" vertical="center" wrapText="1"/>
      <protection locked="0"/>
    </xf>
    <xf numFmtId="1" fontId="16" fillId="26" borderId="41" xfId="8" applyNumberFormat="1" applyFont="1" applyFill="1" applyBorder="1" applyAlignment="1" applyProtection="1">
      <alignment horizontal="left" vertical="center" wrapText="1"/>
      <protection locked="0"/>
    </xf>
    <xf numFmtId="1" fontId="16" fillId="26" borderId="29" xfId="8" applyNumberFormat="1" applyFont="1" applyFill="1" applyBorder="1" applyAlignment="1" applyProtection="1">
      <alignment horizontal="left" vertical="center" wrapText="1"/>
      <protection locked="0"/>
    </xf>
    <xf numFmtId="9" fontId="1" fillId="0" borderId="41" xfId="1" applyFont="1" applyBorder="1" applyAlignment="1" applyProtection="1">
      <alignment horizontal="center"/>
      <protection locked="0"/>
    </xf>
    <xf numFmtId="0" fontId="15" fillId="0" borderId="0" xfId="7" applyAlignment="1" applyProtection="1">
      <alignment horizontal="center"/>
      <protection locked="0"/>
    </xf>
    <xf numFmtId="1" fontId="16" fillId="26" borderId="38" xfId="8" applyNumberFormat="1" applyFont="1" applyFill="1" applyBorder="1" applyAlignment="1" applyProtection="1">
      <alignment horizontal="left" vertical="center" wrapText="1"/>
      <protection locked="0"/>
    </xf>
    <xf numFmtId="1" fontId="16" fillId="26" borderId="72" xfId="8" applyNumberFormat="1" applyFont="1" applyFill="1" applyBorder="1" applyAlignment="1" applyProtection="1">
      <alignment horizontal="left" vertical="center" wrapText="1"/>
      <protection locked="0"/>
    </xf>
    <xf numFmtId="1" fontId="16" fillId="26" borderId="39" xfId="8" applyNumberFormat="1" applyFont="1" applyFill="1" applyBorder="1" applyAlignment="1" applyProtection="1">
      <alignment horizontal="left" vertical="center" wrapText="1"/>
      <protection locked="0"/>
    </xf>
    <xf numFmtId="168" fontId="0" fillId="0" borderId="7" xfId="0" applyNumberFormat="1" applyBorder="1" applyAlignment="1">
      <alignment horizontal="center" vertical="center"/>
    </xf>
    <xf numFmtId="168" fontId="0" fillId="0" borderId="13" xfId="0" applyNumberFormat="1" applyBorder="1" applyAlignment="1">
      <alignment horizontal="center" vertical="center"/>
    </xf>
    <xf numFmtId="168" fontId="0" fillId="0" borderId="25" xfId="0" applyNumberFormat="1" applyBorder="1" applyAlignment="1">
      <alignment horizontal="center" vertical="center"/>
    </xf>
    <xf numFmtId="167" fontId="0" fillId="0" borderId="24" xfId="0" applyNumberForma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0" xfId="0" applyNumberFormat="1"/>
  </cellXfs>
  <cellStyles count="10">
    <cellStyle name="Hyperlink" xfId="6" builtinId="8"/>
    <cellStyle name="Normal" xfId="0" builtinId="0"/>
    <cellStyle name="Normal 17" xfId="3" xr:uid="{F6BB216F-F80F-478B-A52F-BAF0BA08E63F}"/>
    <cellStyle name="Normal 2" xfId="7" xr:uid="{8FDB65EA-68A8-4F4A-AC6D-5CE06B92EF49}"/>
    <cellStyle name="Normal 2 2" xfId="9" xr:uid="{1AEA7D90-11B3-4F7A-8F74-9FC593D00379}"/>
    <cellStyle name="Normal 3" xfId="4" xr:uid="{F184CB60-C9BE-49BA-A873-303B1F7EE2C7}"/>
    <cellStyle name="Normal 7" xfId="2" xr:uid="{5DB02CF6-66A0-491B-9BD0-C5C328830A48}"/>
    <cellStyle name="Percent" xfId="1" builtinId="5"/>
    <cellStyle name="Percent 2 2" xfId="8" xr:uid="{5A40F848-C4B5-4C70-B845-EE5618B74177}"/>
    <cellStyle name="Percent 4" xfId="5" xr:uid="{17622B50-1AD8-4F40-91E0-5807AD6E0597}"/>
  </cellStyles>
  <dxfs count="444"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auto="1"/>
      </font>
      <fill>
        <patternFill patternType="solid">
          <bgColor rgb="FF00B050"/>
        </patternFill>
      </fill>
    </dxf>
    <dxf>
      <fill>
        <patternFill patternType="solid">
          <bgColor theme="7" tint="0.59996337778862885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auto="1"/>
      </font>
      <fill>
        <patternFill patternType="solid">
          <bgColor rgb="FF00B050"/>
        </patternFill>
      </fill>
    </dxf>
    <dxf>
      <fill>
        <patternFill patternType="solid">
          <bgColor theme="7" tint="0.59996337778862885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auto="1"/>
      </font>
      <fill>
        <patternFill patternType="solid">
          <bgColor rgb="FF00B050"/>
        </patternFill>
      </fill>
    </dxf>
    <dxf>
      <fill>
        <patternFill patternType="solid">
          <bgColor theme="7" tint="0.59996337778862885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92D050"/>
        </patternFill>
      </fill>
    </dxf>
    <dxf>
      <font>
        <color rgb="FF9C0006"/>
      </font>
      <fill>
        <patternFill>
          <bgColor theme="5" tint="0.39994506668294322"/>
        </patternFill>
      </fill>
    </dxf>
    <dxf>
      <font>
        <color rgb="FF006100"/>
      </font>
      <fill>
        <patternFill>
          <bgColor rgb="FF92D050"/>
        </patternFill>
      </fill>
    </dxf>
    <dxf>
      <font>
        <color rgb="FF9C0006"/>
      </font>
      <fill>
        <patternFill>
          <bgColor theme="5" tint="0.39994506668294322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92D050"/>
        </patternFill>
      </fill>
    </dxf>
    <dxf>
      <font>
        <color rgb="FF9C0006"/>
      </font>
      <fill>
        <patternFill>
          <bgColor theme="5" tint="0.39994506668294322"/>
        </patternFill>
      </fill>
    </dxf>
    <dxf>
      <font>
        <color rgb="FF006100"/>
      </font>
      <fill>
        <patternFill>
          <bgColor rgb="FF92D050"/>
        </patternFill>
      </fill>
    </dxf>
    <dxf>
      <font>
        <color rgb="FF9C0006"/>
      </font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6" formatCode="0.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8" formatCode="[$-409]d\-mmm;@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border outline="0">
        <left style="thin">
          <color indexed="64"/>
        </left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1"/>
        </ext>
      </extLst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1"/>
        </ext>
      </extLst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1"/>
        </ext>
      </extLst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1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0.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7" formatCode="0.0%"/>
      <fill>
        <patternFill patternType="none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21" formatCode="d\-mmm"/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name val="MDLZ BITE TYPE"/>
        <scheme val="none"/>
      </font>
      <numFmt numFmtId="21" formatCode="d\-mmm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0.0%"/>
    </dxf>
    <dxf>
      <numFmt numFmtId="19" formatCode="m/d/yyyy"/>
    </dxf>
    <dxf>
      <numFmt numFmtId="13" formatCode="0%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0.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0.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0.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0.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0.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0.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0.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0.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0.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3" formatCode="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0.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0.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0.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0.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0.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0.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0.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7" formatCode="0.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3" formatCode="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4" formatCode="[$-409]m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rebuchet MS"/>
        <family val="2"/>
        <scheme val="none"/>
      </font>
      <fill>
        <patternFill patternType="solid">
          <fgColor theme="5"/>
          <bgColor rgb="FFCC6600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0.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0.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0.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0.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0.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>
        <left style="thin">
          <color auto="1"/>
        </left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>
        <left style="thin">
          <color auto="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</border>
      <protection locked="0" hidden="0"/>
    </dxf>
    <dxf>
      <numFmt numFmtId="166" formatCode="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</border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</border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0.0%"/>
      <border>
        <right style="thin">
          <color auto="1"/>
        </right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>
        <right style="thin">
          <color auto="1"/>
        </right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0.0%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0.0%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0.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20" formatCode="d\-mmm\-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MDLZ BITE TYPE"/>
        <scheme val="none"/>
      </font>
      <fill>
        <patternFill patternType="solid">
          <fgColor indexed="64"/>
          <bgColor rgb="FF7030A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0.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0.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0.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0.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0.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>
        <left style="thin">
          <color auto="1"/>
        </left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>
        <left style="thin">
          <color auto="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</border>
      <protection locked="0" hidden="0"/>
    </dxf>
    <dxf>
      <numFmt numFmtId="166" formatCode="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</border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</border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0.0%"/>
      <border>
        <right style="thin">
          <color auto="1"/>
        </right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>
        <right style="thin">
          <color auto="1"/>
        </right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0.0%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0.0%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0.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22" formatCode="mmm\-yy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22" formatCode="mmm\-yy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20" formatCode="d\-mmm\-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MDLZ BITE TYPE"/>
        <scheme val="none"/>
      </font>
      <fill>
        <patternFill patternType="solid">
          <fgColor indexed="64"/>
          <bgColor rgb="FF7030A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mruColors>
      <color rgb="FFFDF2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2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onnections" Target="connections.xml"/><Relationship Id="rId28" Type="http://schemas.microsoft.com/office/2022/11/relationships/FeaturePropertyBag" Target="featurePropertyBag/featurePropertyBag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microsoft.com/office/2017/10/relationships/person" Target="persons/person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[PERK MIS.-2026.xlsx]Pivot Tables!PivotTable1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rgbClr val="FFC0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Tables'!$B$5</c:f>
              <c:strCache>
                <c:ptCount val="1"/>
                <c:pt idx="0">
                  <c:v>Sum of line downtime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Tables'!$A$6:$A$88</c:f>
              <c:strCache>
                <c:ptCount val="82"/>
                <c:pt idx="0">
                  <c:v>Die Scrapper striking with Dies</c:v>
                </c:pt>
                <c:pt idx="1">
                  <c:v>Unskilled Manpower</c:v>
                </c:pt>
                <c:pt idx="2">
                  <c:v>Cutter Wire broken</c:v>
                </c:pt>
                <c:pt idx="3">
                  <c:v>Exhaust Pressure Switch Fault</c:v>
                </c:pt>
                <c:pt idx="4">
                  <c:v>Batter Transfer Pump Jam</c:v>
                </c:pt>
                <c:pt idx="5">
                  <c:v>Die bolt broken</c:v>
                </c:pt>
                <c:pt idx="6">
                  <c:v>Crème Transfer Pump Jam</c:v>
                </c:pt>
                <c:pt idx="7">
                  <c:v>Book cooler chain damage</c:v>
                </c:pt>
                <c:pt idx="8">
                  <c:v>Batching Scada Malfunctioning</c:v>
                </c:pt>
                <c:pt idx="9">
                  <c:v>DU4R belt tracking issue</c:v>
                </c:pt>
                <c:pt idx="10">
                  <c:v>Code Misprint issue</c:v>
                </c:pt>
                <c:pt idx="11">
                  <c:v>Overdumping issue</c:v>
                </c:pt>
                <c:pt idx="12">
                  <c:v>Pressing Station motion control</c:v>
                </c:pt>
                <c:pt idx="13">
                  <c:v>Packing End Support roller broken and belt torn</c:v>
                </c:pt>
                <c:pt idx="14">
                  <c:v>Film Tracking issue</c:v>
                </c:pt>
                <c:pt idx="15">
                  <c:v>Book Cooler chain length correction</c:v>
                </c:pt>
                <c:pt idx="16">
                  <c:v>Bar breakage issue</c:v>
                </c:pt>
                <c:pt idx="17">
                  <c:v>Power Failure</c:v>
                </c:pt>
                <c:pt idx="18">
                  <c:v>Fire Tripping issue</c:v>
                </c:pt>
                <c:pt idx="19">
                  <c:v>Bubble Scrapper Jam</c:v>
                </c:pt>
                <c:pt idx="20">
                  <c:v>Pusher Foundation bolt broken</c:v>
                </c:pt>
                <c:pt idx="21">
                  <c:v>Detailer Jam</c:v>
                </c:pt>
                <c:pt idx="22">
                  <c:v>Book CoolerChain derailed</c:v>
                </c:pt>
                <c:pt idx="23">
                  <c:v>Book Jamming @ Cutter</c:v>
                </c:pt>
                <c:pt idx="24">
                  <c:v>Cooling Tunnel drive chain broken</c:v>
                </c:pt>
                <c:pt idx="25">
                  <c:v>Laminate Shortage</c:v>
                </c:pt>
                <c:pt idx="26">
                  <c:v>Chocolate Line jamming issue</c:v>
                </c:pt>
                <c:pt idx="27">
                  <c:v>Changeover to HT @ Samridhi Line</c:v>
                </c:pt>
                <c:pt idx="28">
                  <c:v>High batter Viscosity</c:v>
                </c:pt>
                <c:pt idx="29">
                  <c:v>Transport belt Gear box Jam</c:v>
                </c:pt>
                <c:pt idx="30">
                  <c:v>Book Jamming in book cooler</c:v>
                </c:pt>
                <c:pt idx="31">
                  <c:v>PGR sockets broken</c:v>
                </c:pt>
                <c:pt idx="32">
                  <c:v>Crème Transfer Line Jam</c:v>
                </c:pt>
                <c:pt idx="33">
                  <c:v>Vaccum Formation issue @ Pressing Station</c:v>
                </c:pt>
                <c:pt idx="34">
                  <c:v>Enrober Heater not working</c:v>
                </c:pt>
                <c:pt idx="35">
                  <c:v>Cutter Infeed belt roller worn out</c:v>
                </c:pt>
                <c:pt idx="36">
                  <c:v>PGR Shaft worn out</c:v>
                </c:pt>
                <c:pt idx="37">
                  <c:v>Air Pressure Low</c:v>
                </c:pt>
                <c:pt idx="38">
                  <c:v>Wiremesh Link damage</c:v>
                </c:pt>
                <c:pt idx="39">
                  <c:v>Cutter Drive Chain lock bearing broken</c:v>
                </c:pt>
                <c:pt idx="40">
                  <c:v>Overhead Safety Switch Fault</c:v>
                </c:pt>
                <c:pt idx="41">
                  <c:v>HXX: Outfeed Belt Drive Fault</c:v>
                </c:pt>
                <c:pt idx="42">
                  <c:v>Chocolate Line jamming issue(Temperor to Enrober)</c:v>
                </c:pt>
                <c:pt idx="43">
                  <c:v>Discharge Valve Malfunctioning</c:v>
                </c:pt>
                <c:pt idx="44">
                  <c:v>RWF Silo agitator broken</c:v>
                </c:pt>
                <c:pt idx="45">
                  <c:v>Infeed Stopper Malfunctioning</c:v>
                </c:pt>
                <c:pt idx="46">
                  <c:v>Wafer Sticking issue</c:v>
                </c:pt>
                <c:pt idx="47">
                  <c:v>DU-2 belt tracking</c:v>
                </c:pt>
                <c:pt idx="48">
                  <c:v>Metering belt Drive Fault</c:v>
                </c:pt>
                <c:pt idx="49">
                  <c:v>Outer Tilting issue</c:v>
                </c:pt>
                <c:pt idx="50">
                  <c:v>Fin Wheel Drive fault</c:v>
                </c:pt>
                <c:pt idx="51">
                  <c:v>BT-Idler Pulley worn out</c:v>
                </c:pt>
                <c:pt idx="52">
                  <c:v>Transfer Conveyor Gearbox replacement</c:v>
                </c:pt>
                <c:pt idx="53">
                  <c:v>Crème not spreading properly</c:v>
                </c:pt>
                <c:pt idx="54">
                  <c:v>Chocolate transfer pump tripped</c:v>
                </c:pt>
                <c:pt idx="55">
                  <c:v>FWV Gripper worn out</c:v>
                </c:pt>
                <c:pt idx="56">
                  <c:v>Open/CutPouch issue</c:v>
                </c:pt>
                <c:pt idx="57">
                  <c:v>Pusher Mounting Broken</c:v>
                </c:pt>
                <c:pt idx="58">
                  <c:v>Manpower Shortage</c:v>
                </c:pt>
                <c:pt idx="59">
                  <c:v>CLO/TFXX: Backdoor Hor. Actuator Not ON</c:v>
                </c:pt>
                <c:pt idx="60">
                  <c:v>Glue unit not ready</c:v>
                </c:pt>
                <c:pt idx="61">
                  <c:v>U-1 Belt Tracking</c:v>
                </c:pt>
                <c:pt idx="62">
                  <c:v>DU-1 Pusher Jam</c:v>
                </c:pt>
                <c:pt idx="63">
                  <c:v>Cross Seal Drive Fault</c:v>
                </c:pt>
                <c:pt idx="64">
                  <c:v>DU-1 Belt Tracking</c:v>
                </c:pt>
                <c:pt idx="65">
                  <c:v>Abnormal Sound from Oven-Die Opener base plate loose</c:v>
                </c:pt>
                <c:pt idx="66">
                  <c:v>Arch Conveyor Speed sync issue</c:v>
                </c:pt>
                <c:pt idx="67">
                  <c:v>Emergency button malfunctioning</c:v>
                </c:pt>
                <c:pt idx="68">
                  <c:v>Chocolate solidification issue</c:v>
                </c:pt>
                <c:pt idx="69">
                  <c:v>CLO/CT11: Axis1 Position Error</c:v>
                </c:pt>
                <c:pt idx="70">
                  <c:v>Acceleration Belt Drive fault</c:v>
                </c:pt>
                <c:pt idx="71">
                  <c:v>PGR-Top guide Cyliner mounting broken</c:v>
                </c:pt>
                <c:pt idx="72">
                  <c:v>Closing unit chain homing issue</c:v>
                </c:pt>
                <c:pt idx="73">
                  <c:v>Batter Gun choking</c:v>
                </c:pt>
                <c:pt idx="74">
                  <c:v>FT Cylinder broken</c:v>
                </c:pt>
                <c:pt idx="75">
                  <c:v>DU4-R Station hang</c:v>
                </c:pt>
                <c:pt idx="76">
                  <c:v>Vaccum belt Jam</c:v>
                </c:pt>
                <c:pt idx="77">
                  <c:v>Aigner-1 Malfunctioning</c:v>
                </c:pt>
                <c:pt idx="78">
                  <c:v>Face Feeder belt Jam</c:v>
                </c:pt>
                <c:pt idx="79">
                  <c:v>Rope Conveyor guides setting</c:v>
                </c:pt>
                <c:pt idx="80">
                  <c:v>Triangular belt drive belt broken</c:v>
                </c:pt>
                <c:pt idx="81">
                  <c:v>(blank)</c:v>
                </c:pt>
              </c:strCache>
            </c:strRef>
          </c:cat>
          <c:val>
            <c:numRef>
              <c:f>'Pivot Tables'!$B$6:$B$88</c:f>
              <c:numCache>
                <c:formatCode>General</c:formatCode>
                <c:ptCount val="82"/>
                <c:pt idx="0">
                  <c:v>1760</c:v>
                </c:pt>
                <c:pt idx="1">
                  <c:v>930</c:v>
                </c:pt>
                <c:pt idx="2">
                  <c:v>751</c:v>
                </c:pt>
                <c:pt idx="3">
                  <c:v>750</c:v>
                </c:pt>
                <c:pt idx="4">
                  <c:v>690</c:v>
                </c:pt>
                <c:pt idx="5">
                  <c:v>660</c:v>
                </c:pt>
                <c:pt idx="6">
                  <c:v>620</c:v>
                </c:pt>
                <c:pt idx="7">
                  <c:v>600</c:v>
                </c:pt>
                <c:pt idx="8">
                  <c:v>540</c:v>
                </c:pt>
                <c:pt idx="9">
                  <c:v>510</c:v>
                </c:pt>
                <c:pt idx="10">
                  <c:v>410</c:v>
                </c:pt>
                <c:pt idx="11">
                  <c:v>395</c:v>
                </c:pt>
                <c:pt idx="12">
                  <c:v>390</c:v>
                </c:pt>
                <c:pt idx="13">
                  <c:v>360</c:v>
                </c:pt>
                <c:pt idx="14">
                  <c:v>357</c:v>
                </c:pt>
                <c:pt idx="15">
                  <c:v>355</c:v>
                </c:pt>
                <c:pt idx="16">
                  <c:v>330</c:v>
                </c:pt>
                <c:pt idx="17">
                  <c:v>305</c:v>
                </c:pt>
                <c:pt idx="18">
                  <c:v>300</c:v>
                </c:pt>
                <c:pt idx="19">
                  <c:v>255</c:v>
                </c:pt>
                <c:pt idx="20">
                  <c:v>240</c:v>
                </c:pt>
                <c:pt idx="21">
                  <c:v>240</c:v>
                </c:pt>
                <c:pt idx="22">
                  <c:v>215</c:v>
                </c:pt>
                <c:pt idx="23">
                  <c:v>195</c:v>
                </c:pt>
                <c:pt idx="24">
                  <c:v>190</c:v>
                </c:pt>
                <c:pt idx="25">
                  <c:v>180</c:v>
                </c:pt>
                <c:pt idx="26">
                  <c:v>180</c:v>
                </c:pt>
                <c:pt idx="27">
                  <c:v>180</c:v>
                </c:pt>
                <c:pt idx="28">
                  <c:v>180</c:v>
                </c:pt>
                <c:pt idx="29">
                  <c:v>150</c:v>
                </c:pt>
                <c:pt idx="30">
                  <c:v>140</c:v>
                </c:pt>
                <c:pt idx="31">
                  <c:v>120</c:v>
                </c:pt>
                <c:pt idx="32">
                  <c:v>120</c:v>
                </c:pt>
                <c:pt idx="33">
                  <c:v>120</c:v>
                </c:pt>
                <c:pt idx="34">
                  <c:v>120</c:v>
                </c:pt>
                <c:pt idx="35">
                  <c:v>120</c:v>
                </c:pt>
                <c:pt idx="36">
                  <c:v>120</c:v>
                </c:pt>
                <c:pt idx="37">
                  <c:v>115</c:v>
                </c:pt>
                <c:pt idx="38">
                  <c:v>110</c:v>
                </c:pt>
                <c:pt idx="39">
                  <c:v>110</c:v>
                </c:pt>
                <c:pt idx="40">
                  <c:v>90</c:v>
                </c:pt>
                <c:pt idx="41">
                  <c:v>90</c:v>
                </c:pt>
                <c:pt idx="42">
                  <c:v>90</c:v>
                </c:pt>
                <c:pt idx="43">
                  <c:v>90</c:v>
                </c:pt>
                <c:pt idx="44">
                  <c:v>90</c:v>
                </c:pt>
                <c:pt idx="45">
                  <c:v>90</c:v>
                </c:pt>
                <c:pt idx="46">
                  <c:v>90</c:v>
                </c:pt>
                <c:pt idx="47">
                  <c:v>75</c:v>
                </c:pt>
                <c:pt idx="48">
                  <c:v>75</c:v>
                </c:pt>
                <c:pt idx="49">
                  <c:v>75</c:v>
                </c:pt>
                <c:pt idx="50">
                  <c:v>75</c:v>
                </c:pt>
                <c:pt idx="51">
                  <c:v>60</c:v>
                </c:pt>
                <c:pt idx="52">
                  <c:v>60</c:v>
                </c:pt>
                <c:pt idx="53">
                  <c:v>60</c:v>
                </c:pt>
                <c:pt idx="54">
                  <c:v>60</c:v>
                </c:pt>
                <c:pt idx="55">
                  <c:v>50</c:v>
                </c:pt>
                <c:pt idx="56">
                  <c:v>45</c:v>
                </c:pt>
                <c:pt idx="57">
                  <c:v>45</c:v>
                </c:pt>
                <c:pt idx="58">
                  <c:v>45</c:v>
                </c:pt>
                <c:pt idx="59">
                  <c:v>45</c:v>
                </c:pt>
                <c:pt idx="60">
                  <c:v>36.25</c:v>
                </c:pt>
                <c:pt idx="61">
                  <c:v>35</c:v>
                </c:pt>
                <c:pt idx="62">
                  <c:v>35</c:v>
                </c:pt>
                <c:pt idx="63">
                  <c:v>35</c:v>
                </c:pt>
                <c:pt idx="64">
                  <c:v>30</c:v>
                </c:pt>
                <c:pt idx="65">
                  <c:v>30</c:v>
                </c:pt>
                <c:pt idx="66">
                  <c:v>30</c:v>
                </c:pt>
                <c:pt idx="67">
                  <c:v>30</c:v>
                </c:pt>
                <c:pt idx="68">
                  <c:v>30</c:v>
                </c:pt>
                <c:pt idx="69">
                  <c:v>28.785</c:v>
                </c:pt>
                <c:pt idx="70">
                  <c:v>25</c:v>
                </c:pt>
                <c:pt idx="71">
                  <c:v>25</c:v>
                </c:pt>
                <c:pt idx="72">
                  <c:v>25</c:v>
                </c:pt>
                <c:pt idx="73">
                  <c:v>20</c:v>
                </c:pt>
                <c:pt idx="74">
                  <c:v>20</c:v>
                </c:pt>
                <c:pt idx="75">
                  <c:v>20</c:v>
                </c:pt>
                <c:pt idx="76">
                  <c:v>15</c:v>
                </c:pt>
                <c:pt idx="77">
                  <c:v>15</c:v>
                </c:pt>
                <c:pt idx="78">
                  <c:v>15</c:v>
                </c:pt>
                <c:pt idx="79">
                  <c:v>15</c:v>
                </c:pt>
                <c:pt idx="8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B6-4018-B236-F76FBE2570A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63189040"/>
        <c:axId val="763160720"/>
      </c:barChart>
      <c:lineChart>
        <c:grouping val="standard"/>
        <c:varyColors val="0"/>
        <c:ser>
          <c:idx val="1"/>
          <c:order val="1"/>
          <c:tx>
            <c:strRef>
              <c:f>'Pivot Tables'!$C$5</c:f>
              <c:strCache>
                <c:ptCount val="1"/>
                <c:pt idx="0">
                  <c:v>Sum of line downtime2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solidFill>
                <a:srgbClr val="FFC0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Tables'!$A$6:$A$88</c:f>
              <c:strCache>
                <c:ptCount val="82"/>
                <c:pt idx="0">
                  <c:v>Die Scrapper striking with Dies</c:v>
                </c:pt>
                <c:pt idx="1">
                  <c:v>Unskilled Manpower</c:v>
                </c:pt>
                <c:pt idx="2">
                  <c:v>Cutter Wire broken</c:v>
                </c:pt>
                <c:pt idx="3">
                  <c:v>Exhaust Pressure Switch Fault</c:v>
                </c:pt>
                <c:pt idx="4">
                  <c:v>Batter Transfer Pump Jam</c:v>
                </c:pt>
                <c:pt idx="5">
                  <c:v>Die bolt broken</c:v>
                </c:pt>
                <c:pt idx="6">
                  <c:v>Crème Transfer Pump Jam</c:v>
                </c:pt>
                <c:pt idx="7">
                  <c:v>Book cooler chain damage</c:v>
                </c:pt>
                <c:pt idx="8">
                  <c:v>Batching Scada Malfunctioning</c:v>
                </c:pt>
                <c:pt idx="9">
                  <c:v>DU4R belt tracking issue</c:v>
                </c:pt>
                <c:pt idx="10">
                  <c:v>Code Misprint issue</c:v>
                </c:pt>
                <c:pt idx="11">
                  <c:v>Overdumping issue</c:v>
                </c:pt>
                <c:pt idx="12">
                  <c:v>Pressing Station motion control</c:v>
                </c:pt>
                <c:pt idx="13">
                  <c:v>Packing End Support roller broken and belt torn</c:v>
                </c:pt>
                <c:pt idx="14">
                  <c:v>Film Tracking issue</c:v>
                </c:pt>
                <c:pt idx="15">
                  <c:v>Book Cooler chain length correction</c:v>
                </c:pt>
                <c:pt idx="16">
                  <c:v>Bar breakage issue</c:v>
                </c:pt>
                <c:pt idx="17">
                  <c:v>Power Failure</c:v>
                </c:pt>
                <c:pt idx="18">
                  <c:v>Fire Tripping issue</c:v>
                </c:pt>
                <c:pt idx="19">
                  <c:v>Bubble Scrapper Jam</c:v>
                </c:pt>
                <c:pt idx="20">
                  <c:v>Pusher Foundation bolt broken</c:v>
                </c:pt>
                <c:pt idx="21">
                  <c:v>Detailer Jam</c:v>
                </c:pt>
                <c:pt idx="22">
                  <c:v>Book CoolerChain derailed</c:v>
                </c:pt>
                <c:pt idx="23">
                  <c:v>Book Jamming @ Cutter</c:v>
                </c:pt>
                <c:pt idx="24">
                  <c:v>Cooling Tunnel drive chain broken</c:v>
                </c:pt>
                <c:pt idx="25">
                  <c:v>Laminate Shortage</c:v>
                </c:pt>
                <c:pt idx="26">
                  <c:v>Chocolate Line jamming issue</c:v>
                </c:pt>
                <c:pt idx="27">
                  <c:v>Changeover to HT @ Samridhi Line</c:v>
                </c:pt>
                <c:pt idx="28">
                  <c:v>High batter Viscosity</c:v>
                </c:pt>
                <c:pt idx="29">
                  <c:v>Transport belt Gear box Jam</c:v>
                </c:pt>
                <c:pt idx="30">
                  <c:v>Book Jamming in book cooler</c:v>
                </c:pt>
                <c:pt idx="31">
                  <c:v>PGR sockets broken</c:v>
                </c:pt>
                <c:pt idx="32">
                  <c:v>Crème Transfer Line Jam</c:v>
                </c:pt>
                <c:pt idx="33">
                  <c:v>Vaccum Formation issue @ Pressing Station</c:v>
                </c:pt>
                <c:pt idx="34">
                  <c:v>Enrober Heater not working</c:v>
                </c:pt>
                <c:pt idx="35">
                  <c:v>Cutter Infeed belt roller worn out</c:v>
                </c:pt>
                <c:pt idx="36">
                  <c:v>PGR Shaft worn out</c:v>
                </c:pt>
                <c:pt idx="37">
                  <c:v>Air Pressure Low</c:v>
                </c:pt>
                <c:pt idx="38">
                  <c:v>Wiremesh Link damage</c:v>
                </c:pt>
                <c:pt idx="39">
                  <c:v>Cutter Drive Chain lock bearing broken</c:v>
                </c:pt>
                <c:pt idx="40">
                  <c:v>Overhead Safety Switch Fault</c:v>
                </c:pt>
                <c:pt idx="41">
                  <c:v>HXX: Outfeed Belt Drive Fault</c:v>
                </c:pt>
                <c:pt idx="42">
                  <c:v>Chocolate Line jamming issue(Temperor to Enrober)</c:v>
                </c:pt>
                <c:pt idx="43">
                  <c:v>Discharge Valve Malfunctioning</c:v>
                </c:pt>
                <c:pt idx="44">
                  <c:v>RWF Silo agitator broken</c:v>
                </c:pt>
                <c:pt idx="45">
                  <c:v>Infeed Stopper Malfunctioning</c:v>
                </c:pt>
                <c:pt idx="46">
                  <c:v>Wafer Sticking issue</c:v>
                </c:pt>
                <c:pt idx="47">
                  <c:v>DU-2 belt tracking</c:v>
                </c:pt>
                <c:pt idx="48">
                  <c:v>Metering belt Drive Fault</c:v>
                </c:pt>
                <c:pt idx="49">
                  <c:v>Outer Tilting issue</c:v>
                </c:pt>
                <c:pt idx="50">
                  <c:v>Fin Wheel Drive fault</c:v>
                </c:pt>
                <c:pt idx="51">
                  <c:v>BT-Idler Pulley worn out</c:v>
                </c:pt>
                <c:pt idx="52">
                  <c:v>Transfer Conveyor Gearbox replacement</c:v>
                </c:pt>
                <c:pt idx="53">
                  <c:v>Crème not spreading properly</c:v>
                </c:pt>
                <c:pt idx="54">
                  <c:v>Chocolate transfer pump tripped</c:v>
                </c:pt>
                <c:pt idx="55">
                  <c:v>FWV Gripper worn out</c:v>
                </c:pt>
                <c:pt idx="56">
                  <c:v>Open/CutPouch issue</c:v>
                </c:pt>
                <c:pt idx="57">
                  <c:v>Pusher Mounting Broken</c:v>
                </c:pt>
                <c:pt idx="58">
                  <c:v>Manpower Shortage</c:v>
                </c:pt>
                <c:pt idx="59">
                  <c:v>CLO/TFXX: Backdoor Hor. Actuator Not ON</c:v>
                </c:pt>
                <c:pt idx="60">
                  <c:v>Glue unit not ready</c:v>
                </c:pt>
                <c:pt idx="61">
                  <c:v>U-1 Belt Tracking</c:v>
                </c:pt>
                <c:pt idx="62">
                  <c:v>DU-1 Pusher Jam</c:v>
                </c:pt>
                <c:pt idx="63">
                  <c:v>Cross Seal Drive Fault</c:v>
                </c:pt>
                <c:pt idx="64">
                  <c:v>DU-1 Belt Tracking</c:v>
                </c:pt>
                <c:pt idx="65">
                  <c:v>Abnormal Sound from Oven-Die Opener base plate loose</c:v>
                </c:pt>
                <c:pt idx="66">
                  <c:v>Arch Conveyor Speed sync issue</c:v>
                </c:pt>
                <c:pt idx="67">
                  <c:v>Emergency button malfunctioning</c:v>
                </c:pt>
                <c:pt idx="68">
                  <c:v>Chocolate solidification issue</c:v>
                </c:pt>
                <c:pt idx="69">
                  <c:v>CLO/CT11: Axis1 Position Error</c:v>
                </c:pt>
                <c:pt idx="70">
                  <c:v>Acceleration Belt Drive fault</c:v>
                </c:pt>
                <c:pt idx="71">
                  <c:v>PGR-Top guide Cyliner mounting broken</c:v>
                </c:pt>
                <c:pt idx="72">
                  <c:v>Closing unit chain homing issue</c:v>
                </c:pt>
                <c:pt idx="73">
                  <c:v>Batter Gun choking</c:v>
                </c:pt>
                <c:pt idx="74">
                  <c:v>FT Cylinder broken</c:v>
                </c:pt>
                <c:pt idx="75">
                  <c:v>DU4-R Station hang</c:v>
                </c:pt>
                <c:pt idx="76">
                  <c:v>Vaccum belt Jam</c:v>
                </c:pt>
                <c:pt idx="77">
                  <c:v>Aigner-1 Malfunctioning</c:v>
                </c:pt>
                <c:pt idx="78">
                  <c:v>Face Feeder belt Jam</c:v>
                </c:pt>
                <c:pt idx="79">
                  <c:v>Rope Conveyor guides setting</c:v>
                </c:pt>
                <c:pt idx="80">
                  <c:v>Triangular belt drive belt broken</c:v>
                </c:pt>
                <c:pt idx="81">
                  <c:v>(blank)</c:v>
                </c:pt>
              </c:strCache>
            </c:strRef>
          </c:cat>
          <c:val>
            <c:numRef>
              <c:f>'Pivot Tables'!$C$6:$C$88</c:f>
              <c:numCache>
                <c:formatCode>0.00%</c:formatCode>
                <c:ptCount val="82"/>
                <c:pt idx="0">
                  <c:v>0.10772409289121979</c:v>
                </c:pt>
                <c:pt idx="1">
                  <c:v>0.16464648288487568</c:v>
                </c:pt>
                <c:pt idx="2">
                  <c:v>0.21061284297652685</c:v>
                </c:pt>
                <c:pt idx="3">
                  <c:v>0.2565179961972171</c:v>
                </c:pt>
                <c:pt idx="4">
                  <c:v>0.29875073716025213</c:v>
                </c:pt>
                <c:pt idx="5">
                  <c:v>0.33914727199445954</c:v>
                </c:pt>
                <c:pt idx="6">
                  <c:v>0.37709553199023016</c:v>
                </c:pt>
                <c:pt idx="7">
                  <c:v>0.41381965456678238</c:v>
                </c:pt>
                <c:pt idx="8">
                  <c:v>0.44687136488567936</c:v>
                </c:pt>
                <c:pt idx="9">
                  <c:v>0.47808686907574871</c:v>
                </c:pt>
                <c:pt idx="10">
                  <c:v>0.50318168616972603</c:v>
                </c:pt>
                <c:pt idx="11">
                  <c:v>0.52735840019928959</c:v>
                </c:pt>
                <c:pt idx="12">
                  <c:v>0.55122907987404846</c:v>
                </c:pt>
                <c:pt idx="13">
                  <c:v>0.57326355341997981</c:v>
                </c:pt>
                <c:pt idx="14">
                  <c:v>0.59511440635302837</c:v>
                </c:pt>
                <c:pt idx="15">
                  <c:v>0.61684284554415514</c:v>
                </c:pt>
                <c:pt idx="16">
                  <c:v>0.63704111296125876</c:v>
                </c:pt>
                <c:pt idx="17">
                  <c:v>0.65570920860433957</c:v>
                </c:pt>
                <c:pt idx="18">
                  <c:v>0.67407126989261557</c:v>
                </c:pt>
                <c:pt idx="19">
                  <c:v>0.6896790219876503</c:v>
                </c:pt>
                <c:pt idx="20">
                  <c:v>0.70436867101827116</c:v>
                </c:pt>
                <c:pt idx="21">
                  <c:v>0.71905832004889203</c:v>
                </c:pt>
                <c:pt idx="22">
                  <c:v>0.73221779730548997</c:v>
                </c:pt>
                <c:pt idx="23">
                  <c:v>0.74415313714286935</c:v>
                </c:pt>
                <c:pt idx="24">
                  <c:v>0.75578244262544425</c:v>
                </c:pt>
                <c:pt idx="25">
                  <c:v>0.76679967939840987</c:v>
                </c:pt>
                <c:pt idx="26">
                  <c:v>0.77781691617137561</c:v>
                </c:pt>
                <c:pt idx="27">
                  <c:v>0.78883415294434123</c:v>
                </c:pt>
                <c:pt idx="28">
                  <c:v>0.79985138971730685</c:v>
                </c:pt>
                <c:pt idx="29">
                  <c:v>0.80903242036144496</c:v>
                </c:pt>
                <c:pt idx="30">
                  <c:v>0.81760138229597379</c:v>
                </c:pt>
                <c:pt idx="31">
                  <c:v>0.82494620681128428</c:v>
                </c:pt>
                <c:pt idx="32">
                  <c:v>0.83229103132659465</c:v>
                </c:pt>
                <c:pt idx="33">
                  <c:v>0.83963585584190514</c:v>
                </c:pt>
                <c:pt idx="34">
                  <c:v>0.84698068035721552</c:v>
                </c:pt>
                <c:pt idx="35">
                  <c:v>0.85432550487252601</c:v>
                </c:pt>
                <c:pt idx="36">
                  <c:v>0.86167032938783639</c:v>
                </c:pt>
                <c:pt idx="37">
                  <c:v>0.86870911954834229</c:v>
                </c:pt>
                <c:pt idx="38">
                  <c:v>0.8754418753540435</c:v>
                </c:pt>
                <c:pt idx="39">
                  <c:v>0.8821746311597447</c:v>
                </c:pt>
                <c:pt idx="40">
                  <c:v>0.88768324954622757</c:v>
                </c:pt>
                <c:pt idx="41">
                  <c:v>0.89319186793271044</c:v>
                </c:pt>
                <c:pt idx="42">
                  <c:v>0.89870048631919319</c:v>
                </c:pt>
                <c:pt idx="43">
                  <c:v>0.90420910470567606</c:v>
                </c:pt>
                <c:pt idx="44">
                  <c:v>0.90971772309215893</c:v>
                </c:pt>
                <c:pt idx="45">
                  <c:v>0.91522634147864168</c:v>
                </c:pt>
                <c:pt idx="46">
                  <c:v>0.92073495986512455</c:v>
                </c:pt>
                <c:pt idx="47">
                  <c:v>0.92532547518719355</c:v>
                </c:pt>
                <c:pt idx="48">
                  <c:v>0.92991599050926255</c:v>
                </c:pt>
                <c:pt idx="49">
                  <c:v>0.93450650583133166</c:v>
                </c:pt>
                <c:pt idx="50">
                  <c:v>0.93909702115340066</c:v>
                </c:pt>
                <c:pt idx="51">
                  <c:v>0.9427694334110559</c:v>
                </c:pt>
                <c:pt idx="52">
                  <c:v>0.94644184566871103</c:v>
                </c:pt>
                <c:pt idx="53">
                  <c:v>0.95011425792636628</c:v>
                </c:pt>
                <c:pt idx="54">
                  <c:v>0.95378667018402152</c:v>
                </c:pt>
                <c:pt idx="55">
                  <c:v>0.9568470137320676</c:v>
                </c:pt>
                <c:pt idx="56">
                  <c:v>0.95960132292530897</c:v>
                </c:pt>
                <c:pt idx="57">
                  <c:v>0.96235563211855035</c:v>
                </c:pt>
                <c:pt idx="58">
                  <c:v>0.96510994131179184</c:v>
                </c:pt>
                <c:pt idx="59">
                  <c:v>0.96786425050503322</c:v>
                </c:pt>
                <c:pt idx="60">
                  <c:v>0.97008299957736654</c:v>
                </c:pt>
                <c:pt idx="61">
                  <c:v>0.97222524006099875</c:v>
                </c:pt>
                <c:pt idx="62">
                  <c:v>0.97436748054463096</c:v>
                </c:pt>
                <c:pt idx="63">
                  <c:v>0.97650972102826317</c:v>
                </c:pt>
                <c:pt idx="64">
                  <c:v>0.97834592715709079</c:v>
                </c:pt>
                <c:pt idx="65">
                  <c:v>0.98018213328591841</c:v>
                </c:pt>
                <c:pt idx="66">
                  <c:v>0.98201833941474603</c:v>
                </c:pt>
                <c:pt idx="67">
                  <c:v>0.98385454554357366</c:v>
                </c:pt>
                <c:pt idx="68">
                  <c:v>0.98569075167240128</c:v>
                </c:pt>
                <c:pt idx="69">
                  <c:v>0.98745259145301134</c:v>
                </c:pt>
                <c:pt idx="70">
                  <c:v>0.98898276322703438</c:v>
                </c:pt>
                <c:pt idx="71">
                  <c:v>0.9905129350010573</c:v>
                </c:pt>
                <c:pt idx="72">
                  <c:v>0.99204310677508034</c:v>
                </c:pt>
                <c:pt idx="73">
                  <c:v>0.99326724419429879</c:v>
                </c:pt>
                <c:pt idx="74">
                  <c:v>0.99449138161351713</c:v>
                </c:pt>
                <c:pt idx="75">
                  <c:v>0.99571551903273559</c:v>
                </c:pt>
                <c:pt idx="76">
                  <c:v>0.99663362209714934</c:v>
                </c:pt>
                <c:pt idx="77">
                  <c:v>0.99755172516156321</c:v>
                </c:pt>
                <c:pt idx="78">
                  <c:v>0.99846982822597696</c:v>
                </c:pt>
                <c:pt idx="79">
                  <c:v>0.99938793129039083</c:v>
                </c:pt>
                <c:pt idx="80">
                  <c:v>1</c:v>
                </c:pt>
                <c:pt idx="8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B6-4018-B236-F76FBE2570A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74665935"/>
        <c:axId val="974652975"/>
      </c:lineChart>
      <c:catAx>
        <c:axId val="763189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160720"/>
        <c:crosses val="autoZero"/>
        <c:auto val="1"/>
        <c:lblAlgn val="ctr"/>
        <c:lblOffset val="100"/>
        <c:noMultiLvlLbl val="0"/>
      </c:catAx>
      <c:valAx>
        <c:axId val="763160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189040"/>
        <c:crosses val="autoZero"/>
        <c:crossBetween val="between"/>
      </c:valAx>
      <c:valAx>
        <c:axId val="974652975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665935"/>
        <c:crosses val="max"/>
        <c:crossBetween val="between"/>
      </c:valAx>
      <c:catAx>
        <c:axId val="97466593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7465297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Tables'!$E$6:$S$6</c:f>
              <c:strCache>
                <c:ptCount val="15"/>
                <c:pt idx="0">
                  <c:v>Santation</c:v>
                </c:pt>
                <c:pt idx="1">
                  <c:v> Qulity Loss</c:v>
                </c:pt>
                <c:pt idx="2">
                  <c:v> Changeovars</c:v>
                </c:pt>
                <c:pt idx="3">
                  <c:v>Planed Autonomous Maintenance</c:v>
                </c:pt>
                <c:pt idx="4">
                  <c:v>Brakdowns</c:v>
                </c:pt>
                <c:pt idx="5">
                  <c:v>Operational Loss</c:v>
                </c:pt>
                <c:pt idx="6">
                  <c:v> Minor Stops</c:v>
                </c:pt>
                <c:pt idx="7">
                  <c:v>Planed Maintenance</c:v>
                </c:pt>
                <c:pt idx="8">
                  <c:v>Planed Stops</c:v>
                </c:pt>
                <c:pt idx="9">
                  <c:v>Consumables replacment</c:v>
                </c:pt>
                <c:pt idx="10">
                  <c:v>Sum of Start and Finish Prod</c:v>
                </c:pt>
                <c:pt idx="11">
                  <c:v>Line Delay</c:v>
                </c:pt>
                <c:pt idx="12">
                  <c:v>Labor Management Loss</c:v>
                </c:pt>
                <c:pt idx="13">
                  <c:v>Material Shortage</c:v>
                </c:pt>
                <c:pt idx="14">
                  <c:v>Speed Los</c:v>
                </c:pt>
              </c:strCache>
            </c:strRef>
          </c:cat>
          <c:val>
            <c:numRef>
              <c:f>'Pivot Tables'!$E$7:$S$7</c:f>
              <c:numCache>
                <c:formatCode>0.0%</c:formatCode>
                <c:ptCount val="15"/>
                <c:pt idx="0">
                  <c:v>0.40212554505721071</c:v>
                </c:pt>
                <c:pt idx="1">
                  <c:v>0.25113803281447056</c:v>
                </c:pt>
                <c:pt idx="2">
                  <c:v>5.0287608016886115E-2</c:v>
                </c:pt>
                <c:pt idx="3">
                  <c:v>8.1374922774367267E-2</c:v>
                </c:pt>
                <c:pt idx="4">
                  <c:v>0.31437203506826267</c:v>
                </c:pt>
                <c:pt idx="5">
                  <c:v>8.4746080538242036E-2</c:v>
                </c:pt>
                <c:pt idx="6">
                  <c:v>3.1140775692778767E-2</c:v>
                </c:pt>
                <c:pt idx="7">
                  <c:v>7.1794208394411169E-2</c:v>
                </c:pt>
                <c:pt idx="8">
                  <c:v>3.0283212010919014E-3</c:v>
                </c:pt>
                <c:pt idx="9">
                  <c:v>0</c:v>
                </c:pt>
                <c:pt idx="10">
                  <c:v>3.345911582792465E-2</c:v>
                </c:pt>
                <c:pt idx="11">
                  <c:v>1.0977472323013724E-2</c:v>
                </c:pt>
                <c:pt idx="12">
                  <c:v>3.8413906279729272E-2</c:v>
                </c:pt>
                <c:pt idx="13">
                  <c:v>3.7313432835820895E-3</c:v>
                </c:pt>
                <c:pt idx="14">
                  <c:v>-24.346687799181957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0D-44D3-8ABA-8F07C1F6A0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"/>
        <c:overlap val="-27"/>
        <c:axId val="220851583"/>
        <c:axId val="220845823"/>
      </c:barChart>
      <c:catAx>
        <c:axId val="220851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845823"/>
        <c:crosses val="autoZero"/>
        <c:auto val="1"/>
        <c:lblAlgn val="ctr"/>
        <c:lblOffset val="100"/>
        <c:noMultiLvlLbl val="0"/>
      </c:catAx>
      <c:valAx>
        <c:axId val="220845823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851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[PERK MIS.-2026.xlsx]Pivot Tables!PivotTable9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5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5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Tables'!$V$2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</c:spPr>
          <c:dPt>
            <c:idx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60D-4225-B538-F19A3D99D8FC}"/>
              </c:ext>
            </c:extLst>
          </c:dPt>
          <c:dPt>
            <c:idx val="1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60D-4225-B538-F19A3D99D8FC}"/>
              </c:ext>
            </c:extLst>
          </c:dPt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Tables'!$U$3:$U$5</c:f>
              <c:strCache>
                <c:ptCount val="2"/>
                <c:pt idx="0">
                  <c:v>_10.3GM</c:v>
                </c:pt>
                <c:pt idx="1">
                  <c:v>_10.3GM_HT</c:v>
                </c:pt>
              </c:strCache>
            </c:strRef>
          </c:cat>
          <c:val>
            <c:numRef>
              <c:f>'Pivot Tables'!$V$3:$V$5</c:f>
              <c:numCache>
                <c:formatCode>0%</c:formatCode>
                <c:ptCount val="2"/>
                <c:pt idx="0">
                  <c:v>1.0655712896825391</c:v>
                </c:pt>
                <c:pt idx="1">
                  <c:v>0.80311448597820312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60D-4225-B538-F19A3D99D8F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[PERK MIS.-2026.xlsx]Pivot Tables!PivotTable10</c:name>
    <c:fmtId val="1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Tables'!$Y$6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Tables'!$X$7:$X$21</c:f>
              <c:strCache>
                <c:ptCount val="14"/>
                <c:pt idx="0">
                  <c:v>Oven_</c:v>
                </c:pt>
                <c:pt idx="1">
                  <c:v>Cutter_</c:v>
                </c:pt>
                <c:pt idx="2">
                  <c:v>Line_</c:v>
                </c:pt>
                <c:pt idx="3">
                  <c:v>Laminator_</c:v>
                </c:pt>
                <c:pt idx="4">
                  <c:v>Book_Cooler_</c:v>
                </c:pt>
                <c:pt idx="5">
                  <c:v>HCM_</c:v>
                </c:pt>
                <c:pt idx="6">
                  <c:v>TTLI_</c:v>
                </c:pt>
                <c:pt idx="7">
                  <c:v>Batching</c:v>
                </c:pt>
                <c:pt idx="8">
                  <c:v>Enrober_</c:v>
                </c:pt>
                <c:pt idx="9">
                  <c:v>Utility_</c:v>
                </c:pt>
                <c:pt idx="10">
                  <c:v>ADS_</c:v>
                </c:pt>
                <c:pt idx="11">
                  <c:v>CoolingTunnel</c:v>
                </c:pt>
                <c:pt idx="12">
                  <c:v>MetalDetector</c:v>
                </c:pt>
                <c:pt idx="13">
                  <c:v>TippingStation</c:v>
                </c:pt>
              </c:strCache>
            </c:strRef>
          </c:cat>
          <c:val>
            <c:numRef>
              <c:f>'Pivot Tables'!$Y$7:$Y$21</c:f>
              <c:numCache>
                <c:formatCode>General</c:formatCode>
                <c:ptCount val="14"/>
                <c:pt idx="0">
                  <c:v>4225</c:v>
                </c:pt>
                <c:pt idx="1">
                  <c:v>1601</c:v>
                </c:pt>
                <c:pt idx="2">
                  <c:v>1335</c:v>
                </c:pt>
                <c:pt idx="3">
                  <c:v>1325</c:v>
                </c:pt>
                <c:pt idx="4">
                  <c:v>1310</c:v>
                </c:pt>
                <c:pt idx="5">
                  <c:v>1152</c:v>
                </c:pt>
                <c:pt idx="6">
                  <c:v>1085.0349999999999</c:v>
                </c:pt>
                <c:pt idx="7">
                  <c:v>900</c:v>
                </c:pt>
                <c:pt idx="8">
                  <c:v>830</c:v>
                </c:pt>
                <c:pt idx="9">
                  <c:v>780</c:v>
                </c:pt>
                <c:pt idx="10">
                  <c:v>730</c:v>
                </c:pt>
                <c:pt idx="11">
                  <c:v>580</c:v>
                </c:pt>
                <c:pt idx="12">
                  <c:v>395</c:v>
                </c:pt>
                <c:pt idx="13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3E-41BA-819C-EC2FF6357FF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41631215"/>
        <c:axId val="641631695"/>
      </c:barChart>
      <c:catAx>
        <c:axId val="64163121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631695"/>
        <c:crosses val="autoZero"/>
        <c:auto val="1"/>
        <c:lblAlgn val="ctr"/>
        <c:lblOffset val="100"/>
        <c:noMultiLvlLbl val="0"/>
      </c:catAx>
      <c:valAx>
        <c:axId val="6416316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631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Style="simple" dx="17" sel="0" val="0" widthMin="150"/>
</file>

<file path=xl/ctrlProps/ctrlProp2.xml><?xml version="1.0" encoding="utf-8"?>
<formControlPr xmlns="http://schemas.microsoft.com/office/spreadsheetml/2009/9/main" objectType="Drop" dropStyle="simple" dx="17" sel="0" val="0" widthMin="15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Home!A1"/><Relationship Id="rId2" Type="http://schemas.openxmlformats.org/officeDocument/2006/relationships/image" Target="../media/image3.jpeg"/><Relationship Id="rId1" Type="http://schemas.openxmlformats.org/officeDocument/2006/relationships/image" Target="../media/image2.png"/><Relationship Id="rId4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3" Type="http://schemas.openxmlformats.org/officeDocument/2006/relationships/hyperlink" Target="#Home!A1"/><Relationship Id="rId7" Type="http://schemas.openxmlformats.org/officeDocument/2006/relationships/chart" Target="../charts/chart3.xml"/><Relationship Id="rId2" Type="http://schemas.openxmlformats.org/officeDocument/2006/relationships/image" Target="../media/image8.png"/><Relationship Id="rId1" Type="http://schemas.openxmlformats.org/officeDocument/2006/relationships/image" Target="../media/image7.jpeg"/><Relationship Id="rId6" Type="http://schemas.openxmlformats.org/officeDocument/2006/relationships/chart" Target="../charts/chart2.xml"/><Relationship Id="rId5" Type="http://schemas.openxmlformats.org/officeDocument/2006/relationships/chart" Target="../charts/chart1.xml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590550</xdr:colOff>
      <xdr:row>1</xdr:row>
      <xdr:rowOff>63500</xdr:rowOff>
    </xdr:from>
    <xdr:to>
      <xdr:col>27</xdr:col>
      <xdr:colOff>590550</xdr:colOff>
      <xdr:row>20</xdr:row>
      <xdr:rowOff>171450</xdr:rowOff>
    </xdr:to>
    <xdr:pic>
      <xdr:nvPicPr>
        <xdr:cNvPr id="2" name="ClipboardAsImage">
          <a:extLst>
            <a:ext uri="{FF2B5EF4-FFF2-40B4-BE49-F238E27FC236}">
              <a16:creationId xmlns:a16="http://schemas.microsoft.com/office/drawing/2014/main" id="{E78FE459-9AD8-821D-8D4F-DA9424636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47650"/>
          <a:ext cx="9753600" cy="3727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111</xdr:row>
          <xdr:rowOff>0</xdr:rowOff>
        </xdr:from>
        <xdr:to>
          <xdr:col>4</xdr:col>
          <xdr:colOff>0</xdr:colOff>
          <xdr:row>112</xdr:row>
          <xdr:rowOff>0</xdr:rowOff>
        </xdr:to>
        <xdr:sp macro="" textlink="">
          <xdr:nvSpPr>
            <xdr:cNvPr id="32769" name=" 134" hidden="1">
              <a:extLst>
                <a:ext uri="{63B3BB69-23CF-44E3-9099-C40C66FF867C}">
                  <a14:compatExt spid="_x0000_s32769"/>
                </a:ext>
                <a:ext uri="{FF2B5EF4-FFF2-40B4-BE49-F238E27FC236}">
                  <a16:creationId xmlns:a16="http://schemas.microsoft.com/office/drawing/2014/main" id="{00000000-0008-0000-0200-0000018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111</xdr:row>
          <xdr:rowOff>0</xdr:rowOff>
        </xdr:from>
        <xdr:to>
          <xdr:col>3</xdr:col>
          <xdr:colOff>0</xdr:colOff>
          <xdr:row>112</xdr:row>
          <xdr:rowOff>0</xdr:rowOff>
        </xdr:to>
        <xdr:sp macro="" textlink="">
          <xdr:nvSpPr>
            <xdr:cNvPr id="3206" name=" 134" hidden="1">
              <a:extLst>
                <a:ext uri="{63B3BB69-23CF-44E3-9099-C40C66FF867C}">
                  <a14:compatExt spid="_x0000_s3206"/>
                </a:ext>
                <a:ext uri="{FF2B5EF4-FFF2-40B4-BE49-F238E27FC236}">
                  <a16:creationId xmlns:a16="http://schemas.microsoft.com/office/drawing/2014/main" id="{00000000-0008-0000-0400-00008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300567</xdr:colOff>
      <xdr:row>1</xdr:row>
      <xdr:rowOff>19050</xdr:rowOff>
    </xdr:from>
    <xdr:to>
      <xdr:col>4</xdr:col>
      <xdr:colOff>167217</xdr:colOff>
      <xdr:row>2</xdr:row>
      <xdr:rowOff>8400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DF246B-E7B5-4947-9329-1CBEA64D4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03917" y="158750"/>
          <a:ext cx="1479550" cy="624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566632</xdr:colOff>
      <xdr:row>1</xdr:row>
      <xdr:rowOff>50801</xdr:rowOff>
    </xdr:from>
    <xdr:to>
      <xdr:col>16</xdr:col>
      <xdr:colOff>1</xdr:colOff>
      <xdr:row>1</xdr:row>
      <xdr:rowOff>593811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75D7D6-D64F-41E4-8485-99022A47CE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174682" y="190501"/>
          <a:ext cx="614469" cy="5430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101599</xdr:colOff>
      <xdr:row>0</xdr:row>
      <xdr:rowOff>137581</xdr:rowOff>
    </xdr:from>
    <xdr:to>
      <xdr:col>3</xdr:col>
      <xdr:colOff>0</xdr:colOff>
      <xdr:row>2</xdr:row>
      <xdr:rowOff>25399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D51B803-E26E-4A11-A4CC-147F6606CE69}"/>
            </a:ext>
          </a:extLst>
        </xdr:cNvPr>
        <xdr:cNvSpPr/>
      </xdr:nvSpPr>
      <xdr:spPr>
        <a:xfrm>
          <a:off x="101599" y="137581"/>
          <a:ext cx="1619251" cy="662518"/>
        </a:xfrm>
        <a:prstGeom prst="rect">
          <a:avLst/>
        </a:prstGeom>
        <a:solidFill>
          <a:schemeClr val="accent5"/>
        </a:solidFill>
        <a:scene3d>
          <a:camera prst="orthographicFront"/>
          <a:lightRig rig="threePt" dir="t">
            <a:rot lat="0" lon="0" rev="0"/>
          </a:lightRig>
        </a:scene3d>
        <a:sp3d extrusionH="12700">
          <a:bevelT/>
        </a:sp3d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chemeClr val="bg1"/>
              </a:solidFill>
            </a:rPr>
            <a:t>Home</a:t>
          </a:r>
        </a:p>
      </xdr:txBody>
    </xdr:sp>
    <xdr:clientData/>
  </xdr:twoCellAnchor>
  <xdr:twoCellAnchor editAs="oneCell">
    <xdr:from>
      <xdr:col>1</xdr:col>
      <xdr:colOff>0</xdr:colOff>
      <xdr:row>10</xdr:row>
      <xdr:rowOff>16934</xdr:rowOff>
    </xdr:from>
    <xdr:to>
      <xdr:col>4</xdr:col>
      <xdr:colOff>25400</xdr:colOff>
      <xdr:row>14</xdr:row>
      <xdr:rowOff>25399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31D29ED-731F-47B1-A7A3-09465CAC0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1600" y="3742267"/>
          <a:ext cx="2937933" cy="180339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434975</xdr:colOff>
      <xdr:row>1</xdr:row>
      <xdr:rowOff>31679</xdr:rowOff>
    </xdr:from>
    <xdr:ext cx="1371268" cy="330272"/>
    <xdr:pic>
      <xdr:nvPicPr>
        <xdr:cNvPr id="2" name="Picture 1">
          <a:extLst>
            <a:ext uri="{FF2B5EF4-FFF2-40B4-BE49-F238E27FC236}">
              <a16:creationId xmlns:a16="http://schemas.microsoft.com/office/drawing/2014/main" id="{8027A867-62FE-4B54-9FC9-432BCEE5C4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882" t="12222" r="15451" b="34444"/>
        <a:stretch/>
      </xdr:blipFill>
      <xdr:spPr>
        <a:xfrm>
          <a:off x="12017375" y="215829"/>
          <a:ext cx="1371268" cy="330272"/>
        </a:xfrm>
        <a:prstGeom prst="rect">
          <a:avLst/>
        </a:prstGeom>
      </xdr:spPr>
    </xdr:pic>
    <xdr:clientData/>
  </xdr:oneCellAnchor>
  <xdr:oneCellAnchor>
    <xdr:from>
      <xdr:col>1</xdr:col>
      <xdr:colOff>49741</xdr:colOff>
      <xdr:row>1</xdr:row>
      <xdr:rowOff>38100</xdr:rowOff>
    </xdr:from>
    <xdr:ext cx="994834" cy="330200"/>
    <xdr:pic>
      <xdr:nvPicPr>
        <xdr:cNvPr id="3" name="Picture 2">
          <a:extLst>
            <a:ext uri="{FF2B5EF4-FFF2-40B4-BE49-F238E27FC236}">
              <a16:creationId xmlns:a16="http://schemas.microsoft.com/office/drawing/2014/main" id="{8FBAD125-9FEF-4D99-809A-0DA816CDD2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9341" y="222250"/>
          <a:ext cx="994834" cy="33020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318632</xdr:colOff>
      <xdr:row>0</xdr:row>
      <xdr:rowOff>172480</xdr:rowOff>
    </xdr:from>
    <xdr:to>
      <xdr:col>21</xdr:col>
      <xdr:colOff>21360</xdr:colOff>
      <xdr:row>3</xdr:row>
      <xdr:rowOff>30377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251B19C7-D3AC-48CC-A204-C242F6BCB5F5}"/>
            </a:ext>
          </a:extLst>
        </xdr:cNvPr>
        <xdr:cNvGrpSpPr/>
      </xdr:nvGrpSpPr>
      <xdr:grpSpPr>
        <a:xfrm>
          <a:off x="1541007" y="172480"/>
          <a:ext cx="11315291" cy="405585"/>
          <a:chOff x="426750" y="147080"/>
          <a:chExt cx="12745518" cy="414743"/>
        </a:xfrm>
      </xdr:grpSpPr>
      <xdr:grpSp>
        <xdr:nvGrpSpPr>
          <xdr:cNvPr id="13" name="Group 12">
            <a:extLst>
              <a:ext uri="{FF2B5EF4-FFF2-40B4-BE49-F238E27FC236}">
                <a16:creationId xmlns:a16="http://schemas.microsoft.com/office/drawing/2014/main" id="{F0B772CB-3EC5-1586-F853-03E1538DEBF3}"/>
              </a:ext>
            </a:extLst>
          </xdr:cNvPr>
          <xdr:cNvGrpSpPr/>
        </xdr:nvGrpSpPr>
        <xdr:grpSpPr>
          <a:xfrm>
            <a:off x="527523" y="147080"/>
            <a:ext cx="12644745" cy="414743"/>
            <a:chOff x="527523" y="147080"/>
            <a:chExt cx="12644745" cy="414743"/>
          </a:xfrm>
        </xdr:grpSpPr>
        <xdr:sp macro="" textlink="">
          <xdr:nvSpPr>
            <xdr:cNvPr id="15" name="Parallelogram 14">
              <a:extLst>
                <a:ext uri="{FF2B5EF4-FFF2-40B4-BE49-F238E27FC236}">
                  <a16:creationId xmlns:a16="http://schemas.microsoft.com/office/drawing/2014/main" id="{95C1CD1B-1B04-C788-A0DA-21E5CEDDDAFF}"/>
                </a:ext>
              </a:extLst>
            </xdr:cNvPr>
            <xdr:cNvSpPr/>
          </xdr:nvSpPr>
          <xdr:spPr>
            <a:xfrm>
              <a:off x="3977598" y="147080"/>
              <a:ext cx="4554133" cy="414743"/>
            </a:xfrm>
            <a:prstGeom prst="parallelogram">
              <a:avLst/>
            </a:prstGeom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</xdr:spPr>
          <xdr:style>
            <a:lnRef idx="1">
              <a:schemeClr val="accent5"/>
            </a:lnRef>
            <a:fillRef idx="2">
              <a:schemeClr val="accent5"/>
            </a:fillRef>
            <a:effectRef idx="1">
              <a:schemeClr val="accent5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N" sz="1800" b="1">
                  <a:solidFill>
                    <a:schemeClr val="accent5">
                      <a:lumMod val="75000"/>
                    </a:schemeClr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MAJOR LOSS ANALYSIS DASHBOARD</a:t>
              </a:r>
            </a:p>
          </xdr:txBody>
        </xdr:sp>
        <xdr:sp macro="" textlink="">
          <xdr:nvSpPr>
            <xdr:cNvPr id="16" name="Parallelogram 15">
              <a:extLst>
                <a:ext uri="{FF2B5EF4-FFF2-40B4-BE49-F238E27FC236}">
                  <a16:creationId xmlns:a16="http://schemas.microsoft.com/office/drawing/2014/main" id="{81F36657-F2C3-61C6-04FC-2315B24DDE05}"/>
                </a:ext>
              </a:extLst>
            </xdr:cNvPr>
            <xdr:cNvSpPr/>
          </xdr:nvSpPr>
          <xdr:spPr>
            <a:xfrm>
              <a:off x="8485785" y="147080"/>
              <a:ext cx="4553701" cy="414743"/>
            </a:xfrm>
            <a:prstGeom prst="parallelogram">
              <a:avLst/>
            </a:prstGeom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</xdr:spPr>
          <xdr:style>
            <a:lnRef idx="1">
              <a:schemeClr val="accent5"/>
            </a:lnRef>
            <a:fillRef idx="2">
              <a:schemeClr val="accent5"/>
            </a:fillRef>
            <a:effectRef idx="1">
              <a:schemeClr val="accent5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IN" sz="1600" b="1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sp macro="" textlink="">
          <xdr:nvSpPr>
            <xdr:cNvPr id="17" name="Parallelogram 16">
              <a:extLst>
                <a:ext uri="{FF2B5EF4-FFF2-40B4-BE49-F238E27FC236}">
                  <a16:creationId xmlns:a16="http://schemas.microsoft.com/office/drawing/2014/main" id="{1BF2822B-71AC-9D46-DF23-1083A3553D27}"/>
                </a:ext>
              </a:extLst>
            </xdr:cNvPr>
            <xdr:cNvSpPr/>
          </xdr:nvSpPr>
          <xdr:spPr>
            <a:xfrm>
              <a:off x="8618567" y="147080"/>
              <a:ext cx="4553701" cy="414743"/>
            </a:xfrm>
            <a:prstGeom prst="parallelogram">
              <a:avLst/>
            </a:prstGeom>
            <a:solidFill>
              <a:schemeClr val="accent5">
                <a:lumMod val="75000"/>
              </a:schemeClr>
            </a:solidFill>
            <a:ln>
              <a:noFill/>
            </a:ln>
          </xdr:spPr>
          <xdr:style>
            <a:lnRef idx="1">
              <a:schemeClr val="accent5"/>
            </a:lnRef>
            <a:fillRef idx="2">
              <a:schemeClr val="accent5"/>
            </a:fillRef>
            <a:effectRef idx="1">
              <a:schemeClr val="accent5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IN" sz="1600" b="1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sp macro="" textlink="">
          <xdr:nvSpPr>
            <xdr:cNvPr id="18" name="Parallelogram 17">
              <a:extLst>
                <a:ext uri="{FF2B5EF4-FFF2-40B4-BE49-F238E27FC236}">
                  <a16:creationId xmlns:a16="http://schemas.microsoft.com/office/drawing/2014/main" id="{C8E45069-E61D-341E-9F43-3193130248DA}"/>
                </a:ext>
              </a:extLst>
            </xdr:cNvPr>
            <xdr:cNvSpPr/>
          </xdr:nvSpPr>
          <xdr:spPr>
            <a:xfrm>
              <a:off x="527523" y="147080"/>
              <a:ext cx="3493407" cy="414743"/>
            </a:xfrm>
            <a:prstGeom prst="parallelogram">
              <a:avLst/>
            </a:prstGeom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</xdr:spPr>
          <xdr:style>
            <a:lnRef idx="1">
              <a:schemeClr val="accent5"/>
            </a:lnRef>
            <a:fillRef idx="2">
              <a:schemeClr val="accent5"/>
            </a:fillRef>
            <a:effectRef idx="1">
              <a:schemeClr val="accent5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IN" sz="1600" b="1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xdr:grpSp>
      <xdr:sp macro="" textlink="">
        <xdr:nvSpPr>
          <xdr:cNvPr id="14" name="Parallelogram 13">
            <a:extLst>
              <a:ext uri="{FF2B5EF4-FFF2-40B4-BE49-F238E27FC236}">
                <a16:creationId xmlns:a16="http://schemas.microsoft.com/office/drawing/2014/main" id="{006F1D92-CE6B-B508-3B1B-4D33F9C4CE73}"/>
              </a:ext>
            </a:extLst>
          </xdr:cNvPr>
          <xdr:cNvSpPr/>
        </xdr:nvSpPr>
        <xdr:spPr>
          <a:xfrm>
            <a:off x="426750" y="147080"/>
            <a:ext cx="3491205" cy="414743"/>
          </a:xfrm>
          <a:prstGeom prst="parallelogram">
            <a:avLst/>
          </a:prstGeom>
          <a:solidFill>
            <a:schemeClr val="accent5">
              <a:lumMod val="75000"/>
            </a:schemeClr>
          </a:solidFill>
          <a:ln>
            <a:noFill/>
          </a:ln>
        </xdr:spPr>
        <xdr:style>
          <a:lnRef idx="1">
            <a:schemeClr val="accent5"/>
          </a:lnRef>
          <a:fillRef idx="2">
            <a:schemeClr val="accent5"/>
          </a:fillRef>
          <a:effectRef idx="1">
            <a:schemeClr val="accent5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lang="en-IN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 editAs="oneCell">
    <xdr:from>
      <xdr:col>0</xdr:col>
      <xdr:colOff>12700</xdr:colOff>
      <xdr:row>0</xdr:row>
      <xdr:rowOff>19051</xdr:rowOff>
    </xdr:from>
    <xdr:to>
      <xdr:col>2</xdr:col>
      <xdr:colOff>25400</xdr:colOff>
      <xdr:row>3</xdr:row>
      <xdr:rowOff>161301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85A9F356-D388-4276-A33F-9C4DE4A45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9051"/>
          <a:ext cx="1231900" cy="694700"/>
        </a:xfrm>
        <a:prstGeom prst="rect">
          <a:avLst/>
        </a:prstGeom>
      </xdr:spPr>
    </xdr:pic>
    <xdr:clientData/>
  </xdr:twoCellAnchor>
  <xdr:twoCellAnchor editAs="oneCell">
    <xdr:from>
      <xdr:col>2</xdr:col>
      <xdr:colOff>494436</xdr:colOff>
      <xdr:row>0</xdr:row>
      <xdr:rowOff>12700</xdr:rowOff>
    </xdr:from>
    <xdr:to>
      <xdr:col>4</xdr:col>
      <xdr:colOff>12700</xdr:colOff>
      <xdr:row>3</xdr:row>
      <xdr:rowOff>144620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DB5A3867-CFC4-478D-A964-C94A1B0D91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8986" y="12700"/>
          <a:ext cx="737464" cy="684370"/>
        </a:xfrm>
        <a:prstGeom prst="rect">
          <a:avLst/>
        </a:prstGeom>
      </xdr:spPr>
    </xdr:pic>
    <xdr:clientData/>
  </xdr:twoCellAnchor>
  <xdr:twoCellAnchor editAs="oneCell">
    <xdr:from>
      <xdr:col>30</xdr:col>
      <xdr:colOff>84667</xdr:colOff>
      <xdr:row>0</xdr:row>
      <xdr:rowOff>33867</xdr:rowOff>
    </xdr:from>
    <xdr:to>
      <xdr:col>31</xdr:col>
      <xdr:colOff>137583</xdr:colOff>
      <xdr:row>2</xdr:row>
      <xdr:rowOff>177800</xdr:rowOff>
    </xdr:to>
    <xdr:pic>
      <xdr:nvPicPr>
        <xdr:cNvPr id="21" name="Picture 20" descr="Home - Free web icon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F8CCEEB-F1EA-496B-8881-F16C8BFF8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72667" y="33867"/>
          <a:ext cx="662516" cy="5122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38100</xdr:colOff>
      <xdr:row>11</xdr:row>
      <xdr:rowOff>152400</xdr:rowOff>
    </xdr:from>
    <xdr:to>
      <xdr:col>14</xdr:col>
      <xdr:colOff>127000</xdr:colOff>
      <xdr:row>23</xdr:row>
      <xdr:rowOff>133350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9548739-590B-47AF-BC79-AD729D2E9C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0</xdr:colOff>
      <xdr:row>5</xdr:row>
      <xdr:rowOff>0</xdr:rowOff>
    </xdr:from>
    <xdr:to>
      <xdr:col>14</xdr:col>
      <xdr:colOff>105747</xdr:colOff>
      <xdr:row>6</xdr:row>
      <xdr:rowOff>94971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819F98C-2CFE-402F-8D25-1C9A6FD1DC31}"/>
            </a:ext>
          </a:extLst>
        </xdr:cNvPr>
        <xdr:cNvSpPr/>
      </xdr:nvSpPr>
      <xdr:spPr>
        <a:xfrm>
          <a:off x="0" y="920750"/>
          <a:ext cx="8640147" cy="279121"/>
        </a:xfrm>
        <a:prstGeom prst="rect">
          <a:avLst/>
        </a:prstGeom>
        <a:solidFill>
          <a:schemeClr val="accent5">
            <a:lumMod val="75000"/>
          </a:schemeClr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Top Losses (Hrs) - Month</a:t>
          </a:r>
          <a:endParaRPr lang="en-IN" sz="18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25400</xdr:colOff>
      <xdr:row>24</xdr:row>
      <xdr:rowOff>82550</xdr:rowOff>
    </xdr:from>
    <xdr:to>
      <xdr:col>14</xdr:col>
      <xdr:colOff>64601</xdr:colOff>
      <xdr:row>25</xdr:row>
      <xdr:rowOff>173115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E5659AB0-28E5-4139-8136-280EE160541E}"/>
            </a:ext>
          </a:extLst>
        </xdr:cNvPr>
        <xdr:cNvSpPr/>
      </xdr:nvSpPr>
      <xdr:spPr>
        <a:xfrm>
          <a:off x="25400" y="4502150"/>
          <a:ext cx="8573601" cy="274715"/>
        </a:xfrm>
        <a:prstGeom prst="rect">
          <a:avLst/>
        </a:prstGeom>
        <a:solidFill>
          <a:schemeClr val="accent5">
            <a:lumMod val="75000"/>
          </a:schemeClr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GE Loss Pareto (Loss Type)</a:t>
          </a:r>
        </a:p>
      </xdr:txBody>
    </xdr:sp>
    <xdr:clientData/>
  </xdr:twoCellAnchor>
  <xdr:twoCellAnchor>
    <xdr:from>
      <xdr:col>0</xdr:col>
      <xdr:colOff>0</xdr:colOff>
      <xdr:row>27</xdr:row>
      <xdr:rowOff>0</xdr:rowOff>
    </xdr:from>
    <xdr:to>
      <xdr:col>14</xdr:col>
      <xdr:colOff>203200</xdr:colOff>
      <xdr:row>41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1407EA-77BA-4E26-B029-03001F8B01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42862</xdr:colOff>
      <xdr:row>7</xdr:row>
      <xdr:rowOff>47626</xdr:rowOff>
    </xdr:from>
    <xdr:to>
      <xdr:col>22</xdr:col>
      <xdr:colOff>349250</xdr:colOff>
      <xdr:row>23</xdr:row>
      <xdr:rowOff>166687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EF1446F-5D57-4794-A72E-3474A9C4AB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15</xdr:col>
      <xdr:colOff>165101</xdr:colOff>
      <xdr:row>4</xdr:row>
      <xdr:rowOff>171450</xdr:rowOff>
    </xdr:from>
    <xdr:to>
      <xdr:col>21</xdr:col>
      <xdr:colOff>387350</xdr:colOff>
      <xdr:row>6</xdr:row>
      <xdr:rowOff>82271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51EF24ED-50D5-489F-A41A-DAB11693F452}"/>
            </a:ext>
          </a:extLst>
        </xdr:cNvPr>
        <xdr:cNvSpPr/>
      </xdr:nvSpPr>
      <xdr:spPr>
        <a:xfrm>
          <a:off x="9309101" y="908050"/>
          <a:ext cx="3879849" cy="279121"/>
        </a:xfrm>
        <a:prstGeom prst="rect">
          <a:avLst/>
        </a:prstGeom>
        <a:solidFill>
          <a:schemeClr val="accent5">
            <a:lumMod val="75000"/>
          </a:schemeClr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SKU VS GE%</a:t>
          </a:r>
          <a:endParaRPr lang="en-IN" sz="18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15</xdr:col>
      <xdr:colOff>0</xdr:colOff>
      <xdr:row>27</xdr:row>
      <xdr:rowOff>0</xdr:rowOff>
    </xdr:from>
    <xdr:to>
      <xdr:col>22</xdr:col>
      <xdr:colOff>293688</xdr:colOff>
      <xdr:row>42</xdr:row>
      <xdr:rowOff>4763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A39D52F-5206-48D5-8771-7A0D024E05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15</xdr:col>
      <xdr:colOff>349250</xdr:colOff>
      <xdr:row>24</xdr:row>
      <xdr:rowOff>95250</xdr:rowOff>
    </xdr:from>
    <xdr:to>
      <xdr:col>21</xdr:col>
      <xdr:colOff>571499</xdr:colOff>
      <xdr:row>26</xdr:row>
      <xdr:rowOff>6071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6C2D80D-75DC-4403-95C0-34714F034342}"/>
            </a:ext>
          </a:extLst>
        </xdr:cNvPr>
        <xdr:cNvSpPr/>
      </xdr:nvSpPr>
      <xdr:spPr>
        <a:xfrm>
          <a:off x="9517063" y="4476750"/>
          <a:ext cx="3889374" cy="275946"/>
        </a:xfrm>
        <a:prstGeom prst="rect">
          <a:avLst/>
        </a:prstGeom>
        <a:solidFill>
          <a:schemeClr val="accent5">
            <a:lumMod val="75000"/>
          </a:schemeClr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EQUIPMENT VS DOWNTIME</a:t>
          </a:r>
          <a:endParaRPr lang="en-IN" sz="18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ydrive.mdlz.com/personal/himanshu_chauhan_mdlz_com/Documents/Desktop/Perk-PL/Perk%20MIS/PERK-2026/PERK%20MIS-2026.xlsx" TargetMode="External"/><Relationship Id="rId1" Type="http://schemas.openxmlformats.org/officeDocument/2006/relationships/externalLinkPath" Target="Desktop/Perk-PL/Perk%20MIS/PERK-2026/PERK%20MIS-2026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DAILY%20REPORT-PERK.xlsx" TargetMode="External"/><Relationship Id="rId2" Type="http://schemas.openxmlformats.org/officeDocument/2006/relationships/externalLinkPath" Target="https://mydrive.mdlz.com/personal/himanshu_chauhan_mdlz_com/Documents/DAILY%20REPORT-PERK.xlsx" TargetMode="External"/><Relationship Id="rId1" Type="http://schemas.openxmlformats.org/officeDocument/2006/relationships/externalLinkPath" Target="/personal/himanshu_chauhan_mdlz_com/Documents/DAILY%20REPORT-PER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d Plan"/>
      <sheetName val="Data Sheet"/>
      <sheetName val="GE Loss%"/>
      <sheetName val="Downtime Data"/>
      <sheetName val="Look up (2)"/>
      <sheetName val="Pivot Tables"/>
      <sheetName val="Analysis Dashboard"/>
      <sheetName val="Overweight Data"/>
      <sheetName val="DMS-2 Attendance"/>
      <sheetName val="Line Name"/>
      <sheetName val="DMS-2 MO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1">
          <cell r="A1" t="str">
            <v>Id</v>
          </cell>
          <cell r="B1" t="str">
            <v>Start time</v>
          </cell>
          <cell r="C1" t="str">
            <v>Completion time</v>
          </cell>
          <cell r="D1" t="str">
            <v>Email</v>
          </cell>
          <cell r="E1" t="str">
            <v>Name</v>
          </cell>
          <cell r="F1" t="str">
            <v>Date</v>
          </cell>
          <cell r="G1" t="str">
            <v>SKU</v>
          </cell>
          <cell r="H1" t="str">
            <v>Volume Delivered</v>
          </cell>
          <cell r="I1" t="str">
            <v>Quality Loss</v>
          </cell>
          <cell r="J1" t="str">
            <v>Planned Maintenance</v>
          </cell>
          <cell r="K1" t="str">
            <v>Planned Autonomous Maintenance</v>
          </cell>
          <cell r="L1" t="str">
            <v>Planned AM</v>
          </cell>
          <cell r="M1" t="str">
            <v>Sanitation</v>
          </cell>
          <cell r="N1" t="str">
            <v>Changeovers</v>
          </cell>
          <cell r="O1" t="str">
            <v>Breakdowns</v>
          </cell>
          <cell r="P1" t="str">
            <v>Operational Losses</v>
          </cell>
        </row>
        <row r="2">
          <cell r="A2">
            <v>1</v>
          </cell>
          <cell r="B2">
            <v>46170.324618055558</v>
          </cell>
          <cell r="C2">
            <v>46170.327719907407</v>
          </cell>
          <cell r="D2" t="str">
            <v>anonymous</v>
          </cell>
          <cell r="F2">
            <v>46169</v>
          </cell>
          <cell r="G2" t="str">
            <v>_10.3GM</v>
          </cell>
          <cell r="H2">
            <v>28</v>
          </cell>
          <cell r="I2">
            <v>1.7</v>
          </cell>
          <cell r="J2">
            <v>1</v>
          </cell>
          <cell r="L2">
            <v>0.5</v>
          </cell>
          <cell r="O2">
            <v>4</v>
          </cell>
        </row>
      </sheetData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XFControls"/>
  <bag type="XFComplement">
    <bagId k="XFControls">4</bagId>
  </bag>
  <bag type="DXFComplements" extRef="DXFComplementsMapperExtRef">
    <a k="MappedFeaturePropertyBags">
      <bagId>5</bagId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Mathur, Manoj" id="{B419231B-74D1-42CA-96F3-B9F5066C8EEF}" userId="S::Manoj.Mathur@mdlz.com::31cff129-ad67-44bc-a522-0371a4016dcf" providerId="AD"/>
  <person displayName="Mathur, Manoj" id="{8E32FC1D-4359-4BEC-B3BA-C4216ECEAC0D}" userId="S::manoj.mathur@mdlz.com::31cff129-ad67-44bc-a522-0371a4016dcf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uhan, Himanshu" refreshedDate="46251.437573958334" createdVersion="8" refreshedVersion="8" minRefreshableVersion="3" recordCount="12" xr:uid="{C7A4DFED-F76D-4311-AE32-3FF2EF0F89A3}">
  <cacheSource type="worksheet">
    <worksheetSource name="Table3"/>
  </cacheSource>
  <cacheFields count="22">
    <cacheField name="Month" numFmtId="164">
      <sharedItems containsSemiMixedTypes="0" containsNonDate="0" containsDate="1" containsString="0" minDate="2026-01-26T00:00:00" maxDate="2026-12-27T00:00:00" count="12">
        <d v="2026-01-26T00:00:00"/>
        <d v="2026-02-26T00:00:00"/>
        <d v="2026-03-26T00:00:00"/>
        <d v="2026-04-26T00:00:00"/>
        <d v="2026-05-26T00:00:00"/>
        <d v="2026-06-26T00:00:00"/>
        <d v="2026-07-26T00:00:00"/>
        <d v="2026-08-26T00:00:00"/>
        <d v="2026-09-26T00:00:00"/>
        <d v="2026-10-26T00:00:00"/>
        <d v="2026-11-26T00:00:00"/>
        <d v="2026-12-26T00:00:00"/>
      </sharedItems>
    </cacheField>
    <cacheField name="GE (Target)" numFmtId="9">
      <sharedItems containsSemiMixedTypes="0" containsString="0" containsNumber="1" minValue="0.81" maxValue="0.85"/>
    </cacheField>
    <cacheField name="GE(Actual)" numFmtId="167">
      <sharedItems containsMixedTypes="1" containsNumber="1" minValue="0.67195167055393579" maxValue="25.510204081632651"/>
    </cacheField>
    <cacheField name="Hours Used" numFmtId="0">
      <sharedItems containsSemiMixedTypes="0" containsString="0" containsNumber="1" containsInteger="1" minValue="0" maxValue="836"/>
    </cacheField>
    <cacheField name="Planned Maintenance" numFmtId="167">
      <sharedItems containsMixedTypes="1" containsNumber="1" minValue="0" maxValue="1.3392857142857142E-2"/>
    </cacheField>
    <cacheField name="Planned Autonomous Maintenance" numFmtId="167">
      <sharedItems containsMixedTypes="1" containsNumber="1" minValue="0" maxValue="1.7410714285714286E-2"/>
    </cacheField>
    <cacheField name="Sanitation" numFmtId="167">
      <sharedItems containsMixedTypes="1" containsNumber="1" minValue="0" maxValue="0.18005952380952381"/>
    </cacheField>
    <cacheField name="Changeovers" numFmtId="167">
      <sharedItems containsMixedTypes="1" containsNumber="1" minValue="0" maxValue="1.8407960199004977E-2"/>
    </cacheField>
    <cacheField name="Planned Stops" numFmtId="167">
      <sharedItems containsMixedTypes="1" containsNumber="1" minValue="0" maxValue="2.232142857142857E-3"/>
    </cacheField>
    <cacheField name="Consumables replacement" numFmtId="167">
      <sharedItems containsMixedTypes="1" containsNumber="1" containsInteger="1" minValue="0" maxValue="0"/>
    </cacheField>
    <cacheField name="Start and Finish Production" numFmtId="167">
      <sharedItems containsMixedTypes="1" containsNumber="1" minValue="0" maxValue="1.3257575757575758E-2"/>
    </cacheField>
    <cacheField name="Planned Loss" numFmtId="0">
      <sharedItems containsSemiMixedTypes="0" containsString="0" containsNumber="1" minValue="0" maxValue="0.20357142857142857"/>
    </cacheField>
    <cacheField name="Minor Stoppages" numFmtId="167">
      <sharedItems containsMixedTypes="1" containsNumber="1" minValue="0" maxValue="8.312603648424545E-3"/>
    </cacheField>
    <cacheField name="Breakdowns" numFmtId="167">
      <sharedItems containsMixedTypes="1" containsNumber="1" minValue="0" maxValue="8.9772727272727268E-2"/>
    </cacheField>
    <cacheField name="Operational Losses" numFmtId="167">
      <sharedItems containsMixedTypes="1" containsNumber="1" minValue="0" maxValue="1.9425675675675675E-2"/>
    </cacheField>
    <cacheField name="Line Delays" numFmtId="167">
      <sharedItems containsMixedTypes="1" containsNumber="1" minValue="0" maxValue="5.2364864864864868E-3"/>
    </cacheField>
    <cacheField name="Labor Management Losses" numFmtId="167">
      <sharedItems containsMixedTypes="1" containsNumber="1" minValue="0" maxValue="2.1790540540540537E-2"/>
    </cacheField>
    <cacheField name="Material Shortages" numFmtId="167">
      <sharedItems containsMixedTypes="1" containsNumber="1" minValue="0" maxValue="3.7313432835820895E-3"/>
    </cacheField>
    <cacheField name="Speed Loss" numFmtId="167">
      <sharedItems containsMixedTypes="1" containsNumber="1" minValue="-24.510204081632651" maxValue="3.2906067879289631E-2"/>
    </cacheField>
    <cacheField name="Quality Loss" numFmtId="167">
      <sharedItems containsMixedTypes="1" containsNumber="1" minValue="0" maxValue="4.1492050589794945E-2"/>
    </cacheField>
    <cacheField name="Unplanned Loss" numFmtId="167">
      <sharedItems containsSemiMixedTypes="0" containsString="0" containsNumber="1" minValue="-24.510204081632651" maxValue="0.16044101053499552"/>
    </cacheField>
    <cacheField name="Operating Tim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uhan, Himanshu" refreshedDate="46251.437574884258" createdVersion="8" refreshedVersion="8" minRefreshableVersion="3" recordCount="4999" xr:uid="{E36BEF08-1ECC-4AC2-BFC2-93DADD80A9E8}">
  <cacheSource type="worksheet">
    <worksheetSource name="Table2"/>
  </cacheSource>
  <cacheFields count="13">
    <cacheField name="Date" numFmtId="15">
      <sharedItems containsNonDate="0" containsDate="1" containsString="0" containsBlank="1" minDate="2025-12-29T00:00:00" maxDate="2026-07-20T00:00:00"/>
    </cacheField>
    <cacheField name="Operation" numFmtId="0">
      <sharedItems containsBlank="1" count="15">
        <s v="Line_"/>
        <s v="ADS_"/>
        <s v="TTLI_"/>
        <s v="Laminator_"/>
        <s v="Book_Cooler_"/>
        <s v="Oven_"/>
        <s v="HCM_"/>
        <s v="Cutter_"/>
        <s v="CoolingTunnel"/>
        <s v="Batching"/>
        <s v="TippingStation"/>
        <s v="Utility_"/>
        <s v="Enrober_"/>
        <s v="MetalDetector"/>
        <m/>
      </sharedItems>
    </cacheField>
    <cacheField name="Equipment" numFmtId="0">
      <sharedItems containsBlank="1"/>
    </cacheField>
    <cacheField name="Failure Description" numFmtId="0">
      <sharedItems containsBlank="1" count="93">
        <s v="Sanitation"/>
        <s v="Changeover from HT to 10.3g"/>
        <s v="Changeover from 30 U to 48 u"/>
        <s v="DU-2 belt tracking"/>
        <s v="CLO/CT11: Axis1 Position Error"/>
        <s v="Rope Conveyor guides setting"/>
        <s v="Book Jamming in book cooler"/>
        <s v="Changeover to HT"/>
        <s v="Changeover from 48units to 30 units"/>
        <s v="Die Scrapper striking with Dies"/>
        <s v="Die bolt broken"/>
        <s v="Glue unit not ready"/>
        <s v="Open/CutPouch issue"/>
        <s v="Film Tracking issue"/>
        <s v="Book Cooler chain length correction"/>
        <s v="Pusher Mounting Broken"/>
        <s v="Code Misprint issue"/>
        <s v="Cutter Wire broken"/>
        <s v="Changeover to HT @ Samridhi Line"/>
        <s v="Crème not spreading properly"/>
        <s v="Laminate Shortage"/>
        <s v="Cooling Tunnel drive chain broken"/>
        <s v="DU-1 Belt Tracking"/>
        <s v="Batching Scada Malfunctioning"/>
        <s v="PGR-Top guide Cyliner mounting broken"/>
        <s v="RWF Silo agitator broken"/>
        <s v="Fire Tripping issue"/>
        <s v="Power Failure"/>
        <s v="Batter Transfer Pump Jam"/>
        <s v="Chocolate transfer pump tripped"/>
        <s v="Unskilled Manpower"/>
        <s v="Crème Transfer Line Jam"/>
        <s v="Metering belt Drive Fault"/>
        <s v="Infeed Stopper Malfunctioning"/>
        <s v="PGR sockets broken"/>
        <s v="Wiremesh Link damage"/>
        <s v="Manpower Shortage"/>
        <s v="Transport belt Gear box Jam"/>
        <s v="Triangular belt drive belt broken"/>
        <s v="Cross Seal Drive Fault"/>
        <s v="Enrober Heating"/>
        <s v="U-1 Belt Tracking"/>
        <s v="Book CoolerChain derailed"/>
        <s v="Air Pressure Low"/>
        <s v="Abnormal Sound from Oven-Die Opener base plate loose"/>
        <s v="Pressing Station motion control"/>
        <s v="Detailer Jam"/>
        <s v="Planned Maintenance"/>
        <s v="Transfer Conveyor Gearbox replacement"/>
        <s v="Chocolate Line jamming issue(Temperor to Enrober)"/>
        <s v="Vaccum Formation issue @ Pressing Station"/>
        <s v="High batter Viscosity"/>
        <s v="Book Jamming @ Cutter"/>
        <s v="Bubble Scrapper Jam"/>
        <s v="Overdumping issue"/>
        <m/>
        <s v="Packing End Support roller broken and belt torn"/>
        <s v="PGR Shaft worn out"/>
        <s v="BT-Idler Pulley worn out"/>
        <s v="Enrober Heater not working"/>
        <s v="Overhead Safety Switch Fault"/>
        <s v="Gun Changeover to 3.2mm gun"/>
        <s v="Emergency button malfunctioning"/>
        <s v="Chocolate solidification issue"/>
        <s v="Batter Gun choking"/>
        <s v="Cutter Infeed belt roller worn out"/>
        <s v="Cutter Drive Chain lock bearing broken"/>
        <s v="Wafer Sticking issue"/>
        <s v="Book cooler chain damage"/>
        <s v="CLO/TFXX: Backdoor Hor. Actuator Not ON"/>
        <s v="HXX: Outfeed Belt Drive Fault"/>
        <s v="Arch Conveyor Speed sync issue"/>
        <s v="Fin Wheel Drive fault"/>
        <s v="Startup &amp; Shut down"/>
        <s v="Acceleration Belt Drive fault"/>
        <s v="DU4R belt tracking issue"/>
        <s v="Face Feeder belt Jam"/>
        <s v="Vaccum belt Jam"/>
        <s v="Crème Transfer Pump Jam"/>
        <s v="Chocolate Line jamming issue"/>
        <s v="Burner Orientation Correction"/>
        <s v="DU4-R Station hang"/>
        <s v="DU-1 Pusher Jam"/>
        <s v="Outer Tilting issue"/>
        <s v="Discharge Valve Malfunctioning"/>
        <s v="FWV Gripper worn out"/>
        <s v="Aigner-1 Malfunctioning"/>
        <s v="Pusher Foundation bolt broken"/>
        <s v="Exhaust Pressure Switch Fault"/>
        <s v="Bar breakage issue"/>
        <s v="FT Cylinder broken"/>
        <s v="Closing unit chain homing issue"/>
        <s v="Metering belt roller Jam" u="1"/>
      </sharedItems>
    </cacheField>
    <cacheField name="Loss Category" numFmtId="0">
      <sharedItems containsBlank="1" count="3">
        <s v="Planned_Loss"/>
        <s v="Unplanned_Loss"/>
        <m/>
      </sharedItems>
    </cacheField>
    <cacheField name="Loss Type" numFmtId="0">
      <sharedItems containsBlank="1"/>
    </cacheField>
    <cacheField name="Equipment Class" numFmtId="0">
      <sharedItems containsBlank="1"/>
    </cacheField>
    <cacheField name="Equipment Downtime" numFmtId="0">
      <sharedItems containsString="0" containsBlank="1" containsNumber="1" minValue="15" maxValue="1050"/>
    </cacheField>
    <cacheField name="line downtime" numFmtId="0">
      <sharedItems containsString="0" containsBlank="1" containsNumber="1" minValue="5" maxValue="720"/>
    </cacheField>
    <cacheField name="Action Taken" numFmtId="0">
      <sharedItems containsBlank="1"/>
    </cacheField>
    <cacheField name="swp impacted" numFmtId="0">
      <sharedItems containsBlank="1"/>
    </cacheField>
    <cacheField name="MODULE" numFmtId="0">
      <sharedItems containsBlank="1"/>
    </cacheField>
    <cacheField name="SGA" numFmtId="0">
      <sharedItems containsBlank="1"/>
    </cacheField>
  </cacheFields>
  <extLst>
    <ext xmlns:x14="http://schemas.microsoft.com/office/spreadsheetml/2009/9/main" uri="{725AE2AE-9491-48be-B2B4-4EB974FC3084}">
      <x14:pivotCacheDefinition pivotCacheId="579565080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uhan, Himanshu" refreshedDate="46251.437575694443" createdVersion="8" refreshedVersion="8" minRefreshableVersion="3" recordCount="371" xr:uid="{1C4C53F7-E58E-4ED3-96EF-8248042C6242}">
  <cacheSource type="worksheet">
    <worksheetSource name="Table1"/>
  </cacheSource>
  <cacheFields count="52">
    <cacheField name="Date" numFmtId="165">
      <sharedItems containsSemiMixedTypes="0" containsNonDate="0" containsDate="1" containsString="0" minDate="2025-12-29T00:00:00" maxDate="2027-01-04T00:00:00"/>
    </cacheField>
    <cacheField name="Day" numFmtId="17">
      <sharedItems/>
    </cacheField>
    <cacheField name="SKU" numFmtId="0">
      <sharedItems containsBlank="1" count="7">
        <s v="_10GM_HT"/>
        <s v="_10.3GM"/>
        <s v="_10.3GM_HT"/>
        <s v="HT_Sam"/>
        <m/>
        <s v="HT_Sam_HLL_HT"/>
        <s v="HT_Sam_HLL_10.3G"/>
      </sharedItems>
    </cacheField>
    <cacheField name="SOC (TPD)" numFmtId="166">
      <sharedItems containsBlank="1" containsMixedTypes="1" containsNumber="1" minValue="20.9" maxValue="39.200000000000003"/>
    </cacheField>
    <cacheField name="Plan" numFmtId="166">
      <sharedItems containsString="0" containsBlank="1" containsNumber="1" minValue="0" maxValue="38"/>
    </cacheField>
    <cacheField name="Volume Delivered (T)" numFmtId="166">
      <sharedItems containsString="0" containsBlank="1" containsNumber="1" minValue="4.3959999999999999" maxValue="1000"/>
    </cacheField>
    <cacheField name="GE - Target" numFmtId="167">
      <sharedItems containsBlank="1" containsMixedTypes="1" containsNumber="1" minValue="0" maxValue="1.1842105263157894"/>
    </cacheField>
    <cacheField name="GE - Actual" numFmtId="167">
      <sharedItems containsBlank="1" containsMixedTypes="1" containsNumber="1" minValue="0" maxValue="25.510204081632647"/>
    </cacheField>
    <cacheField name="Legal Non-Operating Time" numFmtId="0">
      <sharedItems containsNonDate="0" containsString="0" containsBlank="1"/>
    </cacheField>
    <cacheField name="No Demand Time" numFmtId="0">
      <sharedItems containsString="0" containsBlank="1" containsNumber="1" containsInteger="1" minValue="8" maxValue="20"/>
    </cacheField>
    <cacheField name="Force Majeure" numFmtId="1">
      <sharedItems containsString="0" containsBlank="1" containsNumber="1" containsInteger="1" minValue="4" maxValue="4"/>
    </cacheField>
    <cacheField name="Quality Loss (T)" numFmtId="166">
      <sharedItems containsString="0" containsBlank="1" containsNumber="1" minValue="0" maxValue="2.2000000000000002"/>
    </cacheField>
    <cacheField name="waste (%) - MTD" numFmtId="167">
      <sharedItems containsString="0" containsBlank="1" containsNumber="1" minValue="3.3000000000000002E-2" maxValue="6.5000000000000002E-2"/>
    </cacheField>
    <cacheField name="Bulk on Floor (T)" numFmtId="166">
      <sharedItems containsString="0" containsBlank="1" containsNumber="1" minValue="0" maxValue="45"/>
    </cacheField>
    <cacheField name="Offline Packing (MT)" numFmtId="166">
      <sharedItems containsNonDate="0" containsString="0" containsBlank="1"/>
    </cacheField>
    <cacheField name="rework on floor(T)" numFmtId="166">
      <sharedItems containsString="0" containsBlank="1" containsNumber="1" minValue="1.1000000000000001" maxValue="5"/>
    </cacheField>
    <cacheField name="TBM ACTIVITIES PLANNED" numFmtId="2">
      <sharedItems containsString="0" containsBlank="1" containsNumber="1" containsInteger="1" minValue="0" maxValue="42"/>
    </cacheField>
    <cacheField name="TBM ACTIVITIES COMPLETED" numFmtId="2">
      <sharedItems containsString="0" containsBlank="1" containsNumber="1" containsInteger="1" minValue="0" maxValue="42"/>
    </cacheField>
    <cacheField name="Hours Used" numFmtId="0">
      <sharedItems containsSemiMixedTypes="0" containsString="0" containsNumber="1" containsInteger="1" minValue="0" maxValue="24"/>
    </cacheField>
    <cacheField name="Planned Maintenance" numFmtId="166">
      <sharedItems containsString="0" containsBlank="1" containsNumber="1" minValue="0.4" maxValue="2"/>
    </cacheField>
    <cacheField name="Planned AM" numFmtId="166">
      <sharedItems containsString="0" containsBlank="1" containsNumber="1" minValue="0.3" maxValue="1"/>
    </cacheField>
    <cacheField name="Sanitation" numFmtId="166">
      <sharedItems containsString="0" containsBlank="1" containsNumber="1" minValue="0" maxValue="24"/>
    </cacheField>
    <cacheField name="Changeovers" numFmtId="166">
      <sharedItems containsString="0" containsBlank="1" containsNumber="1" minValue="0" maxValue="3"/>
    </cacheField>
    <cacheField name="Planned Stops" numFmtId="166">
      <sharedItems containsString="0" containsBlank="1" containsNumber="1" minValue="0.5" maxValue="1"/>
    </cacheField>
    <cacheField name="Consumables replacement" numFmtId="166">
      <sharedItems containsNonDate="0" containsString="0" containsBlank="1"/>
    </cacheField>
    <cacheField name="Start and Finish Production" numFmtId="166">
      <sharedItems containsString="0" containsBlank="1" containsNumber="1" containsInteger="1" minValue="2" maxValue="7"/>
    </cacheField>
    <cacheField name="PRODUCTION HOURS" numFmtId="0">
      <sharedItems containsSemiMixedTypes="0" containsString="0" containsNumber="1" minValue="0" maxValue="24"/>
    </cacheField>
    <cacheField name="Minor Stoppages" numFmtId="166">
      <sharedItems containsString="0" containsBlank="1" containsNumber="1" minValue="0.1" maxValue="1.5"/>
    </cacheField>
    <cacheField name="Breakdowns" numFmtId="166">
      <sharedItems containsString="0" containsBlank="1" containsNumber="1" minValue="0.2" maxValue="10.5"/>
    </cacheField>
    <cacheField name="Operational Losses" numFmtId="0">
      <sharedItems containsString="0" containsBlank="1" containsNumber="1" minValue="0" maxValue="3"/>
    </cacheField>
    <cacheField name="Line Delays" numFmtId="166">
      <sharedItems containsString="0" containsBlank="1" containsNumber="1" minValue="0.25" maxValue="3.1"/>
    </cacheField>
    <cacheField name="Labor Management" numFmtId="166">
      <sharedItems containsString="0" containsBlank="1" containsNumber="1" minValue="0.5" maxValue="2.8"/>
    </cacheField>
    <cacheField name="Material Shortages" numFmtId="166">
      <sharedItems containsString="0" containsBlank="1" containsNumber="1" containsInteger="1" minValue="3" maxValue="3"/>
    </cacheField>
    <cacheField name="Speed Loss (Hrs)" numFmtId="166">
      <sharedItems containsSemiMixedTypes="0" containsString="0" containsNumber="1" minValue="-588.24489795918362" maxValue="4.6315789473684212"/>
    </cacheField>
    <cacheField name="Quality Loss (Hrs)" numFmtId="166">
      <sharedItems containsSemiMixedTypes="0" containsString="0" containsNumber="1" minValue="0" maxValue="2.0875102040816325"/>
    </cacheField>
    <cacheField name="Operating Time" numFmtId="166">
      <sharedItems containsSemiMixedTypes="0" containsString="0" containsNumber="1" minValue="0" maxValue="612.24489795918362"/>
    </cacheField>
    <cacheField name="Operating Time (Planned)" numFmtId="166">
      <sharedItems containsMixedTypes="1" containsNumber="1" minValue="0.47899159663865543" maxValue="25.510204081632651"/>
    </cacheField>
    <cacheField name="CL Deployed at Line" numFmtId="3">
      <sharedItems containsString="0" containsBlank="1" containsNumber="1" containsInteger="1" minValue="0" maxValue="159"/>
    </cacheField>
    <cacheField name="CIL-DONE" numFmtId="3">
      <sharedItems containsBlank="1"/>
    </cacheField>
    <cacheField name="centreline check " numFmtId="3">
      <sharedItems containsBlank="1"/>
    </cacheField>
    <cacheField name="TBM ACTIVITIES PLANNED2" numFmtId="3">
      <sharedItems containsString="0" containsBlank="1" containsNumber="1" containsInteger="1" minValue="0" maxValue="60"/>
    </cacheField>
    <cacheField name="TBM ACTIVITIES COMPLETED2" numFmtId="3">
      <sharedItems containsString="0" containsBlank="1" containsNumber="1" containsInteger="1" minValue="0" maxValue="60"/>
    </cacheField>
    <cacheField name="tbm-on time completion" numFmtId="0">
      <sharedItems containsString="0" containsBlank="1" containsNumber="1" containsInteger="1" minValue="1" maxValue="41"/>
    </cacheField>
    <cacheField name="mtbf" numFmtId="3">
      <sharedItems/>
    </cacheField>
    <cacheField name="BOS" numFmtId="3">
      <sharedItems containsString="0" containsBlank="1" containsNumber="1" containsInteger="1" minValue="1" maxValue="87"/>
    </cacheField>
    <cacheField name="UNSAFE CONDITIONS REPORTED" numFmtId="3">
      <sharedItems containsString="0" containsBlank="1" containsNumber="1" containsInteger="1" minValue="0" maxValue="1"/>
    </cacheField>
    <cacheField name="OVERWEIGHT" numFmtId="167">
      <sharedItems containsMixedTypes="1" containsNumber="1" minValue="0" maxValue="5.749539594843462E-2"/>
    </cacheField>
    <cacheField name="MTBB" numFmtId="1">
      <sharedItems containsSemiMixedTypes="0" containsString="0" containsNumber="1" minValue="1" maxValue="36734.693877551021"/>
    </cacheField>
    <cacheField name="# Stops" numFmtId="1">
      <sharedItems containsSemiMixedTypes="0" containsString="0" containsNumber="1" containsInteger="1" minValue="0" maxValue="5"/>
    </cacheField>
    <cacheField name="MTTR" numFmtId="166">
      <sharedItems containsMixedTypes="1" containsNumber="1" minValue="0" maxValue="630"/>
    </cacheField>
    <cacheField name="R&amp;R" numFmtId="0">
      <sharedItems containsString="0" containsBlank="1" containsNumber="1" containsInteger="1" minValue="1" maxValue="5"/>
    </cacheField>
    <cacheField name="GWF Month" numFmtId="164">
      <sharedItems containsSemiMixedTypes="0" containsNonDate="0" containsDate="1" containsString="0" minDate="2026-01-26T00:00:00" maxDate="2026-12-27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n v="0.81"/>
    <n v="0.81512567375554501"/>
    <n v="804"/>
    <n v="1.0945273631840797E-2"/>
    <n v="3.2338308457711446E-3"/>
    <n v="3.7313432835820892E-2"/>
    <n v="1.8407960199004977E-2"/>
    <n v="0"/>
    <n v="0"/>
    <n v="7.462686567164179E-3"/>
    <n v="7.7363184079601979E-2"/>
    <n v="8.312603648424545E-3"/>
    <n v="3.7308250414593701E-2"/>
    <n v="8.5820895522388061E-3"/>
    <n v="0"/>
    <n v="0"/>
    <n v="3.7313432835820895E-3"/>
    <n v="1.4264338900473131E-2"/>
    <n v="3.5312516365540711E-2"/>
    <n v="0.10751114216485298"/>
    <m/>
  </r>
  <r>
    <x v="1"/>
    <n v="0.81"/>
    <n v="0.80468415560498729"/>
    <n v="592"/>
    <n v="6.7567567567567571E-3"/>
    <n v="1.3682432432432431E-2"/>
    <n v="3.2601351351351351E-2"/>
    <n v="8.4459459459459464E-3"/>
    <n v="0"/>
    <n v="0"/>
    <n v="0"/>
    <n v="6.1486486486486483E-2"/>
    <n v="3.0184920467342348E-3"/>
    <n v="3.4628378378378379E-2"/>
    <n v="1.9425675675675675E-2"/>
    <n v="5.2364864864864868E-3"/>
    <n v="2.1790540540540537E-2"/>
    <n v="0"/>
    <n v="8.2377341909159116E-3"/>
    <n v="4.1492050589794945E-2"/>
    <n v="0.13382935790852615"/>
    <m/>
  </r>
  <r>
    <x v="2"/>
    <n v="0.82"/>
    <n v="0.80618172781558906"/>
    <n v="628"/>
    <n v="8.7579617834394902E-3"/>
    <n v="1.4331210191082803E-2"/>
    <n v="2.9299363057324838E-2"/>
    <n v="7.9617834394904458E-3"/>
    <n v="7.9617834394904463E-4"/>
    <n v="0"/>
    <n v="1.2738853503184714E-2"/>
    <n v="7.3885350318471335E-2"/>
    <n v="4.7770700636942673E-3"/>
    <n v="3.3625265392781316E-2"/>
    <n v="1.1013800424628449E-2"/>
    <n v="1.5923566878980893E-3"/>
    <n v="2.1496815286624203E-3"/>
    <n v="0"/>
    <n v="3.2906067879289631E-2"/>
    <n v="3.3868679888985433E-2"/>
    <n v="0.1199329218659396"/>
    <m/>
  </r>
  <r>
    <x v="3"/>
    <n v="0.83"/>
    <n v="0.80122259184358724"/>
    <n v="836"/>
    <n v="1.2799043062200956E-2"/>
    <n v="5.7416267942583732E-3"/>
    <n v="3.4688995215311005E-2"/>
    <n v="4.7846889952153108E-3"/>
    <n v="0"/>
    <n v="0"/>
    <n v="0"/>
    <n v="5.8014354066985643E-2"/>
    <n v="2.8708133971291866E-3"/>
    <n v="4.5773524720893147E-2"/>
    <n v="1.4174641148325359E-2"/>
    <n v="0"/>
    <n v="1.4473684210526317E-2"/>
    <n v="0"/>
    <n v="3.1807586986947918E-2"/>
    <n v="3.1662803625605362E-2"/>
    <n v="0.1407630540894273"/>
    <m/>
  </r>
  <r>
    <x v="4"/>
    <n v="0.83"/>
    <n v="0.81094226851141449"/>
    <n v="672"/>
    <n v="9.6726190476190479E-3"/>
    <n v="1.7410714285714286E-2"/>
    <n v="4.2708333333333334E-2"/>
    <n v="5.9523809523809521E-3"/>
    <n v="2.232142857142857E-3"/>
    <n v="0"/>
    <n v="0"/>
    <n v="7.7976190476190491E-2"/>
    <n v="5.8035714285714288E-3"/>
    <n v="3.6011904761904759E-2"/>
    <n v="6.8204365079365089E-3"/>
    <n v="2.728174603174603E-3"/>
    <n v="0"/>
    <n v="0"/>
    <n v="2.7351355642507721E-2"/>
    <n v="3.2366098068299994E-2"/>
    <n v="0.11108154101239501"/>
    <m/>
  </r>
  <r>
    <x v="5"/>
    <n v="0.83"/>
    <n v="0.67195167055393579"/>
    <n v="672"/>
    <n v="1.3392857142857142E-2"/>
    <n v="1.011904761904762E-2"/>
    <n v="0.18005952380952381"/>
    <n v="0"/>
    <n v="0"/>
    <n v="0"/>
    <n v="0"/>
    <n v="0.20357142857142857"/>
    <n v="4.464285714285714E-3"/>
    <n v="3.7251984126984126E-2"/>
    <n v="1.3839285714285715E-2"/>
    <n v="0"/>
    <n v="0"/>
    <n v="0"/>
    <n v="3.060137447359898E-2"/>
    <n v="3.8319970845481048E-2"/>
    <n v="0.12447690087463559"/>
    <m/>
  </r>
  <r>
    <x v="6"/>
    <n v="0.84"/>
    <n v="0.74978626219227718"/>
    <n v="528"/>
    <n v="9.46969696969697E-3"/>
    <n v="1.6856060606060607E-2"/>
    <n v="4.5454545454545456E-2"/>
    <n v="4.734848484848485E-3"/>
    <n v="0"/>
    <n v="0"/>
    <n v="1.3257575757575758E-2"/>
    <n v="8.9772727272727268E-2"/>
    <n v="1.893939393939394E-3"/>
    <n v="8.9772727272727268E-2"/>
    <n v="1.0890151515151516E-2"/>
    <n v="1.4204545454545455E-3"/>
    <n v="0"/>
    <n v="0"/>
    <n v="1.8347824376959761E-2"/>
    <n v="3.8115913430763045E-2"/>
    <n v="0.16044101053499552"/>
    <m/>
  </r>
  <r>
    <x v="7"/>
    <n v="0.84"/>
    <n v="25.510204081632651"/>
    <n v="24"/>
    <n v="0"/>
    <n v="0"/>
    <n v="0"/>
    <n v="0"/>
    <n v="0"/>
    <n v="0"/>
    <n v="0"/>
    <n v="0"/>
    <n v="0"/>
    <n v="0"/>
    <n v="0"/>
    <n v="0"/>
    <n v="0"/>
    <n v="0"/>
    <n v="-24.510204081632651"/>
    <n v="0"/>
    <n v="-24.510204081632651"/>
    <m/>
  </r>
  <r>
    <x v="8"/>
    <n v="0.84"/>
    <s v=""/>
    <n v="0"/>
    <s v=""/>
    <s v=""/>
    <s v=""/>
    <s v=""/>
    <s v=""/>
    <s v=""/>
    <s v=""/>
    <n v="0"/>
    <s v=""/>
    <s v=""/>
    <s v=""/>
    <s v=""/>
    <s v=""/>
    <s v=""/>
    <s v=""/>
    <s v=""/>
    <n v="0"/>
    <m/>
  </r>
  <r>
    <x v="9"/>
    <n v="0.85"/>
    <s v=""/>
    <n v="0"/>
    <s v=""/>
    <s v=""/>
    <s v=""/>
    <s v=""/>
    <s v=""/>
    <s v=""/>
    <s v=""/>
    <n v="0"/>
    <s v=""/>
    <s v=""/>
    <s v=""/>
    <s v=""/>
    <s v=""/>
    <s v=""/>
    <s v=""/>
    <s v=""/>
    <n v="0"/>
    <m/>
  </r>
  <r>
    <x v="10"/>
    <n v="0.85"/>
    <s v=""/>
    <n v="0"/>
    <s v=""/>
    <s v=""/>
    <s v=""/>
    <s v=""/>
    <s v=""/>
    <s v=""/>
    <s v=""/>
    <n v="0"/>
    <s v=""/>
    <s v=""/>
    <s v=""/>
    <s v=""/>
    <s v=""/>
    <s v=""/>
    <s v=""/>
    <s v=""/>
    <n v="0"/>
    <m/>
  </r>
  <r>
    <x v="11"/>
    <n v="0.85"/>
    <s v=""/>
    <n v="0"/>
    <s v=""/>
    <s v=""/>
    <s v=""/>
    <s v=""/>
    <s v=""/>
    <s v=""/>
    <s v=""/>
    <n v="0"/>
    <s v=""/>
    <s v=""/>
    <s v=""/>
    <s v=""/>
    <s v=""/>
    <s v=""/>
    <s v=""/>
    <s v=""/>
    <n v="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99">
  <r>
    <d v="2025-12-29T00:00:00"/>
    <x v="0"/>
    <s v="Full_Line"/>
    <x v="0"/>
    <x v="0"/>
    <s v="Sanitation"/>
    <s v="C"/>
    <n v="720"/>
    <n v="720"/>
    <m/>
    <s v="CIL"/>
    <m/>
    <m/>
  </r>
  <r>
    <d v="2025-12-30T00:00:00"/>
    <x v="0"/>
    <s v="Full_Line"/>
    <x v="1"/>
    <x v="0"/>
    <s v="Changeovers"/>
    <s v="C"/>
    <n v="120"/>
    <n v="120"/>
    <m/>
    <m/>
    <m/>
    <m/>
  </r>
  <r>
    <d v="2026-01-01T00:00:00"/>
    <x v="0"/>
    <s v="Full_Line"/>
    <x v="2"/>
    <x v="0"/>
    <s v="Changeovers"/>
    <s v="C"/>
    <n v="60"/>
    <n v="60"/>
    <m/>
    <m/>
    <m/>
    <m/>
  </r>
  <r>
    <d v="2026-01-02T00:00:00"/>
    <x v="1"/>
    <s v="ADS_HLL"/>
    <x v="3"/>
    <x v="1"/>
    <s v="Operational_Losses"/>
    <s v="B"/>
    <n v="45"/>
    <n v="15"/>
    <m/>
    <s v="CIL"/>
    <s v="DRIVES &amp; PT"/>
    <s v="PERK PACKING"/>
  </r>
  <r>
    <d v="2026-01-02T00:00:00"/>
    <x v="2"/>
    <s v="TTLI3_"/>
    <x v="4"/>
    <x v="1"/>
    <s v="Minor_Stoppages"/>
    <s v="B"/>
    <n v="44"/>
    <n v="11"/>
    <m/>
    <s v="CIL"/>
    <s v="FASTENERS"/>
    <s v="PERK PACKING"/>
  </r>
  <r>
    <d v="2026-01-03T00:00:00"/>
    <x v="3"/>
    <s v="Laminator"/>
    <x v="5"/>
    <x v="1"/>
    <s v="Operational_Losses"/>
    <s v="B"/>
    <n v="15"/>
    <n v="15"/>
    <s v="Rope Conveyor Guide Setting done"/>
    <s v="CENTRELINING"/>
    <s v="FASTENERS"/>
    <s v="PERK MAKING"/>
  </r>
  <r>
    <d v="2026-01-03T00:00:00"/>
    <x v="2"/>
    <s v="TTLI2_"/>
    <x v="4"/>
    <x v="1"/>
    <s v="Minor_Stoppages"/>
    <s v="B"/>
    <n v="46.14"/>
    <n v="11.535"/>
    <m/>
    <s v="CIL"/>
    <s v="FASTENERS"/>
    <s v="PERK PACKING"/>
  </r>
  <r>
    <d v="2026-01-03T00:00:00"/>
    <x v="2"/>
    <s v="TTLI3_"/>
    <x v="4"/>
    <x v="1"/>
    <s v="Minor_Stoppages"/>
    <s v="B"/>
    <n v="25"/>
    <n v="6.25"/>
    <m/>
    <s v="CIL"/>
    <s v="FASTENERS"/>
    <s v="PERK PACKING"/>
  </r>
  <r>
    <d v="2026-01-05T00:00:00"/>
    <x v="4"/>
    <s v="Book_Cooler"/>
    <x v="6"/>
    <x v="1"/>
    <s v="Operational_Losses"/>
    <s v="A"/>
    <n v="15"/>
    <n v="15"/>
    <m/>
    <s v="CENTRELINING"/>
    <s v="DRIVES &amp; PT"/>
    <s v="PERK MAKING"/>
  </r>
  <r>
    <d v="2026-01-05T00:00:00"/>
    <x v="0"/>
    <s v="Full_Line"/>
    <x v="7"/>
    <x v="0"/>
    <s v="Changeovers"/>
    <s v="C"/>
    <n v="120"/>
    <n v="120"/>
    <m/>
    <m/>
    <m/>
    <m/>
  </r>
  <r>
    <d v="2026-01-06T00:00:00"/>
    <x v="0"/>
    <s v="Full_Line"/>
    <x v="8"/>
    <x v="0"/>
    <s v="Changeovers"/>
    <s v="C"/>
    <n v="60"/>
    <n v="60"/>
    <m/>
    <m/>
    <m/>
    <m/>
  </r>
  <r>
    <d v="2026-01-07T00:00:00"/>
    <x v="5"/>
    <s v="Oven"/>
    <x v="9"/>
    <x v="1"/>
    <s v="Breakdowns"/>
    <s v="A"/>
    <n v="90"/>
    <n v="90"/>
    <s v="Scrapper setting done_x000a_Air Release settings adjusted"/>
    <s v="ABH"/>
    <s v="FASTENERS"/>
    <s v="PERK MAKING"/>
  </r>
  <r>
    <d v="2026-01-09T00:00:00"/>
    <x v="5"/>
    <s v="Oven"/>
    <x v="10"/>
    <x v="1"/>
    <s v="Breakdowns"/>
    <s v="A"/>
    <n v="360"/>
    <n v="360"/>
    <s v="Die bolt replaced."/>
    <s v="ABH"/>
    <s v="FASTENERS"/>
    <s v="PERK MAKING"/>
  </r>
  <r>
    <d v="2026-01-11T00:00:00"/>
    <x v="2"/>
    <s v="TTLI1_"/>
    <x v="11"/>
    <x v="1"/>
    <s v="Breakdowns"/>
    <s v="B"/>
    <n v="145"/>
    <n v="36.25"/>
    <m/>
    <s v="ABH"/>
    <s v="GLUE SYSTEM"/>
    <s v="PERK PACKING"/>
  </r>
  <r>
    <d v="2026-01-12T00:00:00"/>
    <x v="5"/>
    <s v="Oven"/>
    <x v="10"/>
    <x v="1"/>
    <s v="Breakdowns"/>
    <s v="A"/>
    <n v="300"/>
    <n v="300"/>
    <s v="Die bolt replaced."/>
    <s v="ABH"/>
    <s v="FASTENERS"/>
    <s v="PERK MAKING"/>
  </r>
  <r>
    <d v="2026-01-12T00:00:00"/>
    <x v="0"/>
    <s v="Full_Line"/>
    <x v="2"/>
    <x v="0"/>
    <s v="Changeovers"/>
    <s v="C"/>
    <n v="60"/>
    <n v="60"/>
    <m/>
    <m/>
    <m/>
    <m/>
  </r>
  <r>
    <d v="2026-01-14T00:00:00"/>
    <x v="6"/>
    <s v="HCM1_"/>
    <x v="12"/>
    <x v="1"/>
    <s v="Operational_Losses"/>
    <s v="C"/>
    <n v="180"/>
    <n v="45"/>
    <m/>
    <s v="CIL"/>
    <s v="FASTENERS"/>
    <s v="PERK PACKING"/>
  </r>
  <r>
    <d v="2026-01-14T00:00:00"/>
    <x v="0"/>
    <s v="Full_Line"/>
    <x v="8"/>
    <x v="0"/>
    <s v="Changeovers"/>
    <s v="C"/>
    <n v="60"/>
    <n v="60"/>
    <m/>
    <m/>
    <m/>
    <m/>
  </r>
  <r>
    <d v="2026-01-15T00:00:00"/>
    <x v="0"/>
    <s v="Full_Line"/>
    <x v="1"/>
    <x v="0"/>
    <s v="Changeovers"/>
    <s v="C"/>
    <n v="120"/>
    <n v="120"/>
    <m/>
    <m/>
    <m/>
    <m/>
  </r>
  <r>
    <d v="2026-01-17T00:00:00"/>
    <x v="1"/>
    <s v="ADS_HLL"/>
    <x v="3"/>
    <x v="1"/>
    <s v="Operational_Losses"/>
    <s v="B"/>
    <n v="60"/>
    <n v="60"/>
    <m/>
    <s v="CIL"/>
    <s v="DRIVES &amp; PT"/>
    <s v="PERK PACKING"/>
  </r>
  <r>
    <d v="2026-01-18T00:00:00"/>
    <x v="4"/>
    <s v="Book_Cooler"/>
    <x v="6"/>
    <x v="1"/>
    <s v="Operational_Losses"/>
    <s v="A"/>
    <n v="35"/>
    <n v="35"/>
    <m/>
    <s v="CENTRELINING"/>
    <s v="DRIVES &amp; PT"/>
    <s v="PERK MAKING"/>
  </r>
  <r>
    <d v="2026-01-18T00:00:00"/>
    <x v="6"/>
    <s v="HCM1_"/>
    <x v="13"/>
    <x v="1"/>
    <s v="Operational_Losses"/>
    <s v="C"/>
    <n v="80"/>
    <n v="20"/>
    <s v="7 Links removed"/>
    <s v="CENTRELINING"/>
    <s v="FASTENERS"/>
    <s v="PERK PACKING"/>
  </r>
  <r>
    <d v="2026-01-18T00:00:00"/>
    <x v="4"/>
    <s v="Book_Cooler"/>
    <x v="14"/>
    <x v="1"/>
    <s v="Breakdowns"/>
    <s v="A"/>
    <n v="35"/>
    <n v="35"/>
    <s v="7 Links removed"/>
    <s v="CENTRELINING"/>
    <s v="DRIVES &amp; PT"/>
    <s v="PERK MAKING"/>
  </r>
  <r>
    <d v="2026-01-18T00:00:00"/>
    <x v="1"/>
    <s v="DCI4_"/>
    <x v="15"/>
    <x v="1"/>
    <s v="Breakdowns"/>
    <s v="B"/>
    <n v="70"/>
    <n v="25"/>
    <m/>
    <s v="ABH"/>
    <s v="FASTENERS"/>
    <s v="PERK PACKING"/>
  </r>
  <r>
    <d v="2026-01-19T00:00:00"/>
    <x v="6"/>
    <s v="HCM3_"/>
    <x v="16"/>
    <x v="1"/>
    <s v="Operational_Losses"/>
    <s v="C"/>
    <n v="135"/>
    <n v="35"/>
    <m/>
    <s v="CENTRELINING"/>
    <s v="SENSOR"/>
    <s v="PERK PACKING"/>
  </r>
  <r>
    <d v="2026-01-19T00:00:00"/>
    <x v="6"/>
    <s v="HCM3_"/>
    <x v="16"/>
    <x v="1"/>
    <s v="Operational_Losses"/>
    <s v="C"/>
    <n v="40"/>
    <n v="10"/>
    <m/>
    <s v="CENTRELINING"/>
    <s v="SENSOR"/>
    <s v="PERK PACKING"/>
  </r>
  <r>
    <d v="2026-01-19T00:00:00"/>
    <x v="7"/>
    <s v="Cutter_Samridhi"/>
    <x v="17"/>
    <x v="1"/>
    <s v="Breakdowns"/>
    <s v="C"/>
    <n v="30"/>
    <n v="30"/>
    <m/>
    <s v="ABH"/>
    <s v="FASTENERS"/>
    <s v="PERK MAKING"/>
  </r>
  <r>
    <d v="2026-01-20T00:00:00"/>
    <x v="6"/>
    <s v="HCM3_"/>
    <x v="16"/>
    <x v="1"/>
    <s v="Operational_Losses"/>
    <s v="C"/>
    <n v="120"/>
    <n v="30"/>
    <m/>
    <s v="CENTRELINING"/>
    <s v="SENSOR"/>
    <s v="PERK PACKING"/>
  </r>
  <r>
    <d v="2026-01-21T00:00:00"/>
    <x v="0"/>
    <s v="Full_Line"/>
    <x v="18"/>
    <x v="1"/>
    <s v="Operational_Losses"/>
    <s v="C"/>
    <n v="180"/>
    <n v="180"/>
    <m/>
    <m/>
    <m/>
    <s v="PERK MAKING"/>
  </r>
  <r>
    <d v="2026-01-22T00:00:00"/>
    <x v="3"/>
    <s v="Laminator"/>
    <x v="19"/>
    <x v="1"/>
    <s v="Operational_Losses"/>
    <s v="B"/>
    <n v="60"/>
    <n v="60"/>
    <s v="Crème Scrapper Replaced"/>
    <s v="CENTRELINING"/>
    <s v="FASTENERS"/>
    <s v="PERK MAKING"/>
  </r>
  <r>
    <d v="2026-01-23T00:00:00"/>
    <x v="0"/>
    <s v="Full_Line"/>
    <x v="20"/>
    <x v="1"/>
    <s v="Material_Shortages"/>
    <s v="C"/>
    <n v="180"/>
    <n v="180"/>
    <m/>
    <m/>
    <m/>
    <s v="PERK MAKING"/>
  </r>
  <r>
    <d v="2026-01-24T00:00:00"/>
    <x v="8"/>
    <s v="Cooling_Tunnel_Samridhi"/>
    <x v="21"/>
    <x v="1"/>
    <s v="Breakdowns"/>
    <s v="B"/>
    <n v="60"/>
    <n v="60"/>
    <m/>
    <s v="TBM"/>
    <s v="DRIVES &amp; PT"/>
    <s v="PERK MAKING"/>
  </r>
  <r>
    <d v="2026-01-24T00:00:00"/>
    <x v="1"/>
    <s v="DCI1_"/>
    <x v="22"/>
    <x v="1"/>
    <s v="Operational_Losses"/>
    <s v="B"/>
    <n v="30"/>
    <n v="30"/>
    <m/>
    <s v="CIL"/>
    <s v="DRIVES &amp; PT"/>
    <s v="PERK PACKING"/>
  </r>
  <r>
    <d v="2026-01-27T00:00:00"/>
    <x v="9"/>
    <s v="Batter_Mixer_T_4109"/>
    <x v="23"/>
    <x v="1"/>
    <s v="Breakdowns"/>
    <s v="C"/>
    <n v="540"/>
    <n v="540"/>
    <m/>
    <s v="TBM"/>
    <s v="ELECTRICAL"/>
    <s v="PERK MAKING"/>
  </r>
  <r>
    <d v="2026-01-28T00:00:00"/>
    <x v="7"/>
    <s v="Cutter_Samridhi"/>
    <x v="17"/>
    <x v="1"/>
    <s v="Breakdowns"/>
    <s v="C"/>
    <n v="90"/>
    <n v="90"/>
    <m/>
    <s v="ABH"/>
    <s v="FASTENERS"/>
    <s v="PERK MAKING"/>
  </r>
  <r>
    <d v="2026-01-29T00:00:00"/>
    <x v="7"/>
    <s v="Cutter_Samridhi"/>
    <x v="17"/>
    <x v="1"/>
    <s v="Breakdowns"/>
    <s v="C"/>
    <n v="40"/>
    <n v="40"/>
    <m/>
    <s v="ABH"/>
    <s v="FASTENERS"/>
    <s v="PERK MAKING"/>
  </r>
  <r>
    <d v="2026-01-29T00:00:00"/>
    <x v="7"/>
    <s v="Cutter_Samridhi"/>
    <x v="17"/>
    <x v="1"/>
    <s v="Breakdowns"/>
    <s v="C"/>
    <n v="40"/>
    <n v="40"/>
    <m/>
    <s v="ABH"/>
    <s v="FASTENERS"/>
    <s v="PERK MAKING"/>
  </r>
  <r>
    <d v="2026-01-29T00:00:00"/>
    <x v="0"/>
    <s v="Full_Line"/>
    <x v="8"/>
    <x v="0"/>
    <s v="Changeovers"/>
    <s v="C"/>
    <n v="60"/>
    <n v="60"/>
    <m/>
    <m/>
    <m/>
    <s v="PERK MAKING"/>
  </r>
  <r>
    <d v="2026-01-29T00:00:00"/>
    <x v="7"/>
    <s v="Cutter_HLL"/>
    <x v="15"/>
    <x v="1"/>
    <s v="Breakdowns"/>
    <s v="C"/>
    <n v="60"/>
    <n v="20"/>
    <m/>
    <s v="ABH"/>
    <s v="FASTENERS"/>
    <s v="PERK MAKING"/>
  </r>
  <r>
    <d v="2026-01-30T00:00:00"/>
    <x v="2"/>
    <s v="TTLI1_"/>
    <x v="24"/>
    <x v="1"/>
    <s v="Breakdowns"/>
    <s v="B"/>
    <n v="90"/>
    <n v="25"/>
    <m/>
    <s v="TBM"/>
    <s v="PNEUMATICS"/>
    <s v="PERK MAKING"/>
  </r>
  <r>
    <d v="2026-01-30T00:00:00"/>
    <x v="6"/>
    <s v="HCM4_"/>
    <x v="16"/>
    <x v="1"/>
    <s v="Breakdowns"/>
    <s v="C"/>
    <n v="75"/>
    <n v="20"/>
    <m/>
    <s v="CENTRELINING"/>
    <s v="SENSOR"/>
    <s v="PERK PACKING"/>
  </r>
  <r>
    <d v="2026-01-31T00:00:00"/>
    <x v="10"/>
    <s v="Silo"/>
    <x v="25"/>
    <x v="1"/>
    <s v="Breakdowns"/>
    <s v="C"/>
    <n v="90"/>
    <n v="90"/>
    <m/>
    <s v="TBM"/>
    <s v="DRIVES &amp; PT"/>
    <s v="PERK MAKING"/>
  </r>
  <r>
    <d v="2026-02-02T00:00:00"/>
    <x v="0"/>
    <s v="Full_Line"/>
    <x v="0"/>
    <x v="0"/>
    <s v="Sanitation"/>
    <s v="C"/>
    <n v="720"/>
    <n v="720"/>
    <m/>
    <m/>
    <m/>
    <s v="PERK MAKING"/>
  </r>
  <r>
    <d v="2026-02-03T00:00:00"/>
    <x v="6"/>
    <s v="HCM1_"/>
    <x v="13"/>
    <x v="1"/>
    <s v="Operational_Losses"/>
    <s v="C"/>
    <n v="180"/>
    <n v="45"/>
    <m/>
    <s v="CENTRELINING"/>
    <s v="FASTENERS"/>
    <s v="PERK PACKING"/>
  </r>
  <r>
    <d v="2026-02-04T00:00:00"/>
    <x v="6"/>
    <s v="HCM1_"/>
    <x v="13"/>
    <x v="1"/>
    <s v="Operational_Losses"/>
    <s v="C"/>
    <n v="180"/>
    <n v="45"/>
    <m/>
    <s v="CENTRELINING"/>
    <s v="FASTENERS"/>
    <s v="PERK PACKING"/>
  </r>
  <r>
    <d v="2026-02-04T00:00:00"/>
    <x v="7"/>
    <s v="Cutter_Samridhi"/>
    <x v="17"/>
    <x v="1"/>
    <s v="Breakdowns"/>
    <s v="C"/>
    <n v="90"/>
    <n v="90"/>
    <m/>
    <s v="ABH"/>
    <s v="FASTENERS"/>
    <s v="PERK MAKING"/>
  </r>
  <r>
    <d v="2026-02-05T00:00:00"/>
    <x v="7"/>
    <s v="Cutter_Samridhi"/>
    <x v="17"/>
    <x v="1"/>
    <s v="Breakdowns"/>
    <s v="C"/>
    <n v="60"/>
    <n v="60"/>
    <m/>
    <s v="ABH"/>
    <s v="FASTENERS"/>
    <s v="PERK MAKING"/>
  </r>
  <r>
    <d v="2026-02-05T00:00:00"/>
    <x v="6"/>
    <s v="HCM1_"/>
    <x v="13"/>
    <x v="1"/>
    <s v="Operational_Losses"/>
    <s v="C"/>
    <n v="120"/>
    <n v="30"/>
    <m/>
    <s v="ABH"/>
    <s v="FASTENERS"/>
    <s v="PERK PACKING"/>
  </r>
  <r>
    <d v="2026-02-06T00:00:00"/>
    <x v="6"/>
    <s v="HCM1_"/>
    <x v="13"/>
    <x v="1"/>
    <s v="Operational_Losses"/>
    <s v="C"/>
    <n v="120"/>
    <n v="30"/>
    <s v="Centrelining of Feeder assembly done"/>
    <s v="CENTRELINING"/>
    <s v="FASTENERS"/>
    <s v="PERK PACKING"/>
  </r>
  <r>
    <d v="2026-02-07T00:00:00"/>
    <x v="4"/>
    <s v="Book_Cooler"/>
    <x v="6"/>
    <x v="1"/>
    <s v="Operational_Losses"/>
    <s v="C"/>
    <n v="30"/>
    <n v="30"/>
    <m/>
    <s v="CENTRELINING"/>
    <s v="DRIVES &amp; PT"/>
    <s v="PERK MAKING"/>
  </r>
  <r>
    <d v="2026-02-08T00:00:00"/>
    <x v="0"/>
    <s v="Full_Line"/>
    <x v="2"/>
    <x v="0"/>
    <s v="Changeovers"/>
    <s v="C"/>
    <n v="60"/>
    <n v="60"/>
    <m/>
    <m/>
    <m/>
    <s v="PERK MAKING"/>
  </r>
  <r>
    <d v="2026-02-09T00:00:00"/>
    <x v="5"/>
    <s v="Oven"/>
    <x v="26"/>
    <x v="1"/>
    <s v="Operational_Losses"/>
    <s v="C"/>
    <n v="30"/>
    <n v="30"/>
    <s v="Cleaning done"/>
    <s v="TBM"/>
    <s v="ELECTRICAL"/>
    <s v="PERK MAKING"/>
  </r>
  <r>
    <d v="2026-02-10T00:00:00"/>
    <x v="11"/>
    <s v="Power_failure"/>
    <x v="27"/>
    <x v="1"/>
    <s v="Line_Delays"/>
    <s v="C"/>
    <n v="180"/>
    <n v="180"/>
    <m/>
    <m/>
    <m/>
    <s v="PERK MAKING"/>
  </r>
  <r>
    <d v="2026-02-11T00:00:00"/>
    <x v="11"/>
    <s v="Holding_Tank_T_4119"/>
    <x v="28"/>
    <x v="1"/>
    <s v="Breakdowns"/>
    <m/>
    <n v="360"/>
    <n v="360"/>
    <s v="Batter pump dismantling and cleaning done "/>
    <s v="TBM"/>
    <s v="DRIVES &amp; PT"/>
    <s v="PERK PACKING"/>
  </r>
  <r>
    <d v="2026-02-12T00:00:00"/>
    <x v="7"/>
    <s v="Cutter_Samridhi"/>
    <x v="17"/>
    <x v="1"/>
    <s v="Breakdowns"/>
    <m/>
    <n v="20"/>
    <n v="20"/>
    <m/>
    <s v="TBM"/>
    <s v="FASTENERS"/>
    <s v="PERK MAKING"/>
  </r>
  <r>
    <d v="2026-02-12T00:00:00"/>
    <x v="12"/>
    <s v="Enrober_Samridhi"/>
    <x v="29"/>
    <x v="1"/>
    <s v="Operational_Losses"/>
    <m/>
    <n v="30"/>
    <n v="30"/>
    <m/>
    <s v="TBM"/>
    <s v="DRIVES &amp; PT"/>
    <s v="PERK MAKING"/>
  </r>
  <r>
    <d v="2026-02-21T00:00:00"/>
    <x v="12"/>
    <s v="Enrober_Samridhi"/>
    <x v="29"/>
    <x v="1"/>
    <s v="Operational_Losses"/>
    <m/>
    <n v="30"/>
    <n v="30"/>
    <m/>
    <s v="TBM"/>
    <s v="DRIVES &amp; PT"/>
    <s v="PERK MAKING"/>
  </r>
  <r>
    <d v="2026-03-05T00:00:00"/>
    <x v="0"/>
    <s v="Full_Line"/>
    <x v="30"/>
    <x v="1"/>
    <s v="Labor_Management"/>
    <m/>
    <n v="180"/>
    <n v="180"/>
    <s v="Line Run @ 9b/m in C Shift"/>
    <m/>
    <m/>
    <s v="PERK MAKING"/>
  </r>
  <r>
    <d v="2026-03-06T00:00:00"/>
    <x v="3"/>
    <s v="Laminator"/>
    <x v="31"/>
    <x v="1"/>
    <s v="Breakdowns"/>
    <m/>
    <n v="120"/>
    <n v="120"/>
    <s v="Burn Crème blocks found. Heat tracing Corrected"/>
    <s v="CIL"/>
    <m/>
    <s v="PERK MAKING"/>
  </r>
  <r>
    <d v="2026-03-07T00:00:00"/>
    <x v="0"/>
    <s v="Full_Line"/>
    <x v="2"/>
    <x v="0"/>
    <s v="Changeovers"/>
    <s v="C"/>
    <n v="60"/>
    <n v="60"/>
    <m/>
    <m/>
    <m/>
    <s v="PERK MAKING"/>
  </r>
  <r>
    <d v="2026-03-08T00:00:00"/>
    <x v="7"/>
    <s v="Cutter_Samridhi"/>
    <x v="17"/>
    <x v="1"/>
    <s v="Breakdowns"/>
    <m/>
    <n v="35"/>
    <n v="35"/>
    <m/>
    <s v="TBM"/>
    <s v="ELECTRICAL"/>
    <s v="PERK MAKING"/>
  </r>
  <r>
    <d v="2026-03-08T00:00:00"/>
    <x v="6"/>
    <s v="HCM4_"/>
    <x v="32"/>
    <x v="1"/>
    <s v="Breakdowns"/>
    <m/>
    <n v="120"/>
    <n v="30"/>
    <m/>
    <s v="TBM"/>
    <s v="DRIVES &amp; PT"/>
    <s v="PERK PACKING"/>
  </r>
  <r>
    <d v="2026-03-09T00:00:00"/>
    <x v="6"/>
    <s v="HCM4_"/>
    <x v="32"/>
    <x v="1"/>
    <s v="Breakdowns"/>
    <m/>
    <n v="180"/>
    <n v="45"/>
    <m/>
    <s v="TBM"/>
    <s v="DRIVES &amp; PT"/>
    <s v="PERK PACKING"/>
  </r>
  <r>
    <d v="2026-03-09T00:00:00"/>
    <x v="7"/>
    <s v="Cutter_Samridhi"/>
    <x v="17"/>
    <x v="1"/>
    <s v="Breakdowns"/>
    <m/>
    <n v="25"/>
    <n v="25"/>
    <m/>
    <s v="TBM"/>
    <s v="FASTENERS"/>
    <s v="PERK MAKING"/>
  </r>
  <r>
    <d v="2026-03-10T00:00:00"/>
    <x v="7"/>
    <s v="Cutter_Samridhi"/>
    <x v="33"/>
    <x v="1"/>
    <s v="Breakdowns"/>
    <m/>
    <n v="90"/>
    <n v="90"/>
    <m/>
    <s v="TBM"/>
    <s v="PNEUMATICS"/>
    <s v="PERK MAKING"/>
  </r>
  <r>
    <d v="2026-03-13T00:00:00"/>
    <x v="2"/>
    <s v="TTLI1_"/>
    <x v="34"/>
    <x v="1"/>
    <s v="Breakdowns"/>
    <m/>
    <n v="180"/>
    <n v="45"/>
    <m/>
    <s v="TBM"/>
    <s v="DRIVES &amp; PT"/>
    <s v="PERK PACKING"/>
  </r>
  <r>
    <d v="2026-03-13T00:00:00"/>
    <x v="12"/>
    <s v="Enrober_Samridhi"/>
    <x v="35"/>
    <x v="1"/>
    <s v="Breakdowns"/>
    <m/>
    <n v="25"/>
    <n v="25"/>
    <m/>
    <s v="TBM"/>
    <s v="DRIVES &amp; PT"/>
    <s v="PERK MAKING"/>
  </r>
  <r>
    <d v="2026-03-14T00:00:00"/>
    <x v="0"/>
    <s v="Full_Line"/>
    <x v="0"/>
    <x v="0"/>
    <s v="Sanitation"/>
    <m/>
    <n v="720"/>
    <n v="720"/>
    <m/>
    <m/>
    <m/>
    <s v="PERK MAKING"/>
  </r>
  <r>
    <d v="2026-03-15T00:00:00"/>
    <x v="5"/>
    <s v="Oven"/>
    <x v="9"/>
    <x v="1"/>
    <s v="Breakdowns"/>
    <m/>
    <n v="60"/>
    <n v="60"/>
    <m/>
    <s v="TBM"/>
    <s v="FASTENERS"/>
    <s v="PERK MAKING"/>
  </r>
  <r>
    <d v="2026-03-16T00:00:00"/>
    <x v="7"/>
    <s v="Cutter_Samridhi"/>
    <x v="17"/>
    <x v="1"/>
    <s v="Breakdowns"/>
    <m/>
    <n v="55"/>
    <n v="55"/>
    <m/>
    <s v="TBM"/>
    <s v="FASTENERS"/>
    <s v="PERK MAKING"/>
  </r>
  <r>
    <d v="2026-03-16T00:00:00"/>
    <x v="0"/>
    <s v="Full_Line"/>
    <x v="36"/>
    <x v="1"/>
    <s v="Labor_Management"/>
    <m/>
    <n v="45"/>
    <n v="45"/>
    <s v="Buses Arrived Late. "/>
    <m/>
    <m/>
    <s v="PERK MAKING"/>
  </r>
  <r>
    <d v="2026-03-17T00:00:00"/>
    <x v="2"/>
    <s v="TTLI4_"/>
    <x v="37"/>
    <x v="1"/>
    <s v="Breakdowns"/>
    <m/>
    <n v="1050"/>
    <n v="150"/>
    <s v="Gear box replaced"/>
    <m/>
    <s v="DRIVES &amp; PT"/>
    <s v="PERK PACKING"/>
  </r>
  <r>
    <d v="2026-03-18T00:00:00"/>
    <x v="6"/>
    <s v="HCM2_"/>
    <x v="13"/>
    <x v="1"/>
    <s v="Operational_Losses"/>
    <m/>
    <n v="70"/>
    <n v="17"/>
    <m/>
    <s v="CENTRELINING"/>
    <s v="FASTENERS"/>
    <s v="PERK PACKING"/>
  </r>
  <r>
    <d v="2026-03-18T00:00:00"/>
    <x v="6"/>
    <s v="HCM3_"/>
    <x v="16"/>
    <x v="1"/>
    <s v="Operational_Losses"/>
    <m/>
    <n v="180"/>
    <n v="45"/>
    <m/>
    <s v="CENTRELINING"/>
    <s v="SENSOR"/>
    <s v="PERK PACKING"/>
  </r>
  <r>
    <d v="2026-03-18T00:00:00"/>
    <x v="6"/>
    <s v="HCM1_"/>
    <x v="38"/>
    <x v="1"/>
    <s v="Breakdowns"/>
    <m/>
    <n v="40"/>
    <n v="10"/>
    <m/>
    <s v="TBM"/>
    <s v="DRIVES &amp; PT"/>
    <s v="PERK PACKING"/>
  </r>
  <r>
    <d v="2026-03-19T00:00:00"/>
    <x v="6"/>
    <s v="HCM2_"/>
    <x v="39"/>
    <x v="1"/>
    <s v="Breakdowns"/>
    <m/>
    <n v="60"/>
    <n v="15"/>
    <m/>
    <m/>
    <s v="DRIVES &amp; PT"/>
    <s v="PERK PACKING"/>
  </r>
  <r>
    <d v="2026-03-20T00:00:00"/>
    <x v="12"/>
    <s v="Enrober_Samridhi"/>
    <x v="40"/>
    <x v="0"/>
    <s v="Planned_Stops"/>
    <m/>
    <n v="30"/>
    <n v="30"/>
    <m/>
    <m/>
    <m/>
    <s v="PERK MAKING"/>
  </r>
  <r>
    <d v="2026-03-20T00:00:00"/>
    <x v="1"/>
    <s v="DCI1_"/>
    <x v="41"/>
    <x v="1"/>
    <s v="Operational_Losses"/>
    <m/>
    <n v="15"/>
    <n v="15"/>
    <s v="Tracking motor Electrical Conditions found Open"/>
    <s v="ABH"/>
    <s v="DRIVES &amp; PT"/>
    <s v="PERK PACKING"/>
  </r>
  <r>
    <d v="2026-03-21T00:00:00"/>
    <x v="4"/>
    <s v="Book_Cooler"/>
    <x v="42"/>
    <x v="1"/>
    <s v="Breakdowns"/>
    <m/>
    <n v="215"/>
    <n v="215"/>
    <m/>
    <s v="CENTRELINING"/>
    <s v="DRIVES &amp; PT"/>
    <s v="PERK MAKING"/>
  </r>
  <r>
    <d v="2026-03-21T00:00:00"/>
    <x v="1"/>
    <s v="DCI1_"/>
    <x v="41"/>
    <x v="1"/>
    <s v="Operational_Losses"/>
    <m/>
    <n v="15"/>
    <n v="15"/>
    <s v="Tracking motor Electrical Conditions found Open"/>
    <s v="ABH"/>
    <s v="DRIVES &amp; PT"/>
    <s v="PERK PACKING"/>
  </r>
  <r>
    <d v="2026-03-23T00:00:00"/>
    <x v="0"/>
    <s v="Full_Line"/>
    <x v="7"/>
    <x v="0"/>
    <s v="Changeovers"/>
    <m/>
    <n v="240"/>
    <n v="240"/>
    <m/>
    <m/>
    <m/>
    <s v="PERK MAKING"/>
  </r>
  <r>
    <d v="2026-03-25T00:00:00"/>
    <x v="8"/>
    <s v="Cooling_Tunnel_Samridhi"/>
    <x v="21"/>
    <x v="1"/>
    <s v="Breakdowns"/>
    <m/>
    <n v="30"/>
    <n v="30"/>
    <m/>
    <s v="TBM"/>
    <s v="DRIVES &amp; PT"/>
    <s v="PERK MAKING"/>
  </r>
  <r>
    <d v="2026-03-25T00:00:00"/>
    <x v="11"/>
    <s v="Compressed_air"/>
    <x v="43"/>
    <x v="1"/>
    <s v="Line_Delays"/>
    <m/>
    <n v="60"/>
    <n v="60"/>
    <m/>
    <s v="TBM"/>
    <s v="PNEUMATICS"/>
    <s v="PERK MAKING"/>
  </r>
  <r>
    <d v="2026-03-25T00:00:00"/>
    <x v="5"/>
    <s v="Oven"/>
    <x v="44"/>
    <x v="1"/>
    <s v="Breakdowns"/>
    <m/>
    <n v="30"/>
    <n v="30"/>
    <m/>
    <s v="TBM"/>
    <s v="FASTENERS"/>
    <s v="PERK MAKING"/>
  </r>
  <r>
    <d v="2026-03-27T00:00:00"/>
    <x v="7"/>
    <s v="Cutter_Samridhi"/>
    <x v="17"/>
    <x v="1"/>
    <s v="Breakdowns"/>
    <m/>
    <n v="15"/>
    <n v="15"/>
    <m/>
    <s v="TBM"/>
    <s v="FASTENERS"/>
    <s v="PERK MAKING"/>
  </r>
  <r>
    <d v="2026-03-30T00:00:00"/>
    <x v="3"/>
    <s v="Laminator"/>
    <x v="45"/>
    <x v="1"/>
    <s v="Breakdowns"/>
    <m/>
    <n v="240"/>
    <n v="240"/>
    <s v="Drive Motor Replaced"/>
    <s v="TBM"/>
    <s v="ELECTRICAL"/>
    <s v="PERK MAKING"/>
  </r>
  <r>
    <d v="2026-03-30T00:00:00"/>
    <x v="12"/>
    <s v="Enrober_Samridhi"/>
    <x v="46"/>
    <x v="1"/>
    <s v="Breakdowns"/>
    <m/>
    <n v="240"/>
    <n v="240"/>
    <s v="Deatiler shaft bush replaced, Open wirings corrected"/>
    <s v="TBM"/>
    <s v="DRIVES &amp; PT"/>
    <s v="PERK MAKING"/>
  </r>
  <r>
    <d v="2026-03-31T00:00:00"/>
    <x v="3"/>
    <s v="Laminator"/>
    <x v="45"/>
    <x v="1"/>
    <s v="Breakdowns"/>
    <m/>
    <n v="150"/>
    <n v="150"/>
    <s v="Drive Motor Replaced"/>
    <s v="TBM"/>
    <s v="ELECTRICAL"/>
    <s v="PERK MAKING"/>
  </r>
  <r>
    <d v="2026-03-31T00:00:00"/>
    <x v="12"/>
    <s v="Enrober_Samridhi"/>
    <x v="35"/>
    <x v="1"/>
    <s v="Breakdowns"/>
    <m/>
    <n v="35"/>
    <n v="35"/>
    <s v="Deatiler shaft bush replaced, Open wirings corrected"/>
    <s v="TBM"/>
    <s v="DRIVES &amp; PT"/>
    <s v="PERK MAKING"/>
  </r>
  <r>
    <d v="2026-04-01T00:00:00"/>
    <x v="6"/>
    <s v="HCM2_"/>
    <x v="47"/>
    <x v="0"/>
    <s v="Planned_Maintenance"/>
    <m/>
    <n v="288"/>
    <n v="72"/>
    <m/>
    <m/>
    <m/>
    <m/>
  </r>
  <r>
    <d v="2026-04-03T00:00:00"/>
    <x v="5"/>
    <s v="Oven"/>
    <x v="9"/>
    <x v="1"/>
    <s v="Breakdowns"/>
    <m/>
    <n v="300"/>
    <n v="300"/>
    <s v="Scrapper got bend,repaired and fixed"/>
    <s v="TBM"/>
    <s v="FASTENERS"/>
    <s v="PERK MAKING"/>
  </r>
  <r>
    <d v="2026-04-03T00:00:00"/>
    <x v="7"/>
    <s v="Cutter_HLL"/>
    <x v="48"/>
    <x v="1"/>
    <s v="Breakdowns"/>
    <m/>
    <n v="60"/>
    <n v="60"/>
    <m/>
    <m/>
    <s v="DRIVES &amp; PT"/>
    <s v="PERK MAKING"/>
  </r>
  <r>
    <d v="2026-04-04T00:00:00"/>
    <x v="0"/>
    <s v="Full_Line"/>
    <x v="0"/>
    <x v="0"/>
    <s v="Sanitation"/>
    <m/>
    <n v="630"/>
    <n v="630"/>
    <m/>
    <m/>
    <m/>
    <s v="PERK MAKING"/>
  </r>
  <r>
    <d v="2026-04-05T00:00:00"/>
    <x v="12"/>
    <s v="Enrober_Samridhi"/>
    <x v="49"/>
    <x v="1"/>
    <s v="Operational_Losses"/>
    <m/>
    <n v="15"/>
    <n v="15"/>
    <m/>
    <m/>
    <m/>
    <s v="PERK MAKING"/>
  </r>
  <r>
    <d v="2026-04-05T00:00:00"/>
    <x v="5"/>
    <s v="Oven"/>
    <x v="26"/>
    <x v="1"/>
    <s v="Operational_Losses"/>
    <m/>
    <n v="30"/>
    <n v="30"/>
    <m/>
    <s v="CIL"/>
    <s v="ELECTRICAL"/>
    <s v="PERK MAKING"/>
  </r>
  <r>
    <d v="2026-04-07T00:00:00"/>
    <x v="12"/>
    <s v="Enrober_Samridhi"/>
    <x v="49"/>
    <x v="1"/>
    <s v="Breakdowns"/>
    <m/>
    <n v="45"/>
    <n v="45"/>
    <s v="Heat tracing found tripped"/>
    <s v="TBM"/>
    <m/>
    <s v="PERK MAKING"/>
  </r>
  <r>
    <d v="2026-04-07T00:00:00"/>
    <x v="12"/>
    <s v="Enrober_Samridhi"/>
    <x v="35"/>
    <x v="1"/>
    <s v="Breakdowns"/>
    <m/>
    <n v="25"/>
    <n v="25"/>
    <s v="Link Replaced"/>
    <s v="TBM"/>
    <s v="DRIVES &amp; PT"/>
    <s v="PERK MAKING"/>
  </r>
  <r>
    <d v="2026-04-08T00:00:00"/>
    <x v="3"/>
    <s v="Laminator"/>
    <x v="50"/>
    <x v="1"/>
    <s v="Breakdowns"/>
    <m/>
    <n v="150"/>
    <n v="120"/>
    <m/>
    <s v="TBM"/>
    <s v="PNEUMATICS"/>
    <s v="PERK MAKING"/>
  </r>
  <r>
    <d v="2026-04-08T00:00:00"/>
    <x v="4"/>
    <s v="Book_Cooler"/>
    <x v="14"/>
    <x v="1"/>
    <s v="Breakdowns"/>
    <m/>
    <n v="120"/>
    <n v="120"/>
    <m/>
    <s v="TBM"/>
    <s v="DRIVES &amp; PT"/>
    <s v="PERK MAKING"/>
  </r>
  <r>
    <d v="2026-04-08T00:00:00"/>
    <x v="9"/>
    <s v="Batter_Mixer_T_4108"/>
    <x v="51"/>
    <x v="1"/>
    <s v="Operational_Losses"/>
    <m/>
    <n v="150"/>
    <n v="120"/>
    <m/>
    <m/>
    <m/>
    <m/>
  </r>
  <r>
    <d v="2026-04-08T00:00:00"/>
    <x v="12"/>
    <s v="Enrober_Samridhi"/>
    <x v="49"/>
    <x v="1"/>
    <s v="Operational_Losses"/>
    <m/>
    <n v="30"/>
    <n v="30"/>
    <s v="High Chocolate Viscosity"/>
    <s v="TBM"/>
    <m/>
    <s v="PERK MAKING"/>
  </r>
  <r>
    <d v="2026-04-09T00:00:00"/>
    <x v="7"/>
    <s v="Cutter_Samridhi"/>
    <x v="52"/>
    <x v="1"/>
    <s v="Operational_Losses"/>
    <m/>
    <n v="30"/>
    <n v="30"/>
    <m/>
    <s v="TBM"/>
    <m/>
    <s v="PERK MAKING"/>
  </r>
  <r>
    <d v="2026-04-10T00:00:00"/>
    <x v="5"/>
    <s v="Oven"/>
    <x v="53"/>
    <x v="1"/>
    <s v="Breakdowns"/>
    <m/>
    <n v="120"/>
    <n v="120"/>
    <s v="Scrapper removed and chain alignment done"/>
    <s v="TBM"/>
    <s v="DRIVES &amp; PT"/>
    <s v="PERK MAKING"/>
  </r>
  <r>
    <d v="2026-04-13T00:00:00"/>
    <x v="13"/>
    <s v="Metal_Detector"/>
    <x v="54"/>
    <x v="1"/>
    <s v="Breakdowns"/>
    <m/>
    <n v="15"/>
    <n v="15"/>
    <s v="Scrapper removed and chain alignment done"/>
    <s v="CIL"/>
    <s v="ELECTRICAL"/>
    <s v="PERK MAKING"/>
  </r>
  <r>
    <d v="2026-04-15T00:00:00"/>
    <x v="8"/>
    <s v="Cooling_Tunnel_Samridhi"/>
    <x v="21"/>
    <x v="1"/>
    <s v="Breakdowns"/>
    <m/>
    <n v="100"/>
    <n v="100"/>
    <s v="Chain lock replaced"/>
    <s v="TBM"/>
    <s v="DRIVES &amp; PT"/>
    <s v="PERK MAKING"/>
  </r>
  <r>
    <d v="2026-04-15T00:00:00"/>
    <x v="7"/>
    <s v="Cutter_Samridhi"/>
    <x v="17"/>
    <x v="1"/>
    <s v="Breakdowns"/>
    <m/>
    <n v="15"/>
    <n v="15"/>
    <s v="Wire replaced"/>
    <s v="TBM"/>
    <s v="FASTENERS"/>
    <s v="PERK MAKING"/>
  </r>
  <r>
    <d v="2026-04-16T00:00:00"/>
    <x v="5"/>
    <s v="Oven"/>
    <x v="26"/>
    <x v="1"/>
    <s v="Breakdowns"/>
    <m/>
    <n v="120"/>
    <n v="120"/>
    <s v="Ionization electrode ad cable replaced"/>
    <s v="TBM"/>
    <s v="ELECTRICAL"/>
    <s v="PERK MAKING"/>
  </r>
  <r>
    <d v="2026-04-17T00:00:00"/>
    <x v="7"/>
    <s v="Cutter_Samridhi"/>
    <x v="17"/>
    <x v="1"/>
    <s v="Breakdowns"/>
    <m/>
    <n v="66"/>
    <n v="66"/>
    <s v="Cutter wire replaced"/>
    <s v="TBM"/>
    <s v="FASTENERS"/>
    <s v="PERK MAKING"/>
  </r>
  <r>
    <d v="2026-04-18T00:00:00"/>
    <x v="14"/>
    <m/>
    <x v="55"/>
    <x v="2"/>
    <m/>
    <m/>
    <m/>
    <m/>
    <m/>
    <m/>
    <m/>
    <s v="PERK MAKING"/>
  </r>
  <r>
    <d v="2026-04-18T00:00:00"/>
    <x v="14"/>
    <m/>
    <x v="55"/>
    <x v="2"/>
    <m/>
    <m/>
    <m/>
    <m/>
    <m/>
    <m/>
    <m/>
    <s v="PERK MAKING"/>
  </r>
  <r>
    <d v="2026-04-19T00:00:00"/>
    <x v="0"/>
    <s v="Full_Line"/>
    <x v="30"/>
    <x v="1"/>
    <s v="Labor_Management"/>
    <m/>
    <n v="130"/>
    <n v="130"/>
    <m/>
    <m/>
    <m/>
    <s v="PERK MAKING"/>
  </r>
  <r>
    <d v="2026-04-19T00:00:00"/>
    <x v="14"/>
    <m/>
    <x v="55"/>
    <x v="2"/>
    <m/>
    <m/>
    <m/>
    <m/>
    <m/>
    <m/>
    <m/>
    <s v="PERK MAKING"/>
  </r>
  <r>
    <d v="2026-04-20T00:00:00"/>
    <x v="0"/>
    <s v="Full_Line"/>
    <x v="30"/>
    <x v="1"/>
    <s v="Labor_Management"/>
    <m/>
    <n v="180"/>
    <n v="180"/>
    <m/>
    <m/>
    <m/>
    <s v="PERK MAKING"/>
  </r>
  <r>
    <d v="2026-04-20T00:00:00"/>
    <x v="14"/>
    <m/>
    <x v="55"/>
    <x v="2"/>
    <m/>
    <m/>
    <m/>
    <m/>
    <m/>
    <m/>
    <m/>
    <s v="PERK MAKING"/>
  </r>
  <r>
    <d v="2026-04-21T00:00:00"/>
    <x v="0"/>
    <s v="Full_Line"/>
    <x v="30"/>
    <x v="1"/>
    <s v="Labor_Management"/>
    <m/>
    <n v="60"/>
    <n v="60"/>
    <m/>
    <m/>
    <m/>
    <s v="PERK MAKING"/>
  </r>
  <r>
    <d v="2026-04-22T00:00:00"/>
    <x v="0"/>
    <s v="Full_Line"/>
    <x v="30"/>
    <x v="1"/>
    <s v="Labor_Management"/>
    <m/>
    <n v="120"/>
    <n v="120"/>
    <m/>
    <m/>
    <m/>
    <s v="PERK MAKING"/>
  </r>
  <r>
    <d v="2026-04-29T00:00:00"/>
    <x v="0"/>
    <s v="Full_Line"/>
    <x v="1"/>
    <x v="0"/>
    <s v="Changeovers"/>
    <m/>
    <n v="60"/>
    <n v="60"/>
    <m/>
    <m/>
    <m/>
    <s v="PERK MAKING"/>
  </r>
  <r>
    <d v="2026-04-29T00:00:00"/>
    <x v="0"/>
    <s v="Full_Line"/>
    <x v="30"/>
    <x v="1"/>
    <s v="Labor_Management"/>
    <m/>
    <n v="100"/>
    <n v="100"/>
    <m/>
    <m/>
    <m/>
    <s v="PERK MAKING"/>
  </r>
  <r>
    <d v="2026-04-29T00:00:00"/>
    <x v="0"/>
    <s v="Full_Line"/>
    <x v="7"/>
    <x v="0"/>
    <s v="Changeovers"/>
    <m/>
    <n v="60"/>
    <n v="60"/>
    <m/>
    <m/>
    <m/>
    <s v="PERK MAKING"/>
  </r>
  <r>
    <d v="2026-04-30T00:00:00"/>
    <x v="8"/>
    <s v="Cooling_Tunnel_Samridhi"/>
    <x v="56"/>
    <x v="1"/>
    <s v="Breakdowns"/>
    <m/>
    <n v="360"/>
    <n v="360"/>
    <s v="Roller repaired and belt replaced"/>
    <s v="TBM"/>
    <s v="DRIVES &amp; PT"/>
    <s v="PERK MAKING"/>
  </r>
  <r>
    <d v="2026-04-30T00:00:00"/>
    <x v="0"/>
    <s v="Full_Line"/>
    <x v="30"/>
    <x v="1"/>
    <s v="Labor_Management"/>
    <m/>
    <n v="160"/>
    <n v="160"/>
    <m/>
    <m/>
    <m/>
    <s v="PERK MAKING"/>
  </r>
  <r>
    <d v="2026-05-03T00:00:00"/>
    <x v="2"/>
    <s v="TTLI2_"/>
    <x v="57"/>
    <x v="1"/>
    <s v="Breakdowns"/>
    <m/>
    <n v="480"/>
    <n v="120"/>
    <s v="Shaft repair done"/>
    <s v="TBM"/>
    <s v="DRIVES &amp; PT"/>
    <s v="PERK PACKING"/>
  </r>
  <r>
    <d v="2026-05-04T00:00:00"/>
    <x v="5"/>
    <s v="Oven"/>
    <x v="53"/>
    <x v="1"/>
    <s v="Breakdowns"/>
    <m/>
    <n v="60"/>
    <n v="45"/>
    <s v="Scrapper removed and chain alignment done"/>
    <s v="TBM"/>
    <s v="DRIVES &amp; PT"/>
    <s v="PERK MAKING"/>
  </r>
  <r>
    <d v="2026-05-07T00:00:00"/>
    <x v="2"/>
    <s v="TTLI1_"/>
    <x v="58"/>
    <x v="1"/>
    <s v="Breakdowns"/>
    <m/>
    <n v="240"/>
    <n v="60"/>
    <m/>
    <s v="TBM"/>
    <s v="DRIVES &amp; PT"/>
    <s v="PERK PACKING"/>
  </r>
  <r>
    <d v="2026-05-08T00:00:00"/>
    <x v="2"/>
    <s v="TTLI4_"/>
    <x v="34"/>
    <x v="1"/>
    <s v="Breakdowns"/>
    <m/>
    <n v="60"/>
    <n v="15"/>
    <s v="PGR Sockets replaced"/>
    <s v="CIL"/>
    <s v="DRIVES &amp; PT"/>
    <s v="PERK PACKING"/>
  </r>
  <r>
    <d v="2026-05-08T00:00:00"/>
    <x v="0"/>
    <s v="Full_Line"/>
    <x v="1"/>
    <x v="0"/>
    <s v="Changeovers"/>
    <m/>
    <n v="60"/>
    <n v="60"/>
    <m/>
    <m/>
    <m/>
    <s v="PERK MAKING"/>
  </r>
  <r>
    <d v="2026-05-09T00:00:00"/>
    <x v="12"/>
    <s v="Enrober_Samridhi"/>
    <x v="59"/>
    <x v="1"/>
    <s v="Breakdowns"/>
    <m/>
    <n v="120"/>
    <n v="120"/>
    <s v="Power Supply not coming"/>
    <s v="TBM"/>
    <s v="ELECTRICAL"/>
    <s v="PERK MAKING"/>
  </r>
  <r>
    <d v="2026-05-09T00:00:00"/>
    <x v="11"/>
    <s v="Power_failure"/>
    <x v="27"/>
    <x v="1"/>
    <s v="Line_Delays"/>
    <m/>
    <n v="20"/>
    <n v="20"/>
    <m/>
    <m/>
    <s v="ELECTRICAL"/>
    <s v="PERK MAKING"/>
  </r>
  <r>
    <d v="2026-05-10T00:00:00"/>
    <x v="5"/>
    <s v="Oven"/>
    <x v="28"/>
    <x v="1"/>
    <s v="Breakdowns"/>
    <m/>
    <n v="240"/>
    <n v="240"/>
    <m/>
    <s v="TBM"/>
    <s v="DRIVES &amp; PT"/>
    <s v="PERK MAKING"/>
  </r>
  <r>
    <d v="2026-05-12T00:00:00"/>
    <x v="5"/>
    <s v="Oven"/>
    <x v="60"/>
    <x v="1"/>
    <s v="Breakdowns"/>
    <m/>
    <n v="90"/>
    <n v="90"/>
    <m/>
    <s v="ABH"/>
    <s v="ELECTRICAL"/>
    <s v="PERK MAKING"/>
  </r>
  <r>
    <d v="2026-05-12T00:00:00"/>
    <x v="11"/>
    <s v="Power_failure"/>
    <x v="27"/>
    <x v="1"/>
    <s v="Line_Delays"/>
    <m/>
    <n v="45"/>
    <n v="45"/>
    <m/>
    <m/>
    <s v="ELECTRICAL"/>
    <s v="PERK MAKING"/>
  </r>
  <r>
    <d v="2026-05-12T00:00:00"/>
    <x v="5"/>
    <s v="Oven"/>
    <x v="61"/>
    <x v="0"/>
    <s v="Planned_Stops"/>
    <m/>
    <n v="30"/>
    <n v="30"/>
    <m/>
    <m/>
    <m/>
    <s v="PERK MAKING"/>
  </r>
  <r>
    <d v="2026-05-12T00:00:00"/>
    <x v="8"/>
    <s v="Cooling_Tunnel_Samridhi"/>
    <x v="62"/>
    <x v="1"/>
    <s v="Breakdowns"/>
    <m/>
    <n v="30"/>
    <n v="30"/>
    <m/>
    <m/>
    <s v="ELECTRICAL"/>
    <s v="PERK MAKING"/>
  </r>
  <r>
    <d v="2026-05-13T00:00:00"/>
    <x v="2"/>
    <s v="TTLI1_"/>
    <x v="34"/>
    <x v="1"/>
    <s v="Breakdowns"/>
    <m/>
    <n v="240"/>
    <n v="60"/>
    <s v="PGR belt bearing worn out : replaced"/>
    <s v="TBM"/>
    <s v="DRIVES &amp; PT"/>
    <s v="PERK PACKING"/>
  </r>
  <r>
    <d v="2026-05-14T00:00:00"/>
    <x v="12"/>
    <s v="Enrober_Samridhi"/>
    <x v="63"/>
    <x v="1"/>
    <s v="Breakdowns"/>
    <m/>
    <n v="30"/>
    <n v="30"/>
    <m/>
    <m/>
    <m/>
    <s v="PERK MAKING"/>
  </r>
  <r>
    <d v="2026-05-14T00:00:00"/>
    <x v="7"/>
    <s v="Cutter_Samridhi"/>
    <x v="17"/>
    <x v="1"/>
    <s v="Breakdowns"/>
    <m/>
    <n v="30"/>
    <n v="30"/>
    <m/>
    <s v="ABH"/>
    <s v="FASTENERS"/>
    <s v="PERK MAKING"/>
  </r>
  <r>
    <d v="2026-05-15T00:00:00"/>
    <x v="7"/>
    <s v="Cutter_Samridhi"/>
    <x v="17"/>
    <x v="1"/>
    <s v="Breakdowns"/>
    <m/>
    <n v="20"/>
    <n v="20"/>
    <m/>
    <s v="ABH"/>
    <s v="FASTENERS"/>
    <s v="PERK MAKING"/>
  </r>
  <r>
    <d v="2026-05-15T00:00:00"/>
    <x v="7"/>
    <s v="Cutter_Samridhi"/>
    <x v="52"/>
    <x v="1"/>
    <s v="Operational_Losses"/>
    <m/>
    <n v="15"/>
    <n v="15"/>
    <m/>
    <m/>
    <s v="FASTENERS"/>
    <s v="PERK MAKING"/>
  </r>
  <r>
    <d v="2026-05-15T00:00:00"/>
    <x v="5"/>
    <s v="Oven"/>
    <x v="64"/>
    <x v="1"/>
    <s v="Operational_Losses"/>
    <m/>
    <n v="20"/>
    <n v="20"/>
    <m/>
    <m/>
    <m/>
    <s v="PERK MAKING"/>
  </r>
  <r>
    <d v="2026-05-16T00:00:00"/>
    <x v="7"/>
    <s v="Cutter_Samridhi"/>
    <x v="17"/>
    <x v="1"/>
    <s v="Breakdowns"/>
    <m/>
    <n v="60"/>
    <n v="60"/>
    <s v="Wire broken 3 times: Replaced,Frame bolts worn out"/>
    <s v="ABH"/>
    <s v="FASTENERS"/>
    <s v="PERK MAKING"/>
  </r>
  <r>
    <d v="2026-05-16T00:00:00"/>
    <x v="7"/>
    <s v="Cutter_Samridhi"/>
    <x v="65"/>
    <x v="1"/>
    <s v="Breakdowns"/>
    <m/>
    <n v="120"/>
    <n v="120"/>
    <m/>
    <s v="TBM"/>
    <s v="DRIVES &amp; PT"/>
    <s v="PERK MAKING"/>
  </r>
  <r>
    <d v="2026-05-18T00:00:00"/>
    <x v="7"/>
    <s v="Cutter_Samridhi"/>
    <x v="66"/>
    <x v="1"/>
    <s v="Breakdowns"/>
    <m/>
    <n v="110"/>
    <n v="110"/>
    <s v="Replaced"/>
    <s v="TBM"/>
    <s v="DRIVES &amp; PT"/>
    <s v="PERK MAKING"/>
  </r>
  <r>
    <d v="2026-05-19T00:00:00"/>
    <x v="7"/>
    <s v="Cutter_Samridhi"/>
    <x v="52"/>
    <x v="1"/>
    <s v="Operational_Losses"/>
    <m/>
    <n v="60"/>
    <n v="60"/>
    <s v="2 Wafers book passing book checkweigher"/>
    <s v="ABH"/>
    <s v="FASTENERS"/>
    <s v="PERK MAKING"/>
  </r>
  <r>
    <d v="2026-05-19T00:00:00"/>
    <x v="7"/>
    <s v="Cutter_Samridhi"/>
    <x v="17"/>
    <x v="1"/>
    <s v="Breakdowns"/>
    <m/>
    <n v="30"/>
    <n v="30"/>
    <m/>
    <m/>
    <s v="FASTENERS"/>
    <s v="PERK MAKING"/>
  </r>
  <r>
    <d v="2026-05-21T00:00:00"/>
    <x v="5"/>
    <s v="Oven"/>
    <x v="67"/>
    <x v="1"/>
    <s v="Operational_Losses"/>
    <m/>
    <n v="90"/>
    <n v="90"/>
    <m/>
    <m/>
    <m/>
    <s v="PERK MAKING"/>
  </r>
  <r>
    <d v="2026-05-21T00:00:00"/>
    <x v="11"/>
    <s v="Power_failure"/>
    <x v="27"/>
    <x v="1"/>
    <s v="Line_Delays"/>
    <m/>
    <n v="30"/>
    <n v="30"/>
    <m/>
    <m/>
    <s v="ELECTRICAL"/>
    <s v="PERK MAKING"/>
  </r>
  <r>
    <d v="2026-05-24T00:00:00"/>
    <x v="4"/>
    <s v="Book_Cooler"/>
    <x v="68"/>
    <x v="1"/>
    <s v="Breakdowns"/>
    <m/>
    <n v="180"/>
    <n v="180"/>
    <s v="Entry and exit guides worn out : Replaced"/>
    <s v="ABH"/>
    <s v="DRIVES &amp; PT"/>
    <s v="PERK MAKING"/>
  </r>
  <r>
    <d v="2026-05-25T00:00:00"/>
    <x v="2"/>
    <s v="TTLI4_"/>
    <x v="69"/>
    <x v="1"/>
    <s v="Breakdowns"/>
    <m/>
    <n v="180"/>
    <n v="45"/>
    <s v="Cylinder Replaced"/>
    <s v="ABH"/>
    <s v="PNEUMATICS"/>
    <s v="PERK PACKING"/>
  </r>
  <r>
    <d v="2026-05-25T00:00:00"/>
    <x v="6"/>
    <s v="HCM4_"/>
    <x v="70"/>
    <x v="1"/>
    <s v="Breakdowns"/>
    <m/>
    <n v="360"/>
    <n v="90"/>
    <s v="Motor Replaced,Roller replaced &amp; Belt replaced"/>
    <s v="ABH"/>
    <s v="DRIVES &amp; PT"/>
    <s v="PERK PACKING"/>
  </r>
  <r>
    <d v="2026-05-26T00:00:00"/>
    <x v="5"/>
    <s v="Oven"/>
    <x v="71"/>
    <x v="1"/>
    <s v="Operational_Losses"/>
    <m/>
    <n v="30"/>
    <n v="30"/>
    <m/>
    <m/>
    <s v="ELECTRICAL"/>
    <s v="PERK MAKING"/>
  </r>
  <r>
    <d v="2026-05-27T00:00:00"/>
    <x v="6"/>
    <s v="HCM2_"/>
    <x v="16"/>
    <x v="1"/>
    <s v="Breakdowns"/>
    <m/>
    <n v="480"/>
    <n v="120"/>
    <m/>
    <s v="TBM"/>
    <s v="SENSOR"/>
    <s v="PERK PACKING"/>
  </r>
  <r>
    <d v="2026-05-27T00:00:00"/>
    <x v="6"/>
    <s v="HCM5_"/>
    <x v="16"/>
    <x v="1"/>
    <s v="Breakdowns"/>
    <m/>
    <n v="720"/>
    <n v="120"/>
    <m/>
    <s v="TBM"/>
    <s v="SENSOR"/>
    <m/>
  </r>
  <r>
    <d v="2026-05-28T00:00:00"/>
    <x v="11"/>
    <s v="Power_failure"/>
    <x v="27"/>
    <x v="1"/>
    <s v="Line_Delays"/>
    <m/>
    <n v="30"/>
    <n v="30"/>
    <m/>
    <m/>
    <m/>
    <m/>
  </r>
  <r>
    <d v="2026-05-29T00:00:00"/>
    <x v="7"/>
    <s v="Cutter_Samridhi"/>
    <x v="17"/>
    <x v="1"/>
    <s v="Breakdowns"/>
    <m/>
    <n v="30"/>
    <n v="30"/>
    <m/>
    <m/>
    <s v="FASTENERS"/>
    <s v="PERK MAKING"/>
  </r>
  <r>
    <d v="2026-05-29T00:00:00"/>
    <x v="11"/>
    <s v="Compressed_air"/>
    <x v="43"/>
    <x v="1"/>
    <s v="Line_Delays"/>
    <m/>
    <n v="102"/>
    <n v="25"/>
    <m/>
    <m/>
    <s v="DRIVES &amp; PT"/>
    <m/>
  </r>
  <r>
    <d v="2026-05-30T00:00:00"/>
    <x v="6"/>
    <s v="HCM3_"/>
    <x v="72"/>
    <x v="1"/>
    <s v="Breakdowns"/>
    <m/>
    <n v="120"/>
    <n v="30"/>
    <m/>
    <m/>
    <s v="DRIVES &amp; PT"/>
    <s v="PERK PACKING"/>
  </r>
  <r>
    <d v="2026-06-05T00:00:00"/>
    <x v="0"/>
    <s v="Full_Line"/>
    <x v="73"/>
    <x v="0"/>
    <s v="Start_and_Finish_Production"/>
    <m/>
    <n v="600"/>
    <n v="552"/>
    <m/>
    <m/>
    <m/>
    <m/>
  </r>
  <r>
    <d v="2026-06-06T00:00:00"/>
    <x v="9"/>
    <s v="Storage_Tank_T_4110"/>
    <x v="28"/>
    <x v="1"/>
    <s v="Breakdowns"/>
    <m/>
    <n v="90"/>
    <n v="90"/>
    <m/>
    <m/>
    <s v="DRIVES &amp; PT"/>
    <m/>
  </r>
  <r>
    <d v="2026-06-07T00:00:00"/>
    <x v="12"/>
    <s v="Enrober_Samridhi"/>
    <x v="35"/>
    <x v="1"/>
    <s v="Breakdowns"/>
    <m/>
    <n v="25"/>
    <n v="25"/>
    <m/>
    <m/>
    <s v="DRIVES &amp; PT"/>
    <m/>
  </r>
  <r>
    <d v="2026-06-07T00:00:00"/>
    <x v="6"/>
    <s v="HCM2_"/>
    <x v="39"/>
    <x v="1"/>
    <s v="Breakdowns"/>
    <m/>
    <n v="80"/>
    <n v="20"/>
    <m/>
    <m/>
    <s v="DRIVES &amp; PT"/>
    <m/>
  </r>
  <r>
    <d v="2026-06-07T00:00:00"/>
    <x v="6"/>
    <s v="HCM3_"/>
    <x v="74"/>
    <x v="1"/>
    <s v="Breakdowns"/>
    <m/>
    <n v="100"/>
    <n v="25"/>
    <m/>
    <m/>
    <s v="DRIVES &amp; PT"/>
    <m/>
  </r>
  <r>
    <d v="2026-06-08T00:00:00"/>
    <x v="1"/>
    <s v="DCI4_"/>
    <x v="75"/>
    <x v="1"/>
    <s v="Breakdowns"/>
    <m/>
    <n v="60"/>
    <n v="60"/>
    <m/>
    <m/>
    <s v="FASTENERS"/>
    <m/>
  </r>
  <r>
    <d v="2026-06-09T00:00:00"/>
    <x v="6"/>
    <s v="HCM4_"/>
    <x v="76"/>
    <x v="1"/>
    <s v="Breakdowns"/>
    <m/>
    <n v="60"/>
    <n v="15"/>
    <m/>
    <m/>
    <s v="FASTENERS"/>
    <m/>
  </r>
  <r>
    <d v="2026-06-09T00:00:00"/>
    <x v="6"/>
    <s v="HCM3_"/>
    <x v="77"/>
    <x v="1"/>
    <s v="Breakdowns"/>
    <m/>
    <n v="60"/>
    <n v="15"/>
    <m/>
    <m/>
    <s v="FASTENERS"/>
    <m/>
  </r>
  <r>
    <d v="2026-06-10T00:00:00"/>
    <x v="3"/>
    <s v="Laminator"/>
    <x v="78"/>
    <x v="1"/>
    <s v="Breakdowns"/>
    <m/>
    <n v="500"/>
    <n v="500"/>
    <m/>
    <m/>
    <s v="DRIVES &amp; PT"/>
    <m/>
  </r>
  <r>
    <d v="2026-06-11T00:00:00"/>
    <x v="4"/>
    <s v="Book_Cooler"/>
    <x v="68"/>
    <x v="1"/>
    <s v="Breakdowns"/>
    <m/>
    <n v="240"/>
    <n v="240"/>
    <m/>
    <m/>
    <s v="DRIVES &amp; PT"/>
    <m/>
  </r>
  <r>
    <d v="2026-06-11T00:00:00"/>
    <x v="12"/>
    <s v="Enrober_Samridhi"/>
    <x v="79"/>
    <x v="1"/>
    <s v="Operational_Losses"/>
    <m/>
    <n v="180"/>
    <n v="180"/>
    <m/>
    <m/>
    <s v="DRIVES &amp; PT"/>
    <m/>
  </r>
  <r>
    <d v="2026-06-13T00:00:00"/>
    <x v="3"/>
    <s v="Laminator"/>
    <x v="78"/>
    <x v="1"/>
    <s v="Breakdowns"/>
    <m/>
    <n v="120"/>
    <n v="120"/>
    <m/>
    <m/>
    <s v="DRIVES &amp; PT"/>
    <m/>
  </r>
  <r>
    <d v="2026-06-14T00:00:00"/>
    <x v="1"/>
    <s v="DCI4_"/>
    <x v="75"/>
    <x v="1"/>
    <s v="Breakdowns"/>
    <m/>
    <n v="360"/>
    <n v="360"/>
    <m/>
    <m/>
    <s v="DRIVES &amp; PT"/>
    <m/>
  </r>
  <r>
    <d v="2026-06-14T00:00:00"/>
    <x v="5"/>
    <s v="Oven"/>
    <x v="26"/>
    <x v="1"/>
    <s v="Operational_Losses"/>
    <m/>
    <n v="120"/>
    <n v="120"/>
    <m/>
    <m/>
    <s v="ELECTRICAL"/>
    <m/>
  </r>
  <r>
    <d v="2026-06-15T00:00:00"/>
    <x v="6"/>
    <s v="HCM4_"/>
    <x v="13"/>
    <x v="1"/>
    <s v="Breakdowns"/>
    <m/>
    <n v="540"/>
    <n v="135"/>
    <s v="Roller Worn out: Bearings replaced"/>
    <m/>
    <s v="DRIVES &amp; PT"/>
    <m/>
  </r>
  <r>
    <d v="2026-06-15T00:00:00"/>
    <x v="6"/>
    <s v="HCM2_"/>
    <x v="16"/>
    <x v="1"/>
    <s v="Operational_Losses"/>
    <m/>
    <n v="120"/>
    <n v="30"/>
    <m/>
    <m/>
    <m/>
    <m/>
  </r>
  <r>
    <d v="2026-06-15T00:00:00"/>
    <x v="5"/>
    <s v="Oven"/>
    <x v="80"/>
    <x v="0"/>
    <s v="Planned_Maintenance"/>
    <m/>
    <n v="60"/>
    <n v="60"/>
    <m/>
    <m/>
    <m/>
    <m/>
  </r>
  <r>
    <d v="2026-06-16T00:00:00"/>
    <x v="13"/>
    <s v="Metal_Detector"/>
    <x v="54"/>
    <x v="1"/>
    <s v="Breakdowns"/>
    <m/>
    <n v="190"/>
    <n v="190"/>
    <s v="Roller Cleaning done &amp; Sensitivity Corrected"/>
    <m/>
    <s v="ELECTRICAL"/>
    <m/>
  </r>
  <r>
    <d v="2026-06-17T00:00:00"/>
    <x v="13"/>
    <s v="Metal_Detector"/>
    <x v="54"/>
    <x v="1"/>
    <s v="Breakdowns"/>
    <m/>
    <n v="190"/>
    <n v="190"/>
    <s v="Power Supply changed"/>
    <m/>
    <s v="ELECTRICAL"/>
    <m/>
  </r>
  <r>
    <d v="2026-06-17T00:00:00"/>
    <x v="1"/>
    <s v="DCI4_"/>
    <x v="81"/>
    <x v="1"/>
    <s v="Operational_Losses"/>
    <m/>
    <n v="20"/>
    <n v="20"/>
    <s v="Power reset done"/>
    <m/>
    <s v="ELECTRICAL"/>
    <m/>
  </r>
  <r>
    <d v="2026-06-17T00:00:00"/>
    <x v="1"/>
    <s v="DCI1_"/>
    <x v="82"/>
    <x v="1"/>
    <s v="Breakdowns"/>
    <m/>
    <n v="35"/>
    <n v="35"/>
    <s v="Pusher bend: Got stucked"/>
    <m/>
    <s v="FASTENERS"/>
    <m/>
  </r>
  <r>
    <d v="2026-06-17T00:00:00"/>
    <x v="6"/>
    <s v="HCM4_"/>
    <x v="13"/>
    <x v="1"/>
    <s v="Breakdowns"/>
    <m/>
    <n v="210"/>
    <n v="35"/>
    <m/>
    <m/>
    <s v="ELECTRICAL"/>
    <m/>
  </r>
  <r>
    <d v="2026-06-17T00:00:00"/>
    <x v="6"/>
    <s v="HCM4_"/>
    <x v="72"/>
    <x v="1"/>
    <s v="Breakdowns"/>
    <m/>
    <n v="30"/>
    <n v="7"/>
    <m/>
    <m/>
    <s v="ELECTRICAL"/>
    <m/>
  </r>
  <r>
    <d v="2026-06-18T00:00:00"/>
    <x v="1"/>
    <s v="DCI1_"/>
    <x v="41"/>
    <x v="1"/>
    <s v="Operational_Losses"/>
    <m/>
    <n v="20"/>
    <n v="5"/>
    <m/>
    <m/>
    <m/>
    <m/>
  </r>
  <r>
    <d v="2026-06-18T00:00:00"/>
    <x v="7"/>
    <s v="Cutter_Samridhi"/>
    <x v="52"/>
    <x v="1"/>
    <s v="Operational_Losses"/>
    <m/>
    <n v="90"/>
    <n v="90"/>
    <m/>
    <s v="ABH"/>
    <s v="FASTENERS"/>
    <m/>
  </r>
  <r>
    <d v="2026-06-19T00:00:00"/>
    <x v="6"/>
    <s v="HCM3_"/>
    <x v="72"/>
    <x v="1"/>
    <s v="Breakdowns"/>
    <m/>
    <n v="150"/>
    <n v="38"/>
    <s v="Motor Replaced"/>
    <s v="ABH"/>
    <s v="DRIVES &amp; PT"/>
    <m/>
  </r>
  <r>
    <d v="2026-06-20T00:00:00"/>
    <x v="0"/>
    <s v="Full_Line"/>
    <x v="0"/>
    <x v="0"/>
    <s v="Sanitation"/>
    <m/>
    <n v="720"/>
    <n v="720"/>
    <m/>
    <m/>
    <m/>
    <m/>
  </r>
  <r>
    <d v="2026-06-22T00:00:00"/>
    <x v="4"/>
    <s v="Book_Cooler"/>
    <x v="6"/>
    <x v="1"/>
    <s v="Operational_Losses"/>
    <m/>
    <n v="60"/>
    <n v="60"/>
    <m/>
    <m/>
    <m/>
    <m/>
  </r>
  <r>
    <d v="2026-06-24T00:00:00"/>
    <x v="2"/>
    <s v="TTLI1_"/>
    <x v="83"/>
    <x v="1"/>
    <s v="Operational_Losses"/>
    <m/>
    <n v="60"/>
    <n v="60"/>
    <m/>
    <m/>
    <s v="DRIVES &amp; PT"/>
    <m/>
  </r>
  <r>
    <d v="2026-06-25T00:00:00"/>
    <x v="9"/>
    <s v="Batter_Mixer_T_4108"/>
    <x v="84"/>
    <x v="1"/>
    <s v="Breakdowns"/>
    <m/>
    <n v="90"/>
    <n v="90"/>
    <s v="Discharge valve cylinder malfunctioning"/>
    <s v="ABH"/>
    <s v="Valves &amp; Pneumatics"/>
    <m/>
  </r>
  <r>
    <d v="2026-06-28T00:00:00"/>
    <x v="2"/>
    <s v="TTLI4_"/>
    <x v="85"/>
    <x v="1"/>
    <s v="Breakdowns"/>
    <m/>
    <n v="195"/>
    <n v="50"/>
    <m/>
    <m/>
    <m/>
    <m/>
  </r>
  <r>
    <d v="2026-06-28T00:00:00"/>
    <x v="2"/>
    <s v="TTLI4_"/>
    <x v="83"/>
    <x v="1"/>
    <s v="Operational_Losses"/>
    <m/>
    <n v="60"/>
    <n v="15"/>
    <m/>
    <m/>
    <m/>
    <m/>
  </r>
  <r>
    <d v="2026-06-27T00:00:00"/>
    <x v="6"/>
    <s v="HCM3_"/>
    <x v="47"/>
    <x v="0"/>
    <s v="Planned_Maintenance"/>
    <m/>
    <n v="120"/>
    <n v="30"/>
    <m/>
    <m/>
    <m/>
    <m/>
  </r>
  <r>
    <d v="2026-06-27T00:00:00"/>
    <x v="0"/>
    <s v="Full_Line"/>
    <x v="0"/>
    <x v="0"/>
    <s v="Sanitation"/>
    <m/>
    <n v="90"/>
    <n v="90"/>
    <m/>
    <m/>
    <m/>
    <m/>
  </r>
  <r>
    <d v="2026-06-27T00:00:00"/>
    <x v="1"/>
    <s v="DCI4_"/>
    <x v="75"/>
    <x v="1"/>
    <s v="Operational_Losses"/>
    <m/>
    <n v="90"/>
    <n v="90"/>
    <m/>
    <m/>
    <m/>
    <m/>
  </r>
  <r>
    <d v="2026-06-29T00:00:00"/>
    <x v="7"/>
    <s v="Cutter_Samridhi"/>
    <x v="86"/>
    <x v="1"/>
    <s v="Operational_Losses"/>
    <m/>
    <n v="15"/>
    <n v="15"/>
    <m/>
    <s v="ABH"/>
    <s v="Sensors"/>
    <m/>
  </r>
  <r>
    <d v="2026-06-29T00:00:00"/>
    <x v="2"/>
    <s v="TTLI2_"/>
    <x v="47"/>
    <x v="0"/>
    <s v="Planned_Maintenance"/>
    <m/>
    <n v="180"/>
    <n v="45"/>
    <m/>
    <m/>
    <m/>
    <m/>
  </r>
  <r>
    <d v="2026-06-30T00:00:00"/>
    <x v="0"/>
    <s v="Full_Line"/>
    <x v="7"/>
    <x v="0"/>
    <s v="Changeovers"/>
    <m/>
    <n v="90"/>
    <n v="90"/>
    <m/>
    <m/>
    <m/>
    <m/>
  </r>
  <r>
    <d v="2026-06-30T00:00:00"/>
    <x v="5"/>
    <s v="Oven"/>
    <x v="9"/>
    <x v="1"/>
    <s v="Operational_Losses"/>
    <m/>
    <n v="180"/>
    <n v="180"/>
    <m/>
    <m/>
    <m/>
    <m/>
  </r>
  <r>
    <d v="2026-07-03T00:00:00"/>
    <x v="0"/>
    <s v="Full_Line"/>
    <x v="0"/>
    <x v="0"/>
    <s v="Sanitation"/>
    <m/>
    <n v="720"/>
    <n v="720"/>
    <m/>
    <m/>
    <m/>
    <m/>
  </r>
  <r>
    <d v="2026-07-03T00:00:00"/>
    <x v="4"/>
    <s v="Book_Cooler"/>
    <x v="14"/>
    <x v="1"/>
    <s v="Breakdowns"/>
    <m/>
    <n v="60"/>
    <n v="60"/>
    <m/>
    <s v="ABH"/>
    <s v="DRIVES &amp; PT"/>
    <m/>
  </r>
  <r>
    <d v="2026-07-03T00:00:00"/>
    <x v="9"/>
    <s v="Batter_Mixer_T_4108"/>
    <x v="51"/>
    <x v="1"/>
    <s v="Operational_Losses"/>
    <m/>
    <n v="60"/>
    <n v="60"/>
    <m/>
    <m/>
    <m/>
    <m/>
  </r>
  <r>
    <d v="2026-07-04T00:00:00"/>
    <x v="4"/>
    <s v="Book_Cooler"/>
    <x v="68"/>
    <x v="1"/>
    <s v="Breakdowns"/>
    <m/>
    <n v="180"/>
    <n v="180"/>
    <m/>
    <s v="TBM"/>
    <s v="DRIVES &amp; PT"/>
    <m/>
  </r>
  <r>
    <d v="2026-07-04T00:00:00"/>
    <x v="7"/>
    <s v="Cutter_Samridhi"/>
    <x v="87"/>
    <x v="1"/>
    <s v="Breakdowns"/>
    <m/>
    <n v="240"/>
    <n v="240"/>
    <m/>
    <s v="TBM"/>
    <s v="DRIVES &amp; PT"/>
    <m/>
  </r>
  <r>
    <d v="2026-07-04T00:00:00"/>
    <x v="5"/>
    <s v="Oven"/>
    <x v="88"/>
    <x v="1"/>
    <s v="Breakdowns"/>
    <m/>
    <n v="120"/>
    <n v="120"/>
    <m/>
    <s v="TBM"/>
    <s v="DRIVES &amp; PT"/>
    <m/>
  </r>
  <r>
    <d v="2026-07-05T00:00:00"/>
    <x v="5"/>
    <s v="Oven"/>
    <x v="88"/>
    <x v="1"/>
    <s v="Breakdowns"/>
    <m/>
    <n v="540"/>
    <n v="540"/>
    <m/>
    <s v="TBM"/>
    <s v="DRIVES &amp; PT"/>
    <m/>
  </r>
  <r>
    <d v="2026-07-06T00:00:00"/>
    <x v="5"/>
    <s v="Oven"/>
    <x v="47"/>
    <x v="0"/>
    <s v="Planned_Maintenance"/>
    <m/>
    <n v="60"/>
    <n v="60"/>
    <m/>
    <m/>
    <m/>
    <m/>
  </r>
  <r>
    <d v="2026-07-06T00:00:00"/>
    <x v="2"/>
    <s v="TTLI3_"/>
    <x v="89"/>
    <x v="1"/>
    <s v="Operational_Losses"/>
    <m/>
    <n v="360"/>
    <n v="90"/>
    <m/>
    <s v="TBM"/>
    <s v="FASTENERS"/>
    <m/>
  </r>
  <r>
    <d v="2026-07-07T00:00:00"/>
    <x v="2"/>
    <s v="TTLI3_"/>
    <x v="89"/>
    <x v="1"/>
    <s v="Breakdowns"/>
    <m/>
    <n v="960"/>
    <n v="240"/>
    <s v="Gear Box Replaced"/>
    <s v="TBM"/>
    <s v="DRIVES &amp; PT"/>
    <m/>
  </r>
  <r>
    <d v="2026-07-08T00:00:00"/>
    <x v="5"/>
    <s v="Oven"/>
    <x v="9"/>
    <x v="1"/>
    <s v="Breakdowns"/>
    <m/>
    <n v="480"/>
    <n v="480"/>
    <m/>
    <s v="TBM"/>
    <s v="FASTENERS"/>
    <m/>
  </r>
  <r>
    <d v="2026-07-10T00:00:00"/>
    <x v="5"/>
    <s v="Oven"/>
    <x v="9"/>
    <x v="1"/>
    <s v="Breakdowns"/>
    <m/>
    <n v="650"/>
    <n v="650"/>
    <m/>
    <s v="TBM"/>
    <s v="FASTENERS"/>
    <m/>
  </r>
  <r>
    <d v="2026-07-14T00:00:00"/>
    <x v="11"/>
    <s v="Compressed_air"/>
    <x v="43"/>
    <x v="1"/>
    <s v="Line_Delays"/>
    <m/>
    <n v="30"/>
    <n v="30"/>
    <m/>
    <m/>
    <m/>
    <m/>
  </r>
  <r>
    <d v="2026-07-15T00:00:00"/>
    <x v="5"/>
    <s v="Oven"/>
    <x v="53"/>
    <x v="1"/>
    <s v="Breakdowns"/>
    <m/>
    <n v="45"/>
    <n v="45"/>
    <s v="Bearing Housing found broken,Oil found in Terminal Box"/>
    <s v="TBM"/>
    <s v="DRIVES &amp; PT"/>
    <m/>
  </r>
  <r>
    <d v="2026-07-16T00:00:00"/>
    <x v="0"/>
    <s v="Full_Line"/>
    <x v="0"/>
    <x v="0"/>
    <s v="Sanitation"/>
    <m/>
    <n v="720"/>
    <n v="720"/>
    <m/>
    <m/>
    <m/>
    <m/>
  </r>
  <r>
    <d v="2026-07-16T00:00:00"/>
    <x v="0"/>
    <s v="Full_Line"/>
    <x v="73"/>
    <x v="0"/>
    <s v="Start_and_Finish_Production"/>
    <m/>
    <n v="420"/>
    <n v="420"/>
    <m/>
    <m/>
    <m/>
    <m/>
  </r>
  <r>
    <d v="2026-07-17T00:00:00"/>
    <x v="4"/>
    <s v="Book_Cooler"/>
    <x v="14"/>
    <x v="1"/>
    <s v="Breakdowns"/>
    <m/>
    <n v="140"/>
    <n v="140"/>
    <m/>
    <s v="TBM"/>
    <s v="DRIVES &amp; PT"/>
    <m/>
  </r>
  <r>
    <d v="2026-07-17T00:00:00"/>
    <x v="0"/>
    <s v="Full_Line"/>
    <x v="8"/>
    <x v="0"/>
    <s v="Changeovers"/>
    <m/>
    <n v="60"/>
    <n v="60"/>
    <m/>
    <m/>
    <m/>
    <m/>
  </r>
  <r>
    <d v="2026-07-18T00:00:00"/>
    <x v="5"/>
    <s v="Oven"/>
    <x v="53"/>
    <x v="1"/>
    <s v="Breakdowns"/>
    <m/>
    <n v="45"/>
    <n v="45"/>
    <m/>
    <s v="ABH"/>
    <s v="DRIVES &amp; PT"/>
    <m/>
  </r>
  <r>
    <d v="2026-07-18T00:00:00"/>
    <x v="2"/>
    <s v="TTLI2_"/>
    <x v="90"/>
    <x v="1"/>
    <s v="Breakdowns"/>
    <m/>
    <n v="80"/>
    <n v="20"/>
    <m/>
    <m/>
    <m/>
    <m/>
  </r>
  <r>
    <d v="2026-07-18T00:00:00"/>
    <x v="2"/>
    <s v="TTLI2_"/>
    <x v="91"/>
    <x v="1"/>
    <s v="Operational_Losses"/>
    <m/>
    <n v="100"/>
    <n v="25"/>
    <m/>
    <m/>
    <m/>
    <m/>
  </r>
  <r>
    <d v="2026-07-19T00:00:00"/>
    <x v="5"/>
    <s v="Oven"/>
    <x v="88"/>
    <x v="1"/>
    <s v="Breakdowns"/>
    <m/>
    <n v="90"/>
    <n v="90"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  <r>
    <m/>
    <x v="14"/>
    <m/>
    <x v="55"/>
    <x v="2"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1">
  <r>
    <d v="2025-12-29T00:00:00"/>
    <s v="Monday"/>
    <x v="0"/>
    <n v="33.4"/>
    <n v="14"/>
    <n v="21.4"/>
    <n v="0.41916167664670662"/>
    <n v="0.64071856287425144"/>
    <m/>
    <m/>
    <m/>
    <m/>
    <n v="3.5000000000000003E-2"/>
    <m/>
    <m/>
    <m/>
    <n v="1"/>
    <n v="1"/>
    <n v="24"/>
    <m/>
    <m/>
    <n v="9"/>
    <m/>
    <m/>
    <m/>
    <m/>
    <n v="15"/>
    <m/>
    <m/>
    <m/>
    <m/>
    <m/>
    <m/>
    <n v="-0.37724550898203546"/>
    <n v="0"/>
    <n v="15.377245508982035"/>
    <n v="1.0251497005988024"/>
    <m/>
    <s v="NO"/>
    <s v="NO"/>
    <n v="6"/>
    <n v="6"/>
    <n v="6"/>
    <s v=""/>
    <m/>
    <n v="0"/>
    <s v=""/>
    <n v="922.6347305389221"/>
    <n v="1"/>
    <n v="0"/>
    <m/>
    <d v="2026-01-26T00:00:00"/>
  </r>
  <r>
    <d v="2025-12-30T00:00:00"/>
    <s v="Tuesday"/>
    <x v="1"/>
    <n v="39.200000000000003"/>
    <n v="32"/>
    <n v="34.799999999999997"/>
    <n v="0.81632653061224481"/>
    <n v="0.8877551020408162"/>
    <m/>
    <m/>
    <m/>
    <m/>
    <n v="3.5000000000000003E-2"/>
    <m/>
    <m/>
    <m/>
    <n v="1"/>
    <m/>
    <n v="24"/>
    <m/>
    <m/>
    <m/>
    <n v="2"/>
    <m/>
    <m/>
    <m/>
    <n v="22"/>
    <m/>
    <n v="0.5"/>
    <m/>
    <m/>
    <m/>
    <m/>
    <n v="0.19387755102041382"/>
    <n v="0"/>
    <n v="21.306122448979586"/>
    <n v="0.96846011131725396"/>
    <m/>
    <s v="NO"/>
    <s v="NO"/>
    <n v="0"/>
    <n v="0"/>
    <m/>
    <s v=""/>
    <m/>
    <n v="0"/>
    <s v=""/>
    <n v="852.24489795918339"/>
    <n v="1"/>
    <n v="30"/>
    <m/>
    <d v="2026-01-26T00:00:00"/>
  </r>
  <r>
    <d v="2025-12-31T00:00:00"/>
    <s v="Wednesday"/>
    <x v="1"/>
    <n v="39.200000000000003"/>
    <n v="32"/>
    <n v="38.299999999999997"/>
    <n v="0.81632653061224481"/>
    <n v="0.97704081632653039"/>
    <m/>
    <m/>
    <m/>
    <m/>
    <n v="3.5000000000000003E-2"/>
    <m/>
    <m/>
    <m/>
    <n v="1"/>
    <n v="1"/>
    <n v="24"/>
    <m/>
    <m/>
    <m/>
    <m/>
    <m/>
    <m/>
    <m/>
    <n v="24"/>
    <m/>
    <m/>
    <m/>
    <m/>
    <m/>
    <m/>
    <n v="0.55102040816327147"/>
    <n v="0"/>
    <n v="23.448979591836729"/>
    <n v="0.97704081632653039"/>
    <m/>
    <s v="NO"/>
    <s v="NO"/>
    <n v="0"/>
    <n v="0"/>
    <m/>
    <s v=""/>
    <m/>
    <n v="0"/>
    <s v=""/>
    <n v="1406.9387755102036"/>
    <n v="0"/>
    <s v=""/>
    <m/>
    <d v="2026-01-26T00:00:00"/>
  </r>
  <r>
    <d v="2026-01-01T00:00:00"/>
    <s v="Thursday"/>
    <x v="1"/>
    <n v="39.200000000000003"/>
    <n v="27.5"/>
    <n v="35.5"/>
    <n v="0.70153061224489788"/>
    <n v="0.90561224489795911"/>
    <m/>
    <m/>
    <m/>
    <n v="1.756"/>
    <n v="3.5000000000000003E-2"/>
    <m/>
    <m/>
    <m/>
    <n v="0"/>
    <n v="0"/>
    <n v="24"/>
    <m/>
    <m/>
    <m/>
    <n v="1"/>
    <m/>
    <m/>
    <m/>
    <n v="23"/>
    <m/>
    <m/>
    <m/>
    <m/>
    <m/>
    <m/>
    <n v="0.19020408163265756"/>
    <n v="1.0751020408163263"/>
    <n v="21.734693877551017"/>
    <n v="0.94498669032830507"/>
    <n v="96"/>
    <s v="YES"/>
    <s v="NO"/>
    <n v="23"/>
    <n v="23"/>
    <m/>
    <s v=""/>
    <n v="13"/>
    <n v="0"/>
    <s v=""/>
    <n v="1304.081632653061"/>
    <n v="1"/>
    <n v="0"/>
    <m/>
    <d v="2026-01-26T00:00:00"/>
  </r>
  <r>
    <d v="2026-01-02T00:00:00"/>
    <s v="Friday"/>
    <x v="1"/>
    <n v="39.200000000000003"/>
    <n v="33.5"/>
    <n v="35.1"/>
    <n v="0.85459183673469374"/>
    <n v="0.89540816326530615"/>
    <m/>
    <m/>
    <m/>
    <n v="1.3859999999999999"/>
    <n v="3.5000000000000003E-2"/>
    <m/>
    <m/>
    <m/>
    <n v="1"/>
    <n v="1"/>
    <n v="24"/>
    <m/>
    <n v="1"/>
    <m/>
    <m/>
    <m/>
    <m/>
    <m/>
    <n v="23"/>
    <n v="0.18333333333333332"/>
    <m/>
    <n v="0.25"/>
    <m/>
    <m/>
    <m/>
    <n v="0.22829931972789197"/>
    <n v="0.84857142857142842"/>
    <n v="21.489795918367346"/>
    <n v="0.93433895297249325"/>
    <n v="89"/>
    <s v="YES"/>
    <s v="NO"/>
    <n v="26"/>
    <n v="26"/>
    <n v="1"/>
    <s v=""/>
    <n v="4"/>
    <n v="0"/>
    <n v="2.8879210220673648E-2"/>
    <n v="1289.3877551020407"/>
    <n v="2"/>
    <n v="13"/>
    <m/>
    <d v="2026-01-26T00:00:00"/>
  </r>
  <r>
    <d v="2026-01-03T00:00:00"/>
    <s v="Saturday"/>
    <x v="1"/>
    <n v="39.200000000000003"/>
    <n v="33.5"/>
    <n v="35.1"/>
    <n v="0.85459183673469374"/>
    <n v="0.89540816326530615"/>
    <m/>
    <m/>
    <m/>
    <n v="2.0379999999999998"/>
    <n v="3.5000000000000003E-2"/>
    <m/>
    <m/>
    <m/>
    <n v="0"/>
    <n v="0"/>
    <n v="24"/>
    <m/>
    <m/>
    <m/>
    <m/>
    <m/>
    <m/>
    <m/>
    <n v="24"/>
    <n v="0.3"/>
    <n v="0.29166666666666669"/>
    <n v="0.25"/>
    <m/>
    <m/>
    <m/>
    <n v="0.42078231292517287"/>
    <n v="1.247755102040816"/>
    <n v="21.489795918367346"/>
    <n v="0.89540816326530603"/>
    <n v="103"/>
    <s v="NO"/>
    <s v="NO"/>
    <n v="0"/>
    <n v="0"/>
    <m/>
    <s v=""/>
    <n v="2"/>
    <n v="0"/>
    <n v="3.6184668989547066E-2"/>
    <n v="998.23568136932181"/>
    <n v="3"/>
    <n v="16.833333333333332"/>
    <m/>
    <d v="2026-01-26T00:00:00"/>
  </r>
  <r>
    <d v="2026-01-04T00:00:00"/>
    <s v="Sunday"/>
    <x v="1"/>
    <n v="39.200000000000003"/>
    <n v="33.5"/>
    <n v="38.1"/>
    <n v="0.85459183673469374"/>
    <n v="0.97193877551020402"/>
    <m/>
    <m/>
    <m/>
    <n v="0.5"/>
    <n v="3.5000000000000003E-2"/>
    <m/>
    <m/>
    <m/>
    <n v="0"/>
    <n v="0"/>
    <n v="24"/>
    <m/>
    <m/>
    <m/>
    <m/>
    <m/>
    <m/>
    <m/>
    <n v="24"/>
    <m/>
    <m/>
    <m/>
    <m/>
    <m/>
    <m/>
    <n v="0.36734693877551194"/>
    <n v="0.30612244897959179"/>
    <n v="23.326530612244895"/>
    <n v="0.97193877551020391"/>
    <n v="110"/>
    <s v="YES"/>
    <s v="YES"/>
    <n v="0"/>
    <n v="0"/>
    <m/>
    <s v=""/>
    <n v="10"/>
    <n v="0"/>
    <n v="2.7462253193960489E-2"/>
    <n v="1399.5918367346937"/>
    <n v="0"/>
    <s v=""/>
    <m/>
    <d v="2026-01-26T00:00:00"/>
  </r>
  <r>
    <d v="2026-01-05T00:00:00"/>
    <s v="Monday"/>
    <x v="2"/>
    <n v="34.200000000000003"/>
    <n v="29.5"/>
    <n v="29.740486999999998"/>
    <n v="0.86257309941520466"/>
    <n v="0.86960488304093564"/>
    <m/>
    <m/>
    <m/>
    <n v="1.367"/>
    <n v="6.5000000000000002E-2"/>
    <m/>
    <m/>
    <m/>
    <n v="0"/>
    <n v="0"/>
    <n v="24"/>
    <m/>
    <m/>
    <m/>
    <n v="2"/>
    <m/>
    <m/>
    <m/>
    <n v="22"/>
    <m/>
    <m/>
    <n v="0.2"/>
    <m/>
    <m/>
    <m/>
    <n v="-2.981543859648994E-2"/>
    <n v="0.95929824561403509"/>
    <n v="20.870517192982454"/>
    <n v="0.94865987240829341"/>
    <n v="107"/>
    <s v="YES"/>
    <s v="YES"/>
    <n v="0"/>
    <n v="0"/>
    <m/>
    <s v=""/>
    <n v="20"/>
    <n v="0"/>
    <n v="2.2648083623693315E-2"/>
    <n v="1252.2310315789473"/>
    <n v="2"/>
    <n v="6"/>
    <m/>
    <d v="2026-01-26T00:00:00"/>
  </r>
  <r>
    <d v="2026-01-06T00:00:00"/>
    <s v="Tuesday"/>
    <x v="2"/>
    <n v="34.200000000000003"/>
    <n v="30"/>
    <n v="29.884616000000001"/>
    <n v="0.8771929824561403"/>
    <n v="0.87381918128654978"/>
    <m/>
    <m/>
    <m/>
    <m/>
    <n v="6.2E-2"/>
    <m/>
    <m/>
    <m/>
    <n v="15"/>
    <n v="15"/>
    <n v="24"/>
    <n v="1.8"/>
    <m/>
    <m/>
    <n v="1.5"/>
    <m/>
    <m/>
    <m/>
    <n v="20.7"/>
    <m/>
    <m/>
    <m/>
    <m/>
    <m/>
    <m/>
    <n v="-0.27166035087719465"/>
    <n v="0"/>
    <n v="20.971660350877194"/>
    <n v="1.0131236884481736"/>
    <n v="130"/>
    <s v="YES"/>
    <s v="YES"/>
    <n v="60"/>
    <n v="60"/>
    <n v="13"/>
    <s v=""/>
    <n v="47"/>
    <n v="0"/>
    <n v="1.8388357364236579E-2"/>
    <n v="1258.2996210526317"/>
    <n v="1"/>
    <n v="0"/>
    <m/>
    <d v="2026-01-26T00:00:00"/>
  </r>
  <r>
    <d v="2026-01-07T00:00:00"/>
    <s v="Wednesday"/>
    <x v="2"/>
    <n v="34.200000000000003"/>
    <n v="30"/>
    <n v="28.848798000000002"/>
    <n v="0.8771929824561403"/>
    <n v="0.84353210526315803"/>
    <m/>
    <m/>
    <m/>
    <n v="1.609"/>
    <n v="5.5E-2"/>
    <m/>
    <m/>
    <m/>
    <n v="15"/>
    <n v="15"/>
    <n v="24"/>
    <n v="1"/>
    <m/>
    <m/>
    <m/>
    <m/>
    <m/>
    <m/>
    <n v="23"/>
    <m/>
    <m/>
    <n v="1.5"/>
    <m/>
    <m/>
    <m/>
    <n v="0.12610666666666503"/>
    <n v="1.1291228070175439"/>
    <n v="20.24477052631579"/>
    <n v="0.88020741418764303"/>
    <n v="120"/>
    <s v="YES"/>
    <s v="YES"/>
    <n v="0"/>
    <n v="0"/>
    <n v="13"/>
    <s v=""/>
    <n v="15"/>
    <n v="0"/>
    <n v="1.7863720073664803E-2"/>
    <n v="1214.6862315789474"/>
    <n v="1"/>
    <n v="90"/>
    <m/>
    <d v="2026-01-26T00:00:00"/>
  </r>
  <r>
    <d v="2026-01-08T00:00:00"/>
    <s v="Thursday"/>
    <x v="2"/>
    <n v="34.200000000000003"/>
    <n v="30"/>
    <n v="32.847983999999997"/>
    <n v="0.8771929824561403"/>
    <n v="0.96046736842105251"/>
    <m/>
    <m/>
    <m/>
    <n v="1.2"/>
    <n v="5.1999999999999998E-2"/>
    <m/>
    <m/>
    <m/>
    <n v="4"/>
    <n v="4"/>
    <n v="24"/>
    <m/>
    <m/>
    <m/>
    <m/>
    <m/>
    <m/>
    <m/>
    <n v="24"/>
    <m/>
    <m/>
    <m/>
    <m/>
    <m/>
    <m/>
    <n v="0.10667789473684763"/>
    <n v="0.84210526315789469"/>
    <n v="23.051216842105259"/>
    <n v="0.9604673684210524"/>
    <n v="132"/>
    <s v="YES"/>
    <s v="YES"/>
    <n v="0"/>
    <n v="0"/>
    <n v="3"/>
    <s v=""/>
    <n v="25"/>
    <n v="0"/>
    <n v="2.5497237569060773E-2"/>
    <n v="1383.0730105263156"/>
    <n v="0"/>
    <s v=""/>
    <m/>
    <d v="2026-01-26T00:00:00"/>
  </r>
  <r>
    <d v="2026-01-09T00:00:00"/>
    <s v="Friday"/>
    <x v="2"/>
    <n v="34.200000000000003"/>
    <n v="30"/>
    <n v="24.2"/>
    <n v="0.8771929824561403"/>
    <n v="0.70760233918128645"/>
    <m/>
    <m/>
    <m/>
    <n v="1.363"/>
    <n v="4.7E-2"/>
    <m/>
    <m/>
    <m/>
    <n v="0"/>
    <n v="0"/>
    <n v="24"/>
    <m/>
    <m/>
    <m/>
    <m/>
    <m/>
    <m/>
    <m/>
    <n v="24"/>
    <m/>
    <n v="6"/>
    <m/>
    <m/>
    <m/>
    <m/>
    <n v="6.1052631578949246E-2"/>
    <n v="0.95649122807017539"/>
    <n v="16.982456140350877"/>
    <n v="0.70760233918128657"/>
    <m/>
    <s v="YES"/>
    <s v="YES"/>
    <n v="0"/>
    <n v="0"/>
    <m/>
    <s v=""/>
    <n v="12"/>
    <n v="0"/>
    <n v="2.7108655616942961E-2"/>
    <n v="169.82456140350877"/>
    <n v="1"/>
    <n v="360"/>
    <m/>
    <d v="2026-01-26T00:00:00"/>
  </r>
  <r>
    <d v="2026-01-10T00:00:00"/>
    <s v="Saturday"/>
    <x v="2"/>
    <n v="34.200000000000003"/>
    <n v="15"/>
    <n v="17"/>
    <n v="0.43859649122807015"/>
    <n v="0.49707602339181289"/>
    <m/>
    <m/>
    <m/>
    <m/>
    <n v="4.2000000000000003E-2"/>
    <m/>
    <m/>
    <m/>
    <n v="0"/>
    <n v="0"/>
    <n v="24"/>
    <m/>
    <m/>
    <n v="12"/>
    <m/>
    <m/>
    <m/>
    <m/>
    <n v="12"/>
    <m/>
    <m/>
    <m/>
    <m/>
    <m/>
    <m/>
    <n v="7.0175438596491446E-2"/>
    <n v="0"/>
    <n v="11.929824561403509"/>
    <n v="0.99415204678362568"/>
    <n v="131"/>
    <s v="YES"/>
    <s v="YES"/>
    <n v="0"/>
    <n v="0"/>
    <m/>
    <s v=""/>
    <n v="9"/>
    <n v="0"/>
    <n v="3.1372007366482497E-2"/>
    <n v="715.78947368421052"/>
    <n v="0"/>
    <s v=""/>
    <m/>
    <d v="2026-01-26T00:00:00"/>
  </r>
  <r>
    <d v="2026-01-11T00:00:00"/>
    <s v="Sunday"/>
    <x v="2"/>
    <n v="34.200000000000003"/>
    <n v="30"/>
    <n v="31.506096000000003"/>
    <n v="0.8771929824561403"/>
    <n v="0.92123087719298258"/>
    <m/>
    <m/>
    <m/>
    <n v="1.603"/>
    <n v="3.9E-2"/>
    <m/>
    <m/>
    <m/>
    <n v="1"/>
    <n v="1"/>
    <n v="24"/>
    <m/>
    <m/>
    <m/>
    <m/>
    <m/>
    <m/>
    <m/>
    <n v="24"/>
    <m/>
    <n v="0.60416666666666663"/>
    <m/>
    <m/>
    <m/>
    <m/>
    <n v="0.16137999999999764"/>
    <n v="1.1249122807017544"/>
    <n v="22.109541052631581"/>
    <n v="0.92123087719298258"/>
    <n v="107"/>
    <s v="YES"/>
    <s v="YES"/>
    <n v="2"/>
    <n v="0"/>
    <n v="1"/>
    <s v=""/>
    <n v="4"/>
    <n v="0"/>
    <n v="1.355432780847148E-2"/>
    <n v="826.95426274777867"/>
    <n v="1"/>
    <n v="36.25"/>
    <m/>
    <d v="2026-01-26T00:00:00"/>
  </r>
  <r>
    <d v="2026-01-12T00:00:00"/>
    <s v="Monday"/>
    <x v="2"/>
    <n v="34.200000000000003"/>
    <n v="30"/>
    <n v="28.5"/>
    <n v="0.8771929824561403"/>
    <n v="0.83333333333333326"/>
    <m/>
    <m/>
    <m/>
    <m/>
    <n v="3.5999999999999997E-2"/>
    <m/>
    <m/>
    <m/>
    <n v="1"/>
    <n v="1"/>
    <n v="24"/>
    <m/>
    <m/>
    <m/>
    <n v="1.1000000000000001"/>
    <m/>
    <m/>
    <m/>
    <n v="22.9"/>
    <m/>
    <n v="3"/>
    <m/>
    <m/>
    <m/>
    <m/>
    <n v="-0.10000000000000142"/>
    <n v="0"/>
    <n v="20"/>
    <n v="0.8733624454148472"/>
    <n v="94"/>
    <s v="YES"/>
    <s v="YES"/>
    <n v="1"/>
    <n v="1"/>
    <n v="1"/>
    <s v=""/>
    <n v="17"/>
    <n v="0"/>
    <n v="2.3304104824789368E-2"/>
    <n v="400"/>
    <n v="2"/>
    <n v="90"/>
    <m/>
    <d v="2026-01-26T00:00:00"/>
  </r>
  <r>
    <d v="2026-01-13T00:00:00"/>
    <s v="Tuesday"/>
    <x v="2"/>
    <n v="34.200000000000003"/>
    <n v="30"/>
    <n v="32.700000000000003"/>
    <n v="0.8771929824561403"/>
    <n v="0.95614035087719296"/>
    <m/>
    <m/>
    <m/>
    <n v="1.3620000000000001"/>
    <n v="3.5000000000000003E-2"/>
    <m/>
    <m/>
    <m/>
    <n v="0"/>
    <n v="0"/>
    <n v="24"/>
    <m/>
    <m/>
    <m/>
    <m/>
    <m/>
    <m/>
    <m/>
    <n v="24"/>
    <m/>
    <m/>
    <m/>
    <m/>
    <m/>
    <m/>
    <n v="9.6842105263156952E-2"/>
    <n v="0.95578947368421052"/>
    <n v="22.947368421052634"/>
    <n v="0.95614035087719307"/>
    <n v="100"/>
    <s v="YES"/>
    <s v="YES"/>
    <n v="46"/>
    <n v="45"/>
    <m/>
    <s v=""/>
    <n v="21"/>
    <n v="0"/>
    <n v="2.1852497096399536E-2"/>
    <n v="1376.8421052631579"/>
    <n v="0"/>
    <s v=""/>
    <m/>
    <d v="2026-01-26T00:00:00"/>
  </r>
  <r>
    <d v="2026-01-14T00:00:00"/>
    <s v="Wednesday"/>
    <x v="2"/>
    <n v="34.200000000000003"/>
    <n v="30"/>
    <n v="30"/>
    <n v="0.8771929824561403"/>
    <n v="0.8771929824561403"/>
    <m/>
    <m/>
    <m/>
    <n v="2.1269999999999998"/>
    <n v="3.5000000000000003E-2"/>
    <m/>
    <m/>
    <m/>
    <n v="0"/>
    <n v="0"/>
    <n v="24"/>
    <m/>
    <m/>
    <m/>
    <n v="1"/>
    <m/>
    <m/>
    <m/>
    <n v="23"/>
    <m/>
    <m/>
    <n v="0.45"/>
    <m/>
    <m/>
    <m/>
    <n v="4.7368421052667031E-3"/>
    <n v="1.4926315789473683"/>
    <n v="21.052631578947366"/>
    <n v="0.91533180778032031"/>
    <n v="92"/>
    <s v="YES"/>
    <s v="YES"/>
    <n v="0"/>
    <n v="0"/>
    <m/>
    <s v=""/>
    <n v="18"/>
    <n v="0"/>
    <n v="1.9628659980364532E-2"/>
    <n v="1263.1578947368421"/>
    <n v="2"/>
    <n v="13.5"/>
    <m/>
    <d v="2026-01-26T00:00:00"/>
  </r>
  <r>
    <d v="2026-01-15T00:00:00"/>
    <s v="Thursday"/>
    <x v="2"/>
    <n v="34.200000000000003"/>
    <n v="30"/>
    <n v="31.5"/>
    <n v="0.8771929824561403"/>
    <n v="0.92105263157894735"/>
    <m/>
    <m/>
    <m/>
    <m/>
    <n v="3.5000000000000003E-2"/>
    <m/>
    <m/>
    <m/>
    <n v="0"/>
    <n v="0"/>
    <n v="24"/>
    <m/>
    <m/>
    <m/>
    <n v="2.2000000000000002"/>
    <m/>
    <m/>
    <m/>
    <n v="21.8"/>
    <m/>
    <m/>
    <m/>
    <m/>
    <m/>
    <m/>
    <n v="-0.30526315789473557"/>
    <n v="0"/>
    <n v="22.105263157894736"/>
    <n v="1.0140028971511346"/>
    <n v="114"/>
    <s v="YES"/>
    <s v="YES"/>
    <n v="2"/>
    <n v="2"/>
    <m/>
    <s v=""/>
    <n v="7"/>
    <n v="0"/>
    <n v="2.3287292817679578E-2"/>
    <n v="1326.3157894736842"/>
    <n v="1"/>
    <n v="0"/>
    <m/>
    <d v="2026-01-26T00:00:00"/>
  </r>
  <r>
    <d v="2026-01-16T00:00:00"/>
    <s v="Friday"/>
    <x v="1"/>
    <n v="39.200000000000003"/>
    <n v="32"/>
    <n v="38.6"/>
    <n v="0.81632653061224481"/>
    <n v="0.98469387755102034"/>
    <m/>
    <m/>
    <m/>
    <m/>
    <n v="3.5000000000000003E-2"/>
    <m/>
    <m/>
    <m/>
    <n v="0"/>
    <n v="0"/>
    <n v="24"/>
    <m/>
    <m/>
    <m/>
    <m/>
    <m/>
    <m/>
    <m/>
    <n v="24"/>
    <m/>
    <m/>
    <m/>
    <m/>
    <m/>
    <m/>
    <n v="0.36734693877551194"/>
    <n v="0"/>
    <n v="23.632653061224488"/>
    <n v="0.98469387755102034"/>
    <n v="119"/>
    <s v="YES"/>
    <s v="YES"/>
    <n v="0"/>
    <n v="0"/>
    <m/>
    <s v=""/>
    <n v="8"/>
    <n v="0"/>
    <n v="2.5580110497237598E-2"/>
    <n v="1417.9591836734694"/>
    <n v="0"/>
    <s v=""/>
    <m/>
    <d v="2026-01-26T00:00:00"/>
  </r>
  <r>
    <d v="2026-01-17T00:00:00"/>
    <s v="Saturday"/>
    <x v="1"/>
    <n v="39.200000000000003"/>
    <n v="32"/>
    <n v="35.200000000000003"/>
    <n v="0.81632653061224481"/>
    <n v="0.89795918367346939"/>
    <m/>
    <m/>
    <m/>
    <n v="0.2"/>
    <n v="3.5000000000000003E-2"/>
    <m/>
    <m/>
    <m/>
    <n v="0"/>
    <n v="0"/>
    <n v="24"/>
    <m/>
    <m/>
    <m/>
    <m/>
    <m/>
    <m/>
    <m/>
    <n v="24"/>
    <m/>
    <m/>
    <n v="1"/>
    <m/>
    <m/>
    <m/>
    <n v="1.3265306122448983"/>
    <n v="0.12244897959183673"/>
    <n v="21.551020408163264"/>
    <n v="0.89795918367346939"/>
    <n v="111"/>
    <s v="YES"/>
    <s v="YES"/>
    <n v="0"/>
    <n v="0"/>
    <m/>
    <s v=""/>
    <n v="35"/>
    <n v="0"/>
    <n v="3.1058931860036793E-2"/>
    <n v="1293.0612244897959"/>
    <n v="1"/>
    <n v="60"/>
    <m/>
    <d v="2026-01-26T00:00:00"/>
  </r>
  <r>
    <d v="2026-01-18T00:00:00"/>
    <s v="Sunday"/>
    <x v="1"/>
    <n v="39.200000000000003"/>
    <n v="32"/>
    <n v="32.590000000000003"/>
    <n v="0.81632653061224481"/>
    <n v="0.83137755102040822"/>
    <m/>
    <m/>
    <m/>
    <n v="1.72"/>
    <n v="3.5000000000000003E-2"/>
    <m/>
    <m/>
    <m/>
    <n v="0"/>
    <n v="0"/>
    <n v="24"/>
    <m/>
    <m/>
    <m/>
    <m/>
    <m/>
    <m/>
    <m/>
    <n v="24"/>
    <n v="0.5"/>
    <n v="1"/>
    <n v="0.75"/>
    <m/>
    <m/>
    <m/>
    <n v="0.74387755102040742"/>
    <n v="1.0530612244897959"/>
    <n v="19.953061224489797"/>
    <n v="0.83137755102040822"/>
    <n v="97"/>
    <s v="YES"/>
    <s v="YES"/>
    <n v="0"/>
    <n v="0"/>
    <m/>
    <s v=""/>
    <n v="2"/>
    <n v="0"/>
    <n v="1.8075506445672185E-2"/>
    <n v="598.59183673469397"/>
    <n v="4"/>
    <n v="33.75"/>
    <m/>
    <d v="2026-01-26T00:00:00"/>
  </r>
  <r>
    <d v="2026-01-19T00:00:00"/>
    <s v="Monday"/>
    <x v="1"/>
    <n v="39.200000000000003"/>
    <n v="32"/>
    <n v="31.8"/>
    <n v="0.81632653061224481"/>
    <n v="0.81122448979591821"/>
    <m/>
    <m/>
    <m/>
    <n v="2.048"/>
    <n v="3.5000000000000003E-2"/>
    <m/>
    <m/>
    <m/>
    <n v="3"/>
    <n v="3"/>
    <n v="24"/>
    <m/>
    <m/>
    <m/>
    <m/>
    <m/>
    <m/>
    <m/>
    <n v="24"/>
    <n v="1"/>
    <n v="0.5"/>
    <n v="1"/>
    <m/>
    <m/>
    <m/>
    <n v="0.77673469387755034"/>
    <n v="1.2538775510204081"/>
    <n v="19.469387755102041"/>
    <n v="0.81122448979591832"/>
    <n v="84"/>
    <s v="YES"/>
    <s v="YES"/>
    <n v="3"/>
    <n v="0"/>
    <m/>
    <s v=""/>
    <n v="7"/>
    <n v="0"/>
    <n v="2.0856353591160254E-2"/>
    <n v="778.77551020408157"/>
    <n v="3"/>
    <n v="50"/>
    <m/>
    <d v="2026-01-26T00:00:00"/>
  </r>
  <r>
    <d v="2026-01-20T00:00:00"/>
    <s v="Tuesday"/>
    <x v="1"/>
    <n v="39.200000000000003"/>
    <n v="32"/>
    <n v="36.36"/>
    <n v="0.81632653061224481"/>
    <n v="0.92755102040816306"/>
    <m/>
    <m/>
    <m/>
    <n v="2.1230000000000002"/>
    <n v="3.5000000000000003E-2"/>
    <m/>
    <m/>
    <m/>
    <n v="0"/>
    <n v="0"/>
    <n v="24"/>
    <m/>
    <m/>
    <m/>
    <m/>
    <m/>
    <m/>
    <m/>
    <n v="24"/>
    <m/>
    <n v="0.2"/>
    <m/>
    <m/>
    <m/>
    <m/>
    <n v="0.23897959183673834"/>
    <n v="1.2997959183673469"/>
    <n v="22.261224489795914"/>
    <n v="0.92755102040816306"/>
    <n v="102"/>
    <s v="YES"/>
    <s v="YES"/>
    <n v="0"/>
    <n v="0"/>
    <m/>
    <s v=""/>
    <n v="17"/>
    <n v="0"/>
    <n v="2.8775322283609576E-2"/>
    <n v="1113.0612244897959"/>
    <n v="1"/>
    <n v="12"/>
    <m/>
    <d v="2026-01-26T00:00:00"/>
  </r>
  <r>
    <d v="2026-01-21T00:00:00"/>
    <s v="Wednesday"/>
    <x v="3"/>
    <n v="24.5"/>
    <n v="6"/>
    <n v="8"/>
    <n v="0.48979591836734698"/>
    <n v="0.65306122448979598"/>
    <m/>
    <n v="12"/>
    <m/>
    <n v="0.2"/>
    <n v="3.5000000000000003E-2"/>
    <m/>
    <m/>
    <m/>
    <n v="0"/>
    <n v="0"/>
    <n v="12"/>
    <m/>
    <m/>
    <n v="4"/>
    <m/>
    <m/>
    <m/>
    <m/>
    <n v="8"/>
    <m/>
    <m/>
    <m/>
    <m/>
    <m/>
    <m/>
    <n v="-3.2653061224490187E-2"/>
    <n v="0.19591836734693879"/>
    <n v="7.8367346938775517"/>
    <n v="0.97959183673469397"/>
    <n v="96"/>
    <s v="YES"/>
    <s v="YES"/>
    <n v="18"/>
    <n v="18"/>
    <m/>
    <s v=""/>
    <n v="13"/>
    <n v="0"/>
    <n v="2.2812174013831472E-2"/>
    <n v="470.20408163265313"/>
    <n v="1"/>
    <n v="0"/>
    <m/>
    <d v="2026-01-26T00:00:00"/>
  </r>
  <r>
    <d v="2026-01-22T00:00:00"/>
    <s v="Thursday"/>
    <x v="3"/>
    <n v="24.5"/>
    <n v="20"/>
    <n v="21.160000000000004"/>
    <n v="0.81632653061224503"/>
    <n v="0.86367346938775535"/>
    <m/>
    <m/>
    <m/>
    <n v="1.2"/>
    <n v="3.5000000000000003E-2"/>
    <m/>
    <m/>
    <m/>
    <n v="0"/>
    <n v="0"/>
    <n v="24"/>
    <m/>
    <m/>
    <m/>
    <m/>
    <m/>
    <m/>
    <m/>
    <n v="24"/>
    <n v="0.7"/>
    <m/>
    <n v="1"/>
    <m/>
    <m/>
    <m/>
    <n v="0.39632653061224232"/>
    <n v="1.1755102040816328"/>
    <n v="20.728163265306126"/>
    <n v="0.86367346938775524"/>
    <n v="131"/>
    <s v="YES"/>
    <s v="YES"/>
    <n v="0"/>
    <n v="0"/>
    <m/>
    <s v=""/>
    <n v="6"/>
    <n v="1"/>
    <s v=""/>
    <n v="1243.6897959183675"/>
    <n v="1"/>
    <n v="102"/>
    <m/>
    <d v="2026-01-26T00:00:00"/>
  </r>
  <r>
    <d v="2026-01-23T00:00:00"/>
    <s v="Friday"/>
    <x v="3"/>
    <n v="24.5"/>
    <n v="20"/>
    <n v="17.600000000000001"/>
    <n v="0.81632653061224503"/>
    <n v="0.71836734693877558"/>
    <m/>
    <m/>
    <m/>
    <n v="2.1309999999999998"/>
    <n v="3.4000000000000002E-2"/>
    <m/>
    <m/>
    <m/>
    <n v="0"/>
    <n v="0"/>
    <n v="24"/>
    <m/>
    <m/>
    <m/>
    <m/>
    <m/>
    <m/>
    <m/>
    <n v="24"/>
    <n v="1"/>
    <m/>
    <m/>
    <m/>
    <m/>
    <n v="3"/>
    <n v="0.67167346938775196"/>
    <n v="2.0875102040816325"/>
    <n v="17.240816326530616"/>
    <n v="0.71836734693877569"/>
    <n v="130"/>
    <s v="YES"/>
    <s v="YES"/>
    <n v="0"/>
    <n v="0"/>
    <m/>
    <s v=""/>
    <n v="10"/>
    <n v="0"/>
    <s v=""/>
    <n v="1034.4489795918371"/>
    <n v="1"/>
    <n v="240"/>
    <m/>
    <d v="2026-01-26T00:00:00"/>
  </r>
  <r>
    <d v="2026-01-24T00:00:00"/>
    <s v="Saturday"/>
    <x v="3"/>
    <n v="24.5"/>
    <n v="20"/>
    <n v="16.100000000000001"/>
    <n v="0.81632653061224503"/>
    <n v="0.65714285714285725"/>
    <m/>
    <m/>
    <m/>
    <n v="1.726"/>
    <m/>
    <m/>
    <m/>
    <m/>
    <n v="0"/>
    <n v="0"/>
    <n v="24"/>
    <m/>
    <n v="1"/>
    <m/>
    <m/>
    <m/>
    <m/>
    <m/>
    <n v="23"/>
    <n v="1"/>
    <n v="1"/>
    <n v="0.5"/>
    <m/>
    <m/>
    <m/>
    <n v="3.0377959183673457"/>
    <n v="1.6907755102040818"/>
    <n v="15.771428571428574"/>
    <n v="0.68571428571428583"/>
    <n v="121"/>
    <s v="YES"/>
    <s v="YES"/>
    <n v="0"/>
    <n v="0"/>
    <m/>
    <s v=""/>
    <n v="8"/>
    <n v="0"/>
    <s v=""/>
    <n v="473.14285714285722"/>
    <n v="2"/>
    <n v="75"/>
    <m/>
    <d v="2026-01-26T00:00:00"/>
  </r>
  <r>
    <d v="2026-01-25T00:00:00"/>
    <s v="Sunday"/>
    <x v="3"/>
    <n v="24.5"/>
    <n v="20"/>
    <n v="13.59"/>
    <n v="0.81632653061224503"/>
    <n v="0.55469387755102051"/>
    <m/>
    <m/>
    <m/>
    <n v="1.6359999999999999"/>
    <m/>
    <m/>
    <m/>
    <m/>
    <n v="0"/>
    <n v="0"/>
    <n v="24"/>
    <n v="2"/>
    <m/>
    <n v="3"/>
    <m/>
    <m/>
    <m/>
    <n v="2"/>
    <n v="17"/>
    <n v="1"/>
    <m/>
    <m/>
    <m/>
    <m/>
    <m/>
    <n v="1.0847346938775502"/>
    <n v="1.6026122448979592"/>
    <n v="13.312653061224491"/>
    <n v="0.78309723889555827"/>
    <n v="125"/>
    <s v="YES"/>
    <s v="YES"/>
    <n v="0"/>
    <n v="0"/>
    <m/>
    <s v=""/>
    <n v="4"/>
    <n v="0"/>
    <s v=""/>
    <n v="798.75918367346947"/>
    <n v="0"/>
    <s v=""/>
    <m/>
    <d v="2026-01-26T00:00:00"/>
  </r>
  <r>
    <d v="2026-01-26T00:00:00"/>
    <s v="Monday"/>
    <x v="4"/>
    <s v=""/>
    <m/>
    <m/>
    <s v=""/>
    <s v=""/>
    <m/>
    <m/>
    <m/>
    <n v="0"/>
    <m/>
    <m/>
    <m/>
    <m/>
    <n v="0"/>
    <n v="0"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n v="7"/>
    <n v="0"/>
    <s v=""/>
    <n v="1"/>
    <n v="0"/>
    <s v=""/>
    <m/>
    <d v="2026-01-26T00:00:00"/>
  </r>
  <r>
    <d v="2026-01-27T00:00:00"/>
    <s v="Tuesday"/>
    <x v="1"/>
    <n v="39.200000000000003"/>
    <n v="15"/>
    <n v="13.3"/>
    <n v="0.38265306122448978"/>
    <n v="0.33928571428571425"/>
    <m/>
    <m/>
    <m/>
    <n v="1.8660000000000001"/>
    <n v="3.5000000000000003E-2"/>
    <m/>
    <m/>
    <m/>
    <n v="0"/>
    <n v="0"/>
    <n v="24"/>
    <m/>
    <m/>
    <n v="2"/>
    <n v="1"/>
    <m/>
    <m/>
    <n v="4"/>
    <n v="17"/>
    <m/>
    <n v="7.6"/>
    <m/>
    <m/>
    <m/>
    <m/>
    <n v="0.11469387755102112"/>
    <n v="1.1424489795918367"/>
    <n v="8.1428571428571423"/>
    <n v="0.47899159663865543"/>
    <n v="111"/>
    <s v="YES"/>
    <s v="YES"/>
    <n v="0"/>
    <n v="0"/>
    <m/>
    <s v=""/>
    <n v="26"/>
    <n v="0"/>
    <n v="4.8388501742160236E-2"/>
    <n v="64.285714285714278"/>
    <n v="1"/>
    <n v="456"/>
    <m/>
    <d v="2026-01-26T00:00:00"/>
  </r>
  <r>
    <d v="2026-01-28T00:00:00"/>
    <s v="Wednesday"/>
    <x v="1"/>
    <n v="39.200000000000003"/>
    <n v="32"/>
    <n v="29.509999999999998"/>
    <n v="0.81632653061224481"/>
    <n v="0.75280612244897949"/>
    <m/>
    <m/>
    <m/>
    <n v="1.94"/>
    <n v="3.5000000000000003E-2"/>
    <m/>
    <m/>
    <m/>
    <n v="0"/>
    <n v="0"/>
    <n v="24"/>
    <n v="2"/>
    <m/>
    <m/>
    <m/>
    <m/>
    <m/>
    <m/>
    <n v="22"/>
    <n v="1"/>
    <n v="1.5"/>
    <m/>
    <m/>
    <m/>
    <m/>
    <n v="0.24489795918367463"/>
    <n v="1.1877551020408161"/>
    <n v="18.067346938775508"/>
    <n v="0.82124304267161397"/>
    <n v="137"/>
    <s v="YES"/>
    <s v="YES"/>
    <n v="18"/>
    <n v="18"/>
    <m/>
    <s v=""/>
    <n v="18"/>
    <n v="0"/>
    <n v="3.1713124274099891E-2"/>
    <n v="722.69387755102025"/>
    <n v="1"/>
    <n v="150"/>
    <m/>
    <d v="2026-01-26T00:00:00"/>
  </r>
  <r>
    <d v="2026-01-29T00:00:00"/>
    <s v="Thursday"/>
    <x v="1"/>
    <n v="39.200000000000003"/>
    <n v="32"/>
    <n v="28.71"/>
    <n v="0.81632653061224481"/>
    <n v="0.73239795918367345"/>
    <m/>
    <m/>
    <m/>
    <n v="1.8440000000000001"/>
    <n v="3.4000000000000002E-2"/>
    <m/>
    <m/>
    <m/>
    <n v="0"/>
    <n v="0"/>
    <n v="24"/>
    <n v="2"/>
    <m/>
    <m/>
    <n v="1"/>
    <m/>
    <m/>
    <m/>
    <n v="21"/>
    <m/>
    <n v="2"/>
    <m/>
    <m/>
    <m/>
    <m/>
    <n v="0.29346938775510267"/>
    <n v="1.1289795918367347"/>
    <n v="17.577551020408162"/>
    <n v="0.83702623906705531"/>
    <n v="153"/>
    <s v="YES"/>
    <s v="YES"/>
    <n v="0"/>
    <n v="0"/>
    <m/>
    <s v=""/>
    <m/>
    <n v="0"/>
    <s v=""/>
    <n v="527.32653061224482"/>
    <n v="4"/>
    <n v="30"/>
    <m/>
    <d v="2026-01-26T00:00:00"/>
  </r>
  <r>
    <d v="2026-01-30T00:00:00"/>
    <s v="Friday"/>
    <x v="1"/>
    <n v="39.200000000000003"/>
    <n v="32"/>
    <n v="34.1"/>
    <n v="0.81632653061224481"/>
    <n v="0.86989795918367341"/>
    <m/>
    <m/>
    <m/>
    <n v="2.2000000000000002"/>
    <n v="3.4000000000000002E-2"/>
    <m/>
    <m/>
    <m/>
    <n v="0"/>
    <n v="0"/>
    <n v="24"/>
    <m/>
    <n v="0.6"/>
    <m/>
    <m/>
    <m/>
    <m/>
    <m/>
    <n v="23.4"/>
    <m/>
    <n v="1"/>
    <m/>
    <m/>
    <m/>
    <m/>
    <n v="0.17551020408163254"/>
    <n v="1.346938775510204"/>
    <n v="20.877551020408163"/>
    <n v="0.89220303506017795"/>
    <n v="159"/>
    <s v="YES"/>
    <s v="YES"/>
    <n v="1"/>
    <n v="0"/>
    <m/>
    <s v=""/>
    <m/>
    <n v="0"/>
    <n v="2.813075506445668E-2"/>
    <n v="626.32653061224482"/>
    <n v="2"/>
    <n v="30"/>
    <m/>
    <d v="2026-01-26T00:00:00"/>
  </r>
  <r>
    <d v="2026-01-31T00:00:00"/>
    <s v="Saturday"/>
    <x v="1"/>
    <n v="39.200000000000003"/>
    <n v="32"/>
    <n v="29.3"/>
    <n v="0.81632653061224481"/>
    <n v="0.74744897959183676"/>
    <m/>
    <m/>
    <m/>
    <n v="1.7"/>
    <n v="3.4000000000000002E-2"/>
    <m/>
    <m/>
    <m/>
    <n v="0"/>
    <n v="0"/>
    <n v="24"/>
    <m/>
    <m/>
    <m/>
    <m/>
    <m/>
    <m/>
    <m/>
    <n v="24"/>
    <m/>
    <n v="4.8"/>
    <m/>
    <m/>
    <m/>
    <m/>
    <n v="0.22040816326530432"/>
    <n v="1.0408163265306121"/>
    <n v="17.938775510204081"/>
    <n v="0.74744897959183676"/>
    <n v="95"/>
    <s v="YES"/>
    <s v="YES"/>
    <n v="0"/>
    <n v="0"/>
    <m/>
    <s v=""/>
    <m/>
    <n v="0"/>
    <s v=""/>
    <n v="224.23469387755102"/>
    <n v="1"/>
    <n v="288"/>
    <m/>
    <d v="2026-01-26T00:00:00"/>
  </r>
  <r>
    <d v="2026-02-01T00:00:00"/>
    <s v="Sunday"/>
    <x v="2"/>
    <n v="34.200000000000003"/>
    <n v="27.8"/>
    <n v="29.3"/>
    <n v="0.8128654970760234"/>
    <n v="0.85672514619883045"/>
    <m/>
    <m/>
    <m/>
    <n v="1.603"/>
    <n v="3.3000000000000002E-2"/>
    <m/>
    <m/>
    <m/>
    <n v="0"/>
    <n v="0"/>
    <n v="24"/>
    <m/>
    <m/>
    <m/>
    <n v="2"/>
    <m/>
    <m/>
    <m/>
    <n v="22"/>
    <m/>
    <m/>
    <m/>
    <m/>
    <m/>
    <m/>
    <n v="0.31368421052631845"/>
    <n v="1.1249122807017544"/>
    <n v="20.561403508771928"/>
    <n v="0.934609250398724"/>
    <n v="92"/>
    <s v="YES"/>
    <s v="YES"/>
    <n v="0"/>
    <n v="0"/>
    <m/>
    <s v=""/>
    <n v="13"/>
    <n v="0"/>
    <s v=""/>
    <n v="1233.6842105263156"/>
    <n v="0"/>
    <s v=""/>
    <m/>
    <d v="2026-01-26T00:00:00"/>
  </r>
  <r>
    <d v="2026-02-02T00:00:00"/>
    <s v="Monday"/>
    <x v="2"/>
    <n v="34.200000000000003"/>
    <n v="15"/>
    <n v="20.892528000000002"/>
    <n v="0.43859649122807015"/>
    <n v="0.61089263157894746"/>
    <m/>
    <m/>
    <m/>
    <n v="1.2509999999999999"/>
    <n v="3.5999999999999997E-2"/>
    <m/>
    <m/>
    <m/>
    <n v="9"/>
    <n v="5"/>
    <n v="24"/>
    <m/>
    <m/>
    <n v="8.5"/>
    <m/>
    <m/>
    <m/>
    <m/>
    <n v="15.5"/>
    <m/>
    <m/>
    <m/>
    <m/>
    <m/>
    <m/>
    <n v="-3.9317894736843328E-2"/>
    <n v="0.87789473684210517"/>
    <n v="14.661423157894738"/>
    <n v="0.94589826825127343"/>
    <n v="91"/>
    <s v="YES"/>
    <m/>
    <n v="6"/>
    <n v="5"/>
    <m/>
    <s v=""/>
    <n v="18"/>
    <n v="0"/>
    <n v="2.9226519337016608E-2"/>
    <n v="879.68538947368427"/>
    <n v="1"/>
    <n v="0"/>
    <m/>
    <d v="2026-02-26T00:00:00"/>
  </r>
  <r>
    <d v="2026-02-03T00:00:00"/>
    <s v="Tuesday"/>
    <x v="2"/>
    <n v="34.200000000000003"/>
    <n v="28"/>
    <n v="26.46912"/>
    <n v="0.81871345029239773"/>
    <n v="0.7739508771929825"/>
    <m/>
    <m/>
    <m/>
    <n v="2.1850000000000001"/>
    <n v="3.5999999999999997E-2"/>
    <m/>
    <m/>
    <m/>
    <n v="4"/>
    <n v="5"/>
    <n v="24"/>
    <m/>
    <n v="0.5"/>
    <m/>
    <m/>
    <m/>
    <m/>
    <m/>
    <n v="23.5"/>
    <m/>
    <n v="1"/>
    <n v="1"/>
    <m/>
    <m/>
    <m/>
    <n v="1.3918456140350912"/>
    <n v="1.5333333333333332"/>
    <n v="18.574821052631577"/>
    <n v="0.7904179171332586"/>
    <n v="88"/>
    <s v="YES"/>
    <s v="YES"/>
    <n v="4"/>
    <n v="0"/>
    <n v="5"/>
    <s v=""/>
    <n v="1"/>
    <n v="0"/>
    <n v="3.0322283609576433E-2"/>
    <n v="557.24463157894729"/>
    <n v="1"/>
    <n v="120"/>
    <m/>
    <d v="2026-02-26T00:00:00"/>
  </r>
  <r>
    <d v="2026-02-04T00:00:00"/>
    <s v="Wednesday"/>
    <x v="2"/>
    <n v="34.200000000000003"/>
    <n v="28"/>
    <n v="26.854152000000003"/>
    <n v="0.81871345029239773"/>
    <n v="0.7852091228070176"/>
    <m/>
    <m/>
    <m/>
    <n v="1.68"/>
    <n v="3.5000000000000003E-2"/>
    <m/>
    <m/>
    <m/>
    <n v="0"/>
    <n v="0"/>
    <n v="24"/>
    <n v="1"/>
    <n v="0.5"/>
    <m/>
    <m/>
    <m/>
    <m/>
    <m/>
    <n v="22.5"/>
    <m/>
    <n v="0.8"/>
    <n v="1.6"/>
    <m/>
    <m/>
    <m/>
    <n v="7.6033684210525365E-2"/>
    <n v="1.1789473684210525"/>
    <n v="18.845018947368423"/>
    <n v="0.8375563976608188"/>
    <n v="89"/>
    <s v="YES"/>
    <s v="NO"/>
    <n v="0"/>
    <n v="0"/>
    <m/>
    <s v=""/>
    <n v="6"/>
    <n v="0"/>
    <n v="3.4263351749539574E-2"/>
    <n v="628.16729824561412"/>
    <n v="2"/>
    <n v="72.000000000000014"/>
    <m/>
    <d v="2026-02-26T00:00:00"/>
  </r>
  <r>
    <d v="2026-02-05T00:00:00"/>
    <s v="Thursday"/>
    <x v="2"/>
    <n v="34.200000000000003"/>
    <n v="28"/>
    <n v="24.434616000000002"/>
    <n v="0.81871345029239773"/>
    <n v="0.71446245614035098"/>
    <m/>
    <m/>
    <m/>
    <n v="1.6479999999999999"/>
    <n v="3.5999999999999997E-2"/>
    <m/>
    <m/>
    <m/>
    <n v="1"/>
    <n v="1"/>
    <n v="24"/>
    <m/>
    <n v="0.5"/>
    <m/>
    <m/>
    <m/>
    <m/>
    <m/>
    <n v="23.5"/>
    <m/>
    <n v="4"/>
    <m/>
    <m/>
    <n v="1"/>
    <m/>
    <n v="0.19640982456139966"/>
    <n v="1.1564912280701753"/>
    <n v="17.147098947368423"/>
    <n v="0.72966378499440099"/>
    <n v="90"/>
    <s v="YES"/>
    <s v="YES"/>
    <n v="0"/>
    <n v="0"/>
    <n v="1"/>
    <s v=""/>
    <n v="11"/>
    <n v="0"/>
    <n v="3.334254143646407E-2"/>
    <n v="257.20648421052636"/>
    <n v="2"/>
    <n v="150"/>
    <m/>
    <d v="2026-02-26T00:00:00"/>
  </r>
  <r>
    <d v="2026-02-06T00:00:00"/>
    <s v="Friday"/>
    <x v="2"/>
    <n v="34.200000000000003"/>
    <n v="28"/>
    <n v="25.569528000000002"/>
    <n v="0.81871345029239773"/>
    <n v="0.74764701754385976"/>
    <m/>
    <m/>
    <m/>
    <n v="1.849"/>
    <n v="4.4999999999999998E-2"/>
    <m/>
    <m/>
    <m/>
    <n v="0"/>
    <n v="0"/>
    <n v="24"/>
    <m/>
    <n v="1"/>
    <m/>
    <m/>
    <m/>
    <m/>
    <m/>
    <n v="23"/>
    <m/>
    <m/>
    <n v="1"/>
    <m/>
    <n v="2.5"/>
    <m/>
    <n v="0.25892771929824221"/>
    <n v="1.2975438596491227"/>
    <n v="17.943528421052633"/>
    <n v="0.78015340961098401"/>
    <n v="88"/>
    <s v="YES"/>
    <m/>
    <n v="18"/>
    <n v="19"/>
    <m/>
    <s v=""/>
    <n v="33"/>
    <n v="0"/>
    <n v="4.4401473296500897E-2"/>
    <n v="1076.611705263158"/>
    <n v="1"/>
    <n v="210"/>
    <m/>
    <d v="2026-02-26T00:00:00"/>
  </r>
  <r>
    <d v="2026-02-07T00:00:00"/>
    <s v="Saturday"/>
    <x v="2"/>
    <n v="34.200000000000003"/>
    <n v="28"/>
    <n v="24.286992000000001"/>
    <n v="0.81871345029239773"/>
    <n v="0.71014596491228077"/>
    <m/>
    <m/>
    <m/>
    <n v="1.823"/>
    <n v="4.4999999999999998E-2"/>
    <m/>
    <m/>
    <m/>
    <n v="7"/>
    <n v="0"/>
    <n v="24"/>
    <m/>
    <n v="1"/>
    <m/>
    <m/>
    <m/>
    <m/>
    <m/>
    <n v="23"/>
    <m/>
    <n v="4.5"/>
    <m/>
    <m/>
    <m/>
    <m/>
    <n v="0.17719859649122682"/>
    <n v="1.2792982456140349"/>
    <n v="17.043503157894737"/>
    <n v="0.74102187643020589"/>
    <n v="90"/>
    <s v="YES"/>
    <m/>
    <n v="7"/>
    <n v="5"/>
    <m/>
    <s v=""/>
    <n v="12"/>
    <n v="0"/>
    <n v="4.5027624309392243E-2"/>
    <n v="227.24670877192983"/>
    <n v="1"/>
    <n v="270"/>
    <m/>
    <d v="2026-02-26T00:00:00"/>
  </r>
  <r>
    <d v="2026-02-08T00:00:00"/>
    <s v="Sunday"/>
    <x v="2"/>
    <n v="34.200000000000003"/>
    <n v="28"/>
    <n v="27.078699999999998"/>
    <n v="0.81871345029239773"/>
    <n v="0.79177485380116941"/>
    <m/>
    <m/>
    <m/>
    <n v="1.885"/>
    <n v="4.4999999999999998E-2"/>
    <m/>
    <m/>
    <m/>
    <n v="0"/>
    <n v="0"/>
    <n v="24"/>
    <m/>
    <n v="0.5"/>
    <m/>
    <n v="2"/>
    <m/>
    <m/>
    <m/>
    <n v="21.5"/>
    <n v="0.72070131944444404"/>
    <m/>
    <m/>
    <m/>
    <m/>
    <m/>
    <n v="0.45389517178362837"/>
    <n v="1.3228070175438595"/>
    <n v="19.002596491228068"/>
    <n v="0.88384169726642181"/>
    <n v="94"/>
    <s v="YES"/>
    <m/>
    <n v="0"/>
    <n v="0"/>
    <m/>
    <s v=""/>
    <n v="10"/>
    <n v="0"/>
    <n v="3.9049030742872547E-2"/>
    <n v="1140.1557894736841"/>
    <n v="1"/>
    <n v="43.242079166666642"/>
    <m/>
    <d v="2026-02-26T00:00:00"/>
  </r>
  <r>
    <d v="2026-02-09T00:00:00"/>
    <s v="Monday"/>
    <x v="2"/>
    <n v="34.200000000000003"/>
    <n v="28"/>
    <n v="26.074651999999997"/>
    <n v="0.81871345029239773"/>
    <n v="0.76241672514619874"/>
    <m/>
    <m/>
    <m/>
    <n v="1.3069999999999999"/>
    <n v="4.4999999999999998E-2"/>
    <m/>
    <m/>
    <m/>
    <n v="0"/>
    <n v="0"/>
    <n v="24"/>
    <m/>
    <n v="0.8"/>
    <m/>
    <m/>
    <m/>
    <m/>
    <m/>
    <n v="23.2"/>
    <n v="0.45703465277777872"/>
    <m/>
    <n v="1"/>
    <m/>
    <n v="2.5"/>
    <m/>
    <n v="2.7770961257310489E-2"/>
    <n v="0.91719298245614023"/>
    <n v="18.298001403508771"/>
    <n v="0.78870695704779181"/>
    <n v="83"/>
    <s v="YES"/>
    <s v="YES"/>
    <n v="0"/>
    <n v="0"/>
    <m/>
    <s v=""/>
    <n v="17"/>
    <n v="0"/>
    <n v="3.3344947735191609E-2"/>
    <n v="1097.8800842105263"/>
    <n v="1"/>
    <n v="237.42207916666672"/>
    <m/>
    <d v="2026-02-26T00:00:00"/>
  </r>
  <r>
    <d v="2026-02-10T00:00:00"/>
    <s v="Tuesday"/>
    <x v="2"/>
    <n v="34.200000000000003"/>
    <n v="28"/>
    <n v="23.8"/>
    <n v="0.81871345029239773"/>
    <n v="0.69590643274853803"/>
    <m/>
    <m/>
    <m/>
    <n v="1.419"/>
    <n v="4.5999999999999999E-2"/>
    <m/>
    <m/>
    <m/>
    <n v="0"/>
    <n v="0"/>
    <n v="24"/>
    <m/>
    <n v="0.9"/>
    <m/>
    <m/>
    <m/>
    <m/>
    <m/>
    <n v="23.1"/>
    <n v="0.1"/>
    <m/>
    <m/>
    <n v="3.1"/>
    <n v="2.2000000000000002"/>
    <m/>
    <n v="2.4561403508798207E-3"/>
    <n v="0.99578947368421056"/>
    <n v="16.701754385964911"/>
    <n v="0.72301967038809134"/>
    <n v="64"/>
    <s v="YES"/>
    <s v="NO"/>
    <n v="0"/>
    <n v="0"/>
    <m/>
    <s v=""/>
    <n v="28"/>
    <n v="0"/>
    <n v="2.462833914053424E-2"/>
    <n v="1002.1052631578947"/>
    <n v="1"/>
    <n v="324"/>
    <m/>
    <d v="2026-02-26T00:00:00"/>
  </r>
  <r>
    <d v="2026-02-11T00:00:00"/>
    <s v="Wednesday"/>
    <x v="2"/>
    <n v="34.200000000000003"/>
    <n v="27"/>
    <n v="22.2"/>
    <n v="0.78947368421052633"/>
    <n v="0.64912280701754377"/>
    <m/>
    <m/>
    <m/>
    <n v="1.589"/>
    <n v="4.5999999999999999E-2"/>
    <n v="36"/>
    <m/>
    <n v="4"/>
    <n v="0"/>
    <n v="0"/>
    <n v="24"/>
    <n v="1"/>
    <m/>
    <m/>
    <m/>
    <m/>
    <m/>
    <m/>
    <n v="23"/>
    <n v="0.2506066666666667"/>
    <n v="5.5"/>
    <m/>
    <m/>
    <n v="0.5"/>
    <m/>
    <n v="5.5358245614037571E-2"/>
    <n v="1.1150877192982456"/>
    <n v="15.578947368421051"/>
    <n v="0.677345537757437"/>
    <n v="64"/>
    <s v="YES"/>
    <s v="NO"/>
    <n v="0"/>
    <n v="3"/>
    <m/>
    <s v=""/>
    <n v="10"/>
    <n v="0"/>
    <s v=""/>
    <n v="169.95215311004782"/>
    <n v="1"/>
    <n v="375.03640000000001"/>
    <m/>
    <d v="2026-02-26T00:00:00"/>
  </r>
  <r>
    <d v="2026-02-12T00:00:00"/>
    <s v="Thursday"/>
    <x v="2"/>
    <n v="34.200000000000003"/>
    <m/>
    <n v="24.057955999999997"/>
    <n v="0"/>
    <n v="0.70344900584795311"/>
    <m/>
    <m/>
    <m/>
    <n v="2.0710000000000002"/>
    <n v="4.5999999999999999E-2"/>
    <m/>
    <m/>
    <m/>
    <n v="0"/>
    <n v="0"/>
    <n v="24"/>
    <n v="1"/>
    <n v="0.3"/>
    <m/>
    <n v="0.5"/>
    <m/>
    <m/>
    <m/>
    <n v="22.2"/>
    <m/>
    <n v="0.6"/>
    <n v="1.1000000000000001"/>
    <m/>
    <n v="2.2000000000000002"/>
    <m/>
    <n v="-3.6109473684209803E-2"/>
    <n v="1.4533333333333334"/>
    <n v="16.882776140350874"/>
    <n v="0.76048541172751682"/>
    <n v="64"/>
    <s v="YES"/>
    <s v="NO"/>
    <n v="0"/>
    <n v="0"/>
    <m/>
    <s v=""/>
    <n v="17"/>
    <n v="0"/>
    <n v="2.0438620132057654E-2"/>
    <n v="633.10410526315775"/>
    <n v="2"/>
    <n v="117.00000000000001"/>
    <m/>
    <d v="2026-02-26T00:00:00"/>
  </r>
  <r>
    <d v="2026-02-13T00:00:00"/>
    <s v="Friday"/>
    <x v="2"/>
    <n v="34.200000000000003"/>
    <n v="28"/>
    <n v="29.1"/>
    <n v="0.81871345029239773"/>
    <n v="0.85087719298245623"/>
    <m/>
    <m/>
    <m/>
    <n v="1.774"/>
    <n v="4.7E-2"/>
    <n v="39"/>
    <m/>
    <n v="2"/>
    <n v="1"/>
    <n v="1"/>
    <n v="24"/>
    <m/>
    <n v="0.4"/>
    <m/>
    <n v="0.5"/>
    <m/>
    <m/>
    <m/>
    <n v="23.1"/>
    <m/>
    <m/>
    <n v="1.4"/>
    <m/>
    <m/>
    <m/>
    <n v="3.4035087719299639E-2"/>
    <n v="1.2449122807017543"/>
    <n v="20.421052631578949"/>
    <n v="0.88402825244930505"/>
    <n v="86"/>
    <s v="YES"/>
    <s v="NO"/>
    <n v="19"/>
    <n v="18"/>
    <m/>
    <s v=""/>
    <n v="8"/>
    <n v="0"/>
    <n v="2.7357274401473328E-2"/>
    <n v="1225.2631578947369"/>
    <n v="0"/>
    <s v=""/>
    <m/>
    <d v="2026-02-26T00:00:00"/>
  </r>
  <r>
    <d v="2026-02-14T00:00:00"/>
    <s v="Saturday"/>
    <x v="2"/>
    <n v="34.200000000000003"/>
    <n v="28"/>
    <n v="22.2"/>
    <n v="0.81871345029239773"/>
    <n v="0.64912280701754377"/>
    <m/>
    <m/>
    <m/>
    <n v="1.1639999999999999"/>
    <n v="4.5999999999999999E-2"/>
    <n v="35"/>
    <m/>
    <m/>
    <n v="6"/>
    <n v="6"/>
    <n v="24"/>
    <n v="1"/>
    <m/>
    <n v="8.5"/>
    <m/>
    <m/>
    <m/>
    <m/>
    <n v="14.5"/>
    <n v="0.25860465277777739"/>
    <n v="0.9"/>
    <n v="1.5"/>
    <m/>
    <m/>
    <m/>
    <n v="-4.554394126461986"/>
    <n v="0.81684210526315781"/>
    <n v="15.578947368421051"/>
    <n v="1.0744101633393828"/>
    <n v="88"/>
    <s v="NO"/>
    <s v="NO"/>
    <n v="5"/>
    <n v="0"/>
    <n v="6"/>
    <s v=""/>
    <n v="29"/>
    <n v="0"/>
    <n v="4.7651933701657462E-2"/>
    <n v="491.96675900277006"/>
    <n v="0"/>
    <s v=""/>
    <m/>
    <d v="2026-02-26T00:00:00"/>
  </r>
  <r>
    <d v="2026-02-15T00:00:00"/>
    <s v="Sunday"/>
    <x v="1"/>
    <n v="39.200000000000003"/>
    <n v="28"/>
    <n v="30.719088000000003"/>
    <n v="0.7142857142857143"/>
    <n v="0.78365020408163255"/>
    <m/>
    <m/>
    <m/>
    <n v="1"/>
    <n v="4.3999999999999997E-2"/>
    <n v="30"/>
    <m/>
    <m/>
    <n v="42"/>
    <n v="42"/>
    <n v="24"/>
    <m/>
    <m/>
    <m/>
    <m/>
    <m/>
    <m/>
    <m/>
    <n v="24"/>
    <m/>
    <m/>
    <n v="2.2999999999999998"/>
    <m/>
    <n v="2"/>
    <m/>
    <n v="0.28015020408163238"/>
    <n v="0.61224489795918358"/>
    <n v="18.807604897959184"/>
    <n v="0.78365020408163266"/>
    <n v="87"/>
    <s v="YES"/>
    <s v="NO"/>
    <n v="0"/>
    <n v="0"/>
    <n v="41"/>
    <s v=""/>
    <n v="18"/>
    <n v="0"/>
    <n v="4.1077348066298348E-2"/>
    <n v="1128.4562938775509"/>
    <n v="0"/>
    <s v=""/>
    <m/>
    <d v="2026-02-26T00:00:00"/>
  </r>
  <r>
    <d v="2026-02-16T00:00:00"/>
    <s v="Monday"/>
    <x v="1"/>
    <n v="39.200000000000003"/>
    <n v="28"/>
    <n v="35.720472000000001"/>
    <n v="0.7142857142857143"/>
    <n v="0.91123653061224485"/>
    <m/>
    <m/>
    <m/>
    <n v="1.5680000000000001"/>
    <n v="4.1000000000000002E-2"/>
    <n v="24"/>
    <m/>
    <n v="3"/>
    <n v="0"/>
    <n v="0"/>
    <n v="24"/>
    <m/>
    <n v="0.3"/>
    <m/>
    <m/>
    <m/>
    <m/>
    <m/>
    <n v="23.7"/>
    <m/>
    <n v="0.3"/>
    <n v="0.3"/>
    <m/>
    <m/>
    <m/>
    <n v="0.27032326530612139"/>
    <n v="0.96"/>
    <n v="21.869676734693876"/>
    <n v="0.92277117024024791"/>
    <n v="99"/>
    <s v="YES"/>
    <s v="NO"/>
    <n v="0"/>
    <n v="0"/>
    <m/>
    <s v=""/>
    <n v="12"/>
    <n v="0"/>
    <n v="4.6086556169429062E-2"/>
    <n v="1009.3696954474096"/>
    <n v="0"/>
    <s v=""/>
    <m/>
    <d v="2026-02-26T00:00:00"/>
  </r>
  <r>
    <d v="2026-02-17T00:00:00"/>
    <s v="Tuesday"/>
    <x v="1"/>
    <n v="39.200000000000003"/>
    <n v="28"/>
    <n v="36.928536000000001"/>
    <n v="0.7142857142857143"/>
    <n v="0.94205448979591822"/>
    <m/>
    <m/>
    <m/>
    <n v="1.28"/>
    <n v="0.04"/>
    <n v="21.5"/>
    <m/>
    <n v="2.5"/>
    <n v="0"/>
    <n v="0"/>
    <n v="24"/>
    <m/>
    <n v="0.4"/>
    <m/>
    <m/>
    <m/>
    <m/>
    <m/>
    <n v="23.6"/>
    <m/>
    <m/>
    <m/>
    <m/>
    <m/>
    <m/>
    <n v="0.20701877551021042"/>
    <n v="0.78367346938775506"/>
    <n v="22.609307755102037"/>
    <n v="0.95802151504669641"/>
    <n v="102"/>
    <s v="YES"/>
    <s v="NO"/>
    <n v="0"/>
    <n v="0"/>
    <m/>
    <s v=""/>
    <n v="3"/>
    <n v="0"/>
    <n v="2.6252302025782676E-2"/>
    <n v="1356.5584653061223"/>
    <n v="0"/>
    <s v=""/>
    <m/>
    <d v="2026-02-26T00:00:00"/>
  </r>
  <r>
    <d v="2026-02-18T00:00:00"/>
    <s v="Wednesday"/>
    <x v="1"/>
    <n v="39.200000000000003"/>
    <n v="28"/>
    <n v="34.985112000000001"/>
    <n v="0.7142857142857143"/>
    <n v="0.89247734693877545"/>
    <m/>
    <m/>
    <m/>
    <n v="1.4"/>
    <n v="0.04"/>
    <n v="17.5"/>
    <m/>
    <m/>
    <n v="3"/>
    <n v="3"/>
    <n v="24"/>
    <m/>
    <n v="0.3"/>
    <m/>
    <m/>
    <m/>
    <m/>
    <m/>
    <n v="23.7"/>
    <m/>
    <n v="1.25"/>
    <m/>
    <m/>
    <m/>
    <m/>
    <n v="0.17340081632653082"/>
    <n v="0.85714285714285698"/>
    <n v="21.419456326530611"/>
    <n v="0.90377452854559537"/>
    <m/>
    <s v="YES"/>
    <s v="NO"/>
    <n v="3"/>
    <n v="3"/>
    <n v="3"/>
    <s v=""/>
    <m/>
    <n v="0"/>
    <n v="3.1583793738489879E-2"/>
    <n v="1028.1339036734694"/>
    <n v="0"/>
    <s v=""/>
    <m/>
    <d v="2026-02-26T00:00:00"/>
  </r>
  <r>
    <d v="2026-02-19T00:00:00"/>
    <s v="Thursday"/>
    <x v="1"/>
    <n v="39.200000000000003"/>
    <n v="28"/>
    <n v="36.534626000000003"/>
    <n v="0.7142857142857143"/>
    <n v="0.93200576530612245"/>
    <m/>
    <m/>
    <m/>
    <n v="0.8"/>
    <n v="0.04"/>
    <n v="13"/>
    <m/>
    <m/>
    <n v="1"/>
    <n v="0"/>
    <n v="24"/>
    <m/>
    <n v="0.3"/>
    <m/>
    <m/>
    <m/>
    <m/>
    <m/>
    <n v="23.7"/>
    <m/>
    <n v="0.65"/>
    <m/>
    <m/>
    <m/>
    <m/>
    <n v="0.19206571428571806"/>
    <n v="0.48979591836734693"/>
    <n v="22.368138367346937"/>
    <n v="0.94380330663911127"/>
    <m/>
    <s v="YES"/>
    <s v="YES"/>
    <n v="0"/>
    <n v="0"/>
    <m/>
    <s v=""/>
    <n v="29"/>
    <n v="0"/>
    <n v="3.7660596377076673E-2"/>
    <n v="813.38684972170677"/>
    <n v="0"/>
    <s v=""/>
    <m/>
    <d v="2026-02-26T00:00:00"/>
  </r>
  <r>
    <d v="2026-02-20T00:00:00"/>
    <s v="Friday"/>
    <x v="1"/>
    <n v="39.200000000000003"/>
    <n v="28"/>
    <n v="35.914012999999997"/>
    <n v="0.7142857142857143"/>
    <n v="0.91617380102040791"/>
    <m/>
    <m/>
    <m/>
    <n v="1.3"/>
    <n v="0.04"/>
    <n v="18"/>
    <m/>
    <m/>
    <n v="0"/>
    <n v="0"/>
    <n v="24"/>
    <m/>
    <n v="0.4"/>
    <m/>
    <m/>
    <m/>
    <m/>
    <m/>
    <n v="23.6"/>
    <m/>
    <n v="0.6"/>
    <m/>
    <m/>
    <m/>
    <m/>
    <n v="0.21591040816327123"/>
    <n v="0.79591836734693866"/>
    <n v="21.98817122448979"/>
    <n v="0.93170217052922832"/>
    <m/>
    <s v="YES"/>
    <s v="YES"/>
    <n v="0"/>
    <n v="0"/>
    <m/>
    <s v=""/>
    <n v="18"/>
    <n v="0"/>
    <n v="3.7229965156794435E-2"/>
    <n v="824.55642091836717"/>
    <n v="0"/>
    <s v=""/>
    <m/>
    <d v="2026-02-26T00:00:00"/>
  </r>
  <r>
    <d v="2026-02-21T00:00:00"/>
    <s v="Saturday"/>
    <x v="1"/>
    <n v="39.200000000000003"/>
    <n v="28"/>
    <n v="34.729198000000004"/>
    <n v="0.7142857142857143"/>
    <n v="0.8859489285714286"/>
    <m/>
    <m/>
    <m/>
    <n v="1.2"/>
    <n v="3.9E-2"/>
    <n v="12"/>
    <m/>
    <m/>
    <n v="1"/>
    <n v="1"/>
    <n v="24"/>
    <m/>
    <m/>
    <m/>
    <n v="1"/>
    <m/>
    <m/>
    <m/>
    <n v="23"/>
    <m/>
    <n v="0.4"/>
    <n v="0.3"/>
    <m/>
    <m/>
    <m/>
    <n v="0.30253183673469408"/>
    <n v="0.73469387755102034"/>
    <n v="21.262774285714286"/>
    <n v="0.92446844720496901"/>
    <m/>
    <s v="YES"/>
    <s v="YES"/>
    <n v="2"/>
    <n v="2"/>
    <n v="1"/>
    <s v=""/>
    <n v="3"/>
    <n v="0"/>
    <n v="3.3649825783972118E-2"/>
    <n v="911.26175510204087"/>
    <n v="1"/>
    <n v="42"/>
    <m/>
    <d v="2026-02-26T00:00:00"/>
  </r>
  <r>
    <d v="2026-02-22T00:00:00"/>
    <s v="Sunday"/>
    <x v="2"/>
    <n v="34.200000000000003"/>
    <n v="32"/>
    <n v="31.5"/>
    <n v="0.93567251461988299"/>
    <n v="0.92105263157894735"/>
    <m/>
    <m/>
    <m/>
    <n v="1.2"/>
    <n v="3.9E-2"/>
    <n v="12"/>
    <m/>
    <m/>
    <m/>
    <m/>
    <n v="24"/>
    <m/>
    <m/>
    <m/>
    <n v="1"/>
    <m/>
    <m/>
    <m/>
    <n v="23"/>
    <m/>
    <m/>
    <m/>
    <m/>
    <m/>
    <m/>
    <n v="5.2631578947369917E-2"/>
    <n v="0.84210526315789469"/>
    <n v="22.105263157894736"/>
    <n v="0.9610983981693364"/>
    <m/>
    <s v="NO"/>
    <s v="YES"/>
    <n v="0"/>
    <n v="0"/>
    <m/>
    <s v=""/>
    <m/>
    <m/>
    <n v="4.2292817679558066E-2"/>
    <n v="1326.3157894736842"/>
    <n v="0"/>
    <s v=""/>
    <m/>
    <d v="2026-02-26T00:00:00"/>
  </r>
  <r>
    <d v="2026-02-23T00:00:00"/>
    <s v="Monday"/>
    <x v="2"/>
    <n v="34.200000000000003"/>
    <n v="31"/>
    <n v="32.9"/>
    <n v="0.9064327485380117"/>
    <n v="0.96198830409356728"/>
    <m/>
    <m/>
    <m/>
    <n v="1.4"/>
    <n v="3.7999999999999999E-2"/>
    <n v="13"/>
    <m/>
    <m/>
    <m/>
    <m/>
    <n v="24"/>
    <m/>
    <m/>
    <m/>
    <m/>
    <m/>
    <m/>
    <m/>
    <n v="24"/>
    <m/>
    <m/>
    <m/>
    <m/>
    <m/>
    <m/>
    <n v="-7.017543859648967E-2"/>
    <n v="0.98245614035087714"/>
    <n v="23.087719298245613"/>
    <n v="0.96198830409356717"/>
    <m/>
    <s v="YES"/>
    <s v="YES"/>
    <n v="0"/>
    <n v="0"/>
    <m/>
    <s v=""/>
    <m/>
    <m/>
    <n v="2.6169429097605851E-2"/>
    <n v="1385.2631578947369"/>
    <n v="0"/>
    <s v=""/>
    <m/>
    <d v="2026-02-26T00:00:00"/>
  </r>
  <r>
    <d v="2026-02-24T00:00:00"/>
    <s v="Tuesday"/>
    <x v="2"/>
    <n v="34.200000000000003"/>
    <n v="30"/>
    <n v="33.200000000000003"/>
    <n v="0.8771929824561403"/>
    <n v="0.97076023391812871"/>
    <m/>
    <m/>
    <m/>
    <n v="1.1000000000000001"/>
    <n v="3.6999999999999998E-2"/>
    <n v="12"/>
    <m/>
    <m/>
    <m/>
    <m/>
    <n v="24"/>
    <m/>
    <m/>
    <m/>
    <m/>
    <m/>
    <m/>
    <m/>
    <n v="24"/>
    <m/>
    <m/>
    <m/>
    <m/>
    <m/>
    <m/>
    <n v="-7.0175438596493223E-2"/>
    <n v="0.77192982456140358"/>
    <n v="23.298245614035089"/>
    <n v="0.97076023391812871"/>
    <m/>
    <s v="YES"/>
    <s v="YES"/>
    <n v="0"/>
    <n v="0"/>
    <m/>
    <s v=""/>
    <m/>
    <m/>
    <n v="2.9189686924493544E-2"/>
    <n v="1397.8947368421054"/>
    <n v="0"/>
    <s v=""/>
    <m/>
    <d v="2026-02-26T00:00:00"/>
  </r>
  <r>
    <d v="2026-02-25T00:00:00"/>
    <s v="Wednesday"/>
    <x v="2"/>
    <n v="34.200000000000003"/>
    <n v="30"/>
    <n v="26.5"/>
    <n v="0.8771929824561403"/>
    <n v="0.77485380116959068"/>
    <m/>
    <m/>
    <m/>
    <n v="1.1000000000000001"/>
    <n v="3.6999999999999998E-2"/>
    <n v="12"/>
    <m/>
    <m/>
    <m/>
    <m/>
    <n v="24"/>
    <m/>
    <m/>
    <m/>
    <m/>
    <m/>
    <m/>
    <m/>
    <n v="24"/>
    <m/>
    <m/>
    <m/>
    <m/>
    <m/>
    <m/>
    <n v="4.6315789473684212"/>
    <n v="0.77192982456140358"/>
    <n v="18.596491228070175"/>
    <n v="0.77485380116959057"/>
    <m/>
    <m/>
    <m/>
    <n v="0"/>
    <n v="0"/>
    <m/>
    <s v=""/>
    <m/>
    <m/>
    <s v=""/>
    <n v="1115.7894736842104"/>
    <n v="0"/>
    <s v=""/>
    <m/>
    <d v="2026-02-26T00:00:00"/>
  </r>
  <r>
    <d v="2026-02-26T00:00:00"/>
    <s v="Thursday"/>
    <x v="2"/>
    <n v="34.200000000000003"/>
    <n v="27"/>
    <n v="17.5"/>
    <n v="1.1842105263157894"/>
    <n v="0.76754385964912275"/>
    <m/>
    <n v="8"/>
    <m/>
    <n v="1.1000000000000001"/>
    <n v="3.5999999999999997E-2"/>
    <n v="11"/>
    <m/>
    <m/>
    <m/>
    <m/>
    <n v="16"/>
    <m/>
    <m/>
    <n v="2.2999999999999998"/>
    <m/>
    <m/>
    <m/>
    <m/>
    <n v="13.7"/>
    <m/>
    <m/>
    <m/>
    <m/>
    <m/>
    <m/>
    <n v="0.64736842105263115"/>
    <n v="0.77192982456140358"/>
    <n v="12.280701754385964"/>
    <n v="0.89640158791138425"/>
    <m/>
    <m/>
    <m/>
    <n v="0"/>
    <n v="0"/>
    <m/>
    <s v=""/>
    <m/>
    <m/>
    <s v=""/>
    <n v="736.8421052631578"/>
    <n v="0"/>
    <s v=""/>
    <m/>
    <d v="2026-02-26T00:00:00"/>
  </r>
  <r>
    <d v="2026-02-27T00:00:00"/>
    <s v="Fri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s v=""/>
    <n v="1"/>
    <n v="0"/>
    <s v=""/>
    <m/>
    <d v="2026-02-26T00:00:00"/>
  </r>
  <r>
    <d v="2026-02-28T00:00:00"/>
    <s v="Satur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4"/>
    <n v="4"/>
    <m/>
    <s v=""/>
    <m/>
    <m/>
    <s v=""/>
    <n v="1"/>
    <n v="0"/>
    <s v=""/>
    <m/>
    <d v="2026-02-26T00:00:00"/>
  </r>
  <r>
    <d v="2026-03-01T00:00:00"/>
    <s v="Sunday"/>
    <x v="4"/>
    <s v=""/>
    <m/>
    <m/>
    <s v=""/>
    <s v=""/>
    <m/>
    <m/>
    <m/>
    <m/>
    <n v="3.9E-2"/>
    <m/>
    <m/>
    <m/>
    <m/>
    <m/>
    <n v="0"/>
    <m/>
    <m/>
    <m/>
    <m/>
    <m/>
    <m/>
    <m/>
    <n v="0"/>
    <m/>
    <m/>
    <m/>
    <m/>
    <m/>
    <m/>
    <n v="0"/>
    <n v="0"/>
    <n v="0"/>
    <s v=""/>
    <n v="69"/>
    <s v="YES"/>
    <s v="YES"/>
    <n v="0"/>
    <n v="0"/>
    <m/>
    <s v=""/>
    <m/>
    <m/>
    <s v=""/>
    <n v="1"/>
    <n v="0"/>
    <s v=""/>
    <m/>
    <d v="2026-02-26T00:00:00"/>
  </r>
  <r>
    <d v="2026-03-02T00:00:00"/>
    <s v="Monday"/>
    <x v="2"/>
    <n v="34.200000000000003"/>
    <n v="4"/>
    <n v="4.3959999999999999"/>
    <n v="0.70175438596491224"/>
    <n v="0.7712280701754386"/>
    <m/>
    <n v="20"/>
    <m/>
    <m/>
    <n v="3.9E-2"/>
    <n v="10"/>
    <m/>
    <m/>
    <m/>
    <m/>
    <n v="4"/>
    <m/>
    <m/>
    <m/>
    <m/>
    <m/>
    <m/>
    <m/>
    <n v="4"/>
    <m/>
    <m/>
    <m/>
    <m/>
    <m/>
    <m/>
    <n v="0.91508771929824562"/>
    <n v="0"/>
    <n v="3.0849122807017544"/>
    <n v="0.7712280701754386"/>
    <n v="45"/>
    <s v="YES"/>
    <s v="YES"/>
    <n v="0"/>
    <n v="0"/>
    <m/>
    <s v=""/>
    <m/>
    <m/>
    <s v=""/>
    <n v="185.09473684210525"/>
    <n v="0"/>
    <s v=""/>
    <m/>
    <d v="2026-03-26T00:00:00"/>
  </r>
  <r>
    <d v="2026-03-03T00:00:00"/>
    <s v="Tuesday"/>
    <x v="2"/>
    <n v="34.200000000000003"/>
    <n v="28.6"/>
    <n v="24.200000000000003"/>
    <n v="0.83625730994152048"/>
    <n v="0.70760233918128668"/>
    <m/>
    <m/>
    <m/>
    <m/>
    <n v="3.9E-2"/>
    <n v="5"/>
    <m/>
    <n v="4.5"/>
    <m/>
    <m/>
    <n v="24"/>
    <m/>
    <m/>
    <m/>
    <m/>
    <m/>
    <m/>
    <n v="4"/>
    <n v="20"/>
    <m/>
    <m/>
    <m/>
    <m/>
    <m/>
    <m/>
    <n v="3.0175438596491198"/>
    <n v="0"/>
    <n v="16.98245614035088"/>
    <n v="0.84912280701754406"/>
    <n v="85"/>
    <s v="YES"/>
    <s v="YES"/>
    <n v="14"/>
    <n v="12"/>
    <n v="12"/>
    <s v=""/>
    <m/>
    <m/>
    <s v=""/>
    <n v="1018.9473684210528"/>
    <n v="0"/>
    <s v=""/>
    <m/>
    <d v="2026-03-26T00:00:00"/>
  </r>
  <r>
    <d v="2026-03-04T00:00:00"/>
    <s v="Wednesday"/>
    <x v="4"/>
    <m/>
    <m/>
    <m/>
    <m/>
    <m/>
    <m/>
    <m/>
    <m/>
    <m/>
    <n v="3.9E-2"/>
    <m/>
    <m/>
    <m/>
    <m/>
    <m/>
    <n v="0"/>
    <m/>
    <m/>
    <m/>
    <m/>
    <m/>
    <m/>
    <m/>
    <n v="0"/>
    <m/>
    <m/>
    <m/>
    <m/>
    <m/>
    <m/>
    <n v="0"/>
    <n v="0"/>
    <n v="0"/>
    <s v=""/>
    <n v="0"/>
    <m/>
    <m/>
    <n v="0"/>
    <n v="0"/>
    <m/>
    <s v=""/>
    <m/>
    <m/>
    <s v=""/>
    <n v="1"/>
    <n v="0"/>
    <s v=""/>
    <m/>
    <d v="2026-03-26T00:00:00"/>
  </r>
  <r>
    <d v="2026-03-05T00:00:00"/>
    <s v="Thursday"/>
    <x v="1"/>
    <n v="39.200000000000003"/>
    <n v="27.1"/>
    <n v="27.1"/>
    <n v="0.69132653061224481"/>
    <n v="0.69132653061224481"/>
    <m/>
    <m/>
    <m/>
    <n v="1"/>
    <n v="3.9E-2"/>
    <m/>
    <m/>
    <m/>
    <m/>
    <m/>
    <n v="24"/>
    <m/>
    <m/>
    <n v="2"/>
    <m/>
    <m/>
    <m/>
    <n v="4"/>
    <n v="18"/>
    <m/>
    <m/>
    <m/>
    <m/>
    <n v="0.6"/>
    <m/>
    <n v="0.19591836734693757"/>
    <n v="0.61224489795918358"/>
    <n v="16.591836734693878"/>
    <n v="0.92176870748299322"/>
    <n v="79"/>
    <s v="YES"/>
    <s v="YES"/>
    <n v="0"/>
    <n v="0"/>
    <m/>
    <s v=""/>
    <m/>
    <m/>
    <n v="1.8107734806629854E-2"/>
    <n v="995.51020408163265"/>
    <n v="1"/>
    <n v="36"/>
    <m/>
    <d v="2026-03-26T00:00:00"/>
  </r>
  <r>
    <d v="2026-03-06T00:00:00"/>
    <s v="Friday"/>
    <x v="1"/>
    <n v="39.200000000000003"/>
    <n v="30.520959999999999"/>
    <n v="30.520959999999999"/>
    <n v="0.77859591836734676"/>
    <n v="0.77859591836734676"/>
    <m/>
    <m/>
    <m/>
    <n v="1.3199999999999998"/>
    <n v="3.9E-2"/>
    <m/>
    <m/>
    <m/>
    <m/>
    <m/>
    <n v="24"/>
    <n v="1"/>
    <n v="1"/>
    <m/>
    <m/>
    <m/>
    <m/>
    <m/>
    <n v="22"/>
    <m/>
    <n v="2"/>
    <m/>
    <m/>
    <m/>
    <m/>
    <n v="0.50553469387755712"/>
    <n v="0.80816326530612226"/>
    <n v="18.686302040816322"/>
    <n v="0.84937736549165099"/>
    <n v="83"/>
    <s v="YES"/>
    <s v="YES"/>
    <n v="0"/>
    <n v="0"/>
    <m/>
    <s v=""/>
    <n v="8"/>
    <m/>
    <n v="2.233885819521178E-2"/>
    <n v="560.58906122448968"/>
    <n v="1"/>
    <n v="120"/>
    <m/>
    <d v="2026-03-26T00:00:00"/>
  </r>
  <r>
    <d v="2026-03-07T00:00:00"/>
    <s v="Saturday"/>
    <x v="1"/>
    <n v="39.200000000000003"/>
    <n v="31.857418000000003"/>
    <n v="31.857418000000003"/>
    <n v="0.81268923469387755"/>
    <n v="0.81268923469387755"/>
    <m/>
    <m/>
    <m/>
    <n v="1.4"/>
    <n v="3.9E-2"/>
    <m/>
    <m/>
    <m/>
    <m/>
    <m/>
    <n v="24"/>
    <n v="0.5"/>
    <n v="1"/>
    <m/>
    <n v="1"/>
    <m/>
    <m/>
    <m/>
    <n v="21.5"/>
    <m/>
    <n v="0.95"/>
    <m/>
    <m/>
    <m/>
    <m/>
    <n v="0.18831551020408099"/>
    <n v="0.85714285714285698"/>
    <n v="19.504541632653062"/>
    <n v="0.90718798291409586"/>
    <n v="81"/>
    <s v="YES"/>
    <s v="YES"/>
    <n v="0"/>
    <n v="0"/>
    <m/>
    <s v=""/>
    <n v="2"/>
    <m/>
    <n v="3.2680652680652705E-2"/>
    <n v="600.13974254317122"/>
    <n v="1"/>
    <n v="57"/>
    <m/>
    <d v="2026-03-26T00:00:00"/>
  </r>
  <r>
    <d v="2026-03-08T00:00:00"/>
    <s v="Sunday"/>
    <x v="1"/>
    <n v="39.200000000000003"/>
    <n v="31.326063000000001"/>
    <n v="31.326063000000001"/>
    <n v="0.79913426020408163"/>
    <n v="0.79913426020408163"/>
    <m/>
    <m/>
    <m/>
    <n v="1.5"/>
    <n v="3.9E-2"/>
    <m/>
    <m/>
    <m/>
    <m/>
    <m/>
    <n v="24"/>
    <m/>
    <m/>
    <m/>
    <m/>
    <m/>
    <m/>
    <m/>
    <n v="24"/>
    <m/>
    <n v="1.5"/>
    <n v="1.5"/>
    <m/>
    <m/>
    <m/>
    <n v="0.90241040816326645"/>
    <n v="0.91836734693877542"/>
    <n v="19.179222244897957"/>
    <n v="0.79913426020408151"/>
    <n v="88"/>
    <s v="YES"/>
    <s v="YES"/>
    <n v="0"/>
    <n v="0"/>
    <m/>
    <s v=""/>
    <m/>
    <m/>
    <n v="2.1620046620046563E-2"/>
    <n v="767.16888979591829"/>
    <n v="2"/>
    <n v="90"/>
    <m/>
    <d v="2026-03-26T00:00:00"/>
  </r>
  <r>
    <d v="2026-03-09T00:00:00"/>
    <s v="Monday"/>
    <x v="1"/>
    <n v="39.200000000000003"/>
    <n v="25.385524999999998"/>
    <n v="25.385524999999998"/>
    <n v="0.64758992346938771"/>
    <n v="0.64758992346938771"/>
    <m/>
    <m/>
    <m/>
    <n v="1.4"/>
    <n v="3.9E-2"/>
    <m/>
    <m/>
    <m/>
    <m/>
    <m/>
    <n v="24"/>
    <n v="0.5"/>
    <n v="1"/>
    <m/>
    <n v="3"/>
    <m/>
    <m/>
    <m/>
    <n v="19.5"/>
    <n v="0.5"/>
    <n v="1.1666666666666667"/>
    <n v="0.5"/>
    <m/>
    <m/>
    <m/>
    <n v="0.93403231292517219"/>
    <n v="0.85714285714285698"/>
    <n v="15.542158163265302"/>
    <n v="0.79703375196232318"/>
    <n v="76"/>
    <s v="YES"/>
    <s v="YES"/>
    <n v="0"/>
    <n v="0"/>
    <m/>
    <s v=""/>
    <m/>
    <m/>
    <n v="1.5489510489510513E-2"/>
    <n v="799.31099125364415"/>
    <n v="2"/>
    <n v="65.000000000000014"/>
    <m/>
    <d v="2026-03-26T00:00:00"/>
  </r>
  <r>
    <d v="2026-03-10T00:00:00"/>
    <s v="Tuesday"/>
    <x v="1"/>
    <n v="39.200000000000003"/>
    <n v="31.262485000000002"/>
    <n v="31.262485000000002"/>
    <n v="0.79751237244897955"/>
    <n v="0.79751237244897955"/>
    <m/>
    <m/>
    <m/>
    <n v="1.3"/>
    <n v="3.9E-2"/>
    <m/>
    <m/>
    <m/>
    <m/>
    <m/>
    <n v="24"/>
    <n v="0.5"/>
    <m/>
    <m/>
    <m/>
    <m/>
    <m/>
    <m/>
    <n v="23.5"/>
    <m/>
    <n v="2"/>
    <m/>
    <m/>
    <m/>
    <m/>
    <n v="1.563784693877551"/>
    <n v="0.79591836734693866"/>
    <n v="19.14029693877551"/>
    <n v="0.81448072079895784"/>
    <n v="87"/>
    <s v="YES"/>
    <s v="YES"/>
    <n v="0"/>
    <n v="0"/>
    <m/>
    <s v=""/>
    <m/>
    <m/>
    <n v="2.383977900552485E-2"/>
    <n v="574.20890816326528"/>
    <n v="1"/>
    <n v="120"/>
    <m/>
    <d v="2026-03-26T00:00:00"/>
  </r>
  <r>
    <d v="2026-03-11T00:00:00"/>
    <s v="Wednesday"/>
    <x v="1"/>
    <n v="39.200000000000003"/>
    <n v="33.093372000000002"/>
    <n v="33.093372000000002"/>
    <n v="0.84421867346938761"/>
    <n v="0.84421867346938761"/>
    <m/>
    <m/>
    <m/>
    <n v="1.3"/>
    <n v="3.9E-2"/>
    <m/>
    <m/>
    <m/>
    <m/>
    <m/>
    <n v="24"/>
    <m/>
    <m/>
    <m/>
    <m/>
    <m/>
    <m/>
    <m/>
    <n v="24"/>
    <n v="1"/>
    <m/>
    <n v="1.5"/>
    <m/>
    <m/>
    <m/>
    <n v="0.44283346938775736"/>
    <n v="0.79591836734693866"/>
    <n v="20.261248163265304"/>
    <n v="0.84421867346938761"/>
    <n v="92"/>
    <s v="YES"/>
    <s v="YES"/>
    <n v="0"/>
    <n v="0"/>
    <m/>
    <s v=""/>
    <m/>
    <m/>
    <n v="2.3941068139963165E-2"/>
    <n v="1215.6748897959183"/>
    <n v="0"/>
    <s v=""/>
    <m/>
    <d v="2026-03-26T00:00:00"/>
  </r>
  <r>
    <d v="2026-03-12T00:00:00"/>
    <s v="Thursday"/>
    <x v="1"/>
    <n v="39.200000000000003"/>
    <n v="32.4"/>
    <n v="32.4"/>
    <n v="0.82653061224489777"/>
    <n v="0.82653061224489777"/>
    <m/>
    <m/>
    <m/>
    <n v="1.35"/>
    <n v="3.9E-2"/>
    <m/>
    <m/>
    <m/>
    <m/>
    <m/>
    <n v="24"/>
    <m/>
    <m/>
    <m/>
    <m/>
    <m/>
    <m/>
    <m/>
    <n v="24"/>
    <m/>
    <m/>
    <m/>
    <m/>
    <m/>
    <m/>
    <n v="3.3367346938775526"/>
    <n v="0.82653061224489788"/>
    <n v="19.836734693877549"/>
    <n v="0.82653061224489788"/>
    <n v="74"/>
    <s v="YES"/>
    <s v="YES"/>
    <n v="1"/>
    <n v="0"/>
    <m/>
    <s v=""/>
    <m/>
    <m/>
    <n v="3.6878453038673993E-2"/>
    <n v="1190.204081632653"/>
    <n v="0"/>
    <s v=""/>
    <n v="5"/>
    <d v="2026-03-26T00:00:00"/>
  </r>
  <r>
    <d v="2026-03-13T00:00:00"/>
    <s v="Friday"/>
    <x v="1"/>
    <n v="39.200000000000003"/>
    <n v="30.991464000000001"/>
    <n v="30.991464000000001"/>
    <n v="0.79059857142857137"/>
    <n v="0.79059857142857137"/>
    <m/>
    <m/>
    <m/>
    <n v="1.5"/>
    <n v="3.9E-2"/>
    <m/>
    <m/>
    <m/>
    <m/>
    <m/>
    <n v="24"/>
    <m/>
    <n v="1"/>
    <m/>
    <m/>
    <m/>
    <m/>
    <m/>
    <n v="23"/>
    <n v="0.5"/>
    <n v="1.1666666666666667"/>
    <m/>
    <m/>
    <m/>
    <m/>
    <n v="1.440600272108842"/>
    <n v="0.91836734693877542"/>
    <n v="18.974365714285714"/>
    <n v="0.82497242236024848"/>
    <n v="100"/>
    <s v="YES"/>
    <s v="YES"/>
    <n v="0"/>
    <n v="0"/>
    <m/>
    <s v=""/>
    <m/>
    <m/>
    <n v="3.6022099447513757E-2"/>
    <n v="975.82452244897945"/>
    <n v="2"/>
    <n v="50"/>
    <n v="5"/>
    <d v="2026-03-26T00:00:00"/>
  </r>
  <r>
    <d v="2026-03-14T00:00:00"/>
    <s v="Saturday"/>
    <x v="2"/>
    <n v="34.200000000000003"/>
    <n v="11.530000000000001"/>
    <n v="11.530000000000001"/>
    <n v="0.33713450292397662"/>
    <n v="0.33713450292397662"/>
    <m/>
    <m/>
    <m/>
    <n v="1.3"/>
    <n v="3.9E-2"/>
    <m/>
    <m/>
    <m/>
    <m/>
    <m/>
    <n v="24"/>
    <m/>
    <m/>
    <n v="12"/>
    <m/>
    <m/>
    <m/>
    <m/>
    <n v="12"/>
    <m/>
    <n v="2"/>
    <n v="1"/>
    <m/>
    <m/>
    <m/>
    <n v="-3.5087719298250164E-3"/>
    <n v="0.91228070175438591"/>
    <n v="8.0912280701754398"/>
    <n v="0.67426900584795335"/>
    <n v="71"/>
    <s v="YES"/>
    <s v="YES"/>
    <n v="0"/>
    <n v="0"/>
    <m/>
    <s v=""/>
    <m/>
    <m/>
    <s v=""/>
    <n v="242.73684210526318"/>
    <n v="1"/>
    <n v="180"/>
    <m/>
    <d v="2026-03-26T00:00:00"/>
  </r>
  <r>
    <d v="2026-03-15T00:00:00"/>
    <s v="Sunday"/>
    <x v="2"/>
    <n v="34.200000000000003"/>
    <n v="30.7"/>
    <n v="30.7"/>
    <n v="0.89766081871345016"/>
    <n v="0.89766081871345016"/>
    <m/>
    <m/>
    <m/>
    <n v="1.54"/>
    <n v="3.9E-2"/>
    <m/>
    <m/>
    <m/>
    <m/>
    <m/>
    <n v="24"/>
    <m/>
    <m/>
    <m/>
    <m/>
    <m/>
    <m/>
    <m/>
    <n v="24"/>
    <m/>
    <n v="1.5"/>
    <m/>
    <m/>
    <m/>
    <m/>
    <n v="-0.12456140350877121"/>
    <n v="1.0807017543859649"/>
    <n v="21.543859649122805"/>
    <n v="0.89766081871345016"/>
    <n v="66"/>
    <s v="NO"/>
    <s v="NO"/>
    <n v="0"/>
    <n v="0"/>
    <m/>
    <s v=""/>
    <m/>
    <m/>
    <n v="2.593531468531475E-2"/>
    <n v="861.7543859649121"/>
    <n v="1"/>
    <n v="90"/>
    <m/>
    <d v="2026-03-26T00:00:00"/>
  </r>
  <r>
    <d v="2026-03-16T00:00:00"/>
    <s v="Monday"/>
    <x v="2"/>
    <n v="34.200000000000003"/>
    <n v="26.2"/>
    <n v="26.2"/>
    <n v="0.76608187134502914"/>
    <n v="0.76608187134502914"/>
    <m/>
    <m/>
    <m/>
    <n v="1.5"/>
    <n v="3.9E-2"/>
    <n v="26"/>
    <m/>
    <n v="4"/>
    <m/>
    <m/>
    <n v="24"/>
    <m/>
    <n v="1"/>
    <m/>
    <m/>
    <m/>
    <m/>
    <m/>
    <n v="23"/>
    <n v="0.5"/>
    <n v="1"/>
    <n v="0.33333333333333331"/>
    <m/>
    <n v="0.75"/>
    <m/>
    <n v="0.97807017543859587"/>
    <n v="1.0526315789473684"/>
    <n v="18.385964912280702"/>
    <n v="0.7993897787948131"/>
    <n v="78"/>
    <s v="YES"/>
    <s v="YES"/>
    <n v="0"/>
    <n v="0"/>
    <m/>
    <s v=""/>
    <m/>
    <m/>
    <n v="2.0052447552447603E-2"/>
    <n v="551.57894736842104"/>
    <n v="2"/>
    <n v="77.499999999999986"/>
    <m/>
    <d v="2026-03-26T00:00:00"/>
  </r>
  <r>
    <d v="2026-03-17T00:00:00"/>
    <s v="Tuesday"/>
    <x v="2"/>
    <n v="34.200000000000003"/>
    <n v="27.54"/>
    <n v="27.54"/>
    <n v="0.80526315789473679"/>
    <n v="0.80526315789473679"/>
    <m/>
    <m/>
    <m/>
    <n v="1.6999999999999997"/>
    <n v="3.9E-2"/>
    <m/>
    <m/>
    <m/>
    <m/>
    <m/>
    <n v="24"/>
    <m/>
    <n v="1"/>
    <m/>
    <m/>
    <m/>
    <m/>
    <m/>
    <n v="23"/>
    <m/>
    <n v="2.4500000000000002"/>
    <m/>
    <m/>
    <m/>
    <m/>
    <n v="3.0701754385969338E-2"/>
    <n v="1.1929824561403506"/>
    <n v="19.326315789473682"/>
    <n v="0.84027459954233397"/>
    <n v="88"/>
    <s v="YES"/>
    <s v="NO"/>
    <n v="0"/>
    <n v="0"/>
    <n v="1"/>
    <s v=""/>
    <m/>
    <m/>
    <n v="2.7638121546961311E-2"/>
    <n v="473.29752953813096"/>
    <n v="1"/>
    <n v="147"/>
    <m/>
    <d v="2026-03-26T00:00:00"/>
  </r>
  <r>
    <d v="2026-03-18T00:00:00"/>
    <s v="Wednesday"/>
    <x v="2"/>
    <n v="34.200000000000003"/>
    <n v="30.2"/>
    <n v="30.2"/>
    <n v="0.88304093567251463"/>
    <n v="0.88304093567251463"/>
    <m/>
    <m/>
    <m/>
    <n v="1.5799999999999996"/>
    <n v="3.9E-2"/>
    <n v="32"/>
    <m/>
    <n v="3"/>
    <m/>
    <m/>
    <n v="24"/>
    <m/>
    <n v="0.5"/>
    <m/>
    <m/>
    <m/>
    <m/>
    <m/>
    <n v="23.5"/>
    <m/>
    <n v="0.3"/>
    <n v="1"/>
    <m/>
    <m/>
    <m/>
    <n v="-0.10175438596490949"/>
    <n v="1.1087719298245611"/>
    <n v="21.192982456140349"/>
    <n v="0.90182904068682335"/>
    <n v="89"/>
    <s v="YES"/>
    <s v="YES"/>
    <n v="0"/>
    <n v="0"/>
    <m/>
    <s v=""/>
    <n v="87"/>
    <m/>
    <n v="2.6386946386946372E-2"/>
    <n v="978.13765182186228"/>
    <n v="3"/>
    <n v="26"/>
    <m/>
    <d v="2026-03-26T00:00:00"/>
  </r>
  <r>
    <d v="2026-03-19T00:00:00"/>
    <s v="Thursday"/>
    <x v="2"/>
    <n v="34.200000000000003"/>
    <n v="28.5"/>
    <n v="28.5"/>
    <n v="0.83333333333333326"/>
    <n v="0.83333333333333326"/>
    <m/>
    <m/>
    <m/>
    <n v="1.3600000000000003"/>
    <n v="3.9E-2"/>
    <n v="36"/>
    <m/>
    <n v="3"/>
    <m/>
    <m/>
    <n v="24"/>
    <n v="1"/>
    <m/>
    <m/>
    <m/>
    <m/>
    <m/>
    <m/>
    <n v="23"/>
    <n v="0.5"/>
    <n v="0.25"/>
    <m/>
    <m/>
    <m/>
    <m/>
    <n v="1.2956140350877199"/>
    <n v="0.95438596491228089"/>
    <n v="20"/>
    <n v="0.86956521739130432"/>
    <n v="88"/>
    <s v="YES"/>
    <s v="NO"/>
    <n v="0"/>
    <n v="0"/>
    <m/>
    <s v=""/>
    <m/>
    <m/>
    <n v="1.8420745920745996E-2"/>
    <n v="960"/>
    <n v="1"/>
    <n v="45"/>
    <m/>
    <d v="2026-03-26T00:00:00"/>
  </r>
  <r>
    <d v="2026-03-20T00:00:00"/>
    <s v="Friday"/>
    <x v="2"/>
    <n v="34.200000000000003"/>
    <n v="29"/>
    <n v="29"/>
    <n v="0.8479532163742689"/>
    <n v="0.8479532163742689"/>
    <m/>
    <m/>
    <m/>
    <n v="2.1299999999999994"/>
    <n v="3.9E-2"/>
    <m/>
    <m/>
    <m/>
    <m/>
    <m/>
    <n v="24"/>
    <m/>
    <m/>
    <m/>
    <m/>
    <n v="0.5"/>
    <m/>
    <m/>
    <n v="23.5"/>
    <m/>
    <m/>
    <n v="0.25"/>
    <m/>
    <m/>
    <m/>
    <n v="1.404385964912283"/>
    <n v="1.4947368421052627"/>
    <n v="20.350877192982455"/>
    <n v="0.86599477416946624"/>
    <n v="93"/>
    <s v="YES"/>
    <s v="YES"/>
    <n v="3"/>
    <n v="3"/>
    <m/>
    <s v=""/>
    <m/>
    <m/>
    <n v="2.5697465517907497E-2"/>
    <n v="1221.0526315789473"/>
    <n v="2"/>
    <n v="7.5"/>
    <m/>
    <d v="2026-03-26T00:00:00"/>
  </r>
  <r>
    <d v="2026-03-21T00:00:00"/>
    <s v="Saturday"/>
    <x v="2"/>
    <n v="34.200000000000003"/>
    <n v="25.16"/>
    <n v="25.16"/>
    <n v="0.73567251461988303"/>
    <n v="0.73567251461988303"/>
    <m/>
    <m/>
    <m/>
    <n v="1.3399999999999994"/>
    <n v="3.9E-2"/>
    <m/>
    <m/>
    <m/>
    <m/>
    <m/>
    <n v="24"/>
    <m/>
    <m/>
    <m/>
    <m/>
    <m/>
    <m/>
    <m/>
    <n v="24"/>
    <m/>
    <n v="3.5833333333333335"/>
    <n v="0.83333333333333337"/>
    <m/>
    <m/>
    <m/>
    <n v="0.98684210526315752"/>
    <n v="0.94035087719298205"/>
    <n v="17.656140350877191"/>
    <n v="0.73567251461988292"/>
    <n v="95"/>
    <s v="YES"/>
    <s v="YES"/>
    <n v="0"/>
    <n v="0"/>
    <m/>
    <s v=""/>
    <m/>
    <m/>
    <n v="3.8047882136279972E-2"/>
    <n v="295.63769889840876"/>
    <n v="2"/>
    <n v="132.5"/>
    <m/>
    <d v="2026-03-26T00:00:00"/>
  </r>
  <r>
    <d v="2026-03-22T00:00:00"/>
    <s v="Sunday"/>
    <x v="2"/>
    <n v="34.200000000000003"/>
    <n v="31.88"/>
    <n v="31.88"/>
    <n v="0.93216374269005853"/>
    <n v="0.93216374269005853"/>
    <m/>
    <m/>
    <m/>
    <n v="1.3"/>
    <n v="3.9E-2"/>
    <n v="40"/>
    <m/>
    <m/>
    <m/>
    <m/>
    <n v="24"/>
    <m/>
    <m/>
    <m/>
    <m/>
    <m/>
    <m/>
    <m/>
    <n v="24"/>
    <m/>
    <m/>
    <m/>
    <m/>
    <m/>
    <m/>
    <n v="0.71578947368421098"/>
    <n v="0.91228070175438591"/>
    <n v="22.371929824561402"/>
    <n v="0.93216374269005842"/>
    <n v="88"/>
    <s v="YES"/>
    <s v="YES"/>
    <n v="0"/>
    <n v="0"/>
    <m/>
    <s v=""/>
    <m/>
    <m/>
    <n v="2.2357274401473323E-2"/>
    <n v="1342.3157894736842"/>
    <n v="0"/>
    <s v=""/>
    <m/>
    <d v="2026-03-26T00:00:00"/>
  </r>
  <r>
    <d v="2026-03-23T00:00:00"/>
    <s v="Monday"/>
    <x v="5"/>
    <n v="20.9"/>
    <n v="20"/>
    <n v="20"/>
    <n v="0.95693779904306231"/>
    <n v="0.95693779904306231"/>
    <m/>
    <m/>
    <m/>
    <m/>
    <n v="3.9E-2"/>
    <n v="45"/>
    <m/>
    <m/>
    <m/>
    <m/>
    <n v="24"/>
    <m/>
    <m/>
    <m/>
    <n v="1"/>
    <m/>
    <m/>
    <m/>
    <n v="23"/>
    <m/>
    <m/>
    <m/>
    <m/>
    <m/>
    <m/>
    <n v="3.3492822966504576E-2"/>
    <n v="0"/>
    <n v="22.966507177033495"/>
    <n v="0.9985437903058042"/>
    <n v="93"/>
    <s v="YES"/>
    <s v="YES"/>
    <n v="17"/>
    <n v="17"/>
    <m/>
    <s v=""/>
    <m/>
    <m/>
    <s v=""/>
    <n v="1377.9904306220096"/>
    <n v="1"/>
    <n v="0"/>
    <m/>
    <d v="2026-03-26T00:00:00"/>
  </r>
  <r>
    <d v="2026-03-24T00:00:00"/>
    <s v="Tuesday"/>
    <x v="6"/>
    <n v="24.5"/>
    <n v="20"/>
    <n v="20"/>
    <n v="0.81632653061224503"/>
    <n v="0.81632653061224503"/>
    <m/>
    <m/>
    <m/>
    <m/>
    <n v="3.9E-2"/>
    <m/>
    <m/>
    <m/>
    <m/>
    <m/>
    <n v="24"/>
    <m/>
    <m/>
    <n v="4.4000000000000004"/>
    <m/>
    <m/>
    <m/>
    <m/>
    <n v="19.600000000000001"/>
    <m/>
    <m/>
    <m/>
    <m/>
    <m/>
    <m/>
    <n v="8.163265306123435E-3"/>
    <n v="0"/>
    <n v="19.591836734693878"/>
    <n v="0.9995835068721366"/>
    <n v="131"/>
    <s v="YES"/>
    <s v="NO"/>
    <n v="10"/>
    <n v="10"/>
    <m/>
    <s v=""/>
    <m/>
    <m/>
    <s v=""/>
    <n v="1175.5102040816328"/>
    <n v="0"/>
    <s v=""/>
    <m/>
    <d v="2026-03-26T00:00:00"/>
  </r>
  <r>
    <d v="2026-03-25T00:00:00"/>
    <s v="Wednesday"/>
    <x v="1"/>
    <n v="39.200000000000003"/>
    <n v="31.8"/>
    <n v="31.8"/>
    <n v="0.81122448979591821"/>
    <n v="0.81122448979591821"/>
    <m/>
    <m/>
    <m/>
    <n v="1.2000000000000002"/>
    <n v="3.9E-2"/>
    <m/>
    <m/>
    <m/>
    <m/>
    <m/>
    <n v="24"/>
    <m/>
    <n v="1"/>
    <m/>
    <m/>
    <m/>
    <m/>
    <m/>
    <n v="23"/>
    <m/>
    <n v="1"/>
    <m/>
    <n v="1"/>
    <m/>
    <m/>
    <n v="0.79591836734693899"/>
    <n v="0.73469387755102045"/>
    <n v="19.469387755102041"/>
    <n v="0.84649511978704528"/>
    <n v="136"/>
    <s v="YES"/>
    <s v="NO"/>
    <n v="0"/>
    <n v="0"/>
    <m/>
    <s v=""/>
    <m/>
    <m/>
    <n v="3.4318600368324112E-2"/>
    <n v="584.08163265306121"/>
    <n v="3"/>
    <n v="40"/>
    <m/>
    <d v="2026-03-26T00:00:00"/>
  </r>
  <r>
    <d v="2026-03-26T00:00:00"/>
    <s v="Thursday"/>
    <x v="1"/>
    <n v="39.200000000000003"/>
    <n v="35"/>
    <n v="35"/>
    <n v="0.89285714285714268"/>
    <n v="0.89285714285714268"/>
    <m/>
    <m/>
    <m/>
    <n v="1.6699999999999997"/>
    <n v="3.9E-2"/>
    <m/>
    <m/>
    <m/>
    <m/>
    <m/>
    <n v="24"/>
    <m/>
    <n v="1"/>
    <m/>
    <m/>
    <m/>
    <m/>
    <m/>
    <n v="23"/>
    <m/>
    <m/>
    <m/>
    <m/>
    <m/>
    <m/>
    <n v="0.54897959183673706"/>
    <n v="1.0224489795918363"/>
    <n v="21.428571428571427"/>
    <n v="0.93167701863354035"/>
    <n v="131"/>
    <s v="YES"/>
    <s v="YES"/>
    <n v="0"/>
    <n v="0"/>
    <m/>
    <s v=""/>
    <m/>
    <m/>
    <n v="2.5911602209944744E-2"/>
    <n v="1285.7142857142856"/>
    <n v="0"/>
    <s v=""/>
    <m/>
    <d v="2026-03-26T00:00:00"/>
  </r>
  <r>
    <d v="2026-03-27T00:00:00"/>
    <s v="Friday"/>
    <x v="1"/>
    <n v="39.200000000000003"/>
    <n v="33.5"/>
    <n v="36.5"/>
    <n v="0.85459183673469374"/>
    <n v="0.93112244897959173"/>
    <m/>
    <m/>
    <m/>
    <n v="1.1400000000000001"/>
    <n v="3.9E-2"/>
    <m/>
    <m/>
    <m/>
    <m/>
    <m/>
    <n v="24"/>
    <m/>
    <n v="0.5"/>
    <m/>
    <m/>
    <m/>
    <m/>
    <m/>
    <n v="23.5"/>
    <m/>
    <n v="0.25"/>
    <m/>
    <m/>
    <m/>
    <m/>
    <n v="0.20510204081633177"/>
    <n v="0.69795918367346943"/>
    <n v="22.3469387755102"/>
    <n v="0.95093356491532766"/>
    <n v="105"/>
    <s v="YES"/>
    <s v="YES"/>
    <n v="0"/>
    <n v="0"/>
    <m/>
    <s v=""/>
    <m/>
    <m/>
    <n v="2.5294659300184135E-2"/>
    <n v="1072.6530612244896"/>
    <n v="1"/>
    <n v="15"/>
    <m/>
    <d v="2026-03-26T00:00:00"/>
  </r>
  <r>
    <d v="2026-03-28T00:00:00"/>
    <s v="Saturday"/>
    <x v="1"/>
    <n v="39.200000000000003"/>
    <n v="34"/>
    <n v="34"/>
    <n v="0.86734693877551017"/>
    <n v="0.86734693877551017"/>
    <m/>
    <m/>
    <m/>
    <n v="1.6"/>
    <n v="3.9E-2"/>
    <m/>
    <m/>
    <m/>
    <m/>
    <m/>
    <n v="24"/>
    <n v="2"/>
    <m/>
    <m/>
    <m/>
    <m/>
    <m/>
    <m/>
    <n v="22"/>
    <m/>
    <m/>
    <m/>
    <m/>
    <m/>
    <m/>
    <n v="0.20408163265306101"/>
    <n v="0.97959183673469385"/>
    <n v="20.816326530612244"/>
    <n v="0.94619666048237472"/>
    <n v="111"/>
    <s v="YES"/>
    <s v="YES"/>
    <n v="0"/>
    <n v="0"/>
    <m/>
    <s v=""/>
    <m/>
    <m/>
    <n v="2.5909799224716378E-2"/>
    <n v="1248.9795918367347"/>
    <n v="0"/>
    <s v=""/>
    <m/>
    <d v="2026-03-26T00:00:00"/>
  </r>
  <r>
    <d v="2026-03-29T00:00:00"/>
    <s v="Sunday"/>
    <x v="1"/>
    <n v="39.200000000000003"/>
    <n v="37.5"/>
    <n v="37.5"/>
    <n v="0.95663265306122436"/>
    <n v="0.95663265306122436"/>
    <m/>
    <m/>
    <m/>
    <n v="1.3"/>
    <n v="3.9E-2"/>
    <m/>
    <m/>
    <m/>
    <m/>
    <m/>
    <n v="24"/>
    <m/>
    <m/>
    <m/>
    <m/>
    <m/>
    <m/>
    <m/>
    <n v="24"/>
    <m/>
    <m/>
    <m/>
    <m/>
    <m/>
    <m/>
    <n v="0.24489795918367463"/>
    <n v="0.79591836734693866"/>
    <n v="22.959183673469386"/>
    <n v="0.95663265306122447"/>
    <n v="117"/>
    <s v="YES"/>
    <s v="YES"/>
    <n v="3"/>
    <n v="2"/>
    <m/>
    <s v=""/>
    <m/>
    <m/>
    <n v="2.0530303030303041E-2"/>
    <n v="1377.5510204081631"/>
    <n v="0"/>
    <s v=""/>
    <m/>
    <d v="2026-03-26T00:00:00"/>
  </r>
  <r>
    <d v="2026-03-30T00:00:00"/>
    <s v="Monday"/>
    <x v="1"/>
    <n v="39.200000000000003"/>
    <n v="31.5"/>
    <n v="26.77"/>
    <n v="0.80357142857142849"/>
    <n v="0.68290816326530612"/>
    <m/>
    <m/>
    <m/>
    <n v="1.5499999999999998"/>
    <n v="3.9E-2"/>
    <m/>
    <m/>
    <m/>
    <m/>
    <m/>
    <n v="24"/>
    <m/>
    <m/>
    <m/>
    <m/>
    <m/>
    <m/>
    <m/>
    <n v="24"/>
    <m/>
    <n v="6.5"/>
    <m/>
    <m/>
    <m/>
    <m/>
    <n v="0.16122448979592008"/>
    <n v="0.94897959183673453"/>
    <n v="16.389795918367344"/>
    <n v="0.68290816326530601"/>
    <n v="109"/>
    <s v="YES"/>
    <s v="YES"/>
    <n v="1"/>
    <n v="0"/>
    <m/>
    <s v=""/>
    <m/>
    <m/>
    <n v="3.1005244755244778E-2"/>
    <n v="151.29042386185242"/>
    <n v="2"/>
    <n v="195"/>
    <m/>
    <d v="2026-04-26T00:00:00"/>
  </r>
  <r>
    <d v="2026-03-31T00:00:00"/>
    <s v="Tuesday"/>
    <x v="1"/>
    <n v="39.200000000000003"/>
    <n v="31.5"/>
    <n v="31.06"/>
    <n v="0.80357142857142849"/>
    <n v="0.7923469387755101"/>
    <m/>
    <m/>
    <m/>
    <n v="1.64"/>
    <n v="3.9E-2"/>
    <m/>
    <m/>
    <m/>
    <m/>
    <m/>
    <n v="24"/>
    <m/>
    <n v="0.8"/>
    <m/>
    <m/>
    <m/>
    <m/>
    <m/>
    <n v="23.2"/>
    <m/>
    <n v="3"/>
    <m/>
    <m/>
    <m/>
    <m/>
    <n v="0.17959183673469425"/>
    <n v="1.0040816326530611"/>
    <n v="19.016326530612243"/>
    <n v="0.81966924700914845"/>
    <n v="113"/>
    <s v="YES"/>
    <s v="YES"/>
    <n v="0"/>
    <n v="0"/>
    <m/>
    <s v=""/>
    <m/>
    <m/>
    <n v="3.5064456721915271E-2"/>
    <n v="380.32653061224482"/>
    <n v="2"/>
    <n v="90"/>
    <m/>
    <d v="2026-04-26T00:00:00"/>
  </r>
  <r>
    <d v="2026-04-01T00:00:00"/>
    <s v="Wednesday"/>
    <x v="1"/>
    <n v="39.200000000000003"/>
    <n v="32"/>
    <n v="35.327351999999998"/>
    <n v="0.81632653061224481"/>
    <n v="0.90120795918367336"/>
    <m/>
    <m/>
    <m/>
    <n v="1.6099999999999999"/>
    <n v="3.9E-2"/>
    <m/>
    <m/>
    <m/>
    <m/>
    <m/>
    <n v="24"/>
    <n v="1.2"/>
    <m/>
    <m/>
    <m/>
    <m/>
    <m/>
    <m/>
    <n v="22.8"/>
    <m/>
    <m/>
    <m/>
    <m/>
    <m/>
    <m/>
    <n v="0.18529469387755881"/>
    <n v="0.98571428571428554"/>
    <n v="21.628991020408158"/>
    <n v="0.94863995703544546"/>
    <n v="91"/>
    <s v="YES"/>
    <s v="YES"/>
    <n v="23"/>
    <n v="23"/>
    <m/>
    <s v=""/>
    <m/>
    <m/>
    <n v="3.6390423572743996E-2"/>
    <n v="1297.7394612244896"/>
    <n v="1"/>
    <n v="0"/>
    <m/>
    <d v="2026-04-26T00:00:00"/>
  </r>
  <r>
    <d v="2026-04-02T00:00:00"/>
    <s v="Thursday"/>
    <x v="1"/>
    <n v="39.200000000000003"/>
    <n v="31"/>
    <n v="35.055432000000003"/>
    <n v="0.79081632653061218"/>
    <n v="0.8942712244897959"/>
    <m/>
    <m/>
    <m/>
    <n v="1.6099999999999999"/>
    <n v="3.9E-2"/>
    <m/>
    <m/>
    <m/>
    <m/>
    <m/>
    <n v="24"/>
    <n v="1.3"/>
    <m/>
    <m/>
    <m/>
    <m/>
    <m/>
    <m/>
    <n v="22.7"/>
    <m/>
    <m/>
    <m/>
    <m/>
    <m/>
    <m/>
    <n v="0.25177632653061366"/>
    <n v="0.98571428571428554"/>
    <n v="21.462509387755102"/>
    <n v="0.94548499505529082"/>
    <n v="104"/>
    <s v="YES"/>
    <s v="YES"/>
    <n v="25"/>
    <n v="22"/>
    <m/>
    <s v=""/>
    <m/>
    <m/>
    <n v="2.7799263351749592E-2"/>
    <n v="1287.750563265306"/>
    <n v="0"/>
    <s v=""/>
    <m/>
    <d v="2026-04-26T00:00:00"/>
  </r>
  <r>
    <d v="2026-04-03T00:00:00"/>
    <s v="Friday"/>
    <x v="1"/>
    <n v="39.200000000000003"/>
    <n v="31"/>
    <n v="24.759552000000003"/>
    <n v="0.79081632653061218"/>
    <n v="0.63162122448979596"/>
    <m/>
    <m/>
    <m/>
    <n v="1.55"/>
    <n v="3.9E-2"/>
    <n v="2.5"/>
    <m/>
    <n v="5"/>
    <m/>
    <m/>
    <n v="24"/>
    <n v="1"/>
    <m/>
    <m/>
    <m/>
    <m/>
    <m/>
    <m/>
    <n v="23"/>
    <n v="0.4"/>
    <n v="6"/>
    <n v="0.3"/>
    <m/>
    <m/>
    <m/>
    <n v="0.19211102040816463"/>
    <n v="0.94897959183673464"/>
    <n v="15.158909387755102"/>
    <n v="0.65908301685891746"/>
    <n v="80"/>
    <s v="YES"/>
    <s v="NO"/>
    <n v="0"/>
    <n v="0"/>
    <m/>
    <s v=""/>
    <m/>
    <m/>
    <n v="2.7624309392265192E-2"/>
    <n v="151.58909387755102"/>
    <n v="2"/>
    <n v="201"/>
    <m/>
    <d v="2026-04-26T00:00:00"/>
  </r>
  <r>
    <d v="2026-04-04T00:00:00"/>
    <s v="Saturday"/>
    <x v="1"/>
    <n v="39.200000000000003"/>
    <n v="15"/>
    <n v="20.398944000000004"/>
    <n v="0.38265306122448978"/>
    <n v="0.52038122448979596"/>
    <m/>
    <m/>
    <m/>
    <n v="1.5600000000000003"/>
    <n v="4.2000000000000003E-2"/>
    <m/>
    <m/>
    <m/>
    <m/>
    <m/>
    <n v="24"/>
    <m/>
    <m/>
    <n v="10.4"/>
    <m/>
    <m/>
    <m/>
    <m/>
    <n v="13.6"/>
    <m/>
    <m/>
    <m/>
    <m/>
    <m/>
    <m/>
    <n v="0.15574857142857113"/>
    <n v="0.95510204081632655"/>
    <n v="12.489149387755102"/>
    <n v="0.91831980792316925"/>
    <n v="86"/>
    <s v="YES"/>
    <s v="NO"/>
    <n v="4"/>
    <n v="0"/>
    <m/>
    <s v=""/>
    <m/>
    <m/>
    <n v="2.8121546961325988E-2"/>
    <n v="749.34896326530611"/>
    <n v="1"/>
    <n v="0"/>
    <m/>
    <d v="2026-04-26T00:00:00"/>
  </r>
  <r>
    <d v="2026-04-05T00:00:00"/>
    <s v="Sunday"/>
    <x v="1"/>
    <n v="39.200000000000003"/>
    <n v="31"/>
    <n v="32.709504000000003"/>
    <n v="0.79081632653061218"/>
    <n v="0.83442612244897951"/>
    <m/>
    <m/>
    <m/>
    <n v="1.5999999999999996"/>
    <n v="4.2000000000000003E-2"/>
    <m/>
    <m/>
    <n v="1.7"/>
    <m/>
    <m/>
    <n v="24"/>
    <m/>
    <n v="0.5"/>
    <m/>
    <m/>
    <m/>
    <m/>
    <m/>
    <n v="23.5"/>
    <n v="1.5"/>
    <m/>
    <n v="0.75"/>
    <m/>
    <m/>
    <m/>
    <n v="0.24418122448979673"/>
    <n v="0.97959183673469352"/>
    <n v="20.026226938775508"/>
    <n v="0.85217986973512805"/>
    <n v="84"/>
    <s v="NO"/>
    <s v="NO"/>
    <n v="0"/>
    <n v="0"/>
    <m/>
    <s v=""/>
    <m/>
    <m/>
    <n v="3.5046040515653777E-2"/>
    <n v="1201.5736163265306"/>
    <n v="2"/>
    <n v="67.5"/>
    <m/>
    <d v="2026-04-26T00:00:00"/>
  </r>
  <r>
    <d v="2026-04-06T00:00:00"/>
    <s v="Monday"/>
    <x v="2"/>
    <n v="34.200000000000003"/>
    <n v="29"/>
    <n v="31.859135999999999"/>
    <n v="0.8479532163742689"/>
    <n v="0.93155368421052631"/>
    <m/>
    <m/>
    <m/>
    <n v="1.2699999999999996"/>
    <n v="4.2500000000000003E-2"/>
    <m/>
    <m/>
    <n v="1.1000000000000001"/>
    <m/>
    <m/>
    <n v="24"/>
    <n v="0.8"/>
    <m/>
    <m/>
    <m/>
    <m/>
    <m/>
    <m/>
    <n v="23.2"/>
    <m/>
    <m/>
    <m/>
    <m/>
    <m/>
    <m/>
    <n v="-4.8516491228067338E-2"/>
    <n v="0.89122807017543826"/>
    <n v="22.35728842105263"/>
    <n v="0.96367622504537198"/>
    <n v="80"/>
    <s v="YES"/>
    <s v="YES"/>
    <n v="60"/>
    <n v="60"/>
    <m/>
    <s v=""/>
    <m/>
    <m/>
    <n v="2.7066027894757261E-2"/>
    <n v="1341.4373052631577"/>
    <n v="0"/>
    <s v=""/>
    <m/>
    <d v="2026-04-26T00:00:00"/>
  </r>
  <r>
    <d v="2026-04-07T00:00:00"/>
    <s v="Tuesday"/>
    <x v="2"/>
    <n v="34.200000000000003"/>
    <n v="29"/>
    <n v="28.976726000000003"/>
    <n v="0.8479532163742689"/>
    <n v="0.84727269005847949"/>
    <m/>
    <m/>
    <m/>
    <n v="1.7200000000000002"/>
    <n v="4.2999999999999997E-2"/>
    <m/>
    <m/>
    <m/>
    <m/>
    <m/>
    <n v="24"/>
    <n v="0.4"/>
    <m/>
    <m/>
    <n v="1"/>
    <m/>
    <m/>
    <m/>
    <n v="22.6"/>
    <m/>
    <n v="0.91666666666666663"/>
    <n v="0.25"/>
    <m/>
    <m/>
    <m/>
    <n v="-0.10822877192982716"/>
    <n v="1.2070175438596493"/>
    <n v="20.334544561403511"/>
    <n v="0.89975860891165971"/>
    <n v="97"/>
    <s v="YES"/>
    <s v="YES"/>
    <n v="0"/>
    <n v="0"/>
    <m/>
    <s v=""/>
    <m/>
    <m/>
    <n v="3.573426573426583E-2"/>
    <n v="636.55965583524039"/>
    <n v="2"/>
    <n v="34.999999999999993"/>
    <m/>
    <d v="2026-04-26T00:00:00"/>
  </r>
  <r>
    <d v="2026-04-08T00:00:00"/>
    <s v="Wednesday"/>
    <x v="2"/>
    <n v="34.200000000000003"/>
    <n v="29"/>
    <n v="23.361789999999999"/>
    <n v="0.8479532163742689"/>
    <n v="0.68309327485380111"/>
    <m/>
    <m/>
    <m/>
    <n v="1.6900000000000004"/>
    <n v="4.2999999999999997E-2"/>
    <m/>
    <m/>
    <m/>
    <m/>
    <m/>
    <n v="24"/>
    <m/>
    <n v="0.5"/>
    <m/>
    <m/>
    <m/>
    <m/>
    <m/>
    <n v="23.5"/>
    <m/>
    <n v="3.4"/>
    <n v="2.5"/>
    <m/>
    <m/>
    <m/>
    <n v="1.9796491228071034E-2"/>
    <n v="1.1859649122807019"/>
    <n v="16.394238596491228"/>
    <n v="0.69762717431877563"/>
    <n v="86"/>
    <s v="YES"/>
    <s v="NO"/>
    <n v="1"/>
    <n v="1"/>
    <m/>
    <s v=""/>
    <m/>
    <m/>
    <n v="3.0821678321678314E-2"/>
    <n v="289.31009287925696"/>
    <n v="4"/>
    <n v="88.5"/>
    <m/>
    <d v="2026-04-26T00:00:00"/>
  </r>
  <r>
    <d v="2026-04-09T00:00:00"/>
    <s v="Thursday"/>
    <x v="2"/>
    <n v="34.200000000000003"/>
    <n v="29"/>
    <n v="29.498428000000001"/>
    <n v="0.8479532163742689"/>
    <n v="0.86252713450292395"/>
    <m/>
    <m/>
    <m/>
    <n v="1.75"/>
    <n v="4.2999999999999997E-2"/>
    <m/>
    <m/>
    <m/>
    <m/>
    <m/>
    <n v="24"/>
    <n v="1"/>
    <m/>
    <m/>
    <m/>
    <m/>
    <m/>
    <m/>
    <n v="23"/>
    <m/>
    <m/>
    <n v="0.5"/>
    <m/>
    <m/>
    <m/>
    <n v="0.57127859649122925"/>
    <n v="1.2280701754385965"/>
    <n v="20.700651228070175"/>
    <n v="0.9000283142639206"/>
    <n v="90"/>
    <s v="YES"/>
    <s v="YES"/>
    <n v="0"/>
    <n v="0"/>
    <m/>
    <s v=""/>
    <m/>
    <m/>
    <n v="2.1660839160839135E-2"/>
    <n v="1242.0390736842105"/>
    <n v="1"/>
    <n v="30"/>
    <m/>
    <d v="2026-04-26T00:00:00"/>
  </r>
  <r>
    <d v="2026-04-10T00:00:00"/>
    <s v="Friday"/>
    <x v="2"/>
    <n v="34.200000000000003"/>
    <n v="29"/>
    <n v="32.200000000000003"/>
    <n v="0.8479532163742689"/>
    <n v="0.94152046783625731"/>
    <m/>
    <m/>
    <m/>
    <n v="1.4"/>
    <n v="4.2999999999999997E-2"/>
    <m/>
    <m/>
    <m/>
    <m/>
    <m/>
    <n v="24"/>
    <m/>
    <m/>
    <m/>
    <m/>
    <m/>
    <m/>
    <m/>
    <n v="24"/>
    <m/>
    <n v="0.55000000000000004"/>
    <m/>
    <m/>
    <m/>
    <m/>
    <n v="-0.12894736842105559"/>
    <n v="0.98245614035087714"/>
    <n v="22.596491228070178"/>
    <n v="0.94152046783625742"/>
    <n v="82"/>
    <s v="YES"/>
    <s v="YES"/>
    <n v="0"/>
    <n v="0"/>
    <m/>
    <s v=""/>
    <m/>
    <m/>
    <n v="2.2365967365967365E-2"/>
    <n v="874.70288624787781"/>
    <n v="1"/>
    <n v="33"/>
    <m/>
    <d v="2026-04-26T00:00:00"/>
  </r>
  <r>
    <d v="2026-04-11T00:00:00"/>
    <s v="Saturday"/>
    <x v="2"/>
    <n v="34.200000000000003"/>
    <n v="29"/>
    <n v="28.2"/>
    <n v="1.0175438596491226"/>
    <n v="0.98947368421052628"/>
    <m/>
    <m/>
    <n v="4"/>
    <m/>
    <n v="4.2999999999999997E-2"/>
    <m/>
    <m/>
    <m/>
    <m/>
    <m/>
    <n v="20"/>
    <m/>
    <m/>
    <m/>
    <m/>
    <m/>
    <m/>
    <m/>
    <n v="20"/>
    <m/>
    <m/>
    <m/>
    <m/>
    <m/>
    <m/>
    <n v="0.21052631578947612"/>
    <n v="0"/>
    <n v="19.789473684210524"/>
    <n v="0.98947368421052617"/>
    <n v="93"/>
    <s v="YES"/>
    <s v="YES"/>
    <n v="4"/>
    <n v="0"/>
    <m/>
    <s v=""/>
    <m/>
    <m/>
    <n v="2.0947533129853618E-2"/>
    <n v="1187.3684210526314"/>
    <n v="0"/>
    <s v=""/>
    <m/>
    <d v="2026-04-26T00:00:00"/>
  </r>
  <r>
    <d v="2026-04-12T00:00:00"/>
    <s v="Sunday"/>
    <x v="2"/>
    <n v="34.200000000000003"/>
    <n v="29"/>
    <n v="29.826888000000004"/>
    <n v="0.8479532163742689"/>
    <n v="0.87213122807017551"/>
    <m/>
    <m/>
    <m/>
    <n v="0.6"/>
    <n v="4.2999999999999997E-2"/>
    <m/>
    <m/>
    <m/>
    <m/>
    <m/>
    <n v="24"/>
    <m/>
    <m/>
    <m/>
    <m/>
    <m/>
    <m/>
    <m/>
    <n v="24"/>
    <m/>
    <m/>
    <m/>
    <m/>
    <m/>
    <m/>
    <n v="2.6477978947368399"/>
    <n v="0.42105263157894735"/>
    <n v="20.931149473684211"/>
    <n v="0.87213122807017551"/>
    <n v="90"/>
    <s v="NO"/>
    <s v="NO"/>
    <n v="0"/>
    <n v="0"/>
    <m/>
    <s v=""/>
    <m/>
    <m/>
    <n v="2.764272559852669E-2"/>
    <n v="1255.8689684210526"/>
    <n v="0"/>
    <s v=""/>
    <m/>
    <d v="2026-04-26T00:00:00"/>
  </r>
  <r>
    <d v="2026-04-13T00:00:00"/>
    <s v="Monday"/>
    <x v="2"/>
    <n v="34.200000000000003"/>
    <n v="29.2"/>
    <n v="28.278696000000004"/>
    <n v="0.85380116959064323"/>
    <n v="0.82686245614035092"/>
    <m/>
    <m/>
    <m/>
    <n v="1.2399999999999995"/>
    <n v="4.8000000000000001E-2"/>
    <m/>
    <m/>
    <m/>
    <m/>
    <m/>
    <n v="24"/>
    <n v="1"/>
    <m/>
    <m/>
    <m/>
    <m/>
    <m/>
    <m/>
    <n v="23"/>
    <m/>
    <m/>
    <n v="0.25"/>
    <m/>
    <m/>
    <m/>
    <n v="2.0351256140350884"/>
    <n v="0.87017543859649094"/>
    <n v="19.844698947368421"/>
    <n v="0.86281299771167053"/>
    <n v="84"/>
    <s v="YES"/>
    <s v="YES"/>
    <n v="46"/>
    <n v="46"/>
    <m/>
    <s v=""/>
    <m/>
    <m/>
    <n v="2.0966850828729289E-2"/>
    <n v="1190.6819368421052"/>
    <n v="1"/>
    <n v="15"/>
    <m/>
    <d v="2026-04-26T00:00:00"/>
  </r>
  <r>
    <d v="2026-04-14T00:00:00"/>
    <s v="Tuesday"/>
    <x v="2"/>
    <n v="34.200000000000003"/>
    <n v="29.2"/>
    <n v="30.227856000000003"/>
    <n v="0.85380116959064323"/>
    <n v="0.88385543859649129"/>
    <m/>
    <m/>
    <m/>
    <n v="1.2399999999999998"/>
    <n v="4.8000000000000001E-2"/>
    <m/>
    <m/>
    <m/>
    <m/>
    <m/>
    <n v="24"/>
    <m/>
    <n v="1"/>
    <m/>
    <m/>
    <m/>
    <m/>
    <m/>
    <n v="23"/>
    <m/>
    <m/>
    <m/>
    <m/>
    <m/>
    <m/>
    <n v="0.91729403508771767"/>
    <n v="0.87017543859649105"/>
    <n v="21.212530526315792"/>
    <n v="0.9222839359267736"/>
    <n v="83"/>
    <s v="YES"/>
    <s v="YES"/>
    <n v="0"/>
    <n v="0"/>
    <m/>
    <s v=""/>
    <m/>
    <m/>
    <n v="2.9539594843462233E-2"/>
    <n v="1272.7518315789475"/>
    <n v="0"/>
    <s v=""/>
    <m/>
    <d v="2026-04-26T00:00:00"/>
  </r>
  <r>
    <d v="2026-04-15T00:00:00"/>
    <s v="Wednesday"/>
    <x v="2"/>
    <n v="34.200000000000003"/>
    <n v="29.2"/>
    <n v="27.380880000000001"/>
    <n v="0.85380116959064323"/>
    <n v="0.80061052631578944"/>
    <m/>
    <m/>
    <m/>
    <n v="1.45"/>
    <n v="4.8000000000000001E-2"/>
    <m/>
    <m/>
    <m/>
    <m/>
    <m/>
    <n v="24"/>
    <m/>
    <m/>
    <m/>
    <m/>
    <m/>
    <m/>
    <m/>
    <n v="24"/>
    <m/>
    <n v="0.6"/>
    <m/>
    <m/>
    <m/>
    <m/>
    <n v="3.1678035087719287"/>
    <n v="1.0175438596491226"/>
    <n v="19.214652631578947"/>
    <n v="0.80061052631578944"/>
    <n v="76"/>
    <s v="YES"/>
    <s v="NO"/>
    <n v="3"/>
    <n v="2"/>
    <m/>
    <s v=""/>
    <m/>
    <m/>
    <n v="2.8139963167587479E-2"/>
    <n v="720.54947368421051"/>
    <n v="2"/>
    <n v="18"/>
    <m/>
    <d v="2026-04-26T00:00:00"/>
  </r>
  <r>
    <d v="2026-04-16T00:00:00"/>
    <s v="Thursday"/>
    <x v="2"/>
    <n v="34.200000000000003"/>
    <n v="13.5"/>
    <n v="12.110404000000001"/>
    <n v="0.39473684210526316"/>
    <n v="0.35410538011695908"/>
    <m/>
    <m/>
    <m/>
    <n v="0.93000000000000038"/>
    <n v="4.8000000000000001E-2"/>
    <n v="18.5"/>
    <m/>
    <m/>
    <m/>
    <m/>
    <n v="24"/>
    <m/>
    <m/>
    <n v="12"/>
    <m/>
    <m/>
    <m/>
    <m/>
    <n v="12"/>
    <m/>
    <n v="2"/>
    <m/>
    <m/>
    <m/>
    <m/>
    <n v="0.84883929824561477"/>
    <n v="0.65263157894736867"/>
    <n v="8.4985291228070174"/>
    <n v="0.70821076023391816"/>
    <n v="76"/>
    <s v="YES"/>
    <s v="NO"/>
    <n v="13"/>
    <n v="12"/>
    <m/>
    <s v=""/>
    <m/>
    <m/>
    <n v="2.6519337016574596E-2"/>
    <n v="254.95587368421053"/>
    <n v="1"/>
    <n v="120"/>
    <m/>
    <d v="2026-04-26T00:00:00"/>
  </r>
  <r>
    <d v="2026-04-17T00:00:00"/>
    <s v="Friday"/>
    <x v="2"/>
    <n v="34.200000000000003"/>
    <n v="24.5"/>
    <n v="23.328498"/>
    <n v="0.71637426900584789"/>
    <n v="0.68211982456140352"/>
    <m/>
    <m/>
    <m/>
    <n v="1.37"/>
    <n v="4.5999999999999999E-2"/>
    <n v="26.5"/>
    <m/>
    <m/>
    <m/>
    <m/>
    <n v="24"/>
    <n v="2"/>
    <m/>
    <m/>
    <m/>
    <m/>
    <m/>
    <m/>
    <n v="22"/>
    <m/>
    <n v="1.1000000000000001"/>
    <m/>
    <m/>
    <m/>
    <m/>
    <n v="3.5677207017543857"/>
    <n v="0.96140350877192982"/>
    <n v="16.370875789473683"/>
    <n v="0.74413071770334926"/>
    <n v="78"/>
    <s v="YES"/>
    <s v="NO"/>
    <n v="0"/>
    <n v="0"/>
    <m/>
    <s v=""/>
    <m/>
    <m/>
    <n v="2.4388111888111835E-2"/>
    <n v="892.95686124401902"/>
    <n v="1"/>
    <n v="66"/>
    <m/>
    <d v="2026-04-26T00:00:00"/>
  </r>
  <r>
    <d v="2026-04-18T00:00:00"/>
    <s v="Saturday"/>
    <x v="2"/>
    <n v="34.200000000000003"/>
    <n v="27.5"/>
    <n v="27.9"/>
    <n v="0.80409356725146186"/>
    <n v="0.8157894736842104"/>
    <m/>
    <m/>
    <m/>
    <n v="1.3"/>
    <n v="4.3999999999999997E-2"/>
    <n v="26.5"/>
    <m/>
    <m/>
    <m/>
    <m/>
    <n v="24"/>
    <n v="1"/>
    <m/>
    <m/>
    <m/>
    <m/>
    <m/>
    <m/>
    <n v="23"/>
    <m/>
    <m/>
    <m/>
    <m/>
    <m/>
    <m/>
    <n v="2.5087719298245617"/>
    <n v="0.91228070175438591"/>
    <n v="19.578947368421051"/>
    <n v="0.85125858123569786"/>
    <n v="80"/>
    <s v="YES"/>
    <s v="NO"/>
    <n v="0"/>
    <n v="0"/>
    <m/>
    <s v=""/>
    <m/>
    <m/>
    <n v="1.6118881118881101E-2"/>
    <n v="1174.7368421052631"/>
    <n v="2"/>
    <n v="0"/>
    <m/>
    <d v="2026-04-26T00:00:00"/>
  </r>
  <r>
    <d v="2026-04-19T00:00:00"/>
    <s v="Sunday"/>
    <x v="2"/>
    <n v="34.200000000000003"/>
    <n v="33"/>
    <n v="29.921830000000003"/>
    <n v="0.96491228070175439"/>
    <n v="0.87490730994152055"/>
    <m/>
    <m/>
    <m/>
    <n v="1.3"/>
    <n v="4.2999999999999997E-2"/>
    <n v="26.5"/>
    <m/>
    <m/>
    <m/>
    <m/>
    <n v="24"/>
    <m/>
    <m/>
    <m/>
    <m/>
    <m/>
    <m/>
    <m/>
    <n v="24"/>
    <m/>
    <m/>
    <m/>
    <m/>
    <n v="2.2000000000000002"/>
    <m/>
    <n v="-0.11005614035087774"/>
    <n v="0.91228070175438591"/>
    <n v="20.997775438596491"/>
    <n v="0.87490730994152044"/>
    <n v="101"/>
    <s v="YES"/>
    <s v="NO"/>
    <n v="3"/>
    <n v="0"/>
    <m/>
    <s v=""/>
    <m/>
    <m/>
    <n v="1.6864801864801899E-2"/>
    <n v="1259.8665263157895"/>
    <n v="2"/>
    <n v="66"/>
    <m/>
    <d v="2026-04-26T00:00:00"/>
  </r>
  <r>
    <d v="2026-04-20T00:00:00"/>
    <s v="Monday"/>
    <x v="2"/>
    <n v="34.200000000000003"/>
    <n v="33"/>
    <n v="28.5"/>
    <n v="0.96491228070175439"/>
    <n v="0.83333333333333326"/>
    <m/>
    <m/>
    <m/>
    <m/>
    <n v="0.04"/>
    <n v="26.5"/>
    <m/>
    <m/>
    <m/>
    <m/>
    <n v="24"/>
    <m/>
    <m/>
    <m/>
    <m/>
    <m/>
    <m/>
    <m/>
    <n v="24"/>
    <m/>
    <n v="2.6"/>
    <m/>
    <m/>
    <n v="1.5"/>
    <m/>
    <n v="-0.10000000000000142"/>
    <n v="0"/>
    <n v="20"/>
    <n v="0.83333333333333337"/>
    <n v="72"/>
    <s v="YES"/>
    <s v="NO"/>
    <n v="0"/>
    <n v="0"/>
    <m/>
    <s v=""/>
    <m/>
    <m/>
    <n v="1.6497668997668965E-2"/>
    <n v="461.53846153846149"/>
    <n v="2"/>
    <n v="122.99999999999999"/>
    <m/>
    <d v="2026-04-26T00:00:00"/>
  </r>
  <r>
    <d v="2026-04-21T00:00:00"/>
    <s v="Tuesday"/>
    <x v="1"/>
    <n v="39.200000000000003"/>
    <n v="30"/>
    <n v="30.928831000000002"/>
    <n v="0.76530612244897955"/>
    <n v="0.78900079081632646"/>
    <m/>
    <m/>
    <m/>
    <n v="1.5"/>
    <n v="3.9E-2"/>
    <n v="26.5"/>
    <m/>
    <m/>
    <m/>
    <m/>
    <n v="24"/>
    <n v="1"/>
    <n v="1"/>
    <m/>
    <m/>
    <m/>
    <m/>
    <m/>
    <n v="22"/>
    <m/>
    <m/>
    <n v="0.8"/>
    <m/>
    <n v="1.1000000000000001"/>
    <m/>
    <n v="0.24561367346938923"/>
    <n v="0.91836734693877542"/>
    <n v="18.936018979591836"/>
    <n v="0.86072813543599258"/>
    <n v="80"/>
    <s v="YES"/>
    <s v="NO"/>
    <n v="18"/>
    <n v="14"/>
    <m/>
    <s v=""/>
    <m/>
    <m/>
    <n v="2.3698952980720896E-2"/>
    <n v="1136.1611387755102"/>
    <n v="1"/>
    <n v="114.00000000000001"/>
    <m/>
    <d v="2026-04-26T00:00:00"/>
  </r>
  <r>
    <d v="2026-04-22T00:00:00"/>
    <s v="Wednesday"/>
    <x v="1"/>
    <n v="39.200000000000003"/>
    <n v="33"/>
    <n v="26.594889000000002"/>
    <n v="0.84183673469387743"/>
    <n v="0.6784410459183674"/>
    <m/>
    <m/>
    <m/>
    <n v="1.4"/>
    <n v="3.6999999999999998E-2"/>
    <n v="26"/>
    <m/>
    <m/>
    <m/>
    <m/>
    <n v="24"/>
    <m/>
    <m/>
    <m/>
    <m/>
    <m/>
    <m/>
    <m/>
    <n v="24"/>
    <m/>
    <n v="2"/>
    <n v="2.5"/>
    <m/>
    <n v="2.2000000000000002"/>
    <m/>
    <n v="0.16027204081632718"/>
    <n v="0.85714285714285698"/>
    <n v="16.282585102040816"/>
    <n v="0.67844104591836729"/>
    <n v="95"/>
    <s v="YES"/>
    <s v="NO"/>
    <n v="1"/>
    <n v="0"/>
    <m/>
    <s v=""/>
    <m/>
    <m/>
    <n v="2.2338858195211777E-2"/>
    <n v="488.47755306122446"/>
    <n v="1"/>
    <n v="402"/>
    <m/>
    <d v="2026-04-26T00:00:00"/>
  </r>
  <r>
    <d v="2026-04-23T00:00:00"/>
    <s v="Thursday"/>
    <x v="1"/>
    <n v="39.200000000000003"/>
    <n v="33"/>
    <n v="30.049741000000001"/>
    <n v="0.84183673469387743"/>
    <n v="0.76657502551020407"/>
    <m/>
    <m/>
    <m/>
    <n v="1.4"/>
    <n v="3.6999999999999998E-2"/>
    <n v="26"/>
    <m/>
    <m/>
    <m/>
    <m/>
    <n v="24"/>
    <m/>
    <m/>
    <m/>
    <m/>
    <m/>
    <m/>
    <m/>
    <n v="24"/>
    <m/>
    <n v="1.6"/>
    <n v="2"/>
    <m/>
    <m/>
    <m/>
    <n v="1.1450565306122442"/>
    <n v="0.85714285714285698"/>
    <n v="18.397800612244897"/>
    <n v="0.76657502551020407"/>
    <n v="89"/>
    <s v="YES"/>
    <s v="NO"/>
    <n v="0"/>
    <n v="0"/>
    <m/>
    <s v=""/>
    <m/>
    <m/>
    <n v="3.1381215469613193E-2"/>
    <n v="689.91752295918354"/>
    <n v="0"/>
    <s v=""/>
    <m/>
    <d v="2026-04-26T00:00:00"/>
  </r>
  <r>
    <d v="2026-04-24T00:00:00"/>
    <s v="Friday"/>
    <x v="1"/>
    <n v="39.200000000000003"/>
    <n v="33"/>
    <n v="31.231839000000001"/>
    <n v="0.84183673469387743"/>
    <n v="0.79673058673469377"/>
    <m/>
    <m/>
    <m/>
    <n v="1.3"/>
    <n v="3.6999999999999998E-2"/>
    <n v="24"/>
    <m/>
    <m/>
    <m/>
    <m/>
    <n v="24"/>
    <m/>
    <m/>
    <m/>
    <m/>
    <m/>
    <m/>
    <m/>
    <n v="24"/>
    <n v="0.5"/>
    <n v="1.5"/>
    <n v="0.5"/>
    <m/>
    <m/>
    <m/>
    <n v="1.5825475510204114"/>
    <n v="0.79591836734693866"/>
    <n v="19.12153408163265"/>
    <n v="0.79673058673469377"/>
    <n v="104"/>
    <s v="YES"/>
    <s v="NO"/>
    <n v="0"/>
    <n v="0"/>
    <m/>
    <s v=""/>
    <m/>
    <m/>
    <n v="2.7790055248618842E-2"/>
    <n v="764.86136326530607"/>
    <n v="0"/>
    <s v=""/>
    <m/>
    <d v="2026-04-26T00:00:00"/>
  </r>
  <r>
    <d v="2026-04-25T00:00:00"/>
    <s v="Saturday"/>
    <x v="1"/>
    <n v="39.200000000000003"/>
    <n v="35"/>
    <n v="29.562647999999999"/>
    <n v="0.89285714285714268"/>
    <n v="0.75414918367346928"/>
    <m/>
    <m/>
    <m/>
    <n v="1.2"/>
    <n v="3.6999999999999998E-2"/>
    <n v="20"/>
    <m/>
    <m/>
    <m/>
    <m/>
    <n v="24"/>
    <m/>
    <m/>
    <m/>
    <m/>
    <m/>
    <m/>
    <m/>
    <n v="24"/>
    <m/>
    <n v="1.5"/>
    <n v="0.5"/>
    <m/>
    <m/>
    <m/>
    <n v="3.1657257142857169"/>
    <n v="0.73469387755102034"/>
    <n v="18.099580408163263"/>
    <n v="0.75414918367346928"/>
    <n v="91"/>
    <s v="YES"/>
    <s v="NO"/>
    <n v="0"/>
    <n v="0"/>
    <m/>
    <s v=""/>
    <m/>
    <m/>
    <n v="2.4088397790055272E-2"/>
    <n v="723.98321632653051"/>
    <n v="0"/>
    <s v=""/>
    <m/>
    <d v="2026-04-26T00:00:00"/>
  </r>
  <r>
    <d v="2026-04-26T00:00:00"/>
    <s v="Sunday"/>
    <x v="1"/>
    <n v="39.200000000000003"/>
    <n v="33"/>
    <n v="33.942064000000002"/>
    <n v="0.84183673469387743"/>
    <n v="0.86586897959183673"/>
    <m/>
    <m/>
    <m/>
    <n v="1.3"/>
    <n v="3.6999999999999998E-2"/>
    <n v="32"/>
    <m/>
    <m/>
    <m/>
    <m/>
    <n v="24"/>
    <m/>
    <m/>
    <m/>
    <m/>
    <m/>
    <m/>
    <m/>
    <n v="24"/>
    <m/>
    <m/>
    <n v="1"/>
    <m/>
    <n v="1"/>
    <m/>
    <n v="0.42322612244898039"/>
    <n v="0.79591836734693866"/>
    <n v="20.780855510204081"/>
    <n v="0.86586897959183673"/>
    <n v="94"/>
    <s v="YES"/>
    <s v="NO"/>
    <n v="0"/>
    <n v="0"/>
    <m/>
    <s v=""/>
    <m/>
    <m/>
    <n v="2.7808471454880284E-2"/>
    <n v="1246.8513306122447"/>
    <n v="0"/>
    <s v=""/>
    <m/>
    <d v="2026-04-26T00:00:00"/>
  </r>
  <r>
    <d v="2026-04-27T00:00:00"/>
    <s v="Monday"/>
    <x v="2"/>
    <n v="34.200000000000003"/>
    <n v="33"/>
    <n v="33.4"/>
    <n v="0.96491228070175439"/>
    <n v="0.97660818713450281"/>
    <m/>
    <m/>
    <m/>
    <n v="1"/>
    <n v="3.9E-2"/>
    <n v="25"/>
    <m/>
    <m/>
    <m/>
    <m/>
    <n v="24"/>
    <m/>
    <m/>
    <m/>
    <m/>
    <m/>
    <m/>
    <m/>
    <n v="24"/>
    <m/>
    <m/>
    <m/>
    <m/>
    <m/>
    <m/>
    <n v="-0.14035087719297934"/>
    <n v="0.70175438596491224"/>
    <n v="23.438596491228068"/>
    <n v="0.97660818713450281"/>
    <n v="113"/>
    <s v="YES"/>
    <s v="NO"/>
    <n v="0"/>
    <n v="0"/>
    <m/>
    <s v=""/>
    <m/>
    <m/>
    <n v="3.5580110497237555E-2"/>
    <n v="1406.3157894736842"/>
    <n v="0"/>
    <s v=""/>
    <m/>
    <d v="2026-04-26T00:00:00"/>
  </r>
  <r>
    <d v="2026-04-28T00:00:00"/>
    <s v="Tuesday"/>
    <x v="2"/>
    <n v="34.200000000000003"/>
    <n v="20"/>
    <n v="24.8"/>
    <n v="0.58479532163742687"/>
    <n v="0.72514619883040943"/>
    <m/>
    <m/>
    <m/>
    <m/>
    <n v="3.9E-2"/>
    <n v="25"/>
    <m/>
    <m/>
    <m/>
    <m/>
    <n v="24"/>
    <m/>
    <m/>
    <n v="6.6"/>
    <m/>
    <m/>
    <m/>
    <m/>
    <n v="17.399999999999999"/>
    <m/>
    <m/>
    <m/>
    <m/>
    <m/>
    <m/>
    <n v="-3.5087719298267928E-3"/>
    <n v="0"/>
    <n v="17.403508771929825"/>
    <n v="1.0002016535591856"/>
    <n v="94"/>
    <s v="YES"/>
    <s v="NO"/>
    <n v="18"/>
    <n v="18"/>
    <m/>
    <s v=""/>
    <m/>
    <m/>
    <n v="3.0151933701657516E-2"/>
    <n v="1044.2105263157896"/>
    <n v="0"/>
    <s v=""/>
    <m/>
    <d v="2026-04-26T00:00:00"/>
  </r>
  <r>
    <d v="2026-04-29T00:00:00"/>
    <s v="Wednesday"/>
    <x v="2"/>
    <n v="34.200000000000003"/>
    <n v="33"/>
    <n v="31"/>
    <n v="0.96491228070175439"/>
    <n v="0.9064327485380117"/>
    <m/>
    <m/>
    <m/>
    <m/>
    <n v="3.9E-2"/>
    <n v="12"/>
    <m/>
    <m/>
    <m/>
    <m/>
    <n v="24"/>
    <m/>
    <m/>
    <m/>
    <n v="1"/>
    <m/>
    <m/>
    <m/>
    <n v="23"/>
    <m/>
    <m/>
    <m/>
    <m/>
    <n v="1.3"/>
    <m/>
    <n v="-5.4385964912281537E-2"/>
    <n v="0"/>
    <n v="21.754385964912281"/>
    <n v="0.94584286803966433"/>
    <n v="113"/>
    <s v="NO"/>
    <s v="NO"/>
    <n v="1"/>
    <n v="0"/>
    <m/>
    <s v=""/>
    <m/>
    <m/>
    <n v="1.9523190897500285E-2"/>
    <n v="1305.2631578947369"/>
    <n v="3"/>
    <n v="26"/>
    <m/>
    <d v="2026-04-26T00:00:00"/>
  </r>
  <r>
    <d v="2026-04-30T00:00:00"/>
    <s v="Thursday"/>
    <x v="1"/>
    <n v="39.200000000000003"/>
    <n v="33"/>
    <n v="23.811349999999997"/>
    <n v="0.84183673469387743"/>
    <n v="0.60743239795918347"/>
    <m/>
    <m/>
    <m/>
    <n v="1.4000000000000004"/>
    <n v="3.9E-2"/>
    <n v="9"/>
    <m/>
    <m/>
    <m/>
    <m/>
    <n v="24"/>
    <m/>
    <m/>
    <m/>
    <n v="1"/>
    <m/>
    <m/>
    <m/>
    <n v="23"/>
    <m/>
    <n v="4.5"/>
    <m/>
    <m/>
    <n v="2.8"/>
    <m/>
    <n v="0.26447959183673753"/>
    <n v="0.85714285714285721"/>
    <n v="14.578377551020404"/>
    <n v="0.63384250221827843"/>
    <n v="109"/>
    <s v="YES"/>
    <s v="NO"/>
    <n v="1"/>
    <n v="0"/>
    <m/>
    <s v=""/>
    <m/>
    <m/>
    <n v="2.0273892773892754E-2"/>
    <n v="194.37836734693872"/>
    <n v="2"/>
    <n v="219"/>
    <m/>
    <d v="2026-04-26T00:00:00"/>
  </r>
  <r>
    <d v="2026-05-01T00:00:00"/>
    <s v="Friday"/>
    <x v="2"/>
    <n v="34.200000000000003"/>
    <n v="30"/>
    <n v="32.799999999999997"/>
    <n v="0.8771929824561403"/>
    <n v="0.95906432748537995"/>
    <m/>
    <m/>
    <m/>
    <m/>
    <n v="3.9E-2"/>
    <m/>
    <m/>
    <m/>
    <m/>
    <m/>
    <n v="24"/>
    <m/>
    <m/>
    <m/>
    <n v="1"/>
    <m/>
    <m/>
    <m/>
    <n v="23"/>
    <m/>
    <m/>
    <m/>
    <m/>
    <m/>
    <m/>
    <n v="-1.7543859649119753E-2"/>
    <n v="0"/>
    <n v="23.01754385964912"/>
    <n v="1.0007627765064835"/>
    <n v="99"/>
    <s v="YES"/>
    <s v="NO"/>
    <n v="0"/>
    <n v="0"/>
    <m/>
    <s v=""/>
    <m/>
    <m/>
    <n v="1.8350815850815858E-2"/>
    <n v="1381.0526315789473"/>
    <n v="0"/>
    <s v=""/>
    <m/>
    <d v="2026-04-26T00:00:00"/>
  </r>
  <r>
    <d v="2026-05-02T00:00:00"/>
    <s v="Saturday"/>
    <x v="2"/>
    <n v="34.200000000000003"/>
    <n v="30"/>
    <n v="30.8"/>
    <n v="0.8771929824561403"/>
    <n v="0.90058479532163749"/>
    <m/>
    <m/>
    <m/>
    <n v="1.4700000000000002"/>
    <n v="3.9E-2"/>
    <m/>
    <m/>
    <m/>
    <m/>
    <m/>
    <n v="24"/>
    <m/>
    <n v="1"/>
    <m/>
    <m/>
    <m/>
    <m/>
    <m/>
    <n v="23"/>
    <m/>
    <n v="0.5"/>
    <m/>
    <m/>
    <m/>
    <m/>
    <n v="-0.14561403508771775"/>
    <n v="1.0315789473684212"/>
    <n v="21.614035087719298"/>
    <n v="0.93974065598779555"/>
    <n v="100"/>
    <s v="YES"/>
    <s v="NO"/>
    <n v="1"/>
    <n v="1"/>
    <m/>
    <s v=""/>
    <m/>
    <m/>
    <n v="2.9254079254079284E-2"/>
    <n v="864.56140350877183"/>
    <n v="0"/>
    <s v=""/>
    <m/>
    <d v="2026-04-26T00:00:00"/>
  </r>
  <r>
    <d v="2026-05-03T00:00:00"/>
    <s v="Sunday"/>
    <x v="2"/>
    <n v="34.200000000000003"/>
    <n v="30"/>
    <n v="30.5"/>
    <n v="0.8771929824561403"/>
    <n v="0.89181286549707595"/>
    <m/>
    <m/>
    <m/>
    <m/>
    <m/>
    <n v="12"/>
    <m/>
    <m/>
    <m/>
    <m/>
    <n v="24"/>
    <m/>
    <m/>
    <m/>
    <m/>
    <m/>
    <m/>
    <m/>
    <n v="24"/>
    <m/>
    <m/>
    <m/>
    <m/>
    <m/>
    <m/>
    <n v="2.5964912280701746"/>
    <n v="0"/>
    <n v="21.403508771929825"/>
    <n v="0.89181286549707606"/>
    <n v="103"/>
    <s v="NO"/>
    <s v="NO"/>
    <n v="5"/>
    <n v="5"/>
    <m/>
    <s v=""/>
    <m/>
    <m/>
    <n v="2.7495605223505751E-2"/>
    <n v="1284.2105263157896"/>
    <n v="1"/>
    <n v="0"/>
    <m/>
    <d v="2026-04-26T00:00:00"/>
  </r>
  <r>
    <d v="2026-05-04T00:00:00"/>
    <s v="Monday"/>
    <x v="2"/>
    <n v="34.200000000000003"/>
    <n v="30"/>
    <n v="33.6"/>
    <n v="0.8771929824561403"/>
    <n v="0.98245614035087725"/>
    <m/>
    <m/>
    <m/>
    <n v="0.8"/>
    <n v="3.9E-2"/>
    <n v="10"/>
    <m/>
    <m/>
    <m/>
    <m/>
    <n v="24"/>
    <m/>
    <m/>
    <m/>
    <m/>
    <m/>
    <m/>
    <m/>
    <n v="24"/>
    <m/>
    <m/>
    <m/>
    <m/>
    <m/>
    <m/>
    <n v="-0.14035087719298289"/>
    <n v="0.56140350877192979"/>
    <n v="23.578947368421051"/>
    <n v="0.98245614035087714"/>
    <n v="103"/>
    <s v="YES"/>
    <s v="YES"/>
    <n v="0"/>
    <n v="0"/>
    <m/>
    <s v=""/>
    <m/>
    <m/>
    <n v="3.4640883977900556E-2"/>
    <n v="1414.7368421052631"/>
    <n v="1"/>
    <n v="0"/>
    <m/>
    <d v="2026-05-26T00:00:00"/>
  </r>
  <r>
    <d v="2026-05-05T00:00:00"/>
    <s v="Tuesday"/>
    <x v="2"/>
    <n v="34.200000000000003"/>
    <n v="30"/>
    <n v="31"/>
    <n v="0.8771929824561403"/>
    <n v="0.9064327485380117"/>
    <m/>
    <m/>
    <m/>
    <n v="1"/>
    <n v="3.9E-2"/>
    <n v="13"/>
    <m/>
    <m/>
    <m/>
    <m/>
    <n v="24"/>
    <m/>
    <n v="1"/>
    <m/>
    <m/>
    <m/>
    <m/>
    <m/>
    <n v="23"/>
    <m/>
    <n v="0.6"/>
    <m/>
    <m/>
    <m/>
    <m/>
    <n v="-5.6140350877193157E-2"/>
    <n v="0.70175438596491224"/>
    <n v="21.754385964912281"/>
    <n v="0.94584286803966433"/>
    <n v="80"/>
    <s v="YES"/>
    <s v="NO"/>
    <n v="0"/>
    <n v="0"/>
    <m/>
    <s v=""/>
    <m/>
    <m/>
    <n v="3.9217311233885853E-2"/>
    <n v="815.78947368421052"/>
    <n v="0"/>
    <s v=""/>
    <m/>
    <d v="2026-05-26T00:00:00"/>
  </r>
  <r>
    <d v="2026-05-06T00:00:00"/>
    <s v="Wednesday"/>
    <x v="2"/>
    <n v="34.200000000000003"/>
    <n v="30"/>
    <n v="30.2"/>
    <n v="0.8771929824561403"/>
    <n v="0.88304093567251463"/>
    <m/>
    <m/>
    <m/>
    <n v="1.1000000000000001"/>
    <n v="3.9E-2"/>
    <n v="15"/>
    <m/>
    <m/>
    <m/>
    <m/>
    <n v="24"/>
    <m/>
    <n v="1"/>
    <m/>
    <m/>
    <m/>
    <m/>
    <m/>
    <n v="23"/>
    <m/>
    <n v="1"/>
    <m/>
    <m/>
    <m/>
    <m/>
    <n v="3.5087719298246611E-2"/>
    <n v="0.77192982456140358"/>
    <n v="21.192982456140349"/>
    <n v="0.92143401983218909"/>
    <n v="92"/>
    <s v="YES"/>
    <s v="YES"/>
    <n v="0"/>
    <n v="0"/>
    <m/>
    <s v=""/>
    <m/>
    <m/>
    <n v="2.7412523020257814E-2"/>
    <n v="635.78947368421052"/>
    <n v="0"/>
    <s v=""/>
    <m/>
    <d v="2026-05-26T00:00:00"/>
  </r>
  <r>
    <d v="2026-05-07T00:00:00"/>
    <s v="Thursday"/>
    <x v="2"/>
    <n v="34.200000000000003"/>
    <n v="30"/>
    <n v="32.5"/>
    <n v="0.8771929824561403"/>
    <n v="0.95029239766081874"/>
    <m/>
    <m/>
    <m/>
    <n v="1.2699999999999998"/>
    <n v="3.9E-2"/>
    <n v="17"/>
    <m/>
    <m/>
    <m/>
    <m/>
    <n v="24"/>
    <m/>
    <m/>
    <m/>
    <m/>
    <m/>
    <m/>
    <m/>
    <n v="24"/>
    <m/>
    <n v="0.4"/>
    <m/>
    <m/>
    <m/>
    <m/>
    <n v="-9.8245614035082696E-2"/>
    <n v="0.89122807017543848"/>
    <n v="22.807017543859647"/>
    <n v="0.95029239766081863"/>
    <n v="96"/>
    <s v="YES"/>
    <s v="NO"/>
    <n v="18"/>
    <n v="14"/>
    <m/>
    <s v=""/>
    <m/>
    <m/>
    <n v="2.9005524861878455E-2"/>
    <n v="977.44360902255642"/>
    <n v="1"/>
    <n v="24"/>
    <n v="5"/>
    <d v="2026-05-26T00:00:00"/>
  </r>
  <r>
    <d v="2026-05-08T00:00:00"/>
    <s v="Friday"/>
    <x v="2"/>
    <n v="34.200000000000003"/>
    <n v="30"/>
    <n v="32.4"/>
    <n v="0.8771929824561403"/>
    <n v="0.94736842105263142"/>
    <m/>
    <m/>
    <m/>
    <m/>
    <n v="3.9E-2"/>
    <n v="15"/>
    <m/>
    <m/>
    <m/>
    <m/>
    <n v="24"/>
    <m/>
    <m/>
    <m/>
    <n v="1"/>
    <m/>
    <m/>
    <m/>
    <n v="23"/>
    <m/>
    <m/>
    <m/>
    <m/>
    <m/>
    <m/>
    <n v="0.26315789473684248"/>
    <n v="0"/>
    <n v="22.736842105263158"/>
    <n v="0.98855835240274603"/>
    <n v="103"/>
    <s v="YES"/>
    <s v="YES"/>
    <n v="2"/>
    <n v="2"/>
    <m/>
    <s v=""/>
    <m/>
    <m/>
    <n v="3.0920810313075493E-2"/>
    <n v="1364.2105263157894"/>
    <n v="2"/>
    <n v="0"/>
    <m/>
    <d v="2026-05-26T00:00:00"/>
  </r>
  <r>
    <d v="2026-05-09T00:00:00"/>
    <s v="Saturday"/>
    <x v="1"/>
    <n v="39.200000000000003"/>
    <n v="30"/>
    <n v="30.8"/>
    <n v="0.76530612244897955"/>
    <n v="0.7857142857142857"/>
    <m/>
    <m/>
    <m/>
    <m/>
    <m/>
    <m/>
    <m/>
    <m/>
    <m/>
    <m/>
    <n v="24"/>
    <m/>
    <m/>
    <m/>
    <m/>
    <m/>
    <m/>
    <m/>
    <n v="24"/>
    <m/>
    <n v="2"/>
    <m/>
    <n v="0.33333333333333331"/>
    <m/>
    <m/>
    <n v="2.8095238095238138"/>
    <n v="0"/>
    <n v="18.857142857142854"/>
    <n v="0.78571428571428559"/>
    <n v="112"/>
    <s v="YES"/>
    <s v="YES"/>
    <n v="0"/>
    <n v="0"/>
    <m/>
    <s v=""/>
    <m/>
    <m/>
    <n v="2.6169429097605907E-2"/>
    <n v="565.71428571428567"/>
    <n v="2"/>
    <n v="70"/>
    <m/>
    <d v="2026-05-26T00:00:00"/>
  </r>
  <r>
    <d v="2026-05-10T00:00:00"/>
    <s v="Sunday"/>
    <x v="1"/>
    <n v="39.200000000000003"/>
    <n v="30"/>
    <n v="30.4"/>
    <n v="0.76530612244897955"/>
    <n v="0.77551020408163251"/>
    <m/>
    <m/>
    <m/>
    <n v="1.2499999999999998"/>
    <n v="4.9000000000000002E-2"/>
    <m/>
    <m/>
    <m/>
    <m/>
    <m/>
    <n v="24"/>
    <m/>
    <m/>
    <n v="1.9"/>
    <m/>
    <m/>
    <m/>
    <m/>
    <n v="22.1"/>
    <m/>
    <m/>
    <m/>
    <m/>
    <m/>
    <m/>
    <n v="2.7224489795918423"/>
    <n v="0.76530612244897933"/>
    <n v="18.612244897959179"/>
    <n v="0.84218302705697634"/>
    <n v="106"/>
    <s v="YES"/>
    <s v="YES"/>
    <n v="0"/>
    <n v="0"/>
    <m/>
    <s v=""/>
    <m/>
    <m/>
    <n v="5.749539594843462E-2"/>
    <n v="1116.7346938775509"/>
    <n v="1"/>
    <n v="0"/>
    <m/>
    <d v="2026-05-26T00:00:00"/>
  </r>
  <r>
    <d v="2026-05-11T00:00:00"/>
    <s v="Monday"/>
    <x v="1"/>
    <n v="39.200000000000003"/>
    <n v="17"/>
    <n v="12"/>
    <n v="0.43367346938775508"/>
    <n v="0.30612244897959179"/>
    <m/>
    <m/>
    <m/>
    <n v="1.1500000000000004"/>
    <n v="4.9000000000000002E-2"/>
    <m/>
    <m/>
    <m/>
    <m/>
    <m/>
    <n v="24"/>
    <m/>
    <m/>
    <n v="14"/>
    <m/>
    <m/>
    <m/>
    <m/>
    <n v="10"/>
    <n v="0.5"/>
    <m/>
    <m/>
    <m/>
    <m/>
    <m/>
    <n v="1.4489795918367356"/>
    <n v="0.70408163265306134"/>
    <n v="7.3469387755102034"/>
    <n v="0.73469387755102034"/>
    <n v="71"/>
    <s v="YES"/>
    <s v="NO"/>
    <n v="1"/>
    <n v="1"/>
    <m/>
    <s v=""/>
    <m/>
    <m/>
    <n v="4.9861878453038702E-2"/>
    <n v="440.81632653061217"/>
    <n v="0"/>
    <s v=""/>
    <m/>
    <d v="2026-05-26T00:00:00"/>
  </r>
  <r>
    <d v="2026-05-12T00:00:00"/>
    <s v="Tuesday"/>
    <x v="1"/>
    <n v="39.200000000000003"/>
    <n v="32.5"/>
    <n v="28.5"/>
    <n v="0.82908163265306112"/>
    <n v="0.7270408163265305"/>
    <m/>
    <m/>
    <m/>
    <n v="1.02"/>
    <n v="5.0999999999999997E-2"/>
    <m/>
    <m/>
    <m/>
    <m/>
    <m/>
    <n v="24"/>
    <n v="1"/>
    <n v="1"/>
    <m/>
    <m/>
    <n v="0.5"/>
    <m/>
    <m/>
    <n v="21.5"/>
    <m/>
    <n v="1.5"/>
    <m/>
    <n v="0.75"/>
    <m/>
    <m/>
    <n v="1.1765306122448997"/>
    <n v="0.62448979591836729"/>
    <n v="17.448979591836732"/>
    <n v="0.81158044613194102"/>
    <n v="78"/>
    <s v="YES"/>
    <s v="YES"/>
    <n v="0"/>
    <n v="0"/>
    <m/>
    <s v=""/>
    <m/>
    <m/>
    <n v="3.8480662983425375E-2"/>
    <n v="697.95918367346928"/>
    <n v="4"/>
    <n v="33.75"/>
    <m/>
    <d v="2026-05-26T00:00:00"/>
  </r>
  <r>
    <d v="2026-05-13T00:00:00"/>
    <s v="Wednesday"/>
    <x v="1"/>
    <n v="39.200000000000003"/>
    <n v="32.5"/>
    <n v="34"/>
    <n v="0.82908163265306112"/>
    <n v="0.86734693877551017"/>
    <m/>
    <m/>
    <m/>
    <n v="1.3400000000000003"/>
    <n v="4.9000000000000002E-2"/>
    <n v="14"/>
    <m/>
    <m/>
    <m/>
    <m/>
    <n v="24"/>
    <n v="1"/>
    <m/>
    <m/>
    <m/>
    <m/>
    <m/>
    <m/>
    <n v="23"/>
    <m/>
    <n v="1"/>
    <m/>
    <m/>
    <m/>
    <m/>
    <n v="0.36326530612245023"/>
    <n v="0.82040816326530619"/>
    <n v="20.816326530612244"/>
    <n v="0.9050576752440106"/>
    <n v="86"/>
    <s v="YES"/>
    <s v="YES"/>
    <n v="1"/>
    <n v="1"/>
    <m/>
    <s v=""/>
    <m/>
    <m/>
    <n v="2.7154696132596693E-2"/>
    <n v="624.48979591836735"/>
    <n v="1"/>
    <n v="60"/>
    <m/>
    <d v="2026-05-26T00:00:00"/>
  </r>
  <r>
    <d v="2026-05-14T00:00:00"/>
    <s v="Thursday"/>
    <x v="1"/>
    <n v="39.200000000000003"/>
    <n v="32.5"/>
    <n v="33"/>
    <n v="0.82908163265306112"/>
    <n v="0.84183673469387743"/>
    <m/>
    <m/>
    <m/>
    <n v="1.0799999999999996"/>
    <n v="4.9000000000000002E-2"/>
    <n v="14"/>
    <m/>
    <m/>
    <m/>
    <m/>
    <n v="24"/>
    <m/>
    <n v="1"/>
    <m/>
    <m/>
    <m/>
    <m/>
    <m/>
    <n v="23"/>
    <n v="0.5"/>
    <m/>
    <n v="0.5"/>
    <m/>
    <m/>
    <m/>
    <n v="1.134693877551026"/>
    <n v="0.66122448979591808"/>
    <n v="20.204081632653057"/>
    <n v="0.87843833185448073"/>
    <n v="73"/>
    <s v="YES"/>
    <s v="YES"/>
    <n v="23"/>
    <n v="21"/>
    <m/>
    <s v=""/>
    <m/>
    <m/>
    <n v="2.6721915285451231E-2"/>
    <n v="1212.2448979591834"/>
    <n v="2"/>
    <n v="30"/>
    <m/>
    <d v="2026-05-26T00:00:00"/>
  </r>
  <r>
    <d v="2026-05-15T00:00:00"/>
    <s v="Friday"/>
    <x v="1"/>
    <n v="39.200000000000003"/>
    <n v="30.5"/>
    <n v="30.1"/>
    <n v="0.77806122448979576"/>
    <n v="0.76785714285714279"/>
    <m/>
    <m/>
    <m/>
    <n v="1.2"/>
    <n v="4.8000000000000001E-2"/>
    <n v="14"/>
    <m/>
    <m/>
    <m/>
    <m/>
    <n v="24"/>
    <m/>
    <m/>
    <m/>
    <n v="2"/>
    <n v="1"/>
    <m/>
    <m/>
    <n v="21"/>
    <n v="0.5"/>
    <n v="0.3"/>
    <n v="0.58333333333333337"/>
    <m/>
    <m/>
    <m/>
    <n v="0.45340136054421976"/>
    <n v="0.73469387755102034"/>
    <n v="18.428571428571427"/>
    <n v="0.87755102040816324"/>
    <n v="77"/>
    <s v="YES"/>
    <s v="YES"/>
    <n v="0"/>
    <n v="0"/>
    <m/>
    <s v=""/>
    <m/>
    <m/>
    <s v=""/>
    <n v="850.5494505494504"/>
    <n v="3"/>
    <n v="27.666666666666664"/>
    <m/>
    <d v="2026-05-26T00:00:00"/>
  </r>
  <r>
    <d v="2026-05-16T00:00:00"/>
    <s v="Saturday"/>
    <x v="1"/>
    <n v="39.200000000000003"/>
    <n v="32.5"/>
    <n v="28.3"/>
    <n v="0.82908163265306112"/>
    <n v="0.72193877551020402"/>
    <m/>
    <m/>
    <m/>
    <n v="1.3199999999999998"/>
    <n v="4.9000000000000002E-2"/>
    <n v="5"/>
    <m/>
    <m/>
    <m/>
    <m/>
    <n v="24"/>
    <m/>
    <n v="1"/>
    <m/>
    <m/>
    <m/>
    <m/>
    <m/>
    <n v="23"/>
    <n v="0.5"/>
    <n v="3"/>
    <m/>
    <m/>
    <m/>
    <m/>
    <n v="1.3653061224489846"/>
    <n v="0.80816326530612226"/>
    <n v="17.326530612244895"/>
    <n v="0.75332741792369107"/>
    <n v="79"/>
    <s v="YES"/>
    <s v="YES"/>
    <n v="0"/>
    <n v="0"/>
    <m/>
    <s v=""/>
    <m/>
    <m/>
    <n v="3.0512820512820588E-2"/>
    <n v="346.5306122448979"/>
    <n v="2"/>
    <n v="105"/>
    <m/>
    <d v="2026-05-26T00:00:00"/>
  </r>
  <r>
    <d v="2026-05-17T00:00:00"/>
    <s v="Sunday"/>
    <x v="1"/>
    <n v="39.200000000000003"/>
    <n v="35.5"/>
    <n v="37.099999999999994"/>
    <n v="0.90561224489795911"/>
    <n v="0.94642857142857117"/>
    <m/>
    <m/>
    <m/>
    <n v="1.1299999999999999"/>
    <n v="4.9000000000000002E-2"/>
    <n v="5"/>
    <m/>
    <m/>
    <m/>
    <m/>
    <n v="24"/>
    <m/>
    <m/>
    <m/>
    <m/>
    <m/>
    <m/>
    <m/>
    <n v="24"/>
    <n v="0.4"/>
    <m/>
    <m/>
    <m/>
    <m/>
    <m/>
    <n v="0.19387755102041737"/>
    <n v="0.69183673469387741"/>
    <n v="22.714285714285708"/>
    <n v="0.94642857142857117"/>
    <n v="84"/>
    <s v="YES"/>
    <s v="YES"/>
    <n v="0"/>
    <n v="0"/>
    <m/>
    <s v=""/>
    <m/>
    <m/>
    <n v="2.8869463869463916E-2"/>
    <n v="1362.8571428571424"/>
    <n v="0"/>
    <s v=""/>
    <m/>
    <d v="2026-05-26T00:00:00"/>
  </r>
  <r>
    <d v="2026-05-18T00:00:00"/>
    <s v="Monday"/>
    <x v="2"/>
    <n v="34.200000000000003"/>
    <n v="30"/>
    <n v="30.200000000000003"/>
    <n v="0.8771929824561403"/>
    <n v="0.88304093567251474"/>
    <m/>
    <m/>
    <m/>
    <n v="1.0499999999999998"/>
    <n v="4.9000000000000002E-2"/>
    <n v="7"/>
    <m/>
    <m/>
    <m/>
    <m/>
    <n v="24"/>
    <m/>
    <n v="0.4"/>
    <m/>
    <m/>
    <m/>
    <m/>
    <m/>
    <n v="23.6"/>
    <m/>
    <n v="1.7"/>
    <m/>
    <m/>
    <m/>
    <m/>
    <n v="-2.9824561403508199E-2"/>
    <n v="0.73684210526315774"/>
    <n v="21.192982456140353"/>
    <n v="0.89800773119238775"/>
    <n v="69"/>
    <s v="YES"/>
    <s v="YES"/>
    <n v="0"/>
    <n v="0"/>
    <m/>
    <s v=""/>
    <m/>
    <m/>
    <n v="2.9632867132867152E-2"/>
    <n v="747.98761609907126"/>
    <n v="1"/>
    <n v="102"/>
    <m/>
    <d v="2026-05-26T00:00:00"/>
  </r>
  <r>
    <d v="2026-05-19T00:00:00"/>
    <s v="Tuesday"/>
    <x v="2"/>
    <n v="34.200000000000003"/>
    <n v="30.5"/>
    <n v="29.8"/>
    <n v="0.89181286549707595"/>
    <n v="0.87134502923976609"/>
    <m/>
    <m/>
    <m/>
    <n v="1.1000000000000001"/>
    <n v="4.8000000000000001E-2"/>
    <n v="6"/>
    <m/>
    <m/>
    <m/>
    <m/>
    <n v="24"/>
    <m/>
    <n v="0.8"/>
    <m/>
    <m/>
    <m/>
    <m/>
    <m/>
    <n v="23.2"/>
    <n v="0.5"/>
    <m/>
    <n v="1"/>
    <m/>
    <m/>
    <m/>
    <n v="1.5789473684208133E-2"/>
    <n v="0.77192982456140358"/>
    <n v="20.912280701754387"/>
    <n v="0.90139140955837882"/>
    <n v="77"/>
    <s v="YES"/>
    <s v="YES"/>
    <n v="4"/>
    <n v="4"/>
    <m/>
    <s v=""/>
    <m/>
    <m/>
    <n v="2.3717948717948745E-2"/>
    <n v="1254.7368421052631"/>
    <n v="2"/>
    <n v="45"/>
    <m/>
    <d v="2026-05-26T00:00:00"/>
  </r>
  <r>
    <d v="2026-05-20T00:00:00"/>
    <s v="Wednesday"/>
    <x v="2"/>
    <n v="34.200000000000003"/>
    <n v="30.5"/>
    <n v="32.6"/>
    <n v="0.89181286549707595"/>
    <n v="0.95321637426900585"/>
    <m/>
    <m/>
    <m/>
    <n v="1.45"/>
    <n v="4.8000000000000001E-2"/>
    <n v="6"/>
    <m/>
    <m/>
    <m/>
    <m/>
    <n v="24"/>
    <m/>
    <m/>
    <m/>
    <m/>
    <m/>
    <m/>
    <m/>
    <n v="24"/>
    <m/>
    <m/>
    <m/>
    <m/>
    <m/>
    <m/>
    <n v="0.10526315789473628"/>
    <n v="1.0175438596491226"/>
    <n v="22.87719298245614"/>
    <n v="0.95321637426900585"/>
    <n v="73"/>
    <s v="YES"/>
    <s v="YES"/>
    <n v="0"/>
    <n v="0"/>
    <m/>
    <s v=""/>
    <m/>
    <m/>
    <n v="2.2115384615384575E-2"/>
    <n v="1372.6315789473683"/>
    <n v="0"/>
    <s v=""/>
    <m/>
    <d v="2026-05-26T00:00:00"/>
  </r>
  <r>
    <d v="2026-05-21T00:00:00"/>
    <s v="Thursday"/>
    <x v="2"/>
    <n v="34.200000000000003"/>
    <n v="30.5"/>
    <n v="28.1"/>
    <n v="0.89181286549707595"/>
    <n v="0.82163742690058483"/>
    <m/>
    <m/>
    <m/>
    <n v="1.2999999999999998"/>
    <n v="4.8000000000000001E-2"/>
    <n v="2"/>
    <m/>
    <m/>
    <m/>
    <m/>
    <n v="24"/>
    <m/>
    <n v="0.5"/>
    <m/>
    <m/>
    <m/>
    <m/>
    <m/>
    <n v="23.5"/>
    <n v="0.5"/>
    <m/>
    <n v="1.5"/>
    <n v="0.5"/>
    <m/>
    <m/>
    <n v="0.36842105263157876"/>
    <n v="0.9122807017543858"/>
    <n v="19.719298245614034"/>
    <n v="0.83911907428144827"/>
    <n v="92"/>
    <s v="YES"/>
    <s v="YES"/>
    <n v="0"/>
    <n v="0"/>
    <m/>
    <s v=""/>
    <m/>
    <m/>
    <n v="2.0064102564102602E-2"/>
    <n v="1183.1578947368421"/>
    <n v="2"/>
    <n v="75"/>
    <m/>
    <d v="2026-05-26T00:00:00"/>
  </r>
  <r>
    <d v="2026-05-22T00:00:00"/>
    <s v="Friday"/>
    <x v="2"/>
    <n v="34.200000000000003"/>
    <n v="15"/>
    <n v="28"/>
    <n v="0.43859649122807015"/>
    <n v="0.81871345029239773"/>
    <m/>
    <m/>
    <m/>
    <n v="1.19"/>
    <n v="4.5999999999999999E-2"/>
    <n v="6"/>
    <m/>
    <m/>
    <m/>
    <m/>
    <n v="24"/>
    <m/>
    <m/>
    <m/>
    <m/>
    <m/>
    <m/>
    <m/>
    <n v="24"/>
    <m/>
    <m/>
    <m/>
    <m/>
    <m/>
    <m/>
    <n v="3.5157894736842117"/>
    <n v="0.83508771929824555"/>
    <n v="19.649122807017545"/>
    <n v="0.81871345029239773"/>
    <n v="90"/>
    <s v="YES"/>
    <s v="YES"/>
    <n v="0"/>
    <n v="0"/>
    <m/>
    <s v=""/>
    <m/>
    <m/>
    <n v="1.9283216783216803E-2"/>
    <n v="1178.9473684210527"/>
    <n v="0"/>
    <s v=""/>
    <m/>
    <d v="2026-05-26T00:00:00"/>
  </r>
  <r>
    <d v="2026-05-23T00:00:00"/>
    <s v="Saturday"/>
    <x v="2"/>
    <n v="34.200000000000003"/>
    <n v="31"/>
    <n v="17.600000000000001"/>
    <n v="0.9064327485380117"/>
    <n v="0.51461988304093564"/>
    <m/>
    <m/>
    <m/>
    <n v="1.1900000000000004"/>
    <n v="4.5999999999999999E-2"/>
    <n v="4"/>
    <m/>
    <m/>
    <m/>
    <m/>
    <n v="24"/>
    <m/>
    <m/>
    <n v="10.8"/>
    <m/>
    <m/>
    <m/>
    <m/>
    <n v="13.2"/>
    <m/>
    <m/>
    <m/>
    <m/>
    <m/>
    <m/>
    <n v="1.4035087719296513E-2"/>
    <n v="0.83508771929824588"/>
    <n v="12.350877192982457"/>
    <n v="0.93567251461988321"/>
    <n v="85"/>
    <s v="YES"/>
    <s v="YES"/>
    <n v="0"/>
    <n v="0"/>
    <m/>
    <s v=""/>
    <m/>
    <m/>
    <n v="3.2744014732964961E-2"/>
    <n v="741.0526315789474"/>
    <n v="0"/>
    <s v=""/>
    <m/>
    <d v="2026-05-26T00:00:00"/>
  </r>
  <r>
    <d v="2026-05-24T00:00:00"/>
    <s v="Sunday"/>
    <x v="2"/>
    <n v="34.200000000000003"/>
    <n v="31"/>
    <n v="28.7"/>
    <n v="0.9064327485380117"/>
    <n v="0.83918128654970758"/>
    <m/>
    <m/>
    <m/>
    <n v="1.32"/>
    <n v="4.5999999999999999E-2"/>
    <n v="4"/>
    <m/>
    <m/>
    <m/>
    <m/>
    <n v="24"/>
    <m/>
    <m/>
    <m/>
    <n v="1"/>
    <m/>
    <m/>
    <m/>
    <n v="23"/>
    <m/>
    <n v="2"/>
    <m/>
    <m/>
    <m/>
    <m/>
    <n v="-6.666666666666643E-2"/>
    <n v="0.9263157894736842"/>
    <n v="20.140350877192983"/>
    <n v="0.87566742944317322"/>
    <n v="94"/>
    <s v="YES"/>
    <s v="YES"/>
    <n v="0"/>
    <n v="4"/>
    <m/>
    <s v=""/>
    <m/>
    <m/>
    <n v="2.3287292817679578E-2"/>
    <n v="604.21052631578948"/>
    <n v="1"/>
    <n v="120"/>
    <m/>
    <d v="2026-05-26T00:00:00"/>
  </r>
  <r>
    <d v="2026-05-25T00:00:00"/>
    <s v="Monday"/>
    <x v="1"/>
    <n v="39.200000000000003"/>
    <n v="31"/>
    <n v="30.06"/>
    <n v="0.79081632653061218"/>
    <n v="0.76683673469387748"/>
    <m/>
    <m/>
    <m/>
    <n v="1.6099999999999999"/>
    <n v="4.5999999999999999E-2"/>
    <n v="6"/>
    <m/>
    <m/>
    <m/>
    <m/>
    <n v="24"/>
    <n v="0.5"/>
    <n v="1"/>
    <m/>
    <m/>
    <m/>
    <m/>
    <m/>
    <n v="22.5"/>
    <m/>
    <n v="2.5"/>
    <m/>
    <m/>
    <m/>
    <m/>
    <n v="0.61020408163265927"/>
    <n v="0.98571428571428554"/>
    <n v="18.404081632653057"/>
    <n v="0.8179591836734692"/>
    <n v="78"/>
    <s v="YES"/>
    <s v="YES"/>
    <n v="0"/>
    <n v="0"/>
    <m/>
    <s v=""/>
    <m/>
    <m/>
    <n v="2.1408839779005526E-2"/>
    <n v="441.69795918367339"/>
    <n v="2"/>
    <n v="75"/>
    <m/>
    <d v="2026-05-26T00:00:00"/>
  </r>
  <r>
    <d v="2026-05-26T00:00:00"/>
    <s v="Tuesday"/>
    <x v="1"/>
    <n v="39.200000000000003"/>
    <n v="31"/>
    <n v="33.9"/>
    <n v="0.79081632653061218"/>
    <n v="0.86479591836734671"/>
    <m/>
    <m/>
    <m/>
    <n v="1.59"/>
    <n v="4.2999999999999997E-2"/>
    <n v="3"/>
    <m/>
    <m/>
    <m/>
    <m/>
    <n v="24"/>
    <n v="1"/>
    <n v="0.5"/>
    <m/>
    <m/>
    <m/>
    <m/>
    <m/>
    <n v="22.5"/>
    <m/>
    <m/>
    <n v="0.5"/>
    <m/>
    <m/>
    <m/>
    <n v="0.27142857142857579"/>
    <n v="0.97346938775510194"/>
    <n v="20.755102040816322"/>
    <n v="0.92244897959183647"/>
    <n v="92"/>
    <s v="YES"/>
    <s v="YES"/>
    <n v="6"/>
    <n v="6"/>
    <m/>
    <s v=""/>
    <m/>
    <m/>
    <n v="1.9953959484346188E-2"/>
    <n v="1245.3061224489793"/>
    <n v="1"/>
    <n v="30"/>
    <m/>
    <d v="2026-05-26T00:00:00"/>
  </r>
  <r>
    <d v="2026-05-27T00:00:00"/>
    <s v="Wednesday"/>
    <x v="1"/>
    <n v="39.200000000000003"/>
    <n v="31"/>
    <n v="27.9"/>
    <n v="0.79081632653061218"/>
    <n v="0.71173469387755084"/>
    <m/>
    <m/>
    <m/>
    <n v="1.7"/>
    <n v="4.2999999999999997E-2"/>
    <n v="3"/>
    <m/>
    <m/>
    <m/>
    <m/>
    <n v="24"/>
    <n v="1"/>
    <n v="0.5"/>
    <n v="0"/>
    <n v="0"/>
    <m/>
    <m/>
    <m/>
    <n v="22.5"/>
    <m/>
    <n v="4"/>
    <n v="0"/>
    <m/>
    <m/>
    <m/>
    <n v="0.37755102040816624"/>
    <n v="1.0408163265306121"/>
    <n v="17.08163265306122"/>
    <n v="0.75918367346938753"/>
    <n v="85"/>
    <s v="YES"/>
    <s v="YES"/>
    <n v="0"/>
    <n v="0"/>
    <m/>
    <s v=""/>
    <m/>
    <m/>
    <n v="1.9208103130755026E-2"/>
    <n v="256.22448979591832"/>
    <n v="2"/>
    <n v="120"/>
    <m/>
    <d v="2026-05-26T00:00:00"/>
  </r>
  <r>
    <d v="2026-05-28T00:00:00"/>
    <s v="Thursday"/>
    <x v="1"/>
    <n v="39.200000000000003"/>
    <n v="31"/>
    <n v="34"/>
    <n v="0.79081632653061218"/>
    <n v="0.86734693877551017"/>
    <m/>
    <m/>
    <m/>
    <n v="1.23"/>
    <n v="4.2999999999999997E-2"/>
    <n v="4"/>
    <m/>
    <m/>
    <m/>
    <m/>
    <n v="24"/>
    <n v="1"/>
    <n v="1"/>
    <m/>
    <m/>
    <m/>
    <m/>
    <m/>
    <n v="22"/>
    <m/>
    <m/>
    <m/>
    <m/>
    <m/>
    <m/>
    <n v="0.43061224489796146"/>
    <n v="0.75306122448979584"/>
    <n v="20.816326530612244"/>
    <n v="0.94619666048237472"/>
    <n v="85"/>
    <s v="YES"/>
    <s v="YES"/>
    <n v="0"/>
    <n v="0"/>
    <m/>
    <s v=""/>
    <m/>
    <m/>
    <n v="2.6740331491712722E-2"/>
    <n v="1248.9795918367347"/>
    <n v="1"/>
    <n v="0"/>
    <m/>
    <d v="2026-05-26T00:00:00"/>
  </r>
  <r>
    <d v="2026-05-29T00:00:00"/>
    <s v="Friday"/>
    <x v="1"/>
    <n v="39.200000000000003"/>
    <n v="33"/>
    <n v="29.55"/>
    <n v="0.84183673469387743"/>
    <n v="0.75382653061224481"/>
    <m/>
    <m/>
    <m/>
    <n v="1.52"/>
    <n v="4.1000000000000002E-2"/>
    <n v="6"/>
    <m/>
    <m/>
    <m/>
    <m/>
    <n v="24"/>
    <n v="1"/>
    <n v="1"/>
    <m/>
    <m/>
    <m/>
    <m/>
    <m/>
    <n v="22"/>
    <n v="0.5"/>
    <n v="0.5"/>
    <n v="0.5"/>
    <n v="0.25"/>
    <m/>
    <m/>
    <n v="1.2275510204081677"/>
    <n v="0.93061224489795913"/>
    <n v="18.091836734693874"/>
    <n v="0.82235621521335789"/>
    <n v="85"/>
    <s v="YES"/>
    <s v="YES"/>
    <n v="1"/>
    <n v="1"/>
    <m/>
    <s v=""/>
    <m/>
    <m/>
    <n v="2.1243093922651928E-2"/>
    <n v="723.67346938775506"/>
    <n v="2"/>
    <n v="52.5"/>
    <m/>
    <d v="2026-05-26T00:00:00"/>
  </r>
  <r>
    <d v="2026-05-30T00:00:00"/>
    <s v="Saturday"/>
    <x v="2"/>
    <n v="34.200000000000003"/>
    <n v="33"/>
    <n v="30.47"/>
    <n v="0.96491228070175439"/>
    <n v="0.8909356725146198"/>
    <m/>
    <m/>
    <m/>
    <n v="1.3699999999999997"/>
    <n v="3.7999999999999999E-2"/>
    <n v="14"/>
    <m/>
    <m/>
    <m/>
    <m/>
    <n v="24"/>
    <m/>
    <m/>
    <m/>
    <m/>
    <m/>
    <m/>
    <m/>
    <n v="24"/>
    <m/>
    <n v="1.7"/>
    <m/>
    <m/>
    <m/>
    <m/>
    <n v="-4.3859649122804711E-2"/>
    <n v="0.96140350877192959"/>
    <n v="21.382456140350875"/>
    <n v="0.8909356725146198"/>
    <n v="85"/>
    <s v="YES"/>
    <s v="YES"/>
    <n v="1"/>
    <n v="0"/>
    <m/>
    <s v=""/>
    <m/>
    <m/>
    <n v="2.5593922651933741E-2"/>
    <n v="754.67492260061908"/>
    <n v="1"/>
    <n v="102"/>
    <m/>
    <d v="2026-05-26T00:00:00"/>
  </r>
  <r>
    <d v="2026-05-31T00:00:00"/>
    <s v="Sunday"/>
    <x v="2"/>
    <n v="34.200000000000003"/>
    <n v="18"/>
    <n v="25.3"/>
    <n v="0.52631578947368418"/>
    <n v="0.73976608187134507"/>
    <m/>
    <m/>
    <m/>
    <n v="1.9"/>
    <n v="3.7999999999999999E-2"/>
    <n v="14"/>
    <m/>
    <m/>
    <m/>
    <m/>
    <n v="24"/>
    <m/>
    <n v="1"/>
    <n v="2"/>
    <m/>
    <m/>
    <m/>
    <m/>
    <n v="21"/>
    <m/>
    <n v="2"/>
    <m/>
    <m/>
    <m/>
    <m/>
    <n v="-8.7719298245612976E-2"/>
    <n v="1.3333333333333333"/>
    <n v="17.754385964912281"/>
    <n v="0.84544695071010856"/>
    <n v="85"/>
    <s v="YES"/>
    <s v="YES"/>
    <n v="26"/>
    <n v="26"/>
    <m/>
    <s v=""/>
    <m/>
    <m/>
    <s v=""/>
    <n v="532.63157894736844"/>
    <n v="0"/>
    <s v=""/>
    <m/>
    <d v="2026-05-26T00:00:00"/>
  </r>
  <r>
    <d v="2026-06-01T00:00:00"/>
    <s v="Monday"/>
    <x v="6"/>
    <n v="24.5"/>
    <n v="4"/>
    <m/>
    <n v="0.16326530612244899"/>
    <n v="0"/>
    <m/>
    <m/>
    <m/>
    <m/>
    <m/>
    <m/>
    <m/>
    <m/>
    <m/>
    <m/>
    <n v="24"/>
    <m/>
    <m/>
    <n v="24"/>
    <m/>
    <m/>
    <m/>
    <m/>
    <n v="0"/>
    <m/>
    <m/>
    <m/>
    <m/>
    <m/>
    <m/>
    <n v="0"/>
    <n v="0"/>
    <n v="0"/>
    <s v=""/>
    <n v="54"/>
    <m/>
    <m/>
    <n v="25"/>
    <n v="25"/>
    <m/>
    <s v=""/>
    <m/>
    <m/>
    <s v=""/>
    <n v="1"/>
    <n v="0"/>
    <s v=""/>
    <m/>
    <d v="2026-06-26T00:00:00"/>
  </r>
  <r>
    <d v="2026-06-02T00:00:00"/>
    <s v="Tuesday"/>
    <x v="6"/>
    <n v="24.5"/>
    <n v="4"/>
    <m/>
    <n v="0.16326530612244899"/>
    <n v="0"/>
    <m/>
    <m/>
    <m/>
    <m/>
    <m/>
    <m/>
    <m/>
    <m/>
    <m/>
    <m/>
    <n v="24"/>
    <m/>
    <m/>
    <n v="24"/>
    <m/>
    <m/>
    <m/>
    <m/>
    <n v="0"/>
    <m/>
    <m/>
    <m/>
    <m/>
    <m/>
    <m/>
    <n v="0"/>
    <n v="0"/>
    <n v="0"/>
    <s v=""/>
    <n v="51"/>
    <m/>
    <m/>
    <n v="2"/>
    <n v="0"/>
    <m/>
    <s v=""/>
    <m/>
    <m/>
    <s v=""/>
    <n v="1"/>
    <n v="0"/>
    <s v=""/>
    <m/>
    <d v="2026-06-26T00:00:00"/>
  </r>
  <r>
    <d v="2026-06-03T00:00:00"/>
    <s v="Wednesday"/>
    <x v="6"/>
    <n v="24.5"/>
    <n v="3"/>
    <m/>
    <n v="0.12244897959183675"/>
    <n v="0"/>
    <m/>
    <m/>
    <m/>
    <m/>
    <m/>
    <m/>
    <m/>
    <m/>
    <m/>
    <m/>
    <n v="24"/>
    <m/>
    <m/>
    <n v="24"/>
    <m/>
    <m/>
    <m/>
    <m/>
    <n v="0"/>
    <m/>
    <m/>
    <m/>
    <m/>
    <m/>
    <m/>
    <n v="0"/>
    <n v="0"/>
    <n v="0"/>
    <s v=""/>
    <n v="49"/>
    <m/>
    <m/>
    <n v="4"/>
    <n v="4"/>
    <m/>
    <s v=""/>
    <m/>
    <m/>
    <s v=""/>
    <n v="1"/>
    <n v="0"/>
    <s v=""/>
    <m/>
    <d v="2026-06-26T00:00:00"/>
  </r>
  <r>
    <d v="2026-06-04T00:00:00"/>
    <s v="Thursday"/>
    <x v="6"/>
    <n v="24.5"/>
    <n v="0"/>
    <m/>
    <n v="0"/>
    <n v="0"/>
    <m/>
    <m/>
    <m/>
    <m/>
    <m/>
    <m/>
    <m/>
    <m/>
    <m/>
    <m/>
    <n v="24"/>
    <m/>
    <m/>
    <n v="24"/>
    <m/>
    <m/>
    <m/>
    <m/>
    <n v="0"/>
    <m/>
    <m/>
    <m/>
    <m/>
    <m/>
    <m/>
    <n v="0"/>
    <n v="0"/>
    <n v="0"/>
    <s v=""/>
    <n v="53"/>
    <m/>
    <m/>
    <n v="0"/>
    <n v="0"/>
    <m/>
    <s v=""/>
    <m/>
    <m/>
    <s v=""/>
    <n v="1"/>
    <n v="0"/>
    <s v=""/>
    <m/>
    <d v="2026-06-26T00:00:00"/>
  </r>
  <r>
    <d v="2026-06-05T00:00:00"/>
    <s v="Friday"/>
    <x v="6"/>
    <n v="24.5"/>
    <n v="11.5"/>
    <n v="18"/>
    <n v="0.46938775510204089"/>
    <n v="0.73469387755102045"/>
    <m/>
    <m/>
    <m/>
    <n v="1.415"/>
    <n v="4.3999999999999997E-2"/>
    <m/>
    <m/>
    <m/>
    <m/>
    <m/>
    <n v="24"/>
    <m/>
    <m/>
    <n v="8"/>
    <m/>
    <m/>
    <m/>
    <m/>
    <n v="16"/>
    <m/>
    <m/>
    <m/>
    <m/>
    <m/>
    <m/>
    <n v="-3.0187755102040832"/>
    <n v="1.386122448979592"/>
    <n v="17.632653061224492"/>
    <n v="1.1020408163265307"/>
    <n v="76"/>
    <s v="YES"/>
    <s v="YES"/>
    <n v="0"/>
    <n v="0"/>
    <m/>
    <s v=""/>
    <m/>
    <m/>
    <s v=""/>
    <n v="1057.9591836734694"/>
    <n v="1"/>
    <n v="0"/>
    <m/>
    <d v="2026-06-26T00:00:00"/>
  </r>
  <r>
    <d v="2026-06-06T00:00:00"/>
    <s v="Saturday"/>
    <x v="6"/>
    <n v="24.5"/>
    <n v="13"/>
    <n v="22.2"/>
    <n v="0.53061224489795922"/>
    <n v="0.90612244897959182"/>
    <m/>
    <m/>
    <m/>
    <n v="1.526"/>
    <n v="4.3999999999999997E-2"/>
    <m/>
    <m/>
    <m/>
    <m/>
    <m/>
    <n v="24"/>
    <m/>
    <m/>
    <m/>
    <m/>
    <m/>
    <m/>
    <m/>
    <n v="24"/>
    <m/>
    <n v="0.75"/>
    <m/>
    <m/>
    <m/>
    <m/>
    <n v="8.2040816326518495E-3"/>
    <n v="1.4948571428571429"/>
    <n v="21.746938775510205"/>
    <n v="0.90612244897959193"/>
    <n v="100"/>
    <s v="YES"/>
    <s v="YES"/>
    <n v="0"/>
    <n v="0"/>
    <m/>
    <s v=""/>
    <m/>
    <m/>
    <s v=""/>
    <n v="745.60932944606418"/>
    <n v="1"/>
    <n v="45"/>
    <m/>
    <d v="2026-06-26T00:00:00"/>
  </r>
  <r>
    <d v="2026-06-07T00:00:00"/>
    <s v="Sunday"/>
    <x v="6"/>
    <n v="24.5"/>
    <n v="17"/>
    <n v="21.463491999999999"/>
    <n v="0.69387755102040827"/>
    <n v="0.87606089795918363"/>
    <m/>
    <m/>
    <m/>
    <n v="1.5549999999999999"/>
    <n v="4.3999999999999997E-2"/>
    <m/>
    <m/>
    <m/>
    <m/>
    <m/>
    <n v="24"/>
    <m/>
    <m/>
    <m/>
    <m/>
    <m/>
    <m/>
    <m/>
    <n v="24"/>
    <m/>
    <n v="1.1666666666666667"/>
    <m/>
    <m/>
    <m/>
    <m/>
    <n v="0.28460647619047208"/>
    <n v="1.523265306122449"/>
    <n v="21.02546155102041"/>
    <n v="0.87606089795918374"/>
    <n v="105"/>
    <s v="YES"/>
    <s v="YES"/>
    <n v="1"/>
    <n v="1"/>
    <m/>
    <s v=""/>
    <m/>
    <m/>
    <s v=""/>
    <n v="1081.3094511953354"/>
    <n v="3"/>
    <n v="23.333333333333332"/>
    <m/>
    <d v="2026-06-26T00:00:00"/>
  </r>
  <r>
    <d v="2026-06-08T00:00:00"/>
    <s v="Monday"/>
    <x v="6"/>
    <n v="24.5"/>
    <n v="17"/>
    <n v="21.351644"/>
    <n v="0.69387755102040827"/>
    <n v="0.87149567346938783"/>
    <m/>
    <m/>
    <m/>
    <n v="1.696"/>
    <n v="4.3999999999999997E-2"/>
    <n v="10"/>
    <m/>
    <m/>
    <m/>
    <m/>
    <n v="24"/>
    <m/>
    <m/>
    <m/>
    <m/>
    <m/>
    <m/>
    <m/>
    <n v="24"/>
    <m/>
    <n v="1.4"/>
    <m/>
    <m/>
    <m/>
    <m/>
    <n v="2.2716081632651708E-2"/>
    <n v="1.6613877551020408"/>
    <n v="20.915896163265309"/>
    <n v="0.87149567346938783"/>
    <n v="92"/>
    <s v="YES"/>
    <s v="YES"/>
    <n v="0"/>
    <n v="0"/>
    <m/>
    <s v=""/>
    <m/>
    <m/>
    <s v=""/>
    <n v="896.39554985422751"/>
    <n v="1"/>
    <n v="84"/>
    <m/>
    <d v="2026-06-26T00:00:00"/>
  </r>
  <r>
    <d v="2026-06-09T00:00:00"/>
    <s v="Tuesday"/>
    <x v="6"/>
    <n v="24.5"/>
    <n v="17"/>
    <n v="21"/>
    <n v="0.69387755102040827"/>
    <n v="0.85714285714285721"/>
    <m/>
    <m/>
    <m/>
    <n v="1.3959999999999999"/>
    <n v="4.3999999999999997E-2"/>
    <n v="15"/>
    <m/>
    <m/>
    <m/>
    <m/>
    <n v="24"/>
    <m/>
    <m/>
    <m/>
    <m/>
    <m/>
    <m/>
    <m/>
    <n v="24"/>
    <m/>
    <m/>
    <m/>
    <m/>
    <m/>
    <m/>
    <n v="2.0610612244897943"/>
    <n v="1.3675102040816327"/>
    <n v="20.571428571428573"/>
    <n v="0.85714285714285721"/>
    <n v="102"/>
    <s v="YES"/>
    <s v="YES"/>
    <n v="0"/>
    <n v="0"/>
    <m/>
    <s v=""/>
    <m/>
    <m/>
    <s v=""/>
    <n v="1234.2857142857144"/>
    <n v="2"/>
    <n v="0"/>
    <m/>
    <d v="2026-06-26T00:00:00"/>
  </r>
  <r>
    <d v="2026-06-10T00:00:00"/>
    <s v="Wednesday"/>
    <x v="6"/>
    <n v="24.5"/>
    <n v="17"/>
    <n v="20.399999999999999"/>
    <n v="0.69387755102040827"/>
    <n v="0.83265306122448979"/>
    <m/>
    <m/>
    <m/>
    <n v="1.012"/>
    <n v="4.3999999999999997E-2"/>
    <m/>
    <m/>
    <m/>
    <m/>
    <m/>
    <n v="24"/>
    <m/>
    <m/>
    <m/>
    <m/>
    <m/>
    <m/>
    <m/>
    <n v="24"/>
    <m/>
    <n v="3"/>
    <m/>
    <m/>
    <m/>
    <m/>
    <n v="2.4979591836732595E-2"/>
    <n v="0.99134693877551028"/>
    <n v="19.983673469387757"/>
    <n v="0.8326530612244899"/>
    <n v="95"/>
    <s v="YES"/>
    <s v="YES"/>
    <n v="0"/>
    <n v="0"/>
    <m/>
    <s v=""/>
    <m/>
    <m/>
    <s v=""/>
    <n v="399.67346938775518"/>
    <n v="1"/>
    <n v="180"/>
    <m/>
    <d v="2026-06-26T00:00:00"/>
  </r>
  <r>
    <d v="2026-06-11T00:00:00"/>
    <s v="Thursday"/>
    <x v="6"/>
    <n v="24.5"/>
    <n v="11"/>
    <n v="21.965367999999998"/>
    <n v="0.44897959183673469"/>
    <n v="0.8965456326530612"/>
    <m/>
    <m/>
    <m/>
    <n v="1.1040000000000001"/>
    <n v="4.3999999999999997E-2"/>
    <m/>
    <m/>
    <m/>
    <m/>
    <m/>
    <n v="24"/>
    <m/>
    <m/>
    <m/>
    <m/>
    <m/>
    <m/>
    <m/>
    <n v="24"/>
    <m/>
    <m/>
    <n v="1.4"/>
    <m/>
    <m/>
    <m/>
    <n v="1.4354285714297532E-3"/>
    <n v="1.0814693877551023"/>
    <n v="21.517095183673469"/>
    <n v="0.8965456326530612"/>
    <n v="83"/>
    <s v="YES"/>
    <s v="YES"/>
    <n v="0"/>
    <n v="0"/>
    <m/>
    <s v=""/>
    <m/>
    <m/>
    <s v=""/>
    <n v="1291.0257110204082"/>
    <n v="2"/>
    <n v="42"/>
    <m/>
    <d v="2026-06-26T00:00:00"/>
  </r>
  <r>
    <d v="2026-06-12T00:00:00"/>
    <s v="Friday"/>
    <x v="6"/>
    <n v="24.5"/>
    <n v="8"/>
    <n v="20.2"/>
    <n v="0.32653061224489799"/>
    <n v="0.82448979591836746"/>
    <m/>
    <m/>
    <m/>
    <n v="1.5549999999999999"/>
    <n v="4.3999999999999997E-2"/>
    <m/>
    <m/>
    <m/>
    <m/>
    <m/>
    <n v="24"/>
    <m/>
    <m/>
    <m/>
    <m/>
    <m/>
    <m/>
    <m/>
    <n v="24"/>
    <m/>
    <n v="2.65"/>
    <m/>
    <m/>
    <m/>
    <m/>
    <n v="3.8979591836735494E-2"/>
    <n v="1.523265306122449"/>
    <n v="19.787755102040816"/>
    <n v="0.82448979591836735"/>
    <n v="75"/>
    <s v="YES"/>
    <s v="YES"/>
    <n v="0"/>
    <n v="0"/>
    <m/>
    <s v=""/>
    <m/>
    <m/>
    <s v=""/>
    <n v="448.02464381979206"/>
    <n v="0"/>
    <s v=""/>
    <m/>
    <d v="2026-06-26T00:00:00"/>
  </r>
  <r>
    <d v="2026-06-13T00:00:00"/>
    <s v="Saturday"/>
    <x v="6"/>
    <n v="24.5"/>
    <n v="16"/>
    <n v="21.1"/>
    <n v="0.65306122448979598"/>
    <n v="0.86122448979591848"/>
    <m/>
    <m/>
    <m/>
    <n v="1.5660000000000001"/>
    <n v="4.3999999999999997E-2"/>
    <m/>
    <m/>
    <m/>
    <m/>
    <m/>
    <n v="24"/>
    <m/>
    <m/>
    <n v="2.5"/>
    <m/>
    <m/>
    <m/>
    <m/>
    <n v="21.5"/>
    <m/>
    <m/>
    <m/>
    <m/>
    <m/>
    <m/>
    <n v="-0.7034285714285744"/>
    <n v="1.5340408163265309"/>
    <n v="20.669387755102044"/>
    <n v="0.96136687233032758"/>
    <n v="87"/>
    <s v="YES"/>
    <s v="YES"/>
    <n v="0"/>
    <n v="0"/>
    <m/>
    <s v=""/>
    <m/>
    <m/>
    <n v="1.9594843462246752E-2"/>
    <n v="1240.1632653061226"/>
    <n v="1"/>
    <n v="0"/>
    <m/>
    <d v="2026-06-26T00:00:00"/>
  </r>
  <r>
    <d v="2026-06-14T00:00:00"/>
    <s v="Sunday"/>
    <x v="6"/>
    <n v="24.5"/>
    <n v="22"/>
    <n v="24.000197"/>
    <n v="0.89795918367346939"/>
    <n v="0.9795998775510204"/>
    <m/>
    <m/>
    <m/>
    <m/>
    <n v="4.3999999999999997E-2"/>
    <n v="25"/>
    <m/>
    <m/>
    <m/>
    <m/>
    <n v="24"/>
    <m/>
    <m/>
    <m/>
    <m/>
    <m/>
    <m/>
    <m/>
    <n v="24"/>
    <m/>
    <m/>
    <m/>
    <m/>
    <m/>
    <m/>
    <n v="0.48960293877550853"/>
    <n v="0"/>
    <n v="23.510397061224491"/>
    <n v="0.97959987755102051"/>
    <n v="90"/>
    <s v="YES"/>
    <s v="YES"/>
    <n v="1"/>
    <n v="1"/>
    <m/>
    <s v=""/>
    <m/>
    <m/>
    <n v="3.1556169429097593E-2"/>
    <n v="1410.6238236734696"/>
    <n v="2"/>
    <n v="0"/>
    <m/>
    <d v="2026-06-26T00:00:00"/>
  </r>
  <r>
    <d v="2026-06-15T00:00:00"/>
    <s v="Monday"/>
    <x v="1"/>
    <n v="39.200000000000003"/>
    <n v="34.5"/>
    <n v="27.145032"/>
    <n v="0.88010204081632648"/>
    <n v="0.6924753061224489"/>
    <m/>
    <m/>
    <m/>
    <n v="1.7589999999999999"/>
    <n v="4.3999999999999997E-2"/>
    <n v="25"/>
    <m/>
    <m/>
    <m/>
    <m/>
    <n v="24"/>
    <n v="1"/>
    <n v="1"/>
    <m/>
    <m/>
    <m/>
    <m/>
    <m/>
    <n v="22"/>
    <m/>
    <n v="2.25"/>
    <n v="0.5"/>
    <m/>
    <m/>
    <m/>
    <n v="1.5536538775510209"/>
    <n v="1.0769387755102038"/>
    <n v="16.619407346938775"/>
    <n v="0.75542760667903519"/>
    <n v="94"/>
    <s v="YES"/>
    <s v="YES"/>
    <n v="0"/>
    <n v="0"/>
    <m/>
    <s v=""/>
    <m/>
    <m/>
    <n v="3.6482504604051565E-2"/>
    <n v="443.18419591836732"/>
    <n v="3"/>
    <n v="55"/>
    <m/>
    <d v="2026-06-26T00:00:00"/>
  </r>
  <r>
    <d v="2026-06-16T00:00:00"/>
    <s v="Tuesday"/>
    <x v="1"/>
    <n v="39.200000000000003"/>
    <n v="16.5"/>
    <n v="30"/>
    <n v="0.42091836734693872"/>
    <n v="0.76530612244897955"/>
    <m/>
    <m/>
    <m/>
    <n v="1.768"/>
    <n v="4.3999999999999997E-2"/>
    <m/>
    <m/>
    <m/>
    <m/>
    <m/>
    <n v="24"/>
    <m/>
    <m/>
    <m/>
    <m/>
    <m/>
    <m/>
    <m/>
    <n v="24"/>
    <m/>
    <n v="3.35"/>
    <m/>
    <m/>
    <m/>
    <m/>
    <n v="1.200204081632652"/>
    <n v="1.0824489795918366"/>
    <n v="18.367346938775508"/>
    <n v="0.76530612244897955"/>
    <n v="84"/>
    <s v="YES"/>
    <s v="YES"/>
    <n v="0"/>
    <n v="0"/>
    <m/>
    <s v=""/>
    <m/>
    <m/>
    <n v="2.1146408839779009E-2"/>
    <n v="328.96740785866581"/>
    <n v="1"/>
    <n v="201"/>
    <m/>
    <d v="2026-06-26T00:00:00"/>
  </r>
  <r>
    <d v="2026-06-17T00:00:00"/>
    <s v="Wednesday"/>
    <x v="1"/>
    <n v="39.200000000000003"/>
    <n v="36.5"/>
    <n v="26.9"/>
    <n v="0.93112244897959173"/>
    <n v="0.68622448979591832"/>
    <m/>
    <m/>
    <m/>
    <n v="1.575"/>
    <n v="4.3999999999999997E-2"/>
    <m/>
    <m/>
    <m/>
    <m/>
    <m/>
    <n v="24"/>
    <m/>
    <m/>
    <m/>
    <m/>
    <m/>
    <m/>
    <m/>
    <n v="24"/>
    <m/>
    <n v="6"/>
    <n v="0.4"/>
    <m/>
    <m/>
    <m/>
    <n v="0.166326530612249"/>
    <n v="0.96428571428571419"/>
    <n v="16.469387755102037"/>
    <n v="0.68622448979591821"/>
    <n v="74"/>
    <s v="YES"/>
    <s v="YES"/>
    <n v="0"/>
    <n v="0"/>
    <m/>
    <s v=""/>
    <m/>
    <m/>
    <n v="3.6919889502762454E-2"/>
    <n v="164.69387755102036"/>
    <n v="5"/>
    <n v="76.8"/>
    <m/>
    <d v="2026-06-26T00:00:00"/>
  </r>
  <r>
    <d v="2026-06-18T00:00:00"/>
    <s v="Thursday"/>
    <x v="1"/>
    <n v="39.200000000000003"/>
    <n v="33.5"/>
    <n v="30"/>
    <n v="0.85459183673469374"/>
    <n v="0.76530612244897955"/>
    <m/>
    <m/>
    <m/>
    <n v="1.4379999999999999"/>
    <n v="4.3999999999999997E-2"/>
    <n v="22"/>
    <m/>
    <m/>
    <m/>
    <m/>
    <n v="24"/>
    <n v="1"/>
    <m/>
    <m/>
    <m/>
    <m/>
    <m/>
    <m/>
    <n v="23"/>
    <m/>
    <m/>
    <n v="2"/>
    <m/>
    <m/>
    <m/>
    <n v="1.7522448979591871"/>
    <n v="0.88040816326530602"/>
    <n v="18.367346938775508"/>
    <n v="0.79858030168589167"/>
    <n v="93"/>
    <s v="YES"/>
    <s v="YES"/>
    <n v="3"/>
    <n v="3"/>
    <m/>
    <s v=""/>
    <m/>
    <m/>
    <n v="2.1206261510128888E-2"/>
    <n v="1102.0408163265306"/>
    <n v="2"/>
    <n v="60"/>
    <m/>
    <d v="2026-06-26T00:00:00"/>
  </r>
  <r>
    <d v="2026-06-19T00:00:00"/>
    <s v="Friday"/>
    <x v="1"/>
    <n v="39.200000000000003"/>
    <n v="37"/>
    <n v="30"/>
    <n v="0.94387755102040805"/>
    <n v="0.76530612244897955"/>
    <m/>
    <m/>
    <m/>
    <n v="1.637"/>
    <n v="4.3999999999999997E-2"/>
    <m/>
    <m/>
    <m/>
    <m/>
    <m/>
    <n v="24"/>
    <n v="1"/>
    <m/>
    <n v="1"/>
    <m/>
    <m/>
    <m/>
    <m/>
    <n v="22"/>
    <m/>
    <n v="0.6333333333333333"/>
    <m/>
    <m/>
    <m/>
    <m/>
    <n v="1.9970748299319752"/>
    <n v="1.0022448979591836"/>
    <n v="18.367346938775508"/>
    <n v="0.83487940630797763"/>
    <n v="96"/>
    <s v="YES"/>
    <s v="YES"/>
    <n v="0"/>
    <n v="0"/>
    <m/>
    <s v=""/>
    <m/>
    <m/>
    <n v="7.559852670349837E-3"/>
    <n v="674.71886713869219"/>
    <n v="1"/>
    <n v="38"/>
    <m/>
    <d v="2026-06-26T00:00:00"/>
  </r>
  <r>
    <d v="2026-06-20T00:00:00"/>
    <s v="Saturday"/>
    <x v="1"/>
    <n v="39.200000000000003"/>
    <n v="36"/>
    <n v="12.9"/>
    <n v="0.91836734693877542"/>
    <n v="0.32908163265306117"/>
    <m/>
    <m/>
    <m/>
    <n v="1.069"/>
    <n v="4.3999999999999997E-2"/>
    <m/>
    <m/>
    <m/>
    <m/>
    <m/>
    <n v="24"/>
    <m/>
    <m/>
    <n v="12"/>
    <m/>
    <m/>
    <m/>
    <m/>
    <n v="12"/>
    <m/>
    <m/>
    <m/>
    <m/>
    <m/>
    <m/>
    <n v="3.4475510204081639"/>
    <n v="0.6544897959183672"/>
    <n v="7.8979591836734686"/>
    <n v="0.65816326530612235"/>
    <n v="91"/>
    <s v="YES"/>
    <s v="YES"/>
    <n v="0"/>
    <n v="0"/>
    <m/>
    <s v=""/>
    <m/>
    <m/>
    <n v="1.6860036832412478E-2"/>
    <n v="473.87755102040813"/>
    <n v="1"/>
    <n v="0"/>
    <m/>
    <d v="2026-06-26T00:00:00"/>
  </r>
  <r>
    <d v="2026-06-21T00:00:00"/>
    <s v="Sunday"/>
    <x v="1"/>
    <n v="39.200000000000003"/>
    <n v="38"/>
    <n v="30.2"/>
    <n v="0.96938775510204067"/>
    <n v="0.77040816326530603"/>
    <m/>
    <m/>
    <m/>
    <n v="1.7689999999999999"/>
    <n v="4.3999999999999997E-2"/>
    <m/>
    <m/>
    <m/>
    <m/>
    <m/>
    <n v="24"/>
    <m/>
    <m/>
    <m/>
    <m/>
    <m/>
    <m/>
    <m/>
    <n v="24"/>
    <m/>
    <m/>
    <m/>
    <m/>
    <m/>
    <m/>
    <n v="4.4271428571428579"/>
    <n v="1.0830612244897957"/>
    <n v="18.489795918367346"/>
    <n v="0.77040816326530603"/>
    <n v="98"/>
    <s v="YES"/>
    <s v="YES"/>
    <n v="19"/>
    <n v="19"/>
    <m/>
    <s v=""/>
    <m/>
    <m/>
    <n v="1.9981583793738478E-2"/>
    <n v="1109.3877551020407"/>
    <n v="0"/>
    <s v=""/>
    <m/>
    <d v="2026-06-26T00:00:00"/>
  </r>
  <r>
    <d v="2026-06-22T00:00:00"/>
    <s v="Monday"/>
    <x v="1"/>
    <n v="39.200000000000003"/>
    <n v="33"/>
    <n v="30"/>
    <n v="0.84183673469387743"/>
    <n v="0.76530612244897955"/>
    <m/>
    <m/>
    <m/>
    <n v="1.4119999999999999"/>
    <n v="3.9E-2"/>
    <n v="5"/>
    <m/>
    <m/>
    <m/>
    <m/>
    <n v="24"/>
    <n v="1"/>
    <n v="1"/>
    <m/>
    <m/>
    <m/>
    <m/>
    <m/>
    <n v="22"/>
    <n v="0.5"/>
    <m/>
    <n v="1"/>
    <m/>
    <m/>
    <m/>
    <n v="1.268163265306125"/>
    <n v="0.86448979591836717"/>
    <n v="18.367346938775508"/>
    <n v="0.83487940630797763"/>
    <n v="86"/>
    <s v="YES"/>
    <s v="YES"/>
    <n v="10"/>
    <n v="10"/>
    <m/>
    <s v=""/>
    <m/>
    <m/>
    <n v="3.1086556169429142E-2"/>
    <n v="1102.0408163265306"/>
    <n v="1"/>
    <n v="90"/>
    <m/>
    <d v="2026-06-26T00:00:00"/>
  </r>
  <r>
    <d v="2026-06-23T00:00:00"/>
    <s v="Tuesday"/>
    <x v="1"/>
    <n v="39.200000000000003"/>
    <n v="33"/>
    <n v="30.1"/>
    <n v="0.84183673469387743"/>
    <n v="0.76785714285714279"/>
    <m/>
    <m/>
    <m/>
    <n v="1.397"/>
    <n v="3.7999999999999999E-2"/>
    <n v="0"/>
    <m/>
    <m/>
    <m/>
    <m/>
    <n v="24"/>
    <n v="1"/>
    <n v="1"/>
    <m/>
    <m/>
    <m/>
    <m/>
    <m/>
    <n v="22"/>
    <n v="0.5"/>
    <m/>
    <n v="1"/>
    <m/>
    <m/>
    <m/>
    <n v="1.2161224489795934"/>
    <n v="0.85530612244897952"/>
    <n v="18.428571428571427"/>
    <n v="0.83766233766233755"/>
    <n v="100"/>
    <s v="YES"/>
    <s v="YES"/>
    <n v="0"/>
    <n v="0"/>
    <m/>
    <s v=""/>
    <m/>
    <m/>
    <n v="4.0874769797421773E-2"/>
    <n v="1105.7142857142856"/>
    <n v="0"/>
    <s v=""/>
    <m/>
    <d v="2026-06-26T00:00:00"/>
  </r>
  <r>
    <d v="2026-06-24T00:00:00"/>
    <s v="Wednesday"/>
    <x v="1"/>
    <n v="39.200000000000003"/>
    <n v="29"/>
    <n v="30.9"/>
    <n v="0.73979591836734682"/>
    <n v="0.78826530612244883"/>
    <m/>
    <m/>
    <m/>
    <n v="1.4870000000000001"/>
    <n v="3.7999999999999999E-2"/>
    <m/>
    <m/>
    <m/>
    <m/>
    <m/>
    <n v="24"/>
    <n v="1"/>
    <n v="1"/>
    <m/>
    <m/>
    <m/>
    <m/>
    <m/>
    <n v="22"/>
    <n v="0.5"/>
    <m/>
    <n v="0.5"/>
    <m/>
    <m/>
    <m/>
    <n v="1.1712244897959216"/>
    <n v="0.91040816326530605"/>
    <n v="18.918367346938773"/>
    <n v="0.8599257884972169"/>
    <n v="95"/>
    <s v="YES"/>
    <s v="YES"/>
    <n v="0"/>
    <n v="0"/>
    <m/>
    <s v=""/>
    <m/>
    <m/>
    <n v="3.0069930069930084E-2"/>
    <n v="1135.1020408163263"/>
    <n v="1"/>
    <n v="60"/>
    <m/>
    <d v="2026-06-26T00:00:00"/>
  </r>
  <r>
    <d v="2026-06-25T00:00:00"/>
    <s v="Thursday"/>
    <x v="1"/>
    <n v="39.200000000000003"/>
    <n v="33"/>
    <n v="30.5"/>
    <n v="0.84183673469387743"/>
    <n v="0.77806122448979576"/>
    <m/>
    <m/>
    <m/>
    <n v="1.4339999999999999"/>
    <n v="3.7999999999999999E-2"/>
    <m/>
    <m/>
    <m/>
    <m/>
    <m/>
    <n v="24"/>
    <n v="1"/>
    <n v="0.8"/>
    <m/>
    <m/>
    <m/>
    <m/>
    <m/>
    <n v="22.2"/>
    <n v="0.5"/>
    <m/>
    <n v="1"/>
    <m/>
    <m/>
    <m/>
    <n v="1.148571428571433"/>
    <n v="0.87795918367346926"/>
    <n v="18.673469387755098"/>
    <n v="0.84114726971869813"/>
    <n v="89"/>
    <s v="YES"/>
    <s v="YES"/>
    <n v="0"/>
    <n v="0"/>
    <m/>
    <s v=""/>
    <m/>
    <m/>
    <n v="2.3770396270396316E-2"/>
    <n v="1120.4081632653058"/>
    <n v="1"/>
    <n v="90"/>
    <m/>
    <d v="2026-06-26T00:00:00"/>
  </r>
  <r>
    <d v="2026-06-26T00:00:00"/>
    <s v="Friday"/>
    <x v="1"/>
    <n v="39.200000000000003"/>
    <n v="32"/>
    <n v="30"/>
    <n v="0.81632653061224481"/>
    <n v="0.76530612244897955"/>
    <m/>
    <m/>
    <m/>
    <n v="1.64"/>
    <n v="4.3999999999999997E-2"/>
    <m/>
    <m/>
    <m/>
    <m/>
    <m/>
    <n v="24"/>
    <n v="1"/>
    <m/>
    <m/>
    <m/>
    <m/>
    <m/>
    <m/>
    <n v="23"/>
    <m/>
    <n v="3"/>
    <m/>
    <m/>
    <m/>
    <m/>
    <n v="0.62857142857142989"/>
    <n v="1.0040816326530611"/>
    <n v="18.367346938775508"/>
    <n v="0.79858030168589167"/>
    <n v="77"/>
    <s v="YES"/>
    <s v="YES"/>
    <n v="0"/>
    <n v="0"/>
    <m/>
    <s v=""/>
    <m/>
    <m/>
    <n v="2.7296037296037315E-2"/>
    <n v="367.34693877551018"/>
    <n v="0"/>
    <s v=""/>
    <m/>
    <d v="2026-06-26T00:00:00"/>
  </r>
  <r>
    <d v="2026-06-27T00:00:00"/>
    <s v="Saturday"/>
    <x v="1"/>
    <n v="39.200000000000003"/>
    <n v="33"/>
    <n v="30"/>
    <n v="0.84183673469387743"/>
    <n v="0.76530612244897955"/>
    <m/>
    <m/>
    <m/>
    <n v="1.629"/>
    <n v="4.3999999999999997E-2"/>
    <m/>
    <m/>
    <m/>
    <m/>
    <m/>
    <n v="24"/>
    <n v="1"/>
    <n v="1"/>
    <n v="1.5"/>
    <m/>
    <m/>
    <m/>
    <m/>
    <n v="20.5"/>
    <n v="0.5"/>
    <m/>
    <m/>
    <m/>
    <m/>
    <m/>
    <n v="0.63530612244898066"/>
    <n v="0.99734693877551006"/>
    <n v="18.367346938775508"/>
    <n v="0.89596814335490282"/>
    <n v="75"/>
    <s v="YES"/>
    <s v="YES"/>
    <n v="4"/>
    <n v="4"/>
    <m/>
    <s v=""/>
    <m/>
    <m/>
    <n v="2.5463286713286709E-2"/>
    <n v="1102.0408163265306"/>
    <n v="3"/>
    <n v="10"/>
    <m/>
    <d v="2026-06-26T00:00:00"/>
  </r>
  <r>
    <d v="2026-06-28T00:00:00"/>
    <s v="Sunday"/>
    <x v="1"/>
    <n v="39.200000000000003"/>
    <n v="33"/>
    <n v="30.2"/>
    <n v="0.84183673469387743"/>
    <n v="0.77040816326530603"/>
    <m/>
    <m/>
    <m/>
    <n v="1.526"/>
    <n v="4.3999999999999997E-2"/>
    <m/>
    <m/>
    <m/>
    <m/>
    <m/>
    <n v="24"/>
    <m/>
    <n v="1"/>
    <m/>
    <m/>
    <m/>
    <m/>
    <m/>
    <n v="23"/>
    <n v="0.5"/>
    <n v="0.83333333333333337"/>
    <n v="1.5"/>
    <m/>
    <m/>
    <m/>
    <n v="0.74258503401360798"/>
    <n v="0.93428571428571416"/>
    <n v="18.489795918367346"/>
    <n v="0.80390417036379769"/>
    <n v="77"/>
    <s v="YES"/>
    <s v="YES"/>
    <n v="1"/>
    <n v="1"/>
    <m/>
    <s v=""/>
    <m/>
    <m/>
    <n v="3.0174825174825157E-2"/>
    <n v="605.12059369202211"/>
    <n v="2"/>
    <n v="85"/>
    <m/>
    <d v="2026-06-26T00:00:00"/>
  </r>
  <r>
    <d v="2026-06-29T00:00:00"/>
    <s v="Monday"/>
    <x v="1"/>
    <n v="39.200000000000003"/>
    <n v="32"/>
    <n v="32.9"/>
    <n v="0.81632653061224481"/>
    <n v="0.83928571428571419"/>
    <m/>
    <m/>
    <m/>
    <n v="1.3280000000000001"/>
    <n v="3.7999999999999999E-2"/>
    <m/>
    <m/>
    <m/>
    <m/>
    <m/>
    <n v="24"/>
    <n v="1"/>
    <m/>
    <m/>
    <m/>
    <m/>
    <m/>
    <m/>
    <n v="23"/>
    <n v="0.5"/>
    <m/>
    <n v="0.25"/>
    <m/>
    <m/>
    <m/>
    <n v="1.2940816326530644"/>
    <n v="0.8130612244897959"/>
    <n v="20.142857142857139"/>
    <n v="0.87577639751552783"/>
    <n v="79"/>
    <s v="YES"/>
    <s v="YES"/>
    <n v="0"/>
    <n v="0"/>
    <m/>
    <s v=""/>
    <m/>
    <m/>
    <n v="2.3974358974358966E-2"/>
    <n v="1208.5714285714284"/>
    <n v="2"/>
    <n v="22.5"/>
    <m/>
    <d v="2026-07-26T00:00:00"/>
  </r>
  <r>
    <d v="2026-06-30T00:00:00"/>
    <s v="Tuesday"/>
    <x v="1"/>
    <n v="39.200000000000003"/>
    <n v="32"/>
    <n v="29.5"/>
    <n v="0.81632653061224481"/>
    <n v="0.75255102040816324"/>
    <m/>
    <m/>
    <m/>
    <n v="1.5669999999999999"/>
    <n v="3.7999999999999999E-2"/>
    <m/>
    <m/>
    <m/>
    <m/>
    <m/>
    <n v="24"/>
    <m/>
    <m/>
    <m/>
    <n v="1.5"/>
    <m/>
    <m/>
    <m/>
    <n v="22.5"/>
    <m/>
    <m/>
    <n v="3"/>
    <m/>
    <m/>
    <m/>
    <n v="0.47938775510204579"/>
    <n v="0.95938775510204066"/>
    <n v="18.061224489795915"/>
    <n v="0.80272108843537404"/>
    <n v="94"/>
    <s v="YES"/>
    <s v="YES"/>
    <n v="23"/>
    <n v="23"/>
    <m/>
    <s v=""/>
    <m/>
    <m/>
    <n v="1.6454880294659305E-2"/>
    <n v="1083.6734693877549"/>
    <n v="2"/>
    <n v="90"/>
    <m/>
    <d v="2026-07-26T00:00:00"/>
  </r>
  <r>
    <d v="2026-07-01T00:00:00"/>
    <s v="Wednesday"/>
    <x v="2"/>
    <n v="34.200000000000003"/>
    <n v="28"/>
    <n v="30.8"/>
    <n v="0.81871345029239773"/>
    <n v="0.90058479532163749"/>
    <m/>
    <m/>
    <m/>
    <n v="1.556"/>
    <n v="3.7999999999999999E-2"/>
    <m/>
    <m/>
    <m/>
    <m/>
    <m/>
    <n v="24"/>
    <m/>
    <m/>
    <m/>
    <m/>
    <m/>
    <m/>
    <m/>
    <n v="24"/>
    <m/>
    <m/>
    <m/>
    <m/>
    <m/>
    <m/>
    <n v="1.2940350877192976"/>
    <n v="1.0919298245614035"/>
    <n v="21.614035087719298"/>
    <n v="0.90058479532163738"/>
    <n v="96"/>
    <s v="YES"/>
    <s v="YES"/>
    <n v="26"/>
    <n v="24"/>
    <m/>
    <s v=""/>
    <m/>
    <m/>
    <n v="2.2532228360957612E-2"/>
    <n v="1296.8421052631579"/>
    <n v="0"/>
    <s v=""/>
    <m/>
    <d v="2026-07-26T00:00:00"/>
  </r>
  <r>
    <d v="2026-07-02T00:00:00"/>
    <s v="Thursday"/>
    <x v="2"/>
    <n v="34.200000000000003"/>
    <n v="28"/>
    <n v="30.3"/>
    <n v="0.81871345029239773"/>
    <n v="0.88596491228070173"/>
    <m/>
    <m/>
    <m/>
    <n v="1.4490000000000001"/>
    <n v="3.7999999999999999E-2"/>
    <m/>
    <m/>
    <m/>
    <m/>
    <m/>
    <n v="24"/>
    <m/>
    <m/>
    <m/>
    <m/>
    <m/>
    <m/>
    <m/>
    <n v="24"/>
    <m/>
    <m/>
    <m/>
    <m/>
    <m/>
    <m/>
    <n v="1.7199999999999989"/>
    <n v="1.016842105263158"/>
    <n v="21.263157894736842"/>
    <n v="0.88596491228070173"/>
    <n v="98"/>
    <s v="YES"/>
    <s v="YES"/>
    <n v="0"/>
    <n v="0"/>
    <m/>
    <s v=""/>
    <m/>
    <m/>
    <n v="3.5400552486187842E-2"/>
    <n v="1275.7894736842106"/>
    <n v="0"/>
    <s v=""/>
    <m/>
    <d v="2026-07-26T00:00:00"/>
  </r>
  <r>
    <d v="2026-07-03T00:00:00"/>
    <s v="Friday"/>
    <x v="2"/>
    <n v="34.200000000000003"/>
    <n v="16.5"/>
    <n v="16.3"/>
    <n v="0.48245614035087719"/>
    <n v="0.47660818713450293"/>
    <m/>
    <m/>
    <m/>
    <n v="1.133"/>
    <n v="3.7999999999999999E-2"/>
    <m/>
    <m/>
    <m/>
    <m/>
    <m/>
    <n v="24"/>
    <m/>
    <m/>
    <n v="12"/>
    <m/>
    <m/>
    <m/>
    <m/>
    <n v="12"/>
    <m/>
    <n v="1"/>
    <n v="1"/>
    <m/>
    <m/>
    <m/>
    <n v="-2.2336842105263166"/>
    <n v="0.79508771929824562"/>
    <n v="11.43859649122807"/>
    <n v="0.95321637426900585"/>
    <n v="86"/>
    <s v="YES"/>
    <s v="YES"/>
    <n v="0"/>
    <n v="0"/>
    <m/>
    <s v=""/>
    <m/>
    <m/>
    <n v="3.3936464088397782E-2"/>
    <n v="343.15789473684208"/>
    <n v="3"/>
    <n v="40"/>
    <m/>
    <d v="2026-07-26T00:00:00"/>
  </r>
  <r>
    <d v="2026-07-04T00:00:00"/>
    <s v="Saturday"/>
    <x v="2"/>
    <n v="34.200000000000003"/>
    <n v="28"/>
    <n v="16.39"/>
    <n v="0.81871345029239773"/>
    <n v="0.47923976608187135"/>
    <m/>
    <m/>
    <m/>
    <n v="1.2509999999999999"/>
    <n v="4.2000000000000003E-2"/>
    <m/>
    <m/>
    <m/>
    <m/>
    <m/>
    <n v="24"/>
    <m/>
    <m/>
    <m/>
    <m/>
    <m/>
    <m/>
    <m/>
    <n v="24"/>
    <m/>
    <n v="9"/>
    <m/>
    <m/>
    <m/>
    <m/>
    <n v="2.6203508771929833"/>
    <n v="0.87789473684210517"/>
    <n v="11.501754385964912"/>
    <n v="0.4792397660818713"/>
    <n v="94"/>
    <s v="YES"/>
    <s v="YES"/>
    <n v="0"/>
    <n v="0"/>
    <m/>
    <s v=""/>
    <m/>
    <m/>
    <n v="5.3245856353591095E-2"/>
    <n v="76.678362573099406"/>
    <n v="3"/>
    <n v="180"/>
    <m/>
    <d v="2026-07-26T00:00:00"/>
  </r>
  <r>
    <d v="2026-07-05T00:00:00"/>
    <s v="Sunday"/>
    <x v="2"/>
    <n v="34.200000000000003"/>
    <n v="28"/>
    <n v="19.8"/>
    <n v="0.81871345029239773"/>
    <n v="0.57894736842105265"/>
    <m/>
    <m/>
    <m/>
    <n v="1.274"/>
    <n v="4.2000000000000003E-2"/>
    <m/>
    <m/>
    <m/>
    <m/>
    <m/>
    <n v="24"/>
    <m/>
    <m/>
    <m/>
    <m/>
    <m/>
    <m/>
    <m/>
    <n v="24"/>
    <m/>
    <n v="9"/>
    <m/>
    <m/>
    <m/>
    <m/>
    <n v="0.21122807017543721"/>
    <n v="0.89403508771929818"/>
    <n v="13.894736842105264"/>
    <n v="0.57894736842105265"/>
    <n v="86"/>
    <s v="YES"/>
    <s v="YES"/>
    <n v="60"/>
    <n v="58"/>
    <m/>
    <s v=""/>
    <m/>
    <m/>
    <n v="3.1556169429097641E-2"/>
    <n v="92.631578947368425"/>
    <n v="1"/>
    <n v="540"/>
    <m/>
    <d v="2026-07-26T00:00:00"/>
  </r>
  <r>
    <d v="2026-07-06T00:00:00"/>
    <s v="Monday"/>
    <x v="2"/>
    <n v="34.200000000000003"/>
    <n v="26.5"/>
    <n v="28.200000000000003"/>
    <n v="0.77485380116959068"/>
    <n v="0.82456140350877194"/>
    <m/>
    <m/>
    <m/>
    <n v="1.6739999999999999"/>
    <n v="4.2000000000000003E-2"/>
    <m/>
    <m/>
    <m/>
    <m/>
    <m/>
    <n v="24"/>
    <n v="1"/>
    <m/>
    <m/>
    <m/>
    <m/>
    <m/>
    <m/>
    <n v="23"/>
    <m/>
    <m/>
    <n v="1.5"/>
    <m/>
    <m/>
    <m/>
    <n v="0.53578947368421126"/>
    <n v="1.1747368421052631"/>
    <n v="19.789473684210527"/>
    <n v="0.86041189931350115"/>
    <n v="84"/>
    <s v="YES"/>
    <s v="YES"/>
    <n v="0"/>
    <n v="0"/>
    <m/>
    <s v=""/>
    <m/>
    <m/>
    <n v="2.4465930018416199E-2"/>
    <n v="1187.3684210526317"/>
    <n v="2"/>
    <n v="45"/>
    <m/>
    <d v="2026-07-26T00:00:00"/>
  </r>
  <r>
    <d v="2026-07-07T00:00:00"/>
    <s v="Tuesday"/>
    <x v="2"/>
    <n v="34.200000000000003"/>
    <n v="28.5"/>
    <n v="25.5"/>
    <n v="0.83333333333333326"/>
    <n v="0.74561403508771928"/>
    <m/>
    <m/>
    <m/>
    <n v="1.385"/>
    <n v="5.7000000000000002E-2"/>
    <m/>
    <m/>
    <m/>
    <m/>
    <m/>
    <n v="24"/>
    <m/>
    <n v="1"/>
    <m/>
    <m/>
    <m/>
    <m/>
    <m/>
    <n v="23"/>
    <m/>
    <n v="4"/>
    <m/>
    <m/>
    <m/>
    <m/>
    <n v="0.13333333333333286"/>
    <n v="0.97192982456140353"/>
    <n v="17.894736842105264"/>
    <n v="0.77803203661327236"/>
    <n v="88"/>
    <s v="YES"/>
    <s v="YES"/>
    <n v="0"/>
    <n v="0"/>
    <m/>
    <s v=""/>
    <m/>
    <m/>
    <n v="2.2513812154696122E-2"/>
    <n v="268.42105263157896"/>
    <n v="1"/>
    <n v="240"/>
    <m/>
    <d v="2026-07-26T00:00:00"/>
  </r>
  <r>
    <d v="2026-07-08T00:00:00"/>
    <s v="Wednesday"/>
    <x v="2"/>
    <n v="34.200000000000003"/>
    <n v="28.5"/>
    <n v="20"/>
    <n v="0.83333333333333326"/>
    <n v="0.58479532163742687"/>
    <m/>
    <m/>
    <m/>
    <n v="1.02"/>
    <n v="5.7000000000000002E-2"/>
    <m/>
    <m/>
    <m/>
    <m/>
    <m/>
    <n v="24"/>
    <m/>
    <n v="1"/>
    <m/>
    <m/>
    <m/>
    <m/>
    <m/>
    <n v="23"/>
    <m/>
    <n v="7.9"/>
    <m/>
    <m/>
    <m/>
    <m/>
    <n v="0.34912280701754383"/>
    <n v="0.71578947368421053"/>
    <n v="14.035087719298245"/>
    <n v="0.61022120518688017"/>
    <n v="98"/>
    <s v="YES"/>
    <s v="YES"/>
    <n v="0"/>
    <n v="0"/>
    <m/>
    <s v=""/>
    <m/>
    <m/>
    <n v="3.2891344383057117E-2"/>
    <n v="106.59560293137906"/>
    <n v="1"/>
    <n v="474"/>
    <m/>
    <d v="2026-07-26T00:00:00"/>
  </r>
  <r>
    <d v="2026-07-09T00:00:00"/>
    <s v="Thursday"/>
    <x v="2"/>
    <n v="34.200000000000003"/>
    <n v="28.5"/>
    <n v="26.6"/>
    <n v="0.83333333333333326"/>
    <n v="0.77777777777777779"/>
    <m/>
    <m/>
    <m/>
    <n v="1.8520000000000001"/>
    <n v="5.7000000000000002E-2"/>
    <m/>
    <m/>
    <m/>
    <m/>
    <m/>
    <n v="24"/>
    <m/>
    <m/>
    <m/>
    <m/>
    <m/>
    <m/>
    <m/>
    <n v="24"/>
    <m/>
    <m/>
    <m/>
    <m/>
    <m/>
    <m/>
    <n v="4.0336842105263138"/>
    <n v="1.2996491228070175"/>
    <n v="18.666666666666668"/>
    <n v="0.77777777777777779"/>
    <n v="95"/>
    <s v="YES"/>
    <s v="YES"/>
    <n v="0"/>
    <n v="0"/>
    <m/>
    <s v=""/>
    <m/>
    <m/>
    <n v="2.4023941068139997E-2"/>
    <n v="1120"/>
    <n v="0"/>
    <s v=""/>
    <m/>
    <d v="2026-07-26T00:00:00"/>
  </r>
  <r>
    <d v="2026-07-10T00:00:00"/>
    <s v="Friday"/>
    <x v="2"/>
    <n v="34.200000000000003"/>
    <n v="34.5"/>
    <n v="19.5"/>
    <n v="1.0087719298245614"/>
    <n v="0.57017543859649122"/>
    <m/>
    <m/>
    <m/>
    <n v="0.81799999999999995"/>
    <n v="5.7000000000000002E-2"/>
    <m/>
    <m/>
    <m/>
    <m/>
    <m/>
    <n v="24"/>
    <m/>
    <n v="0.55000000000000004"/>
    <m/>
    <m/>
    <m/>
    <m/>
    <m/>
    <n v="23.45"/>
    <m/>
    <n v="10.5"/>
    <m/>
    <m/>
    <m/>
    <m/>
    <n v="-1.3082456140350889"/>
    <n v="0.57403508771929823"/>
    <n v="13.684210526315789"/>
    <n v="0.58354842329704859"/>
    <n v="88"/>
    <s v="YES"/>
    <s v="YES"/>
    <n v="2"/>
    <n v="0"/>
    <m/>
    <s v=""/>
    <m/>
    <m/>
    <n v="3.8130755064456741E-2"/>
    <n v="78.195488721804509"/>
    <n v="1"/>
    <n v="630"/>
    <m/>
    <d v="2026-07-26T00:00:00"/>
  </r>
  <r>
    <d v="2026-07-11T00:00:00"/>
    <s v="Saturday"/>
    <x v="2"/>
    <n v="34.200000000000003"/>
    <n v="28"/>
    <n v="29.700000000000003"/>
    <n v="0.81871345029239773"/>
    <n v="0.86842105263157898"/>
    <m/>
    <m/>
    <m/>
    <n v="1.59"/>
    <n v="5.7000000000000002E-2"/>
    <m/>
    <m/>
    <m/>
    <m/>
    <m/>
    <n v="24"/>
    <m/>
    <m/>
    <m/>
    <m/>
    <m/>
    <m/>
    <m/>
    <n v="24"/>
    <m/>
    <m/>
    <m/>
    <m/>
    <m/>
    <m/>
    <n v="2.0421052631578931"/>
    <n v="1.1157894736842104"/>
    <n v="20.842105263157897"/>
    <n v="0.86842105263157909"/>
    <n v="69"/>
    <s v="YES"/>
    <s v="YES"/>
    <n v="1"/>
    <n v="0"/>
    <m/>
    <s v=""/>
    <m/>
    <m/>
    <n v="2.4860558410282146E-2"/>
    <n v="1250.5263157894738"/>
    <n v="0"/>
    <s v=""/>
    <m/>
    <d v="2026-07-26T00:00:00"/>
  </r>
  <r>
    <d v="2026-07-12T00:00:00"/>
    <s v="Sunday"/>
    <x v="2"/>
    <n v="34.200000000000003"/>
    <n v="32"/>
    <n v="32.299999999999997"/>
    <n v="0.93567251461988299"/>
    <n v="0.94444444444444431"/>
    <m/>
    <m/>
    <m/>
    <n v="1.4630000000000001"/>
    <n v="5.7000000000000002E-2"/>
    <m/>
    <m/>
    <m/>
    <m/>
    <m/>
    <n v="24"/>
    <m/>
    <n v="0.35"/>
    <m/>
    <m/>
    <m/>
    <m/>
    <m/>
    <n v="23.65"/>
    <m/>
    <m/>
    <m/>
    <m/>
    <m/>
    <m/>
    <n v="-4.3333333333333002E-2"/>
    <n v="1.0266666666666666"/>
    <n v="22.666666666666664"/>
    <n v="0.95842142353770254"/>
    <n v="79"/>
    <s v="YES"/>
    <s v="YES"/>
    <n v="46"/>
    <n v="43"/>
    <m/>
    <s v=""/>
    <m/>
    <m/>
    <n v="2.2062937062937066E-2"/>
    <n v="1359.9999999999998"/>
    <n v="0"/>
    <s v=""/>
    <m/>
    <d v="2026-07-26T00:00:00"/>
  </r>
  <r>
    <d v="2026-07-13T00:00:00"/>
    <s v="Monday"/>
    <x v="1"/>
    <n v="39.200000000000003"/>
    <n v="32"/>
    <n v="31.5"/>
    <n v="0.81632653061224481"/>
    <n v="0.80357142857142849"/>
    <m/>
    <m/>
    <m/>
    <n v="1.2869999999999999"/>
    <n v="3.5999999999999997E-2"/>
    <m/>
    <m/>
    <m/>
    <m/>
    <m/>
    <n v="24"/>
    <n v="1"/>
    <n v="1"/>
    <m/>
    <m/>
    <m/>
    <m/>
    <m/>
    <n v="22"/>
    <m/>
    <m/>
    <m/>
    <m/>
    <m/>
    <m/>
    <n v="1.926326530612247"/>
    <n v="0.78795918367346929"/>
    <n v="19.285714285714285"/>
    <n v="0.87662337662337653"/>
    <n v="74"/>
    <s v="YES"/>
    <s v="YES"/>
    <n v="0"/>
    <n v="0"/>
    <m/>
    <s v=""/>
    <m/>
    <m/>
    <n v="2.4090909090909041E-2"/>
    <n v="1157.1428571428571"/>
    <n v="0"/>
    <s v=""/>
    <m/>
    <d v="2026-07-26T00:00:00"/>
  </r>
  <r>
    <d v="2026-07-14T00:00:00"/>
    <s v="Tuesday"/>
    <x v="1"/>
    <n v="39.200000000000003"/>
    <n v="32"/>
    <n v="31"/>
    <n v="0.81632653061224481"/>
    <n v="0.79081632653061218"/>
    <m/>
    <m/>
    <m/>
    <n v="1.629"/>
    <n v="3.5000000000000003E-2"/>
    <m/>
    <m/>
    <m/>
    <m/>
    <m/>
    <n v="24"/>
    <n v="1"/>
    <n v="0.5"/>
    <m/>
    <m/>
    <m/>
    <m/>
    <m/>
    <n v="22.5"/>
    <m/>
    <m/>
    <m/>
    <n v="0.5"/>
    <m/>
    <m/>
    <n v="2.0230612244897976"/>
    <n v="0.99734693877551006"/>
    <n v="18.979591836734691"/>
    <n v="0.84353741496598633"/>
    <n v="86"/>
    <s v="YES"/>
    <s v="YES"/>
    <n v="2"/>
    <n v="1"/>
    <m/>
    <s v=""/>
    <m/>
    <m/>
    <n v="2.4090909090909041E-2"/>
    <n v="1138.7755102040815"/>
    <n v="1"/>
    <n v="30"/>
    <n v="1"/>
    <d v="2026-07-26T00:00:00"/>
  </r>
  <r>
    <d v="2026-07-15T00:00:00"/>
    <s v="Wednesday"/>
    <x v="1"/>
    <n v="39.200000000000003"/>
    <n v="15.5"/>
    <n v="34.200000000000003"/>
    <n v="0.39540816326530609"/>
    <n v="0.87244897959183665"/>
    <m/>
    <m/>
    <m/>
    <n v="1.831"/>
    <n v="0.04"/>
    <m/>
    <m/>
    <m/>
    <m/>
    <m/>
    <n v="24"/>
    <n v="1"/>
    <n v="0.5"/>
    <m/>
    <m/>
    <m/>
    <m/>
    <m/>
    <n v="22.5"/>
    <m/>
    <n v="0.5"/>
    <m/>
    <n v="0.25"/>
    <m/>
    <m/>
    <n v="-0.30979591836734599"/>
    <n v="1.1210204081632651"/>
    <n v="20.938775510204081"/>
    <n v="0.93061224489795913"/>
    <n v="83"/>
    <s v="YES"/>
    <s v="YES"/>
    <n v="1"/>
    <n v="1"/>
    <m/>
    <s v=""/>
    <m/>
    <m/>
    <n v="2.891608391608385E-2"/>
    <n v="837.55102040816325"/>
    <n v="1"/>
    <n v="45"/>
    <m/>
    <d v="2026-07-26T00:00:00"/>
  </r>
  <r>
    <d v="2026-07-16T00:00:00"/>
    <s v="Thursday"/>
    <x v="1"/>
    <n v="39.200000000000003"/>
    <n v="16"/>
    <n v="22.040000000000003"/>
    <n v="0.4081632653061224"/>
    <n v="0.56224489795918364"/>
    <m/>
    <m/>
    <m/>
    <n v="0.748"/>
    <n v="0.04"/>
    <m/>
    <m/>
    <m/>
    <m/>
    <m/>
    <n v="24"/>
    <m/>
    <m/>
    <n v="12"/>
    <m/>
    <m/>
    <m/>
    <n v="7"/>
    <n v="5"/>
    <m/>
    <m/>
    <m/>
    <m/>
    <m/>
    <m/>
    <n v="-8.9518367346938774"/>
    <n v="0.45795918367346933"/>
    <n v="13.493877551020407"/>
    <n v="2.6987755102040816"/>
    <n v="81"/>
    <s v="YES"/>
    <s v="YES"/>
    <n v="0"/>
    <n v="0"/>
    <m/>
    <s v=""/>
    <m/>
    <m/>
    <n v="2.3382867132867132E-2"/>
    <n v="809.63265306122446"/>
    <n v="2"/>
    <n v="0"/>
    <m/>
    <d v="2026-07-26T00:00:00"/>
  </r>
  <r>
    <d v="2026-07-17T00:00:00"/>
    <s v="Friday"/>
    <x v="1"/>
    <n v="39.200000000000003"/>
    <n v="31"/>
    <n v="28.8"/>
    <n v="0.79081632653061218"/>
    <n v="0.73469387755102034"/>
    <m/>
    <m/>
    <m/>
    <n v="1.649"/>
    <n v="3.7999999999999999E-2"/>
    <m/>
    <m/>
    <m/>
    <m/>
    <m/>
    <n v="24"/>
    <m/>
    <n v="1"/>
    <m/>
    <n v="1"/>
    <m/>
    <m/>
    <m/>
    <n v="22"/>
    <m/>
    <n v="2.5"/>
    <m/>
    <m/>
    <m/>
    <m/>
    <n v="0.85775510204081939"/>
    <n v="1.0095918367346939"/>
    <n v="17.632653061224488"/>
    <n v="0.8014842300556585"/>
    <n v="74"/>
    <s v="YES"/>
    <s v="YES"/>
    <n v="0"/>
    <n v="0"/>
    <m/>
    <s v=""/>
    <m/>
    <m/>
    <n v="2.3382867132867132E-2"/>
    <n v="423.18367346938771"/>
    <n v="2"/>
    <n v="75"/>
    <m/>
    <d v="2026-07-26T00:00:00"/>
  </r>
  <r>
    <d v="2026-07-18T00:00:00"/>
    <s v="Saturday"/>
    <x v="1"/>
    <n v="39.200000000000003"/>
    <n v="32"/>
    <n v="31.5"/>
    <n v="0.81632653061224481"/>
    <n v="0.80357142857142849"/>
    <m/>
    <m/>
    <m/>
    <n v="1.32"/>
    <n v="3.7999999999999999E-2"/>
    <m/>
    <m/>
    <m/>
    <m/>
    <m/>
    <n v="24"/>
    <m/>
    <n v="1"/>
    <m/>
    <m/>
    <m/>
    <m/>
    <m/>
    <n v="23"/>
    <n v="0.5"/>
    <n v="1.5"/>
    <m/>
    <m/>
    <m/>
    <m/>
    <n v="0.90612244897959471"/>
    <n v="0.80816326530612237"/>
    <n v="19.285714285714285"/>
    <n v="0.83850931677018625"/>
    <n v="74"/>
    <s v="YES"/>
    <s v="YES"/>
    <n v="3"/>
    <n v="0"/>
    <m/>
    <s v=""/>
    <m/>
    <m/>
    <n v="2.734806629834248E-2"/>
    <n v="771.42857142857133"/>
    <n v="3"/>
    <n v="40"/>
    <m/>
    <d v="2026-07-26T00:00:00"/>
  </r>
  <r>
    <d v="2026-07-19T00:00:00"/>
    <s v="Sunday"/>
    <x v="1"/>
    <n v="39.200000000000003"/>
    <n v="32"/>
    <n v="31.799999999999997"/>
    <n v="0.81632653061224481"/>
    <n v="0.81122448979591821"/>
    <m/>
    <m/>
    <m/>
    <n v="1.32"/>
    <n v="3.7999999999999999E-2"/>
    <m/>
    <m/>
    <m/>
    <m/>
    <m/>
    <n v="24"/>
    <m/>
    <n v="1"/>
    <m/>
    <m/>
    <m/>
    <m/>
    <m/>
    <n v="23"/>
    <m/>
    <n v="1.5"/>
    <m/>
    <m/>
    <m/>
    <m/>
    <n v="1.2224489795918423"/>
    <n v="0.80816326530612237"/>
    <n v="19.469387755102037"/>
    <n v="0.84649511978704506"/>
    <n v="74"/>
    <s v="YES"/>
    <s v="YES"/>
    <n v="0"/>
    <n v="0"/>
    <m/>
    <s v=""/>
    <m/>
    <m/>
    <n v="2.3351749539594856E-2"/>
    <n v="778.77551020408146"/>
    <n v="1"/>
    <n v="90"/>
    <m/>
    <d v="2026-07-26T00:00:00"/>
  </r>
  <r>
    <d v="2026-07-20T00:00:00"/>
    <s v="Monday"/>
    <x v="1"/>
    <n v="39.200000000000003"/>
    <n v="32"/>
    <n v="34.799999999999997"/>
    <n v="0.81632653061224481"/>
    <n v="0.8877551020408162"/>
    <m/>
    <m/>
    <m/>
    <n v="1.32"/>
    <n v="3.7999999999999999E-2"/>
    <m/>
    <m/>
    <m/>
    <m/>
    <m/>
    <n v="24"/>
    <m/>
    <n v="1"/>
    <m/>
    <m/>
    <m/>
    <m/>
    <m/>
    <n v="23"/>
    <m/>
    <m/>
    <m/>
    <m/>
    <m/>
    <m/>
    <n v="0.88571428571429323"/>
    <n v="0.80816326530612237"/>
    <n v="21.306122448979586"/>
    <n v="0.92635314995563423"/>
    <n v="74"/>
    <s v="YES"/>
    <s v="YES"/>
    <n v="18"/>
    <n v="0"/>
    <m/>
    <s v=""/>
    <m/>
    <m/>
    <n v="2.8655616942909762E-2"/>
    <n v="1278.3673469387752"/>
    <n v="0"/>
    <s v=""/>
    <m/>
    <d v="2026-07-26T00:00:00"/>
  </r>
  <r>
    <d v="2026-07-21T00:00:00"/>
    <s v="Tuesday"/>
    <x v="4"/>
    <m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s v=""/>
    <n v="1"/>
    <n v="0"/>
    <s v=""/>
    <m/>
    <d v="2026-07-26T00:00:00"/>
  </r>
  <r>
    <d v="2026-07-22T00:00:00"/>
    <s v="Wednesday"/>
    <x v="4"/>
    <m/>
    <m/>
    <m/>
    <m/>
    <m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s v=""/>
    <n v="1"/>
    <n v="0"/>
    <s v=""/>
    <m/>
    <d v="2026-07-26T00:00:00"/>
  </r>
  <r>
    <d v="2026-07-23T00:00:00"/>
    <s v="Thursday"/>
    <x v="4"/>
    <m/>
    <m/>
    <m/>
    <m/>
    <m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s v=""/>
    <n v="1"/>
    <n v="0"/>
    <s v=""/>
    <m/>
    <d v="2026-07-26T00:00:00"/>
  </r>
  <r>
    <d v="2026-07-24T00:00:00"/>
    <s v="Friday"/>
    <x v="4"/>
    <m/>
    <m/>
    <m/>
    <m/>
    <m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s v=""/>
    <n v="1"/>
    <n v="0"/>
    <s v=""/>
    <m/>
    <d v="2026-07-26T00:00:00"/>
  </r>
  <r>
    <d v="2026-07-25T00:00:00"/>
    <s v="Saturday"/>
    <x v="4"/>
    <m/>
    <m/>
    <m/>
    <m/>
    <m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s v=""/>
    <n v="1"/>
    <n v="0"/>
    <s v=""/>
    <m/>
    <d v="2026-07-26T00:00:00"/>
  </r>
  <r>
    <d v="2026-07-26T00:00:00"/>
    <s v="Sunday"/>
    <x v="4"/>
    <m/>
    <m/>
    <m/>
    <m/>
    <m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s v=""/>
    <n v="1"/>
    <n v="0"/>
    <s v=""/>
    <m/>
    <d v="2026-07-26T00:00:00"/>
  </r>
  <r>
    <d v="2026-07-27T00:00:00"/>
    <s v="Mon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18"/>
    <n v="0"/>
    <m/>
    <s v=""/>
    <m/>
    <m/>
    <s v=""/>
    <n v="1"/>
    <n v="0"/>
    <s v=""/>
    <m/>
    <d v="2026-07-26T00:00:00"/>
  </r>
  <r>
    <d v="2026-07-28T00:00:00"/>
    <s v="Tues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1"/>
    <n v="0"/>
    <m/>
    <s v=""/>
    <m/>
    <m/>
    <s v=""/>
    <n v="1"/>
    <n v="0"/>
    <s v=""/>
    <m/>
    <d v="2026-07-26T00:00:00"/>
  </r>
  <r>
    <d v="2026-07-29T00:00:00"/>
    <s v="Wednes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1"/>
    <n v="0"/>
    <m/>
    <s v=""/>
    <m/>
    <m/>
    <s v=""/>
    <n v="1"/>
    <n v="0"/>
    <s v=""/>
    <m/>
    <d v="2026-07-26T00:00:00"/>
  </r>
  <r>
    <d v="2026-07-30T00:00:00"/>
    <s v="Thurs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s v=""/>
    <n v="1"/>
    <n v="0"/>
    <s v=""/>
    <m/>
    <d v="2026-07-26T00:00:00"/>
  </r>
  <r>
    <d v="2026-07-31T00:00:00"/>
    <s v="Fri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s v=""/>
    <n v="1"/>
    <n v="0"/>
    <s v=""/>
    <m/>
    <d v="2026-07-26T00:00:00"/>
  </r>
  <r>
    <d v="2026-08-01T00:00:00"/>
    <s v="Satur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6"/>
    <n v="0"/>
    <m/>
    <s v=""/>
    <m/>
    <m/>
    <s v=""/>
    <n v="1"/>
    <n v="0"/>
    <s v=""/>
    <m/>
    <d v="2026-07-26T00:00:00"/>
  </r>
  <r>
    <d v="2026-08-02T00:00:00"/>
    <s v="Sun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4"/>
    <n v="0"/>
    <m/>
    <s v=""/>
    <m/>
    <m/>
    <s v=""/>
    <n v="1"/>
    <n v="0"/>
    <s v=""/>
    <m/>
    <d v="2026-07-26T00:00:00"/>
  </r>
  <r>
    <d v="2026-08-03T00:00:00"/>
    <s v="Mon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s v=""/>
    <n v="1"/>
    <n v="0"/>
    <s v=""/>
    <m/>
    <d v="2026-08-26T00:00:00"/>
  </r>
  <r>
    <d v="2026-08-04T00:00:00"/>
    <s v="Tues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s v=""/>
    <n v="1"/>
    <n v="0"/>
    <s v=""/>
    <m/>
    <d v="2026-08-26T00:00:00"/>
  </r>
  <r>
    <d v="2026-08-05T00:00:00"/>
    <s v="Wednes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18"/>
    <n v="0"/>
    <m/>
    <s v=""/>
    <m/>
    <m/>
    <s v=""/>
    <n v="1"/>
    <n v="0"/>
    <s v=""/>
    <m/>
    <d v="2026-08-26T00:00:00"/>
  </r>
  <r>
    <d v="2026-08-06T00:00:00"/>
    <s v="Thurs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7"/>
    <n v="0"/>
    <m/>
    <s v=""/>
    <m/>
    <m/>
    <s v=""/>
    <n v="1"/>
    <n v="0"/>
    <s v=""/>
    <m/>
    <d v="2026-08-26T00:00:00"/>
  </r>
  <r>
    <d v="2026-08-07T00:00:00"/>
    <s v="Fri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s v=""/>
    <n v="1"/>
    <n v="0"/>
    <s v=""/>
    <m/>
    <d v="2026-08-26T00:00:00"/>
  </r>
  <r>
    <d v="2026-08-08T00:00:00"/>
    <s v="Satur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s v=""/>
    <n v="1"/>
    <n v="0"/>
    <s v=""/>
    <m/>
    <d v="2026-08-26T00:00:00"/>
  </r>
  <r>
    <d v="2026-08-09T00:00:00"/>
    <s v="Sun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s v=""/>
    <n v="1"/>
    <n v="0"/>
    <s v=""/>
    <m/>
    <d v="2026-08-26T00:00:00"/>
  </r>
  <r>
    <d v="2026-08-10T00:00:00"/>
    <s v="Mon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n v="0"/>
    <n v="1"/>
    <n v="0"/>
    <s v=""/>
    <m/>
    <d v="2026-08-26T00:00:00"/>
  </r>
  <r>
    <d v="2026-08-11T00:00:00"/>
    <s v="Tues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s v=""/>
    <n v="1"/>
    <n v="0"/>
    <s v=""/>
    <m/>
    <d v="2026-08-26T00:00:00"/>
  </r>
  <r>
    <d v="2026-08-12T00:00:00"/>
    <s v="Wednes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19"/>
    <n v="0"/>
    <m/>
    <s v=""/>
    <m/>
    <m/>
    <s v=""/>
    <n v="1"/>
    <n v="0"/>
    <s v=""/>
    <m/>
    <d v="2026-08-26T00:00:00"/>
  </r>
  <r>
    <d v="2026-08-13T00:00:00"/>
    <s v="Thurs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4"/>
    <n v="0"/>
    <m/>
    <s v=""/>
    <m/>
    <m/>
    <s v=""/>
    <n v="1"/>
    <n v="0"/>
    <s v=""/>
    <m/>
    <d v="2026-08-26T00:00:00"/>
  </r>
  <r>
    <d v="2026-08-14T00:00:00"/>
    <s v="Fri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s v=""/>
    <n v="1"/>
    <n v="0"/>
    <s v=""/>
    <m/>
    <d v="2026-08-26T00:00:00"/>
  </r>
  <r>
    <d v="2026-08-15T00:00:00"/>
    <s v="Satur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s v=""/>
    <n v="1"/>
    <n v="0"/>
    <s v=""/>
    <m/>
    <d v="2026-08-26T00:00:00"/>
  </r>
  <r>
    <d v="2026-08-16T00:00:00"/>
    <s v="Sunday"/>
    <x v="1"/>
    <n v="39.200000000000003"/>
    <m/>
    <n v="1000"/>
    <n v="0"/>
    <n v="25.510204081632647"/>
    <m/>
    <m/>
    <m/>
    <m/>
    <m/>
    <m/>
    <m/>
    <m/>
    <m/>
    <m/>
    <n v="24"/>
    <m/>
    <m/>
    <m/>
    <m/>
    <m/>
    <m/>
    <m/>
    <n v="24"/>
    <m/>
    <m/>
    <m/>
    <m/>
    <m/>
    <m/>
    <n v="-588.24489795918362"/>
    <n v="0"/>
    <n v="612.24489795918362"/>
    <n v="25.510204081632651"/>
    <m/>
    <m/>
    <m/>
    <n v="0"/>
    <n v="0"/>
    <m/>
    <s v=""/>
    <m/>
    <m/>
    <s v=""/>
    <n v="36734.693877551021"/>
    <n v="0"/>
    <s v=""/>
    <m/>
    <d v="2026-08-26T00:00:00"/>
  </r>
  <r>
    <d v="2026-08-17T00:00:00"/>
    <s v="Mon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3"/>
    <n v="0"/>
    <m/>
    <s v=""/>
    <m/>
    <m/>
    <s v=""/>
    <n v="1"/>
    <n v="0"/>
    <s v=""/>
    <m/>
    <d v="2026-08-26T00:00:00"/>
  </r>
  <r>
    <d v="2026-08-18T00:00:00"/>
    <s v="Tues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s v=""/>
    <n v="1"/>
    <n v="0"/>
    <s v=""/>
    <m/>
    <d v="2026-08-26T00:00:00"/>
  </r>
  <r>
    <d v="2026-08-19T00:00:00"/>
    <s v="Wednes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s v=""/>
    <n v="1"/>
    <n v="0"/>
    <s v=""/>
    <m/>
    <d v="2026-08-26T00:00:00"/>
  </r>
  <r>
    <d v="2026-08-20T00:00:00"/>
    <s v="Thurs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2"/>
    <n v="0"/>
    <m/>
    <s v=""/>
    <m/>
    <m/>
    <s v=""/>
    <n v="1"/>
    <n v="0"/>
    <s v=""/>
    <m/>
    <d v="2026-08-26T00:00:00"/>
  </r>
  <r>
    <d v="2026-08-21T00:00:00"/>
    <s v="Fri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s v=""/>
    <n v="1"/>
    <n v="0"/>
    <s v=""/>
    <m/>
    <d v="2026-08-26T00:00:00"/>
  </r>
  <r>
    <d v="2026-08-22T00:00:00"/>
    <s v="Satur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4"/>
    <n v="0"/>
    <m/>
    <s v=""/>
    <m/>
    <m/>
    <s v=""/>
    <n v="1"/>
    <n v="0"/>
    <s v=""/>
    <m/>
    <d v="2026-08-26T00:00:00"/>
  </r>
  <r>
    <d v="2026-08-23T00:00:00"/>
    <s v="Sun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s v=""/>
    <n v="1"/>
    <n v="0"/>
    <s v=""/>
    <m/>
    <d v="2026-08-26T00:00:00"/>
  </r>
  <r>
    <d v="2026-08-24T00:00:00"/>
    <s v="Mon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s v=""/>
    <n v="1"/>
    <n v="0"/>
    <s v=""/>
    <m/>
    <d v="2026-08-26T00:00:00"/>
  </r>
  <r>
    <d v="2026-08-25T00:00:00"/>
    <s v="Tues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s v=""/>
    <n v="1"/>
    <n v="0"/>
    <s v=""/>
    <m/>
    <d v="2026-08-26T00:00:00"/>
  </r>
  <r>
    <d v="2026-08-26T00:00:00"/>
    <s v="Wednes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s v=""/>
    <n v="1"/>
    <n v="0"/>
    <s v=""/>
    <m/>
    <d v="2026-08-26T00:00:00"/>
  </r>
  <r>
    <d v="2026-08-27T00:00:00"/>
    <s v="Thurs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4"/>
    <n v="0"/>
    <m/>
    <s v=""/>
    <m/>
    <m/>
    <s v=""/>
    <n v="1"/>
    <n v="0"/>
    <s v=""/>
    <m/>
    <d v="2026-08-26T00:00:00"/>
  </r>
  <r>
    <d v="2026-08-28T00:00:00"/>
    <s v="Fri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s v=""/>
    <n v="1"/>
    <n v="0"/>
    <s v=""/>
    <m/>
    <d v="2026-08-26T00:00:00"/>
  </r>
  <r>
    <d v="2026-08-29T00:00:00"/>
    <s v="Satur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s v=""/>
    <n v="1"/>
    <n v="0"/>
    <s v=""/>
    <m/>
    <d v="2026-08-26T00:00:00"/>
  </r>
  <r>
    <d v="2026-08-30T00:00:00"/>
    <s v="Sun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14"/>
    <n v="0"/>
    <m/>
    <s v=""/>
    <m/>
    <m/>
    <s v=""/>
    <n v="1"/>
    <n v="0"/>
    <s v=""/>
    <m/>
    <d v="2026-08-26T00:00:00"/>
  </r>
  <r>
    <d v="2026-08-31T00:00:00"/>
    <s v="Mon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s v=""/>
    <n v="1"/>
    <n v="0"/>
    <s v=""/>
    <m/>
    <d v="2026-09-26T00:00:00"/>
  </r>
  <r>
    <d v="2026-09-01T00:00:00"/>
    <s v="Tues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s v=""/>
    <n v="1"/>
    <n v="0"/>
    <s v=""/>
    <m/>
    <d v="2026-09-26T00:00:00"/>
  </r>
  <r>
    <d v="2026-09-02T00:00:00"/>
    <s v="Wednes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s v=""/>
    <n v="1"/>
    <n v="0"/>
    <s v=""/>
    <m/>
    <d v="2026-09-26T00:00:00"/>
  </r>
  <r>
    <d v="2026-09-03T00:00:00"/>
    <s v="Thurs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s v=""/>
    <n v="1"/>
    <n v="0"/>
    <s v=""/>
    <m/>
    <d v="2026-09-26T00:00:00"/>
  </r>
  <r>
    <d v="2026-09-04T00:00:00"/>
    <s v="Fri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s v=""/>
    <n v="1"/>
    <n v="0"/>
    <s v=""/>
    <m/>
    <d v="2026-09-26T00:00:00"/>
  </r>
  <r>
    <d v="2026-09-05T00:00:00"/>
    <s v="Satur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n v="0"/>
    <n v="1"/>
    <n v="0"/>
    <s v=""/>
    <m/>
    <d v="2026-09-26T00:00:00"/>
  </r>
  <r>
    <d v="2026-09-06T00:00:00"/>
    <s v="Sun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n v="0"/>
    <n v="1"/>
    <n v="0"/>
    <s v=""/>
    <m/>
    <d v="2026-09-26T00:00:00"/>
  </r>
  <r>
    <d v="2026-09-07T00:00:00"/>
    <s v="Mon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n v="0"/>
    <n v="1"/>
    <n v="0"/>
    <s v=""/>
    <m/>
    <d v="2026-09-26T00:00:00"/>
  </r>
  <r>
    <d v="2026-09-08T00:00:00"/>
    <s v="Tues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1"/>
    <n v="0"/>
    <m/>
    <s v=""/>
    <m/>
    <m/>
    <n v="0"/>
    <n v="1"/>
    <n v="0"/>
    <s v=""/>
    <m/>
    <d v="2026-09-26T00:00:00"/>
  </r>
  <r>
    <d v="2026-09-09T00:00:00"/>
    <s v="Wednes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n v="0"/>
    <n v="1"/>
    <n v="0"/>
    <s v=""/>
    <m/>
    <d v="2026-09-26T00:00:00"/>
  </r>
  <r>
    <d v="2026-09-10T00:00:00"/>
    <s v="Thurs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n v="0"/>
    <n v="1"/>
    <n v="0"/>
    <s v=""/>
    <m/>
    <d v="2026-09-26T00:00:00"/>
  </r>
  <r>
    <d v="2026-09-11T00:00:00"/>
    <s v="Fri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n v="0"/>
    <n v="1"/>
    <n v="0"/>
    <s v=""/>
    <m/>
    <d v="2026-09-26T00:00:00"/>
  </r>
  <r>
    <d v="2026-09-12T00:00:00"/>
    <s v="Satur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n v="0"/>
    <n v="1"/>
    <n v="0"/>
    <s v=""/>
    <m/>
    <d v="2026-09-26T00:00:00"/>
  </r>
  <r>
    <d v="2026-09-13T00:00:00"/>
    <s v="Sun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n v="0"/>
    <n v="1"/>
    <n v="0"/>
    <s v=""/>
    <m/>
    <d v="2026-09-26T00:00:00"/>
  </r>
  <r>
    <d v="2026-09-14T00:00:00"/>
    <s v="Mon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n v="0"/>
    <n v="1"/>
    <n v="0"/>
    <s v=""/>
    <m/>
    <d v="2026-09-26T00:00:00"/>
  </r>
  <r>
    <d v="2026-09-15T00:00:00"/>
    <s v="Tues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n v="0"/>
    <n v="1"/>
    <n v="0"/>
    <s v=""/>
    <m/>
    <d v="2026-09-26T00:00:00"/>
  </r>
  <r>
    <d v="2026-09-16T00:00:00"/>
    <s v="Wednes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3"/>
    <n v="0"/>
    <m/>
    <s v=""/>
    <m/>
    <m/>
    <n v="0"/>
    <n v="1"/>
    <n v="0"/>
    <s v=""/>
    <m/>
    <d v="2026-09-26T00:00:00"/>
  </r>
  <r>
    <d v="2026-09-17T00:00:00"/>
    <s v="Thurs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n v="0"/>
    <n v="1"/>
    <n v="0"/>
    <s v=""/>
    <m/>
    <d v="2026-09-26T00:00:00"/>
  </r>
  <r>
    <d v="2026-09-18T00:00:00"/>
    <s v="Fri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n v="0"/>
    <n v="1"/>
    <n v="0"/>
    <s v=""/>
    <m/>
    <d v="2026-09-26T00:00:00"/>
  </r>
  <r>
    <d v="2026-09-19T00:00:00"/>
    <s v="Satur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17"/>
    <n v="0"/>
    <m/>
    <s v=""/>
    <m/>
    <m/>
    <n v="0"/>
    <n v="1"/>
    <n v="0"/>
    <s v=""/>
    <m/>
    <d v="2026-09-26T00:00:00"/>
  </r>
  <r>
    <d v="2026-09-20T00:00:00"/>
    <s v="Sun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10"/>
    <n v="0"/>
    <m/>
    <s v=""/>
    <m/>
    <m/>
    <n v="0"/>
    <n v="1"/>
    <n v="0"/>
    <s v=""/>
    <m/>
    <d v="2026-09-26T00:00:00"/>
  </r>
  <r>
    <d v="2026-09-21T00:00:00"/>
    <s v="Mon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n v="0"/>
    <n v="1"/>
    <n v="0"/>
    <s v=""/>
    <m/>
    <d v="2026-09-26T00:00:00"/>
  </r>
  <r>
    <d v="2026-09-22T00:00:00"/>
    <s v="Tues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n v="0"/>
    <n v="1"/>
    <n v="0"/>
    <s v=""/>
    <m/>
    <d v="2026-09-26T00:00:00"/>
  </r>
  <r>
    <d v="2026-09-23T00:00:00"/>
    <s v="Wednes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n v="0"/>
    <n v="1"/>
    <n v="0"/>
    <s v=""/>
    <m/>
    <d v="2026-09-26T00:00:00"/>
  </r>
  <r>
    <d v="2026-09-24T00:00:00"/>
    <s v="Thurs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n v="0"/>
    <n v="1"/>
    <n v="0"/>
    <s v=""/>
    <m/>
    <d v="2026-09-26T00:00:00"/>
  </r>
  <r>
    <d v="2026-09-25T00:00:00"/>
    <s v="Fri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2"/>
    <n v="0"/>
    <m/>
    <s v=""/>
    <m/>
    <m/>
    <n v="0"/>
    <n v="1"/>
    <n v="0"/>
    <s v=""/>
    <m/>
    <d v="2026-09-26T00:00:00"/>
  </r>
  <r>
    <d v="2026-09-26T00:00:00"/>
    <s v="Satur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1"/>
    <n v="0"/>
    <m/>
    <s v=""/>
    <m/>
    <m/>
    <n v="0"/>
    <n v="1"/>
    <n v="0"/>
    <s v=""/>
    <m/>
    <d v="2026-09-26T00:00:00"/>
  </r>
  <r>
    <d v="2026-09-27T00:00:00"/>
    <s v="Sun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n v="0"/>
    <n v="1"/>
    <n v="0"/>
    <s v=""/>
    <m/>
    <d v="2026-09-26T00:00:00"/>
  </r>
  <r>
    <d v="2026-09-28T00:00:00"/>
    <s v="Mon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23"/>
    <n v="0"/>
    <m/>
    <s v=""/>
    <m/>
    <m/>
    <n v="0"/>
    <n v="1"/>
    <n v="0"/>
    <s v=""/>
    <m/>
    <d v="2026-10-26T00:00:00"/>
  </r>
  <r>
    <d v="2026-09-29T00:00:00"/>
    <s v="Tues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25"/>
    <n v="0"/>
    <m/>
    <s v=""/>
    <m/>
    <m/>
    <n v="0"/>
    <n v="1"/>
    <n v="0"/>
    <s v=""/>
    <m/>
    <d v="2026-10-26T00:00:00"/>
  </r>
  <r>
    <d v="2026-09-30T00:00:00"/>
    <s v="Wednes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n v="0"/>
    <n v="1"/>
    <n v="0"/>
    <s v=""/>
    <m/>
    <d v="2026-10-26T00:00:00"/>
  </r>
  <r>
    <d v="2026-10-01T00:00:00"/>
    <s v="Thurs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4"/>
    <n v="0"/>
    <m/>
    <s v=""/>
    <m/>
    <m/>
    <n v="0"/>
    <n v="1"/>
    <n v="0"/>
    <s v=""/>
    <m/>
    <d v="2026-10-26T00:00:00"/>
  </r>
  <r>
    <d v="2026-10-02T00:00:00"/>
    <s v="Fri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n v="0"/>
    <n v="1"/>
    <n v="0"/>
    <s v=""/>
    <m/>
    <d v="2026-10-26T00:00:00"/>
  </r>
  <r>
    <d v="2026-10-03T00:00:00"/>
    <s v="Satur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60"/>
    <n v="0"/>
    <m/>
    <s v=""/>
    <m/>
    <m/>
    <n v="0"/>
    <n v="1"/>
    <n v="0"/>
    <s v=""/>
    <m/>
    <d v="2026-10-26T00:00:00"/>
  </r>
  <r>
    <d v="2026-10-04T00:00:00"/>
    <s v="Sun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n v="0"/>
    <n v="1"/>
    <n v="0"/>
    <s v=""/>
    <m/>
    <d v="2026-10-26T00:00:00"/>
  </r>
  <r>
    <d v="2026-10-05T00:00:00"/>
    <s v="Mon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1"/>
    <n v="0"/>
    <m/>
    <s v=""/>
    <m/>
    <m/>
    <n v="0"/>
    <n v="1"/>
    <n v="0"/>
    <s v=""/>
    <m/>
    <d v="2026-10-26T00:00:00"/>
  </r>
  <r>
    <d v="2026-10-06T00:00:00"/>
    <s v="Tues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n v="0"/>
    <n v="1"/>
    <n v="0"/>
    <s v=""/>
    <m/>
    <d v="2026-10-26T00:00:00"/>
  </r>
  <r>
    <d v="2026-10-07T00:00:00"/>
    <s v="Wednes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n v="0"/>
    <n v="1"/>
    <n v="0"/>
    <s v=""/>
    <m/>
    <d v="2026-10-26T00:00:00"/>
  </r>
  <r>
    <d v="2026-10-08T00:00:00"/>
    <s v="Thurs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4"/>
    <n v="0"/>
    <m/>
    <s v=""/>
    <m/>
    <m/>
    <n v="0"/>
    <n v="1"/>
    <n v="0"/>
    <s v=""/>
    <m/>
    <d v="2026-10-26T00:00:00"/>
  </r>
  <r>
    <d v="2026-10-09T00:00:00"/>
    <s v="Fri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n v="0"/>
    <n v="1"/>
    <n v="0"/>
    <s v=""/>
    <m/>
    <d v="2026-10-26T00:00:00"/>
  </r>
  <r>
    <d v="2026-10-10T00:00:00"/>
    <s v="Satur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46"/>
    <n v="0"/>
    <m/>
    <s v=""/>
    <m/>
    <m/>
    <n v="0"/>
    <n v="1"/>
    <n v="0"/>
    <s v=""/>
    <m/>
    <d v="2026-10-26T00:00:00"/>
  </r>
  <r>
    <d v="2026-10-11T00:00:00"/>
    <s v="Sun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n v="0"/>
    <n v="1"/>
    <n v="0"/>
    <s v=""/>
    <m/>
    <d v="2026-10-26T00:00:00"/>
  </r>
  <r>
    <d v="2026-10-12T00:00:00"/>
    <s v="Mon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3"/>
    <n v="0"/>
    <m/>
    <s v=""/>
    <m/>
    <m/>
    <n v="0"/>
    <n v="1"/>
    <n v="0"/>
    <s v=""/>
    <m/>
    <d v="2026-10-26T00:00:00"/>
  </r>
  <r>
    <d v="2026-10-13T00:00:00"/>
    <s v="Tues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13"/>
    <n v="0"/>
    <m/>
    <s v=""/>
    <m/>
    <m/>
    <n v="0"/>
    <n v="1"/>
    <n v="0"/>
    <s v=""/>
    <m/>
    <d v="2026-10-26T00:00:00"/>
  </r>
  <r>
    <d v="2026-10-14T00:00:00"/>
    <s v="Wednes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n v="0"/>
    <n v="1"/>
    <n v="0"/>
    <s v=""/>
    <m/>
    <d v="2026-10-26T00:00:00"/>
  </r>
  <r>
    <d v="2026-10-15T00:00:00"/>
    <s v="Thurs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n v="0"/>
    <n v="1"/>
    <n v="0"/>
    <s v=""/>
    <m/>
    <d v="2026-10-26T00:00:00"/>
  </r>
  <r>
    <d v="2026-10-16T00:00:00"/>
    <s v="Fri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3"/>
    <n v="0"/>
    <m/>
    <s v=""/>
    <m/>
    <m/>
    <n v="0"/>
    <n v="1"/>
    <n v="0"/>
    <s v=""/>
    <m/>
    <d v="2026-10-26T00:00:00"/>
  </r>
  <r>
    <d v="2026-10-17T00:00:00"/>
    <s v="Satur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n v="0"/>
    <n v="1"/>
    <n v="0"/>
    <s v=""/>
    <m/>
    <d v="2026-10-26T00:00:00"/>
  </r>
  <r>
    <d v="2026-10-18T00:00:00"/>
    <s v="Sun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18"/>
    <n v="0"/>
    <m/>
    <s v=""/>
    <m/>
    <m/>
    <n v="0"/>
    <n v="1"/>
    <n v="0"/>
    <s v=""/>
    <m/>
    <d v="2026-10-26T00:00:00"/>
  </r>
  <r>
    <d v="2026-10-19T00:00:00"/>
    <s v="Mon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1"/>
    <n v="0"/>
    <m/>
    <s v=""/>
    <m/>
    <m/>
    <n v="0"/>
    <n v="1"/>
    <n v="0"/>
    <s v=""/>
    <m/>
    <d v="2026-10-26T00:00:00"/>
  </r>
  <r>
    <d v="2026-10-20T00:00:00"/>
    <s v="Tues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n v="0"/>
    <n v="1"/>
    <n v="0"/>
    <s v=""/>
    <m/>
    <d v="2026-10-26T00:00:00"/>
  </r>
  <r>
    <d v="2026-10-21T00:00:00"/>
    <s v="Wednes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n v="0"/>
    <n v="1"/>
    <n v="0"/>
    <s v=""/>
    <m/>
    <d v="2026-10-26T00:00:00"/>
  </r>
  <r>
    <d v="2026-10-22T00:00:00"/>
    <s v="Thurs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n v="0"/>
    <n v="1"/>
    <n v="0"/>
    <s v=""/>
    <m/>
    <d v="2026-10-26T00:00:00"/>
  </r>
  <r>
    <d v="2026-10-23T00:00:00"/>
    <s v="Fri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n v="0"/>
    <n v="1"/>
    <n v="0"/>
    <s v=""/>
    <m/>
    <d v="2026-10-26T00:00:00"/>
  </r>
  <r>
    <d v="2026-10-24T00:00:00"/>
    <s v="Satur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n v="0"/>
    <n v="1"/>
    <n v="0"/>
    <s v=""/>
    <m/>
    <d v="2026-10-26T00:00:00"/>
  </r>
  <r>
    <d v="2026-10-25T00:00:00"/>
    <s v="Sun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18"/>
    <n v="0"/>
    <m/>
    <s v=""/>
    <m/>
    <m/>
    <n v="0"/>
    <n v="1"/>
    <n v="0"/>
    <s v=""/>
    <m/>
    <d v="2026-10-26T00:00:00"/>
  </r>
  <r>
    <d v="2026-10-26T00:00:00"/>
    <s v="Mon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1"/>
    <n v="0"/>
    <m/>
    <s v=""/>
    <m/>
    <m/>
    <n v="0"/>
    <n v="1"/>
    <n v="0"/>
    <s v=""/>
    <m/>
    <d v="2026-10-26T00:00:00"/>
  </r>
  <r>
    <d v="2026-10-27T00:00:00"/>
    <s v="Tues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1"/>
    <n v="0"/>
    <m/>
    <s v=""/>
    <m/>
    <m/>
    <n v="0"/>
    <n v="1"/>
    <n v="0"/>
    <s v=""/>
    <m/>
    <d v="2026-10-26T00:00:00"/>
  </r>
  <r>
    <d v="2026-10-28T00:00:00"/>
    <s v="Wednes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n v="0"/>
    <n v="1"/>
    <n v="0"/>
    <s v=""/>
    <m/>
    <d v="2026-10-26T00:00:00"/>
  </r>
  <r>
    <d v="2026-10-29T00:00:00"/>
    <s v="Thurs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1"/>
    <n v="0"/>
    <m/>
    <s v=""/>
    <m/>
    <m/>
    <n v="0"/>
    <n v="1"/>
    <n v="0"/>
    <s v=""/>
    <m/>
    <d v="2026-10-26T00:00:00"/>
  </r>
  <r>
    <d v="2026-10-30T00:00:00"/>
    <s v="Fri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5"/>
    <n v="0"/>
    <m/>
    <s v=""/>
    <m/>
    <m/>
    <n v="0"/>
    <n v="1"/>
    <n v="0"/>
    <s v=""/>
    <m/>
    <d v="2026-10-26T00:00:00"/>
  </r>
  <r>
    <d v="2026-10-31T00:00:00"/>
    <s v="Satur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n v="0"/>
    <n v="1"/>
    <n v="0"/>
    <s v=""/>
    <m/>
    <d v="2026-10-26T00:00:00"/>
  </r>
  <r>
    <d v="2026-11-01T00:00:00"/>
    <s v="Sun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n v="0"/>
    <n v="1"/>
    <n v="0"/>
    <s v=""/>
    <m/>
    <d v="2026-10-26T00:00:00"/>
  </r>
  <r>
    <d v="2026-11-02T00:00:00"/>
    <s v="Mon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n v="0"/>
    <n v="1"/>
    <n v="0"/>
    <s v=""/>
    <m/>
    <d v="2026-11-26T00:00:00"/>
  </r>
  <r>
    <d v="2026-11-03T00:00:00"/>
    <s v="Tues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18"/>
    <n v="0"/>
    <m/>
    <s v=""/>
    <m/>
    <m/>
    <n v="0"/>
    <n v="1"/>
    <n v="0"/>
    <s v=""/>
    <m/>
    <d v="2026-11-26T00:00:00"/>
  </r>
  <r>
    <d v="2026-11-04T00:00:00"/>
    <s v="Wednes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2"/>
    <n v="0"/>
    <m/>
    <s v=""/>
    <m/>
    <m/>
    <n v="0"/>
    <n v="1"/>
    <n v="0"/>
    <s v=""/>
    <m/>
    <d v="2026-11-26T00:00:00"/>
  </r>
  <r>
    <d v="2026-11-05T00:00:00"/>
    <s v="Thurs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n v="0"/>
    <n v="1"/>
    <n v="0"/>
    <s v=""/>
    <m/>
    <d v="2026-11-26T00:00:00"/>
  </r>
  <r>
    <d v="2026-11-06T00:00:00"/>
    <s v="Fri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n v="0"/>
    <n v="1"/>
    <n v="0"/>
    <s v=""/>
    <m/>
    <d v="2026-11-26T00:00:00"/>
  </r>
  <r>
    <d v="2026-11-07T00:00:00"/>
    <s v="Satur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1"/>
    <n v="0"/>
    <m/>
    <s v=""/>
    <m/>
    <m/>
    <n v="0"/>
    <n v="1"/>
    <n v="0"/>
    <s v=""/>
    <m/>
    <d v="2026-11-26T00:00:00"/>
  </r>
  <r>
    <d v="2026-11-08T00:00:00"/>
    <s v="Sun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n v="0"/>
    <n v="1"/>
    <n v="0"/>
    <s v=""/>
    <m/>
    <d v="2026-11-26T00:00:00"/>
  </r>
  <r>
    <d v="2026-11-09T00:00:00"/>
    <s v="Mon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n v="0"/>
    <n v="1"/>
    <n v="0"/>
    <s v=""/>
    <m/>
    <d v="2026-11-26T00:00:00"/>
  </r>
  <r>
    <d v="2026-11-10T00:00:00"/>
    <s v="Tues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23"/>
    <n v="0"/>
    <m/>
    <s v=""/>
    <m/>
    <m/>
    <n v="0"/>
    <n v="1"/>
    <n v="0"/>
    <s v=""/>
    <m/>
    <d v="2026-11-26T00:00:00"/>
  </r>
  <r>
    <d v="2026-11-11T00:00:00"/>
    <s v="Wednes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n v="0"/>
    <n v="1"/>
    <n v="0"/>
    <s v=""/>
    <m/>
    <d v="2026-11-26T00:00:00"/>
  </r>
  <r>
    <d v="2026-11-12T00:00:00"/>
    <s v="Thurs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n v="0"/>
    <n v="1"/>
    <n v="0"/>
    <s v=""/>
    <m/>
    <d v="2026-11-26T00:00:00"/>
  </r>
  <r>
    <d v="2026-11-13T00:00:00"/>
    <s v="Fri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n v="0"/>
    <n v="1"/>
    <n v="0"/>
    <s v=""/>
    <m/>
    <d v="2026-11-26T00:00:00"/>
  </r>
  <r>
    <d v="2026-11-14T00:00:00"/>
    <s v="Satur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n v="0"/>
    <n v="1"/>
    <n v="0"/>
    <s v=""/>
    <m/>
    <d v="2026-11-26T00:00:00"/>
  </r>
  <r>
    <d v="2026-11-15T00:00:00"/>
    <s v="Sun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4"/>
    <n v="0"/>
    <m/>
    <s v=""/>
    <m/>
    <m/>
    <n v="0"/>
    <n v="1"/>
    <n v="0"/>
    <s v=""/>
    <m/>
    <d v="2026-11-26T00:00:00"/>
  </r>
  <r>
    <d v="2026-11-16T00:00:00"/>
    <s v="Mon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n v="0"/>
    <n v="1"/>
    <n v="0"/>
    <s v=""/>
    <m/>
    <d v="2026-11-26T00:00:00"/>
  </r>
  <r>
    <d v="2026-11-17T00:00:00"/>
    <s v="Tues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n v="0"/>
    <n v="1"/>
    <n v="0"/>
    <s v=""/>
    <m/>
    <d v="2026-11-26T00:00:00"/>
  </r>
  <r>
    <d v="2026-11-18T00:00:00"/>
    <s v="Wednes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n v="0"/>
    <n v="1"/>
    <n v="0"/>
    <s v=""/>
    <m/>
    <d v="2026-11-26T00:00:00"/>
  </r>
  <r>
    <d v="2026-11-19T00:00:00"/>
    <s v="Thurs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n v="0"/>
    <n v="1"/>
    <n v="0"/>
    <s v=""/>
    <m/>
    <d v="2026-11-26T00:00:00"/>
  </r>
  <r>
    <d v="2026-11-20T00:00:00"/>
    <s v="Fri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4"/>
    <n v="0"/>
    <m/>
    <s v=""/>
    <m/>
    <m/>
    <n v="0"/>
    <n v="1"/>
    <n v="0"/>
    <s v=""/>
    <m/>
    <d v="2026-11-26T00:00:00"/>
  </r>
  <r>
    <d v="2026-11-21T00:00:00"/>
    <s v="Satur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n v="0"/>
    <n v="1"/>
    <n v="0"/>
    <s v=""/>
    <m/>
    <d v="2026-11-26T00:00:00"/>
  </r>
  <r>
    <d v="2026-11-22T00:00:00"/>
    <s v="Sun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6"/>
    <n v="0"/>
    <m/>
    <s v=""/>
    <m/>
    <m/>
    <n v="0"/>
    <n v="1"/>
    <n v="0"/>
    <s v=""/>
    <m/>
    <d v="2026-11-26T00:00:00"/>
  </r>
  <r>
    <d v="2026-11-23T00:00:00"/>
    <s v="Mon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n v="0"/>
    <n v="1"/>
    <n v="0"/>
    <s v=""/>
    <m/>
    <d v="2026-11-26T00:00:00"/>
  </r>
  <r>
    <d v="2026-11-24T00:00:00"/>
    <s v="Tues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n v="0"/>
    <n v="1"/>
    <n v="0"/>
    <s v=""/>
    <m/>
    <d v="2026-11-26T00:00:00"/>
  </r>
  <r>
    <d v="2026-11-25T00:00:00"/>
    <s v="Wednes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1"/>
    <n v="0"/>
    <m/>
    <s v=""/>
    <m/>
    <m/>
    <n v="0"/>
    <n v="1"/>
    <n v="0"/>
    <s v=""/>
    <m/>
    <d v="2026-11-26T00:00:00"/>
  </r>
  <r>
    <d v="2026-11-26T00:00:00"/>
    <s v="Thurs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1"/>
    <n v="0"/>
    <m/>
    <s v=""/>
    <m/>
    <m/>
    <n v="0"/>
    <n v="1"/>
    <n v="0"/>
    <s v=""/>
    <m/>
    <d v="2026-11-26T00:00:00"/>
  </r>
  <r>
    <d v="2026-11-27T00:00:00"/>
    <s v="Fri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26"/>
    <n v="0"/>
    <m/>
    <s v=""/>
    <m/>
    <m/>
    <n v="0"/>
    <n v="1"/>
    <n v="0"/>
    <s v=""/>
    <m/>
    <d v="2026-11-26T00:00:00"/>
  </r>
  <r>
    <d v="2026-11-28T00:00:00"/>
    <s v="Satur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25"/>
    <n v="0"/>
    <m/>
    <s v=""/>
    <m/>
    <m/>
    <n v="0"/>
    <n v="1"/>
    <n v="0"/>
    <s v=""/>
    <m/>
    <d v="2026-11-26T00:00:00"/>
  </r>
  <r>
    <d v="2026-11-29T00:00:00"/>
    <s v="Sun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2"/>
    <n v="0"/>
    <m/>
    <s v=""/>
    <m/>
    <m/>
    <n v="0"/>
    <n v="1"/>
    <n v="0"/>
    <s v=""/>
    <m/>
    <d v="2026-11-26T00:00:00"/>
  </r>
  <r>
    <d v="2026-11-30T00:00:00"/>
    <s v="Mon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4"/>
    <n v="0"/>
    <m/>
    <s v=""/>
    <m/>
    <m/>
    <n v="0"/>
    <n v="1"/>
    <n v="0"/>
    <s v=""/>
    <m/>
    <d v="2026-12-26T00:00:00"/>
  </r>
  <r>
    <d v="2026-12-01T00:00:00"/>
    <s v="Tues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n v="0"/>
    <n v="1"/>
    <n v="0"/>
    <s v=""/>
    <m/>
    <d v="2026-12-26T00:00:00"/>
  </r>
  <r>
    <d v="2026-12-02T00:00:00"/>
    <s v="Wednes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n v="0"/>
    <n v="1"/>
    <n v="0"/>
    <s v=""/>
    <m/>
    <d v="2026-12-26T00:00:00"/>
  </r>
  <r>
    <d v="2026-12-03T00:00:00"/>
    <s v="Thurs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n v="0"/>
    <n v="1"/>
    <n v="0"/>
    <s v=""/>
    <m/>
    <d v="2026-12-26T00:00:00"/>
  </r>
  <r>
    <d v="2026-12-04T00:00:00"/>
    <s v="Fri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1"/>
    <n v="0"/>
    <m/>
    <s v=""/>
    <m/>
    <m/>
    <n v="0"/>
    <n v="1"/>
    <n v="0"/>
    <s v=""/>
    <m/>
    <d v="2026-12-26T00:00:00"/>
  </r>
  <r>
    <d v="2026-12-05T00:00:00"/>
    <s v="Satur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n v="0"/>
    <n v="1"/>
    <n v="0"/>
    <s v=""/>
    <m/>
    <d v="2026-12-26T00:00:00"/>
  </r>
  <r>
    <d v="2026-12-06T00:00:00"/>
    <s v="Sun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n v="0"/>
    <n v="1"/>
    <n v="0"/>
    <s v=""/>
    <m/>
    <d v="2026-12-26T00:00:00"/>
  </r>
  <r>
    <d v="2026-12-07T00:00:00"/>
    <s v="Mon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n v="0"/>
    <n v="1"/>
    <n v="0"/>
    <s v=""/>
    <m/>
    <d v="2026-12-26T00:00:00"/>
  </r>
  <r>
    <d v="2026-12-08T00:00:00"/>
    <s v="Tues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n v="0"/>
    <n v="1"/>
    <n v="0"/>
    <s v=""/>
    <m/>
    <d v="2026-12-26T00:00:00"/>
  </r>
  <r>
    <d v="2026-12-09T00:00:00"/>
    <s v="Wednes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n v="0"/>
    <n v="1"/>
    <n v="0"/>
    <s v=""/>
    <m/>
    <d v="2026-12-26T00:00:00"/>
  </r>
  <r>
    <d v="2026-12-10T00:00:00"/>
    <s v="Thurs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n v="0"/>
    <n v="1"/>
    <n v="0"/>
    <s v=""/>
    <m/>
    <d v="2026-12-26T00:00:00"/>
  </r>
  <r>
    <d v="2026-12-11T00:00:00"/>
    <s v="Fri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1"/>
    <n v="0"/>
    <m/>
    <s v=""/>
    <m/>
    <m/>
    <n v="0"/>
    <n v="1"/>
    <n v="0"/>
    <s v=""/>
    <m/>
    <d v="2026-12-26T00:00:00"/>
  </r>
  <r>
    <d v="2026-12-12T00:00:00"/>
    <s v="Satur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n v="0"/>
    <n v="1"/>
    <n v="0"/>
    <s v=""/>
    <m/>
    <d v="2026-12-26T00:00:00"/>
  </r>
  <r>
    <d v="2026-12-13T00:00:00"/>
    <s v="Sun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n v="0"/>
    <n v="1"/>
    <n v="0"/>
    <s v=""/>
    <m/>
    <d v="2026-12-26T00:00:00"/>
  </r>
  <r>
    <d v="2026-12-14T00:00:00"/>
    <s v="Mon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n v="0"/>
    <n v="1"/>
    <n v="0"/>
    <s v=""/>
    <m/>
    <d v="2026-12-26T00:00:00"/>
  </r>
  <r>
    <d v="2026-12-15T00:00:00"/>
    <s v="Tues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3"/>
    <n v="0"/>
    <m/>
    <s v=""/>
    <m/>
    <m/>
    <n v="0"/>
    <n v="1"/>
    <n v="0"/>
    <s v=""/>
    <m/>
    <d v="2026-12-26T00:00:00"/>
  </r>
  <r>
    <d v="2026-12-16T00:00:00"/>
    <s v="Wednes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n v="0"/>
    <n v="1"/>
    <n v="0"/>
    <s v=""/>
    <m/>
    <d v="2026-12-26T00:00:00"/>
  </r>
  <r>
    <d v="2026-12-17T00:00:00"/>
    <s v="Thurs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n v="0"/>
    <n v="1"/>
    <n v="0"/>
    <s v=""/>
    <m/>
    <d v="2026-12-26T00:00:00"/>
  </r>
  <r>
    <d v="2026-12-18T00:00:00"/>
    <s v="Fri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19"/>
    <n v="0"/>
    <m/>
    <s v=""/>
    <m/>
    <m/>
    <n v="0"/>
    <n v="1"/>
    <n v="0"/>
    <s v=""/>
    <m/>
    <d v="2026-12-26T00:00:00"/>
  </r>
  <r>
    <d v="2026-12-19T00:00:00"/>
    <s v="Satur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10"/>
    <n v="0"/>
    <m/>
    <s v=""/>
    <m/>
    <m/>
    <n v="0"/>
    <n v="1"/>
    <n v="0"/>
    <s v=""/>
    <m/>
    <d v="2026-12-26T00:00:00"/>
  </r>
  <r>
    <d v="2026-12-20T00:00:00"/>
    <s v="Sun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n v="0"/>
    <n v="1"/>
    <n v="0"/>
    <s v=""/>
    <m/>
    <d v="2026-12-26T00:00:00"/>
  </r>
  <r>
    <d v="2026-12-21T00:00:00"/>
    <s v="Mon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n v="0"/>
    <n v="1"/>
    <n v="0"/>
    <s v=""/>
    <m/>
    <d v="2026-12-26T00:00:00"/>
  </r>
  <r>
    <d v="2026-12-22T00:00:00"/>
    <s v="Tues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n v="0"/>
    <n v="1"/>
    <n v="0"/>
    <s v=""/>
    <m/>
    <d v="2026-12-26T00:00:00"/>
  </r>
  <r>
    <d v="2026-12-23T00:00:00"/>
    <s v="Wednes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2"/>
    <n v="0"/>
    <m/>
    <s v=""/>
    <m/>
    <m/>
    <n v="0"/>
    <n v="1"/>
    <n v="0"/>
    <s v=""/>
    <m/>
    <d v="2026-12-26T00:00:00"/>
  </r>
  <r>
    <d v="2026-12-24T00:00:00"/>
    <s v="Thurs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4"/>
    <n v="0"/>
    <m/>
    <s v=""/>
    <m/>
    <m/>
    <n v="0"/>
    <n v="1"/>
    <n v="0"/>
    <s v=""/>
    <m/>
    <d v="2026-12-26T00:00:00"/>
  </r>
  <r>
    <d v="2026-12-25T00:00:00"/>
    <s v="Fri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1"/>
    <n v="0"/>
    <m/>
    <s v=""/>
    <m/>
    <m/>
    <n v="0"/>
    <n v="1"/>
    <n v="0"/>
    <s v=""/>
    <m/>
    <d v="2026-12-26T00:00:00"/>
  </r>
  <r>
    <d v="2026-12-26T00:00:00"/>
    <s v="Satur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0"/>
    <n v="0"/>
    <m/>
    <s v=""/>
    <m/>
    <m/>
    <n v="0"/>
    <n v="1"/>
    <n v="0"/>
    <s v=""/>
    <m/>
    <d v="2026-12-26T00:00:00"/>
  </r>
  <r>
    <d v="2026-12-27T00:00:00"/>
    <s v="Sun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n v="23"/>
    <n v="0"/>
    <m/>
    <s v=""/>
    <m/>
    <m/>
    <n v="0"/>
    <n v="1"/>
    <n v="0"/>
    <s v=""/>
    <m/>
    <d v="2026-12-26T00:00:00"/>
  </r>
  <r>
    <d v="2026-12-28T00:00:00"/>
    <s v="Mon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m/>
    <m/>
    <m/>
    <s v=""/>
    <m/>
    <m/>
    <n v="0"/>
    <n v="1"/>
    <n v="0"/>
    <s v=""/>
    <m/>
    <d v="2026-12-26T00:00:00"/>
  </r>
  <r>
    <d v="2026-12-29T00:00:00"/>
    <s v="Tues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m/>
    <m/>
    <m/>
    <s v=""/>
    <m/>
    <m/>
    <n v="0"/>
    <n v="1"/>
    <n v="0"/>
    <s v=""/>
    <m/>
    <d v="2026-12-26T00:00:00"/>
  </r>
  <r>
    <d v="2026-12-30T00:00:00"/>
    <s v="Wednes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m/>
    <m/>
    <m/>
    <s v=""/>
    <m/>
    <m/>
    <n v="0"/>
    <n v="1"/>
    <n v="0"/>
    <s v=""/>
    <m/>
    <d v="2026-12-26T00:00:00"/>
  </r>
  <r>
    <d v="2026-12-31T00:00:00"/>
    <s v="Thurs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m/>
    <m/>
    <m/>
    <s v=""/>
    <m/>
    <m/>
    <n v="0"/>
    <n v="1"/>
    <n v="0"/>
    <s v=""/>
    <m/>
    <d v="2026-12-26T00:00:00"/>
  </r>
  <r>
    <d v="2027-01-01T00:00:00"/>
    <s v="Fri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m/>
    <m/>
    <m/>
    <s v=""/>
    <m/>
    <m/>
    <s v=""/>
    <n v="1"/>
    <n v="0"/>
    <s v=""/>
    <m/>
    <d v="2026-12-26T00:00:00"/>
  </r>
  <r>
    <d v="2027-01-02T00:00:00"/>
    <s v="Satur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m/>
    <m/>
    <m/>
    <s v=""/>
    <m/>
    <m/>
    <s v=""/>
    <n v="1"/>
    <n v="0"/>
    <s v=""/>
    <m/>
    <d v="2026-12-26T00:00:00"/>
  </r>
  <r>
    <d v="2027-01-03T00:00:00"/>
    <s v="Sunday"/>
    <x v="4"/>
    <s v=""/>
    <m/>
    <m/>
    <s v=""/>
    <s v=""/>
    <m/>
    <m/>
    <m/>
    <m/>
    <m/>
    <m/>
    <m/>
    <m/>
    <m/>
    <m/>
    <n v="0"/>
    <m/>
    <m/>
    <m/>
    <m/>
    <m/>
    <m/>
    <m/>
    <n v="0"/>
    <m/>
    <m/>
    <m/>
    <m/>
    <m/>
    <m/>
    <n v="0"/>
    <n v="0"/>
    <n v="0"/>
    <s v=""/>
    <m/>
    <m/>
    <m/>
    <m/>
    <m/>
    <m/>
    <s v=""/>
    <m/>
    <m/>
    <s v=""/>
    <n v="1"/>
    <n v="0"/>
    <s v=""/>
    <m/>
    <d v="2026-12-26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000C47-89A8-40E5-BC0A-9ADC9FC72B6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E3:S4" firstHeaderRow="0" firstDataRow="1" firstDataCol="0" rowPageCount="1" colPageCount="1"/>
  <pivotFields count="22">
    <pivotField axis="axisPage" numFmtId="16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9" showAll="0"/>
    <pivotField showAll="0"/>
    <pivotField showAll="0"/>
    <pivotField dataField="1" numFmtId="9" showAll="0"/>
    <pivotField dataField="1" numFmtId="9" showAll="0"/>
    <pivotField dataField="1" numFmtId="9" showAll="0"/>
    <pivotField dataField="1" numFmtId="9" showAll="0"/>
    <pivotField dataField="1" numFmtId="9" showAll="0"/>
    <pivotField dataField="1" numFmtId="9" showAll="0"/>
    <pivotField dataField="1" numFmtId="9" showAll="0"/>
    <pivotField showAll="0"/>
    <pivotField dataField="1" numFmtId="167" showAll="0"/>
    <pivotField dataField="1" numFmtId="167" showAll="0"/>
    <pivotField dataField="1" numFmtId="167" showAll="0"/>
    <pivotField dataField="1" numFmtId="167" showAll="0"/>
    <pivotField dataField="1" numFmtId="167" showAll="0"/>
    <pivotField dataField="1" numFmtId="167" showAll="0"/>
    <pivotField dataField="1" numFmtId="167" showAll="0"/>
    <pivotField dataField="1" numFmtId="167" showAll="0"/>
    <pivotField showAll="0"/>
    <pivotField showAll="0"/>
  </pivotFields>
  <rowItems count="1">
    <i/>
  </rowItems>
  <colFields count="1">
    <field x="-2"/>
  </colFields>
  <colItems count="1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</colItems>
  <pageFields count="1">
    <pageField fld="0" hier="-1"/>
  </pageFields>
  <dataFields count="15">
    <dataField name="Santation" fld="6" baseField="0" baseItem="1" numFmtId="9"/>
    <dataField name=" Qulity Loss" fld="19" baseField="0" baseItem="2" numFmtId="167"/>
    <dataField name=" Changeovars" fld="7" baseField="0" baseItem="2" numFmtId="9"/>
    <dataField name="Planed Autonomous Maintenance" fld="5" baseField="0" baseItem="2" numFmtId="9"/>
    <dataField name="Brakdowns" fld="13" baseField="0" baseItem="2" numFmtId="167"/>
    <dataField name="Operational Loss" fld="14" baseField="0" baseItem="2" numFmtId="167"/>
    <dataField name=" Minor Stops" fld="12" baseField="0" baseItem="2" numFmtId="167"/>
    <dataField name="Planed Maintenance" fld="4" baseField="0" baseItem="2" numFmtId="9"/>
    <dataField name="Planed Stops" fld="8" baseField="0" baseItem="2" numFmtId="9"/>
    <dataField name="Consumables replacment" fld="9" baseField="0" baseItem="2" numFmtId="9"/>
    <dataField name="Sum of Start and Finish Prod" fld="10" baseField="0" baseItem="2" numFmtId="9"/>
    <dataField name="Line Delay" fld="15" baseField="0" baseItem="2" numFmtId="167"/>
    <dataField name="Labor Management Loss" fld="16" baseField="0" baseItem="2" numFmtId="167"/>
    <dataField name="Material Shortage" fld="17" baseField="0" baseItem="2" numFmtId="167"/>
    <dataField name="Speed Los" fld="18" baseField="0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0315CD-F522-43D5-9046-8AAD7AC9A427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X6:Y21" firstHeaderRow="1" firstDataRow="1" firstDataCol="1" rowPageCount="1" colPageCount="1"/>
  <pivotFields count="13">
    <pivotField numFmtId="15" showAll="0"/>
    <pivotField axis="axisRow" showAll="0" sortType="descending">
      <items count="16">
        <item x="0"/>
        <item x="6"/>
        <item x="3"/>
        <item x="1"/>
        <item x="2"/>
        <item x="4"/>
        <item x="5"/>
        <item x="7"/>
        <item x="8"/>
        <item x="9"/>
        <item x="10"/>
        <item x="11"/>
        <item x="12"/>
        <item x="14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15">
    <i>
      <x v="6"/>
    </i>
    <i>
      <x v="7"/>
    </i>
    <i>
      <x/>
    </i>
    <i>
      <x v="2"/>
    </i>
    <i>
      <x v="5"/>
    </i>
    <i>
      <x v="1"/>
    </i>
    <i>
      <x v="4"/>
    </i>
    <i>
      <x v="9"/>
    </i>
    <i>
      <x v="12"/>
    </i>
    <i>
      <x v="11"/>
    </i>
    <i>
      <x v="3"/>
    </i>
    <i>
      <x v="8"/>
    </i>
    <i>
      <x v="14"/>
    </i>
    <i>
      <x v="10"/>
    </i>
    <i t="grand">
      <x/>
    </i>
  </rowItems>
  <colItems count="1">
    <i/>
  </colItems>
  <pageFields count="1">
    <pageField fld="4" item="1" hier="-1"/>
  </pageFields>
  <dataFields count="1">
    <dataField name="Sum of line downtime" fld="8" baseField="0" baseItem="0"/>
  </dataFields>
  <chartFormats count="3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F736C5-0C6F-43D9-B90B-B37F946B6751}" name="PivotTable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U2:V5" firstHeaderRow="1" firstDataRow="1" firstDataCol="1"/>
  <pivotFields count="52">
    <pivotField numFmtId="165" showAll="0"/>
    <pivotField showAll="0"/>
    <pivotField axis="axisRow" showAll="0">
      <items count="8">
        <item x="1"/>
        <item h="1" x="4"/>
        <item x="2"/>
        <item h="1" x="3"/>
        <item h="1" x="5"/>
        <item h="1" x="6"/>
        <item h="1"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6"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numFmtId="164" showAll="0"/>
  </pivotFields>
  <rowFields count="1">
    <field x="2"/>
  </rowFields>
  <rowItems count="3">
    <i>
      <x/>
    </i>
    <i>
      <x v="2"/>
    </i>
    <i t="grand">
      <x/>
    </i>
  </rowItems>
  <colItems count="1">
    <i/>
  </colItems>
  <dataFields count="1">
    <dataField name="Average of GE - Actual" fld="7" subtotal="average" baseField="0" baseItem="0" numFmtId="9"/>
  </dataFields>
  <formats count="1">
    <format dxfId="285">
      <pivotArea outline="0" collapsedLevelsAreSubtotals="1" fieldPosition="0"/>
    </format>
  </formats>
  <chartFormats count="3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28CADD-6EE8-4911-93BF-560C3E2EED82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5:C88" firstHeaderRow="0" firstDataRow="1" firstDataCol="1" rowPageCount="2" colPageCount="1"/>
  <pivotFields count="13">
    <pivotField numFmtId="15" showAll="0"/>
    <pivotField axis="axisPage" showAll="0">
      <items count="16">
        <item x="0"/>
        <item x="6"/>
        <item x="3"/>
        <item x="1"/>
        <item x="2"/>
        <item x="4"/>
        <item x="5"/>
        <item x="7"/>
        <item x="8"/>
        <item x="9"/>
        <item x="10"/>
        <item x="11"/>
        <item x="12"/>
        <item x="14"/>
        <item x="13"/>
        <item t="default"/>
      </items>
    </pivotField>
    <pivotField showAll="0"/>
    <pivotField axis="axisRow" showAll="0" sortType="descending">
      <items count="94">
        <item x="1"/>
        <item x="0"/>
        <item m="1" x="92"/>
        <item x="5"/>
        <item x="3"/>
        <item x="4"/>
        <item x="6"/>
        <item x="7"/>
        <item x="8"/>
        <item x="9"/>
        <item x="55"/>
        <item x="10"/>
        <item x="11"/>
        <item x="12"/>
        <item x="15"/>
        <item x="14"/>
        <item x="16"/>
        <item x="17"/>
        <item x="2"/>
        <item x="13"/>
        <item x="18"/>
        <item x="19"/>
        <item x="20"/>
        <item x="22"/>
        <item x="21"/>
        <item x="23"/>
        <item x="24"/>
        <item x="25"/>
        <item x="26"/>
        <item x="27"/>
        <item x="28"/>
        <item x="29"/>
        <item x="30"/>
        <item x="31"/>
        <item x="32"/>
        <item x="33"/>
        <item x="36"/>
        <item x="37"/>
        <item x="38"/>
        <item x="39"/>
        <item x="40"/>
        <item x="41"/>
        <item x="42"/>
        <item x="43"/>
        <item x="44"/>
        <item x="34"/>
        <item x="35"/>
        <item x="45"/>
        <item x="46"/>
        <item x="47"/>
        <item x="48"/>
        <item x="49"/>
        <item x="51"/>
        <item x="50"/>
        <item x="52"/>
        <item x="53"/>
        <item x="54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4">
        <item h="1"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3"/>
  </rowFields>
  <rowItems count="83">
    <i>
      <x v="9"/>
    </i>
    <i>
      <x v="32"/>
    </i>
    <i>
      <x v="17"/>
    </i>
    <i>
      <x v="89"/>
    </i>
    <i>
      <x v="30"/>
    </i>
    <i>
      <x v="11"/>
    </i>
    <i>
      <x v="79"/>
    </i>
    <i>
      <x v="69"/>
    </i>
    <i>
      <x v="25"/>
    </i>
    <i>
      <x v="76"/>
    </i>
    <i>
      <x v="16"/>
    </i>
    <i>
      <x v="56"/>
    </i>
    <i>
      <x v="47"/>
    </i>
    <i>
      <x v="57"/>
    </i>
    <i>
      <x v="19"/>
    </i>
    <i>
      <x v="15"/>
    </i>
    <i>
      <x v="90"/>
    </i>
    <i>
      <x v="29"/>
    </i>
    <i>
      <x v="28"/>
    </i>
    <i>
      <x v="55"/>
    </i>
    <i>
      <x v="88"/>
    </i>
    <i>
      <x v="48"/>
    </i>
    <i>
      <x v="42"/>
    </i>
    <i>
      <x v="54"/>
    </i>
    <i>
      <x v="24"/>
    </i>
    <i>
      <x v="22"/>
    </i>
    <i>
      <x v="80"/>
    </i>
    <i>
      <x v="20"/>
    </i>
    <i>
      <x v="52"/>
    </i>
    <i>
      <x v="37"/>
    </i>
    <i>
      <x v="6"/>
    </i>
    <i>
      <x v="45"/>
    </i>
    <i>
      <x v="33"/>
    </i>
    <i>
      <x v="53"/>
    </i>
    <i>
      <x v="60"/>
    </i>
    <i>
      <x v="66"/>
    </i>
    <i>
      <x v="58"/>
    </i>
    <i>
      <x v="43"/>
    </i>
    <i>
      <x v="46"/>
    </i>
    <i>
      <x v="67"/>
    </i>
    <i>
      <x v="61"/>
    </i>
    <i>
      <x v="71"/>
    </i>
    <i>
      <x v="51"/>
    </i>
    <i>
      <x v="85"/>
    </i>
    <i>
      <x v="27"/>
    </i>
    <i>
      <x v="35"/>
    </i>
    <i>
      <x v="68"/>
    </i>
    <i>
      <x v="4"/>
    </i>
    <i>
      <x v="34"/>
    </i>
    <i>
      <x v="84"/>
    </i>
    <i>
      <x v="73"/>
    </i>
    <i>
      <x v="59"/>
    </i>
    <i>
      <x v="50"/>
    </i>
    <i>
      <x v="21"/>
    </i>
    <i>
      <x v="31"/>
    </i>
    <i>
      <x v="86"/>
    </i>
    <i>
      <x v="13"/>
    </i>
    <i>
      <x v="14"/>
    </i>
    <i>
      <x v="36"/>
    </i>
    <i>
      <x v="70"/>
    </i>
    <i>
      <x v="12"/>
    </i>
    <i>
      <x v="41"/>
    </i>
    <i>
      <x v="83"/>
    </i>
    <i>
      <x v="39"/>
    </i>
    <i>
      <x v="23"/>
    </i>
    <i>
      <x v="44"/>
    </i>
    <i>
      <x v="72"/>
    </i>
    <i>
      <x v="63"/>
    </i>
    <i>
      <x v="64"/>
    </i>
    <i>
      <x v="5"/>
    </i>
    <i>
      <x v="75"/>
    </i>
    <i>
      <x v="26"/>
    </i>
    <i>
      <x v="92"/>
    </i>
    <i>
      <x v="65"/>
    </i>
    <i>
      <x v="91"/>
    </i>
    <i>
      <x v="82"/>
    </i>
    <i>
      <x v="78"/>
    </i>
    <i>
      <x v="87"/>
    </i>
    <i>
      <x v="77"/>
    </i>
    <i>
      <x v="3"/>
    </i>
    <i>
      <x v="38"/>
    </i>
    <i>
      <x v="10"/>
    </i>
    <i t="grand">
      <x/>
    </i>
  </rowItems>
  <colFields count="1">
    <field x="-2"/>
  </colFields>
  <colItems count="2">
    <i>
      <x/>
    </i>
    <i i="1">
      <x v="1"/>
    </i>
  </colItems>
  <pageFields count="2">
    <pageField fld="1" hier="-1"/>
    <pageField fld="4" hier="-1"/>
  </pageFields>
  <dataFields count="2">
    <dataField name="Sum of line downtime" fld="8" baseField="0" baseItem="0"/>
    <dataField name="Sum of line downtime2" fld="8" baseField="3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chartFormats count="4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00000000-0016-0000-0400-000000000000}" autoFormatId="16" applyNumberFormats="0" applyBorderFormats="0" applyFontFormats="0" applyPatternFormats="0" applyAlignmentFormats="0" applyWidthHeightFormats="0">
  <queryTableRefresh nextId="8">
    <queryTableFields count="6">
      <queryTableField id="6" name="DATE" tableColumnId="6"/>
      <queryTableField id="1" name="Volume" tableColumnId="1"/>
      <queryTableField id="2" name="Generation" tableColumnId="2"/>
      <queryTableField id="3" name="Refeed" tableColumnId="3"/>
      <queryTableField id="4" name="Net generation" tableColumnId="4"/>
      <queryTableField id="5" name="Generation%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2" xr16:uid="{00000000-0016-0000-0B00-000001000000}" autoFormatId="16" applyNumberFormats="0" applyBorderFormats="0" applyFontFormats="0" applyPatternFormats="0" applyAlignmentFormats="0" applyWidthHeightFormats="0">
  <queryTableRefresh nextId="10">
    <queryTableFields count="9">
      <queryTableField id="1" name="Source.Name" tableColumnId="1"/>
      <queryTableField id="2" name="Line" tableColumnId="2"/>
      <queryTableField id="3" name="Date Calendar DateTime" tableColumnId="3"/>
      <queryTableField id="4" name="Machine Name" tableColumnId="4"/>
      <queryTableField id="5" name="Uptime" tableColumnId="5"/>
      <queryTableField id="6" name="Stops" tableColumnId="6"/>
      <queryTableField id="7" name="Line MTBF" tableColumnId="7"/>
      <queryTableField id="8" name="MDLZ Minor Stoppages (Mins)" tableColumnId="8"/>
      <queryTableField id="9" name="MDLZ GE %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00000000-0016-0000-0C00-000002000000}" autoFormatId="16" applyNumberFormats="0" applyBorderFormats="0" applyFontFormats="0" applyPatternFormats="0" applyAlignmentFormats="0" applyWidthHeightFormats="0">
  <queryTableRefresh nextId="8">
    <queryTableFields count="7">
      <queryTableField id="1" name="Source.Name" tableColumnId="1"/>
      <queryTableField id="2" name="Line" tableColumnId="2"/>
      <queryTableField id="3" name="Date Calendar DateTime" tableColumnId="3"/>
      <queryTableField id="4" name="Machine Name" tableColumnId="4"/>
      <queryTableField id="5" name="Reason Name" tableColumnId="5"/>
      <queryTableField id="6" name="Stops" tableColumnId="6"/>
      <queryTableField id="7" name="sum([Duration For MTTR])*60" tableColumnId="7"/>
    </queryTableFields>
  </queryTableRefresh>
</queryTable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AD6C80F-1F4D-4029-9057-C286FCE4D35A}" name="Table211" displayName="Table211" ref="A1:K4998" totalsRowShown="0" headerRowDxfId="443" tableBorderDxfId="442">
  <autoFilter ref="A1:K4998" xr:uid="{27AFE57C-039D-4299-94B2-C2F95948F0D6}"/>
  <sortState xmlns:xlrd2="http://schemas.microsoft.com/office/spreadsheetml/2017/richdata2" ref="A2:K4998">
    <sortCondition ref="A157:A4998"/>
  </sortState>
  <tableColumns count="11">
    <tableColumn id="1" xr3:uid="{785B71CA-D3E4-4AD6-AA68-4EC90FB552A4}" name="Date" dataDxfId="441"/>
    <tableColumn id="14" xr3:uid="{B05BFC2E-2321-4AD1-84A7-4168EAF4571A}" name="shift" dataDxfId="440"/>
    <tableColumn id="2" xr3:uid="{A26F4F0B-EB1B-45B6-B097-0CF1C9EF4C81}" name="Operation" dataDxfId="439"/>
    <tableColumn id="3" xr3:uid="{F9D5DBB8-1F8A-4932-A82D-C40368F5B751}" name="Equipment" dataDxfId="438"/>
    <tableColumn id="4" xr3:uid="{74A11F73-86B2-4E9A-9ACE-EE33026B081E}" name="Failure Description" dataDxfId="437"/>
    <tableColumn id="5" xr3:uid="{087C0A67-8CD1-496B-8189-BDD0F8C7A4C0}" name="Loss Category" dataDxfId="436"/>
    <tableColumn id="6" xr3:uid="{9F991561-98F5-4A99-9F80-A840562328CC}" name="Loss Type" dataDxfId="435"/>
    <tableColumn id="7" xr3:uid="{F8D73C59-E33E-4FD3-8333-B1EBF6BA4F2B}" name="Equipment Class" dataDxfId="434"/>
    <tableColumn id="8" xr3:uid="{1195C867-CD79-446A-835A-983F6184227B}" name="Equipment Downtime" dataDxfId="433"/>
    <tableColumn id="12" xr3:uid="{3BA4DE83-A2C4-4810-93E6-974E830F16C6}" name="line downtime" dataDxfId="432"/>
    <tableColumn id="10" xr3:uid="{9C872D2A-24F2-4D41-AD86-ADA20F66F9BB}" name="Action Taken" dataDxfId="43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AC56F7C-773F-4DA9-8F0B-F3DDE56E12D9}" name="Table110" displayName="Table110" ref="A2:BA373" totalsRowShown="0" dataDxfId="430">
  <tableColumns count="53">
    <tableColumn id="1" xr3:uid="{F6FC7A11-8E14-4B4C-A8A4-D4D463CB96B9}" name="Date" dataDxfId="429"/>
    <tableColumn id="2" xr3:uid="{77AC376C-AC7D-437E-8DF7-5665E8DD7873}" name="Day" dataDxfId="428">
      <calculatedColumnFormula>IF(A3="","",TEXT(A3,"dddddd"))</calculatedColumnFormula>
    </tableColumn>
    <tableColumn id="53" xr3:uid="{2237BD30-B0E7-4FDB-B3E9-E0D9EEB449F3}" name="SHIFT" dataDxfId="427"/>
    <tableColumn id="3" xr3:uid="{B1BCCC00-2C7D-4165-96CC-775F64ECB407}" name="SKU" dataDxfId="426"/>
    <tableColumn id="4" xr3:uid="{00CBA4DF-CC3F-4CEB-9EC9-4D731E97B300}" name="SOC (TPD)" dataDxfId="425">
      <calculatedColumnFormula array="1">IFERROR(INDIRECT(D3),"")</calculatedColumnFormula>
    </tableColumn>
    <tableColumn id="5" xr3:uid="{F3781837-B44F-4FCD-A3BE-BDE61692CA0B}" name="Plan" dataDxfId="424"/>
    <tableColumn id="6" xr3:uid="{41FFA4BB-7DBB-47E7-AEBC-7371ECAD1171}" name="Volume Delivered (T)" dataDxfId="423"/>
    <tableColumn id="7" xr3:uid="{D078A99E-6F30-4F09-A9A0-92A2B278F0AC}" name="GE - Target" dataDxfId="422">
      <calculatedColumnFormula>IFERROR((Table110[[#This Row],[Plan]]/Table110[[#This Row],[Hours Used]])/(Table110[[#This Row],[SOC (TPD)]]/24),"")</calculatedColumnFormula>
    </tableColumn>
    <tableColumn id="8" xr3:uid="{9A4561D7-322A-4E49-B3D3-22820B040687}" name="GE - Actual" dataDxfId="421">
      <calculatedColumnFormula>IFERROR((Table110[[#This Row],[Volume Delivered (T)]]/Table110[[#This Row],[Hours Used]])/(Table110[[#This Row],[SOC (TPD)]]/24),"")</calculatedColumnFormula>
    </tableColumn>
    <tableColumn id="9" xr3:uid="{2DD65275-CF36-4DA8-B56B-E2FBAA962111}" name="Legal Non-Operating Time" dataDxfId="420"/>
    <tableColumn id="10" xr3:uid="{E0C184AF-F2FD-4A4D-80B2-121D561E1BA2}" name="No Demand Time" dataDxfId="419"/>
    <tableColumn id="11" xr3:uid="{550FC89E-5867-40E3-9759-274AD8FBF99B}" name="Force Majeure" dataDxfId="418"/>
    <tableColumn id="12" xr3:uid="{5846CB94-AF2E-4CE3-8C58-CD866466A2D2}" name="Quality Loss (T)" dataDxfId="417"/>
    <tableColumn id="13" xr3:uid="{8036A42C-0867-4921-8AF8-C77B04C43D16}" name="waste (%) - MTD" dataDxfId="416"/>
    <tableColumn id="36" xr3:uid="{27AD92AA-D152-4E0E-91B5-D1B3187FD709}" name="Bulk on Floor (T)" dataDxfId="415"/>
    <tableColumn id="16" xr3:uid="{349CB64A-AD18-46F8-8881-FACE584730DA}" name="Offline Packing (MT)" dataDxfId="414"/>
    <tableColumn id="43" xr3:uid="{0A312C01-9E62-46EB-A413-994EDE03A8E0}" name="rework on floor(T)" dataDxfId="413"/>
    <tableColumn id="14" xr3:uid="{796FC6E4-2A65-45EE-8783-EA17C15293E5}" name="TBM ACTIVITIES PLANNED" dataDxfId="412"/>
    <tableColumn id="15" xr3:uid="{323C5A1B-9595-4341-BAA9-B3C1D1E0E770}" name="TBM ACTIVITIES COMPLETED" dataDxfId="411"/>
    <tableColumn id="17" xr3:uid="{6D88A19D-BB5B-442E-B074-124E42088561}" name="Hours Used" dataDxfId="410">
      <calculatedColumnFormula>IF(Table110[[#This Row],[SKU]]="",0,24-Table110[[#This Row],[Legal Non-Operating Time]]-Table110[[#This Row],[No Demand Time]]-Table110[[#This Row],[Force Majeure]])</calculatedColumnFormula>
    </tableColumn>
    <tableColumn id="18" xr3:uid="{C11D6F17-F0AE-47B3-8CAF-9054D50F67C8}" name="Planned Maintenance" dataDxfId="409"/>
    <tableColumn id="19" xr3:uid="{87D489DE-4228-4E88-8855-4A55E43DE70A}" name="Planned AM" dataDxfId="408"/>
    <tableColumn id="20" xr3:uid="{3403C5D7-800E-468F-8D7B-81B8D9FCF6D2}" name="Sanitation" dataDxfId="407"/>
    <tableColumn id="21" xr3:uid="{E87B2065-5A5C-4665-AE5C-5C5959F4C59D}" name="Changeovers" dataDxfId="406"/>
    <tableColumn id="22" xr3:uid="{2F5E1C79-9338-4C5A-A0C1-4CC876E6A0B7}" name="Planned Stops" dataDxfId="405"/>
    <tableColumn id="23" xr3:uid="{D96BDE84-4B8A-4A36-8917-C490E351904C}" name="Consumables replacement" dataDxfId="404"/>
    <tableColumn id="24" xr3:uid="{B622CBBE-8F6E-4AB6-9CBA-EE482405F423}" name="Start and Finish Production" dataDxfId="403"/>
    <tableColumn id="25" xr3:uid="{53AC44E1-1D47-4F0D-B935-323393D54A21}" name="PRODUCTION HOURS" dataDxfId="402">
      <calculatedColumnFormula>Table110[[#This Row],[Hours Used]]-SUM(Table110[[#This Row],[Planned Maintenance]:[Start and Finish Production]])</calculatedColumnFormula>
    </tableColumn>
    <tableColumn id="26" xr3:uid="{FD3A900F-3A65-47E0-A5C6-8B2584BD2985}" name="Minor Stoppages" dataDxfId="401"/>
    <tableColumn id="27" xr3:uid="{87A0456B-1B78-4CEC-897B-BBC1CA7BC1A5}" name="Breakdowns" dataDxfId="400"/>
    <tableColumn id="28" xr3:uid="{8225BFC2-3670-4130-A726-E7EA4B9C708E}" name="Operational Losses" dataDxfId="399"/>
    <tableColumn id="29" xr3:uid="{451E9B6C-41AD-4EF4-92E3-4801BCE70FF5}" name="Line Delays" dataDxfId="398"/>
    <tableColumn id="30" xr3:uid="{A0A8CEF0-085F-4EC5-940A-DE6821E541E7}" name="Labor Management" dataDxfId="397"/>
    <tableColumn id="31" xr3:uid="{BFBEC64F-650F-4A82-833A-60FA3958992A}" name="Material Shortages" dataDxfId="396"/>
    <tableColumn id="32" xr3:uid="{843254A3-9610-4559-A060-C607C9332D10}" name="Speed Loss (Hrs)" dataDxfId="395">
      <calculatedColumnFormula>(Table110[[#This Row],[Hours Used]]-SUM(Table110[[#This Row],[Planned Maintenance]:[Start and Finish Production]])-SUM(Table110[[#This Row],[Minor Stoppages]:[Material Shortages]])-Table110[[#This Row],[Quality Loss (Hrs)]]-Table110[[#This Row],[Operating Time]])/3</calculatedColumnFormula>
    </tableColumn>
    <tableColumn id="33" xr3:uid="{62D4BF06-2FA9-4085-BD0E-9FC229FF4D0E}" name="Quality Loss (Hrs)" dataDxfId="394">
      <calculatedColumnFormula>IFERROR(IF(Table110[[#This Row],[SKU]]="",0,Table110[[#This Row],[Quality Loss (T)]]/(Table110[[#This Row],[SOC (TPD)]]/24)),"")</calculatedColumnFormula>
    </tableColumn>
    <tableColumn id="34" xr3:uid="{74F400DC-C934-4F31-9E60-03A42E7FC849}" name="Operating Time" dataDxfId="393">
      <calculatedColumnFormula>IFERROR(IF(Table110[[#This Row],[SKU]]="",0,Table110[[#This Row],[Volume Delivered (T)]]/(Table110[[#This Row],[SOC (TPD)]]/24)),"")</calculatedColumnFormula>
    </tableColumn>
    <tableColumn id="35" xr3:uid="{8F0AFB4F-5191-4FF4-9738-D05964483E1A}" name="Operating Time (Planned)" dataDxfId="392">
      <calculatedColumnFormula>IFERROR(Table110[[#This Row],[Operating Time]]/Table110[[#This Row],[PRODUCTION HOURS]],"")</calculatedColumnFormula>
    </tableColumn>
    <tableColumn id="37" xr3:uid="{3AA96BBC-9CA6-42E4-8459-EF84A042F7F6}" name="CL Deployed at Line" dataDxfId="391"/>
    <tableColumn id="38" xr3:uid="{7D08FA8F-7637-42C5-8F37-5C26FAD25914}" name="CIL-DONE" dataDxfId="390"/>
    <tableColumn id="39" xr3:uid="{6F0ACEF8-208F-4F9E-B167-E57191930235}" name="centreline check " dataDxfId="389"/>
    <tableColumn id="41" xr3:uid="{0D3EBDE9-646A-48E8-B894-CCFA91182C32}" name="TBM ACTIVITIES PLANNED2" dataDxfId="388"/>
    <tableColumn id="42" xr3:uid="{A06F7231-6326-4ED5-A573-53DF481A47AC}" name="TBM ACTIVITIES COMPLETED2" dataDxfId="387"/>
    <tableColumn id="51" xr3:uid="{36CDDA3D-775A-432F-9F4A-69BBD0F542F4}" name="tbm-on time completion" dataDxfId="386"/>
    <tableColumn id="44" xr3:uid="{0CF9B5D9-A7C0-4A21-B7FD-CBB603A130B6}" name="mtbf" dataDxfId="385">
      <calculatedColumnFormula>IFERROR(SUMIFS(#REF!,#REF!,'Shift Wise-Data Sheet'!A:A,#REF!,"Samridhi Perk Line")/SUMIFS(#REF!,#REF!,'Shift Wise-Data Sheet'!A:A,#REF!,"Samridhi Perk Line"),"")</calculatedColumnFormula>
    </tableColumn>
    <tableColumn id="45" xr3:uid="{268BD41C-D757-4A80-B2F9-8A2F4682E036}" name="BOS" dataDxfId="384"/>
    <tableColumn id="46" xr3:uid="{CEEA2B9E-7C42-43E1-BC19-42ABF106B9DA}" name="UNSAFE CONDITIONS REPORTED" dataDxfId="383"/>
    <tableColumn id="47" xr3:uid="{C35BB104-2CA7-4975-A23E-6C0EC0E42819}" name="OVERWEIGHT" dataDxfId="382">
      <calculatedColumnFormula>IFERROR(VLOOKUP(Table110[[#This Row],[Date]],'Overweight Data'!A1:G1096,6,FALSE),"")</calculatedColumnFormula>
    </tableColumn>
    <tableColumn id="48" xr3:uid="{B6CE45C0-6F4B-4EF9-97EC-2E504E9269A7}" name="MTBB" dataDxfId="381">
      <calculatedColumnFormula>IFERROR(
   IF(
      OR(Table110[[#This Row],[Operating Time]]=0, (Table110[[#This Row],[Operating Time]]/IF(AD3&lt;=1,AD3+1,AD3))*60=0),
      1,
      ((Table110[[#This Row],[Operating Time]])/IF(AD3&lt;=1,AD3+1,AD3))*60
   ),
"_")</calculatedColumnFormula>
    </tableColumn>
    <tableColumn id="50" xr3:uid="{437BC9D1-D760-4177-A024-619720D56CAD}" name="# Stops" dataDxfId="380">
      <calculatedColumnFormula>COUNTIFS('Downtime Data'!A:A,Table110[[#This Row],[Date]])</calculatedColumnFormula>
    </tableColumn>
    <tableColumn id="49" xr3:uid="{837C230B-2547-42DF-8CE2-830A9434F4DB}" name="MTTR" dataDxfId="379">
      <calculatedColumnFormula>IFERROR((SUM(Table110[[#This Row],[Minor Stoppages]:[Material Shortages]])/Table110[[#This Row],['# Stops]])*60,"")</calculatedColumnFormula>
    </tableColumn>
    <tableColumn id="52" xr3:uid="{C0ABBDDA-7103-45A1-8546-E506ADDC38A5}" name="R&amp;R" dataDxfId="378"/>
    <tableColumn id="40" xr3:uid="{A82505DC-5FCC-4326-8837-80B17F820DDE}" name="GWF Month" dataDxfId="37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AFE57C-039D-4299-94B2-C2F95948F0D6}" name="Table2" displayName="Table2" ref="A1:M4996" totalsRowShown="0" headerRowDxfId="376" tableBorderDxfId="375">
  <autoFilter ref="A1:M4996" xr:uid="{27AFE57C-039D-4299-94B2-C2F95948F0D6}"/>
  <tableColumns count="13">
    <tableColumn id="1" xr3:uid="{05FC01D8-788C-4078-9D10-1E923D7B21A4}" name="Date" dataDxfId="374"/>
    <tableColumn id="2" xr3:uid="{31847317-A5A2-41CF-B4BA-20C9D600F05B}" name="Operation" dataDxfId="373"/>
    <tableColumn id="3" xr3:uid="{A905307C-E8A8-4818-A7C2-1529CDBBD39E}" name="Equipment" dataDxfId="372"/>
    <tableColumn id="4" xr3:uid="{E6CF03C5-6603-40F9-B03D-A758C9474CA8}" name="Failure Description" dataDxfId="371"/>
    <tableColumn id="5" xr3:uid="{5B921FAA-0C05-448D-A8D5-3659DAB3AF1D}" name="Loss Category" dataDxfId="370"/>
    <tableColumn id="6" xr3:uid="{EF48D334-D403-4C1D-B8F2-549AEA581A74}" name="Loss Type" dataDxfId="369"/>
    <tableColumn id="7" xr3:uid="{C7479E62-1A9D-48B8-8125-12AD2DF46396}" name="Equipment Class" dataDxfId="368"/>
    <tableColumn id="8" xr3:uid="{AFF4D1E2-2DFD-4369-87B3-55C6CCD31991}" name="Equipment Downtime" dataDxfId="367"/>
    <tableColumn id="12" xr3:uid="{1933A12D-126F-4CD5-B331-E8E703F9D7E1}" name="line downtime" dataDxfId="366"/>
    <tableColumn id="10" xr3:uid="{4907371F-2F3F-4F08-9E91-8FE07D433069}" name="Action Taken" dataDxfId="365"/>
    <tableColumn id="9" xr3:uid="{61C63816-6B80-4405-8B1F-342CA015B7B3}" name="swp impacted" dataDxfId="364"/>
    <tableColumn id="11" xr3:uid="{69BD6193-571A-46AC-B853-16103753C2BB}" name="MODULE" dataDxfId="363"/>
    <tableColumn id="13" xr3:uid="{0BDAD687-C626-45D9-957E-5216BF167A8B}" name="SGA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A606DB-43BA-4DB5-99D2-6AC4E146CB5A}" name="Table1" displayName="Table1" ref="A2:AZ373" totalsRowShown="0" dataDxfId="362">
  <autoFilter ref="A2:AZ373" xr:uid="{61A606DB-43BA-4DB5-99D2-6AC4E146CB5A}"/>
  <tableColumns count="52">
    <tableColumn id="1" xr3:uid="{B2E98F33-7292-4463-8569-3D451BA17F92}" name="Date" dataDxfId="361"/>
    <tableColumn id="2" xr3:uid="{5D974E98-EEF9-4170-8ED9-0B4BF41CC05B}" name="Day" dataDxfId="360"/>
    <tableColumn id="3" xr3:uid="{41A1EF0E-D076-43C7-8F25-1AC6C840C4C1}" name="SKU" dataDxfId="359"/>
    <tableColumn id="4" xr3:uid="{FBFB434C-431E-435D-A326-248C3C97B8A6}" name="SOC (TPD)" dataDxfId="358">
      <calculatedColumnFormula array="1">IFERROR(INDIRECT(C3),"")</calculatedColumnFormula>
    </tableColumn>
    <tableColumn id="5" xr3:uid="{5F704398-586C-49DD-9FFE-D6357AD8CBC3}" name="Plan" dataDxfId="357"/>
    <tableColumn id="6" xr3:uid="{F2DD24D3-C369-46A1-B368-B1DD740B7D0E}" name="Volume Delivered (T)" dataDxfId="356"/>
    <tableColumn id="7" xr3:uid="{F61B6C5D-8D04-43C6-9F51-C24D47E0D961}" name="GE - Target" dataDxfId="355">
      <calculatedColumnFormula>IFERROR((Table1[[#This Row],[Plan]]/Table1[[#This Row],[Hours Used]])/(Table1[[#This Row],[SOC (TPD)]]/24),"")</calculatedColumnFormula>
    </tableColumn>
    <tableColumn id="8" xr3:uid="{2F2F2B88-7682-46D4-9F3E-2EF69A203DAA}" name="GE - Actual" dataDxfId="354">
      <calculatedColumnFormula>IFERROR((Table1[[#This Row],[Volume Delivered (T)]]/Table1[[#This Row],[Hours Used]])/(Table1[[#This Row],[SOC (TPD)]]/24),"")</calculatedColumnFormula>
    </tableColumn>
    <tableColumn id="9" xr3:uid="{C7B30208-3DEA-4F13-B4C8-686491AF6010}" name="Legal Non-Operating Time" dataDxfId="353"/>
    <tableColumn id="10" xr3:uid="{0AADE703-C913-45E6-863C-D1DECF56B2DA}" name="No Demand Time" dataDxfId="352"/>
    <tableColumn id="11" xr3:uid="{6D48E25A-BE65-4231-8A2C-5F7A899E5385}" name="Force Majeure" dataDxfId="351"/>
    <tableColumn id="12" xr3:uid="{1E3C08D9-8A6B-46C8-9118-8E5E37005B5E}" name="Quality Loss (T)" dataDxfId="350"/>
    <tableColumn id="13" xr3:uid="{F5374F27-E9F9-439E-8533-4CFF1E859C94}" name="waste (%) - MTD" dataDxfId="349"/>
    <tableColumn id="36" xr3:uid="{D3EB1C04-3EE5-4A03-80EE-09B109F04007}" name="Bulk on Floor (T)" dataDxfId="348"/>
    <tableColumn id="16" xr3:uid="{2729D05C-EA10-4718-A97E-F49F156831DD}" name="Offline Packing (MT)" dataDxfId="347"/>
    <tableColumn id="43" xr3:uid="{79CDE11D-EC90-4E04-838C-7F3B19DFC1AF}" name="rework on floor(T)" dataDxfId="346"/>
    <tableColumn id="14" xr3:uid="{8713D59A-361B-4C42-97B9-3763D2202393}" name="TBM ACTIVITIES PLANNED" dataDxfId="345"/>
    <tableColumn id="15" xr3:uid="{EB17F155-90FE-4873-9898-5012A671C19B}" name="TBM ACTIVITIES COMPLETED" dataDxfId="344"/>
    <tableColumn id="17" xr3:uid="{4EA8A46D-2272-4F2D-8ED4-B4962ADD85AB}" name="Hours Used" dataDxfId="343">
      <calculatedColumnFormula>IF(Table1[[#This Row],[SKU]]="",0,24-Table1[[#This Row],[Legal Non-Operating Time]]-Table1[[#This Row],[No Demand Time]]-Table1[[#This Row],[Force Majeure]])</calculatedColumnFormula>
    </tableColumn>
    <tableColumn id="18" xr3:uid="{0F447025-1202-41F7-A439-012E9DDA7640}" name="Planned Maintenance" dataDxfId="342"/>
    <tableColumn id="19" xr3:uid="{62DBE9B3-98E8-4D4B-91FB-5C556A851A53}" name="Planned AM" dataDxfId="341"/>
    <tableColumn id="20" xr3:uid="{F071CBDD-540D-4282-AED1-31D0F6EA9C2C}" name="Sanitation" dataDxfId="340"/>
    <tableColumn id="21" xr3:uid="{D6BC1754-E5A6-4AAB-BEA8-1C09E338FD01}" name="Changeovers" dataDxfId="339"/>
    <tableColumn id="22" xr3:uid="{4F81D372-7CEC-4B2A-B21D-6A7B5CAAD2D3}" name="Planned Stops" dataDxfId="338"/>
    <tableColumn id="23" xr3:uid="{108D4C66-FAB9-4541-9E29-43116A5D0675}" name="Consumables replacement" dataDxfId="337"/>
    <tableColumn id="24" xr3:uid="{8622C905-0D00-4EC1-B2A2-5EF6ED59FC3E}" name="Start and Finish Production" dataDxfId="336"/>
    <tableColumn id="25" xr3:uid="{A0ED6B2A-FD8F-49BB-93E0-E293EA239F1D}" name="PRODUCTION HOURS" dataDxfId="335">
      <calculatedColumnFormula>Table1[[#This Row],[Hours Used]]-SUM(Table1[[#This Row],[Planned Maintenance]:[Start and Finish Production]])</calculatedColumnFormula>
    </tableColumn>
    <tableColumn id="26" xr3:uid="{68222E75-8ACE-4405-A6B3-7C081C4695C9}" name="Minor Stoppages" dataDxfId="334"/>
    <tableColumn id="27" xr3:uid="{9DB6B79A-EC67-48F5-95F8-7D1474C85002}" name="Breakdowns" dataDxfId="333"/>
    <tableColumn id="28" xr3:uid="{DEBE98C5-CCD8-4AE5-A467-45ADC45FFFC5}" name="Operational Losses" dataDxfId="332"/>
    <tableColumn id="29" xr3:uid="{BFB7E70A-4D04-4D58-8A48-046D8BB63F60}" name="Line Delays" dataDxfId="331"/>
    <tableColumn id="30" xr3:uid="{C5D24DEE-9CD1-4766-BCEC-377ADB2C1B6C}" name="Labor Management" dataDxfId="330"/>
    <tableColumn id="31" xr3:uid="{AC8D3135-F008-485F-9931-0143275BFEDA}" name="Material Shortages" dataDxfId="329"/>
    <tableColumn id="32" xr3:uid="{8897F649-C503-4501-ADC6-E1E07EF4174D}" name="Speed Loss (Hrs)" dataDxfId="328">
      <calculatedColumnFormula>Table1[[#This Row],[Hours Used]]-SUM(Table1[[#This Row],[Planned Maintenance]:[Start and Finish Production]])-SUM(Table1[[#This Row],[Minor Stoppages]:[Material Shortages]])-Table1[[#This Row],[Quality Loss (Hrs)]]-Table1[[#This Row],[Operating Time]]</calculatedColumnFormula>
    </tableColumn>
    <tableColumn id="33" xr3:uid="{9AB9A004-ED22-4275-9112-D7E27BF42B9B}" name="Quality Loss (Hrs)" dataDxfId="327">
      <calculatedColumnFormula>IFERROR(IF(Table1[[#This Row],[SKU]]="",0,Table1[[#This Row],[Quality Loss (T)]]/(Table1[[#This Row],[SOC (TPD)]]/24)),"")</calculatedColumnFormula>
    </tableColumn>
    <tableColumn id="34" xr3:uid="{964ECE75-5D88-4432-B2DF-295DF311F6DE}" name="Operating Time" dataDxfId="326">
      <calculatedColumnFormula>IFERROR(IF(Table1[[#This Row],[SKU]]="",0,Table1[[#This Row],[Volume Delivered (T)]]/(Table1[[#This Row],[SOC (TPD)]]/24)),"")</calculatedColumnFormula>
    </tableColumn>
    <tableColumn id="35" xr3:uid="{1E7B640C-0B89-49A7-90A5-74A565EB41AA}" name="Operating Time (Planned)" dataDxfId="325">
      <calculatedColumnFormula>IFERROR(Table1[[#This Row],[Operating Time]]/Table1[[#This Row],[PRODUCTION HOURS]],"")</calculatedColumnFormula>
    </tableColumn>
    <tableColumn id="37" xr3:uid="{78EEB1B3-D182-48F5-A190-F147CC23AEE9}" name="CL Deployed at Line" dataDxfId="324"/>
    <tableColumn id="38" xr3:uid="{5755D323-082C-4798-AD03-BBC7B40906C7}" name="CIL-DONE" dataDxfId="323"/>
    <tableColumn id="39" xr3:uid="{A547FADB-2245-409F-8E41-A2C920701A43}" name="centreline check " dataDxfId="322"/>
    <tableColumn id="41" xr3:uid="{64E66D8B-CBAF-4556-8450-B347F387EABA}" name="TBM ACTIVITIES PLANNED2" dataDxfId="321"/>
    <tableColumn id="42" xr3:uid="{78230411-9AF0-456C-B402-9ECEE5CDA700}" name="TBM ACTIVITIES COMPLETED2" dataDxfId="320"/>
    <tableColumn id="51" xr3:uid="{4847E44B-6DC0-459F-96CA-7FC7ED03BCBD}" name="tbm-on time completion" dataDxfId="319"/>
    <tableColumn id="44" xr3:uid="{68764AE2-4C0E-4391-902B-3B2FB12603EA}" name="mtbf" dataDxfId="318">
      <calculatedColumnFormula>IFERROR(SUMIFS(#REF!,#REF!,'Data Sheet'!A:A,#REF!,"Samridhi Perk Line")/SUMIFS(#REF!,#REF!,'Data Sheet'!A:A,#REF!,"Samridhi Perk Line"),"")</calculatedColumnFormula>
    </tableColumn>
    <tableColumn id="45" xr3:uid="{0FCC374F-BB43-40F4-B3C9-DA25B8D6B0A7}" name="BOS" dataDxfId="317"/>
    <tableColumn id="46" xr3:uid="{778CA6EF-E785-4889-A33B-C98FFE3263CE}" name="UNSAFE CONDITIONS REPORTED" dataDxfId="316"/>
    <tableColumn id="47" xr3:uid="{77B234A4-B992-43EB-8BAF-53FF89850839}" name="OVERWEIGHT" dataDxfId="315">
      <calculatedColumnFormula>IFERROR(VLOOKUP(Table1[[#This Row],[Date]],'Overweight Data'!A1:G1096,6,FALSE),"")</calculatedColumnFormula>
    </tableColumn>
    <tableColumn id="48" xr3:uid="{30ACBB45-8250-4F21-AF08-29A308846F8A}" name="MTBB" dataDxfId="314">
      <calculatedColumnFormula>IFERROR(
   IF(
      OR(Table1[[#This Row],[Operating Time]]=0, (Table1[[#This Row],[Operating Time]]/IF(AC3&lt;=1,AC3+1,AC3))*60=0),
      1,
      ((Table1[[#This Row],[Operating Time]])/IF(AC3&lt;=1,AC3+1,AC3))*60
   ),
"_")</calculatedColumnFormula>
    </tableColumn>
    <tableColumn id="50" xr3:uid="{C83E6991-C903-43CE-A692-DAC55DEF12FA}" name="# Stops" dataDxfId="313">
      <calculatedColumnFormula>COUNTIFS('Downtime Data'!A:A,Table1[[#This Row],[Date]])</calculatedColumnFormula>
    </tableColumn>
    <tableColumn id="49" xr3:uid="{739DA746-D408-4A38-95B0-5E5F71191154}" name="MTTR" dataDxfId="312">
      <calculatedColumnFormula>IFERROR((SUM(Table1[[#This Row],[Minor Stoppages]:[Material Shortages]])/Table1[[#This Row],['# Stops]])*60,"")</calculatedColumnFormula>
    </tableColumn>
    <tableColumn id="52" xr3:uid="{C332B5EE-DD93-4431-8782-9E7518592F5D}" name="R&amp;R" dataDxfId="311"/>
    <tableColumn id="40" xr3:uid="{2B5F3860-4C32-4634-8F15-F20EF46EACA9}" name="GWF Month" dataDxfId="31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412DEF6-A411-4383-8D47-8447757E38BB}" name="Table3" displayName="Table3" ref="A14:V26" totalsRowShown="0" headerRowDxfId="309" dataDxfId="308" headerRowCellStyle="Normal 3">
  <autoFilter ref="A14:V26" xr:uid="{6412DEF6-A411-4383-8D47-8447757E38BB}"/>
  <tableColumns count="22">
    <tableColumn id="1" xr3:uid="{7B8F2A8B-B8D0-42BD-AB97-F49E4E687BC6}" name="Month" dataDxfId="307"/>
    <tableColumn id="2" xr3:uid="{F9B028B4-F9F4-4CB5-8232-226E203F85C2}" name="GE (Target)" dataDxfId="306"/>
    <tableColumn id="3" xr3:uid="{7454CEC5-9148-4327-BE08-4640D83AEC4A}" name="GE(Actual)" dataDxfId="305">
      <calculatedColumnFormula>C2</calculatedColumnFormula>
    </tableColumn>
    <tableColumn id="4" xr3:uid="{ECAE9803-DBC3-426B-81BB-495623FAE0F5}" name="Hours Used" dataDxfId="304">
      <calculatedColumnFormula>D2</calculatedColumnFormula>
    </tableColumn>
    <tableColumn id="5" xr3:uid="{A42DDF9B-9F29-420A-A284-53A9476746E8}" name="Planned Maintenance" dataDxfId="303">
      <calculatedColumnFormula>IFERROR(E2/$D15,"")</calculatedColumnFormula>
    </tableColumn>
    <tableColumn id="6" xr3:uid="{8494A087-045B-4104-B481-F6EE2A0B74E8}" name="Planned Autonomous Maintenance" dataDxfId="302">
      <calculatedColumnFormula>IFERROR(F2/$D15,"")</calculatedColumnFormula>
    </tableColumn>
    <tableColumn id="7" xr3:uid="{3F16ADDF-2776-48C4-8DDC-D70921D70339}" name="Sanitation" dataDxfId="301">
      <calculatedColumnFormula>IFERROR(G2/$D15,"")</calculatedColumnFormula>
    </tableColumn>
    <tableColumn id="8" xr3:uid="{2980A551-0DF3-4350-9FC6-E79744792FCC}" name="Changeovers" dataDxfId="300">
      <calculatedColumnFormula>IFERROR(H2/$D15,"")</calculatedColumnFormula>
    </tableColumn>
    <tableColumn id="9" xr3:uid="{4CD9C096-283D-4731-9376-B2DC9EEDE9B6}" name="Planned Stops" dataDxfId="299">
      <calculatedColumnFormula>IFERROR(I2/$D15,"")</calculatedColumnFormula>
    </tableColumn>
    <tableColumn id="10" xr3:uid="{492BEE97-B7A9-430E-8196-3FEB53CB4C0E}" name="Consumables replacement" dataDxfId="298">
      <calculatedColumnFormula>IFERROR(J2/$D15,"")</calculatedColumnFormula>
    </tableColumn>
    <tableColumn id="11" xr3:uid="{07500966-83EB-4BFF-8BB9-30B1CB4F25BA}" name="Start and Finish Production" dataDxfId="297">
      <calculatedColumnFormula>IFERROR(K2/$D15,"")</calculatedColumnFormula>
    </tableColumn>
    <tableColumn id="12" xr3:uid="{8BB2ED05-BE5D-4AA3-AA8C-7F65F7A75C5E}" name="Planned Loss" dataDxfId="296">
      <calculatedColumnFormula>SUM(E15:K15)</calculatedColumnFormula>
    </tableColumn>
    <tableColumn id="13" xr3:uid="{3436874D-4A57-4CC4-8B5E-5581A22EB904}" name="Minor Stoppages" dataDxfId="295">
      <calculatedColumnFormula>IFERROR(M2/$D15,"")</calculatedColumnFormula>
    </tableColumn>
    <tableColumn id="14" xr3:uid="{E9EF3870-A711-4ADE-BAFD-DA15E83023DF}" name="Breakdowns" dataDxfId="294">
      <calculatedColumnFormula>IFERROR(N2/$D15,"")</calculatedColumnFormula>
    </tableColumn>
    <tableColumn id="15" xr3:uid="{C36C74CB-D265-4CCB-AD26-1164360D7583}" name="Operational Losses" dataDxfId="293">
      <calculatedColumnFormula>IFERROR(O2/$D15,"")</calculatedColumnFormula>
    </tableColumn>
    <tableColumn id="16" xr3:uid="{4C8ADF54-6680-4398-B6D6-C319C5927B5C}" name="Line Delays" dataDxfId="292">
      <calculatedColumnFormula>IFERROR(P2/$D15,"")</calculatedColumnFormula>
    </tableColumn>
    <tableColumn id="17" xr3:uid="{E9620938-21A9-4387-A315-61DCDB4BC916}" name="Labor Management Losses" dataDxfId="291">
      <calculatedColumnFormula>IFERROR(Q2/$D15,"")</calculatedColumnFormula>
    </tableColumn>
    <tableColumn id="18" xr3:uid="{AA2855A3-5A0D-49BE-90F8-39D30C50D5A8}" name="Material Shortages" dataDxfId="290">
      <calculatedColumnFormula>IFERROR(R2/$D15,"")</calculatedColumnFormula>
    </tableColumn>
    <tableColumn id="19" xr3:uid="{7EB9B786-D0E3-406F-B73B-2506EB10D06A}" name="Speed Loss" dataDxfId="289">
      <calculatedColumnFormula>IFERROR(S2/$D15,"")</calculatedColumnFormula>
    </tableColumn>
    <tableColumn id="20" xr3:uid="{5928A2CF-6FE3-4C2A-98F7-0CA62D99918B}" name="Quality Loss" dataDxfId="288">
      <calculatedColumnFormula>IFERROR(T2/$D15,"")</calculatedColumnFormula>
    </tableColumn>
    <tableColumn id="21" xr3:uid="{CC628E61-6444-43F9-BE8E-55A8ED7A7A21}" name="Unplanned Loss" dataDxfId="287">
      <calculatedColumnFormula>IFERROR(SUM(M15:T15),"")</calculatedColumnFormula>
    </tableColumn>
    <tableColumn id="22" xr3:uid="{CD442AB0-875C-4465-ADEC-4B0C1850B976}" name="Operating Time" dataDxfId="28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62F5D92-C089-4258-B62B-70F295DED596}" name="Sheet1" displayName="Sheet1" ref="A1:F200" tableType="queryTable" totalsRowShown="0">
  <autoFilter ref="A1:F200" xr:uid="{862F5D92-C089-4258-B62B-70F295DED596}"/>
  <tableColumns count="6">
    <tableColumn id="6" xr3:uid="{68D004BE-EFD8-43E4-BF68-0A702C93964F}" uniqueName="6" name="DATE" queryTableFieldId="6" dataDxfId="284"/>
    <tableColumn id="1" xr3:uid="{E7CAD226-3582-4FE1-B32D-EF5B0327BB5B}" uniqueName="1" name="Volume" queryTableFieldId="1"/>
    <tableColumn id="2" xr3:uid="{1748CC06-F2AD-4EB8-9104-8813352D323E}" uniqueName="2" name="Generation" queryTableFieldId="2"/>
    <tableColumn id="3" xr3:uid="{8A539B99-7994-4DC0-877C-9B240B89CF18}" uniqueName="3" name="Refeed" queryTableFieldId="3"/>
    <tableColumn id="4" xr3:uid="{6F6B0D87-BE28-4493-A8E7-F87CB217FC20}" uniqueName="4" name="Net generation" queryTableFieldId="4"/>
    <tableColumn id="5" xr3:uid="{AF0CF30A-9CAA-4FB5-9DA4-CD70DF7C2222}" uniqueName="5" name="Generation%" queryTableFieldId="5" dataDxfId="28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E6CF442-1318-41E0-BBFD-126AB04FFC1C}" name="Table8" displayName="Table8" ref="A1:AA15" totalsRowCount="1" headerRowDxfId="282" dataDxfId="281">
  <autoFilter ref="A1:AA14" xr:uid="{5E6CF442-1318-41E0-BBFD-126AB04FFC1C}"/>
  <tableColumns count="27">
    <tableColumn id="1" xr3:uid="{29576D8E-06FB-4C31-A4F4-74C9443FAF42}" name="Name" dataDxfId="280" totalsRowDxfId="279"/>
    <tableColumn id="27" xr3:uid="{6F5C0141-598A-4AAB-B1C0-2BFBE8E1B640}" name="Attendance%" dataDxfId="278" totalsRowDxfId="277">
      <calculatedColumnFormula>COUNTIF(Table8[[#This Row],[27-May]:[20-Jun]],TRUE)/COUNTA(Table8[[#This Row],[27-May]:[20-Jun]])</calculatedColumnFormula>
    </tableColumn>
    <tableColumn id="2" xr3:uid="{567FE16A-5403-4B3D-A761-042CA949717D}" name="27-May" totalsRowFunction="custom" dataDxfId="276">
      <totalsRowFormula>IFERROR(COUNTIF(Table8[27-May],TRUE)/COUNTA(Table8[27-May]),"")</totalsRowFormula>
    </tableColumn>
    <tableColumn id="3" xr3:uid="{2710A38D-874C-414F-BF50-A0A38B5E81ED}" name="28-May" totalsRowFunction="custom" dataDxfId="275">
      <totalsRowFormula>IFERROR(COUNTIF(Table8[28-May],TRUE)/COUNTA(Table8[28-May]),"")</totalsRowFormula>
    </tableColumn>
    <tableColumn id="4" xr3:uid="{19BAC447-116C-4E89-81D3-00D490E124A3}" name="29-May" totalsRowFunction="custom" dataDxfId="274">
      <totalsRowFormula>IFERROR(COUNTIF(Table8[29-May],TRUE)/COUNTA(Table8[29-May]),"")</totalsRowFormula>
    </tableColumn>
    <tableColumn id="5" xr3:uid="{92CCED86-380E-4C4B-9004-83202685D0E7}" name="30-May" totalsRowFunction="custom" dataDxfId="273">
      <totalsRowFormula>IFERROR(COUNTIF(Table8[30-May],TRUE)/COUNTA(Table8[30-May]),"")</totalsRowFormula>
    </tableColumn>
    <tableColumn id="6" xr3:uid="{CC4D4C97-2F0E-4644-8225-A6E048F30480}" name="31-May" totalsRowFunction="custom" dataDxfId="272" totalsRowDxfId="271">
      <totalsRowFormula>IFERROR(COUNTIF(Table8[31-May],TRUE)/COUNTA(Table8[31-May]),"")</totalsRowFormula>
    </tableColumn>
    <tableColumn id="7" xr3:uid="{08A97B36-9D8B-4B59-89D0-3FC50DA5BD0F}" name="1-Jun" totalsRowFunction="custom" dataDxfId="270" totalsRowDxfId="269">
      <totalsRowFormula>IFERROR(COUNTIF(Table8[1-Jun],TRUE)/COUNTA(Table8[1-Jun]),"")</totalsRowFormula>
    </tableColumn>
    <tableColumn id="8" xr3:uid="{78C3914B-FB40-4499-A89D-91139F24EE99}" name="2-Jun" dataDxfId="268" totalsRowDxfId="267"/>
    <tableColumn id="9" xr3:uid="{3862D46A-2410-4A63-9E96-C2AFBCD5C8E6}" name="3-Jun" dataDxfId="266" totalsRowDxfId="265"/>
    <tableColumn id="10" xr3:uid="{2D62DAC7-869B-434A-A3F5-79702170D0F2}" name="4-Jun" dataDxfId="264" totalsRowDxfId="263"/>
    <tableColumn id="11" xr3:uid="{79D155BB-86FF-4C78-A227-C6DD01FEE902}" name="5-Jun" dataDxfId="262" totalsRowDxfId="261"/>
    <tableColumn id="12" xr3:uid="{BA6F8F29-4CE9-497D-A7B3-C85FFCBB287A}" name="6-Jun" dataDxfId="260" totalsRowDxfId="259"/>
    <tableColumn id="13" xr3:uid="{08F36C80-27D3-4D65-85BB-D45B2325D65B}" name="7-Jun" dataDxfId="258" totalsRowDxfId="257"/>
    <tableColumn id="14" xr3:uid="{FE44ACCC-96D0-4704-9964-35283FB1ADE6}" name="8-Jun" dataDxfId="256" totalsRowDxfId="255"/>
    <tableColumn id="15" xr3:uid="{A909306D-676A-4F8A-9864-C5AE563A5280}" name="9-Jun" dataDxfId="254" totalsRowDxfId="253"/>
    <tableColumn id="16" xr3:uid="{D708F972-CCBA-4E5E-83D4-29EE18B04BA4}" name="10-Jun" dataDxfId="252" totalsRowDxfId="251"/>
    <tableColumn id="17" xr3:uid="{5C5E4E51-C7AC-46BA-8F76-39BE124FA4DB}" name="11-Jun" dataDxfId="250" totalsRowDxfId="249"/>
    <tableColumn id="18" xr3:uid="{81EB0EE5-79D9-47F3-9076-C02533017375}" name="12-Jun" dataDxfId="248" totalsRowDxfId="247"/>
    <tableColumn id="19" xr3:uid="{568611ED-11E3-474C-8C3A-41DC5278E234}" name="13-Jun" dataDxfId="246" totalsRowDxfId="245"/>
    <tableColumn id="20" xr3:uid="{D667B00A-4B0B-41AC-998D-089EC92C399C}" name="14-Jun" dataDxfId="244" totalsRowDxfId="243"/>
    <tableColumn id="21" xr3:uid="{1832ED42-D068-47A0-9643-7C479A2E2EAB}" name="15-Jun" dataDxfId="242" totalsRowDxfId="241"/>
    <tableColumn id="22" xr3:uid="{5A9B5ABA-5ABC-4BFC-9486-2E7D170A2551}" name="16-Jun" dataDxfId="240" totalsRowDxfId="239"/>
    <tableColumn id="23" xr3:uid="{489E4BE8-C996-4333-A57F-FB77A0C42714}" name="17-Jun" dataDxfId="238" totalsRowDxfId="237"/>
    <tableColumn id="24" xr3:uid="{366B243A-B3F9-43F2-B50C-4E1EB7572096}" name="18-Jun" dataDxfId="236" totalsRowDxfId="235"/>
    <tableColumn id="25" xr3:uid="{DB9FC78F-0629-48E0-A8A2-C009CCC1F64E}" name="19-Jun" dataDxfId="234" totalsRowDxfId="233"/>
    <tableColumn id="26" xr3:uid="{4CB7E234-0E60-4E9D-AB49-816A69FAA54C}" name="20-Jun" dataDxfId="232" totalsRowDxfId="231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03C0279-4FCD-4696-8A2C-416782C8A528}" name="Table4" displayName="Table4" ref="A1:G1096" totalsRowShown="0" tableBorderDxfId="230">
  <autoFilter ref="A1:G1096" xr:uid="{303C0279-4FCD-4696-8A2C-416782C8A528}"/>
  <tableColumns count="7">
    <tableColumn id="1" xr3:uid="{D80258AB-BDAE-4A0B-AE50-658452209837}" name="Date" dataDxfId="229"/>
    <tableColumn id="2" xr3:uid="{5F8B66F2-4344-449C-A986-3651F6B165F2}" name="Shift"/>
    <tableColumn id="3" xr3:uid="{2A955425-2500-4ACD-A59C-6E4ABDBDC182}" name="Standard Weight" dataDxfId="228"/>
    <tableColumn id="4" xr3:uid="{8AEAC8D2-690B-4839-9310-7BBE8C129B21}" name="Actual Weight" dataDxfId="227"/>
    <tableColumn id="5" xr3:uid="{19CBF436-056B-4271-9B2B-43CD9B824E13}" name="Overweight %" dataDxfId="226"/>
    <tableColumn id="6" xr3:uid="{7A1F8C9E-A682-4628-AC36-F04242D843F5}" name="Day Overweight%" dataDxfId="225"/>
    <tableColumn id="7" xr3:uid="{CA1650A1-4256-4F71-917A-D542E95984FB}" name="Target" dataDxfId="22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570B5E1-8900-4EE6-AA04-72DB916C894C}" name="MTBF___EFFICIENCY" displayName="MTBF___EFFICIENCY" ref="A1:I5470" tableType="queryTable" totalsRowShown="0">
  <autoFilter ref="A1:I5470" xr:uid="{5570B5E1-8900-4EE6-AA04-72DB916C894C}"/>
  <sortState xmlns:xlrd2="http://schemas.microsoft.com/office/spreadsheetml/2017/richdata2" ref="A2:I5470">
    <sortCondition descending="1" ref="C5470"/>
  </sortState>
  <tableColumns count="9">
    <tableColumn id="1" xr3:uid="{B2176376-04B6-4673-AF26-E789DF8F3831}" uniqueName="1" name="Source.Name" queryTableFieldId="1" dataDxfId="4"/>
    <tableColumn id="2" xr3:uid="{9276A4D6-F804-4D55-9ECE-4246A083DDA7}" uniqueName="2" name="Line" queryTableFieldId="2" dataDxfId="3"/>
    <tableColumn id="3" xr3:uid="{06FDDC5A-AD67-4C66-A479-8AEC4F605C1F}" uniqueName="3" name="Date Calendar DateTime" queryTableFieldId="3" dataDxfId="2"/>
    <tableColumn id="4" xr3:uid="{F8B959F2-1022-415C-AB50-30B388236FD9}" uniqueName="4" name="Machine Name" queryTableFieldId="4" dataDxfId="1"/>
    <tableColumn id="5" xr3:uid="{6C50E276-0F6D-406D-9933-FF372AAC2FE5}" uniqueName="5" name="Uptime" queryTableFieldId="5"/>
    <tableColumn id="6" xr3:uid="{66996D04-CC35-46D1-95F0-3D06C971C0FF}" uniqueName="6" name="Stops" queryTableFieldId="6"/>
    <tableColumn id="7" xr3:uid="{F8FED7D7-A9AE-423E-8E18-3BBE6F523B3D}" uniqueName="7" name="Line MTBF" queryTableFieldId="7"/>
    <tableColumn id="8" xr3:uid="{BD208B3E-A632-4104-A7E2-39DBF4748447}" uniqueName="8" name="MDLZ Minor Stoppages (Mins)" queryTableFieldId="8"/>
    <tableColumn id="9" xr3:uid="{6E68DE6D-DFD8-4882-964A-4DE10D7326CD}" uniqueName="9" name="MDLZ GE %" queryTableFieldId="9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000ABF6-3FA5-4A81-BBBB-FE4E85A0F621}" name="Minor_Stops_1" displayName="Minor_Stops_1" ref="A1:G10024" tableType="queryTable" totalsRowShown="0">
  <autoFilter ref="A1:G10024" xr:uid="{7000ABF6-3FA5-4A81-BBBB-FE4E85A0F621}"/>
  <tableColumns count="7">
    <tableColumn id="1" xr3:uid="{D4A3B429-A8F3-4200-B13B-BABBCE527CD7}" uniqueName="1" name="Source.Name" queryTableFieldId="1" dataDxfId="223"/>
    <tableColumn id="2" xr3:uid="{D49A81CF-C839-4080-9DC4-A54BD92E1CE5}" uniqueName="2" name="Line" queryTableFieldId="2" dataDxfId="222"/>
    <tableColumn id="3" xr3:uid="{E3785D15-6F39-4AA7-B45F-E9D3755FA723}" uniqueName="3" name="Date Calendar DateTime" queryTableFieldId="3" dataDxfId="0"/>
    <tableColumn id="4" xr3:uid="{200559EA-4C00-4233-AF32-DD62BEA28E21}" uniqueName="4" name="Machine Name" queryTableFieldId="4" dataDxfId="221"/>
    <tableColumn id="5" xr3:uid="{44C5255F-9775-46FF-8FBF-4945343BB758}" uniqueName="5" name="Reason Name" queryTableFieldId="5" dataDxfId="220"/>
    <tableColumn id="6" xr3:uid="{9D54DACC-4DBB-43AF-BFC3-9781963FB912}" uniqueName="6" name="Stops" queryTableFieldId="6"/>
    <tableColumn id="7" xr3:uid="{C492BA17-0D89-477C-93E4-5948D7D9C4EC}" uniqueName="7" name="sum([Duration For MTTR])*60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D36" dT="2026-02-02T05:14:09.15" personId="{B419231B-74D1-42CA-96F3-B9F5066C8EEF}" id="{5EDB1A9D-7D77-4CEC-A94F-D434E179AAEA}">
    <text>Wheat floor silo scrapper broken</text>
  </threadedComment>
  <threadedComment ref="AG42" dT="2026-02-16T04:55:16.73" personId="{8E32FC1D-4359-4BEC-B3BA-C4216ECEAC0D}" id="{D5BFF628-BBC1-43D2-B493-9F2B62A9C1E0}">
    <text>05 Sfcs short from regular manning in B shift</text>
  </threadedComment>
  <threadedComment ref="AG45" dT="2026-02-16T04:56:55.99" personId="{8E32FC1D-4359-4BEC-B3BA-C4216ECEAC0D}" id="{B8D19983-3A8C-47C8-8E54-C5B310651CC6}">
    <text>03 sfcs shortfal from Regualr mannig</text>
  </threadedComment>
  <threadedComment ref="AF46" dT="2026-02-11T04:29:59.87" personId="{8E32FC1D-4359-4BEC-B3BA-C4216ECEAC0D}" id="{DDAEB5A6-D072-4789-9F39-E14DEDD84B0C}">
    <text>Power fluctuations ,interruptions</text>
  </threadedComment>
  <threadedComment ref="AG46" dT="2026-02-16T04:52:53.96" personId="{8E32FC1D-4359-4BEC-B3BA-C4216ECEAC0D}" id="{FDB0369B-F903-4B6A-98C0-4AFF07BE5580}">
    <text>07 sfcs short from regular manning in C shift</text>
  </threadedComment>
  <threadedComment ref="AD47" dT="2026-02-15T14:58:48.36" personId="{8E32FC1D-4359-4BEC-B3BA-C4216ECEAC0D}" id="{EBB9B01C-1ED4-4B45-A778-F914CE18F4C3}">
    <text>Batter transfer Pump from holding to service tank Jamming (Flavor jar piece found inside pump casing)</text>
  </threadedComment>
  <threadedComment ref="AE48" dT="2026-02-15T15:09:38.31" personId="{8E32FC1D-4359-4BEC-B3BA-C4216ECEAC0D}" id="{E7B0E962-092A-4A5B-98B0-DA96B33A4471}">
    <text>Temperor feed pump &amp; ADS tripping</text>
  </threadedComment>
  <threadedComment ref="AG48" dT="2026-02-16T04:44:13.38" personId="{8E32FC1D-4359-4BEC-B3BA-C4216ECEAC0D}" id="{95712157-E6B0-4C4D-B3BF-73D17E9773F1}">
    <text>Regular Manpower has not turned up in C shift</text>
  </threadedComment>
  <threadedComment ref="AD50" dT="2026-02-15T15:03:23.52" personId="{8E32FC1D-4359-4BEC-B3BA-C4216ECEAC0D}" id="{EE41B432-FA49-4493-977C-AB4856A46CC5}">
    <text xml:space="preserve">Laminator motion control fault
</text>
  </threadedComment>
  <threadedComment ref="AE50" dT="2026-02-15T14:54:43.89" personId="{8E32FC1D-4359-4BEC-B3BA-C4216ECEAC0D}" id="{CFC62DD0-428E-4D8B-9087-A56C84FC7D73}">
    <text>Chocolate transfer line from Temperor to Enrober Jamming</text>
  </threadedComment>
  <threadedComment ref="AE51" dT="2026-02-15T15:02:25.97" personId="{8E32FC1D-4359-4BEC-B3BA-C4216ECEAC0D}" id="{3573E35A-B4F0-4E8C-91A4-B45512067388}">
    <text>Cream transfer line Jamming from tank to laminator</text>
  </threadedComment>
  <threadedComment ref="AG51" dT="2026-02-16T04:43:41.99" personId="{8E32FC1D-4359-4BEC-B3BA-C4216ECEAC0D}" id="{61B0D92E-0F0A-4DED-8266-ACA567ECD7C0}">
    <text>Regular manpower has not turned up in C shift</text>
  </threadedComment>
  <threadedComment ref="AD54" dT="2026-02-19T01:55:28.98" personId="{8E32FC1D-4359-4BEC-B3BA-C4216ECEAC0D}" id="{D7856890-9924-4CB3-B26B-B2712A374437}">
    <text>HCM3 Film feeder drive fault</text>
  </threadedComment>
  <threadedComment ref="AD55" dT="2026-02-20T07:10:57.94" personId="{8E32FC1D-4359-4BEC-B3BA-C4216ECEAC0D}" id="{6967F4B3-503C-4995-A4EC-A73FABD9696D}">
    <text>TTLI1 - Outer crushing at closing unit</text>
  </threadedComment>
  <threadedComment ref="AD55" dT="2026-02-20T07:16:22.01" personId="{8E32FC1D-4359-4BEC-B3BA-C4216ECEAC0D}" id="{72658985-D245-4372-A782-C1884A5F0CE0}" parentId="{6967F4B3-503C-4995-A4EC-A73FABD9696D}">
    <text xml:space="preserve">HCM3 FILM feeder fault </text>
  </threadedComment>
  <threadedComment ref="L106" dT="2026-04-28T13:34:24.30" personId="{8E32FC1D-4359-4BEC-B3BA-C4216ECEAC0D}" id="{AE751B22-C781-49CB-8DDE-6C35F7375B8C}">
    <text>Outer &amp; Laminate Trial</text>
  </threadedComment>
  <threadedComment ref="AG114" dT="2026-04-23T03:31:06.94" personId="{8E32FC1D-4359-4BEC-B3BA-C4216ECEAC0D}" id="{6A7054B0-775D-4AE2-BF2D-E7634337040F}">
    <text>HLL Shut in C shift</text>
  </threadedComment>
  <threadedComment ref="AE115" dT="2026-04-24T05:22:37.91" personId="{8E32FC1D-4359-4BEC-B3BA-C4216ECEAC0D}" id="{FCE04B78-2F80-4087-8189-E6E3972C35BC}">
    <text>Batching  &amp; laminator issues hence Oven Performance impacted</text>
  </threadedComment>
  <threadedComment ref="AG115" dT="2026-04-24T05:17:46.98" personId="{8E32FC1D-4359-4BEC-B3BA-C4216ECEAC0D}" id="{AB785273-D311-46CE-92B3-B49A5E05AC21}">
    <text>HLL shut in C shift &amp; In B shift sam section impacted bcoz of new unskilled manpower engaged in line (on account of higher absenteism)</text>
  </threadedComment>
  <threadedComment ref="AE116" dT="2026-04-22T04:06:08.08" personId="{8E32FC1D-4359-4BEC-B3BA-C4216ECEAC0D}" id="{4CDFF3C7-FE33-4A67-B569-50A2BE0967E0}">
    <text>Book jamming at cutter</text>
  </threadedComment>
  <threadedComment ref="AG116" dT="2026-04-24T05:19:00.76" personId="{8E32FC1D-4359-4BEC-B3BA-C4216ECEAC0D}" id="{7CB13DA7-BD1C-4DED-A006-885FDDF30864}">
    <text>Oven regular manning not turned up</text>
  </threadedComment>
  <threadedComment ref="AD117" dT="2026-04-23T03:32:03.52" personId="{8E32FC1D-4359-4BEC-B3BA-C4216ECEAC0D}" id="{EA6F772C-E075-465B-B900-2629BB922766}">
    <text>Book cooler jamming &amp; TTLI4 Shut for 8 hrs for Glue unit</text>
  </threadedComment>
  <threadedComment ref="AE117" dT="2026-04-23T03:30:28.98" personId="{8E32FC1D-4359-4BEC-B3BA-C4216ECEAC0D}" id="{13C76C07-4A40-4BA6-9111-8895F0D1F420}">
    <text xml:space="preserve">Die sticking (105) hence die locking error </text>
  </threadedComment>
  <threadedComment ref="AD118" dT="2026-04-24T05:14:58.90" personId="{8E32FC1D-4359-4BEC-B3BA-C4216ECEAC0D}" id="{8C518F25-88ED-416D-AFD3-F147F1507F19}">
    <text xml:space="preserve">Cooling Tunnel chain broken (Needs to check TBM) </text>
  </threadedComment>
  <threadedComment ref="AE118" dT="2026-04-24T05:21:18.37" personId="{8E32FC1D-4359-4BEC-B3BA-C4216ECEAC0D}" id="{683645F2-1970-4A88-9043-4E16E3FB0356}">
    <text>Oven Impacted in C shift for batching related variations with RWF</text>
  </threadedComment>
  <threadedComment ref="AD119" dT="2026-04-25T04:45:51.60" personId="{8E32FC1D-4359-4BEC-B3BA-C4216ECEAC0D}" id="{CD5F6539-3A74-4A89-8369-358C6251E0AC}">
    <text xml:space="preserve">Cutter wire blade broken
</text>
  </threadedComment>
  <threadedComment ref="AD120" dT="2026-04-26T18:08:20.24" personId="{8E32FC1D-4359-4BEC-B3BA-C4216ECEAC0D}" id="{A60AA3DE-ECBD-46EE-B15B-6CAA018C28AE}">
    <text>Cutter wire blade broken in B shift</text>
  </threadedComment>
  <threadedComment ref="AE121" dT="2026-04-26T18:07:00.16" personId="{8E32FC1D-4359-4BEC-B3BA-C4216ECEAC0D}" id="{586CD1E9-9FF3-4489-B2C7-52484E10EEAD}">
    <text>RBLT Belt tracking</text>
  </threadedComment>
  <threadedComment ref="AD131" dT="2026-05-07T04:18:39.30" personId="{8E32FC1D-4359-4BEC-B3BA-C4216ECEAC0D}" id="{C285F044-6CE4-4EE9-810B-1D3DD6F93C13}">
    <text>Cutter wire blade broken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C36" dT="2026-02-02T05:14:09.15" personId="{B419231B-74D1-42CA-96F3-B9F5066C8EEF}" id="{3F71E2AD-1023-4A1D-B856-A660F53B1DF3}">
    <text>Wheat floor silo scrapper broken</text>
  </threadedComment>
  <threadedComment ref="AF42" dT="2026-02-16T04:55:16.73" personId="{8E32FC1D-4359-4BEC-B3BA-C4216ECEAC0D}" id="{0A8B8FD3-44A0-46D2-95E8-325C0F40F1A9}">
    <text>05 Sfcs short from regular manning in B shift</text>
  </threadedComment>
  <threadedComment ref="AF45" dT="2026-02-16T04:56:55.99" personId="{8E32FC1D-4359-4BEC-B3BA-C4216ECEAC0D}" id="{62AADD28-EE7B-42BF-A22E-C03238530485}">
    <text>03 sfcs shortfal from Regualr mannig</text>
  </threadedComment>
  <threadedComment ref="AE46" dT="2026-02-11T04:29:59.87" personId="{8E32FC1D-4359-4BEC-B3BA-C4216ECEAC0D}" id="{248237AF-157D-4295-B5D1-37C2848A9496}">
    <text>Power fluctuations ,interruptions</text>
  </threadedComment>
  <threadedComment ref="AF46" dT="2026-02-16T04:52:53.96" personId="{8E32FC1D-4359-4BEC-B3BA-C4216ECEAC0D}" id="{28F62BFC-C3A0-49D7-9B49-6FD2075CC953}">
    <text>07 sfcs short from regular manning in C shift</text>
  </threadedComment>
  <threadedComment ref="AC47" dT="2026-02-15T14:58:48.36" personId="{8E32FC1D-4359-4BEC-B3BA-C4216ECEAC0D}" id="{24591414-5716-4438-951C-12EE33735DD1}">
    <text>Batter transfer Pump from holding to service tank Jamming (Flavor jar piece found inside pump casing)</text>
  </threadedComment>
  <threadedComment ref="AD48" dT="2026-02-15T15:09:38.31" personId="{8E32FC1D-4359-4BEC-B3BA-C4216ECEAC0D}" id="{F9A5B538-9C98-41D2-8274-A12C99F1C0B5}">
    <text>Temperor feed pump &amp; ADS tripping</text>
  </threadedComment>
  <threadedComment ref="AF48" dT="2026-02-16T04:44:13.38" personId="{8E32FC1D-4359-4BEC-B3BA-C4216ECEAC0D}" id="{31A92308-4AC9-4070-99D8-0BD2B31B02B6}">
    <text>Regular Manpower has not turned up in C shift</text>
  </threadedComment>
  <threadedComment ref="AC50" dT="2026-02-15T15:03:23.52" personId="{8E32FC1D-4359-4BEC-B3BA-C4216ECEAC0D}" id="{81C6DA22-4D65-4DA3-B852-A0E04C913C6E}">
    <text xml:space="preserve">Laminator motion control fault
</text>
  </threadedComment>
  <threadedComment ref="AD50" dT="2026-02-15T14:54:43.89" personId="{8E32FC1D-4359-4BEC-B3BA-C4216ECEAC0D}" id="{63A00212-1D21-449E-B930-D36684DE2257}">
    <text>Chocolate transfer line from Temperor to Enrober Jamming</text>
  </threadedComment>
  <threadedComment ref="AD51" dT="2026-02-15T15:02:25.97" personId="{8E32FC1D-4359-4BEC-B3BA-C4216ECEAC0D}" id="{88A90013-257F-43F7-99D8-83B532C3AFA2}">
    <text>Cream transfer line Jamming from tank to laminator</text>
  </threadedComment>
  <threadedComment ref="AF51" dT="2026-02-16T04:43:41.99" personId="{8E32FC1D-4359-4BEC-B3BA-C4216ECEAC0D}" id="{32ED1757-D69D-4D79-A420-D2046C7A9944}">
    <text>Regular manpower has not turned up in C shift</text>
  </threadedComment>
  <threadedComment ref="AC54" dT="2026-02-19T01:55:28.98" personId="{8E32FC1D-4359-4BEC-B3BA-C4216ECEAC0D}" id="{430D49AC-4F08-447E-990F-C82F3A995BCE}">
    <text>HCM3 Film feeder drive fault</text>
  </threadedComment>
  <threadedComment ref="AC55" dT="2026-02-20T07:10:57.94" personId="{8E32FC1D-4359-4BEC-B3BA-C4216ECEAC0D}" id="{19B4BF41-917D-4E9F-96A8-1B5E7090823C}">
    <text>TTLI1 - Outer crushing at closing unit</text>
  </threadedComment>
  <threadedComment ref="AC55" dT="2026-02-20T07:16:22.01" personId="{8E32FC1D-4359-4BEC-B3BA-C4216ECEAC0D}" id="{F3855B53-0A73-445F-902F-4D9DAC447747}" parentId="{19B4BF41-917D-4E9F-96A8-1B5E7090823C}">
    <text xml:space="preserve">HCM3 FILM feeder fault </text>
  </threadedComment>
  <threadedComment ref="K106" dT="2026-04-28T13:34:24.30" personId="{8E32FC1D-4359-4BEC-B3BA-C4216ECEAC0D}" id="{1074999E-EE4A-4AC8-B971-50C3002B498C}">
    <text>Outer &amp; Laminate Trial</text>
  </threadedComment>
  <threadedComment ref="AF114" dT="2026-04-23T03:31:06.94" personId="{8E32FC1D-4359-4BEC-B3BA-C4216ECEAC0D}" id="{CD381779-8497-47F5-B42F-2F2BE9AE69A3}">
    <text>HLL Shut in C shift</text>
  </threadedComment>
  <threadedComment ref="AD115" dT="2026-04-24T05:22:37.91" personId="{8E32FC1D-4359-4BEC-B3BA-C4216ECEAC0D}" id="{9D1F48E2-8B26-4CF0-AFC2-DE9D1C68D293}">
    <text>Batching  &amp; laminator issues hence Oven Performance impacted</text>
  </threadedComment>
  <threadedComment ref="AF115" dT="2026-04-24T05:17:46.98" personId="{8E32FC1D-4359-4BEC-B3BA-C4216ECEAC0D}" id="{DD38C47B-7B17-4CEC-B5CE-B41B84463922}">
    <text>HLL shut in C shift &amp; In B shift sam section impacted bcoz of new unskilled manpower engaged in line (on account of higher absenteism)</text>
  </threadedComment>
  <threadedComment ref="AD116" dT="2026-04-22T04:06:08.08" personId="{8E32FC1D-4359-4BEC-B3BA-C4216ECEAC0D}" id="{F9250483-1A05-44A1-9E10-F93540796016}">
    <text>Book jamming at cutter</text>
  </threadedComment>
  <threadedComment ref="AF116" dT="2026-04-24T05:19:00.76" personId="{8E32FC1D-4359-4BEC-B3BA-C4216ECEAC0D}" id="{8E192563-0D64-4D88-AE4C-7A19C7513583}">
    <text>Oven regular manning not turned up</text>
  </threadedComment>
  <threadedComment ref="AC117" dT="2026-04-23T03:32:03.52" personId="{8E32FC1D-4359-4BEC-B3BA-C4216ECEAC0D}" id="{98C5D3DD-77A1-4BA8-9523-78BF93A50F11}">
    <text>Book cooler jamming &amp; TTLI4 Shut for 8 hrs for Glue unit</text>
  </threadedComment>
  <threadedComment ref="AD117" dT="2026-04-23T03:30:28.98" personId="{8E32FC1D-4359-4BEC-B3BA-C4216ECEAC0D}" id="{BEA8C741-F0B5-455C-9F0E-D3EBCF9B778B}">
    <text xml:space="preserve">Die sticking (105) hence die locking error </text>
  </threadedComment>
  <threadedComment ref="AC118" dT="2026-04-24T05:14:58.90" personId="{8E32FC1D-4359-4BEC-B3BA-C4216ECEAC0D}" id="{103608B2-41B6-4A46-92DD-770E89CBD37A}">
    <text xml:space="preserve">Cooling Tunnel chain broken (Needs to check TBM) </text>
  </threadedComment>
  <threadedComment ref="AD118" dT="2026-04-24T05:21:18.37" personId="{8E32FC1D-4359-4BEC-B3BA-C4216ECEAC0D}" id="{CE4FE3F5-79AD-4D77-9640-F0473FAFCCA1}">
    <text>Oven Impacted in C shift for batching related variations with RWF</text>
  </threadedComment>
  <threadedComment ref="AC119" dT="2026-04-25T04:45:51.60" personId="{8E32FC1D-4359-4BEC-B3BA-C4216ECEAC0D}" id="{A94628B5-C537-4160-B439-5F24B78478B8}">
    <text xml:space="preserve">Cutter wire blade broken
</text>
  </threadedComment>
  <threadedComment ref="AC120" dT="2026-04-26T18:08:20.24" personId="{8E32FC1D-4359-4BEC-B3BA-C4216ECEAC0D}" id="{52A5763F-4516-4CEE-A375-3B5CE2B2F0B7}">
    <text>Cutter wire blade broken in B shift</text>
  </threadedComment>
  <threadedComment ref="AD121" dT="2026-04-26T18:07:00.16" personId="{8E32FC1D-4359-4BEC-B3BA-C4216ECEAC0D}" id="{C4F0C2E5-A3C6-47DC-B799-F0596C97E8B6}">
    <text>RBLT Belt tracking</text>
  </threadedComment>
  <threadedComment ref="AC131" dT="2026-05-07T04:18:39.30" personId="{8E32FC1D-4359-4BEC-B3BA-C4216ECEAC0D}" id="{01FE334B-1C9E-4561-9A17-EB5730FF9764}">
    <text>Cutter wire blade broken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205580-E504-49CA-A076-83AFA3EB7A6C}">
  <we:reference id="61bcc63f-b860-4280-8280-3e4fb5ea7726" version="1.3.0.0" store="EXCatalog" storeType="EXCatalog"/>
  <we:alternateReferences>
    <we:reference id="WA104379629" version="1.3.0.0" store="en-US" storeType="OMEX"/>
  </we:alternateReferences>
  <we:properties>
    <we:property name="RuntimeConfig" value="{&quot;HostName&quot;:&quot;&quot;,&quot;Applets&quot;:{},&quot;ActiveAppletId&quot;:&quot;&quot;,&quot;Language&quot;:&quot;EN&quot;,&quot;DocumentId&quot;:&quot;9fcea98b-2f06-4e88-8a1b-2a53cbe381a5&quot;,&quot;DateCreated&quot;:&quot;2026-05-11T15:39:51.290Z&quot;,&quot;GenerationActivityId&quot;:&quot;&quot;}"/>
    <we:property name="Features" value="{&quot;LogDomEvents&quot;:false,&quot;LogTelemetry&quot;:true,&quot;ResourceHeadersRefresh&quot;:true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Relationship Id="rId6" Type="http://schemas.microsoft.com/office/2017/10/relationships/threadedComment" Target="../threadedComments/threadedComment2.xml"/><Relationship Id="rId5" Type="http://schemas.openxmlformats.org/officeDocument/2006/relationships/comments" Target="../comments2.xml"/><Relationship Id="rId4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D1503-1CA7-47BE-B97A-C1AE913752A8}">
  <dimension ref="A1:H16"/>
  <sheetViews>
    <sheetView showGridLines="0" workbookViewId="0">
      <selection activeCell="I6" sqref="I6"/>
    </sheetView>
  </sheetViews>
  <sheetFormatPr defaultRowHeight="14.5" x14ac:dyDescent="0.35"/>
  <cols>
    <col min="1" max="1" width="13.1796875" customWidth="1"/>
    <col min="4" max="4" width="12" customWidth="1"/>
    <col min="5" max="5" width="17.54296875" customWidth="1"/>
    <col min="6" max="6" width="17.81640625" customWidth="1"/>
    <col min="7" max="7" width="39.1796875" customWidth="1"/>
    <col min="8" max="8" width="13.7265625" customWidth="1"/>
    <col min="9" max="9" width="53.54296875" customWidth="1"/>
  </cols>
  <sheetData>
    <row r="1" spans="1:8" x14ac:dyDescent="0.35">
      <c r="A1" s="272" t="s">
        <v>0</v>
      </c>
      <c r="B1" s="273" t="s">
        <v>1</v>
      </c>
      <c r="C1" s="273" t="s">
        <v>2</v>
      </c>
      <c r="D1" s="277" t="s">
        <v>3</v>
      </c>
      <c r="E1" s="289" t="s">
        <v>4</v>
      </c>
      <c r="F1" s="289" t="s">
        <v>5</v>
      </c>
      <c r="G1" s="277" t="s">
        <v>6</v>
      </c>
    </row>
    <row r="2" spans="1:8" x14ac:dyDescent="0.35">
      <c r="A2" s="274">
        <v>46260</v>
      </c>
      <c r="B2" s="275" t="s">
        <v>7</v>
      </c>
      <c r="C2" s="276">
        <v>5.9</v>
      </c>
      <c r="D2" s="278">
        <v>0.51754385964912275</v>
      </c>
      <c r="E2" s="290">
        <v>237</v>
      </c>
      <c r="F2" s="290">
        <v>0.60999999999999988</v>
      </c>
      <c r="G2" s="279">
        <f>((480-E2)*100%)/480*(C2*100%)/((480-E2)*11.4/480)*C2/(C2+F2)</f>
        <v>0.46904896650227718</v>
      </c>
    </row>
    <row r="3" spans="1:8" x14ac:dyDescent="0.35">
      <c r="A3" s="274">
        <v>46260</v>
      </c>
      <c r="B3" s="275" t="s">
        <v>8</v>
      </c>
      <c r="C3" s="276">
        <f>7.5+1.1</f>
        <v>8.6</v>
      </c>
      <c r="D3" s="278">
        <v>0.7543859649122806</v>
      </c>
      <c r="E3" s="290">
        <v>60</v>
      </c>
      <c r="F3" s="290">
        <v>1.1099999999999999</v>
      </c>
      <c r="G3" s="279">
        <f t="shared" ref="G3:G4" si="0">((480-E3)*100%)/480*(C3*100%)/((480-E3)*11.4/480)*C3/(C3+F3)</f>
        <v>0.66814822844959987</v>
      </c>
    </row>
    <row r="4" spans="1:8" x14ac:dyDescent="0.35">
      <c r="A4" s="274">
        <v>46260</v>
      </c>
      <c r="B4" s="275" t="s">
        <v>9</v>
      </c>
      <c r="C4" s="276">
        <f>3.88+0.69</f>
        <v>4.57</v>
      </c>
      <c r="D4" s="278">
        <v>0.40087719298245611</v>
      </c>
      <c r="E4" s="290">
        <v>200</v>
      </c>
      <c r="F4" s="290">
        <v>0.25</v>
      </c>
      <c r="G4" s="279">
        <f t="shared" si="0"/>
        <v>0.38008480745432049</v>
      </c>
    </row>
    <row r="6" spans="1:8" x14ac:dyDescent="0.35">
      <c r="A6" t="s">
        <v>10</v>
      </c>
    </row>
    <row r="7" spans="1:8" x14ac:dyDescent="0.35">
      <c r="A7" s="280" t="s">
        <v>0</v>
      </c>
      <c r="B7" s="280" t="s">
        <v>11</v>
      </c>
      <c r="C7" s="280" t="s">
        <v>12</v>
      </c>
      <c r="D7" s="280" t="s">
        <v>13</v>
      </c>
      <c r="E7" s="280" t="s">
        <v>14</v>
      </c>
      <c r="F7" s="287" t="s">
        <v>15</v>
      </c>
      <c r="G7" s="280" t="s">
        <v>16</v>
      </c>
      <c r="H7" s="291" t="s">
        <v>17</v>
      </c>
    </row>
    <row r="8" spans="1:8" x14ac:dyDescent="0.35">
      <c r="A8" s="281">
        <v>46260</v>
      </c>
      <c r="B8" s="282" t="s">
        <v>7</v>
      </c>
      <c r="C8" s="283" t="s">
        <v>18</v>
      </c>
      <c r="D8" s="283" t="s">
        <v>19</v>
      </c>
      <c r="E8" s="283" t="s">
        <v>20</v>
      </c>
      <c r="F8" s="285">
        <v>20</v>
      </c>
      <c r="G8" s="283" t="s">
        <v>21</v>
      </c>
      <c r="H8" s="292">
        <f>F8/480</f>
        <v>4.1666666666666664E-2</v>
      </c>
    </row>
    <row r="9" spans="1:8" x14ac:dyDescent="0.35">
      <c r="A9" s="281">
        <v>46260</v>
      </c>
      <c r="B9" s="282" t="s">
        <v>7</v>
      </c>
      <c r="C9" s="283" t="s">
        <v>22</v>
      </c>
      <c r="D9" s="283" t="s">
        <v>23</v>
      </c>
      <c r="E9" s="283" t="s">
        <v>24</v>
      </c>
      <c r="F9" s="285">
        <v>36</v>
      </c>
      <c r="G9" s="283"/>
      <c r="H9" s="292">
        <f t="shared" ref="H9:H16" si="1">F9/480</f>
        <v>7.4999999999999997E-2</v>
      </c>
    </row>
    <row r="10" spans="1:8" x14ac:dyDescent="0.35">
      <c r="A10" s="281">
        <v>46260</v>
      </c>
      <c r="B10" s="282" t="s">
        <v>7</v>
      </c>
      <c r="C10" s="283" t="s">
        <v>22</v>
      </c>
      <c r="D10" s="283" t="s">
        <v>23</v>
      </c>
      <c r="E10" s="283" t="s">
        <v>24</v>
      </c>
      <c r="F10" s="285">
        <v>36</v>
      </c>
      <c r="G10" s="283"/>
      <c r="H10" s="292">
        <f t="shared" si="1"/>
        <v>7.4999999999999997E-2</v>
      </c>
    </row>
    <row r="11" spans="1:8" x14ac:dyDescent="0.35">
      <c r="A11" s="281">
        <v>46260</v>
      </c>
      <c r="B11" s="282" t="s">
        <v>7</v>
      </c>
      <c r="C11" s="283" t="s">
        <v>25</v>
      </c>
      <c r="D11" s="283" t="s">
        <v>26</v>
      </c>
      <c r="E11" s="283" t="s">
        <v>27</v>
      </c>
      <c r="F11" s="285">
        <v>105</v>
      </c>
      <c r="G11" s="283" t="s">
        <v>28</v>
      </c>
      <c r="H11" s="292">
        <f t="shared" si="1"/>
        <v>0.21875</v>
      </c>
    </row>
    <row r="12" spans="1:8" x14ac:dyDescent="0.35">
      <c r="A12" s="281">
        <v>46260</v>
      </c>
      <c r="B12" s="282" t="s">
        <v>7</v>
      </c>
      <c r="C12" s="283" t="s">
        <v>29</v>
      </c>
      <c r="D12" s="283" t="s">
        <v>30</v>
      </c>
      <c r="E12" s="283" t="s">
        <v>31</v>
      </c>
      <c r="F12" s="285">
        <v>20</v>
      </c>
      <c r="G12" s="283" t="s">
        <v>32</v>
      </c>
      <c r="H12" s="292">
        <f t="shared" si="1"/>
        <v>4.1666666666666664E-2</v>
      </c>
    </row>
    <row r="13" spans="1:8" x14ac:dyDescent="0.35">
      <c r="A13" s="281">
        <v>46260</v>
      </c>
      <c r="B13" s="282" t="s">
        <v>7</v>
      </c>
      <c r="C13" s="283" t="s">
        <v>33</v>
      </c>
      <c r="D13" s="283" t="s">
        <v>34</v>
      </c>
      <c r="E13" s="283" t="s">
        <v>35</v>
      </c>
      <c r="F13" s="286">
        <v>10</v>
      </c>
      <c r="G13" s="283" t="s">
        <v>36</v>
      </c>
      <c r="H13" s="292">
        <f t="shared" si="1"/>
        <v>2.0833333333333332E-2</v>
      </c>
    </row>
    <row r="14" spans="1:8" x14ac:dyDescent="0.35">
      <c r="A14" s="281">
        <v>46260</v>
      </c>
      <c r="B14" s="282" t="s">
        <v>7</v>
      </c>
      <c r="C14" s="283" t="s">
        <v>22</v>
      </c>
      <c r="D14" s="283" t="s">
        <v>37</v>
      </c>
      <c r="E14" s="283" t="s">
        <v>38</v>
      </c>
      <c r="F14" s="286">
        <v>10</v>
      </c>
      <c r="G14" s="283" t="s">
        <v>39</v>
      </c>
      <c r="H14" s="292">
        <f t="shared" si="1"/>
        <v>2.0833333333333332E-2</v>
      </c>
    </row>
    <row r="15" spans="1:8" x14ac:dyDescent="0.35">
      <c r="A15" s="281">
        <v>46260</v>
      </c>
      <c r="B15" s="282" t="s">
        <v>8</v>
      </c>
      <c r="C15" s="283" t="s">
        <v>40</v>
      </c>
      <c r="D15" s="283" t="s">
        <v>41</v>
      </c>
      <c r="E15" s="283" t="s">
        <v>42</v>
      </c>
      <c r="F15" s="285">
        <v>60</v>
      </c>
      <c r="G15" s="283" t="s">
        <v>43</v>
      </c>
      <c r="H15" s="292">
        <f t="shared" si="1"/>
        <v>0.125</v>
      </c>
    </row>
    <row r="16" spans="1:8" ht="24" x14ac:dyDescent="0.35">
      <c r="A16" s="288">
        <v>46260</v>
      </c>
      <c r="B16" s="282" t="s">
        <v>9</v>
      </c>
      <c r="C16" s="283" t="s">
        <v>40</v>
      </c>
      <c r="D16" s="283" t="s">
        <v>41</v>
      </c>
      <c r="E16" s="283" t="s">
        <v>44</v>
      </c>
      <c r="F16" s="285">
        <v>200</v>
      </c>
      <c r="G16" s="284" t="s">
        <v>45</v>
      </c>
      <c r="H16" s="292">
        <f t="shared" si="1"/>
        <v>0.41666666666666669</v>
      </c>
    </row>
  </sheetData>
  <conditionalFormatting sqref="A2:B4">
    <cfRule type="expression" dxfId="219" priority="10">
      <formula>ROW()=CELL("row")</formula>
    </cfRule>
  </conditionalFormatting>
  <conditionalFormatting sqref="B8:B16">
    <cfRule type="expression" dxfId="218" priority="1">
      <formula>ROW()=CELL("row")</formula>
    </cfRule>
  </conditionalFormatting>
  <dataValidations count="2">
    <dataValidation type="list" allowBlank="1" showInputMessage="1" showErrorMessage="1" sqref="B2:B4 B8:B16" xr:uid="{34FEDD90-02DE-42DF-BB63-9E6666C2EA32}">
      <formula1>"A,B,C"</formula1>
    </dataValidation>
    <dataValidation type="list" allowBlank="1" showInputMessage="1" showErrorMessage="1" sqref="D8:E16" xr:uid="{C36FB465-04B2-454E-900C-FC5A864B78EF}">
      <formula1>INDIRECT(C8)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263004E-1E11-4423-926C-A57663B4EA21}">
          <x14:formula1>
            <xm:f>'Look up (2)'!$A$2:$A$17</xm:f>
          </x14:formula1>
          <xm:sqref>C8:C16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E823B-D9FF-4239-A724-845641892D9C}">
  <dimension ref="A1:M4998"/>
  <sheetViews>
    <sheetView showGridLines="0" zoomScale="60" zoomScaleNormal="60" workbookViewId="0">
      <pane xSplit="2" topLeftCell="E1" activePane="topRight" state="frozen"/>
      <selection pane="topRight" sqref="A1:K10"/>
    </sheetView>
  </sheetViews>
  <sheetFormatPr defaultRowHeight="14.5" x14ac:dyDescent="0.35"/>
  <cols>
    <col min="1" max="2" width="15.54296875" style="15" customWidth="1"/>
    <col min="3" max="3" width="22.453125" customWidth="1"/>
    <col min="4" max="4" width="21.26953125" bestFit="1" customWidth="1"/>
    <col min="5" max="5" width="46.453125" bestFit="1" customWidth="1"/>
    <col min="6" max="6" width="19.81640625" customWidth="1"/>
    <col min="7" max="7" width="22.81640625" customWidth="1"/>
    <col min="8" max="8" width="23.54296875" style="15" customWidth="1"/>
    <col min="9" max="9" width="24.1796875" style="15" customWidth="1"/>
    <col min="10" max="10" width="27.54296875" style="15" customWidth="1"/>
    <col min="11" max="11" width="60.7265625" customWidth="1"/>
  </cols>
  <sheetData>
    <row r="1" spans="1:11" s="265" customFormat="1" ht="24" customHeight="1" x14ac:dyDescent="0.35">
      <c r="A1" s="264" t="s">
        <v>0</v>
      </c>
      <c r="B1" s="264" t="s">
        <v>11</v>
      </c>
      <c r="C1" s="264" t="s">
        <v>12</v>
      </c>
      <c r="D1" s="264" t="s">
        <v>13</v>
      </c>
      <c r="E1" s="264" t="s">
        <v>14</v>
      </c>
      <c r="F1" s="264" t="s">
        <v>46</v>
      </c>
      <c r="G1" s="264" t="s">
        <v>47</v>
      </c>
      <c r="H1" s="264" t="s">
        <v>48</v>
      </c>
      <c r="I1" s="264" t="s">
        <v>49</v>
      </c>
      <c r="J1" s="264" t="s">
        <v>15</v>
      </c>
      <c r="K1" s="264" t="s">
        <v>16</v>
      </c>
    </row>
    <row r="2" spans="1:11" s="268" customFormat="1" ht="24" customHeight="1" x14ac:dyDescent="0.45">
      <c r="A2" s="271">
        <v>46260</v>
      </c>
      <c r="B2" s="22" t="s">
        <v>7</v>
      </c>
      <c r="C2" s="267" t="s">
        <v>18</v>
      </c>
      <c r="D2" s="267" t="s">
        <v>19</v>
      </c>
      <c r="E2" s="267" t="s">
        <v>20</v>
      </c>
      <c r="F2" s="267" t="s">
        <v>50</v>
      </c>
      <c r="G2" s="267" t="s">
        <v>51</v>
      </c>
      <c r="H2" s="267"/>
      <c r="I2" s="267">
        <v>20</v>
      </c>
      <c r="J2" s="267">
        <v>20</v>
      </c>
      <c r="K2" s="267" t="s">
        <v>21</v>
      </c>
    </row>
    <row r="3" spans="1:11" s="268" customFormat="1" ht="24" customHeight="1" x14ac:dyDescent="0.45">
      <c r="A3" s="271">
        <v>46260</v>
      </c>
      <c r="B3" s="22" t="s">
        <v>7</v>
      </c>
      <c r="C3" s="267" t="s">
        <v>22</v>
      </c>
      <c r="D3" s="267" t="s">
        <v>23</v>
      </c>
      <c r="E3" s="267" t="s">
        <v>24</v>
      </c>
      <c r="F3" s="267" t="s">
        <v>50</v>
      </c>
      <c r="G3" s="267" t="s">
        <v>52</v>
      </c>
      <c r="H3" s="267"/>
      <c r="I3" s="267">
        <v>480</v>
      </c>
      <c r="J3" s="267">
        <v>36</v>
      </c>
      <c r="K3" s="267"/>
    </row>
    <row r="4" spans="1:11" s="268" customFormat="1" ht="24" customHeight="1" x14ac:dyDescent="0.45">
      <c r="A4" s="271">
        <v>46260</v>
      </c>
      <c r="B4" s="22" t="s">
        <v>7</v>
      </c>
      <c r="C4" s="267" t="s">
        <v>22</v>
      </c>
      <c r="D4" s="267" t="s">
        <v>23</v>
      </c>
      <c r="E4" s="267" t="s">
        <v>24</v>
      </c>
      <c r="F4" s="267" t="s">
        <v>50</v>
      </c>
      <c r="G4" s="267" t="s">
        <v>52</v>
      </c>
      <c r="H4" s="267"/>
      <c r="I4" s="267">
        <v>480</v>
      </c>
      <c r="J4" s="267">
        <v>36</v>
      </c>
      <c r="K4" s="267"/>
    </row>
    <row r="5" spans="1:11" s="268" customFormat="1" ht="24" customHeight="1" x14ac:dyDescent="0.45">
      <c r="A5" s="271">
        <v>46260</v>
      </c>
      <c r="B5" s="22" t="s">
        <v>7</v>
      </c>
      <c r="C5" s="267" t="s">
        <v>25</v>
      </c>
      <c r="D5" s="267" t="s">
        <v>26</v>
      </c>
      <c r="E5" s="267" t="s">
        <v>27</v>
      </c>
      <c r="F5" s="267" t="s">
        <v>50</v>
      </c>
      <c r="G5" s="267" t="s">
        <v>52</v>
      </c>
      <c r="H5" s="267"/>
      <c r="I5" s="267">
        <v>105</v>
      </c>
      <c r="J5" s="267">
        <v>105</v>
      </c>
      <c r="K5" s="267" t="s">
        <v>28</v>
      </c>
    </row>
    <row r="6" spans="1:11" s="268" customFormat="1" ht="24" customHeight="1" x14ac:dyDescent="0.45">
      <c r="A6" s="271">
        <v>46260</v>
      </c>
      <c r="B6" s="22" t="s">
        <v>7</v>
      </c>
      <c r="C6" s="267" t="s">
        <v>29</v>
      </c>
      <c r="D6" s="267" t="s">
        <v>30</v>
      </c>
      <c r="E6" s="267" t="s">
        <v>31</v>
      </c>
      <c r="F6" s="267" t="s">
        <v>50</v>
      </c>
      <c r="G6" s="267" t="s">
        <v>53</v>
      </c>
      <c r="H6" s="267"/>
      <c r="I6" s="267">
        <v>20</v>
      </c>
      <c r="J6" s="267">
        <v>20</v>
      </c>
      <c r="K6" s="267" t="s">
        <v>32</v>
      </c>
    </row>
    <row r="7" spans="1:11" s="268" customFormat="1" ht="24" customHeight="1" x14ac:dyDescent="0.45">
      <c r="A7" s="271">
        <v>46260</v>
      </c>
      <c r="B7" s="22" t="s">
        <v>7</v>
      </c>
      <c r="C7" s="267" t="s">
        <v>33</v>
      </c>
      <c r="D7" s="267" t="s">
        <v>34</v>
      </c>
      <c r="E7" s="267" t="s">
        <v>35</v>
      </c>
      <c r="F7" s="267" t="s">
        <v>50</v>
      </c>
      <c r="G7" s="267" t="s">
        <v>53</v>
      </c>
      <c r="H7" s="267"/>
      <c r="I7" s="269">
        <v>40</v>
      </c>
      <c r="J7" s="269">
        <v>10</v>
      </c>
      <c r="K7" s="267" t="s">
        <v>36</v>
      </c>
    </row>
    <row r="8" spans="1:11" s="268" customFormat="1" ht="24" customHeight="1" x14ac:dyDescent="0.45">
      <c r="A8" s="271">
        <v>46260</v>
      </c>
      <c r="B8" s="22" t="s">
        <v>7</v>
      </c>
      <c r="C8" s="267" t="s">
        <v>22</v>
      </c>
      <c r="D8" s="267" t="s">
        <v>37</v>
      </c>
      <c r="E8" s="267" t="s">
        <v>38</v>
      </c>
      <c r="F8" s="267" t="s">
        <v>50</v>
      </c>
      <c r="G8" s="267" t="s">
        <v>53</v>
      </c>
      <c r="H8" s="267"/>
      <c r="I8" s="269">
        <v>40</v>
      </c>
      <c r="J8" s="269">
        <v>10</v>
      </c>
      <c r="K8" s="267" t="s">
        <v>39</v>
      </c>
    </row>
    <row r="9" spans="1:11" s="268" customFormat="1" ht="24" customHeight="1" x14ac:dyDescent="0.45">
      <c r="A9" s="271">
        <v>46260</v>
      </c>
      <c r="B9" s="22" t="s">
        <v>8</v>
      </c>
      <c r="C9" s="267" t="s">
        <v>40</v>
      </c>
      <c r="D9" s="267" t="s">
        <v>41</v>
      </c>
      <c r="E9" s="267" t="s">
        <v>42</v>
      </c>
      <c r="F9" s="267" t="s">
        <v>50</v>
      </c>
      <c r="G9" s="267" t="s">
        <v>53</v>
      </c>
      <c r="H9" s="267"/>
      <c r="I9" s="267">
        <v>60</v>
      </c>
      <c r="J9" s="267">
        <v>60</v>
      </c>
      <c r="K9" s="267" t="s">
        <v>43</v>
      </c>
    </row>
    <row r="10" spans="1:11" s="268" customFormat="1" ht="38.15" customHeight="1" x14ac:dyDescent="0.45">
      <c r="A10" s="271">
        <v>46260</v>
      </c>
      <c r="B10" s="22" t="s">
        <v>9</v>
      </c>
      <c r="C10" s="267" t="s">
        <v>40</v>
      </c>
      <c r="D10" s="267" t="s">
        <v>41</v>
      </c>
      <c r="E10" s="267" t="s">
        <v>44</v>
      </c>
      <c r="F10" s="267" t="s">
        <v>50</v>
      </c>
      <c r="G10" s="267" t="s">
        <v>53</v>
      </c>
      <c r="H10" s="267"/>
      <c r="I10" s="267">
        <v>200</v>
      </c>
      <c r="J10" s="267">
        <v>200</v>
      </c>
      <c r="K10" s="270" t="s">
        <v>45</v>
      </c>
    </row>
    <row r="11" spans="1:11" s="268" customFormat="1" ht="24" customHeight="1" x14ac:dyDescent="0.45">
      <c r="A11" s="266"/>
      <c r="B11" s="22"/>
      <c r="C11" s="267"/>
      <c r="D11" s="267"/>
      <c r="E11" s="267"/>
      <c r="F11" s="267"/>
      <c r="G11" s="267"/>
      <c r="H11" s="267"/>
      <c r="I11" s="267"/>
      <c r="J11" s="267"/>
      <c r="K11" s="267"/>
    </row>
    <row r="12" spans="1:11" s="268" customFormat="1" ht="24" customHeight="1" x14ac:dyDescent="0.45">
      <c r="A12" s="266"/>
      <c r="B12" s="22"/>
      <c r="C12" s="267"/>
      <c r="D12" s="267"/>
      <c r="E12" s="267"/>
      <c r="F12" s="267"/>
      <c r="G12" s="267"/>
      <c r="H12" s="267"/>
      <c r="I12" s="267"/>
      <c r="J12" s="267"/>
      <c r="K12" s="267"/>
    </row>
    <row r="13" spans="1:11" s="268" customFormat="1" ht="24" customHeight="1" x14ac:dyDescent="0.45">
      <c r="A13" s="266"/>
      <c r="B13" s="22"/>
      <c r="C13" s="267"/>
      <c r="D13" s="267"/>
      <c r="E13" s="267"/>
      <c r="F13" s="267"/>
      <c r="G13" s="267"/>
      <c r="H13" s="267"/>
      <c r="I13" s="267"/>
      <c r="J13" s="267"/>
      <c r="K13" s="267"/>
    </row>
    <row r="14" spans="1:11" s="268" customFormat="1" ht="24" customHeight="1" x14ac:dyDescent="0.45">
      <c r="A14" s="266"/>
      <c r="B14" s="22"/>
      <c r="C14" s="267"/>
      <c r="D14" s="267"/>
      <c r="E14" s="267"/>
      <c r="F14" s="267"/>
      <c r="G14" s="267"/>
      <c r="H14" s="267"/>
      <c r="I14" s="267"/>
      <c r="J14" s="267"/>
      <c r="K14" s="267"/>
    </row>
    <row r="15" spans="1:11" s="268" customFormat="1" ht="24" customHeight="1" x14ac:dyDescent="0.45">
      <c r="A15" s="266"/>
      <c r="B15" s="22"/>
      <c r="C15" s="267"/>
      <c r="D15" s="267"/>
      <c r="E15" s="267"/>
      <c r="F15" s="267"/>
      <c r="G15" s="267"/>
      <c r="H15" s="267"/>
      <c r="I15" s="267"/>
      <c r="J15" s="267"/>
      <c r="K15" s="267"/>
    </row>
    <row r="16" spans="1:11" s="268" customFormat="1" ht="24" customHeight="1" x14ac:dyDescent="0.45">
      <c r="A16" s="266"/>
      <c r="B16" s="22"/>
      <c r="C16" s="267"/>
      <c r="D16" s="267"/>
      <c r="E16" s="267"/>
      <c r="F16" s="267"/>
      <c r="G16" s="267"/>
      <c r="H16" s="267"/>
      <c r="I16" s="267"/>
      <c r="J16" s="267"/>
      <c r="K16" s="267"/>
    </row>
    <row r="17" spans="1:11" s="268" customFormat="1" ht="24" customHeight="1" x14ac:dyDescent="0.45">
      <c r="A17" s="266"/>
      <c r="B17" s="22"/>
      <c r="C17" s="267"/>
      <c r="D17" s="267"/>
      <c r="E17" s="267"/>
      <c r="F17" s="267"/>
      <c r="G17" s="267"/>
      <c r="H17" s="267"/>
      <c r="I17" s="267"/>
      <c r="J17" s="267"/>
      <c r="K17" s="267"/>
    </row>
    <row r="18" spans="1:11" s="268" customFormat="1" ht="24" customHeight="1" x14ac:dyDescent="0.45">
      <c r="A18" s="266"/>
      <c r="B18" s="22"/>
      <c r="C18" s="267"/>
      <c r="D18" s="267"/>
      <c r="E18" s="267"/>
      <c r="F18" s="267"/>
      <c r="G18" s="267"/>
      <c r="H18" s="267"/>
      <c r="I18" s="267"/>
      <c r="J18" s="267"/>
      <c r="K18" s="267"/>
    </row>
    <row r="19" spans="1:11" s="268" customFormat="1" ht="24" customHeight="1" x14ac:dyDescent="0.45">
      <c r="A19" s="266"/>
      <c r="B19" s="22"/>
      <c r="C19" s="267"/>
      <c r="D19" s="267"/>
      <c r="E19" s="267"/>
      <c r="F19" s="267"/>
      <c r="G19" s="267"/>
      <c r="H19" s="267"/>
      <c r="I19" s="267"/>
      <c r="J19" s="267"/>
      <c r="K19" s="267"/>
    </row>
    <row r="20" spans="1:11" s="268" customFormat="1" ht="24" customHeight="1" x14ac:dyDescent="0.45">
      <c r="A20" s="266"/>
      <c r="B20" s="22"/>
      <c r="C20" s="267"/>
      <c r="D20" s="267"/>
      <c r="E20" s="267"/>
      <c r="F20" s="267"/>
      <c r="G20" s="267"/>
      <c r="H20" s="267"/>
      <c r="I20" s="267"/>
      <c r="J20" s="267"/>
      <c r="K20" s="267"/>
    </row>
    <row r="21" spans="1:11" s="268" customFormat="1" ht="24" customHeight="1" x14ac:dyDescent="0.45">
      <c r="A21" s="266"/>
      <c r="B21" s="22"/>
      <c r="C21" s="267"/>
      <c r="D21" s="267"/>
      <c r="E21" s="267"/>
      <c r="F21" s="267"/>
      <c r="G21" s="267"/>
      <c r="H21" s="267"/>
      <c r="I21" s="267"/>
      <c r="J21" s="267"/>
      <c r="K21" s="267"/>
    </row>
    <row r="22" spans="1:11" s="268" customFormat="1" ht="24" customHeight="1" x14ac:dyDescent="0.45">
      <c r="A22" s="266"/>
      <c r="B22" s="22"/>
      <c r="C22" s="267"/>
      <c r="D22" s="267"/>
      <c r="E22" s="267"/>
      <c r="F22" s="267"/>
      <c r="G22" s="267"/>
      <c r="H22" s="267"/>
      <c r="I22" s="267"/>
      <c r="J22" s="267"/>
      <c r="K22" s="267"/>
    </row>
    <row r="23" spans="1:11" s="268" customFormat="1" ht="24" customHeight="1" x14ac:dyDescent="0.45">
      <c r="A23" s="266"/>
      <c r="B23" s="22"/>
      <c r="C23" s="267"/>
      <c r="D23" s="267"/>
      <c r="E23" s="267"/>
      <c r="F23" s="267"/>
      <c r="G23" s="267"/>
      <c r="H23" s="267"/>
      <c r="I23" s="267"/>
      <c r="J23" s="267"/>
      <c r="K23" s="267"/>
    </row>
    <row r="24" spans="1:11" s="268" customFormat="1" ht="24" customHeight="1" x14ac:dyDescent="0.45">
      <c r="A24" s="266"/>
      <c r="B24" s="22"/>
      <c r="C24" s="267"/>
      <c r="D24" s="267"/>
      <c r="E24" s="267"/>
      <c r="F24" s="267"/>
      <c r="G24" s="267"/>
      <c r="H24" s="267"/>
      <c r="I24" s="267"/>
      <c r="J24" s="267"/>
      <c r="K24" s="267"/>
    </row>
    <row r="25" spans="1:11" s="268" customFormat="1" ht="24" customHeight="1" x14ac:dyDescent="0.45">
      <c r="A25" s="266"/>
      <c r="B25" s="22"/>
      <c r="C25" s="267"/>
      <c r="D25" s="267"/>
      <c r="E25" s="267"/>
      <c r="F25" s="267"/>
      <c r="G25" s="267"/>
      <c r="H25" s="267"/>
      <c r="I25" s="267"/>
      <c r="J25" s="267"/>
      <c r="K25" s="267"/>
    </row>
    <row r="26" spans="1:11" s="268" customFormat="1" ht="24" customHeight="1" x14ac:dyDescent="0.45">
      <c r="A26" s="266"/>
      <c r="B26" s="22"/>
      <c r="C26" s="267"/>
      <c r="D26" s="267"/>
      <c r="E26" s="267"/>
      <c r="F26" s="267"/>
      <c r="G26" s="267"/>
      <c r="H26" s="267"/>
      <c r="I26" s="267"/>
      <c r="J26" s="267"/>
      <c r="K26" s="267"/>
    </row>
    <row r="27" spans="1:11" s="268" customFormat="1" ht="24" customHeight="1" x14ac:dyDescent="0.45">
      <c r="A27" s="266"/>
      <c r="B27" s="22"/>
      <c r="C27" s="267"/>
      <c r="D27" s="267"/>
      <c r="E27" s="267"/>
      <c r="F27" s="267"/>
      <c r="G27" s="267"/>
      <c r="H27" s="267"/>
      <c r="I27" s="267"/>
      <c r="J27" s="267"/>
      <c r="K27" s="267"/>
    </row>
    <row r="28" spans="1:11" s="268" customFormat="1" ht="24" customHeight="1" x14ac:dyDescent="0.45">
      <c r="A28" s="266"/>
      <c r="B28" s="22"/>
      <c r="C28" s="267"/>
      <c r="D28" s="267"/>
      <c r="E28" s="267"/>
      <c r="F28" s="267"/>
      <c r="G28" s="267"/>
      <c r="H28" s="267"/>
      <c r="I28" s="267"/>
      <c r="J28" s="267"/>
      <c r="K28" s="267"/>
    </row>
    <row r="29" spans="1:11" s="268" customFormat="1" ht="24" customHeight="1" x14ac:dyDescent="0.45">
      <c r="A29" s="266"/>
      <c r="B29" s="22"/>
      <c r="C29" s="267"/>
      <c r="D29" s="267"/>
      <c r="E29" s="267"/>
      <c r="F29" s="267"/>
      <c r="G29" s="267"/>
      <c r="H29" s="267"/>
      <c r="I29" s="267"/>
      <c r="J29" s="267"/>
      <c r="K29" s="267"/>
    </row>
    <row r="30" spans="1:11" s="268" customFormat="1" ht="24" customHeight="1" x14ac:dyDescent="0.45">
      <c r="A30" s="266"/>
      <c r="B30" s="22"/>
      <c r="C30" s="267"/>
      <c r="D30" s="267"/>
      <c r="E30" s="267"/>
      <c r="F30" s="267"/>
      <c r="G30" s="267"/>
      <c r="H30" s="267"/>
      <c r="I30" s="267"/>
      <c r="J30" s="267"/>
      <c r="K30" s="267"/>
    </row>
    <row r="31" spans="1:11" s="268" customFormat="1" ht="24" customHeight="1" x14ac:dyDescent="0.45">
      <c r="A31" s="266"/>
      <c r="B31" s="22"/>
      <c r="C31" s="267"/>
      <c r="D31" s="267"/>
      <c r="E31" s="267"/>
      <c r="F31" s="267"/>
      <c r="G31" s="267"/>
      <c r="H31" s="267"/>
      <c r="I31" s="267"/>
      <c r="J31" s="267"/>
      <c r="K31" s="267"/>
    </row>
    <row r="32" spans="1:11" s="268" customFormat="1" ht="24" customHeight="1" x14ac:dyDescent="0.45">
      <c r="A32" s="266"/>
      <c r="B32" s="22"/>
      <c r="C32" s="267"/>
      <c r="D32" s="267"/>
      <c r="E32" s="267"/>
      <c r="F32" s="267"/>
      <c r="G32" s="267"/>
      <c r="H32" s="267"/>
      <c r="I32" s="267"/>
      <c r="J32" s="267"/>
      <c r="K32" s="267"/>
    </row>
    <row r="33" spans="1:11" s="268" customFormat="1" ht="24" customHeight="1" x14ac:dyDescent="0.45">
      <c r="A33" s="266"/>
      <c r="B33" s="22"/>
      <c r="C33" s="267"/>
      <c r="D33" s="267"/>
      <c r="E33" s="267"/>
      <c r="F33" s="267"/>
      <c r="G33" s="267"/>
      <c r="H33" s="267"/>
      <c r="I33" s="267"/>
      <c r="J33" s="267"/>
      <c r="K33" s="267"/>
    </row>
    <row r="34" spans="1:11" s="268" customFormat="1" ht="24" customHeight="1" x14ac:dyDescent="0.45">
      <c r="A34" s="266"/>
      <c r="B34" s="22"/>
      <c r="C34" s="267"/>
      <c r="D34" s="267"/>
      <c r="E34" s="267"/>
      <c r="F34" s="267"/>
      <c r="G34" s="267"/>
      <c r="H34" s="267"/>
      <c r="I34" s="267"/>
      <c r="J34" s="267"/>
      <c r="K34" s="267"/>
    </row>
    <row r="35" spans="1:11" s="268" customFormat="1" ht="24" customHeight="1" x14ac:dyDescent="0.45">
      <c r="A35" s="266"/>
      <c r="B35" s="22"/>
      <c r="C35" s="267"/>
      <c r="D35" s="267"/>
      <c r="E35" s="267"/>
      <c r="F35" s="267"/>
      <c r="G35" s="267"/>
      <c r="H35" s="267"/>
      <c r="I35" s="267"/>
      <c r="J35" s="267"/>
      <c r="K35" s="267"/>
    </row>
    <row r="36" spans="1:11" s="268" customFormat="1" ht="24" customHeight="1" x14ac:dyDescent="0.45">
      <c r="A36" s="266"/>
      <c r="B36" s="22"/>
      <c r="C36" s="267"/>
      <c r="D36" s="267"/>
      <c r="E36" s="267"/>
      <c r="F36" s="267"/>
      <c r="G36" s="267"/>
      <c r="H36" s="267"/>
      <c r="I36" s="267"/>
      <c r="J36" s="267"/>
      <c r="K36" s="267"/>
    </row>
    <row r="37" spans="1:11" s="268" customFormat="1" ht="24" customHeight="1" x14ac:dyDescent="0.45">
      <c r="A37" s="266"/>
      <c r="B37" s="22"/>
      <c r="C37" s="267"/>
      <c r="D37" s="267"/>
      <c r="E37" s="267"/>
      <c r="F37" s="267"/>
      <c r="G37" s="267"/>
      <c r="H37" s="267"/>
      <c r="I37" s="267"/>
      <c r="J37" s="267"/>
      <c r="K37" s="267"/>
    </row>
    <row r="38" spans="1:11" s="268" customFormat="1" ht="24" customHeight="1" x14ac:dyDescent="0.45">
      <c r="A38" s="266"/>
      <c r="B38" s="22"/>
      <c r="C38" s="267"/>
      <c r="D38" s="267"/>
      <c r="E38" s="267"/>
      <c r="F38" s="267"/>
      <c r="G38" s="267"/>
      <c r="H38" s="267"/>
      <c r="I38" s="267"/>
      <c r="J38" s="267"/>
      <c r="K38" s="267"/>
    </row>
    <row r="39" spans="1:11" s="268" customFormat="1" ht="24" customHeight="1" x14ac:dyDescent="0.45">
      <c r="A39" s="266"/>
      <c r="B39" s="22"/>
      <c r="C39" s="267"/>
      <c r="D39" s="267"/>
      <c r="E39" s="267"/>
      <c r="F39" s="267"/>
      <c r="G39" s="267"/>
      <c r="H39" s="267"/>
      <c r="I39" s="267"/>
      <c r="J39" s="267"/>
      <c r="K39" s="267"/>
    </row>
    <row r="40" spans="1:11" s="268" customFormat="1" ht="24" customHeight="1" x14ac:dyDescent="0.45">
      <c r="A40" s="266"/>
      <c r="B40" s="22"/>
      <c r="C40" s="267"/>
      <c r="D40" s="267"/>
      <c r="E40" s="267"/>
      <c r="F40" s="267"/>
      <c r="G40" s="267"/>
      <c r="H40" s="267"/>
      <c r="I40" s="267"/>
      <c r="J40" s="267"/>
      <c r="K40" s="267"/>
    </row>
    <row r="41" spans="1:11" s="268" customFormat="1" ht="24" customHeight="1" x14ac:dyDescent="0.45">
      <c r="A41" s="266"/>
      <c r="B41" s="22"/>
      <c r="C41" s="267"/>
      <c r="D41" s="267"/>
      <c r="E41" s="267"/>
      <c r="F41" s="267"/>
      <c r="G41" s="267"/>
      <c r="H41" s="267"/>
      <c r="I41" s="267"/>
      <c r="J41" s="267"/>
      <c r="K41" s="267"/>
    </row>
    <row r="42" spans="1:11" s="268" customFormat="1" ht="24" customHeight="1" x14ac:dyDescent="0.45">
      <c r="A42" s="266"/>
      <c r="B42" s="22"/>
      <c r="C42" s="267"/>
      <c r="D42" s="267"/>
      <c r="E42" s="267"/>
      <c r="F42" s="267"/>
      <c r="G42" s="267"/>
      <c r="H42" s="267"/>
      <c r="I42" s="267"/>
      <c r="J42" s="267"/>
      <c r="K42" s="267"/>
    </row>
    <row r="43" spans="1:11" s="268" customFormat="1" ht="24" customHeight="1" x14ac:dyDescent="0.45">
      <c r="A43" s="266"/>
      <c r="B43" s="22"/>
      <c r="C43" s="267"/>
      <c r="D43" s="267"/>
      <c r="E43" s="267"/>
      <c r="F43" s="267"/>
      <c r="G43" s="267"/>
      <c r="H43" s="267"/>
      <c r="I43" s="267"/>
      <c r="J43" s="267"/>
      <c r="K43" s="267"/>
    </row>
    <row r="44" spans="1:11" s="268" customFormat="1" ht="24" customHeight="1" x14ac:dyDescent="0.45">
      <c r="A44" s="266"/>
      <c r="B44" s="22"/>
      <c r="C44" s="267"/>
      <c r="D44" s="267"/>
      <c r="E44" s="267"/>
      <c r="F44" s="267"/>
      <c r="G44" s="267"/>
      <c r="H44" s="267"/>
      <c r="I44" s="267"/>
      <c r="J44" s="267"/>
      <c r="K44" s="267"/>
    </row>
    <row r="45" spans="1:11" s="268" customFormat="1" ht="24" customHeight="1" x14ac:dyDescent="0.45">
      <c r="A45" s="266"/>
      <c r="B45" s="22"/>
      <c r="C45" s="267"/>
      <c r="D45" s="267"/>
      <c r="E45" s="267"/>
      <c r="F45" s="267"/>
      <c r="G45" s="267"/>
      <c r="H45" s="267"/>
      <c r="I45" s="267"/>
      <c r="J45" s="267"/>
      <c r="K45" s="267"/>
    </row>
    <row r="46" spans="1:11" s="268" customFormat="1" ht="24" customHeight="1" x14ac:dyDescent="0.45">
      <c r="A46" s="266"/>
      <c r="B46" s="22"/>
      <c r="C46" s="267"/>
      <c r="D46" s="267"/>
      <c r="E46" s="267"/>
      <c r="F46" s="267"/>
      <c r="G46" s="267"/>
      <c r="H46" s="267"/>
      <c r="I46" s="267"/>
      <c r="J46" s="267"/>
      <c r="K46" s="267"/>
    </row>
    <row r="47" spans="1:11" s="268" customFormat="1" ht="24" customHeight="1" x14ac:dyDescent="0.45">
      <c r="A47" s="266"/>
      <c r="B47" s="22"/>
      <c r="C47" s="267"/>
      <c r="D47" s="267"/>
      <c r="E47" s="267"/>
      <c r="F47" s="267"/>
      <c r="G47" s="267"/>
      <c r="H47" s="267"/>
      <c r="I47" s="267"/>
      <c r="J47" s="267"/>
      <c r="K47" s="267"/>
    </row>
    <row r="48" spans="1:11" s="268" customFormat="1" ht="24" customHeight="1" x14ac:dyDescent="0.45">
      <c r="A48" s="266"/>
      <c r="B48" s="22"/>
      <c r="C48" s="267"/>
      <c r="D48" s="267"/>
      <c r="E48" s="267"/>
      <c r="F48" s="267"/>
      <c r="G48" s="267"/>
      <c r="H48" s="267"/>
      <c r="I48" s="267"/>
      <c r="J48" s="267"/>
      <c r="K48" s="267"/>
    </row>
    <row r="49" spans="1:11" s="268" customFormat="1" ht="24" customHeight="1" x14ac:dyDescent="0.45">
      <c r="A49" s="266"/>
      <c r="B49" s="22"/>
      <c r="C49" s="267"/>
      <c r="D49" s="267"/>
      <c r="E49" s="267"/>
      <c r="F49" s="267"/>
      <c r="G49" s="267"/>
      <c r="H49" s="267"/>
      <c r="I49" s="267"/>
      <c r="J49" s="267"/>
      <c r="K49" s="267"/>
    </row>
    <row r="50" spans="1:11" s="268" customFormat="1" ht="24" customHeight="1" x14ac:dyDescent="0.45">
      <c r="A50" s="266"/>
      <c r="B50" s="22"/>
      <c r="C50" s="267"/>
      <c r="D50" s="267"/>
      <c r="E50" s="267"/>
      <c r="F50" s="267"/>
      <c r="G50" s="267"/>
      <c r="H50" s="267"/>
      <c r="I50" s="267"/>
      <c r="J50" s="267"/>
      <c r="K50" s="267"/>
    </row>
    <row r="51" spans="1:11" s="268" customFormat="1" ht="24" customHeight="1" x14ac:dyDescent="0.45">
      <c r="A51" s="266"/>
      <c r="B51" s="22"/>
      <c r="C51" s="267"/>
      <c r="D51" s="267"/>
      <c r="E51" s="267"/>
      <c r="F51" s="267"/>
      <c r="G51" s="267"/>
      <c r="H51" s="267"/>
      <c r="I51" s="267"/>
      <c r="J51" s="267"/>
      <c r="K51" s="267"/>
    </row>
    <row r="52" spans="1:11" s="268" customFormat="1" ht="24" customHeight="1" x14ac:dyDescent="0.45">
      <c r="A52" s="266"/>
      <c r="B52" s="22"/>
      <c r="C52" s="267"/>
      <c r="D52" s="267"/>
      <c r="E52" s="267"/>
      <c r="F52" s="267"/>
      <c r="G52" s="267"/>
      <c r="H52" s="267"/>
      <c r="I52" s="267"/>
      <c r="J52" s="267"/>
      <c r="K52" s="267"/>
    </row>
    <row r="53" spans="1:11" s="268" customFormat="1" ht="24" customHeight="1" x14ac:dyDescent="0.45">
      <c r="A53" s="266"/>
      <c r="B53" s="22"/>
      <c r="C53" s="267"/>
      <c r="D53" s="267"/>
      <c r="E53" s="267"/>
      <c r="F53" s="267"/>
      <c r="G53" s="267"/>
      <c r="H53" s="267"/>
      <c r="I53" s="267"/>
      <c r="J53" s="267"/>
      <c r="K53" s="267"/>
    </row>
    <row r="54" spans="1:11" s="268" customFormat="1" ht="24" customHeight="1" x14ac:dyDescent="0.45">
      <c r="A54" s="266"/>
      <c r="B54" s="22"/>
      <c r="C54" s="267"/>
      <c r="D54" s="267"/>
      <c r="E54" s="267"/>
      <c r="F54" s="267"/>
      <c r="G54" s="267"/>
      <c r="H54" s="267"/>
      <c r="I54" s="267"/>
      <c r="J54" s="267"/>
      <c r="K54" s="267"/>
    </row>
    <row r="55" spans="1:11" s="268" customFormat="1" ht="24" customHeight="1" x14ac:dyDescent="0.45">
      <c r="A55" s="266"/>
      <c r="B55" s="22"/>
      <c r="C55" s="267"/>
      <c r="D55" s="267"/>
      <c r="E55" s="267"/>
      <c r="F55" s="267"/>
      <c r="G55" s="267"/>
      <c r="H55" s="267"/>
      <c r="I55" s="267"/>
      <c r="J55" s="267"/>
      <c r="K55" s="267"/>
    </row>
    <row r="56" spans="1:11" s="268" customFormat="1" ht="24" customHeight="1" x14ac:dyDescent="0.45">
      <c r="A56" s="266"/>
      <c r="B56" s="22"/>
      <c r="C56" s="267"/>
      <c r="D56" s="267"/>
      <c r="E56" s="267"/>
      <c r="F56" s="267"/>
      <c r="G56" s="267"/>
      <c r="H56" s="267"/>
      <c r="I56" s="267"/>
      <c r="J56" s="267"/>
      <c r="K56" s="267"/>
    </row>
    <row r="57" spans="1:11" s="268" customFormat="1" ht="24" customHeight="1" x14ac:dyDescent="0.45">
      <c r="A57" s="266"/>
      <c r="B57" s="22"/>
      <c r="C57" s="267"/>
      <c r="D57" s="267"/>
      <c r="E57" s="267"/>
      <c r="F57" s="267"/>
      <c r="G57" s="267"/>
      <c r="H57" s="267"/>
      <c r="I57" s="267"/>
      <c r="J57" s="267"/>
      <c r="K57" s="267"/>
    </row>
    <row r="58" spans="1:11" s="268" customFormat="1" ht="24" customHeight="1" x14ac:dyDescent="0.45">
      <c r="A58" s="266"/>
      <c r="B58" s="22"/>
      <c r="C58" s="267"/>
      <c r="D58" s="267"/>
      <c r="E58" s="267"/>
      <c r="F58" s="267"/>
      <c r="G58" s="267"/>
      <c r="H58" s="267"/>
      <c r="I58" s="267"/>
      <c r="J58" s="267"/>
      <c r="K58" s="267"/>
    </row>
    <row r="59" spans="1:11" s="268" customFormat="1" ht="24" customHeight="1" x14ac:dyDescent="0.45">
      <c r="A59" s="266"/>
      <c r="B59" s="22"/>
      <c r="C59" s="267"/>
      <c r="D59" s="267"/>
      <c r="E59" s="267"/>
      <c r="F59" s="267"/>
      <c r="G59" s="267"/>
      <c r="H59" s="267"/>
      <c r="I59" s="267"/>
      <c r="J59" s="267"/>
      <c r="K59" s="267"/>
    </row>
    <row r="60" spans="1:11" s="268" customFormat="1" ht="24" customHeight="1" x14ac:dyDescent="0.45">
      <c r="A60" s="266"/>
      <c r="B60" s="22"/>
      <c r="C60" s="267"/>
      <c r="D60" s="267"/>
      <c r="E60" s="267"/>
      <c r="F60" s="267"/>
      <c r="G60" s="267"/>
      <c r="H60" s="267"/>
      <c r="I60" s="267"/>
      <c r="J60" s="267"/>
      <c r="K60" s="267"/>
    </row>
    <row r="61" spans="1:11" s="268" customFormat="1" ht="24" customHeight="1" x14ac:dyDescent="0.45">
      <c r="A61" s="266"/>
      <c r="B61" s="22"/>
      <c r="C61" s="267"/>
      <c r="D61" s="267"/>
      <c r="E61" s="267"/>
      <c r="F61" s="267"/>
      <c r="G61" s="267"/>
      <c r="H61" s="267"/>
      <c r="I61" s="267"/>
      <c r="J61" s="267"/>
      <c r="K61" s="267"/>
    </row>
    <row r="62" spans="1:11" s="268" customFormat="1" ht="24" customHeight="1" x14ac:dyDescent="0.45">
      <c r="A62" s="266"/>
      <c r="B62" s="22"/>
      <c r="C62" s="267"/>
      <c r="D62" s="267"/>
      <c r="E62" s="267"/>
      <c r="F62" s="267"/>
      <c r="G62" s="267"/>
      <c r="H62" s="267"/>
      <c r="I62" s="267"/>
      <c r="J62" s="267"/>
      <c r="K62" s="267"/>
    </row>
    <row r="63" spans="1:11" s="268" customFormat="1" ht="24" customHeight="1" x14ac:dyDescent="0.45">
      <c r="A63" s="266"/>
      <c r="B63" s="22"/>
      <c r="C63" s="267"/>
      <c r="D63" s="267"/>
      <c r="E63" s="267"/>
      <c r="F63" s="267"/>
      <c r="G63" s="267"/>
      <c r="H63" s="267"/>
      <c r="I63" s="267"/>
      <c r="J63" s="267"/>
      <c r="K63" s="267"/>
    </row>
    <row r="64" spans="1:11" s="268" customFormat="1" ht="24" customHeight="1" x14ac:dyDescent="0.45">
      <c r="A64" s="266"/>
      <c r="B64" s="22"/>
      <c r="C64" s="267"/>
      <c r="D64" s="267"/>
      <c r="E64" s="267"/>
      <c r="F64" s="267"/>
      <c r="G64" s="267"/>
      <c r="H64" s="267"/>
      <c r="I64" s="267"/>
      <c r="J64" s="267"/>
      <c r="K64" s="267"/>
    </row>
    <row r="65" spans="1:11" s="268" customFormat="1" ht="24" customHeight="1" x14ac:dyDescent="0.45">
      <c r="A65" s="266"/>
      <c r="B65" s="22"/>
      <c r="C65" s="267"/>
      <c r="D65" s="267"/>
      <c r="E65" s="267"/>
      <c r="F65" s="267"/>
      <c r="G65" s="267"/>
      <c r="H65" s="267"/>
      <c r="I65" s="267"/>
      <c r="J65" s="267"/>
      <c r="K65" s="267"/>
    </row>
    <row r="66" spans="1:11" s="268" customFormat="1" ht="24" customHeight="1" x14ac:dyDescent="0.45">
      <c r="A66" s="266"/>
      <c r="B66" s="22"/>
      <c r="C66" s="267"/>
      <c r="D66" s="267"/>
      <c r="E66" s="267"/>
      <c r="F66" s="267"/>
      <c r="G66" s="267"/>
      <c r="H66" s="267"/>
      <c r="I66" s="267"/>
      <c r="J66" s="267"/>
      <c r="K66" s="267"/>
    </row>
    <row r="67" spans="1:11" s="268" customFormat="1" ht="24" customHeight="1" x14ac:dyDescent="0.45">
      <c r="A67" s="266"/>
      <c r="B67" s="22"/>
      <c r="C67" s="267"/>
      <c r="D67" s="267"/>
      <c r="E67" s="267"/>
      <c r="F67" s="267"/>
      <c r="G67" s="267"/>
      <c r="H67" s="267"/>
      <c r="I67" s="267"/>
      <c r="J67" s="267"/>
      <c r="K67" s="267"/>
    </row>
    <row r="68" spans="1:11" s="268" customFormat="1" ht="24" customHeight="1" x14ac:dyDescent="0.45">
      <c r="A68" s="266"/>
      <c r="B68" s="22"/>
      <c r="C68" s="267"/>
      <c r="D68" s="267"/>
      <c r="E68" s="267"/>
      <c r="F68" s="267"/>
      <c r="G68" s="267"/>
      <c r="H68" s="267"/>
      <c r="I68" s="267"/>
      <c r="J68" s="267"/>
      <c r="K68" s="267"/>
    </row>
    <row r="69" spans="1:11" s="268" customFormat="1" ht="24" customHeight="1" x14ac:dyDescent="0.45">
      <c r="A69" s="266"/>
      <c r="B69" s="22"/>
      <c r="C69" s="267"/>
      <c r="D69" s="267"/>
      <c r="E69" s="267"/>
      <c r="F69" s="267"/>
      <c r="G69" s="267"/>
      <c r="H69" s="267"/>
      <c r="I69" s="267"/>
      <c r="J69" s="267"/>
      <c r="K69" s="267"/>
    </row>
    <row r="70" spans="1:11" s="268" customFormat="1" ht="24" customHeight="1" x14ac:dyDescent="0.45">
      <c r="A70" s="266"/>
      <c r="B70" s="22"/>
      <c r="C70" s="267"/>
      <c r="D70" s="267"/>
      <c r="E70" s="267"/>
      <c r="F70" s="267"/>
      <c r="G70" s="267"/>
      <c r="H70" s="267"/>
      <c r="I70" s="267"/>
      <c r="J70" s="267"/>
      <c r="K70" s="267"/>
    </row>
    <row r="71" spans="1:11" s="268" customFormat="1" ht="24" customHeight="1" x14ac:dyDescent="0.45">
      <c r="A71" s="266"/>
      <c r="B71" s="22"/>
      <c r="C71" s="267"/>
      <c r="D71" s="267"/>
      <c r="E71" s="267"/>
      <c r="F71" s="267"/>
      <c r="G71" s="267"/>
      <c r="H71" s="267"/>
      <c r="I71" s="267"/>
      <c r="J71" s="267"/>
      <c r="K71" s="267"/>
    </row>
    <row r="72" spans="1:11" s="268" customFormat="1" ht="24" customHeight="1" x14ac:dyDescent="0.45">
      <c r="A72" s="266"/>
      <c r="B72" s="22"/>
      <c r="C72" s="267"/>
      <c r="D72" s="267"/>
      <c r="E72" s="267"/>
      <c r="F72" s="267"/>
      <c r="G72" s="267"/>
      <c r="H72" s="267"/>
      <c r="I72" s="267"/>
      <c r="J72" s="267"/>
      <c r="K72" s="267"/>
    </row>
    <row r="73" spans="1:11" s="268" customFormat="1" ht="24" customHeight="1" x14ac:dyDescent="0.45">
      <c r="A73" s="266"/>
      <c r="B73" s="22"/>
      <c r="C73" s="267"/>
      <c r="D73" s="267"/>
      <c r="E73" s="267"/>
      <c r="F73" s="267"/>
      <c r="G73" s="267"/>
      <c r="H73" s="267"/>
      <c r="I73" s="267"/>
      <c r="J73" s="267"/>
      <c r="K73" s="267"/>
    </row>
    <row r="74" spans="1:11" s="268" customFormat="1" ht="24" customHeight="1" x14ac:dyDescent="0.45">
      <c r="A74" s="266"/>
      <c r="B74" s="22"/>
      <c r="C74" s="267"/>
      <c r="D74" s="267"/>
      <c r="E74" s="267"/>
      <c r="F74" s="267"/>
      <c r="G74" s="267"/>
      <c r="H74" s="267"/>
      <c r="I74" s="267"/>
      <c r="J74" s="267"/>
      <c r="K74" s="267"/>
    </row>
    <row r="75" spans="1:11" s="268" customFormat="1" ht="24" customHeight="1" x14ac:dyDescent="0.45">
      <c r="A75" s="266"/>
      <c r="B75" s="22"/>
      <c r="C75" s="267"/>
      <c r="D75" s="267"/>
      <c r="E75" s="267"/>
      <c r="F75" s="267"/>
      <c r="G75" s="267"/>
      <c r="H75" s="267"/>
      <c r="I75" s="267"/>
      <c r="J75" s="267"/>
      <c r="K75" s="267"/>
    </row>
    <row r="76" spans="1:11" s="268" customFormat="1" ht="24" customHeight="1" x14ac:dyDescent="0.45">
      <c r="A76" s="266"/>
      <c r="B76" s="22"/>
      <c r="C76" s="267"/>
      <c r="D76" s="267"/>
      <c r="E76" s="267"/>
      <c r="F76" s="267"/>
      <c r="G76" s="267"/>
      <c r="H76" s="267"/>
      <c r="I76" s="267"/>
      <c r="J76" s="267"/>
      <c r="K76" s="267"/>
    </row>
    <row r="77" spans="1:11" s="268" customFormat="1" ht="24" customHeight="1" x14ac:dyDescent="0.45">
      <c r="A77" s="266"/>
      <c r="B77" s="22"/>
      <c r="C77" s="267"/>
      <c r="D77" s="267"/>
      <c r="E77" s="267"/>
      <c r="F77" s="267"/>
      <c r="G77" s="267"/>
      <c r="H77" s="267"/>
      <c r="I77" s="267"/>
      <c r="J77" s="267"/>
      <c r="K77" s="267"/>
    </row>
    <row r="78" spans="1:11" s="268" customFormat="1" ht="24" customHeight="1" x14ac:dyDescent="0.45">
      <c r="A78" s="266"/>
      <c r="B78" s="22"/>
      <c r="C78" s="267"/>
      <c r="D78" s="267"/>
      <c r="E78" s="267"/>
      <c r="F78" s="267"/>
      <c r="G78" s="267"/>
      <c r="H78" s="267"/>
      <c r="I78" s="267"/>
      <c r="J78" s="267"/>
      <c r="K78" s="267"/>
    </row>
    <row r="79" spans="1:11" s="268" customFormat="1" ht="24" customHeight="1" x14ac:dyDescent="0.45">
      <c r="A79" s="266"/>
      <c r="B79" s="22"/>
      <c r="C79" s="267"/>
      <c r="D79" s="267"/>
      <c r="E79" s="267"/>
      <c r="F79" s="267"/>
      <c r="G79" s="267"/>
      <c r="H79" s="267"/>
      <c r="I79" s="267"/>
      <c r="J79" s="267"/>
      <c r="K79" s="267"/>
    </row>
    <row r="80" spans="1:11" s="268" customFormat="1" ht="24" customHeight="1" x14ac:dyDescent="0.45">
      <c r="A80" s="266"/>
      <c r="B80" s="22"/>
      <c r="C80" s="267"/>
      <c r="D80" s="267"/>
      <c r="E80" s="267"/>
      <c r="F80" s="267"/>
      <c r="G80" s="267"/>
      <c r="H80" s="267"/>
      <c r="I80" s="267"/>
      <c r="J80" s="267"/>
      <c r="K80" s="267"/>
    </row>
    <row r="81" spans="1:11" s="268" customFormat="1" ht="24" customHeight="1" x14ac:dyDescent="0.45">
      <c r="A81" s="266"/>
      <c r="B81" s="22"/>
      <c r="C81" s="267"/>
      <c r="D81" s="267"/>
      <c r="E81" s="267"/>
      <c r="F81" s="267"/>
      <c r="G81" s="267"/>
      <c r="H81" s="267"/>
      <c r="I81" s="267"/>
      <c r="J81" s="267"/>
      <c r="K81" s="267"/>
    </row>
    <row r="82" spans="1:11" s="268" customFormat="1" ht="24" customHeight="1" x14ac:dyDescent="0.45">
      <c r="A82" s="266"/>
      <c r="B82" s="22"/>
      <c r="C82" s="267"/>
      <c r="D82" s="267"/>
      <c r="E82" s="267"/>
      <c r="F82" s="267"/>
      <c r="G82" s="267"/>
      <c r="H82" s="267"/>
      <c r="I82" s="267"/>
      <c r="J82" s="267"/>
      <c r="K82" s="267"/>
    </row>
    <row r="83" spans="1:11" s="268" customFormat="1" ht="24" customHeight="1" x14ac:dyDescent="0.45">
      <c r="A83" s="266"/>
      <c r="B83" s="22"/>
      <c r="C83" s="267"/>
      <c r="D83" s="267"/>
      <c r="E83" s="267"/>
      <c r="F83" s="267"/>
      <c r="G83" s="267"/>
      <c r="H83" s="267"/>
      <c r="I83" s="267"/>
      <c r="J83" s="267"/>
      <c r="K83" s="267"/>
    </row>
    <row r="84" spans="1:11" s="268" customFormat="1" ht="24" customHeight="1" x14ac:dyDescent="0.45">
      <c r="A84" s="266"/>
      <c r="B84" s="22"/>
      <c r="C84" s="267"/>
      <c r="D84" s="267"/>
      <c r="E84" s="267"/>
      <c r="F84" s="267"/>
      <c r="G84" s="267"/>
      <c r="H84" s="267"/>
      <c r="I84" s="267"/>
      <c r="J84" s="267"/>
      <c r="K84" s="267"/>
    </row>
    <row r="85" spans="1:11" s="268" customFormat="1" ht="24" customHeight="1" x14ac:dyDescent="0.45">
      <c r="A85" s="266"/>
      <c r="B85" s="22"/>
      <c r="C85" s="267"/>
      <c r="D85" s="267"/>
      <c r="E85" s="267"/>
      <c r="F85" s="267"/>
      <c r="G85" s="267"/>
      <c r="H85" s="267"/>
      <c r="I85" s="267"/>
      <c r="J85" s="267"/>
      <c r="K85" s="267"/>
    </row>
    <row r="86" spans="1:11" s="268" customFormat="1" ht="24" customHeight="1" x14ac:dyDescent="0.45">
      <c r="A86" s="266"/>
      <c r="B86" s="22"/>
      <c r="C86" s="267"/>
      <c r="D86" s="267"/>
      <c r="E86" s="267"/>
      <c r="F86" s="267"/>
      <c r="G86" s="267"/>
      <c r="H86" s="267"/>
      <c r="I86" s="267"/>
      <c r="J86" s="267"/>
      <c r="K86" s="267"/>
    </row>
    <row r="87" spans="1:11" s="268" customFormat="1" ht="24" customHeight="1" x14ac:dyDescent="0.45">
      <c r="A87" s="266"/>
      <c r="B87" s="22"/>
      <c r="C87" s="267"/>
      <c r="D87" s="267"/>
      <c r="E87" s="267"/>
      <c r="F87" s="267"/>
      <c r="G87" s="267"/>
      <c r="H87" s="267"/>
      <c r="I87" s="267"/>
      <c r="J87" s="267"/>
      <c r="K87" s="267"/>
    </row>
    <row r="88" spans="1:11" s="268" customFormat="1" ht="24" customHeight="1" x14ac:dyDescent="0.45">
      <c r="A88" s="266"/>
      <c r="B88" s="22"/>
      <c r="C88" s="267"/>
      <c r="D88" s="267"/>
      <c r="E88" s="267"/>
      <c r="F88" s="267"/>
      <c r="G88" s="267"/>
      <c r="H88" s="267"/>
      <c r="I88" s="267"/>
      <c r="J88" s="267"/>
      <c r="K88" s="267"/>
    </row>
    <row r="89" spans="1:11" s="268" customFormat="1" ht="24" customHeight="1" x14ac:dyDescent="0.45">
      <c r="A89" s="266"/>
      <c r="B89" s="22"/>
      <c r="C89" s="267"/>
      <c r="D89" s="267"/>
      <c r="E89" s="267"/>
      <c r="F89" s="267"/>
      <c r="G89" s="267"/>
      <c r="H89" s="267"/>
      <c r="I89" s="267"/>
      <c r="J89" s="267"/>
      <c r="K89" s="267"/>
    </row>
    <row r="90" spans="1:11" s="268" customFormat="1" ht="24" customHeight="1" x14ac:dyDescent="0.45">
      <c r="A90" s="266"/>
      <c r="B90" s="22"/>
      <c r="C90" s="267"/>
      <c r="D90" s="267"/>
      <c r="E90" s="267"/>
      <c r="F90" s="267"/>
      <c r="G90" s="267"/>
      <c r="H90" s="267"/>
      <c r="I90" s="267"/>
      <c r="J90" s="267"/>
      <c r="K90" s="267"/>
    </row>
    <row r="91" spans="1:11" s="268" customFormat="1" ht="24" customHeight="1" x14ac:dyDescent="0.45">
      <c r="A91" s="266"/>
      <c r="B91" s="22"/>
      <c r="C91" s="267"/>
      <c r="D91" s="267"/>
      <c r="E91" s="267"/>
      <c r="F91" s="267"/>
      <c r="G91" s="267"/>
      <c r="H91" s="267"/>
      <c r="I91" s="267"/>
      <c r="J91" s="267"/>
      <c r="K91" s="267"/>
    </row>
    <row r="92" spans="1:11" s="268" customFormat="1" ht="24" customHeight="1" x14ac:dyDescent="0.45">
      <c r="A92" s="266"/>
      <c r="B92" s="22"/>
      <c r="C92" s="267"/>
      <c r="D92" s="267"/>
      <c r="E92" s="267"/>
      <c r="F92" s="267"/>
      <c r="G92" s="267"/>
      <c r="H92" s="267"/>
      <c r="I92" s="267"/>
      <c r="J92" s="267"/>
      <c r="K92" s="267"/>
    </row>
    <row r="93" spans="1:11" s="268" customFormat="1" ht="24" customHeight="1" x14ac:dyDescent="0.45">
      <c r="A93" s="266"/>
      <c r="B93" s="22"/>
      <c r="C93" s="267"/>
      <c r="D93" s="267"/>
      <c r="E93" s="267"/>
      <c r="F93" s="267"/>
      <c r="G93" s="267"/>
      <c r="H93" s="267"/>
      <c r="I93" s="267"/>
      <c r="J93" s="267"/>
      <c r="K93" s="267"/>
    </row>
    <row r="94" spans="1:11" s="268" customFormat="1" ht="24" customHeight="1" x14ac:dyDescent="0.45">
      <c r="A94" s="266"/>
      <c r="B94" s="22"/>
      <c r="C94" s="267"/>
      <c r="D94" s="267"/>
      <c r="E94" s="267"/>
      <c r="F94" s="267"/>
      <c r="G94" s="267"/>
      <c r="H94" s="267"/>
      <c r="I94" s="267"/>
      <c r="J94" s="267"/>
      <c r="K94" s="267"/>
    </row>
    <row r="95" spans="1:11" s="268" customFormat="1" ht="24" customHeight="1" x14ac:dyDescent="0.45">
      <c r="A95" s="266"/>
      <c r="B95" s="22"/>
      <c r="C95" s="267"/>
      <c r="D95" s="267"/>
      <c r="E95" s="267"/>
      <c r="F95" s="267"/>
      <c r="G95" s="267"/>
      <c r="H95" s="267"/>
      <c r="I95" s="267"/>
      <c r="J95" s="267"/>
      <c r="K95" s="267"/>
    </row>
    <row r="96" spans="1:11" s="268" customFormat="1" ht="24" customHeight="1" x14ac:dyDescent="0.45">
      <c r="A96" s="266"/>
      <c r="B96" s="22"/>
      <c r="C96" s="267"/>
      <c r="D96" s="267"/>
      <c r="E96" s="267"/>
      <c r="F96" s="267"/>
      <c r="G96" s="267"/>
      <c r="H96" s="267"/>
      <c r="I96" s="267"/>
      <c r="J96" s="267"/>
      <c r="K96" s="267"/>
    </row>
    <row r="97" spans="1:11" s="268" customFormat="1" ht="24" customHeight="1" x14ac:dyDescent="0.45">
      <c r="A97" s="266"/>
      <c r="B97" s="22"/>
      <c r="C97" s="267"/>
      <c r="D97" s="267"/>
      <c r="E97" s="267"/>
      <c r="F97" s="267"/>
      <c r="G97" s="267"/>
      <c r="H97" s="267"/>
      <c r="I97" s="267"/>
      <c r="J97" s="267"/>
      <c r="K97" s="267"/>
    </row>
    <row r="98" spans="1:11" s="268" customFormat="1" ht="24" customHeight="1" x14ac:dyDescent="0.45">
      <c r="A98" s="266"/>
      <c r="B98" s="22"/>
      <c r="C98" s="267"/>
      <c r="D98" s="267"/>
      <c r="E98" s="267"/>
      <c r="F98" s="267"/>
      <c r="G98" s="267"/>
      <c r="H98" s="267"/>
      <c r="I98" s="267"/>
      <c r="J98" s="267"/>
      <c r="K98" s="267"/>
    </row>
    <row r="99" spans="1:11" s="268" customFormat="1" ht="24" customHeight="1" x14ac:dyDescent="0.45">
      <c r="A99" s="266"/>
      <c r="B99" s="22"/>
      <c r="C99" s="267"/>
      <c r="D99" s="267"/>
      <c r="E99" s="267"/>
      <c r="F99" s="267"/>
      <c r="G99" s="267"/>
      <c r="H99" s="267"/>
      <c r="I99" s="267"/>
      <c r="J99" s="267"/>
      <c r="K99" s="267"/>
    </row>
    <row r="100" spans="1:11" s="268" customFormat="1" ht="24" customHeight="1" x14ac:dyDescent="0.45">
      <c r="A100" s="266"/>
      <c r="B100" s="22"/>
      <c r="C100" s="267"/>
      <c r="D100" s="267"/>
      <c r="E100" s="267"/>
      <c r="F100" s="267"/>
      <c r="G100" s="267"/>
      <c r="H100" s="267"/>
      <c r="I100" s="267"/>
      <c r="J100" s="267"/>
      <c r="K100" s="267"/>
    </row>
    <row r="101" spans="1:11" s="268" customFormat="1" ht="24" customHeight="1" x14ac:dyDescent="0.45">
      <c r="A101" s="266"/>
      <c r="B101" s="22"/>
      <c r="C101" s="267"/>
      <c r="D101" s="267"/>
      <c r="E101" s="267"/>
      <c r="F101" s="267"/>
      <c r="G101" s="267"/>
      <c r="H101" s="267"/>
      <c r="I101" s="267"/>
      <c r="J101" s="267"/>
      <c r="K101" s="267"/>
    </row>
    <row r="102" spans="1:11" s="268" customFormat="1" ht="24" customHeight="1" x14ac:dyDescent="0.45">
      <c r="A102" s="266"/>
      <c r="B102" s="22"/>
      <c r="C102" s="267"/>
      <c r="D102" s="267"/>
      <c r="E102" s="267"/>
      <c r="F102" s="267"/>
      <c r="G102" s="267"/>
      <c r="H102" s="267"/>
      <c r="I102" s="267"/>
      <c r="J102" s="267"/>
      <c r="K102" s="267"/>
    </row>
    <row r="103" spans="1:11" s="268" customFormat="1" ht="24" customHeight="1" x14ac:dyDescent="0.45">
      <c r="A103" s="266"/>
      <c r="B103" s="22"/>
      <c r="C103" s="267"/>
      <c r="D103" s="267"/>
      <c r="E103" s="267"/>
      <c r="F103" s="267"/>
      <c r="G103" s="267"/>
      <c r="H103" s="267"/>
      <c r="I103" s="267"/>
      <c r="J103" s="267"/>
      <c r="K103" s="267"/>
    </row>
    <row r="104" spans="1:11" s="268" customFormat="1" ht="24" customHeight="1" x14ac:dyDescent="0.45">
      <c r="A104" s="266"/>
      <c r="B104" s="22"/>
      <c r="C104" s="267"/>
      <c r="D104" s="267"/>
      <c r="E104" s="267"/>
      <c r="F104" s="267"/>
      <c r="G104" s="267"/>
      <c r="H104" s="267"/>
      <c r="I104" s="267"/>
      <c r="J104" s="267"/>
      <c r="K104" s="267"/>
    </row>
    <row r="105" spans="1:11" s="268" customFormat="1" ht="24" customHeight="1" x14ac:dyDescent="0.45">
      <c r="A105" s="266"/>
      <c r="B105" s="22"/>
      <c r="C105" s="267"/>
      <c r="D105" s="267"/>
      <c r="E105" s="267"/>
      <c r="F105" s="267"/>
      <c r="G105" s="267"/>
      <c r="H105" s="267"/>
      <c r="I105" s="267"/>
      <c r="J105" s="267"/>
      <c r="K105" s="267"/>
    </row>
    <row r="106" spans="1:11" s="268" customFormat="1" ht="24" customHeight="1" x14ac:dyDescent="0.45">
      <c r="A106" s="266"/>
      <c r="B106" s="22"/>
      <c r="C106" s="267"/>
      <c r="D106" s="267"/>
      <c r="E106" s="267"/>
      <c r="F106" s="267"/>
      <c r="G106" s="267"/>
      <c r="H106" s="267"/>
      <c r="I106" s="267"/>
      <c r="J106" s="267"/>
      <c r="K106" s="267"/>
    </row>
    <row r="107" spans="1:11" s="268" customFormat="1" ht="24" customHeight="1" x14ac:dyDescent="0.45">
      <c r="A107" s="266"/>
      <c r="B107" s="22"/>
      <c r="C107" s="267"/>
      <c r="D107" s="267"/>
      <c r="E107" s="267"/>
      <c r="F107" s="267"/>
      <c r="G107" s="267"/>
      <c r="H107" s="267"/>
      <c r="I107" s="267"/>
      <c r="J107" s="267"/>
      <c r="K107" s="267"/>
    </row>
    <row r="108" spans="1:11" s="268" customFormat="1" ht="24" customHeight="1" x14ac:dyDescent="0.45">
      <c r="A108" s="266"/>
      <c r="B108" s="22"/>
      <c r="C108" s="267"/>
      <c r="D108" s="267"/>
      <c r="E108" s="267"/>
      <c r="F108" s="267"/>
      <c r="G108" s="267"/>
      <c r="H108" s="267"/>
      <c r="I108" s="267"/>
      <c r="J108" s="267"/>
      <c r="K108" s="267"/>
    </row>
    <row r="109" spans="1:11" s="268" customFormat="1" ht="24" customHeight="1" x14ac:dyDescent="0.45">
      <c r="A109" s="266"/>
      <c r="B109" s="22"/>
      <c r="C109" s="267"/>
      <c r="D109" s="267"/>
      <c r="E109" s="267"/>
      <c r="F109" s="267"/>
      <c r="G109" s="267"/>
      <c r="H109" s="267"/>
      <c r="I109" s="267"/>
      <c r="J109" s="267"/>
      <c r="K109" s="267"/>
    </row>
    <row r="110" spans="1:11" s="268" customFormat="1" ht="24" customHeight="1" x14ac:dyDescent="0.45">
      <c r="A110" s="266"/>
      <c r="B110" s="22"/>
      <c r="C110" s="267"/>
      <c r="D110" s="267"/>
      <c r="E110" s="267"/>
      <c r="F110" s="267"/>
      <c r="G110" s="267"/>
      <c r="H110" s="267"/>
      <c r="I110" s="267"/>
      <c r="J110" s="267"/>
      <c r="K110" s="267"/>
    </row>
    <row r="111" spans="1:11" s="268" customFormat="1" ht="24" customHeight="1" x14ac:dyDescent="0.45">
      <c r="A111" s="266"/>
      <c r="B111" s="22"/>
      <c r="C111" s="267"/>
      <c r="D111" s="267"/>
      <c r="E111" s="267"/>
      <c r="F111" s="267"/>
      <c r="G111" s="267"/>
      <c r="H111" s="267"/>
      <c r="I111" s="267"/>
      <c r="J111" s="267"/>
      <c r="K111" s="267"/>
    </row>
    <row r="112" spans="1:11" s="268" customFormat="1" ht="24" customHeight="1" x14ac:dyDescent="0.45">
      <c r="A112" s="266"/>
      <c r="B112" s="22"/>
      <c r="C112" s="267"/>
      <c r="D112" s="267"/>
      <c r="E112" s="267"/>
      <c r="F112" s="267"/>
      <c r="G112" s="267"/>
      <c r="H112" s="267"/>
      <c r="I112" s="267"/>
      <c r="J112" s="267"/>
      <c r="K112" s="267"/>
    </row>
    <row r="113" spans="1:11" s="268" customFormat="1" ht="24" customHeight="1" x14ac:dyDescent="0.45">
      <c r="A113" s="266"/>
      <c r="B113" s="22"/>
      <c r="C113" s="267"/>
      <c r="D113" s="267"/>
      <c r="E113" s="267"/>
      <c r="F113" s="267"/>
      <c r="G113" s="267"/>
      <c r="H113" s="267"/>
      <c r="I113" s="267"/>
      <c r="J113" s="267"/>
      <c r="K113" s="267"/>
    </row>
    <row r="114" spans="1:11" s="268" customFormat="1" ht="24" customHeight="1" x14ac:dyDescent="0.45">
      <c r="A114" s="266"/>
      <c r="B114" s="22"/>
      <c r="C114" s="267"/>
      <c r="D114" s="267"/>
      <c r="E114" s="267"/>
      <c r="F114" s="267"/>
      <c r="G114" s="267"/>
      <c r="H114" s="267"/>
      <c r="I114" s="267"/>
      <c r="J114" s="267"/>
      <c r="K114" s="267"/>
    </row>
    <row r="115" spans="1:11" s="268" customFormat="1" ht="24" customHeight="1" x14ac:dyDescent="0.45">
      <c r="A115" s="266"/>
      <c r="B115" s="22"/>
      <c r="C115" s="267"/>
      <c r="D115" s="267"/>
      <c r="E115" s="267"/>
      <c r="F115" s="267"/>
      <c r="G115" s="267"/>
      <c r="H115" s="267"/>
      <c r="I115" s="267"/>
      <c r="J115" s="267"/>
      <c r="K115" s="267"/>
    </row>
    <row r="116" spans="1:11" s="268" customFormat="1" ht="24" customHeight="1" x14ac:dyDescent="0.45">
      <c r="A116" s="266"/>
      <c r="B116" s="22"/>
      <c r="C116" s="267"/>
      <c r="D116" s="267"/>
      <c r="E116" s="267"/>
      <c r="F116" s="267"/>
      <c r="G116" s="267"/>
      <c r="H116" s="267"/>
      <c r="I116" s="267"/>
      <c r="J116" s="267"/>
      <c r="K116" s="267"/>
    </row>
    <row r="117" spans="1:11" s="268" customFormat="1" ht="24" customHeight="1" x14ac:dyDescent="0.45">
      <c r="A117" s="266"/>
      <c r="B117" s="22"/>
      <c r="C117" s="267"/>
      <c r="D117" s="267"/>
      <c r="E117" s="267"/>
      <c r="F117" s="267"/>
      <c r="G117" s="267"/>
      <c r="H117" s="267"/>
      <c r="I117" s="267"/>
      <c r="J117" s="267"/>
      <c r="K117" s="267"/>
    </row>
    <row r="118" spans="1:11" s="268" customFormat="1" ht="24" customHeight="1" x14ac:dyDescent="0.45">
      <c r="A118" s="266"/>
      <c r="B118" s="22"/>
      <c r="C118" s="267"/>
      <c r="D118" s="267"/>
      <c r="E118" s="267"/>
      <c r="F118" s="267"/>
      <c r="G118" s="267"/>
      <c r="H118" s="267"/>
      <c r="I118" s="267"/>
      <c r="J118" s="267"/>
      <c r="K118" s="267"/>
    </row>
    <row r="119" spans="1:11" s="268" customFormat="1" ht="24" customHeight="1" x14ac:dyDescent="0.45">
      <c r="A119" s="266"/>
      <c r="B119" s="22"/>
      <c r="C119" s="267"/>
      <c r="D119" s="267"/>
      <c r="E119" s="267"/>
      <c r="F119" s="267"/>
      <c r="G119" s="267"/>
      <c r="H119" s="267"/>
      <c r="I119" s="267"/>
      <c r="J119" s="267"/>
      <c r="K119" s="267"/>
    </row>
    <row r="120" spans="1:11" s="268" customFormat="1" ht="24" customHeight="1" x14ac:dyDescent="0.45">
      <c r="A120" s="266"/>
      <c r="B120" s="22"/>
      <c r="C120" s="267"/>
      <c r="D120" s="267"/>
      <c r="E120" s="267"/>
      <c r="F120" s="267"/>
      <c r="G120" s="267"/>
      <c r="H120" s="267"/>
      <c r="I120" s="267"/>
      <c r="J120" s="267"/>
      <c r="K120" s="267"/>
    </row>
    <row r="121" spans="1:11" s="268" customFormat="1" ht="24" customHeight="1" x14ac:dyDescent="0.45">
      <c r="A121" s="266"/>
      <c r="B121" s="22"/>
      <c r="C121" s="267"/>
      <c r="D121" s="267"/>
      <c r="E121" s="267"/>
      <c r="F121" s="267"/>
      <c r="G121" s="267"/>
      <c r="H121" s="267"/>
      <c r="I121" s="267"/>
      <c r="J121" s="267"/>
      <c r="K121" s="267"/>
    </row>
    <row r="122" spans="1:11" s="268" customFormat="1" ht="24" customHeight="1" x14ac:dyDescent="0.45">
      <c r="A122" s="266"/>
      <c r="B122" s="22"/>
      <c r="C122" s="267"/>
      <c r="D122" s="267"/>
      <c r="E122" s="267"/>
      <c r="F122" s="267"/>
      <c r="G122" s="267"/>
      <c r="H122" s="267"/>
      <c r="I122" s="267"/>
      <c r="J122" s="267"/>
      <c r="K122" s="267"/>
    </row>
    <row r="123" spans="1:11" s="268" customFormat="1" ht="24" customHeight="1" x14ac:dyDescent="0.45">
      <c r="A123" s="266"/>
      <c r="B123" s="22"/>
      <c r="C123" s="267"/>
      <c r="D123" s="267"/>
      <c r="E123" s="267"/>
      <c r="F123" s="267"/>
      <c r="G123" s="267"/>
      <c r="H123" s="267"/>
      <c r="I123" s="267"/>
      <c r="J123" s="267"/>
      <c r="K123" s="267"/>
    </row>
    <row r="124" spans="1:11" s="268" customFormat="1" ht="24" customHeight="1" x14ac:dyDescent="0.45">
      <c r="A124" s="266"/>
      <c r="B124" s="22"/>
      <c r="C124" s="267"/>
      <c r="D124" s="267"/>
      <c r="E124" s="267"/>
      <c r="F124" s="267"/>
      <c r="G124" s="267"/>
      <c r="H124" s="267"/>
      <c r="I124" s="267"/>
      <c r="J124" s="267"/>
      <c r="K124" s="267"/>
    </row>
    <row r="125" spans="1:11" s="268" customFormat="1" ht="24" customHeight="1" x14ac:dyDescent="0.45">
      <c r="A125" s="266"/>
      <c r="B125" s="22"/>
      <c r="C125" s="267"/>
      <c r="D125" s="267"/>
      <c r="E125" s="267"/>
      <c r="F125" s="267"/>
      <c r="G125" s="267"/>
      <c r="H125" s="267"/>
      <c r="I125" s="267"/>
      <c r="J125" s="267"/>
      <c r="K125" s="267"/>
    </row>
    <row r="126" spans="1:11" s="268" customFormat="1" ht="24" customHeight="1" x14ac:dyDescent="0.45">
      <c r="A126" s="266"/>
      <c r="B126" s="22"/>
      <c r="C126" s="267"/>
      <c r="D126" s="267"/>
      <c r="E126" s="267"/>
      <c r="F126" s="267"/>
      <c r="G126" s="267"/>
      <c r="H126" s="267"/>
      <c r="I126" s="267"/>
      <c r="J126" s="267"/>
      <c r="K126" s="267"/>
    </row>
    <row r="127" spans="1:11" s="268" customFormat="1" ht="24" customHeight="1" x14ac:dyDescent="0.45">
      <c r="A127" s="266"/>
      <c r="B127" s="22"/>
      <c r="C127" s="267"/>
      <c r="D127" s="267"/>
      <c r="E127" s="267"/>
      <c r="F127" s="267"/>
      <c r="G127" s="267"/>
      <c r="H127" s="267"/>
      <c r="I127" s="267"/>
      <c r="J127" s="267"/>
      <c r="K127" s="267"/>
    </row>
    <row r="128" spans="1:11" s="268" customFormat="1" ht="24" customHeight="1" x14ac:dyDescent="0.45">
      <c r="A128" s="266"/>
      <c r="B128" s="22"/>
      <c r="C128" s="267"/>
      <c r="D128" s="267"/>
      <c r="E128" s="267"/>
      <c r="F128" s="267"/>
      <c r="G128" s="267"/>
      <c r="H128" s="267"/>
      <c r="I128" s="267"/>
      <c r="J128" s="267"/>
      <c r="K128" s="267"/>
    </row>
    <row r="129" spans="1:11" s="268" customFormat="1" ht="24" customHeight="1" x14ac:dyDescent="0.45">
      <c r="A129" s="266"/>
      <c r="B129" s="22"/>
      <c r="C129" s="267"/>
      <c r="D129" s="267"/>
      <c r="E129" s="267"/>
      <c r="F129" s="267"/>
      <c r="G129" s="267"/>
      <c r="H129" s="267"/>
      <c r="I129" s="267"/>
      <c r="J129" s="267"/>
      <c r="K129" s="267"/>
    </row>
    <row r="130" spans="1:11" s="268" customFormat="1" ht="24" customHeight="1" x14ac:dyDescent="0.45">
      <c r="A130" s="266"/>
      <c r="B130" s="22"/>
      <c r="C130" s="267"/>
      <c r="D130" s="267"/>
      <c r="E130" s="267"/>
      <c r="F130" s="267"/>
      <c r="G130" s="267"/>
      <c r="H130" s="267"/>
      <c r="I130" s="267"/>
      <c r="J130" s="267"/>
      <c r="K130" s="267"/>
    </row>
    <row r="131" spans="1:11" s="268" customFormat="1" ht="24" customHeight="1" x14ac:dyDescent="0.45">
      <c r="A131" s="266"/>
      <c r="B131" s="22"/>
      <c r="C131" s="267"/>
      <c r="D131" s="267"/>
      <c r="E131" s="267"/>
      <c r="F131" s="267"/>
      <c r="G131" s="267"/>
      <c r="H131" s="267"/>
      <c r="I131" s="267"/>
      <c r="J131" s="267"/>
      <c r="K131" s="267"/>
    </row>
    <row r="132" spans="1:11" s="268" customFormat="1" ht="24" customHeight="1" x14ac:dyDescent="0.45">
      <c r="A132" s="266"/>
      <c r="B132" s="22"/>
      <c r="C132" s="267"/>
      <c r="D132" s="267"/>
      <c r="E132" s="267"/>
      <c r="F132" s="267"/>
      <c r="G132" s="267"/>
      <c r="H132" s="267"/>
      <c r="I132" s="267"/>
      <c r="J132" s="267"/>
      <c r="K132" s="267"/>
    </row>
    <row r="133" spans="1:11" s="268" customFormat="1" ht="24" customHeight="1" x14ac:dyDescent="0.45">
      <c r="A133" s="266"/>
      <c r="B133" s="22"/>
      <c r="C133" s="267"/>
      <c r="D133" s="267"/>
      <c r="E133" s="267"/>
      <c r="F133" s="267"/>
      <c r="G133" s="267"/>
      <c r="H133" s="267"/>
      <c r="I133" s="267"/>
      <c r="J133" s="267"/>
      <c r="K133" s="267"/>
    </row>
    <row r="134" spans="1:11" s="268" customFormat="1" ht="24" customHeight="1" x14ac:dyDescent="0.45">
      <c r="A134" s="266"/>
      <c r="B134" s="22"/>
      <c r="C134" s="267"/>
      <c r="D134" s="267"/>
      <c r="E134" s="267"/>
      <c r="F134" s="267"/>
      <c r="G134" s="267"/>
      <c r="H134" s="267"/>
      <c r="I134" s="267"/>
      <c r="J134" s="267"/>
      <c r="K134" s="267"/>
    </row>
    <row r="135" spans="1:11" s="268" customFormat="1" ht="24" customHeight="1" x14ac:dyDescent="0.45">
      <c r="A135" s="266"/>
      <c r="B135" s="22"/>
      <c r="C135" s="267"/>
      <c r="D135" s="267"/>
      <c r="E135" s="267"/>
      <c r="F135" s="267"/>
      <c r="G135" s="267"/>
      <c r="H135" s="267"/>
      <c r="I135" s="267"/>
      <c r="J135" s="267"/>
      <c r="K135" s="267"/>
    </row>
    <row r="136" spans="1:11" s="268" customFormat="1" ht="24" customHeight="1" x14ac:dyDescent="0.45">
      <c r="A136" s="266"/>
      <c r="B136" s="22"/>
      <c r="C136" s="267"/>
      <c r="D136" s="267"/>
      <c r="E136" s="267"/>
      <c r="F136" s="267"/>
      <c r="G136" s="267"/>
      <c r="H136" s="267"/>
      <c r="I136" s="267"/>
      <c r="J136" s="267"/>
      <c r="K136" s="267"/>
    </row>
    <row r="137" spans="1:11" s="268" customFormat="1" ht="24" customHeight="1" x14ac:dyDescent="0.45">
      <c r="A137" s="266"/>
      <c r="B137" s="22"/>
      <c r="C137" s="267"/>
      <c r="D137" s="267"/>
      <c r="E137" s="267"/>
      <c r="F137" s="267"/>
      <c r="G137" s="267"/>
      <c r="H137" s="267"/>
      <c r="I137" s="267"/>
      <c r="J137" s="267"/>
      <c r="K137" s="267"/>
    </row>
    <row r="138" spans="1:11" s="268" customFormat="1" ht="24" customHeight="1" x14ac:dyDescent="0.45">
      <c r="A138" s="266"/>
      <c r="B138" s="22"/>
      <c r="C138" s="267"/>
      <c r="D138" s="267"/>
      <c r="E138" s="267"/>
      <c r="F138" s="267"/>
      <c r="G138" s="267"/>
      <c r="H138" s="267"/>
      <c r="I138" s="267"/>
      <c r="J138" s="267"/>
      <c r="K138" s="267"/>
    </row>
    <row r="139" spans="1:11" s="268" customFormat="1" ht="24" customHeight="1" x14ac:dyDescent="0.45">
      <c r="A139" s="266"/>
      <c r="B139" s="22"/>
      <c r="C139" s="267"/>
      <c r="D139" s="267"/>
      <c r="E139" s="267"/>
      <c r="F139" s="267"/>
      <c r="G139" s="267"/>
      <c r="H139" s="267"/>
      <c r="I139" s="267"/>
      <c r="J139" s="267"/>
      <c r="K139" s="267"/>
    </row>
    <row r="140" spans="1:11" s="268" customFormat="1" ht="24" customHeight="1" x14ac:dyDescent="0.45">
      <c r="A140" s="266"/>
      <c r="B140" s="22"/>
      <c r="C140" s="267"/>
      <c r="D140" s="267"/>
      <c r="E140" s="267"/>
      <c r="F140" s="267"/>
      <c r="G140" s="267"/>
      <c r="H140" s="267"/>
      <c r="I140" s="267"/>
      <c r="J140" s="267"/>
      <c r="K140" s="267"/>
    </row>
    <row r="141" spans="1:11" s="268" customFormat="1" ht="24" customHeight="1" x14ac:dyDescent="0.45">
      <c r="A141" s="266"/>
      <c r="B141" s="22"/>
      <c r="C141" s="267"/>
      <c r="D141" s="267"/>
      <c r="E141" s="267"/>
      <c r="F141" s="267"/>
      <c r="G141" s="267"/>
      <c r="H141" s="267"/>
      <c r="I141" s="267"/>
      <c r="J141" s="267"/>
      <c r="K141" s="267"/>
    </row>
    <row r="142" spans="1:11" s="268" customFormat="1" ht="24" customHeight="1" x14ac:dyDescent="0.45">
      <c r="A142" s="266"/>
      <c r="B142" s="22"/>
      <c r="C142" s="267"/>
      <c r="D142" s="267"/>
      <c r="E142" s="267"/>
      <c r="F142" s="267"/>
      <c r="G142" s="267"/>
      <c r="H142" s="267"/>
      <c r="I142" s="267"/>
      <c r="J142" s="267"/>
      <c r="K142" s="267"/>
    </row>
    <row r="143" spans="1:11" s="268" customFormat="1" ht="24" customHeight="1" x14ac:dyDescent="0.45">
      <c r="A143" s="266"/>
      <c r="B143" s="22"/>
      <c r="C143" s="267"/>
      <c r="D143" s="267"/>
      <c r="E143" s="267"/>
      <c r="F143" s="267"/>
      <c r="G143" s="267"/>
      <c r="H143" s="267"/>
      <c r="I143" s="267"/>
      <c r="J143" s="267"/>
      <c r="K143" s="267"/>
    </row>
    <row r="144" spans="1:11" s="268" customFormat="1" ht="24" customHeight="1" x14ac:dyDescent="0.45">
      <c r="A144" s="266"/>
      <c r="B144" s="22"/>
      <c r="C144" s="267"/>
      <c r="D144" s="267"/>
      <c r="E144" s="267"/>
      <c r="F144" s="267"/>
      <c r="G144" s="267"/>
      <c r="H144" s="267"/>
      <c r="I144" s="267"/>
      <c r="J144" s="267"/>
      <c r="K144" s="267"/>
    </row>
    <row r="145" spans="1:11" s="268" customFormat="1" ht="24" customHeight="1" x14ac:dyDescent="0.45">
      <c r="A145" s="266"/>
      <c r="B145" s="22"/>
      <c r="C145" s="267"/>
      <c r="D145" s="267"/>
      <c r="E145" s="267"/>
      <c r="F145" s="267"/>
      <c r="G145" s="267"/>
      <c r="H145" s="267"/>
      <c r="I145" s="267"/>
      <c r="J145" s="267"/>
      <c r="K145" s="267"/>
    </row>
    <row r="146" spans="1:11" s="268" customFormat="1" ht="24" customHeight="1" x14ac:dyDescent="0.45">
      <c r="A146" s="266"/>
      <c r="B146" s="22"/>
      <c r="C146" s="267"/>
      <c r="D146" s="267"/>
      <c r="E146" s="267"/>
      <c r="F146" s="267"/>
      <c r="G146" s="267"/>
      <c r="H146" s="267"/>
      <c r="I146" s="267"/>
      <c r="J146" s="267"/>
      <c r="K146" s="267"/>
    </row>
    <row r="147" spans="1:11" s="268" customFormat="1" ht="24" customHeight="1" x14ac:dyDescent="0.45">
      <c r="A147" s="266"/>
      <c r="B147" s="22"/>
      <c r="C147" s="267"/>
      <c r="D147" s="267"/>
      <c r="E147" s="267"/>
      <c r="F147" s="267"/>
      <c r="G147" s="267"/>
      <c r="H147" s="267"/>
      <c r="I147" s="267"/>
      <c r="J147" s="267"/>
      <c r="K147" s="267"/>
    </row>
    <row r="148" spans="1:11" s="268" customFormat="1" ht="24" customHeight="1" x14ac:dyDescent="0.45">
      <c r="A148" s="266"/>
      <c r="B148" s="22"/>
      <c r="C148" s="267"/>
      <c r="D148" s="267"/>
      <c r="E148" s="267"/>
      <c r="F148" s="267"/>
      <c r="G148" s="267"/>
      <c r="H148" s="267"/>
      <c r="I148" s="267"/>
      <c r="J148" s="267"/>
      <c r="K148" s="267"/>
    </row>
    <row r="149" spans="1:11" s="268" customFormat="1" ht="24" customHeight="1" x14ac:dyDescent="0.45">
      <c r="A149" s="266"/>
      <c r="B149" s="22"/>
      <c r="C149" s="267"/>
      <c r="D149" s="267"/>
      <c r="E149" s="267"/>
      <c r="F149" s="267"/>
      <c r="G149" s="267"/>
      <c r="H149" s="267"/>
      <c r="I149" s="267"/>
      <c r="J149" s="267"/>
      <c r="K149" s="267"/>
    </row>
    <row r="150" spans="1:11" s="268" customFormat="1" ht="24" customHeight="1" x14ac:dyDescent="0.45">
      <c r="A150" s="266"/>
      <c r="B150" s="22"/>
      <c r="C150" s="267"/>
      <c r="D150" s="267"/>
      <c r="E150" s="267"/>
      <c r="F150" s="267"/>
      <c r="G150" s="267"/>
      <c r="H150" s="267"/>
      <c r="I150" s="267"/>
      <c r="J150" s="267"/>
      <c r="K150" s="267"/>
    </row>
    <row r="151" spans="1:11" s="268" customFormat="1" ht="24" customHeight="1" x14ac:dyDescent="0.45">
      <c r="A151" s="266"/>
      <c r="B151" s="22"/>
      <c r="C151" s="267"/>
      <c r="D151" s="267"/>
      <c r="E151" s="267"/>
      <c r="F151" s="267"/>
      <c r="G151" s="267"/>
      <c r="H151" s="267"/>
      <c r="I151" s="267"/>
      <c r="J151" s="267"/>
      <c r="K151" s="267"/>
    </row>
    <row r="152" spans="1:11" s="268" customFormat="1" ht="24" customHeight="1" x14ac:dyDescent="0.45">
      <c r="A152" s="266"/>
      <c r="B152" s="22"/>
      <c r="C152" s="267"/>
      <c r="D152" s="267"/>
      <c r="E152" s="267"/>
      <c r="F152" s="267"/>
      <c r="G152" s="267"/>
      <c r="H152" s="267"/>
      <c r="I152" s="267"/>
      <c r="J152" s="267"/>
      <c r="K152" s="267"/>
    </row>
    <row r="153" spans="1:11" s="268" customFormat="1" ht="24" customHeight="1" x14ac:dyDescent="0.45">
      <c r="A153" s="266"/>
      <c r="B153" s="22"/>
      <c r="C153" s="267"/>
      <c r="D153" s="267"/>
      <c r="E153" s="267"/>
      <c r="F153" s="267"/>
      <c r="G153" s="267"/>
      <c r="H153" s="267"/>
      <c r="I153" s="267"/>
      <c r="J153" s="267"/>
      <c r="K153" s="267"/>
    </row>
    <row r="154" spans="1:11" s="268" customFormat="1" ht="24" customHeight="1" x14ac:dyDescent="0.45">
      <c r="A154" s="266"/>
      <c r="B154" s="22"/>
      <c r="C154" s="267"/>
      <c r="D154" s="267"/>
      <c r="E154" s="267"/>
      <c r="F154" s="267"/>
      <c r="G154" s="267"/>
      <c r="H154" s="267"/>
      <c r="I154" s="267"/>
      <c r="J154" s="267"/>
      <c r="K154" s="267"/>
    </row>
    <row r="155" spans="1:11" s="268" customFormat="1" ht="24" customHeight="1" x14ac:dyDescent="0.45">
      <c r="A155" s="266"/>
      <c r="B155" s="22"/>
      <c r="C155" s="267"/>
      <c r="D155" s="267"/>
      <c r="E155" s="267"/>
      <c r="F155" s="267"/>
      <c r="G155" s="267"/>
      <c r="H155" s="267"/>
      <c r="I155" s="267"/>
      <c r="J155" s="267"/>
      <c r="K155" s="267"/>
    </row>
    <row r="156" spans="1:11" s="268" customFormat="1" ht="24" customHeight="1" x14ac:dyDescent="0.45">
      <c r="A156" s="266"/>
      <c r="B156" s="22"/>
      <c r="C156" s="267"/>
      <c r="D156" s="267"/>
      <c r="E156" s="267"/>
      <c r="F156" s="267"/>
      <c r="G156" s="267"/>
      <c r="H156" s="267"/>
      <c r="I156" s="267"/>
      <c r="J156" s="267"/>
      <c r="K156" s="267"/>
    </row>
    <row r="157" spans="1:11" s="268" customFormat="1" ht="24" customHeight="1" x14ac:dyDescent="0.45">
      <c r="A157" s="266"/>
      <c r="B157" s="22"/>
      <c r="C157" s="267"/>
      <c r="D157" s="267"/>
      <c r="E157" s="267"/>
      <c r="F157" s="267"/>
      <c r="G157" s="267"/>
      <c r="H157" s="267"/>
      <c r="I157" s="267"/>
      <c r="J157" s="267"/>
      <c r="K157" s="267"/>
    </row>
    <row r="158" spans="1:11" s="268" customFormat="1" ht="24" customHeight="1" x14ac:dyDescent="0.45">
      <c r="A158" s="266"/>
      <c r="B158" s="22"/>
      <c r="C158" s="267"/>
      <c r="D158" s="267"/>
      <c r="E158" s="267"/>
      <c r="F158" s="267"/>
      <c r="G158" s="267"/>
      <c r="H158" s="267"/>
      <c r="I158" s="267"/>
      <c r="J158" s="267"/>
      <c r="K158" s="267"/>
    </row>
    <row r="159" spans="1:11" s="268" customFormat="1" ht="24" customHeight="1" x14ac:dyDescent="0.45">
      <c r="A159" s="266"/>
      <c r="B159" s="22"/>
      <c r="C159" s="267"/>
      <c r="D159" s="267"/>
      <c r="E159" s="267"/>
      <c r="F159" s="267"/>
      <c r="G159" s="267"/>
      <c r="H159" s="267"/>
      <c r="I159" s="267"/>
      <c r="J159" s="267"/>
      <c r="K159" s="267"/>
    </row>
    <row r="160" spans="1:11" s="268" customFormat="1" ht="24" customHeight="1" x14ac:dyDescent="0.45">
      <c r="A160" s="266"/>
      <c r="B160" s="22"/>
      <c r="C160" s="267"/>
      <c r="D160" s="267"/>
      <c r="E160" s="267"/>
      <c r="F160" s="267"/>
      <c r="G160" s="267"/>
      <c r="H160" s="267"/>
      <c r="I160" s="267"/>
      <c r="J160" s="267"/>
      <c r="K160" s="267"/>
    </row>
    <row r="161" spans="1:11" s="268" customFormat="1" ht="24" customHeight="1" x14ac:dyDescent="0.45">
      <c r="A161" s="266"/>
      <c r="B161" s="22"/>
      <c r="C161" s="267"/>
      <c r="D161" s="267"/>
      <c r="E161" s="267"/>
      <c r="F161" s="267"/>
      <c r="G161" s="267"/>
      <c r="H161" s="267"/>
      <c r="I161" s="267"/>
      <c r="J161" s="267"/>
      <c r="K161" s="267"/>
    </row>
    <row r="162" spans="1:11" s="268" customFormat="1" ht="24" customHeight="1" x14ac:dyDescent="0.45">
      <c r="A162" s="266"/>
      <c r="B162" s="22"/>
      <c r="C162" s="267"/>
      <c r="D162" s="267"/>
      <c r="E162" s="267"/>
      <c r="F162" s="267"/>
      <c r="G162" s="267"/>
      <c r="H162" s="267"/>
      <c r="I162" s="267"/>
      <c r="J162" s="267"/>
      <c r="K162" s="267"/>
    </row>
    <row r="163" spans="1:11" s="268" customFormat="1" ht="24" customHeight="1" x14ac:dyDescent="0.45">
      <c r="A163" s="266"/>
      <c r="B163" s="22"/>
      <c r="C163" s="267"/>
      <c r="D163" s="267"/>
      <c r="E163" s="267"/>
      <c r="F163" s="267"/>
      <c r="G163" s="267"/>
      <c r="H163" s="267"/>
      <c r="I163" s="267"/>
      <c r="J163" s="267"/>
      <c r="K163" s="267"/>
    </row>
    <row r="164" spans="1:11" s="268" customFormat="1" ht="24" customHeight="1" x14ac:dyDescent="0.45">
      <c r="A164" s="266"/>
      <c r="B164" s="22"/>
      <c r="C164" s="267"/>
      <c r="D164" s="267"/>
      <c r="E164" s="267"/>
      <c r="F164" s="267"/>
      <c r="G164" s="267"/>
      <c r="H164" s="267"/>
      <c r="I164" s="267"/>
      <c r="J164" s="267"/>
      <c r="K164" s="267"/>
    </row>
    <row r="165" spans="1:11" s="268" customFormat="1" ht="24" customHeight="1" x14ac:dyDescent="0.45">
      <c r="A165" s="266"/>
      <c r="B165" s="22"/>
      <c r="C165" s="267"/>
      <c r="D165" s="267"/>
      <c r="E165" s="267"/>
      <c r="F165" s="267"/>
      <c r="G165" s="267"/>
      <c r="H165" s="267"/>
      <c r="I165" s="267"/>
      <c r="J165" s="267"/>
      <c r="K165" s="267"/>
    </row>
    <row r="166" spans="1:11" s="268" customFormat="1" ht="24" customHeight="1" x14ac:dyDescent="0.45">
      <c r="A166" s="266"/>
      <c r="B166" s="22"/>
      <c r="C166" s="267"/>
      <c r="D166" s="267"/>
      <c r="E166" s="267"/>
      <c r="F166" s="267"/>
      <c r="G166" s="267"/>
      <c r="H166" s="267"/>
      <c r="I166" s="267"/>
      <c r="J166" s="267"/>
      <c r="K166" s="267"/>
    </row>
    <row r="167" spans="1:11" s="268" customFormat="1" ht="24" customHeight="1" x14ac:dyDescent="0.45">
      <c r="A167" s="266"/>
      <c r="B167" s="22"/>
      <c r="C167" s="267"/>
      <c r="D167" s="267"/>
      <c r="E167" s="267"/>
      <c r="F167" s="267"/>
      <c r="G167" s="267"/>
      <c r="H167" s="267"/>
      <c r="I167" s="267"/>
      <c r="J167" s="267"/>
      <c r="K167" s="267"/>
    </row>
    <row r="168" spans="1:11" s="268" customFormat="1" ht="24" customHeight="1" x14ac:dyDescent="0.45">
      <c r="A168" s="266"/>
      <c r="B168" s="22"/>
      <c r="C168" s="267"/>
      <c r="D168" s="267"/>
      <c r="E168" s="267"/>
      <c r="F168" s="267"/>
      <c r="G168" s="267"/>
      <c r="H168" s="267"/>
      <c r="I168" s="267"/>
      <c r="J168" s="267"/>
      <c r="K168" s="267"/>
    </row>
    <row r="169" spans="1:11" s="268" customFormat="1" ht="24" customHeight="1" x14ac:dyDescent="0.45">
      <c r="A169" s="266"/>
      <c r="B169" s="22"/>
      <c r="C169" s="267"/>
      <c r="D169" s="267"/>
      <c r="E169" s="267"/>
      <c r="F169" s="267"/>
      <c r="G169" s="267"/>
      <c r="H169" s="267"/>
      <c r="I169" s="267"/>
      <c r="J169" s="267"/>
      <c r="K169" s="267"/>
    </row>
    <row r="170" spans="1:11" s="268" customFormat="1" ht="24" customHeight="1" x14ac:dyDescent="0.45">
      <c r="A170" s="266"/>
      <c r="B170" s="22"/>
      <c r="C170" s="267"/>
      <c r="D170" s="267"/>
      <c r="E170" s="267"/>
      <c r="F170" s="267"/>
      <c r="G170" s="267"/>
      <c r="H170" s="267"/>
      <c r="I170" s="267"/>
      <c r="J170" s="267"/>
      <c r="K170" s="267"/>
    </row>
    <row r="171" spans="1:11" s="268" customFormat="1" ht="24" customHeight="1" x14ac:dyDescent="0.45">
      <c r="A171" s="266"/>
      <c r="B171" s="22"/>
      <c r="C171" s="267"/>
      <c r="D171" s="267"/>
      <c r="E171" s="267"/>
      <c r="F171" s="267"/>
      <c r="G171" s="267"/>
      <c r="H171" s="267"/>
      <c r="I171" s="267"/>
      <c r="J171" s="267"/>
      <c r="K171" s="267"/>
    </row>
    <row r="172" spans="1:11" s="268" customFormat="1" ht="24" customHeight="1" x14ac:dyDescent="0.45">
      <c r="A172" s="266"/>
      <c r="B172" s="22"/>
      <c r="C172" s="267"/>
      <c r="D172" s="267"/>
      <c r="E172" s="267"/>
      <c r="F172" s="267"/>
      <c r="G172" s="267"/>
      <c r="H172" s="267"/>
      <c r="I172" s="267"/>
      <c r="J172" s="267"/>
      <c r="K172" s="267"/>
    </row>
    <row r="173" spans="1:11" s="268" customFormat="1" ht="24" customHeight="1" x14ac:dyDescent="0.45">
      <c r="A173" s="266"/>
      <c r="B173" s="22"/>
      <c r="C173" s="267"/>
      <c r="D173" s="267"/>
      <c r="E173" s="267"/>
      <c r="F173" s="267"/>
      <c r="G173" s="267"/>
      <c r="H173" s="267"/>
      <c r="I173" s="267"/>
      <c r="J173" s="267"/>
      <c r="K173" s="267"/>
    </row>
    <row r="174" spans="1:11" s="268" customFormat="1" ht="24" customHeight="1" x14ac:dyDescent="0.45">
      <c r="A174" s="266"/>
      <c r="B174" s="22"/>
      <c r="C174" s="267"/>
      <c r="D174" s="267"/>
      <c r="E174" s="267"/>
      <c r="F174" s="267"/>
      <c r="G174" s="267"/>
      <c r="H174" s="267"/>
      <c r="I174" s="267"/>
      <c r="J174" s="267"/>
      <c r="K174" s="267"/>
    </row>
    <row r="175" spans="1:11" s="268" customFormat="1" ht="24" customHeight="1" x14ac:dyDescent="0.45">
      <c r="A175" s="266"/>
      <c r="B175" s="22"/>
      <c r="C175" s="267"/>
      <c r="D175" s="267"/>
      <c r="E175" s="267"/>
      <c r="F175" s="267"/>
      <c r="G175" s="267"/>
      <c r="H175" s="267"/>
      <c r="I175" s="267"/>
      <c r="J175" s="267"/>
      <c r="K175" s="267"/>
    </row>
    <row r="176" spans="1:11" s="268" customFormat="1" ht="24" customHeight="1" x14ac:dyDescent="0.45">
      <c r="A176" s="266"/>
      <c r="B176" s="22"/>
      <c r="C176" s="267"/>
      <c r="D176" s="267"/>
      <c r="E176" s="267"/>
      <c r="F176" s="267"/>
      <c r="G176" s="267"/>
      <c r="H176" s="267"/>
      <c r="I176" s="267"/>
      <c r="J176" s="267"/>
      <c r="K176" s="267"/>
    </row>
    <row r="177" spans="1:11" s="268" customFormat="1" ht="24" customHeight="1" x14ac:dyDescent="0.45">
      <c r="A177" s="266"/>
      <c r="B177" s="22"/>
      <c r="C177" s="267"/>
      <c r="D177" s="267"/>
      <c r="E177" s="267"/>
      <c r="F177" s="267"/>
      <c r="G177" s="267"/>
      <c r="H177" s="267"/>
      <c r="I177" s="267"/>
      <c r="J177" s="267"/>
      <c r="K177" s="267"/>
    </row>
    <row r="178" spans="1:11" s="268" customFormat="1" ht="24" customHeight="1" x14ac:dyDescent="0.45">
      <c r="A178" s="266"/>
      <c r="B178" s="22"/>
      <c r="C178" s="267"/>
      <c r="D178" s="267"/>
      <c r="E178" s="267"/>
      <c r="F178" s="267"/>
      <c r="G178" s="267"/>
      <c r="H178" s="267"/>
      <c r="I178" s="267"/>
      <c r="J178" s="267"/>
      <c r="K178" s="267"/>
    </row>
    <row r="179" spans="1:11" s="268" customFormat="1" ht="24" customHeight="1" x14ac:dyDescent="0.45">
      <c r="A179" s="266"/>
      <c r="B179" s="22"/>
      <c r="C179" s="267"/>
      <c r="D179" s="267"/>
      <c r="E179" s="267"/>
      <c r="F179" s="267"/>
      <c r="G179" s="267"/>
      <c r="H179" s="267"/>
      <c r="I179" s="267"/>
      <c r="J179" s="267"/>
      <c r="K179" s="267"/>
    </row>
    <row r="180" spans="1:11" s="268" customFormat="1" ht="24" customHeight="1" x14ac:dyDescent="0.45">
      <c r="A180" s="266"/>
      <c r="B180" s="22"/>
      <c r="C180" s="267"/>
      <c r="D180" s="267"/>
      <c r="E180" s="267"/>
      <c r="F180" s="267"/>
      <c r="G180" s="267"/>
      <c r="H180" s="267"/>
      <c r="I180" s="267"/>
      <c r="J180" s="267"/>
      <c r="K180" s="267"/>
    </row>
    <row r="181" spans="1:11" s="268" customFormat="1" ht="24" customHeight="1" x14ac:dyDescent="0.45">
      <c r="A181" s="266"/>
      <c r="B181" s="22"/>
      <c r="C181" s="267"/>
      <c r="D181" s="267"/>
      <c r="E181" s="267"/>
      <c r="F181" s="267"/>
      <c r="G181" s="267"/>
      <c r="H181" s="267"/>
      <c r="I181" s="267"/>
      <c r="J181" s="267"/>
      <c r="K181" s="267"/>
    </row>
    <row r="182" spans="1:11" s="268" customFormat="1" ht="24" customHeight="1" x14ac:dyDescent="0.45">
      <c r="A182" s="266"/>
      <c r="B182" s="22"/>
      <c r="C182" s="267"/>
      <c r="D182" s="267"/>
      <c r="E182" s="267"/>
      <c r="F182" s="267"/>
      <c r="G182" s="267"/>
      <c r="H182" s="267"/>
      <c r="I182" s="267"/>
      <c r="J182" s="267"/>
      <c r="K182" s="267"/>
    </row>
    <row r="183" spans="1:11" s="268" customFormat="1" ht="24" customHeight="1" x14ac:dyDescent="0.45">
      <c r="A183" s="266"/>
      <c r="B183" s="22"/>
      <c r="C183" s="267"/>
      <c r="D183" s="267"/>
      <c r="E183" s="267"/>
      <c r="F183" s="267"/>
      <c r="G183" s="267"/>
      <c r="H183" s="267"/>
      <c r="I183" s="267"/>
      <c r="J183" s="267"/>
      <c r="K183" s="267"/>
    </row>
    <row r="184" spans="1:11" s="268" customFormat="1" ht="24" customHeight="1" x14ac:dyDescent="0.45">
      <c r="A184" s="266"/>
      <c r="B184" s="22"/>
      <c r="C184" s="267"/>
      <c r="D184" s="267"/>
      <c r="E184" s="267"/>
      <c r="F184" s="267"/>
      <c r="G184" s="267"/>
      <c r="H184" s="267"/>
      <c r="I184" s="267"/>
      <c r="J184" s="267"/>
      <c r="K184" s="267"/>
    </row>
    <row r="185" spans="1:11" s="268" customFormat="1" ht="24" customHeight="1" x14ac:dyDescent="0.45">
      <c r="A185" s="266"/>
      <c r="B185" s="22"/>
      <c r="C185" s="267"/>
      <c r="D185" s="267"/>
      <c r="E185" s="267"/>
      <c r="F185" s="267"/>
      <c r="G185" s="267"/>
      <c r="H185" s="267"/>
      <c r="I185" s="267"/>
      <c r="J185" s="267"/>
      <c r="K185" s="267"/>
    </row>
    <row r="186" spans="1:11" s="268" customFormat="1" ht="24" customHeight="1" x14ac:dyDescent="0.45">
      <c r="A186" s="266"/>
      <c r="B186" s="22"/>
      <c r="C186" s="267"/>
      <c r="D186" s="267"/>
      <c r="E186" s="267"/>
      <c r="F186" s="267"/>
      <c r="G186" s="267"/>
      <c r="H186" s="267"/>
      <c r="I186" s="267"/>
      <c r="J186" s="267"/>
      <c r="K186" s="267"/>
    </row>
    <row r="187" spans="1:11" s="268" customFormat="1" ht="24" customHeight="1" x14ac:dyDescent="0.45">
      <c r="A187" s="266"/>
      <c r="B187" s="22"/>
      <c r="C187" s="267"/>
      <c r="D187" s="267"/>
      <c r="E187" s="267"/>
      <c r="F187" s="267"/>
      <c r="G187" s="267"/>
      <c r="H187" s="267"/>
      <c r="I187" s="267"/>
      <c r="J187" s="267"/>
      <c r="K187" s="267"/>
    </row>
    <row r="188" spans="1:11" s="268" customFormat="1" ht="24" customHeight="1" x14ac:dyDescent="0.45">
      <c r="A188" s="266"/>
      <c r="B188" s="22"/>
      <c r="C188" s="267"/>
      <c r="D188" s="267"/>
      <c r="E188" s="267"/>
      <c r="F188" s="267"/>
      <c r="G188" s="267"/>
      <c r="H188" s="267"/>
      <c r="I188" s="267"/>
      <c r="J188" s="267"/>
      <c r="K188" s="267"/>
    </row>
    <row r="189" spans="1:11" s="268" customFormat="1" ht="24" customHeight="1" x14ac:dyDescent="0.45">
      <c r="A189" s="266"/>
      <c r="B189" s="22"/>
      <c r="C189" s="267"/>
      <c r="D189" s="267"/>
      <c r="E189" s="267"/>
      <c r="F189" s="267"/>
      <c r="G189" s="267"/>
      <c r="H189" s="267"/>
      <c r="I189" s="267"/>
      <c r="J189" s="267"/>
      <c r="K189" s="267"/>
    </row>
    <row r="190" spans="1:11" s="268" customFormat="1" ht="24" customHeight="1" x14ac:dyDescent="0.45">
      <c r="A190" s="266"/>
      <c r="B190" s="22"/>
      <c r="C190" s="267"/>
      <c r="D190" s="267"/>
      <c r="E190" s="267"/>
      <c r="F190" s="267"/>
      <c r="G190" s="267"/>
      <c r="H190" s="267"/>
      <c r="I190" s="267"/>
      <c r="J190" s="267"/>
      <c r="K190" s="267"/>
    </row>
    <row r="191" spans="1:11" s="268" customFormat="1" ht="24" customHeight="1" x14ac:dyDescent="0.45">
      <c r="A191" s="266"/>
      <c r="B191" s="22"/>
      <c r="C191" s="267"/>
      <c r="D191" s="267"/>
      <c r="E191" s="267"/>
      <c r="F191" s="267"/>
      <c r="G191" s="267"/>
      <c r="H191" s="267"/>
      <c r="I191" s="267"/>
      <c r="J191" s="267"/>
      <c r="K191" s="267"/>
    </row>
    <row r="192" spans="1:11" s="268" customFormat="1" ht="24" customHeight="1" x14ac:dyDescent="0.45">
      <c r="A192" s="266"/>
      <c r="B192" s="22"/>
      <c r="C192" s="267"/>
      <c r="D192" s="267"/>
      <c r="E192" s="267"/>
      <c r="F192" s="267"/>
      <c r="G192" s="267"/>
      <c r="H192" s="267"/>
      <c r="I192" s="267"/>
      <c r="J192" s="267"/>
      <c r="K192" s="267"/>
    </row>
    <row r="193" spans="1:11" s="268" customFormat="1" ht="24" customHeight="1" x14ac:dyDescent="0.45">
      <c r="A193" s="266"/>
      <c r="B193" s="22"/>
      <c r="C193" s="267"/>
      <c r="D193" s="267"/>
      <c r="E193" s="267"/>
      <c r="F193" s="267"/>
      <c r="G193" s="267"/>
      <c r="H193" s="267"/>
      <c r="I193" s="267"/>
      <c r="J193" s="267"/>
      <c r="K193" s="267"/>
    </row>
    <row r="194" spans="1:11" s="268" customFormat="1" ht="24" customHeight="1" x14ac:dyDescent="0.45">
      <c r="A194" s="266"/>
      <c r="B194" s="22"/>
      <c r="C194" s="267"/>
      <c r="D194" s="267"/>
      <c r="E194" s="267"/>
      <c r="F194" s="267"/>
      <c r="G194" s="267"/>
      <c r="H194" s="267"/>
      <c r="I194" s="267"/>
      <c r="J194" s="267"/>
      <c r="K194" s="267"/>
    </row>
    <row r="195" spans="1:11" s="268" customFormat="1" ht="24" customHeight="1" x14ac:dyDescent="0.45">
      <c r="A195" s="266"/>
      <c r="B195" s="22"/>
      <c r="C195" s="267"/>
      <c r="D195" s="267"/>
      <c r="E195" s="267"/>
      <c r="F195" s="267"/>
      <c r="G195" s="267"/>
      <c r="H195" s="267"/>
      <c r="I195" s="267"/>
      <c r="J195" s="267"/>
      <c r="K195" s="267"/>
    </row>
    <row r="196" spans="1:11" s="268" customFormat="1" ht="24" customHeight="1" x14ac:dyDescent="0.45">
      <c r="A196" s="266"/>
      <c r="B196" s="22"/>
      <c r="C196" s="267"/>
      <c r="D196" s="267"/>
      <c r="E196" s="267"/>
      <c r="F196" s="267"/>
      <c r="G196" s="267"/>
      <c r="H196" s="267"/>
      <c r="I196" s="267"/>
      <c r="J196" s="267"/>
      <c r="K196" s="267"/>
    </row>
    <row r="197" spans="1:11" s="268" customFormat="1" ht="24" customHeight="1" x14ac:dyDescent="0.45">
      <c r="A197" s="266"/>
      <c r="B197" s="22"/>
      <c r="C197" s="267"/>
      <c r="D197" s="267"/>
      <c r="E197" s="267"/>
      <c r="F197" s="267"/>
      <c r="G197" s="267"/>
      <c r="H197" s="267"/>
      <c r="I197" s="267"/>
      <c r="J197" s="267"/>
      <c r="K197" s="267"/>
    </row>
    <row r="198" spans="1:11" s="268" customFormat="1" ht="24" customHeight="1" x14ac:dyDescent="0.45">
      <c r="A198" s="266"/>
      <c r="B198" s="22"/>
      <c r="C198" s="267"/>
      <c r="D198" s="267"/>
      <c r="E198" s="267"/>
      <c r="F198" s="267"/>
      <c r="G198" s="267"/>
      <c r="H198" s="267"/>
      <c r="I198" s="267"/>
      <c r="J198" s="267"/>
      <c r="K198" s="267"/>
    </row>
    <row r="199" spans="1:11" s="268" customFormat="1" ht="24" customHeight="1" x14ac:dyDescent="0.45">
      <c r="A199" s="266"/>
      <c r="B199" s="22"/>
      <c r="C199" s="267"/>
      <c r="D199" s="267"/>
      <c r="E199" s="267"/>
      <c r="F199" s="267"/>
      <c r="G199" s="267"/>
      <c r="H199" s="267"/>
      <c r="I199" s="267"/>
      <c r="J199" s="267"/>
      <c r="K199" s="267"/>
    </row>
    <row r="200" spans="1:11" s="268" customFormat="1" ht="24" customHeight="1" x14ac:dyDescent="0.45">
      <c r="A200" s="266"/>
      <c r="B200" s="22"/>
      <c r="C200" s="267"/>
      <c r="D200" s="267"/>
      <c r="E200" s="267"/>
      <c r="F200" s="267"/>
      <c r="G200" s="267"/>
      <c r="H200" s="267"/>
      <c r="I200" s="267"/>
      <c r="J200" s="267"/>
      <c r="K200" s="267"/>
    </row>
    <row r="201" spans="1:11" s="268" customFormat="1" ht="24" customHeight="1" x14ac:dyDescent="0.45">
      <c r="A201" s="266"/>
      <c r="B201" s="22"/>
      <c r="C201" s="267"/>
      <c r="D201" s="267"/>
      <c r="E201" s="267"/>
      <c r="F201" s="267"/>
      <c r="G201" s="267"/>
      <c r="H201" s="267"/>
      <c r="I201" s="267"/>
      <c r="J201" s="267"/>
      <c r="K201" s="267"/>
    </row>
    <row r="202" spans="1:11" s="268" customFormat="1" ht="24" customHeight="1" x14ac:dyDescent="0.45">
      <c r="A202" s="266"/>
      <c r="B202" s="22"/>
      <c r="C202" s="267"/>
      <c r="D202" s="267"/>
      <c r="E202" s="267"/>
      <c r="F202" s="267"/>
      <c r="G202" s="267"/>
      <c r="H202" s="267"/>
      <c r="I202" s="267"/>
      <c r="J202" s="267"/>
      <c r="K202" s="267"/>
    </row>
    <row r="203" spans="1:11" s="268" customFormat="1" ht="24" customHeight="1" x14ac:dyDescent="0.45">
      <c r="A203" s="266"/>
      <c r="B203" s="22"/>
      <c r="C203" s="267"/>
      <c r="D203" s="267"/>
      <c r="E203" s="267"/>
      <c r="F203" s="267"/>
      <c r="G203" s="267"/>
      <c r="H203" s="267"/>
      <c r="I203" s="267"/>
      <c r="J203" s="267"/>
      <c r="K203" s="267"/>
    </row>
    <row r="204" spans="1:11" s="268" customFormat="1" ht="24" customHeight="1" x14ac:dyDescent="0.45">
      <c r="A204" s="266"/>
      <c r="B204" s="22"/>
      <c r="C204" s="267"/>
      <c r="D204" s="267"/>
      <c r="E204" s="267"/>
      <c r="F204" s="267"/>
      <c r="G204" s="267"/>
      <c r="H204" s="267"/>
      <c r="I204" s="267"/>
      <c r="J204" s="267"/>
      <c r="K204" s="267"/>
    </row>
    <row r="205" spans="1:11" s="268" customFormat="1" ht="24" customHeight="1" x14ac:dyDescent="0.45">
      <c r="A205" s="266"/>
      <c r="B205" s="22"/>
      <c r="C205" s="267"/>
      <c r="D205" s="267"/>
      <c r="E205" s="267"/>
      <c r="F205" s="267"/>
      <c r="G205" s="267"/>
      <c r="H205" s="267"/>
      <c r="I205" s="267"/>
      <c r="J205" s="267"/>
      <c r="K205" s="267"/>
    </row>
    <row r="206" spans="1:11" s="268" customFormat="1" ht="24" customHeight="1" x14ac:dyDescent="0.45">
      <c r="A206" s="266"/>
      <c r="B206" s="22"/>
      <c r="C206" s="267"/>
      <c r="D206" s="267"/>
      <c r="E206" s="267"/>
      <c r="F206" s="267"/>
      <c r="G206" s="267"/>
      <c r="H206" s="267"/>
      <c r="I206" s="267"/>
      <c r="J206" s="267"/>
      <c r="K206" s="267"/>
    </row>
    <row r="207" spans="1:11" s="268" customFormat="1" ht="24" customHeight="1" x14ac:dyDescent="0.45">
      <c r="A207" s="266"/>
      <c r="B207" s="22"/>
      <c r="C207" s="267"/>
      <c r="D207" s="267"/>
      <c r="E207" s="267"/>
      <c r="F207" s="267"/>
      <c r="G207" s="267"/>
      <c r="H207" s="267"/>
      <c r="I207" s="267"/>
      <c r="J207" s="267"/>
      <c r="K207" s="267"/>
    </row>
    <row r="208" spans="1:11" s="268" customFormat="1" ht="24" customHeight="1" x14ac:dyDescent="0.45">
      <c r="A208" s="266"/>
      <c r="B208" s="22"/>
      <c r="C208" s="267"/>
      <c r="D208" s="267"/>
      <c r="E208" s="267"/>
      <c r="F208" s="267"/>
      <c r="G208" s="267"/>
      <c r="H208" s="267"/>
      <c r="I208" s="267"/>
      <c r="J208" s="267"/>
      <c r="K208" s="267"/>
    </row>
    <row r="209" spans="1:13" s="268" customFormat="1" ht="24" customHeight="1" x14ac:dyDescent="0.45">
      <c r="A209" s="266"/>
      <c r="B209" s="22"/>
      <c r="C209" s="267"/>
      <c r="D209" s="267"/>
      <c r="E209" s="267"/>
      <c r="F209" s="267"/>
      <c r="G209" s="267"/>
      <c r="H209" s="267"/>
      <c r="I209" s="267"/>
      <c r="J209" s="267"/>
      <c r="K209" s="267"/>
    </row>
    <row r="210" spans="1:13" s="268" customFormat="1" ht="24" customHeight="1" x14ac:dyDescent="0.45">
      <c r="A210" s="266"/>
      <c r="B210" s="22"/>
      <c r="C210" s="267"/>
      <c r="D210" s="267"/>
      <c r="E210" s="267"/>
      <c r="F210" s="267"/>
      <c r="G210" s="267"/>
      <c r="H210" s="267"/>
      <c r="I210" s="267"/>
      <c r="J210" s="267"/>
      <c r="K210" s="267"/>
    </row>
    <row r="211" spans="1:13" s="268" customFormat="1" ht="24" customHeight="1" x14ac:dyDescent="0.45">
      <c r="A211" s="266"/>
      <c r="B211" s="22"/>
      <c r="C211" s="267"/>
      <c r="D211" s="267"/>
      <c r="E211" s="267"/>
      <c r="F211" s="267"/>
      <c r="G211" s="267"/>
      <c r="H211" s="267"/>
      <c r="I211" s="267"/>
      <c r="J211" s="267"/>
      <c r="K211" s="267"/>
    </row>
    <row r="212" spans="1:13" s="268" customFormat="1" ht="24" customHeight="1" x14ac:dyDescent="0.45">
      <c r="A212" s="266"/>
      <c r="B212" s="22"/>
      <c r="C212" s="267"/>
      <c r="D212" s="267"/>
      <c r="E212" s="267"/>
      <c r="F212" s="267"/>
      <c r="G212" s="267"/>
      <c r="H212" s="267"/>
      <c r="I212" s="267"/>
      <c r="J212" s="267"/>
      <c r="K212" s="267"/>
    </row>
    <row r="213" spans="1:13" s="268" customFormat="1" ht="24" customHeight="1" x14ac:dyDescent="0.45">
      <c r="A213" s="266"/>
      <c r="B213" s="22"/>
      <c r="C213" s="267"/>
      <c r="D213" s="267"/>
      <c r="E213" s="267"/>
      <c r="F213" s="267"/>
      <c r="G213" s="267"/>
      <c r="H213" s="267"/>
      <c r="I213" s="267"/>
      <c r="J213" s="267"/>
      <c r="K213" s="267"/>
    </row>
    <row r="214" spans="1:13" s="268" customFormat="1" ht="24" customHeight="1" x14ac:dyDescent="0.45">
      <c r="A214" s="266"/>
      <c r="B214" s="22"/>
      <c r="C214" s="267"/>
      <c r="D214" s="267"/>
      <c r="E214" s="267"/>
      <c r="F214" s="267"/>
      <c r="G214" s="267"/>
      <c r="H214" s="267"/>
      <c r="I214" s="267"/>
      <c r="J214" s="267"/>
      <c r="K214" s="267"/>
    </row>
    <row r="215" spans="1:13" s="268" customFormat="1" ht="24" customHeight="1" x14ac:dyDescent="0.45">
      <c r="A215" s="266"/>
      <c r="B215" s="22"/>
      <c r="C215" s="267"/>
      <c r="D215" s="267"/>
      <c r="E215" s="267"/>
      <c r="F215" s="267"/>
      <c r="G215" s="267"/>
      <c r="H215" s="267"/>
      <c r="I215" s="267"/>
      <c r="J215" s="267"/>
      <c r="K215" s="267"/>
    </row>
    <row r="216" spans="1:13" s="268" customFormat="1" ht="24" customHeight="1" x14ac:dyDescent="0.45">
      <c r="A216" s="266"/>
      <c r="B216" s="22"/>
      <c r="C216" s="267"/>
      <c r="D216" s="267"/>
      <c r="E216" s="267"/>
      <c r="F216" s="267"/>
      <c r="G216" s="267"/>
      <c r="H216" s="267"/>
      <c r="I216" s="267"/>
      <c r="J216" s="267"/>
      <c r="K216" s="267"/>
    </row>
    <row r="217" spans="1:13" x14ac:dyDescent="0.35">
      <c r="A217" s="251"/>
      <c r="B217" s="22"/>
      <c r="C217" s="252"/>
      <c r="D217" s="252"/>
      <c r="E217" s="252"/>
      <c r="F217" s="252"/>
      <c r="G217" s="252"/>
      <c r="H217" s="252"/>
      <c r="I217" s="252"/>
      <c r="J217" s="252"/>
      <c r="K217" s="252"/>
    </row>
    <row r="218" spans="1:13" x14ac:dyDescent="0.35">
      <c r="A218" s="251"/>
      <c r="B218" s="22"/>
      <c r="C218" s="252"/>
      <c r="D218" s="252"/>
      <c r="E218" s="252"/>
      <c r="F218" s="252"/>
      <c r="G218" s="252"/>
      <c r="H218" s="252"/>
      <c r="I218" s="252"/>
      <c r="J218" s="252"/>
      <c r="K218" s="252"/>
    </row>
    <row r="219" spans="1:13" x14ac:dyDescent="0.35">
      <c r="A219" s="251"/>
      <c r="B219" s="22"/>
      <c r="C219" s="252"/>
      <c r="D219" s="252"/>
      <c r="E219" s="252"/>
      <c r="F219" s="252"/>
      <c r="G219" s="252"/>
      <c r="H219" s="252"/>
      <c r="I219" s="252"/>
      <c r="J219" s="252"/>
      <c r="K219" s="252"/>
    </row>
    <row r="220" spans="1:13" x14ac:dyDescent="0.35">
      <c r="A220" s="251"/>
      <c r="B220" s="22"/>
      <c r="C220" s="252"/>
      <c r="D220" s="252"/>
      <c r="E220" s="252"/>
      <c r="F220" s="252"/>
      <c r="G220" s="252"/>
      <c r="H220" s="252"/>
      <c r="I220" s="252"/>
      <c r="J220" s="252"/>
      <c r="K220" s="252"/>
    </row>
    <row r="221" spans="1:13" x14ac:dyDescent="0.35">
      <c r="A221" s="251"/>
      <c r="B221" s="22"/>
      <c r="C221" s="252"/>
      <c r="D221" s="252"/>
      <c r="E221" s="252"/>
      <c r="F221" s="252"/>
      <c r="G221" s="252"/>
      <c r="H221" s="252"/>
      <c r="I221" s="252"/>
      <c r="J221" s="252"/>
      <c r="K221" s="252"/>
    </row>
    <row r="222" spans="1:13" x14ac:dyDescent="0.35">
      <c r="A222" s="251"/>
      <c r="B222" s="22"/>
      <c r="C222" s="252"/>
      <c r="D222" s="252"/>
      <c r="E222" s="252"/>
      <c r="F222" s="252"/>
      <c r="G222" s="252"/>
      <c r="H222" s="252"/>
      <c r="I222" s="252"/>
      <c r="J222" s="252"/>
      <c r="K222" s="252"/>
    </row>
    <row r="223" spans="1:13" s="79" customFormat="1" x14ac:dyDescent="0.35">
      <c r="A223" s="251"/>
      <c r="B223" s="22"/>
      <c r="C223" s="252"/>
      <c r="D223" s="252"/>
      <c r="E223" s="252"/>
      <c r="F223" s="252"/>
      <c r="G223" s="252"/>
      <c r="H223" s="252"/>
      <c r="I223" s="252"/>
      <c r="J223" s="252"/>
      <c r="K223" s="252"/>
      <c r="L223"/>
      <c r="M223"/>
    </row>
    <row r="224" spans="1:13" s="79" customFormat="1" x14ac:dyDescent="0.35">
      <c r="A224" s="251"/>
      <c r="B224" s="22"/>
      <c r="C224" s="252"/>
      <c r="D224" s="252"/>
      <c r="E224" s="252"/>
      <c r="F224" s="252"/>
      <c r="G224" s="252"/>
      <c r="H224" s="252"/>
      <c r="I224" s="252"/>
      <c r="J224" s="252"/>
      <c r="K224" s="252"/>
      <c r="L224"/>
      <c r="M224"/>
    </row>
    <row r="225" spans="1:13" s="79" customFormat="1" x14ac:dyDescent="0.35">
      <c r="A225" s="251"/>
      <c r="B225" s="22"/>
      <c r="C225" s="252"/>
      <c r="D225" s="252"/>
      <c r="E225" s="252"/>
      <c r="F225" s="252"/>
      <c r="G225" s="252"/>
      <c r="H225" s="252"/>
      <c r="I225" s="252"/>
      <c r="J225" s="252"/>
      <c r="K225" s="252"/>
      <c r="L225"/>
      <c r="M225"/>
    </row>
    <row r="226" spans="1:13" s="79" customFormat="1" x14ac:dyDescent="0.35">
      <c r="A226" s="251"/>
      <c r="B226" s="22"/>
      <c r="C226" s="252"/>
      <c r="D226" s="252"/>
      <c r="E226" s="252"/>
      <c r="F226" s="252"/>
      <c r="G226" s="252"/>
      <c r="H226" s="252"/>
      <c r="I226" s="252"/>
      <c r="J226" s="252"/>
      <c r="K226" s="252"/>
      <c r="L226"/>
      <c r="M226"/>
    </row>
    <row r="227" spans="1:13" s="79" customFormat="1" x14ac:dyDescent="0.35">
      <c r="A227" s="251"/>
      <c r="B227" s="22"/>
      <c r="C227" s="252"/>
      <c r="D227" s="252"/>
      <c r="E227" s="252"/>
      <c r="F227" s="252"/>
      <c r="G227" s="252"/>
      <c r="H227" s="252"/>
      <c r="I227" s="252"/>
      <c r="J227" s="252"/>
      <c r="K227" s="252"/>
      <c r="L227"/>
      <c r="M227"/>
    </row>
    <row r="228" spans="1:13" s="79" customFormat="1" x14ac:dyDescent="0.35">
      <c r="A228" s="251"/>
      <c r="B228" s="22"/>
      <c r="C228" s="252"/>
      <c r="D228" s="252"/>
      <c r="E228" s="252"/>
      <c r="F228" s="252"/>
      <c r="G228" s="252"/>
      <c r="H228" s="252"/>
      <c r="I228" s="252"/>
      <c r="J228" s="252"/>
      <c r="K228" s="252"/>
      <c r="L228"/>
      <c r="M228"/>
    </row>
    <row r="229" spans="1:13" s="79" customFormat="1" x14ac:dyDescent="0.35">
      <c r="A229" s="251"/>
      <c r="B229" s="22"/>
      <c r="C229" s="252"/>
      <c r="D229" s="252"/>
      <c r="E229" s="252"/>
      <c r="F229" s="252"/>
      <c r="G229" s="252"/>
      <c r="H229" s="252"/>
      <c r="I229" s="252"/>
      <c r="J229" s="252"/>
      <c r="K229" s="252"/>
      <c r="L229"/>
      <c r="M229"/>
    </row>
    <row r="230" spans="1:13" s="79" customFormat="1" x14ac:dyDescent="0.35">
      <c r="A230" s="251"/>
      <c r="B230" s="22"/>
      <c r="C230" s="252"/>
      <c r="D230" s="252"/>
      <c r="E230" s="252"/>
      <c r="F230" s="252"/>
      <c r="G230" s="252"/>
      <c r="H230" s="252"/>
      <c r="I230" s="252"/>
      <c r="J230" s="252"/>
      <c r="K230" s="252"/>
      <c r="L230"/>
      <c r="M230"/>
    </row>
    <row r="231" spans="1:13" s="79" customFormat="1" x14ac:dyDescent="0.35">
      <c r="A231" s="251"/>
      <c r="B231" s="22"/>
      <c r="C231" s="252"/>
      <c r="D231" s="252"/>
      <c r="E231" s="252"/>
      <c r="F231" s="252"/>
      <c r="G231" s="252"/>
      <c r="H231" s="252"/>
      <c r="I231" s="252"/>
      <c r="J231" s="252"/>
      <c r="K231" s="252"/>
      <c r="L231"/>
      <c r="M231"/>
    </row>
    <row r="232" spans="1:13" s="79" customFormat="1" x14ac:dyDescent="0.35">
      <c r="A232" s="251"/>
      <c r="B232" s="22"/>
      <c r="C232" s="252"/>
      <c r="D232" s="252"/>
      <c r="E232" s="252"/>
      <c r="F232" s="252"/>
      <c r="G232" s="252"/>
      <c r="H232" s="252"/>
      <c r="I232" s="252"/>
      <c r="J232" s="252"/>
      <c r="K232" s="252"/>
      <c r="L232"/>
      <c r="M232"/>
    </row>
    <row r="233" spans="1:13" s="79" customFormat="1" x14ac:dyDescent="0.35">
      <c r="A233" s="251"/>
      <c r="B233" s="22"/>
      <c r="C233" s="252"/>
      <c r="D233" s="252"/>
      <c r="E233" s="252"/>
      <c r="F233" s="252"/>
      <c r="G233" s="252"/>
      <c r="H233" s="252"/>
      <c r="I233" s="252"/>
      <c r="J233" s="252"/>
      <c r="K233" s="252"/>
      <c r="L233"/>
      <c r="M233"/>
    </row>
    <row r="234" spans="1:13" s="79" customFormat="1" x14ac:dyDescent="0.35">
      <c r="A234" s="251"/>
      <c r="B234" s="22"/>
      <c r="C234" s="252"/>
      <c r="D234" s="252"/>
      <c r="E234" s="252"/>
      <c r="F234" s="252"/>
      <c r="G234" s="252"/>
      <c r="H234" s="252"/>
      <c r="I234" s="252"/>
      <c r="J234" s="252"/>
      <c r="K234" s="252"/>
      <c r="L234"/>
      <c r="M234"/>
    </row>
    <row r="235" spans="1:13" s="79" customFormat="1" x14ac:dyDescent="0.35">
      <c r="A235" s="251"/>
      <c r="B235" s="22"/>
      <c r="C235" s="252"/>
      <c r="D235" s="252"/>
      <c r="E235" s="252"/>
      <c r="F235" s="252"/>
      <c r="G235" s="252"/>
      <c r="H235" s="252"/>
      <c r="I235" s="252"/>
      <c r="J235" s="252"/>
      <c r="K235" s="252"/>
      <c r="L235"/>
      <c r="M235"/>
    </row>
    <row r="236" spans="1:13" s="79" customFormat="1" x14ac:dyDescent="0.35">
      <c r="A236" s="251"/>
      <c r="B236" s="22"/>
      <c r="C236" s="252"/>
      <c r="D236" s="252"/>
      <c r="E236" s="252"/>
      <c r="F236" s="252"/>
      <c r="G236" s="252"/>
      <c r="H236" s="252"/>
      <c r="I236" s="252"/>
      <c r="J236" s="252"/>
      <c r="K236" s="252"/>
      <c r="L236"/>
      <c r="M236"/>
    </row>
    <row r="237" spans="1:13" s="79" customFormat="1" x14ac:dyDescent="0.35">
      <c r="A237" s="251"/>
      <c r="B237" s="22"/>
      <c r="C237" s="252"/>
      <c r="D237" s="252"/>
      <c r="E237" s="252"/>
      <c r="F237" s="252"/>
      <c r="G237" s="252"/>
      <c r="H237" s="252"/>
      <c r="I237" s="252"/>
      <c r="J237" s="252"/>
      <c r="K237" s="252"/>
      <c r="L237"/>
      <c r="M237"/>
    </row>
    <row r="238" spans="1:13" s="79" customFormat="1" x14ac:dyDescent="0.35">
      <c r="A238" s="251"/>
      <c r="B238" s="22"/>
      <c r="C238" s="252"/>
      <c r="D238" s="252"/>
      <c r="E238" s="252"/>
      <c r="F238" s="252"/>
      <c r="G238" s="252"/>
      <c r="H238" s="252"/>
      <c r="I238" s="252"/>
      <c r="J238" s="252"/>
      <c r="K238" s="252"/>
      <c r="L238"/>
      <c r="M238"/>
    </row>
    <row r="239" spans="1:13" s="79" customFormat="1" x14ac:dyDescent="0.35">
      <c r="A239" s="251"/>
      <c r="B239" s="22"/>
      <c r="C239" s="252"/>
      <c r="D239" s="252"/>
      <c r="E239" s="252"/>
      <c r="F239" s="252"/>
      <c r="G239" s="252"/>
      <c r="H239" s="252"/>
      <c r="I239" s="252"/>
      <c r="J239" s="252"/>
      <c r="K239" s="252"/>
      <c r="L239"/>
      <c r="M239"/>
    </row>
    <row r="240" spans="1:13" s="79" customFormat="1" x14ac:dyDescent="0.35">
      <c r="A240" s="251"/>
      <c r="B240" s="22"/>
      <c r="C240" s="252"/>
      <c r="D240" s="252"/>
      <c r="E240" s="252"/>
      <c r="F240" s="252"/>
      <c r="G240" s="252"/>
      <c r="H240" s="252"/>
      <c r="I240" s="252"/>
      <c r="J240" s="252"/>
      <c r="K240" s="252"/>
      <c r="L240"/>
      <c r="M240"/>
    </row>
    <row r="241" spans="1:13" s="79" customFormat="1" x14ac:dyDescent="0.35">
      <c r="A241" s="251"/>
      <c r="B241" s="22"/>
      <c r="C241" s="252"/>
      <c r="D241" s="252"/>
      <c r="E241" s="252"/>
      <c r="F241" s="252"/>
      <c r="G241" s="252"/>
      <c r="H241" s="252"/>
      <c r="I241" s="252"/>
      <c r="J241" s="252"/>
      <c r="K241" s="252"/>
      <c r="L241"/>
      <c r="M241"/>
    </row>
    <row r="242" spans="1:13" s="79" customFormat="1" x14ac:dyDescent="0.35">
      <c r="A242" s="251"/>
      <c r="B242" s="22"/>
      <c r="C242" s="252"/>
      <c r="D242" s="252"/>
      <c r="E242" s="252"/>
      <c r="F242" s="252"/>
      <c r="G242" s="252"/>
      <c r="H242" s="252"/>
      <c r="I242" s="252"/>
      <c r="J242" s="252"/>
      <c r="K242" s="252"/>
      <c r="L242"/>
      <c r="M242"/>
    </row>
    <row r="243" spans="1:13" s="79" customFormat="1" x14ac:dyDescent="0.35">
      <c r="A243" s="251"/>
      <c r="B243" s="22"/>
      <c r="C243" s="252"/>
      <c r="D243" s="252"/>
      <c r="E243" s="252"/>
      <c r="F243" s="252"/>
      <c r="G243" s="252"/>
      <c r="H243" s="252"/>
      <c r="I243" s="252"/>
      <c r="J243" s="252"/>
      <c r="K243" s="252"/>
      <c r="L243"/>
      <c r="M243"/>
    </row>
    <row r="244" spans="1:13" s="79" customFormat="1" x14ac:dyDescent="0.35">
      <c r="A244" s="251"/>
      <c r="B244" s="22"/>
      <c r="C244" s="252"/>
      <c r="D244" s="252"/>
      <c r="E244" s="252"/>
      <c r="F244" s="252"/>
      <c r="G244" s="252"/>
      <c r="H244" s="252"/>
      <c r="I244" s="252"/>
      <c r="J244" s="252"/>
      <c r="K244" s="252"/>
      <c r="L244"/>
      <c r="M244"/>
    </row>
    <row r="245" spans="1:13" s="79" customFormat="1" x14ac:dyDescent="0.35">
      <c r="A245" s="251"/>
      <c r="B245" s="22"/>
      <c r="C245" s="252"/>
      <c r="D245" s="252"/>
      <c r="E245" s="252"/>
      <c r="F245" s="252"/>
      <c r="G245" s="252"/>
      <c r="H245" s="252"/>
      <c r="I245" s="252"/>
      <c r="J245" s="252"/>
      <c r="K245" s="252"/>
      <c r="L245"/>
      <c r="M245"/>
    </row>
    <row r="246" spans="1:13" s="79" customFormat="1" x14ac:dyDescent="0.35">
      <c r="A246" s="251"/>
      <c r="B246" s="22"/>
      <c r="C246" s="252"/>
      <c r="D246" s="252"/>
      <c r="E246" s="252"/>
      <c r="F246" s="252"/>
      <c r="G246" s="252"/>
      <c r="H246" s="252"/>
      <c r="I246" s="252"/>
      <c r="J246" s="252"/>
      <c r="K246" s="252"/>
      <c r="L246"/>
      <c r="M246"/>
    </row>
    <row r="247" spans="1:13" s="79" customFormat="1" x14ac:dyDescent="0.35">
      <c r="A247" s="251"/>
      <c r="B247" s="22"/>
      <c r="C247" s="252"/>
      <c r="D247" s="252"/>
      <c r="E247" s="252"/>
      <c r="F247" s="252"/>
      <c r="G247" s="252"/>
      <c r="H247" s="252"/>
      <c r="I247" s="252"/>
      <c r="J247" s="252"/>
      <c r="K247" s="252"/>
      <c r="L247"/>
      <c r="M247"/>
    </row>
    <row r="248" spans="1:13" s="79" customFormat="1" x14ac:dyDescent="0.35">
      <c r="A248" s="251"/>
      <c r="B248" s="22"/>
      <c r="C248" s="252"/>
      <c r="D248" s="252"/>
      <c r="E248" s="252"/>
      <c r="F248" s="252"/>
      <c r="G248" s="252"/>
      <c r="H248" s="252"/>
      <c r="I248" s="252"/>
      <c r="J248" s="252"/>
      <c r="K248" s="252"/>
      <c r="L248"/>
      <c r="M248"/>
    </row>
    <row r="249" spans="1:13" s="79" customFormat="1" x14ac:dyDescent="0.35">
      <c r="A249" s="251"/>
      <c r="B249" s="22"/>
      <c r="C249" s="252"/>
      <c r="D249" s="252"/>
      <c r="E249" s="252"/>
      <c r="F249" s="252"/>
      <c r="G249" s="252"/>
      <c r="H249" s="252"/>
      <c r="I249" s="252"/>
      <c r="J249" s="252"/>
      <c r="K249" s="252"/>
      <c r="L249"/>
      <c r="M249"/>
    </row>
    <row r="250" spans="1:13" s="79" customFormat="1" x14ac:dyDescent="0.35">
      <c r="A250" s="251"/>
      <c r="B250" s="22"/>
      <c r="C250" s="252"/>
      <c r="D250" s="252"/>
      <c r="E250" s="252"/>
      <c r="F250" s="252"/>
      <c r="G250" s="252"/>
      <c r="H250" s="252"/>
      <c r="I250" s="252"/>
      <c r="J250" s="252"/>
      <c r="K250" s="252"/>
      <c r="L250"/>
      <c r="M250"/>
    </row>
    <row r="251" spans="1:13" s="79" customFormat="1" x14ac:dyDescent="0.35">
      <c r="A251" s="251"/>
      <c r="B251" s="22"/>
      <c r="C251" s="252"/>
      <c r="D251" s="252"/>
      <c r="E251" s="252"/>
      <c r="F251" s="252"/>
      <c r="G251" s="252"/>
      <c r="H251" s="252"/>
      <c r="I251" s="252"/>
      <c r="J251" s="252"/>
      <c r="K251" s="252"/>
      <c r="L251"/>
      <c r="M251"/>
    </row>
    <row r="252" spans="1:13" s="79" customFormat="1" x14ac:dyDescent="0.35">
      <c r="A252" s="251"/>
      <c r="B252" s="22"/>
      <c r="C252" s="252"/>
      <c r="D252" s="252"/>
      <c r="E252" s="252"/>
      <c r="F252" s="252"/>
      <c r="G252" s="252"/>
      <c r="H252" s="252"/>
      <c r="I252" s="252"/>
      <c r="J252" s="252"/>
      <c r="K252" s="252"/>
      <c r="L252"/>
      <c r="M252"/>
    </row>
    <row r="253" spans="1:13" s="79" customFormat="1" x14ac:dyDescent="0.35">
      <c r="A253" s="251"/>
      <c r="B253" s="22"/>
      <c r="C253" s="252"/>
      <c r="D253" s="252"/>
      <c r="E253" s="252"/>
      <c r="F253" s="252"/>
      <c r="G253" s="252"/>
      <c r="H253" s="252"/>
      <c r="I253" s="252"/>
      <c r="J253" s="252"/>
      <c r="K253" s="252"/>
      <c r="L253"/>
      <c r="M253"/>
    </row>
    <row r="254" spans="1:13" s="79" customFormat="1" x14ac:dyDescent="0.35">
      <c r="A254" s="251"/>
      <c r="B254" s="22"/>
      <c r="C254" s="252"/>
      <c r="D254" s="252"/>
      <c r="E254" s="252"/>
      <c r="F254" s="252"/>
      <c r="G254" s="252"/>
      <c r="H254" s="252"/>
      <c r="I254" s="252"/>
      <c r="J254" s="252"/>
      <c r="K254" s="252"/>
      <c r="L254"/>
      <c r="M254"/>
    </row>
    <row r="255" spans="1:13" s="79" customFormat="1" x14ac:dyDescent="0.35">
      <c r="A255" s="251"/>
      <c r="B255" s="22"/>
      <c r="C255" s="252"/>
      <c r="D255" s="252"/>
      <c r="E255" s="252"/>
      <c r="F255" s="252"/>
      <c r="G255" s="252"/>
      <c r="H255" s="252"/>
      <c r="I255" s="252"/>
      <c r="J255" s="252"/>
      <c r="K255" s="252"/>
      <c r="L255"/>
      <c r="M255"/>
    </row>
    <row r="256" spans="1:13" s="79" customFormat="1" x14ac:dyDescent="0.35">
      <c r="A256" s="251"/>
      <c r="B256" s="22"/>
      <c r="C256" s="252"/>
      <c r="D256" s="252"/>
      <c r="E256" s="252"/>
      <c r="F256" s="252"/>
      <c r="G256" s="252"/>
      <c r="H256" s="252"/>
      <c r="I256" s="252"/>
      <c r="J256" s="252"/>
      <c r="K256" s="252"/>
      <c r="L256"/>
      <c r="M256"/>
    </row>
    <row r="257" spans="1:13" s="79" customFormat="1" x14ac:dyDescent="0.35">
      <c r="A257" s="251"/>
      <c r="B257" s="22"/>
      <c r="C257" s="252"/>
      <c r="D257" s="252"/>
      <c r="E257" s="252"/>
      <c r="F257" s="252"/>
      <c r="G257" s="252"/>
      <c r="H257" s="252"/>
      <c r="I257" s="252"/>
      <c r="J257" s="252"/>
      <c r="K257" s="252"/>
      <c r="L257"/>
      <c r="M257"/>
    </row>
    <row r="258" spans="1:13" s="79" customFormat="1" x14ac:dyDescent="0.35">
      <c r="A258" s="251"/>
      <c r="B258" s="22"/>
      <c r="C258" s="252"/>
      <c r="D258" s="252"/>
      <c r="E258" s="252"/>
      <c r="F258" s="252"/>
      <c r="G258" s="252"/>
      <c r="H258" s="252"/>
      <c r="I258" s="252"/>
      <c r="J258" s="252"/>
      <c r="K258" s="252"/>
      <c r="L258"/>
      <c r="M258"/>
    </row>
    <row r="259" spans="1:13" s="79" customFormat="1" x14ac:dyDescent="0.35">
      <c r="A259" s="251"/>
      <c r="B259" s="22"/>
      <c r="C259" s="252"/>
      <c r="D259" s="252"/>
      <c r="E259" s="252"/>
      <c r="F259" s="252"/>
      <c r="G259" s="252"/>
      <c r="H259" s="252"/>
      <c r="I259" s="252"/>
      <c r="J259" s="252"/>
      <c r="K259" s="252"/>
      <c r="L259"/>
      <c r="M259"/>
    </row>
    <row r="260" spans="1:13" s="79" customFormat="1" x14ac:dyDescent="0.35">
      <c r="A260" s="251"/>
      <c r="B260" s="22"/>
      <c r="C260" s="252"/>
      <c r="D260" s="252"/>
      <c r="E260" s="252"/>
      <c r="F260" s="252"/>
      <c r="G260" s="252"/>
      <c r="H260" s="252"/>
      <c r="I260" s="252"/>
      <c r="J260" s="252"/>
      <c r="K260" s="252"/>
      <c r="L260"/>
      <c r="M260"/>
    </row>
    <row r="261" spans="1:13" s="79" customFormat="1" x14ac:dyDescent="0.35">
      <c r="A261" s="251"/>
      <c r="B261" s="22"/>
      <c r="C261" s="252"/>
      <c r="D261" s="252"/>
      <c r="E261" s="252"/>
      <c r="F261" s="252"/>
      <c r="G261" s="252"/>
      <c r="H261" s="252"/>
      <c r="I261" s="252"/>
      <c r="J261" s="252"/>
      <c r="K261" s="252"/>
      <c r="L261"/>
      <c r="M261"/>
    </row>
    <row r="262" spans="1:13" s="79" customFormat="1" x14ac:dyDescent="0.35">
      <c r="A262" s="251"/>
      <c r="B262" s="22"/>
      <c r="C262" s="252"/>
      <c r="D262" s="252"/>
      <c r="E262" s="252"/>
      <c r="F262" s="252"/>
      <c r="G262" s="252"/>
      <c r="H262" s="252"/>
      <c r="I262" s="252"/>
      <c r="J262" s="252"/>
      <c r="K262" s="252"/>
      <c r="L262"/>
      <c r="M262"/>
    </row>
    <row r="263" spans="1:13" s="79" customFormat="1" x14ac:dyDescent="0.35">
      <c r="A263" s="251"/>
      <c r="B263" s="22"/>
      <c r="C263" s="252"/>
      <c r="D263" s="252"/>
      <c r="E263" s="252"/>
      <c r="F263" s="252"/>
      <c r="G263" s="252"/>
      <c r="H263" s="252"/>
      <c r="I263" s="252"/>
      <c r="J263" s="252"/>
      <c r="K263" s="252"/>
      <c r="L263"/>
      <c r="M263"/>
    </row>
    <row r="264" spans="1:13" s="79" customFormat="1" x14ac:dyDescent="0.35">
      <c r="A264" s="251"/>
      <c r="B264" s="22"/>
      <c r="C264" s="252"/>
      <c r="D264" s="252"/>
      <c r="E264" s="252"/>
      <c r="F264" s="252"/>
      <c r="G264" s="252"/>
      <c r="H264" s="252"/>
      <c r="I264" s="252"/>
      <c r="J264" s="252"/>
      <c r="K264" s="252"/>
      <c r="L264"/>
      <c r="M264"/>
    </row>
    <row r="265" spans="1:13" s="79" customFormat="1" x14ac:dyDescent="0.35">
      <c r="A265" s="251"/>
      <c r="B265" s="22"/>
      <c r="C265" s="252"/>
      <c r="D265" s="252"/>
      <c r="E265" s="252"/>
      <c r="F265" s="252"/>
      <c r="G265" s="252"/>
      <c r="H265" s="252"/>
      <c r="I265" s="252"/>
      <c r="J265" s="252"/>
      <c r="K265" s="252"/>
      <c r="L265"/>
      <c r="M265"/>
    </row>
    <row r="266" spans="1:13" s="79" customFormat="1" x14ac:dyDescent="0.35">
      <c r="A266" s="251"/>
      <c r="B266" s="22"/>
      <c r="C266" s="252"/>
      <c r="D266" s="252"/>
      <c r="E266" s="252"/>
      <c r="F266" s="252"/>
      <c r="G266" s="252"/>
      <c r="H266" s="252"/>
      <c r="I266" s="252"/>
      <c r="J266" s="252"/>
      <c r="K266" s="252"/>
      <c r="L266"/>
      <c r="M266"/>
    </row>
    <row r="267" spans="1:13" s="79" customFormat="1" x14ac:dyDescent="0.35">
      <c r="A267" s="251"/>
      <c r="B267" s="22"/>
      <c r="C267" s="252"/>
      <c r="D267" s="252"/>
      <c r="E267" s="252"/>
      <c r="F267" s="252"/>
      <c r="G267" s="252"/>
      <c r="H267" s="252"/>
      <c r="I267" s="252"/>
      <c r="J267" s="252"/>
      <c r="K267" s="252"/>
      <c r="L267"/>
      <c r="M267"/>
    </row>
    <row r="268" spans="1:13" s="79" customFormat="1" x14ac:dyDescent="0.35">
      <c r="A268" s="251"/>
      <c r="B268" s="22"/>
      <c r="C268" s="252"/>
      <c r="D268" s="252"/>
      <c r="E268" s="252"/>
      <c r="F268" s="252"/>
      <c r="G268" s="252"/>
      <c r="H268" s="252"/>
      <c r="I268" s="252"/>
      <c r="J268" s="252"/>
      <c r="K268" s="252"/>
      <c r="L268"/>
      <c r="M268"/>
    </row>
    <row r="269" spans="1:13" s="79" customFormat="1" x14ac:dyDescent="0.35">
      <c r="A269" s="251"/>
      <c r="B269" s="22"/>
      <c r="C269" s="252"/>
      <c r="D269" s="252"/>
      <c r="E269" s="252"/>
      <c r="F269" s="252"/>
      <c r="G269" s="252"/>
      <c r="H269" s="252"/>
      <c r="I269" s="252"/>
      <c r="J269" s="252"/>
      <c r="K269" s="252"/>
      <c r="L269"/>
      <c r="M269"/>
    </row>
    <row r="270" spans="1:13" s="79" customFormat="1" x14ac:dyDescent="0.35">
      <c r="A270" s="251"/>
      <c r="B270" s="22"/>
      <c r="C270" s="252"/>
      <c r="D270" s="252"/>
      <c r="E270" s="252"/>
      <c r="F270" s="252"/>
      <c r="G270" s="252"/>
      <c r="H270" s="252"/>
      <c r="I270" s="252"/>
      <c r="J270" s="252"/>
      <c r="K270" s="252"/>
      <c r="L270"/>
      <c r="M270"/>
    </row>
    <row r="271" spans="1:13" s="79" customFormat="1" x14ac:dyDescent="0.35">
      <c r="A271" s="251"/>
      <c r="B271" s="22"/>
      <c r="C271" s="252"/>
      <c r="D271" s="252"/>
      <c r="E271" s="252"/>
      <c r="F271" s="252"/>
      <c r="G271" s="252"/>
      <c r="H271" s="252"/>
      <c r="I271" s="252"/>
      <c r="J271" s="252"/>
      <c r="K271" s="252"/>
      <c r="L271"/>
      <c r="M271"/>
    </row>
    <row r="272" spans="1:13" s="79" customFormat="1" x14ac:dyDescent="0.35">
      <c r="A272" s="251"/>
      <c r="B272" s="22"/>
      <c r="C272" s="252"/>
      <c r="D272" s="252"/>
      <c r="E272" s="252"/>
      <c r="F272" s="252"/>
      <c r="G272" s="252"/>
      <c r="H272" s="252"/>
      <c r="I272" s="252"/>
      <c r="J272" s="252"/>
      <c r="K272" s="252"/>
      <c r="L272"/>
      <c r="M272"/>
    </row>
    <row r="273" spans="1:13" s="79" customFormat="1" x14ac:dyDescent="0.35">
      <c r="A273" s="251"/>
      <c r="B273" s="22"/>
      <c r="C273" s="252"/>
      <c r="D273" s="252"/>
      <c r="E273" s="252"/>
      <c r="F273" s="252"/>
      <c r="G273" s="252"/>
      <c r="H273" s="252"/>
      <c r="I273" s="252"/>
      <c r="J273" s="252"/>
      <c r="K273" s="252"/>
      <c r="L273"/>
      <c r="M273"/>
    </row>
    <row r="274" spans="1:13" s="79" customFormat="1" x14ac:dyDescent="0.35">
      <c r="A274" s="251"/>
      <c r="B274" s="22"/>
      <c r="C274" s="252"/>
      <c r="D274" s="252"/>
      <c r="E274" s="252"/>
      <c r="F274" s="252"/>
      <c r="G274" s="252"/>
      <c r="H274" s="252"/>
      <c r="I274" s="252"/>
      <c r="J274" s="252"/>
      <c r="K274" s="252"/>
      <c r="L274"/>
      <c r="M274"/>
    </row>
    <row r="275" spans="1:13" s="79" customFormat="1" x14ac:dyDescent="0.35">
      <c r="A275" s="251"/>
      <c r="B275" s="22"/>
      <c r="C275" s="252"/>
      <c r="D275" s="252"/>
      <c r="E275" s="252"/>
      <c r="F275" s="252"/>
      <c r="G275" s="252"/>
      <c r="H275" s="252"/>
      <c r="I275" s="252"/>
      <c r="J275" s="252"/>
      <c r="K275" s="252"/>
      <c r="L275"/>
      <c r="M275"/>
    </row>
    <row r="276" spans="1:13" s="79" customFormat="1" x14ac:dyDescent="0.35">
      <c r="A276" s="251"/>
      <c r="B276" s="22"/>
      <c r="C276" s="252"/>
      <c r="D276" s="252"/>
      <c r="E276" s="252"/>
      <c r="F276" s="252"/>
      <c r="G276" s="252"/>
      <c r="H276" s="252"/>
      <c r="I276" s="252"/>
      <c r="J276" s="252"/>
      <c r="K276" s="252"/>
      <c r="L276"/>
      <c r="M276"/>
    </row>
    <row r="277" spans="1:13" s="79" customFormat="1" x14ac:dyDescent="0.35">
      <c r="A277" s="251"/>
      <c r="B277" s="22"/>
      <c r="C277" s="252"/>
      <c r="D277" s="252"/>
      <c r="E277" s="252"/>
      <c r="F277" s="252"/>
      <c r="G277" s="252"/>
      <c r="H277" s="252"/>
      <c r="I277" s="252"/>
      <c r="J277" s="252"/>
      <c r="K277" s="252"/>
      <c r="L277"/>
      <c r="M277"/>
    </row>
    <row r="278" spans="1:13" s="79" customFormat="1" x14ac:dyDescent="0.35">
      <c r="A278" s="251"/>
      <c r="B278" s="22"/>
      <c r="C278" s="252"/>
      <c r="D278" s="252"/>
      <c r="E278" s="252"/>
      <c r="F278" s="252"/>
      <c r="G278" s="252"/>
      <c r="H278" s="252"/>
      <c r="I278" s="252"/>
      <c r="J278" s="252"/>
      <c r="K278" s="252"/>
      <c r="L278"/>
      <c r="M278"/>
    </row>
    <row r="279" spans="1:13" s="79" customFormat="1" x14ac:dyDescent="0.35">
      <c r="A279" s="251"/>
      <c r="B279" s="22"/>
      <c r="C279" s="252"/>
      <c r="D279" s="252"/>
      <c r="E279" s="252"/>
      <c r="F279" s="252"/>
      <c r="G279" s="252"/>
      <c r="H279" s="252"/>
      <c r="I279" s="252"/>
      <c r="J279" s="252"/>
      <c r="K279" s="252"/>
      <c r="L279"/>
      <c r="M279"/>
    </row>
    <row r="280" spans="1:13" s="79" customFormat="1" x14ac:dyDescent="0.35">
      <c r="A280" s="251"/>
      <c r="B280" s="22"/>
      <c r="C280" s="252"/>
      <c r="D280" s="252"/>
      <c r="E280" s="252"/>
      <c r="F280" s="252"/>
      <c r="G280" s="252"/>
      <c r="H280" s="252"/>
      <c r="I280" s="252"/>
      <c r="J280" s="252"/>
      <c r="K280" s="252"/>
      <c r="L280"/>
      <c r="M280"/>
    </row>
    <row r="281" spans="1:13" s="79" customFormat="1" x14ac:dyDescent="0.35">
      <c r="A281" s="251"/>
      <c r="B281" s="22"/>
      <c r="C281" s="252"/>
      <c r="D281" s="252"/>
      <c r="E281" s="252"/>
      <c r="F281" s="252"/>
      <c r="G281" s="252"/>
      <c r="H281" s="252"/>
      <c r="I281" s="252"/>
      <c r="J281" s="252"/>
      <c r="K281" s="252"/>
      <c r="L281"/>
      <c r="M281"/>
    </row>
    <row r="282" spans="1:13" s="79" customFormat="1" x14ac:dyDescent="0.35">
      <c r="A282" s="251"/>
      <c r="B282" s="22"/>
      <c r="C282" s="252"/>
      <c r="D282" s="252"/>
      <c r="E282" s="252"/>
      <c r="F282" s="252"/>
      <c r="G282" s="252"/>
      <c r="H282" s="252"/>
      <c r="I282" s="252"/>
      <c r="J282" s="252"/>
      <c r="K282" s="252"/>
      <c r="L282"/>
      <c r="M282"/>
    </row>
    <row r="283" spans="1:13" s="79" customFormat="1" x14ac:dyDescent="0.35">
      <c r="A283" s="251"/>
      <c r="B283" s="22"/>
      <c r="C283" s="252"/>
      <c r="D283" s="252"/>
      <c r="E283" s="252"/>
      <c r="F283" s="252"/>
      <c r="G283" s="252"/>
      <c r="H283" s="252"/>
      <c r="I283" s="252"/>
      <c r="J283" s="252"/>
      <c r="K283" s="252"/>
      <c r="L283"/>
      <c r="M283"/>
    </row>
    <row r="284" spans="1:13" s="79" customFormat="1" x14ac:dyDescent="0.35">
      <c r="A284" s="251"/>
      <c r="B284" s="22"/>
      <c r="C284" s="252"/>
      <c r="D284" s="252"/>
      <c r="E284" s="252"/>
      <c r="F284" s="252"/>
      <c r="G284" s="252"/>
      <c r="H284" s="252"/>
      <c r="I284" s="252"/>
      <c r="J284" s="252"/>
      <c r="K284" s="252"/>
      <c r="L284"/>
      <c r="M284"/>
    </row>
    <row r="285" spans="1:13" s="79" customFormat="1" x14ac:dyDescent="0.35">
      <c r="A285" s="251"/>
      <c r="B285" s="22"/>
      <c r="C285" s="252"/>
      <c r="D285" s="252"/>
      <c r="E285" s="252"/>
      <c r="F285" s="252"/>
      <c r="G285" s="252"/>
      <c r="H285" s="252"/>
      <c r="I285" s="252"/>
      <c r="J285" s="252"/>
      <c r="K285" s="252"/>
      <c r="L285"/>
      <c r="M285"/>
    </row>
    <row r="286" spans="1:13" s="79" customFormat="1" x14ac:dyDescent="0.35">
      <c r="A286" s="251"/>
      <c r="B286" s="22"/>
      <c r="C286" s="252"/>
      <c r="D286" s="252"/>
      <c r="E286" s="252"/>
      <c r="F286" s="252"/>
      <c r="G286" s="252"/>
      <c r="H286" s="252"/>
      <c r="I286" s="252"/>
      <c r="J286" s="252"/>
      <c r="K286" s="252"/>
      <c r="L286"/>
      <c r="M286"/>
    </row>
    <row r="287" spans="1:13" s="79" customFormat="1" x14ac:dyDescent="0.35">
      <c r="A287" s="251"/>
      <c r="B287" s="22"/>
      <c r="C287" s="252"/>
      <c r="D287" s="252"/>
      <c r="E287" s="252"/>
      <c r="F287" s="252"/>
      <c r="G287" s="252"/>
      <c r="H287" s="252"/>
      <c r="I287" s="252"/>
      <c r="J287" s="252"/>
      <c r="K287" s="252"/>
      <c r="L287"/>
      <c r="M287"/>
    </row>
    <row r="288" spans="1:13" s="79" customFormat="1" x14ac:dyDescent="0.35">
      <c r="A288" s="251"/>
      <c r="B288" s="22"/>
      <c r="C288" s="252"/>
      <c r="D288" s="252"/>
      <c r="E288" s="252"/>
      <c r="F288" s="252"/>
      <c r="G288" s="252"/>
      <c r="H288" s="252"/>
      <c r="I288" s="252"/>
      <c r="J288" s="252"/>
      <c r="K288" s="252"/>
      <c r="L288"/>
      <c r="M288"/>
    </row>
    <row r="289" spans="1:13" s="79" customFormat="1" x14ac:dyDescent="0.35">
      <c r="A289" s="251"/>
      <c r="B289" s="22"/>
      <c r="C289" s="252"/>
      <c r="D289" s="252"/>
      <c r="E289" s="252"/>
      <c r="F289" s="252"/>
      <c r="G289" s="252"/>
      <c r="H289" s="252"/>
      <c r="I289" s="252"/>
      <c r="J289" s="252"/>
      <c r="K289" s="252"/>
      <c r="L289"/>
      <c r="M289"/>
    </row>
    <row r="290" spans="1:13" s="79" customFormat="1" x14ac:dyDescent="0.35">
      <c r="A290" s="251"/>
      <c r="B290" s="22"/>
      <c r="C290" s="252"/>
      <c r="D290" s="252"/>
      <c r="E290" s="252"/>
      <c r="F290" s="252"/>
      <c r="G290" s="252"/>
      <c r="H290" s="252"/>
      <c r="I290" s="252"/>
      <c r="J290" s="252"/>
      <c r="K290" s="252"/>
      <c r="L290"/>
      <c r="M290"/>
    </row>
    <row r="291" spans="1:13" s="79" customFormat="1" x14ac:dyDescent="0.35">
      <c r="A291" s="251"/>
      <c r="B291" s="22"/>
      <c r="C291" s="252"/>
      <c r="D291" s="252"/>
      <c r="E291" s="252"/>
      <c r="F291" s="252"/>
      <c r="G291" s="252"/>
      <c r="H291" s="252"/>
      <c r="I291" s="252"/>
      <c r="J291" s="252"/>
      <c r="K291" s="252"/>
      <c r="L291"/>
      <c r="M291"/>
    </row>
    <row r="292" spans="1:13" s="79" customFormat="1" x14ac:dyDescent="0.35">
      <c r="A292" s="251"/>
      <c r="B292" s="22"/>
      <c r="C292" s="252"/>
      <c r="D292" s="252"/>
      <c r="E292" s="252"/>
      <c r="F292" s="252"/>
      <c r="G292" s="252"/>
      <c r="H292" s="252"/>
      <c r="I292" s="252"/>
      <c r="J292" s="252"/>
      <c r="K292" s="252"/>
      <c r="L292"/>
      <c r="M292"/>
    </row>
    <row r="293" spans="1:13" s="79" customFormat="1" x14ac:dyDescent="0.35">
      <c r="A293" s="251"/>
      <c r="B293" s="22"/>
      <c r="C293" s="252"/>
      <c r="D293" s="252"/>
      <c r="E293" s="252"/>
      <c r="F293" s="252"/>
      <c r="G293" s="252"/>
      <c r="H293" s="252"/>
      <c r="I293" s="252"/>
      <c r="J293" s="252"/>
      <c r="K293" s="252"/>
      <c r="L293"/>
      <c r="M293"/>
    </row>
    <row r="294" spans="1:13" s="79" customFormat="1" x14ac:dyDescent="0.35">
      <c r="A294" s="251"/>
      <c r="B294" s="22"/>
      <c r="C294" s="252"/>
      <c r="D294" s="252"/>
      <c r="E294" s="252"/>
      <c r="F294" s="252"/>
      <c r="G294" s="252"/>
      <c r="H294" s="252"/>
      <c r="I294" s="252"/>
      <c r="J294" s="252"/>
      <c r="K294" s="252"/>
      <c r="L294"/>
      <c r="M294"/>
    </row>
    <row r="295" spans="1:13" s="79" customFormat="1" x14ac:dyDescent="0.35">
      <c r="A295" s="251"/>
      <c r="B295" s="22"/>
      <c r="C295" s="252"/>
      <c r="D295" s="252"/>
      <c r="E295" s="252"/>
      <c r="F295" s="252"/>
      <c r="G295" s="252"/>
      <c r="H295" s="252"/>
      <c r="I295" s="252"/>
      <c r="J295" s="252"/>
      <c r="K295" s="252"/>
      <c r="L295"/>
      <c r="M295"/>
    </row>
    <row r="296" spans="1:13" s="79" customFormat="1" x14ac:dyDescent="0.35">
      <c r="A296" s="251"/>
      <c r="B296" s="22"/>
      <c r="C296" s="252"/>
      <c r="D296" s="252"/>
      <c r="E296" s="252"/>
      <c r="F296" s="252"/>
      <c r="G296" s="252"/>
      <c r="H296" s="252"/>
      <c r="I296" s="252"/>
      <c r="J296" s="252"/>
      <c r="K296" s="252"/>
      <c r="L296"/>
      <c r="M296"/>
    </row>
    <row r="297" spans="1:13" s="79" customFormat="1" x14ac:dyDescent="0.35">
      <c r="A297" s="251"/>
      <c r="B297" s="22"/>
      <c r="C297" s="252"/>
      <c r="D297" s="252"/>
      <c r="E297" s="252"/>
      <c r="F297" s="252"/>
      <c r="G297" s="252"/>
      <c r="H297" s="252"/>
      <c r="I297" s="252"/>
      <c r="J297" s="252"/>
      <c r="K297" s="252"/>
      <c r="L297"/>
      <c r="M297"/>
    </row>
    <row r="298" spans="1:13" s="79" customFormat="1" x14ac:dyDescent="0.35">
      <c r="A298" s="251"/>
      <c r="B298" s="22"/>
      <c r="C298" s="252"/>
      <c r="D298" s="252"/>
      <c r="E298" s="252"/>
      <c r="F298" s="252"/>
      <c r="G298" s="252"/>
      <c r="H298" s="252"/>
      <c r="I298" s="252"/>
      <c r="J298" s="252"/>
      <c r="K298" s="252"/>
      <c r="L298"/>
      <c r="M298"/>
    </row>
    <row r="299" spans="1:13" s="79" customFormat="1" x14ac:dyDescent="0.35">
      <c r="A299" s="251"/>
      <c r="B299" s="22"/>
      <c r="C299" s="252"/>
      <c r="D299" s="252"/>
      <c r="E299" s="252"/>
      <c r="F299" s="252"/>
      <c r="G299" s="252"/>
      <c r="H299" s="252"/>
      <c r="I299" s="252"/>
      <c r="J299" s="252"/>
      <c r="K299" s="252"/>
      <c r="L299"/>
      <c r="M299"/>
    </row>
    <row r="300" spans="1:13" s="79" customFormat="1" x14ac:dyDescent="0.35">
      <c r="A300" s="251"/>
      <c r="B300" s="22"/>
      <c r="C300" s="252"/>
      <c r="D300" s="252"/>
      <c r="E300" s="252"/>
      <c r="F300" s="252"/>
      <c r="G300" s="252"/>
      <c r="H300" s="252"/>
      <c r="I300" s="252"/>
      <c r="J300" s="252"/>
      <c r="K300" s="252"/>
      <c r="L300"/>
      <c r="M300"/>
    </row>
    <row r="301" spans="1:13" s="79" customFormat="1" x14ac:dyDescent="0.35">
      <c r="A301" s="251"/>
      <c r="B301" s="22"/>
      <c r="C301" s="252"/>
      <c r="D301" s="252"/>
      <c r="E301" s="252"/>
      <c r="F301" s="252"/>
      <c r="G301" s="252"/>
      <c r="H301" s="252"/>
      <c r="I301" s="252"/>
      <c r="J301" s="252"/>
      <c r="K301" s="252"/>
      <c r="L301"/>
      <c r="M301"/>
    </row>
    <row r="302" spans="1:13" s="79" customFormat="1" x14ac:dyDescent="0.35">
      <c r="A302" s="251"/>
      <c r="B302" s="22"/>
      <c r="C302" s="252"/>
      <c r="D302" s="252"/>
      <c r="E302" s="252"/>
      <c r="F302" s="252"/>
      <c r="G302" s="252"/>
      <c r="H302" s="252"/>
      <c r="I302" s="252"/>
      <c r="J302" s="252"/>
      <c r="K302" s="252"/>
      <c r="L302"/>
      <c r="M302"/>
    </row>
    <row r="303" spans="1:13" s="79" customFormat="1" x14ac:dyDescent="0.35">
      <c r="A303" s="251"/>
      <c r="B303" s="22"/>
      <c r="C303" s="252"/>
      <c r="D303" s="252"/>
      <c r="E303" s="252"/>
      <c r="F303" s="252"/>
      <c r="G303" s="252"/>
      <c r="H303" s="252"/>
      <c r="I303" s="252"/>
      <c r="J303" s="252"/>
      <c r="K303" s="252"/>
      <c r="L303"/>
      <c r="M303"/>
    </row>
    <row r="304" spans="1:13" s="79" customFormat="1" x14ac:dyDescent="0.35">
      <c r="A304" s="251"/>
      <c r="B304" s="22"/>
      <c r="C304" s="252"/>
      <c r="D304" s="252"/>
      <c r="E304" s="252"/>
      <c r="F304" s="252"/>
      <c r="G304" s="252"/>
      <c r="H304" s="252"/>
      <c r="I304" s="252"/>
      <c r="J304" s="252"/>
      <c r="K304" s="252"/>
      <c r="L304"/>
      <c r="M304"/>
    </row>
    <row r="305" spans="1:13" s="79" customFormat="1" x14ac:dyDescent="0.35">
      <c r="A305" s="251"/>
      <c r="B305" s="22"/>
      <c r="C305" s="252"/>
      <c r="D305" s="252"/>
      <c r="E305" s="252"/>
      <c r="F305" s="252"/>
      <c r="G305" s="252"/>
      <c r="H305" s="252"/>
      <c r="I305" s="252"/>
      <c r="J305" s="252"/>
      <c r="K305" s="252"/>
      <c r="L305"/>
      <c r="M305"/>
    </row>
    <row r="306" spans="1:13" s="79" customFormat="1" x14ac:dyDescent="0.35">
      <c r="A306" s="251"/>
      <c r="B306" s="22"/>
      <c r="C306" s="252"/>
      <c r="D306" s="252"/>
      <c r="E306" s="252"/>
      <c r="F306" s="252"/>
      <c r="G306" s="252"/>
      <c r="H306" s="252"/>
      <c r="I306" s="252"/>
      <c r="J306" s="252"/>
      <c r="K306" s="252"/>
      <c r="L306"/>
      <c r="M306"/>
    </row>
    <row r="307" spans="1:13" s="79" customFormat="1" x14ac:dyDescent="0.35">
      <c r="A307" s="251"/>
      <c r="B307" s="22"/>
      <c r="C307" s="252"/>
      <c r="D307" s="252"/>
      <c r="E307" s="252"/>
      <c r="F307" s="252"/>
      <c r="G307" s="252"/>
      <c r="H307" s="252"/>
      <c r="I307" s="252"/>
      <c r="J307" s="252"/>
      <c r="K307" s="252"/>
      <c r="L307"/>
      <c r="M307"/>
    </row>
    <row r="308" spans="1:13" s="79" customFormat="1" x14ac:dyDescent="0.35">
      <c r="A308" s="251"/>
      <c r="B308" s="22"/>
      <c r="C308" s="252"/>
      <c r="D308" s="252"/>
      <c r="E308" s="252"/>
      <c r="F308" s="252"/>
      <c r="G308" s="252"/>
      <c r="H308" s="252"/>
      <c r="I308" s="252"/>
      <c r="J308" s="252"/>
      <c r="K308" s="252"/>
      <c r="L308"/>
      <c r="M308"/>
    </row>
    <row r="309" spans="1:13" s="79" customFormat="1" x14ac:dyDescent="0.35">
      <c r="A309" s="251"/>
      <c r="B309" s="22"/>
      <c r="C309" s="252"/>
      <c r="D309" s="252"/>
      <c r="E309" s="252"/>
      <c r="F309" s="252"/>
      <c r="G309" s="252"/>
      <c r="H309" s="252"/>
      <c r="I309" s="252"/>
      <c r="J309" s="252"/>
      <c r="K309" s="252"/>
      <c r="L309"/>
      <c r="M309"/>
    </row>
    <row r="310" spans="1:13" s="79" customFormat="1" x14ac:dyDescent="0.35">
      <c r="A310" s="251"/>
      <c r="B310" s="22"/>
      <c r="C310" s="252"/>
      <c r="D310" s="252"/>
      <c r="E310" s="252"/>
      <c r="F310" s="252"/>
      <c r="G310" s="252"/>
      <c r="H310" s="252"/>
      <c r="I310" s="252"/>
      <c r="J310" s="252"/>
      <c r="K310" s="252"/>
      <c r="L310"/>
      <c r="M310"/>
    </row>
    <row r="311" spans="1:13" s="79" customFormat="1" x14ac:dyDescent="0.35">
      <c r="A311" s="251"/>
      <c r="B311" s="22"/>
      <c r="C311" s="252"/>
      <c r="D311" s="252"/>
      <c r="E311" s="252"/>
      <c r="F311" s="252"/>
      <c r="G311" s="252"/>
      <c r="H311" s="252"/>
      <c r="I311" s="252"/>
      <c r="J311" s="252"/>
      <c r="K311" s="252"/>
      <c r="L311"/>
      <c r="M311"/>
    </row>
    <row r="312" spans="1:13" s="79" customFormat="1" x14ac:dyDescent="0.35">
      <c r="A312" s="251"/>
      <c r="B312" s="22"/>
      <c r="C312" s="252"/>
      <c r="D312" s="252"/>
      <c r="E312" s="252"/>
      <c r="F312" s="252"/>
      <c r="G312" s="252"/>
      <c r="H312" s="252"/>
      <c r="I312" s="252"/>
      <c r="J312" s="252"/>
      <c r="K312" s="252"/>
      <c r="L312"/>
      <c r="M312"/>
    </row>
    <row r="313" spans="1:13" s="79" customFormat="1" x14ac:dyDescent="0.35">
      <c r="A313" s="251"/>
      <c r="B313" s="22"/>
      <c r="C313" s="252"/>
      <c r="D313" s="252"/>
      <c r="E313" s="252"/>
      <c r="F313" s="252"/>
      <c r="G313" s="252"/>
      <c r="H313" s="252"/>
      <c r="I313" s="252"/>
      <c r="J313" s="252"/>
      <c r="K313" s="252"/>
      <c r="L313"/>
      <c r="M313"/>
    </row>
    <row r="314" spans="1:13" s="79" customFormat="1" x14ac:dyDescent="0.35">
      <c r="A314" s="251"/>
      <c r="B314" s="22"/>
      <c r="C314" s="252"/>
      <c r="D314" s="252"/>
      <c r="E314" s="252"/>
      <c r="F314" s="252"/>
      <c r="G314" s="252"/>
      <c r="H314" s="252"/>
      <c r="I314" s="252"/>
      <c r="J314" s="252"/>
      <c r="K314" s="252"/>
      <c r="L314"/>
      <c r="M314"/>
    </row>
    <row r="315" spans="1:13" s="79" customFormat="1" x14ac:dyDescent="0.35">
      <c r="A315" s="251"/>
      <c r="B315" s="22"/>
      <c r="C315" s="252"/>
      <c r="D315" s="252"/>
      <c r="E315" s="252"/>
      <c r="F315" s="252"/>
      <c r="G315" s="252"/>
      <c r="H315" s="252"/>
      <c r="I315" s="252"/>
      <c r="J315" s="252"/>
      <c r="K315" s="252"/>
      <c r="L315"/>
      <c r="M315"/>
    </row>
    <row r="316" spans="1:13" s="79" customFormat="1" x14ac:dyDescent="0.35">
      <c r="A316" s="251"/>
      <c r="B316" s="22"/>
      <c r="C316" s="252"/>
      <c r="D316" s="252"/>
      <c r="E316" s="252"/>
      <c r="F316" s="252"/>
      <c r="G316" s="252"/>
      <c r="H316" s="252"/>
      <c r="I316" s="252"/>
      <c r="J316" s="252"/>
      <c r="K316" s="252"/>
      <c r="L316"/>
      <c r="M316"/>
    </row>
    <row r="317" spans="1:13" s="79" customFormat="1" x14ac:dyDescent="0.35">
      <c r="A317" s="251"/>
      <c r="B317" s="22"/>
      <c r="C317" s="252"/>
      <c r="D317" s="252"/>
      <c r="E317" s="252"/>
      <c r="F317" s="252"/>
      <c r="G317" s="252"/>
      <c r="H317" s="252"/>
      <c r="I317" s="252"/>
      <c r="J317" s="252"/>
      <c r="K317" s="252"/>
      <c r="L317"/>
      <c r="M317"/>
    </row>
    <row r="318" spans="1:13" s="79" customFormat="1" x14ac:dyDescent="0.35">
      <c r="A318" s="251"/>
      <c r="B318" s="22"/>
      <c r="C318" s="252"/>
      <c r="D318" s="252"/>
      <c r="E318" s="252"/>
      <c r="F318" s="252"/>
      <c r="G318" s="252"/>
      <c r="H318" s="252"/>
      <c r="I318" s="252"/>
      <c r="J318" s="252"/>
      <c r="K318" s="252"/>
      <c r="L318"/>
      <c r="M318"/>
    </row>
    <row r="319" spans="1:13" s="79" customFormat="1" x14ac:dyDescent="0.35">
      <c r="A319" s="251"/>
      <c r="B319" s="22"/>
      <c r="C319" s="252"/>
      <c r="D319" s="252"/>
      <c r="E319" s="252"/>
      <c r="F319" s="252"/>
      <c r="G319" s="252"/>
      <c r="H319" s="252"/>
      <c r="I319" s="252"/>
      <c r="J319" s="252"/>
      <c r="K319" s="252"/>
      <c r="L319"/>
      <c r="M319"/>
    </row>
    <row r="320" spans="1:13" s="79" customFormat="1" x14ac:dyDescent="0.35">
      <c r="A320" s="251"/>
      <c r="B320" s="22"/>
      <c r="C320" s="252"/>
      <c r="D320" s="252"/>
      <c r="E320" s="252"/>
      <c r="F320" s="252"/>
      <c r="G320" s="252"/>
      <c r="H320" s="252"/>
      <c r="I320" s="252"/>
      <c r="J320" s="252"/>
      <c r="K320" s="252"/>
      <c r="L320"/>
      <c r="M320"/>
    </row>
    <row r="321" spans="1:13" s="79" customFormat="1" x14ac:dyDescent="0.35">
      <c r="A321" s="251"/>
      <c r="B321" s="22"/>
      <c r="C321" s="252"/>
      <c r="D321" s="252"/>
      <c r="E321" s="252"/>
      <c r="F321" s="252"/>
      <c r="G321" s="252"/>
      <c r="H321" s="252"/>
      <c r="I321" s="252"/>
      <c r="J321" s="252"/>
      <c r="K321" s="252"/>
      <c r="L321"/>
      <c r="M321"/>
    </row>
    <row r="322" spans="1:13" s="79" customFormat="1" x14ac:dyDescent="0.35">
      <c r="A322" s="251"/>
      <c r="B322" s="22"/>
      <c r="C322" s="252"/>
      <c r="D322" s="252"/>
      <c r="E322" s="252"/>
      <c r="F322" s="252"/>
      <c r="G322" s="252"/>
      <c r="H322" s="252"/>
      <c r="I322" s="252"/>
      <c r="J322" s="252"/>
      <c r="K322" s="252"/>
      <c r="L322"/>
      <c r="M322"/>
    </row>
    <row r="323" spans="1:13" s="79" customFormat="1" x14ac:dyDescent="0.35">
      <c r="A323" s="251"/>
      <c r="B323" s="22"/>
      <c r="C323" s="252"/>
      <c r="D323" s="252"/>
      <c r="E323" s="252"/>
      <c r="F323" s="252"/>
      <c r="G323" s="252"/>
      <c r="H323" s="252"/>
      <c r="I323" s="252"/>
      <c r="J323" s="252"/>
      <c r="K323" s="252"/>
      <c r="L323"/>
      <c r="M323"/>
    </row>
    <row r="324" spans="1:13" s="79" customFormat="1" x14ac:dyDescent="0.35">
      <c r="A324" s="251"/>
      <c r="B324" s="22"/>
      <c r="C324" s="252"/>
      <c r="D324" s="252"/>
      <c r="E324" s="252"/>
      <c r="F324" s="252"/>
      <c r="G324" s="252"/>
      <c r="H324" s="252"/>
      <c r="I324" s="252"/>
      <c r="J324" s="252"/>
      <c r="K324" s="252"/>
      <c r="L324"/>
      <c r="M324"/>
    </row>
    <row r="325" spans="1:13" s="79" customFormat="1" x14ac:dyDescent="0.35">
      <c r="A325" s="251"/>
      <c r="B325" s="22"/>
      <c r="C325" s="252"/>
      <c r="D325" s="252"/>
      <c r="E325" s="252"/>
      <c r="F325" s="252"/>
      <c r="G325" s="252"/>
      <c r="H325" s="252"/>
      <c r="I325" s="252"/>
      <c r="J325" s="252"/>
      <c r="K325" s="252"/>
      <c r="L325"/>
      <c r="M325"/>
    </row>
    <row r="326" spans="1:13" s="79" customFormat="1" x14ac:dyDescent="0.35">
      <c r="A326" s="251"/>
      <c r="B326" s="22"/>
      <c r="C326" s="252"/>
      <c r="D326" s="252"/>
      <c r="E326" s="252"/>
      <c r="F326" s="252"/>
      <c r="G326" s="252"/>
      <c r="H326" s="252"/>
      <c r="I326" s="252"/>
      <c r="J326" s="252"/>
      <c r="K326" s="252"/>
      <c r="L326"/>
      <c r="M326"/>
    </row>
    <row r="327" spans="1:13" s="79" customFormat="1" x14ac:dyDescent="0.35">
      <c r="A327" s="251"/>
      <c r="B327" s="22"/>
      <c r="C327" s="252"/>
      <c r="D327" s="252"/>
      <c r="E327" s="252"/>
      <c r="F327" s="252"/>
      <c r="G327" s="252"/>
      <c r="H327" s="252"/>
      <c r="I327" s="252"/>
      <c r="J327" s="252"/>
      <c r="K327" s="252"/>
      <c r="L327"/>
      <c r="M327"/>
    </row>
    <row r="328" spans="1:13" s="79" customFormat="1" x14ac:dyDescent="0.35">
      <c r="A328" s="251"/>
      <c r="B328" s="22"/>
      <c r="C328" s="252"/>
      <c r="D328" s="252"/>
      <c r="E328" s="252"/>
      <c r="F328" s="252"/>
      <c r="G328" s="252"/>
      <c r="H328" s="252"/>
      <c r="I328" s="252"/>
      <c r="J328" s="252"/>
      <c r="K328" s="252"/>
      <c r="L328"/>
      <c r="M328"/>
    </row>
    <row r="329" spans="1:13" s="79" customFormat="1" x14ac:dyDescent="0.35">
      <c r="A329" s="251"/>
      <c r="B329" s="22"/>
      <c r="C329" s="252"/>
      <c r="D329" s="252"/>
      <c r="E329" s="252"/>
      <c r="F329" s="252"/>
      <c r="G329" s="252"/>
      <c r="H329" s="252"/>
      <c r="I329" s="252"/>
      <c r="J329" s="252"/>
      <c r="K329" s="252"/>
      <c r="L329"/>
      <c r="M329"/>
    </row>
    <row r="330" spans="1:13" s="79" customFormat="1" x14ac:dyDescent="0.35">
      <c r="A330" s="251"/>
      <c r="B330" s="22"/>
      <c r="C330" s="252"/>
      <c r="D330" s="252"/>
      <c r="E330" s="252"/>
      <c r="F330" s="252"/>
      <c r="G330" s="252"/>
      <c r="H330" s="252"/>
      <c r="I330" s="252"/>
      <c r="J330" s="252"/>
      <c r="K330" s="252"/>
      <c r="L330"/>
      <c r="M330"/>
    </row>
    <row r="331" spans="1:13" s="79" customFormat="1" x14ac:dyDescent="0.35">
      <c r="A331" s="251"/>
      <c r="B331" s="22"/>
      <c r="C331" s="252"/>
      <c r="D331" s="252"/>
      <c r="E331" s="252"/>
      <c r="F331" s="252"/>
      <c r="G331" s="252"/>
      <c r="H331" s="252"/>
      <c r="I331" s="252"/>
      <c r="J331" s="252"/>
      <c r="K331" s="252"/>
      <c r="L331"/>
      <c r="M331"/>
    </row>
    <row r="332" spans="1:13" s="79" customFormat="1" x14ac:dyDescent="0.35">
      <c r="A332" s="251"/>
      <c r="B332" s="22"/>
      <c r="C332" s="252"/>
      <c r="D332" s="252"/>
      <c r="E332" s="252"/>
      <c r="F332" s="252"/>
      <c r="G332" s="252"/>
      <c r="H332" s="252"/>
      <c r="I332" s="252"/>
      <c r="J332" s="252"/>
      <c r="K332" s="252"/>
      <c r="L332"/>
      <c r="M332"/>
    </row>
    <row r="333" spans="1:13" s="79" customFormat="1" x14ac:dyDescent="0.35">
      <c r="A333" s="251"/>
      <c r="B333" s="22"/>
      <c r="C333" s="252"/>
      <c r="D333" s="252"/>
      <c r="E333" s="252"/>
      <c r="F333" s="252"/>
      <c r="G333" s="252"/>
      <c r="H333" s="252"/>
      <c r="I333" s="252"/>
      <c r="J333" s="252"/>
      <c r="K333" s="252"/>
      <c r="L333"/>
      <c r="M333"/>
    </row>
    <row r="334" spans="1:13" s="79" customFormat="1" x14ac:dyDescent="0.35">
      <c r="A334" s="251"/>
      <c r="B334" s="22"/>
      <c r="C334" s="252"/>
      <c r="D334" s="252"/>
      <c r="E334" s="252"/>
      <c r="F334" s="252"/>
      <c r="G334" s="252"/>
      <c r="H334" s="252"/>
      <c r="I334" s="252"/>
      <c r="J334" s="252"/>
      <c r="K334" s="252"/>
      <c r="L334"/>
      <c r="M334"/>
    </row>
    <row r="335" spans="1:13" s="79" customFormat="1" x14ac:dyDescent="0.35">
      <c r="A335" s="251"/>
      <c r="B335" s="22"/>
      <c r="C335" s="252"/>
      <c r="D335" s="252"/>
      <c r="E335" s="252"/>
      <c r="F335" s="252"/>
      <c r="G335" s="252"/>
      <c r="H335" s="252"/>
      <c r="I335" s="252"/>
      <c r="J335" s="252"/>
      <c r="K335" s="252"/>
      <c r="L335"/>
      <c r="M335"/>
    </row>
    <row r="336" spans="1:13" s="79" customFormat="1" x14ac:dyDescent="0.35">
      <c r="A336" s="251"/>
      <c r="B336" s="22"/>
      <c r="C336" s="252"/>
      <c r="D336" s="252"/>
      <c r="E336" s="252"/>
      <c r="F336" s="252"/>
      <c r="G336" s="252"/>
      <c r="H336" s="252"/>
      <c r="I336" s="252"/>
      <c r="J336" s="252"/>
      <c r="K336" s="252"/>
      <c r="L336"/>
      <c r="M336"/>
    </row>
    <row r="337" spans="1:13" s="79" customFormat="1" x14ac:dyDescent="0.35">
      <c r="A337" s="251"/>
      <c r="B337" s="22"/>
      <c r="C337" s="252"/>
      <c r="D337" s="252"/>
      <c r="E337" s="252"/>
      <c r="F337" s="252"/>
      <c r="G337" s="252"/>
      <c r="H337" s="252"/>
      <c r="I337" s="252"/>
      <c r="J337" s="252"/>
      <c r="K337" s="252"/>
      <c r="L337"/>
      <c r="M337"/>
    </row>
    <row r="338" spans="1:13" s="79" customFormat="1" x14ac:dyDescent="0.35">
      <c r="A338" s="251"/>
      <c r="B338" s="22"/>
      <c r="C338" s="252"/>
      <c r="D338" s="252"/>
      <c r="E338" s="252"/>
      <c r="F338" s="252"/>
      <c r="G338" s="252"/>
      <c r="H338" s="252"/>
      <c r="I338" s="252"/>
      <c r="J338" s="252"/>
      <c r="K338" s="252"/>
      <c r="L338"/>
      <c r="M338"/>
    </row>
    <row r="339" spans="1:13" s="79" customFormat="1" x14ac:dyDescent="0.35">
      <c r="A339" s="251"/>
      <c r="B339" s="22"/>
      <c r="C339" s="252"/>
      <c r="D339" s="252"/>
      <c r="E339" s="252"/>
      <c r="F339" s="252"/>
      <c r="G339" s="252"/>
      <c r="H339" s="252"/>
      <c r="I339" s="252"/>
      <c r="J339" s="252"/>
      <c r="K339" s="252"/>
      <c r="L339"/>
      <c r="M339"/>
    </row>
    <row r="340" spans="1:13" s="79" customFormat="1" x14ac:dyDescent="0.35">
      <c r="A340" s="251"/>
      <c r="B340" s="22"/>
      <c r="C340" s="252"/>
      <c r="D340" s="252"/>
      <c r="E340" s="252"/>
      <c r="F340" s="252"/>
      <c r="G340" s="252"/>
      <c r="H340" s="252"/>
      <c r="I340" s="252"/>
      <c r="J340" s="252"/>
      <c r="K340" s="252"/>
      <c r="L340"/>
      <c r="M340"/>
    </row>
    <row r="341" spans="1:13" s="79" customFormat="1" x14ac:dyDescent="0.35">
      <c r="A341" s="251"/>
      <c r="B341" s="22"/>
      <c r="C341" s="252"/>
      <c r="D341" s="252"/>
      <c r="E341" s="252"/>
      <c r="F341" s="252"/>
      <c r="G341" s="252"/>
      <c r="H341" s="252"/>
      <c r="I341" s="252"/>
      <c r="J341" s="252"/>
      <c r="K341" s="252"/>
      <c r="L341"/>
      <c r="M341"/>
    </row>
    <row r="342" spans="1:13" s="79" customFormat="1" x14ac:dyDescent="0.35">
      <c r="A342" s="251"/>
      <c r="B342" s="22"/>
      <c r="C342" s="252"/>
      <c r="D342" s="252"/>
      <c r="E342" s="252"/>
      <c r="F342" s="252"/>
      <c r="G342" s="252"/>
      <c r="H342" s="252"/>
      <c r="I342" s="252"/>
      <c r="J342" s="252"/>
      <c r="K342" s="252"/>
      <c r="L342"/>
      <c r="M342"/>
    </row>
    <row r="343" spans="1:13" s="79" customFormat="1" x14ac:dyDescent="0.35">
      <c r="A343" s="251"/>
      <c r="B343" s="22"/>
      <c r="C343" s="252"/>
      <c r="D343" s="252"/>
      <c r="E343" s="252"/>
      <c r="F343" s="252"/>
      <c r="G343" s="252"/>
      <c r="H343" s="252"/>
      <c r="I343" s="252"/>
      <c r="J343" s="252"/>
      <c r="K343" s="252"/>
      <c r="L343"/>
      <c r="M343"/>
    </row>
    <row r="344" spans="1:13" s="79" customFormat="1" x14ac:dyDescent="0.35">
      <c r="A344" s="251"/>
      <c r="B344" s="22"/>
      <c r="C344" s="252"/>
      <c r="D344" s="252"/>
      <c r="E344" s="252"/>
      <c r="F344" s="252"/>
      <c r="G344" s="252"/>
      <c r="H344" s="252"/>
      <c r="I344" s="252"/>
      <c r="J344" s="252"/>
      <c r="K344" s="252"/>
      <c r="L344"/>
      <c r="M344"/>
    </row>
    <row r="345" spans="1:13" s="79" customFormat="1" x14ac:dyDescent="0.35">
      <c r="A345" s="251"/>
      <c r="B345" s="22"/>
      <c r="C345" s="252"/>
      <c r="D345" s="252"/>
      <c r="E345" s="252"/>
      <c r="F345" s="252"/>
      <c r="G345" s="252"/>
      <c r="H345" s="252"/>
      <c r="I345" s="252"/>
      <c r="J345" s="252"/>
      <c r="K345" s="252"/>
      <c r="L345"/>
      <c r="M345"/>
    </row>
    <row r="346" spans="1:13" s="79" customFormat="1" x14ac:dyDescent="0.35">
      <c r="A346" s="251"/>
      <c r="B346" s="22"/>
      <c r="C346" s="252"/>
      <c r="D346" s="252"/>
      <c r="E346" s="252"/>
      <c r="F346" s="252"/>
      <c r="G346" s="252"/>
      <c r="H346" s="252"/>
      <c r="I346" s="252"/>
      <c r="J346" s="252"/>
      <c r="K346" s="252"/>
      <c r="L346"/>
      <c r="M346"/>
    </row>
    <row r="347" spans="1:13" s="79" customFormat="1" x14ac:dyDescent="0.35">
      <c r="A347" s="251"/>
      <c r="B347" s="22"/>
      <c r="C347" s="252"/>
      <c r="D347" s="252"/>
      <c r="E347" s="252"/>
      <c r="F347" s="252"/>
      <c r="G347" s="252"/>
      <c r="H347" s="252"/>
      <c r="I347" s="252"/>
      <c r="J347" s="252"/>
      <c r="K347" s="252"/>
      <c r="L347"/>
      <c r="M347"/>
    </row>
    <row r="348" spans="1:13" s="79" customFormat="1" x14ac:dyDescent="0.35">
      <c r="A348" s="251"/>
      <c r="B348" s="22"/>
      <c r="C348" s="252"/>
      <c r="D348" s="252"/>
      <c r="E348" s="252"/>
      <c r="F348" s="252"/>
      <c r="G348" s="252"/>
      <c r="H348" s="252"/>
      <c r="I348" s="252"/>
      <c r="J348" s="252"/>
      <c r="K348" s="252"/>
      <c r="L348"/>
      <c r="M348"/>
    </row>
    <row r="349" spans="1:13" s="79" customFormat="1" x14ac:dyDescent="0.35">
      <c r="A349" s="251"/>
      <c r="B349" s="22"/>
      <c r="C349" s="252"/>
      <c r="D349" s="252"/>
      <c r="E349" s="252"/>
      <c r="F349" s="252"/>
      <c r="G349" s="252"/>
      <c r="H349" s="252"/>
      <c r="I349" s="252"/>
      <c r="J349" s="252"/>
      <c r="K349" s="252"/>
      <c r="L349"/>
      <c r="M349"/>
    </row>
    <row r="350" spans="1:13" s="79" customFormat="1" x14ac:dyDescent="0.35">
      <c r="A350" s="251"/>
      <c r="B350" s="22"/>
      <c r="C350" s="252"/>
      <c r="D350" s="252"/>
      <c r="E350" s="252"/>
      <c r="F350" s="252"/>
      <c r="G350" s="252"/>
      <c r="H350" s="252"/>
      <c r="I350" s="252"/>
      <c r="J350" s="252"/>
      <c r="K350" s="252"/>
      <c r="L350"/>
      <c r="M350"/>
    </row>
    <row r="351" spans="1:13" s="79" customFormat="1" x14ac:dyDescent="0.35">
      <c r="A351" s="251"/>
      <c r="B351" s="22"/>
      <c r="C351" s="252"/>
      <c r="D351" s="252"/>
      <c r="E351" s="252"/>
      <c r="F351" s="252"/>
      <c r="G351" s="252"/>
      <c r="H351" s="252"/>
      <c r="I351" s="252"/>
      <c r="J351" s="252"/>
      <c r="K351" s="252"/>
      <c r="L351"/>
      <c r="M351"/>
    </row>
    <row r="352" spans="1:13" s="79" customFormat="1" x14ac:dyDescent="0.35">
      <c r="A352" s="251"/>
      <c r="B352" s="22"/>
      <c r="C352" s="252"/>
      <c r="D352" s="252"/>
      <c r="E352" s="252"/>
      <c r="F352" s="252"/>
      <c r="G352" s="252"/>
      <c r="H352" s="252"/>
      <c r="I352" s="252"/>
      <c r="J352" s="252"/>
      <c r="K352" s="252"/>
      <c r="L352"/>
      <c r="M352"/>
    </row>
    <row r="353" spans="1:13" s="79" customFormat="1" x14ac:dyDescent="0.35">
      <c r="A353" s="251"/>
      <c r="B353" s="22"/>
      <c r="C353" s="252"/>
      <c r="D353" s="252"/>
      <c r="E353" s="252"/>
      <c r="F353" s="252"/>
      <c r="G353" s="252"/>
      <c r="H353" s="252"/>
      <c r="I353" s="252"/>
      <c r="J353" s="252"/>
      <c r="K353" s="252"/>
      <c r="L353"/>
      <c r="M353"/>
    </row>
    <row r="354" spans="1:13" s="79" customFormat="1" x14ac:dyDescent="0.35">
      <c r="A354" s="251"/>
      <c r="B354" s="22"/>
      <c r="C354" s="252"/>
      <c r="D354" s="252"/>
      <c r="E354" s="252"/>
      <c r="F354" s="252"/>
      <c r="G354" s="252"/>
      <c r="H354" s="252"/>
      <c r="I354" s="252"/>
      <c r="J354" s="252"/>
      <c r="K354" s="252"/>
      <c r="L354"/>
      <c r="M354"/>
    </row>
    <row r="355" spans="1:13" s="79" customFormat="1" x14ac:dyDescent="0.35">
      <c r="A355" s="251"/>
      <c r="B355" s="22"/>
      <c r="C355" s="252"/>
      <c r="D355" s="252"/>
      <c r="E355" s="252"/>
      <c r="F355" s="252"/>
      <c r="G355" s="252"/>
      <c r="H355" s="252"/>
      <c r="I355" s="252"/>
      <c r="J355" s="252"/>
      <c r="K355" s="252"/>
      <c r="L355"/>
      <c r="M355"/>
    </row>
    <row r="356" spans="1:13" s="79" customFormat="1" x14ac:dyDescent="0.35">
      <c r="A356" s="251"/>
      <c r="B356" s="22"/>
      <c r="C356" s="252"/>
      <c r="D356" s="252"/>
      <c r="E356" s="252"/>
      <c r="F356" s="252"/>
      <c r="G356" s="252"/>
      <c r="H356" s="252"/>
      <c r="I356" s="252"/>
      <c r="J356" s="252"/>
      <c r="K356" s="252"/>
      <c r="L356"/>
      <c r="M356"/>
    </row>
    <row r="357" spans="1:13" s="79" customFormat="1" x14ac:dyDescent="0.35">
      <c r="A357" s="251"/>
      <c r="B357" s="22"/>
      <c r="C357" s="252"/>
      <c r="D357" s="252"/>
      <c r="E357" s="252"/>
      <c r="F357" s="252"/>
      <c r="G357" s="252"/>
      <c r="H357" s="252"/>
      <c r="I357" s="252"/>
      <c r="J357" s="252"/>
      <c r="K357" s="252"/>
      <c r="L357"/>
      <c r="M357"/>
    </row>
    <row r="358" spans="1:13" s="79" customFormat="1" x14ac:dyDescent="0.35">
      <c r="A358" s="251"/>
      <c r="B358" s="22"/>
      <c r="C358" s="252"/>
      <c r="D358" s="252"/>
      <c r="E358" s="252"/>
      <c r="F358" s="252"/>
      <c r="G358" s="252"/>
      <c r="H358" s="252"/>
      <c r="I358" s="252"/>
      <c r="J358" s="252"/>
      <c r="K358" s="252"/>
      <c r="L358"/>
      <c r="M358"/>
    </row>
    <row r="359" spans="1:13" s="79" customFormat="1" x14ac:dyDescent="0.35">
      <c r="A359" s="251"/>
      <c r="B359" s="22"/>
      <c r="C359" s="252"/>
      <c r="D359" s="252"/>
      <c r="E359" s="252"/>
      <c r="F359" s="252"/>
      <c r="G359" s="252"/>
      <c r="H359" s="252"/>
      <c r="I359" s="252"/>
      <c r="J359" s="252"/>
      <c r="K359" s="252"/>
      <c r="L359"/>
      <c r="M359"/>
    </row>
    <row r="360" spans="1:13" s="79" customFormat="1" x14ac:dyDescent="0.35">
      <c r="A360" s="251"/>
      <c r="B360" s="22"/>
      <c r="C360" s="252"/>
      <c r="D360" s="252"/>
      <c r="E360" s="252"/>
      <c r="F360" s="252"/>
      <c r="G360" s="252"/>
      <c r="H360" s="252"/>
      <c r="I360" s="252"/>
      <c r="J360" s="252"/>
      <c r="K360" s="252"/>
      <c r="L360"/>
      <c r="M360"/>
    </row>
    <row r="361" spans="1:13" s="79" customFormat="1" x14ac:dyDescent="0.35">
      <c r="A361" s="251"/>
      <c r="B361" s="22"/>
      <c r="C361" s="252"/>
      <c r="D361" s="252"/>
      <c r="E361" s="252"/>
      <c r="F361" s="252"/>
      <c r="G361" s="252"/>
      <c r="H361" s="252"/>
      <c r="I361" s="252"/>
      <c r="J361" s="252"/>
      <c r="K361" s="252"/>
      <c r="L361"/>
      <c r="M361"/>
    </row>
    <row r="362" spans="1:13" s="79" customFormat="1" x14ac:dyDescent="0.35">
      <c r="A362" s="251"/>
      <c r="B362" s="22"/>
      <c r="C362" s="252"/>
      <c r="D362" s="252"/>
      <c r="E362" s="252"/>
      <c r="F362" s="252"/>
      <c r="G362" s="252"/>
      <c r="H362" s="252"/>
      <c r="I362" s="252"/>
      <c r="J362" s="252"/>
      <c r="K362" s="252"/>
      <c r="L362"/>
      <c r="M362"/>
    </row>
    <row r="363" spans="1:13" s="79" customFormat="1" x14ac:dyDescent="0.35">
      <c r="A363" s="251"/>
      <c r="B363" s="22"/>
      <c r="C363" s="252"/>
      <c r="D363" s="252"/>
      <c r="E363" s="252"/>
      <c r="F363" s="252"/>
      <c r="G363" s="252"/>
      <c r="H363" s="252"/>
      <c r="I363" s="252"/>
      <c r="J363" s="252"/>
      <c r="K363" s="252"/>
      <c r="L363"/>
      <c r="M363"/>
    </row>
    <row r="364" spans="1:13" s="79" customFormat="1" x14ac:dyDescent="0.35">
      <c r="A364" s="251"/>
      <c r="B364" s="22"/>
      <c r="C364" s="252"/>
      <c r="D364" s="252"/>
      <c r="E364" s="252"/>
      <c r="F364" s="252"/>
      <c r="G364" s="252"/>
      <c r="H364" s="252"/>
      <c r="I364" s="252"/>
      <c r="J364" s="252"/>
      <c r="K364" s="252"/>
      <c r="L364"/>
      <c r="M364"/>
    </row>
    <row r="365" spans="1:13" s="79" customFormat="1" x14ac:dyDescent="0.35">
      <c r="A365" s="251"/>
      <c r="B365" s="22"/>
      <c r="C365" s="252"/>
      <c r="D365" s="252"/>
      <c r="E365" s="252"/>
      <c r="F365" s="252"/>
      <c r="G365" s="252"/>
      <c r="H365" s="252"/>
      <c r="I365" s="252"/>
      <c r="J365" s="252"/>
      <c r="K365" s="252"/>
      <c r="L365"/>
      <c r="M365"/>
    </row>
    <row r="366" spans="1:13" s="79" customFormat="1" x14ac:dyDescent="0.35">
      <c r="A366" s="251"/>
      <c r="B366" s="22"/>
      <c r="C366" s="252"/>
      <c r="D366" s="252"/>
      <c r="E366" s="252"/>
      <c r="F366" s="252"/>
      <c r="G366" s="252"/>
      <c r="H366" s="252"/>
      <c r="I366" s="252"/>
      <c r="J366" s="252"/>
      <c r="K366" s="252"/>
      <c r="L366"/>
      <c r="M366"/>
    </row>
    <row r="367" spans="1:13" s="79" customFormat="1" x14ac:dyDescent="0.35">
      <c r="A367" s="251"/>
      <c r="B367" s="22"/>
      <c r="C367" s="252"/>
      <c r="D367" s="252"/>
      <c r="E367" s="252"/>
      <c r="F367" s="252"/>
      <c r="G367" s="252"/>
      <c r="H367" s="252"/>
      <c r="I367" s="252"/>
      <c r="J367" s="252"/>
      <c r="K367" s="252"/>
      <c r="L367"/>
      <c r="M367"/>
    </row>
    <row r="368" spans="1:13" s="79" customFormat="1" x14ac:dyDescent="0.35">
      <c r="A368" s="251"/>
      <c r="B368" s="22"/>
      <c r="C368" s="252"/>
      <c r="D368" s="252"/>
      <c r="E368" s="252"/>
      <c r="F368" s="252"/>
      <c r="G368" s="252"/>
      <c r="H368" s="252"/>
      <c r="I368" s="252"/>
      <c r="J368" s="252"/>
      <c r="K368" s="252"/>
      <c r="L368"/>
      <c r="M368"/>
    </row>
    <row r="369" spans="1:13" s="79" customFormat="1" x14ac:dyDescent="0.35">
      <c r="A369" s="251"/>
      <c r="B369" s="22"/>
      <c r="C369" s="252"/>
      <c r="D369" s="252"/>
      <c r="E369" s="252"/>
      <c r="F369" s="252"/>
      <c r="G369" s="252"/>
      <c r="H369" s="252"/>
      <c r="I369" s="252"/>
      <c r="J369" s="252"/>
      <c r="K369" s="252"/>
      <c r="L369"/>
      <c r="M369"/>
    </row>
    <row r="370" spans="1:13" s="79" customFormat="1" x14ac:dyDescent="0.35">
      <c r="A370" s="251"/>
      <c r="B370" s="22"/>
      <c r="C370" s="252"/>
      <c r="D370" s="252"/>
      <c r="E370" s="252"/>
      <c r="F370" s="252"/>
      <c r="G370" s="252"/>
      <c r="H370" s="252"/>
      <c r="I370" s="252"/>
      <c r="J370" s="252"/>
      <c r="K370" s="252"/>
      <c r="L370"/>
      <c r="M370"/>
    </row>
    <row r="371" spans="1:13" s="79" customFormat="1" x14ac:dyDescent="0.35">
      <c r="A371" s="251"/>
      <c r="B371" s="22"/>
      <c r="C371" s="252"/>
      <c r="D371" s="252"/>
      <c r="E371" s="252"/>
      <c r="F371" s="252"/>
      <c r="G371" s="252"/>
      <c r="H371" s="252"/>
      <c r="I371" s="252"/>
      <c r="J371" s="252"/>
      <c r="K371" s="252"/>
      <c r="L371"/>
      <c r="M371"/>
    </row>
    <row r="372" spans="1:13" s="79" customFormat="1" x14ac:dyDescent="0.35">
      <c r="A372" s="251"/>
      <c r="B372" s="22"/>
      <c r="C372" s="252"/>
      <c r="D372" s="252"/>
      <c r="E372" s="252"/>
      <c r="F372" s="252"/>
      <c r="G372" s="252"/>
      <c r="H372" s="252"/>
      <c r="I372" s="252"/>
      <c r="J372" s="252"/>
      <c r="K372" s="252"/>
      <c r="L372"/>
      <c r="M372"/>
    </row>
    <row r="373" spans="1:13" s="79" customFormat="1" x14ac:dyDescent="0.35">
      <c r="A373" s="251"/>
      <c r="B373" s="22"/>
      <c r="C373" s="252"/>
      <c r="D373" s="252"/>
      <c r="E373" s="252"/>
      <c r="F373" s="252"/>
      <c r="G373" s="252"/>
      <c r="H373" s="252"/>
      <c r="I373" s="252"/>
      <c r="J373" s="252"/>
      <c r="K373" s="252"/>
      <c r="L373"/>
      <c r="M373"/>
    </row>
    <row r="374" spans="1:13" s="79" customFormat="1" x14ac:dyDescent="0.35">
      <c r="A374" s="251"/>
      <c r="B374" s="22"/>
      <c r="C374" s="252"/>
      <c r="D374" s="252"/>
      <c r="E374" s="252"/>
      <c r="F374" s="252"/>
      <c r="G374" s="252"/>
      <c r="H374" s="252"/>
      <c r="I374" s="252"/>
      <c r="J374" s="252"/>
      <c r="K374" s="252"/>
      <c r="L374"/>
      <c r="M374"/>
    </row>
    <row r="375" spans="1:13" s="79" customFormat="1" x14ac:dyDescent="0.35">
      <c r="A375" s="251"/>
      <c r="B375" s="22"/>
      <c r="C375" s="252"/>
      <c r="D375" s="252"/>
      <c r="E375" s="252"/>
      <c r="F375" s="252"/>
      <c r="G375" s="252"/>
      <c r="H375" s="252"/>
      <c r="I375" s="252"/>
      <c r="J375" s="252"/>
      <c r="K375" s="252"/>
      <c r="L375"/>
      <c r="M375"/>
    </row>
    <row r="376" spans="1:13" s="79" customFormat="1" x14ac:dyDescent="0.35">
      <c r="A376" s="251"/>
      <c r="B376" s="22"/>
      <c r="C376" s="252"/>
      <c r="D376" s="252"/>
      <c r="E376" s="252"/>
      <c r="F376" s="252"/>
      <c r="G376" s="252"/>
      <c r="H376" s="252"/>
      <c r="I376" s="252"/>
      <c r="J376" s="252"/>
      <c r="K376" s="252"/>
      <c r="L376"/>
      <c r="M376"/>
    </row>
    <row r="377" spans="1:13" s="79" customFormat="1" x14ac:dyDescent="0.35">
      <c r="A377" s="251"/>
      <c r="B377" s="22"/>
      <c r="C377" s="252"/>
      <c r="D377" s="252"/>
      <c r="E377" s="252"/>
      <c r="F377" s="252"/>
      <c r="G377" s="252"/>
      <c r="H377" s="252"/>
      <c r="I377" s="252"/>
      <c r="J377" s="252"/>
      <c r="K377" s="252"/>
      <c r="L377"/>
      <c r="M377"/>
    </row>
    <row r="378" spans="1:13" s="79" customFormat="1" x14ac:dyDescent="0.35">
      <c r="A378" s="251"/>
      <c r="B378" s="22"/>
      <c r="C378" s="252"/>
      <c r="D378" s="252"/>
      <c r="E378" s="252"/>
      <c r="F378" s="252"/>
      <c r="G378" s="252"/>
      <c r="H378" s="252"/>
      <c r="I378" s="252"/>
      <c r="J378" s="252"/>
      <c r="K378" s="252"/>
      <c r="L378"/>
      <c r="M378"/>
    </row>
    <row r="379" spans="1:13" s="79" customFormat="1" x14ac:dyDescent="0.35">
      <c r="A379" s="251"/>
      <c r="B379" s="22"/>
      <c r="C379" s="252"/>
      <c r="D379" s="252"/>
      <c r="E379" s="252"/>
      <c r="F379" s="252"/>
      <c r="G379" s="252"/>
      <c r="H379" s="252"/>
      <c r="I379" s="252"/>
      <c r="J379" s="252"/>
      <c r="K379" s="252"/>
      <c r="L379"/>
      <c r="M379"/>
    </row>
    <row r="380" spans="1:13" s="79" customFormat="1" x14ac:dyDescent="0.35">
      <c r="A380" s="251"/>
      <c r="B380" s="22"/>
      <c r="C380" s="252"/>
      <c r="D380" s="252"/>
      <c r="E380" s="252"/>
      <c r="F380" s="252"/>
      <c r="G380" s="252"/>
      <c r="H380" s="252"/>
      <c r="I380" s="252"/>
      <c r="J380" s="252"/>
      <c r="K380" s="252"/>
      <c r="L380"/>
      <c r="M380"/>
    </row>
    <row r="381" spans="1:13" s="79" customFormat="1" x14ac:dyDescent="0.35">
      <c r="A381" s="251"/>
      <c r="B381" s="22"/>
      <c r="C381" s="252"/>
      <c r="D381" s="252"/>
      <c r="E381" s="252"/>
      <c r="F381" s="252"/>
      <c r="G381" s="252"/>
      <c r="H381" s="252"/>
      <c r="I381" s="252"/>
      <c r="J381" s="252"/>
      <c r="K381" s="252"/>
      <c r="L381"/>
      <c r="M381"/>
    </row>
    <row r="382" spans="1:13" s="79" customFormat="1" x14ac:dyDescent="0.35">
      <c r="A382" s="251"/>
      <c r="B382" s="22"/>
      <c r="C382" s="252"/>
      <c r="D382" s="252"/>
      <c r="E382" s="252"/>
      <c r="F382" s="252"/>
      <c r="G382" s="252"/>
      <c r="H382" s="252"/>
      <c r="I382" s="252"/>
      <c r="J382" s="252"/>
      <c r="K382" s="252"/>
      <c r="L382"/>
      <c r="M382"/>
    </row>
    <row r="383" spans="1:13" s="79" customFormat="1" x14ac:dyDescent="0.35">
      <c r="A383" s="251"/>
      <c r="B383" s="22"/>
      <c r="C383" s="252"/>
      <c r="D383" s="252"/>
      <c r="E383" s="252"/>
      <c r="F383" s="252"/>
      <c r="G383" s="252"/>
      <c r="H383" s="252"/>
      <c r="I383" s="252"/>
      <c r="J383" s="252"/>
      <c r="K383" s="252"/>
      <c r="L383"/>
      <c r="M383"/>
    </row>
    <row r="384" spans="1:13" s="79" customFormat="1" x14ac:dyDescent="0.35">
      <c r="A384" s="251"/>
      <c r="B384" s="22"/>
      <c r="C384" s="252"/>
      <c r="D384" s="252"/>
      <c r="E384" s="252"/>
      <c r="F384" s="252"/>
      <c r="G384" s="252"/>
      <c r="H384" s="252"/>
      <c r="I384" s="252"/>
      <c r="J384" s="252"/>
      <c r="K384" s="252"/>
      <c r="L384"/>
      <c r="M384"/>
    </row>
    <row r="385" spans="1:13" s="79" customFormat="1" x14ac:dyDescent="0.35">
      <c r="A385" s="251"/>
      <c r="B385" s="22"/>
      <c r="C385" s="252"/>
      <c r="D385" s="252"/>
      <c r="E385" s="252"/>
      <c r="F385" s="252"/>
      <c r="G385" s="252"/>
      <c r="H385" s="252"/>
      <c r="I385" s="252"/>
      <c r="J385" s="252"/>
      <c r="K385" s="252"/>
      <c r="L385"/>
      <c r="M385"/>
    </row>
    <row r="386" spans="1:13" s="79" customFormat="1" x14ac:dyDescent="0.35">
      <c r="A386" s="251"/>
      <c r="B386" s="22"/>
      <c r="C386" s="252"/>
      <c r="D386" s="252"/>
      <c r="E386" s="252"/>
      <c r="F386" s="252"/>
      <c r="G386" s="252"/>
      <c r="H386" s="252"/>
      <c r="I386" s="252"/>
      <c r="J386" s="252"/>
      <c r="K386" s="252"/>
      <c r="L386"/>
      <c r="M386"/>
    </row>
    <row r="387" spans="1:13" s="79" customFormat="1" x14ac:dyDescent="0.35">
      <c r="A387" s="251"/>
      <c r="B387" s="22"/>
      <c r="C387" s="252"/>
      <c r="D387" s="252"/>
      <c r="E387" s="252"/>
      <c r="F387" s="252"/>
      <c r="G387" s="252"/>
      <c r="H387" s="252"/>
      <c r="I387" s="252"/>
      <c r="J387" s="252"/>
      <c r="K387" s="252"/>
      <c r="L387"/>
      <c r="M387"/>
    </row>
    <row r="388" spans="1:13" s="79" customFormat="1" x14ac:dyDescent="0.35">
      <c r="A388" s="251"/>
      <c r="B388" s="22"/>
      <c r="C388" s="252"/>
      <c r="D388" s="252"/>
      <c r="E388" s="252"/>
      <c r="F388" s="252"/>
      <c r="G388" s="252"/>
      <c r="H388" s="252"/>
      <c r="I388" s="252"/>
      <c r="J388" s="252"/>
      <c r="K388" s="252"/>
      <c r="L388"/>
      <c r="M388"/>
    </row>
    <row r="389" spans="1:13" s="79" customFormat="1" x14ac:dyDescent="0.35">
      <c r="A389" s="251"/>
      <c r="B389" s="22"/>
      <c r="C389" s="252"/>
      <c r="D389" s="252"/>
      <c r="E389" s="252"/>
      <c r="F389" s="252"/>
      <c r="G389" s="252"/>
      <c r="H389" s="252"/>
      <c r="I389" s="252"/>
      <c r="J389" s="252"/>
      <c r="K389" s="252"/>
      <c r="L389"/>
      <c r="M389"/>
    </row>
    <row r="390" spans="1:13" s="79" customFormat="1" x14ac:dyDescent="0.35">
      <c r="A390" s="251"/>
      <c r="B390" s="22"/>
      <c r="C390" s="252"/>
      <c r="D390" s="252"/>
      <c r="E390" s="252"/>
      <c r="F390" s="252"/>
      <c r="G390" s="252"/>
      <c r="H390" s="252"/>
      <c r="I390" s="252"/>
      <c r="J390" s="252"/>
      <c r="K390" s="252"/>
      <c r="L390"/>
      <c r="M390"/>
    </row>
    <row r="391" spans="1:13" s="79" customFormat="1" x14ac:dyDescent="0.35">
      <c r="A391" s="251"/>
      <c r="B391" s="22"/>
      <c r="C391" s="252"/>
      <c r="D391" s="252"/>
      <c r="E391" s="252"/>
      <c r="F391" s="252"/>
      <c r="G391" s="252"/>
      <c r="H391" s="252"/>
      <c r="I391" s="252"/>
      <c r="J391" s="252"/>
      <c r="K391" s="252"/>
      <c r="L391"/>
      <c r="M391"/>
    </row>
    <row r="392" spans="1:13" s="79" customFormat="1" x14ac:dyDescent="0.35">
      <c r="A392" s="251"/>
      <c r="B392" s="22"/>
      <c r="C392" s="252"/>
      <c r="D392" s="252"/>
      <c r="E392" s="252"/>
      <c r="F392" s="252"/>
      <c r="G392" s="252"/>
      <c r="H392" s="252"/>
      <c r="I392" s="252"/>
      <c r="J392" s="252"/>
      <c r="K392" s="252"/>
      <c r="L392"/>
      <c r="M392"/>
    </row>
    <row r="393" spans="1:13" s="79" customFormat="1" x14ac:dyDescent="0.35">
      <c r="A393" s="251"/>
      <c r="B393" s="22"/>
      <c r="C393" s="252"/>
      <c r="D393" s="252"/>
      <c r="E393" s="252"/>
      <c r="F393" s="252"/>
      <c r="G393" s="252"/>
      <c r="H393" s="252"/>
      <c r="I393" s="252"/>
      <c r="J393" s="252"/>
      <c r="K393" s="252"/>
      <c r="L393"/>
      <c r="M393"/>
    </row>
    <row r="394" spans="1:13" s="79" customFormat="1" x14ac:dyDescent="0.35">
      <c r="A394" s="251"/>
      <c r="B394" s="22"/>
      <c r="C394" s="252"/>
      <c r="D394" s="252"/>
      <c r="E394" s="252"/>
      <c r="F394" s="252"/>
      <c r="G394" s="252"/>
      <c r="H394" s="252"/>
      <c r="I394" s="252"/>
      <c r="J394" s="252"/>
      <c r="K394" s="252"/>
      <c r="L394"/>
      <c r="M394"/>
    </row>
    <row r="395" spans="1:13" s="79" customFormat="1" x14ac:dyDescent="0.35">
      <c r="A395" s="251"/>
      <c r="B395" s="22"/>
      <c r="C395" s="252"/>
      <c r="D395" s="252"/>
      <c r="E395" s="252"/>
      <c r="F395" s="252"/>
      <c r="G395" s="252"/>
      <c r="H395" s="252"/>
      <c r="I395" s="252"/>
      <c r="J395" s="252"/>
      <c r="K395" s="252"/>
      <c r="L395"/>
      <c r="M395"/>
    </row>
    <row r="396" spans="1:13" s="79" customFormat="1" x14ac:dyDescent="0.35">
      <c r="A396" s="251"/>
      <c r="B396" s="22"/>
      <c r="C396" s="252"/>
      <c r="D396" s="252"/>
      <c r="E396" s="252"/>
      <c r="F396" s="252"/>
      <c r="G396" s="252"/>
      <c r="H396" s="252"/>
      <c r="I396" s="252"/>
      <c r="J396" s="252"/>
      <c r="K396" s="252"/>
      <c r="L396"/>
      <c r="M396"/>
    </row>
    <row r="397" spans="1:13" s="79" customFormat="1" x14ac:dyDescent="0.35">
      <c r="A397" s="251"/>
      <c r="B397" s="22"/>
      <c r="C397" s="252"/>
      <c r="D397" s="252"/>
      <c r="E397" s="252"/>
      <c r="F397" s="252"/>
      <c r="G397" s="252"/>
      <c r="H397" s="252"/>
      <c r="I397" s="252"/>
      <c r="J397" s="252"/>
      <c r="K397" s="252"/>
      <c r="L397"/>
      <c r="M397"/>
    </row>
    <row r="398" spans="1:13" s="79" customFormat="1" x14ac:dyDescent="0.35">
      <c r="A398" s="251"/>
      <c r="B398" s="22"/>
      <c r="C398" s="252"/>
      <c r="D398" s="252"/>
      <c r="E398" s="252"/>
      <c r="F398" s="252"/>
      <c r="G398" s="252"/>
      <c r="H398" s="252"/>
      <c r="I398" s="252"/>
      <c r="J398" s="252"/>
      <c r="K398" s="252"/>
      <c r="L398"/>
      <c r="M398"/>
    </row>
    <row r="399" spans="1:13" s="79" customFormat="1" x14ac:dyDescent="0.35">
      <c r="A399" s="251"/>
      <c r="B399" s="22"/>
      <c r="C399" s="252"/>
      <c r="D399" s="252"/>
      <c r="E399" s="252"/>
      <c r="F399" s="252"/>
      <c r="G399" s="252"/>
      <c r="H399" s="252"/>
      <c r="I399" s="252"/>
      <c r="J399" s="252"/>
      <c r="K399" s="252"/>
      <c r="L399"/>
      <c r="M399"/>
    </row>
    <row r="400" spans="1:13" s="79" customFormat="1" x14ac:dyDescent="0.35">
      <c r="A400" s="251"/>
      <c r="B400" s="22"/>
      <c r="C400" s="252"/>
      <c r="D400" s="252"/>
      <c r="E400" s="252"/>
      <c r="F400" s="252"/>
      <c r="G400" s="252"/>
      <c r="H400" s="252"/>
      <c r="I400" s="252"/>
      <c r="J400" s="252"/>
      <c r="K400" s="252"/>
      <c r="L400"/>
      <c r="M400"/>
    </row>
    <row r="401" spans="1:13" s="79" customFormat="1" x14ac:dyDescent="0.35">
      <c r="A401" s="251"/>
      <c r="B401" s="22"/>
      <c r="C401" s="252"/>
      <c r="D401" s="252"/>
      <c r="E401" s="252"/>
      <c r="F401" s="252"/>
      <c r="G401" s="252"/>
      <c r="H401" s="252"/>
      <c r="I401" s="252"/>
      <c r="J401" s="252"/>
      <c r="K401" s="252"/>
      <c r="L401"/>
      <c r="M401"/>
    </row>
    <row r="402" spans="1:13" s="79" customFormat="1" x14ac:dyDescent="0.35">
      <c r="A402" s="251"/>
      <c r="B402" s="22"/>
      <c r="C402" s="252"/>
      <c r="D402" s="252"/>
      <c r="E402" s="252"/>
      <c r="F402" s="252"/>
      <c r="G402" s="252"/>
      <c r="H402" s="252"/>
      <c r="I402" s="252"/>
      <c r="J402" s="252"/>
      <c r="K402" s="252"/>
      <c r="L402"/>
      <c r="M402"/>
    </row>
    <row r="403" spans="1:13" s="79" customFormat="1" x14ac:dyDescent="0.35">
      <c r="A403" s="251"/>
      <c r="B403" s="22"/>
      <c r="C403" s="252"/>
      <c r="D403" s="252"/>
      <c r="E403" s="252"/>
      <c r="F403" s="252"/>
      <c r="G403" s="252"/>
      <c r="H403" s="252"/>
      <c r="I403" s="252"/>
      <c r="J403" s="252"/>
      <c r="K403" s="252"/>
      <c r="L403"/>
      <c r="M403"/>
    </row>
    <row r="404" spans="1:13" s="79" customFormat="1" x14ac:dyDescent="0.35">
      <c r="A404" s="251"/>
      <c r="B404" s="22"/>
      <c r="C404" s="252"/>
      <c r="D404" s="252"/>
      <c r="E404" s="252"/>
      <c r="F404" s="252"/>
      <c r="G404" s="252"/>
      <c r="H404" s="252"/>
      <c r="I404" s="252"/>
      <c r="J404" s="252"/>
      <c r="K404" s="252"/>
      <c r="L404"/>
      <c r="M404"/>
    </row>
    <row r="405" spans="1:13" s="79" customFormat="1" x14ac:dyDescent="0.35">
      <c r="A405" s="251"/>
      <c r="B405" s="22"/>
      <c r="C405" s="252"/>
      <c r="D405" s="252"/>
      <c r="E405" s="252"/>
      <c r="F405" s="252"/>
      <c r="G405" s="252"/>
      <c r="H405" s="252"/>
      <c r="I405" s="252"/>
      <c r="J405" s="252"/>
      <c r="K405" s="252"/>
      <c r="L405"/>
      <c r="M405"/>
    </row>
    <row r="406" spans="1:13" s="79" customFormat="1" x14ac:dyDescent="0.35">
      <c r="A406" s="251"/>
      <c r="B406" s="22"/>
      <c r="C406" s="252"/>
      <c r="D406" s="252"/>
      <c r="E406" s="252"/>
      <c r="F406" s="252"/>
      <c r="G406" s="252"/>
      <c r="H406" s="252"/>
      <c r="I406" s="252"/>
      <c r="J406" s="252"/>
      <c r="K406" s="252"/>
      <c r="L406"/>
      <c r="M406"/>
    </row>
    <row r="407" spans="1:13" s="79" customFormat="1" x14ac:dyDescent="0.35">
      <c r="A407" s="251"/>
      <c r="B407" s="22"/>
      <c r="C407" s="252"/>
      <c r="D407" s="252"/>
      <c r="E407" s="252"/>
      <c r="F407" s="252"/>
      <c r="G407" s="252"/>
      <c r="H407" s="252"/>
      <c r="I407" s="252"/>
      <c r="J407" s="252"/>
      <c r="K407" s="252"/>
      <c r="L407"/>
      <c r="M407"/>
    </row>
    <row r="408" spans="1:13" s="79" customFormat="1" x14ac:dyDescent="0.35">
      <c r="A408" s="251"/>
      <c r="B408" s="22"/>
      <c r="C408" s="252"/>
      <c r="D408" s="252"/>
      <c r="E408" s="252"/>
      <c r="F408" s="252"/>
      <c r="G408" s="252"/>
      <c r="H408" s="252"/>
      <c r="I408" s="252"/>
      <c r="J408" s="252"/>
      <c r="K408" s="252"/>
      <c r="L408"/>
      <c r="M408"/>
    </row>
    <row r="409" spans="1:13" s="79" customFormat="1" x14ac:dyDescent="0.35">
      <c r="A409" s="251"/>
      <c r="B409" s="22"/>
      <c r="C409" s="252"/>
      <c r="D409" s="252"/>
      <c r="E409" s="252"/>
      <c r="F409" s="252"/>
      <c r="G409" s="252"/>
      <c r="H409" s="252"/>
      <c r="I409" s="252"/>
      <c r="J409" s="252"/>
      <c r="K409" s="252"/>
      <c r="L409"/>
      <c r="M409"/>
    </row>
    <row r="410" spans="1:13" s="79" customFormat="1" x14ac:dyDescent="0.35">
      <c r="A410" s="251"/>
      <c r="B410" s="22"/>
      <c r="C410" s="252"/>
      <c r="D410" s="252"/>
      <c r="E410" s="252"/>
      <c r="F410" s="252"/>
      <c r="G410" s="252"/>
      <c r="H410" s="252"/>
      <c r="I410" s="252"/>
      <c r="J410" s="252"/>
      <c r="K410" s="252"/>
      <c r="L410"/>
      <c r="M410"/>
    </row>
    <row r="411" spans="1:13" s="79" customFormat="1" x14ac:dyDescent="0.35">
      <c r="A411" s="251"/>
      <c r="B411" s="22"/>
      <c r="C411" s="252"/>
      <c r="D411" s="252"/>
      <c r="E411" s="252"/>
      <c r="F411" s="252"/>
      <c r="G411" s="252"/>
      <c r="H411" s="252"/>
      <c r="I411" s="252"/>
      <c r="J411" s="252"/>
      <c r="K411" s="252"/>
      <c r="L411"/>
      <c r="M411"/>
    </row>
    <row r="412" spans="1:13" s="79" customFormat="1" x14ac:dyDescent="0.35">
      <c r="A412" s="251"/>
      <c r="B412" s="22"/>
      <c r="C412" s="252"/>
      <c r="D412" s="252"/>
      <c r="E412" s="252"/>
      <c r="F412" s="252"/>
      <c r="G412" s="252"/>
      <c r="H412" s="252"/>
      <c r="I412" s="252"/>
      <c r="J412" s="252"/>
      <c r="K412" s="252"/>
      <c r="L412"/>
      <c r="M412"/>
    </row>
    <row r="413" spans="1:13" s="79" customFormat="1" x14ac:dyDescent="0.35">
      <c r="A413" s="251"/>
      <c r="B413" s="22"/>
      <c r="C413" s="252"/>
      <c r="D413" s="252"/>
      <c r="E413" s="252"/>
      <c r="F413" s="252"/>
      <c r="G413" s="252"/>
      <c r="H413" s="252"/>
      <c r="I413" s="252"/>
      <c r="J413" s="252"/>
      <c r="K413" s="252"/>
      <c r="L413"/>
      <c r="M413"/>
    </row>
    <row r="414" spans="1:13" s="79" customFormat="1" x14ac:dyDescent="0.35">
      <c r="A414" s="251"/>
      <c r="B414" s="22"/>
      <c r="C414" s="252"/>
      <c r="D414" s="252"/>
      <c r="E414" s="252"/>
      <c r="F414" s="252"/>
      <c r="G414" s="252"/>
      <c r="H414" s="252"/>
      <c r="I414" s="252"/>
      <c r="J414" s="252"/>
      <c r="K414" s="252"/>
      <c r="L414"/>
      <c r="M414"/>
    </row>
    <row r="415" spans="1:13" s="79" customFormat="1" x14ac:dyDescent="0.35">
      <c r="A415" s="251"/>
      <c r="B415" s="22"/>
      <c r="C415" s="252"/>
      <c r="D415" s="252"/>
      <c r="E415" s="252"/>
      <c r="F415" s="252"/>
      <c r="G415" s="252"/>
      <c r="H415" s="252"/>
      <c r="I415" s="252"/>
      <c r="J415" s="252"/>
      <c r="K415" s="252"/>
      <c r="L415"/>
      <c r="M415"/>
    </row>
    <row r="416" spans="1:13" s="79" customFormat="1" x14ac:dyDescent="0.35">
      <c r="A416" s="251"/>
      <c r="B416" s="22"/>
      <c r="C416" s="252"/>
      <c r="D416" s="252"/>
      <c r="E416" s="252"/>
      <c r="F416" s="252"/>
      <c r="G416" s="252"/>
      <c r="H416" s="252"/>
      <c r="I416" s="252"/>
      <c r="J416" s="252"/>
      <c r="K416" s="252"/>
      <c r="L416"/>
      <c r="M416"/>
    </row>
    <row r="417" spans="1:13" s="79" customFormat="1" x14ac:dyDescent="0.35">
      <c r="A417" s="251"/>
      <c r="B417" s="22"/>
      <c r="C417" s="252"/>
      <c r="D417" s="252"/>
      <c r="E417" s="252"/>
      <c r="F417" s="252"/>
      <c r="G417" s="252"/>
      <c r="H417" s="252"/>
      <c r="I417" s="252"/>
      <c r="J417" s="252"/>
      <c r="K417" s="252"/>
      <c r="L417"/>
      <c r="M417"/>
    </row>
    <row r="418" spans="1:13" s="79" customFormat="1" x14ac:dyDescent="0.35">
      <c r="A418" s="251"/>
      <c r="B418" s="22"/>
      <c r="C418" s="252"/>
      <c r="D418" s="252"/>
      <c r="E418" s="252"/>
      <c r="F418" s="252"/>
      <c r="G418" s="252"/>
      <c r="H418" s="252"/>
      <c r="I418" s="252"/>
      <c r="J418" s="252"/>
      <c r="K418" s="252"/>
      <c r="L418"/>
      <c r="M418"/>
    </row>
    <row r="419" spans="1:13" s="79" customFormat="1" x14ac:dyDescent="0.35">
      <c r="A419" s="251"/>
      <c r="B419" s="22"/>
      <c r="C419" s="252"/>
      <c r="D419" s="252"/>
      <c r="E419" s="252"/>
      <c r="F419" s="252"/>
      <c r="G419" s="252"/>
      <c r="H419" s="252"/>
      <c r="I419" s="252"/>
      <c r="J419" s="252"/>
      <c r="K419" s="252"/>
      <c r="L419"/>
      <c r="M419"/>
    </row>
    <row r="420" spans="1:13" s="79" customFormat="1" x14ac:dyDescent="0.35">
      <c r="A420" s="251"/>
      <c r="B420" s="22"/>
      <c r="C420" s="252"/>
      <c r="D420" s="252"/>
      <c r="E420" s="252"/>
      <c r="F420" s="252"/>
      <c r="G420" s="252"/>
      <c r="H420" s="252"/>
      <c r="I420" s="252"/>
      <c r="J420" s="252"/>
      <c r="K420" s="252"/>
      <c r="L420"/>
      <c r="M420"/>
    </row>
    <row r="421" spans="1:13" s="79" customFormat="1" x14ac:dyDescent="0.35">
      <c r="A421" s="251"/>
      <c r="B421" s="22"/>
      <c r="C421" s="252"/>
      <c r="D421" s="252"/>
      <c r="E421" s="252"/>
      <c r="F421" s="252"/>
      <c r="G421" s="252"/>
      <c r="H421" s="252"/>
      <c r="I421" s="252"/>
      <c r="J421" s="252"/>
      <c r="K421" s="252"/>
      <c r="L421"/>
      <c r="M421"/>
    </row>
    <row r="422" spans="1:13" s="79" customFormat="1" x14ac:dyDescent="0.35">
      <c r="A422" s="251"/>
      <c r="B422" s="22"/>
      <c r="C422" s="252"/>
      <c r="D422" s="252"/>
      <c r="E422" s="252"/>
      <c r="F422" s="252"/>
      <c r="G422" s="252"/>
      <c r="H422" s="252"/>
      <c r="I422" s="252"/>
      <c r="J422" s="252"/>
      <c r="K422" s="252"/>
      <c r="L422"/>
      <c r="M422"/>
    </row>
    <row r="423" spans="1:13" s="79" customFormat="1" x14ac:dyDescent="0.35">
      <c r="A423" s="251"/>
      <c r="B423" s="22"/>
      <c r="C423" s="252"/>
      <c r="D423" s="252"/>
      <c r="E423" s="252"/>
      <c r="F423" s="252"/>
      <c r="G423" s="252"/>
      <c r="H423" s="252"/>
      <c r="I423" s="252"/>
      <c r="J423" s="252"/>
      <c r="K423" s="252"/>
      <c r="L423"/>
      <c r="M423"/>
    </row>
    <row r="424" spans="1:13" s="79" customFormat="1" x14ac:dyDescent="0.35">
      <c r="A424" s="251"/>
      <c r="B424" s="22"/>
      <c r="C424" s="252"/>
      <c r="D424" s="252"/>
      <c r="E424" s="252"/>
      <c r="F424" s="252"/>
      <c r="G424" s="252"/>
      <c r="H424" s="252"/>
      <c r="I424" s="252"/>
      <c r="J424" s="252"/>
      <c r="K424" s="252"/>
      <c r="L424"/>
      <c r="M424"/>
    </row>
    <row r="425" spans="1:13" s="79" customFormat="1" x14ac:dyDescent="0.35">
      <c r="A425" s="251"/>
      <c r="B425" s="22"/>
      <c r="C425" s="252"/>
      <c r="D425" s="252"/>
      <c r="E425" s="252"/>
      <c r="F425" s="252"/>
      <c r="G425" s="252"/>
      <c r="H425" s="252"/>
      <c r="I425" s="252"/>
      <c r="J425" s="252"/>
      <c r="K425" s="252"/>
      <c r="L425"/>
      <c r="M425"/>
    </row>
    <row r="426" spans="1:13" s="79" customFormat="1" x14ac:dyDescent="0.35">
      <c r="A426" s="251"/>
      <c r="B426" s="22"/>
      <c r="C426" s="252"/>
      <c r="D426" s="252"/>
      <c r="E426" s="252"/>
      <c r="F426" s="252"/>
      <c r="G426" s="252"/>
      <c r="H426" s="252"/>
      <c r="I426" s="252"/>
      <c r="J426" s="252"/>
      <c r="K426" s="252"/>
      <c r="L426"/>
      <c r="M426"/>
    </row>
    <row r="427" spans="1:13" s="79" customFormat="1" x14ac:dyDescent="0.35">
      <c r="A427" s="251"/>
      <c r="B427" s="22"/>
      <c r="C427" s="252"/>
      <c r="D427" s="252"/>
      <c r="E427" s="252"/>
      <c r="F427" s="252"/>
      <c r="G427" s="252"/>
      <c r="H427" s="252"/>
      <c r="I427" s="252"/>
      <c r="J427" s="252"/>
      <c r="K427" s="252"/>
      <c r="L427"/>
      <c r="M427"/>
    </row>
    <row r="428" spans="1:13" s="79" customFormat="1" x14ac:dyDescent="0.35">
      <c r="A428" s="251"/>
      <c r="B428" s="22"/>
      <c r="C428" s="252"/>
      <c r="D428" s="252"/>
      <c r="E428" s="252"/>
      <c r="F428" s="252"/>
      <c r="G428" s="252"/>
      <c r="H428" s="252"/>
      <c r="I428" s="252"/>
      <c r="J428" s="252"/>
      <c r="K428" s="252"/>
      <c r="L428"/>
      <c r="M428"/>
    </row>
    <row r="429" spans="1:13" s="79" customFormat="1" x14ac:dyDescent="0.35">
      <c r="A429" s="251"/>
      <c r="B429" s="22"/>
      <c r="C429" s="252"/>
      <c r="D429" s="252"/>
      <c r="E429" s="252"/>
      <c r="F429" s="252"/>
      <c r="G429" s="252"/>
      <c r="H429" s="252"/>
      <c r="I429" s="252"/>
      <c r="J429" s="252"/>
      <c r="K429" s="252"/>
      <c r="L429"/>
      <c r="M429"/>
    </row>
    <row r="430" spans="1:13" s="79" customFormat="1" x14ac:dyDescent="0.35">
      <c r="A430" s="251"/>
      <c r="B430" s="22"/>
      <c r="C430" s="252"/>
      <c r="D430" s="252"/>
      <c r="E430" s="252"/>
      <c r="F430" s="252"/>
      <c r="G430" s="252"/>
      <c r="H430" s="252"/>
      <c r="I430" s="252"/>
      <c r="J430" s="252"/>
      <c r="K430" s="252"/>
      <c r="L430"/>
      <c r="M430"/>
    </row>
    <row r="431" spans="1:13" s="79" customFormat="1" x14ac:dyDescent="0.35">
      <c r="A431" s="251"/>
      <c r="B431" s="22"/>
      <c r="C431" s="252"/>
      <c r="D431" s="252"/>
      <c r="E431" s="252"/>
      <c r="F431" s="252"/>
      <c r="G431" s="252"/>
      <c r="H431" s="252"/>
      <c r="I431" s="252"/>
      <c r="J431" s="252"/>
      <c r="K431" s="252"/>
      <c r="L431"/>
      <c r="M431"/>
    </row>
    <row r="432" spans="1:13" s="79" customFormat="1" x14ac:dyDescent="0.35">
      <c r="A432" s="251"/>
      <c r="B432" s="22"/>
      <c r="C432" s="252"/>
      <c r="D432" s="252"/>
      <c r="E432" s="252"/>
      <c r="F432" s="252"/>
      <c r="G432" s="252"/>
      <c r="H432" s="252"/>
      <c r="I432" s="252"/>
      <c r="J432" s="252"/>
      <c r="K432" s="252"/>
      <c r="L432"/>
      <c r="M432"/>
    </row>
    <row r="433" spans="1:13" s="79" customFormat="1" x14ac:dyDescent="0.35">
      <c r="A433" s="251"/>
      <c r="B433" s="22"/>
      <c r="C433" s="252"/>
      <c r="D433" s="252"/>
      <c r="E433" s="252"/>
      <c r="F433" s="252"/>
      <c r="G433" s="252"/>
      <c r="H433" s="252"/>
      <c r="I433" s="252"/>
      <c r="J433" s="252"/>
      <c r="K433" s="252"/>
      <c r="L433"/>
      <c r="M433"/>
    </row>
    <row r="434" spans="1:13" s="79" customFormat="1" x14ac:dyDescent="0.35">
      <c r="A434" s="251"/>
      <c r="B434" s="22"/>
      <c r="C434" s="252"/>
      <c r="D434" s="252"/>
      <c r="E434" s="252"/>
      <c r="F434" s="252"/>
      <c r="G434" s="252"/>
      <c r="H434" s="252"/>
      <c r="I434" s="252"/>
      <c r="J434" s="252"/>
      <c r="K434" s="252"/>
      <c r="L434"/>
      <c r="M434"/>
    </row>
    <row r="435" spans="1:13" s="79" customFormat="1" x14ac:dyDescent="0.35">
      <c r="A435" s="251"/>
      <c r="B435" s="22"/>
      <c r="C435" s="252"/>
      <c r="D435" s="252"/>
      <c r="E435" s="252"/>
      <c r="F435" s="252"/>
      <c r="G435" s="252"/>
      <c r="H435" s="252"/>
      <c r="I435" s="252"/>
      <c r="J435" s="252"/>
      <c r="K435" s="252"/>
      <c r="L435"/>
      <c r="M435"/>
    </row>
    <row r="436" spans="1:13" s="79" customFormat="1" x14ac:dyDescent="0.35">
      <c r="A436" s="251"/>
      <c r="B436" s="22"/>
      <c r="C436" s="252"/>
      <c r="D436" s="252"/>
      <c r="E436" s="252"/>
      <c r="F436" s="252"/>
      <c r="G436" s="252"/>
      <c r="H436" s="252"/>
      <c r="I436" s="252"/>
      <c r="J436" s="252"/>
      <c r="K436" s="252"/>
      <c r="L436"/>
      <c r="M436"/>
    </row>
    <row r="437" spans="1:13" s="79" customFormat="1" x14ac:dyDescent="0.35">
      <c r="A437" s="251"/>
      <c r="B437" s="22"/>
      <c r="C437" s="252"/>
      <c r="D437" s="252"/>
      <c r="E437" s="252"/>
      <c r="F437" s="252"/>
      <c r="G437" s="252"/>
      <c r="H437" s="252"/>
      <c r="I437" s="252"/>
      <c r="J437" s="252"/>
      <c r="K437" s="252"/>
      <c r="L437"/>
      <c r="M437"/>
    </row>
    <row r="438" spans="1:13" s="79" customFormat="1" x14ac:dyDescent="0.35">
      <c r="A438" s="251"/>
      <c r="B438" s="22"/>
      <c r="C438" s="252"/>
      <c r="D438" s="252"/>
      <c r="E438" s="252"/>
      <c r="F438" s="252"/>
      <c r="G438" s="252"/>
      <c r="H438" s="252"/>
      <c r="I438" s="252"/>
      <c r="J438" s="252"/>
      <c r="K438" s="252"/>
      <c r="L438"/>
      <c r="M438"/>
    </row>
    <row r="439" spans="1:13" s="79" customFormat="1" x14ac:dyDescent="0.35">
      <c r="A439" s="251"/>
      <c r="B439" s="22"/>
      <c r="C439" s="252"/>
      <c r="D439" s="252"/>
      <c r="E439" s="252"/>
      <c r="F439" s="252"/>
      <c r="G439" s="252"/>
      <c r="H439" s="252"/>
      <c r="I439" s="252"/>
      <c r="J439" s="252"/>
      <c r="K439" s="252"/>
      <c r="L439"/>
      <c r="M439"/>
    </row>
    <row r="440" spans="1:13" s="79" customFormat="1" x14ac:dyDescent="0.35">
      <c r="A440" s="251"/>
      <c r="B440" s="22"/>
      <c r="C440" s="252"/>
      <c r="D440" s="252"/>
      <c r="E440" s="252"/>
      <c r="F440" s="252"/>
      <c r="G440" s="252"/>
      <c r="H440" s="252"/>
      <c r="I440" s="252"/>
      <c r="J440" s="252"/>
      <c r="K440" s="252"/>
      <c r="L440"/>
      <c r="M440"/>
    </row>
    <row r="441" spans="1:13" s="79" customFormat="1" x14ac:dyDescent="0.35">
      <c r="A441" s="251"/>
      <c r="B441" s="22"/>
      <c r="C441" s="252"/>
      <c r="D441" s="252"/>
      <c r="E441" s="252"/>
      <c r="F441" s="252"/>
      <c r="G441" s="252"/>
      <c r="H441" s="252"/>
      <c r="I441" s="252"/>
      <c r="J441" s="252"/>
      <c r="K441" s="252"/>
      <c r="L441"/>
      <c r="M441"/>
    </row>
    <row r="442" spans="1:13" s="79" customFormat="1" x14ac:dyDescent="0.35">
      <c r="A442" s="251"/>
      <c r="B442" s="22"/>
      <c r="C442" s="252"/>
      <c r="D442" s="252"/>
      <c r="E442" s="252"/>
      <c r="F442" s="252"/>
      <c r="G442" s="252"/>
      <c r="H442" s="252"/>
      <c r="I442" s="252"/>
      <c r="J442" s="252"/>
      <c r="K442" s="252"/>
      <c r="L442"/>
      <c r="M442"/>
    </row>
    <row r="443" spans="1:13" s="79" customFormat="1" x14ac:dyDescent="0.35">
      <c r="A443" s="251"/>
      <c r="B443" s="22"/>
      <c r="C443" s="252"/>
      <c r="D443" s="252"/>
      <c r="E443" s="252"/>
      <c r="F443" s="252"/>
      <c r="G443" s="252"/>
      <c r="H443" s="252"/>
      <c r="I443" s="252"/>
      <c r="J443" s="252"/>
      <c r="K443" s="252"/>
      <c r="L443"/>
      <c r="M443"/>
    </row>
    <row r="444" spans="1:13" s="79" customFormat="1" x14ac:dyDescent="0.35">
      <c r="A444" s="251"/>
      <c r="B444" s="22"/>
      <c r="C444" s="252"/>
      <c r="D444" s="252"/>
      <c r="E444" s="252"/>
      <c r="F444" s="252"/>
      <c r="G444" s="252"/>
      <c r="H444" s="252"/>
      <c r="I444" s="252"/>
      <c r="J444" s="252"/>
      <c r="K444" s="252"/>
      <c r="L444"/>
      <c r="M444"/>
    </row>
    <row r="445" spans="1:13" s="79" customFormat="1" x14ac:dyDescent="0.35">
      <c r="A445" s="251"/>
      <c r="B445" s="22"/>
      <c r="C445" s="252"/>
      <c r="D445" s="252"/>
      <c r="E445" s="252"/>
      <c r="F445" s="252"/>
      <c r="G445" s="252"/>
      <c r="H445" s="252"/>
      <c r="I445" s="252"/>
      <c r="J445" s="252"/>
      <c r="K445" s="252"/>
      <c r="L445"/>
      <c r="M445"/>
    </row>
    <row r="446" spans="1:13" s="79" customFormat="1" x14ac:dyDescent="0.35">
      <c r="A446" s="251"/>
      <c r="B446" s="22"/>
      <c r="C446" s="252"/>
      <c r="D446" s="252"/>
      <c r="E446" s="252"/>
      <c r="F446" s="252"/>
      <c r="G446" s="252"/>
      <c r="H446" s="252"/>
      <c r="I446" s="252"/>
      <c r="J446" s="252"/>
      <c r="K446" s="252"/>
      <c r="L446"/>
      <c r="M446"/>
    </row>
    <row r="447" spans="1:13" s="79" customFormat="1" x14ac:dyDescent="0.35">
      <c r="A447" s="251"/>
      <c r="B447" s="22"/>
      <c r="C447" s="252"/>
      <c r="D447" s="252"/>
      <c r="E447" s="252"/>
      <c r="F447" s="252"/>
      <c r="G447" s="252"/>
      <c r="H447" s="252"/>
      <c r="I447" s="252"/>
      <c r="J447" s="252"/>
      <c r="K447" s="252"/>
      <c r="L447"/>
      <c r="M447"/>
    </row>
    <row r="448" spans="1:13" s="79" customFormat="1" x14ac:dyDescent="0.35">
      <c r="A448" s="251"/>
      <c r="B448" s="22"/>
      <c r="C448" s="252"/>
      <c r="D448" s="252"/>
      <c r="E448" s="252"/>
      <c r="F448" s="252"/>
      <c r="G448" s="252"/>
      <c r="H448" s="252"/>
      <c r="I448" s="252"/>
      <c r="J448" s="252"/>
      <c r="K448" s="252"/>
      <c r="L448"/>
      <c r="M448"/>
    </row>
    <row r="449" spans="1:13" s="79" customFormat="1" x14ac:dyDescent="0.35">
      <c r="A449" s="251"/>
      <c r="B449" s="22"/>
      <c r="C449" s="252"/>
      <c r="D449" s="252"/>
      <c r="E449" s="252"/>
      <c r="F449" s="252"/>
      <c r="G449" s="252"/>
      <c r="H449" s="252"/>
      <c r="I449" s="252"/>
      <c r="J449" s="252"/>
      <c r="K449" s="252"/>
      <c r="L449"/>
      <c r="M449"/>
    </row>
    <row r="450" spans="1:13" s="79" customFormat="1" x14ac:dyDescent="0.35">
      <c r="A450" s="251"/>
      <c r="B450" s="22"/>
      <c r="C450" s="252"/>
      <c r="D450" s="252"/>
      <c r="E450" s="252"/>
      <c r="F450" s="252"/>
      <c r="G450" s="252"/>
      <c r="H450" s="252"/>
      <c r="I450" s="252"/>
      <c r="J450" s="252"/>
      <c r="K450" s="252"/>
      <c r="L450"/>
      <c r="M450"/>
    </row>
    <row r="451" spans="1:13" s="79" customFormat="1" x14ac:dyDescent="0.35">
      <c r="A451" s="251"/>
      <c r="B451" s="22"/>
      <c r="C451" s="252"/>
      <c r="D451" s="252"/>
      <c r="E451" s="252"/>
      <c r="F451" s="252"/>
      <c r="G451" s="252"/>
      <c r="H451" s="252"/>
      <c r="I451" s="252"/>
      <c r="J451" s="252"/>
      <c r="K451" s="252"/>
      <c r="L451"/>
      <c r="M451"/>
    </row>
    <row r="452" spans="1:13" s="79" customFormat="1" x14ac:dyDescent="0.35">
      <c r="A452" s="251"/>
      <c r="B452" s="22"/>
      <c r="C452" s="252"/>
      <c r="D452" s="252"/>
      <c r="E452" s="252"/>
      <c r="F452" s="252"/>
      <c r="G452" s="252"/>
      <c r="H452" s="252"/>
      <c r="I452" s="252"/>
      <c r="J452" s="252"/>
      <c r="K452" s="252"/>
      <c r="L452"/>
      <c r="M452"/>
    </row>
    <row r="453" spans="1:13" s="79" customFormat="1" x14ac:dyDescent="0.35">
      <c r="A453" s="251"/>
      <c r="B453" s="22"/>
      <c r="C453" s="252"/>
      <c r="D453" s="252"/>
      <c r="E453" s="252"/>
      <c r="F453" s="252"/>
      <c r="G453" s="252"/>
      <c r="H453" s="252"/>
      <c r="I453" s="252"/>
      <c r="J453" s="252"/>
      <c r="K453" s="252"/>
      <c r="L453"/>
      <c r="M453"/>
    </row>
    <row r="454" spans="1:13" s="79" customFormat="1" x14ac:dyDescent="0.35">
      <c r="A454" s="251"/>
      <c r="B454" s="22"/>
      <c r="C454" s="252"/>
      <c r="D454" s="252"/>
      <c r="E454" s="252"/>
      <c r="F454" s="252"/>
      <c r="G454" s="252"/>
      <c r="H454" s="252"/>
      <c r="I454" s="252"/>
      <c r="J454" s="252"/>
      <c r="K454" s="252"/>
      <c r="L454"/>
      <c r="M454"/>
    </row>
    <row r="455" spans="1:13" s="79" customFormat="1" x14ac:dyDescent="0.35">
      <c r="A455" s="251"/>
      <c r="B455" s="22"/>
      <c r="C455" s="252"/>
      <c r="D455" s="252"/>
      <c r="E455" s="252"/>
      <c r="F455" s="252"/>
      <c r="G455" s="252"/>
      <c r="H455" s="252"/>
      <c r="I455" s="252"/>
      <c r="J455" s="252"/>
      <c r="K455" s="252"/>
      <c r="L455"/>
      <c r="M455"/>
    </row>
    <row r="456" spans="1:13" s="79" customFormat="1" x14ac:dyDescent="0.35">
      <c r="A456" s="251"/>
      <c r="B456" s="22"/>
      <c r="C456" s="252"/>
      <c r="D456" s="252"/>
      <c r="E456" s="252"/>
      <c r="F456" s="252"/>
      <c r="G456" s="252"/>
      <c r="H456" s="252"/>
      <c r="I456" s="252"/>
      <c r="J456" s="252"/>
      <c r="K456" s="252"/>
      <c r="L456"/>
      <c r="M456"/>
    </row>
    <row r="457" spans="1:13" s="79" customFormat="1" x14ac:dyDescent="0.35">
      <c r="A457" s="251"/>
      <c r="B457" s="22"/>
      <c r="C457" s="252"/>
      <c r="D457" s="252"/>
      <c r="E457" s="252"/>
      <c r="F457" s="252"/>
      <c r="G457" s="252"/>
      <c r="H457" s="252"/>
      <c r="I457" s="252"/>
      <c r="J457" s="252"/>
      <c r="K457" s="252"/>
      <c r="L457"/>
      <c r="M457"/>
    </row>
    <row r="458" spans="1:13" s="79" customFormat="1" x14ac:dyDescent="0.35">
      <c r="A458" s="251"/>
      <c r="B458" s="22"/>
      <c r="C458" s="252"/>
      <c r="D458" s="252"/>
      <c r="E458" s="252"/>
      <c r="F458" s="252"/>
      <c r="G458" s="252"/>
      <c r="H458" s="252"/>
      <c r="I458" s="252"/>
      <c r="J458" s="252"/>
      <c r="K458" s="252"/>
      <c r="L458"/>
      <c r="M458"/>
    </row>
    <row r="459" spans="1:13" s="79" customFormat="1" x14ac:dyDescent="0.35">
      <c r="A459" s="251"/>
      <c r="B459" s="22"/>
      <c r="C459" s="252"/>
      <c r="D459" s="252"/>
      <c r="E459" s="252"/>
      <c r="F459" s="252"/>
      <c r="G459" s="252"/>
      <c r="H459" s="252"/>
      <c r="I459" s="252"/>
      <c r="J459" s="252"/>
      <c r="K459" s="252"/>
      <c r="L459"/>
      <c r="M459"/>
    </row>
    <row r="460" spans="1:13" s="79" customFormat="1" x14ac:dyDescent="0.35">
      <c r="A460" s="251"/>
      <c r="B460" s="22"/>
      <c r="C460" s="252"/>
      <c r="D460" s="252"/>
      <c r="E460" s="252"/>
      <c r="F460" s="252"/>
      <c r="G460" s="252"/>
      <c r="H460" s="252"/>
      <c r="I460" s="252"/>
      <c r="J460" s="252"/>
      <c r="K460" s="252"/>
      <c r="L460"/>
      <c r="M460"/>
    </row>
    <row r="461" spans="1:13" s="79" customFormat="1" x14ac:dyDescent="0.35">
      <c r="A461" s="251"/>
      <c r="B461" s="22"/>
      <c r="C461" s="252"/>
      <c r="D461" s="252"/>
      <c r="E461" s="252"/>
      <c r="F461" s="252"/>
      <c r="G461" s="252"/>
      <c r="H461" s="252"/>
      <c r="I461" s="252"/>
      <c r="J461" s="252"/>
      <c r="K461" s="252"/>
      <c r="L461"/>
      <c r="M461"/>
    </row>
    <row r="462" spans="1:13" s="79" customFormat="1" x14ac:dyDescent="0.35">
      <c r="A462" s="251"/>
      <c r="B462" s="22"/>
      <c r="C462" s="252"/>
      <c r="D462" s="252"/>
      <c r="E462" s="252"/>
      <c r="F462" s="252"/>
      <c r="G462" s="252"/>
      <c r="H462" s="252"/>
      <c r="I462" s="252"/>
      <c r="J462" s="252"/>
      <c r="K462" s="252"/>
      <c r="L462"/>
      <c r="M462"/>
    </row>
    <row r="463" spans="1:13" s="79" customFormat="1" x14ac:dyDescent="0.35">
      <c r="A463" s="251"/>
      <c r="B463" s="22"/>
      <c r="C463" s="252"/>
      <c r="D463" s="252"/>
      <c r="E463" s="252"/>
      <c r="F463" s="252"/>
      <c r="G463" s="252"/>
      <c r="H463" s="252"/>
      <c r="I463" s="252"/>
      <c r="J463" s="252"/>
      <c r="K463" s="252"/>
      <c r="L463"/>
      <c r="M463"/>
    </row>
    <row r="464" spans="1:13" s="79" customFormat="1" x14ac:dyDescent="0.35">
      <c r="A464" s="251"/>
      <c r="B464" s="22"/>
      <c r="C464" s="252"/>
      <c r="D464" s="252"/>
      <c r="E464" s="252"/>
      <c r="F464" s="252"/>
      <c r="G464" s="252"/>
      <c r="H464" s="252"/>
      <c r="I464" s="252"/>
      <c r="J464" s="252"/>
      <c r="K464" s="252"/>
      <c r="L464"/>
      <c r="M464"/>
    </row>
    <row r="465" spans="1:13" s="79" customFormat="1" x14ac:dyDescent="0.35">
      <c r="A465" s="251"/>
      <c r="B465" s="22"/>
      <c r="C465" s="252"/>
      <c r="D465" s="252"/>
      <c r="E465" s="252"/>
      <c r="F465" s="252"/>
      <c r="G465" s="252"/>
      <c r="H465" s="252"/>
      <c r="I465" s="252"/>
      <c r="J465" s="252"/>
      <c r="K465" s="252"/>
      <c r="L465"/>
      <c r="M465"/>
    </row>
    <row r="466" spans="1:13" s="79" customFormat="1" x14ac:dyDescent="0.35">
      <c r="A466" s="251"/>
      <c r="B466" s="22"/>
      <c r="C466" s="252"/>
      <c r="D466" s="252"/>
      <c r="E466" s="252"/>
      <c r="F466" s="252"/>
      <c r="G466" s="252"/>
      <c r="H466" s="252"/>
      <c r="I466" s="252"/>
      <c r="J466" s="252"/>
      <c r="K466" s="252"/>
      <c r="L466"/>
      <c r="M466"/>
    </row>
    <row r="467" spans="1:13" s="79" customFormat="1" x14ac:dyDescent="0.35">
      <c r="A467" s="251"/>
      <c r="B467" s="22"/>
      <c r="C467" s="252"/>
      <c r="D467" s="252"/>
      <c r="E467" s="252"/>
      <c r="F467" s="252"/>
      <c r="G467" s="252"/>
      <c r="H467" s="252"/>
      <c r="I467" s="252"/>
      <c r="J467" s="252"/>
      <c r="K467" s="252"/>
      <c r="L467"/>
      <c r="M467"/>
    </row>
    <row r="468" spans="1:13" s="79" customFormat="1" x14ac:dyDescent="0.35">
      <c r="A468" s="251"/>
      <c r="B468" s="22"/>
      <c r="C468" s="252"/>
      <c r="D468" s="252"/>
      <c r="E468" s="252"/>
      <c r="F468" s="252"/>
      <c r="G468" s="252"/>
      <c r="H468" s="252"/>
      <c r="I468" s="252"/>
      <c r="J468" s="252"/>
      <c r="K468" s="252"/>
      <c r="L468"/>
      <c r="M468"/>
    </row>
    <row r="469" spans="1:13" s="79" customFormat="1" x14ac:dyDescent="0.35">
      <c r="A469" s="251"/>
      <c r="B469" s="22"/>
      <c r="C469" s="252"/>
      <c r="D469" s="252"/>
      <c r="E469" s="252"/>
      <c r="F469" s="252"/>
      <c r="G469" s="252"/>
      <c r="H469" s="252"/>
      <c r="I469" s="252"/>
      <c r="J469" s="252"/>
      <c r="K469" s="252"/>
      <c r="L469"/>
      <c r="M469"/>
    </row>
    <row r="470" spans="1:13" s="79" customFormat="1" x14ac:dyDescent="0.35">
      <c r="A470" s="251"/>
      <c r="B470" s="22"/>
      <c r="C470" s="252"/>
      <c r="D470" s="252"/>
      <c r="E470" s="252"/>
      <c r="F470" s="252"/>
      <c r="G470" s="252"/>
      <c r="H470" s="252"/>
      <c r="I470" s="252"/>
      <c r="J470" s="252"/>
      <c r="K470" s="252"/>
      <c r="L470"/>
      <c r="M470"/>
    </row>
    <row r="471" spans="1:13" s="79" customFormat="1" x14ac:dyDescent="0.35">
      <c r="A471" s="251"/>
      <c r="B471" s="22"/>
      <c r="C471" s="252"/>
      <c r="D471" s="252"/>
      <c r="E471" s="252"/>
      <c r="F471" s="252"/>
      <c r="G471" s="252"/>
      <c r="H471" s="252"/>
      <c r="I471" s="252"/>
      <c r="J471" s="252"/>
      <c r="K471" s="252"/>
      <c r="L471"/>
      <c r="M471"/>
    </row>
    <row r="472" spans="1:13" s="79" customFormat="1" x14ac:dyDescent="0.35">
      <c r="A472" s="251"/>
      <c r="B472" s="22"/>
      <c r="C472" s="252"/>
      <c r="D472" s="252"/>
      <c r="E472" s="252"/>
      <c r="F472" s="252"/>
      <c r="G472" s="252"/>
      <c r="H472" s="252"/>
      <c r="I472" s="252"/>
      <c r="J472" s="252"/>
      <c r="K472" s="252"/>
      <c r="L472"/>
      <c r="M472"/>
    </row>
    <row r="473" spans="1:13" s="79" customFormat="1" x14ac:dyDescent="0.35">
      <c r="A473" s="251"/>
      <c r="B473" s="22"/>
      <c r="C473" s="252"/>
      <c r="D473" s="252"/>
      <c r="E473" s="252"/>
      <c r="F473" s="252"/>
      <c r="G473" s="252"/>
      <c r="H473" s="252"/>
      <c r="I473" s="252"/>
      <c r="J473" s="252"/>
      <c r="K473" s="252"/>
      <c r="L473"/>
      <c r="M473"/>
    </row>
    <row r="474" spans="1:13" s="79" customFormat="1" x14ac:dyDescent="0.35">
      <c r="A474" s="251"/>
      <c r="B474" s="22"/>
      <c r="C474" s="252"/>
      <c r="D474" s="252"/>
      <c r="E474" s="252"/>
      <c r="F474" s="252"/>
      <c r="G474" s="252"/>
      <c r="H474" s="252"/>
      <c r="I474" s="252"/>
      <c r="J474" s="252"/>
      <c r="K474" s="252"/>
      <c r="L474"/>
      <c r="M474"/>
    </row>
    <row r="475" spans="1:13" s="79" customFormat="1" x14ac:dyDescent="0.35">
      <c r="A475" s="251"/>
      <c r="B475" s="22"/>
      <c r="C475" s="252"/>
      <c r="D475" s="252"/>
      <c r="E475" s="252"/>
      <c r="F475" s="252"/>
      <c r="G475" s="252"/>
      <c r="H475" s="252"/>
      <c r="I475" s="252"/>
      <c r="J475" s="252"/>
      <c r="K475" s="252"/>
      <c r="L475"/>
      <c r="M475"/>
    </row>
    <row r="476" spans="1:13" s="79" customFormat="1" x14ac:dyDescent="0.35">
      <c r="A476" s="251"/>
      <c r="B476" s="22"/>
      <c r="C476" s="252"/>
      <c r="D476" s="252"/>
      <c r="E476" s="252"/>
      <c r="F476" s="252"/>
      <c r="G476" s="252"/>
      <c r="H476" s="252"/>
      <c r="I476" s="252"/>
      <c r="J476" s="252"/>
      <c r="K476" s="252"/>
      <c r="L476"/>
      <c r="M476"/>
    </row>
    <row r="477" spans="1:13" s="79" customFormat="1" x14ac:dyDescent="0.35">
      <c r="A477" s="251"/>
      <c r="B477" s="22"/>
      <c r="C477" s="252"/>
      <c r="D477" s="252"/>
      <c r="E477" s="252"/>
      <c r="F477" s="252"/>
      <c r="G477" s="252"/>
      <c r="H477" s="252"/>
      <c r="I477" s="252"/>
      <c r="J477" s="252"/>
      <c r="K477" s="252"/>
      <c r="L477"/>
      <c r="M477"/>
    </row>
    <row r="478" spans="1:13" s="79" customFormat="1" x14ac:dyDescent="0.35">
      <c r="A478" s="251"/>
      <c r="B478" s="22"/>
      <c r="C478" s="252"/>
      <c r="D478" s="252"/>
      <c r="E478" s="252"/>
      <c r="F478" s="252"/>
      <c r="G478" s="252"/>
      <c r="H478" s="252"/>
      <c r="I478" s="252"/>
      <c r="J478" s="252"/>
      <c r="K478" s="252"/>
      <c r="L478"/>
      <c r="M478"/>
    </row>
    <row r="479" spans="1:13" s="79" customFormat="1" x14ac:dyDescent="0.35">
      <c r="A479" s="251"/>
      <c r="B479" s="22"/>
      <c r="C479" s="252"/>
      <c r="D479" s="252"/>
      <c r="E479" s="252"/>
      <c r="F479" s="252"/>
      <c r="G479" s="252"/>
      <c r="H479" s="252"/>
      <c r="I479" s="252"/>
      <c r="J479" s="252"/>
      <c r="K479" s="252"/>
      <c r="L479"/>
      <c r="M479"/>
    </row>
    <row r="480" spans="1:13" s="79" customFormat="1" x14ac:dyDescent="0.35">
      <c r="A480" s="251"/>
      <c r="B480" s="22"/>
      <c r="C480" s="252"/>
      <c r="D480" s="252"/>
      <c r="E480" s="252"/>
      <c r="F480" s="252"/>
      <c r="G480" s="252"/>
      <c r="H480" s="252"/>
      <c r="I480" s="252"/>
      <c r="J480" s="252"/>
      <c r="K480" s="252"/>
      <c r="L480"/>
      <c r="M480"/>
    </row>
    <row r="481" spans="1:13" s="79" customFormat="1" x14ac:dyDescent="0.35">
      <c r="A481" s="251"/>
      <c r="B481" s="22"/>
      <c r="C481" s="252"/>
      <c r="D481" s="252"/>
      <c r="E481" s="252"/>
      <c r="F481" s="252"/>
      <c r="G481" s="252"/>
      <c r="H481" s="252"/>
      <c r="I481" s="252"/>
      <c r="J481" s="252"/>
      <c r="K481" s="252"/>
      <c r="L481"/>
      <c r="M481"/>
    </row>
    <row r="482" spans="1:13" s="79" customFormat="1" x14ac:dyDescent="0.35">
      <c r="A482" s="251"/>
      <c r="B482" s="22"/>
      <c r="C482" s="252"/>
      <c r="D482" s="252"/>
      <c r="E482" s="252"/>
      <c r="F482" s="252"/>
      <c r="G482" s="252"/>
      <c r="H482" s="252"/>
      <c r="I482" s="252"/>
      <c r="J482" s="252"/>
      <c r="K482" s="252"/>
      <c r="L482"/>
      <c r="M482"/>
    </row>
    <row r="483" spans="1:13" s="79" customFormat="1" x14ac:dyDescent="0.35">
      <c r="A483" s="251"/>
      <c r="B483" s="22"/>
      <c r="C483" s="252"/>
      <c r="D483" s="252"/>
      <c r="E483" s="252"/>
      <c r="F483" s="252"/>
      <c r="G483" s="252"/>
      <c r="H483" s="252"/>
      <c r="I483" s="252"/>
      <c r="J483" s="252"/>
      <c r="K483" s="252"/>
      <c r="L483"/>
      <c r="M483"/>
    </row>
    <row r="484" spans="1:13" s="79" customFormat="1" x14ac:dyDescent="0.35">
      <c r="A484" s="251"/>
      <c r="B484" s="22"/>
      <c r="C484" s="252"/>
      <c r="D484" s="252"/>
      <c r="E484" s="252"/>
      <c r="F484" s="252"/>
      <c r="G484" s="252"/>
      <c r="H484" s="252"/>
      <c r="I484" s="252"/>
      <c r="J484" s="252"/>
      <c r="K484" s="252"/>
      <c r="L484"/>
      <c r="M484"/>
    </row>
    <row r="485" spans="1:13" s="79" customFormat="1" x14ac:dyDescent="0.35">
      <c r="A485" s="251"/>
      <c r="B485" s="22"/>
      <c r="C485" s="252"/>
      <c r="D485" s="252"/>
      <c r="E485" s="252"/>
      <c r="F485" s="252"/>
      <c r="G485" s="252"/>
      <c r="H485" s="252"/>
      <c r="I485" s="252"/>
      <c r="J485" s="252"/>
      <c r="K485" s="252"/>
      <c r="L485"/>
      <c r="M485"/>
    </row>
    <row r="486" spans="1:13" s="79" customFormat="1" x14ac:dyDescent="0.35">
      <c r="A486" s="251"/>
      <c r="B486" s="22"/>
      <c r="C486" s="252"/>
      <c r="D486" s="252"/>
      <c r="E486" s="252"/>
      <c r="F486" s="252"/>
      <c r="G486" s="252"/>
      <c r="H486" s="252"/>
      <c r="I486" s="252"/>
      <c r="J486" s="252"/>
      <c r="K486" s="252"/>
      <c r="L486"/>
      <c r="M486"/>
    </row>
    <row r="487" spans="1:13" s="79" customFormat="1" x14ac:dyDescent="0.35">
      <c r="A487" s="251"/>
      <c r="B487" s="22"/>
      <c r="C487" s="252"/>
      <c r="D487" s="252"/>
      <c r="E487" s="252"/>
      <c r="F487" s="252"/>
      <c r="G487" s="252"/>
      <c r="H487" s="252"/>
      <c r="I487" s="252"/>
      <c r="J487" s="252"/>
      <c r="K487" s="252"/>
      <c r="L487"/>
      <c r="M487"/>
    </row>
    <row r="488" spans="1:13" s="79" customFormat="1" x14ac:dyDescent="0.35">
      <c r="A488" s="251"/>
      <c r="B488" s="22"/>
      <c r="C488" s="252"/>
      <c r="D488" s="252"/>
      <c r="E488" s="252"/>
      <c r="F488" s="252"/>
      <c r="G488" s="252"/>
      <c r="H488" s="252"/>
      <c r="I488" s="252"/>
      <c r="J488" s="252"/>
      <c r="K488" s="252"/>
      <c r="L488"/>
      <c r="M488"/>
    </row>
    <row r="489" spans="1:13" s="79" customFormat="1" x14ac:dyDescent="0.35">
      <c r="A489" s="251"/>
      <c r="B489" s="22"/>
      <c r="C489" s="252"/>
      <c r="D489" s="252"/>
      <c r="E489" s="252"/>
      <c r="F489" s="252"/>
      <c r="G489" s="252"/>
      <c r="H489" s="252"/>
      <c r="I489" s="252"/>
      <c r="J489" s="252"/>
      <c r="K489" s="252"/>
      <c r="L489"/>
      <c r="M489"/>
    </row>
    <row r="490" spans="1:13" s="79" customFormat="1" x14ac:dyDescent="0.35">
      <c r="A490" s="251"/>
      <c r="B490" s="22"/>
      <c r="C490" s="252"/>
      <c r="D490" s="252"/>
      <c r="E490" s="252"/>
      <c r="F490" s="252"/>
      <c r="G490" s="252"/>
      <c r="H490" s="252"/>
      <c r="I490" s="252"/>
      <c r="J490" s="252"/>
      <c r="K490" s="252"/>
      <c r="L490"/>
      <c r="M490"/>
    </row>
    <row r="491" spans="1:13" s="79" customFormat="1" x14ac:dyDescent="0.35">
      <c r="A491" s="251"/>
      <c r="B491" s="22"/>
      <c r="C491" s="252"/>
      <c r="D491" s="252"/>
      <c r="E491" s="252"/>
      <c r="F491" s="252"/>
      <c r="G491" s="252"/>
      <c r="H491" s="252"/>
      <c r="I491" s="252"/>
      <c r="J491" s="252"/>
      <c r="K491" s="252"/>
      <c r="L491"/>
      <c r="M491"/>
    </row>
    <row r="492" spans="1:13" s="79" customFormat="1" x14ac:dyDescent="0.35">
      <c r="A492" s="251"/>
      <c r="B492" s="22"/>
      <c r="C492" s="252"/>
      <c r="D492" s="252"/>
      <c r="E492" s="252"/>
      <c r="F492" s="252"/>
      <c r="G492" s="252"/>
      <c r="H492" s="252"/>
      <c r="I492" s="252"/>
      <c r="J492" s="252"/>
      <c r="K492" s="252"/>
      <c r="L492"/>
      <c r="M492"/>
    </row>
    <row r="493" spans="1:13" s="79" customFormat="1" x14ac:dyDescent="0.35">
      <c r="A493" s="251"/>
      <c r="B493" s="22"/>
      <c r="C493" s="252"/>
      <c r="D493" s="252"/>
      <c r="E493" s="252"/>
      <c r="F493" s="252"/>
      <c r="G493" s="252"/>
      <c r="H493" s="252"/>
      <c r="I493" s="252"/>
      <c r="J493" s="252"/>
      <c r="K493" s="252"/>
      <c r="L493"/>
      <c r="M493"/>
    </row>
    <row r="494" spans="1:13" s="79" customFormat="1" x14ac:dyDescent="0.35">
      <c r="A494" s="251"/>
      <c r="B494" s="22"/>
      <c r="C494" s="252"/>
      <c r="D494" s="252"/>
      <c r="E494" s="252"/>
      <c r="F494" s="252"/>
      <c r="G494" s="252"/>
      <c r="H494" s="252"/>
      <c r="I494" s="252"/>
      <c r="J494" s="252"/>
      <c r="K494" s="252"/>
      <c r="L494"/>
      <c r="M494"/>
    </row>
    <row r="495" spans="1:13" s="79" customFormat="1" x14ac:dyDescent="0.35">
      <c r="A495" s="251"/>
      <c r="B495" s="22"/>
      <c r="C495" s="252"/>
      <c r="D495" s="252"/>
      <c r="E495" s="252"/>
      <c r="F495" s="252"/>
      <c r="G495" s="252"/>
      <c r="H495" s="252"/>
      <c r="I495" s="252"/>
      <c r="J495" s="252"/>
      <c r="K495" s="252"/>
      <c r="L495"/>
      <c r="M495"/>
    </row>
    <row r="496" spans="1:13" s="79" customFormat="1" x14ac:dyDescent="0.35">
      <c r="A496" s="251"/>
      <c r="B496" s="22"/>
      <c r="C496" s="252"/>
      <c r="D496" s="252"/>
      <c r="E496" s="252"/>
      <c r="F496" s="252"/>
      <c r="G496" s="252"/>
      <c r="H496" s="252"/>
      <c r="I496" s="252"/>
      <c r="J496" s="252"/>
      <c r="K496" s="252"/>
      <c r="L496"/>
      <c r="M496"/>
    </row>
    <row r="497" spans="1:13" s="79" customFormat="1" x14ac:dyDescent="0.35">
      <c r="A497" s="251"/>
      <c r="B497" s="22"/>
      <c r="C497" s="252"/>
      <c r="D497" s="252"/>
      <c r="E497" s="252"/>
      <c r="F497" s="252"/>
      <c r="G497" s="252"/>
      <c r="H497" s="252"/>
      <c r="I497" s="252"/>
      <c r="J497" s="252"/>
      <c r="K497" s="252"/>
      <c r="L497"/>
      <c r="M497"/>
    </row>
    <row r="498" spans="1:13" s="79" customFormat="1" x14ac:dyDescent="0.35">
      <c r="A498" s="251"/>
      <c r="B498" s="22"/>
      <c r="C498" s="252"/>
      <c r="D498" s="252"/>
      <c r="E498" s="252"/>
      <c r="F498" s="252"/>
      <c r="G498" s="252"/>
      <c r="H498" s="252"/>
      <c r="I498" s="252"/>
      <c r="J498" s="252"/>
      <c r="K498" s="252"/>
      <c r="L498"/>
      <c r="M498"/>
    </row>
    <row r="499" spans="1:13" s="79" customFormat="1" x14ac:dyDescent="0.35">
      <c r="A499" s="251"/>
      <c r="B499" s="22"/>
      <c r="C499" s="252"/>
      <c r="D499" s="252"/>
      <c r="E499" s="252"/>
      <c r="F499" s="252"/>
      <c r="G499" s="252"/>
      <c r="H499" s="252"/>
      <c r="I499" s="252"/>
      <c r="J499" s="252"/>
      <c r="K499" s="252"/>
      <c r="L499"/>
      <c r="M499"/>
    </row>
    <row r="500" spans="1:13" s="79" customFormat="1" x14ac:dyDescent="0.35">
      <c r="A500" s="251"/>
      <c r="B500" s="22"/>
      <c r="C500" s="252"/>
      <c r="D500" s="252"/>
      <c r="E500" s="252"/>
      <c r="F500" s="252"/>
      <c r="G500" s="252"/>
      <c r="H500" s="252"/>
      <c r="I500" s="252"/>
      <c r="J500" s="252"/>
      <c r="K500" s="252"/>
      <c r="L500"/>
      <c r="M500"/>
    </row>
    <row r="501" spans="1:13" s="79" customFormat="1" x14ac:dyDescent="0.35">
      <c r="A501" s="251"/>
      <c r="B501" s="22"/>
      <c r="C501" s="252"/>
      <c r="D501" s="252"/>
      <c r="E501" s="252"/>
      <c r="F501" s="252"/>
      <c r="G501" s="252"/>
      <c r="H501" s="252"/>
      <c r="I501" s="252"/>
      <c r="J501" s="252"/>
      <c r="K501" s="252"/>
      <c r="L501"/>
      <c r="M501"/>
    </row>
    <row r="502" spans="1:13" s="79" customFormat="1" x14ac:dyDescent="0.35">
      <c r="A502" s="251"/>
      <c r="B502" s="22"/>
      <c r="C502" s="252"/>
      <c r="D502" s="252"/>
      <c r="E502" s="252"/>
      <c r="F502" s="252"/>
      <c r="G502" s="252"/>
      <c r="H502" s="252"/>
      <c r="I502" s="252"/>
      <c r="J502" s="252"/>
      <c r="K502" s="252"/>
      <c r="L502"/>
      <c r="M502"/>
    </row>
    <row r="503" spans="1:13" s="79" customFormat="1" x14ac:dyDescent="0.35">
      <c r="A503" s="251"/>
      <c r="B503" s="22"/>
      <c r="C503" s="252"/>
      <c r="D503" s="252"/>
      <c r="E503" s="252"/>
      <c r="F503" s="252"/>
      <c r="G503" s="252"/>
      <c r="H503" s="252"/>
      <c r="I503" s="252"/>
      <c r="J503" s="252"/>
      <c r="K503" s="252"/>
      <c r="L503"/>
      <c r="M503"/>
    </row>
    <row r="504" spans="1:13" s="79" customFormat="1" x14ac:dyDescent="0.35">
      <c r="A504" s="251"/>
      <c r="B504" s="22"/>
      <c r="C504" s="252"/>
      <c r="D504" s="252"/>
      <c r="E504" s="252"/>
      <c r="F504" s="252"/>
      <c r="G504" s="252"/>
      <c r="H504" s="252"/>
      <c r="I504" s="252"/>
      <c r="J504" s="252"/>
      <c r="K504" s="252"/>
      <c r="L504"/>
      <c r="M504"/>
    </row>
    <row r="505" spans="1:13" s="79" customFormat="1" x14ac:dyDescent="0.35">
      <c r="A505" s="251"/>
      <c r="B505" s="22"/>
      <c r="C505" s="252"/>
      <c r="D505" s="252"/>
      <c r="E505" s="252"/>
      <c r="F505" s="252"/>
      <c r="G505" s="252"/>
      <c r="H505" s="252"/>
      <c r="I505" s="252"/>
      <c r="J505" s="252"/>
      <c r="K505" s="252"/>
      <c r="L505"/>
      <c r="M505"/>
    </row>
    <row r="506" spans="1:13" s="79" customFormat="1" x14ac:dyDescent="0.35">
      <c r="A506" s="251"/>
      <c r="B506" s="22"/>
      <c r="C506" s="252"/>
      <c r="D506" s="252"/>
      <c r="E506" s="252"/>
      <c r="F506" s="252"/>
      <c r="G506" s="252"/>
      <c r="H506" s="252"/>
      <c r="I506" s="252"/>
      <c r="J506" s="252"/>
      <c r="K506" s="252"/>
      <c r="L506"/>
      <c r="M506"/>
    </row>
    <row r="507" spans="1:13" s="79" customFormat="1" x14ac:dyDescent="0.35">
      <c r="A507" s="251"/>
      <c r="B507" s="22"/>
      <c r="C507" s="252"/>
      <c r="D507" s="252"/>
      <c r="E507" s="252"/>
      <c r="F507" s="252"/>
      <c r="G507" s="252"/>
      <c r="H507" s="252"/>
      <c r="I507" s="252"/>
      <c r="J507" s="252"/>
      <c r="K507" s="252"/>
      <c r="L507"/>
      <c r="M507"/>
    </row>
    <row r="508" spans="1:13" s="79" customFormat="1" x14ac:dyDescent="0.35">
      <c r="A508" s="251"/>
      <c r="B508" s="22"/>
      <c r="C508" s="252"/>
      <c r="D508" s="252"/>
      <c r="E508" s="252"/>
      <c r="F508" s="252"/>
      <c r="G508" s="252"/>
      <c r="H508" s="252"/>
      <c r="I508" s="252"/>
      <c r="J508" s="252"/>
      <c r="K508" s="252"/>
      <c r="L508"/>
      <c r="M508"/>
    </row>
    <row r="509" spans="1:13" s="79" customFormat="1" x14ac:dyDescent="0.35">
      <c r="A509" s="251"/>
      <c r="B509" s="22"/>
      <c r="C509" s="252"/>
      <c r="D509" s="252"/>
      <c r="E509" s="252"/>
      <c r="F509" s="252"/>
      <c r="G509" s="252"/>
      <c r="H509" s="252"/>
      <c r="I509" s="252"/>
      <c r="J509" s="252"/>
      <c r="K509" s="252"/>
      <c r="L509"/>
      <c r="M509"/>
    </row>
    <row r="510" spans="1:13" s="79" customFormat="1" x14ac:dyDescent="0.35">
      <c r="A510" s="251"/>
      <c r="B510" s="22"/>
      <c r="C510" s="252"/>
      <c r="D510" s="252"/>
      <c r="E510" s="252"/>
      <c r="F510" s="252"/>
      <c r="G510" s="252"/>
      <c r="H510" s="252"/>
      <c r="I510" s="252"/>
      <c r="J510" s="252"/>
      <c r="K510" s="252"/>
      <c r="L510"/>
      <c r="M510"/>
    </row>
    <row r="511" spans="1:13" s="79" customFormat="1" x14ac:dyDescent="0.35">
      <c r="A511" s="251"/>
      <c r="B511" s="22"/>
      <c r="C511" s="252"/>
      <c r="D511" s="252"/>
      <c r="E511" s="252"/>
      <c r="F511" s="252"/>
      <c r="G511" s="252"/>
      <c r="H511" s="252"/>
      <c r="I511" s="252"/>
      <c r="J511" s="252"/>
      <c r="K511" s="252"/>
      <c r="L511"/>
      <c r="M511"/>
    </row>
    <row r="512" spans="1:13" s="79" customFormat="1" x14ac:dyDescent="0.35">
      <c r="A512" s="251"/>
      <c r="B512" s="22"/>
      <c r="C512" s="252"/>
      <c r="D512" s="252"/>
      <c r="E512" s="252"/>
      <c r="F512" s="252"/>
      <c r="G512" s="252"/>
      <c r="H512" s="252"/>
      <c r="I512" s="252"/>
      <c r="J512" s="252"/>
      <c r="K512" s="252"/>
      <c r="L512"/>
      <c r="M512"/>
    </row>
    <row r="513" spans="1:13" s="79" customFormat="1" x14ac:dyDescent="0.35">
      <c r="A513" s="251"/>
      <c r="B513" s="22"/>
      <c r="C513" s="252"/>
      <c r="D513" s="252"/>
      <c r="E513" s="252"/>
      <c r="F513" s="252"/>
      <c r="G513" s="252"/>
      <c r="H513" s="252"/>
      <c r="I513" s="252"/>
      <c r="J513" s="252"/>
      <c r="K513" s="252"/>
      <c r="L513"/>
      <c r="M513"/>
    </row>
    <row r="514" spans="1:13" s="79" customFormat="1" x14ac:dyDescent="0.35">
      <c r="A514" s="251"/>
      <c r="B514" s="22"/>
      <c r="C514" s="252"/>
      <c r="D514" s="252"/>
      <c r="E514" s="252"/>
      <c r="F514" s="252"/>
      <c r="G514" s="252"/>
      <c r="H514" s="252"/>
      <c r="I514" s="252"/>
      <c r="J514" s="252"/>
      <c r="K514" s="252"/>
      <c r="L514"/>
      <c r="M514"/>
    </row>
    <row r="515" spans="1:13" s="79" customFormat="1" x14ac:dyDescent="0.35">
      <c r="A515" s="251"/>
      <c r="B515" s="22"/>
      <c r="C515" s="252"/>
      <c r="D515" s="252"/>
      <c r="E515" s="252"/>
      <c r="F515" s="252"/>
      <c r="G515" s="252"/>
      <c r="H515" s="252"/>
      <c r="I515" s="252"/>
      <c r="J515" s="252"/>
      <c r="K515" s="252"/>
      <c r="L515"/>
      <c r="M515"/>
    </row>
    <row r="516" spans="1:13" s="79" customFormat="1" x14ac:dyDescent="0.35">
      <c r="A516" s="251"/>
      <c r="B516" s="22"/>
      <c r="C516" s="252"/>
      <c r="D516" s="252"/>
      <c r="E516" s="252"/>
      <c r="F516" s="252"/>
      <c r="G516" s="252"/>
      <c r="H516" s="252"/>
      <c r="I516" s="252"/>
      <c r="J516" s="252"/>
      <c r="K516" s="252"/>
      <c r="L516"/>
      <c r="M516"/>
    </row>
    <row r="517" spans="1:13" s="79" customFormat="1" x14ac:dyDescent="0.35">
      <c r="A517" s="251"/>
      <c r="B517" s="22"/>
      <c r="C517" s="252"/>
      <c r="D517" s="252"/>
      <c r="E517" s="252"/>
      <c r="F517" s="252"/>
      <c r="G517" s="252"/>
      <c r="H517" s="252"/>
      <c r="I517" s="252"/>
      <c r="J517" s="252"/>
      <c r="K517" s="252"/>
      <c r="L517"/>
      <c r="M517"/>
    </row>
    <row r="518" spans="1:13" s="79" customFormat="1" x14ac:dyDescent="0.35">
      <c r="A518" s="251"/>
      <c r="B518" s="22"/>
      <c r="C518" s="252"/>
      <c r="D518" s="252"/>
      <c r="E518" s="252"/>
      <c r="F518" s="252"/>
      <c r="G518" s="252"/>
      <c r="H518" s="252"/>
      <c r="I518" s="252"/>
      <c r="J518" s="252"/>
      <c r="K518" s="252"/>
      <c r="L518"/>
      <c r="M518"/>
    </row>
    <row r="519" spans="1:13" s="79" customFormat="1" x14ac:dyDescent="0.35">
      <c r="A519" s="251"/>
      <c r="B519" s="22"/>
      <c r="C519" s="252"/>
      <c r="D519" s="252"/>
      <c r="E519" s="252"/>
      <c r="F519" s="252"/>
      <c r="G519" s="252"/>
      <c r="H519" s="252"/>
      <c r="I519" s="252"/>
      <c r="J519" s="252"/>
      <c r="K519" s="252"/>
      <c r="L519"/>
      <c r="M519"/>
    </row>
    <row r="520" spans="1:13" s="79" customFormat="1" x14ac:dyDescent="0.35">
      <c r="A520" s="251"/>
      <c r="B520" s="22"/>
      <c r="C520" s="252"/>
      <c r="D520" s="252"/>
      <c r="E520" s="252"/>
      <c r="F520" s="252"/>
      <c r="G520" s="252"/>
      <c r="H520" s="252"/>
      <c r="I520" s="252"/>
      <c r="J520" s="252"/>
      <c r="K520" s="252"/>
      <c r="L520"/>
      <c r="M520"/>
    </row>
    <row r="521" spans="1:13" s="79" customFormat="1" x14ac:dyDescent="0.35">
      <c r="A521" s="251"/>
      <c r="B521" s="22"/>
      <c r="C521" s="252"/>
      <c r="D521" s="252"/>
      <c r="E521" s="252"/>
      <c r="F521" s="252"/>
      <c r="G521" s="252"/>
      <c r="H521" s="252"/>
      <c r="I521" s="252"/>
      <c r="J521" s="252"/>
      <c r="K521" s="252"/>
      <c r="L521"/>
      <c r="M521"/>
    </row>
    <row r="522" spans="1:13" s="79" customFormat="1" x14ac:dyDescent="0.35">
      <c r="A522" s="251"/>
      <c r="B522" s="22"/>
      <c r="C522" s="252"/>
      <c r="D522" s="252"/>
      <c r="E522" s="252"/>
      <c r="F522" s="252"/>
      <c r="G522" s="252"/>
      <c r="H522" s="252"/>
      <c r="I522" s="252"/>
      <c r="J522" s="252"/>
      <c r="K522" s="252"/>
      <c r="L522"/>
      <c r="M522"/>
    </row>
    <row r="523" spans="1:13" s="79" customFormat="1" x14ac:dyDescent="0.35">
      <c r="A523" s="251"/>
      <c r="B523" s="22"/>
      <c r="C523" s="252"/>
      <c r="D523" s="252"/>
      <c r="E523" s="252"/>
      <c r="F523" s="252"/>
      <c r="G523" s="252"/>
      <c r="H523" s="252"/>
      <c r="I523" s="252"/>
      <c r="J523" s="252"/>
      <c r="K523" s="252"/>
      <c r="L523"/>
      <c r="M523"/>
    </row>
    <row r="524" spans="1:13" s="79" customFormat="1" x14ac:dyDescent="0.35">
      <c r="A524" s="251"/>
      <c r="B524" s="22"/>
      <c r="C524" s="252"/>
      <c r="D524" s="252"/>
      <c r="E524" s="252"/>
      <c r="F524" s="252"/>
      <c r="G524" s="252"/>
      <c r="H524" s="252"/>
      <c r="I524" s="252"/>
      <c r="J524" s="252"/>
      <c r="K524" s="252"/>
      <c r="L524"/>
      <c r="M524"/>
    </row>
    <row r="525" spans="1:13" s="79" customFormat="1" x14ac:dyDescent="0.35">
      <c r="A525" s="251"/>
      <c r="B525" s="22"/>
      <c r="C525" s="252"/>
      <c r="D525" s="252"/>
      <c r="E525" s="252"/>
      <c r="F525" s="252"/>
      <c r="G525" s="252"/>
      <c r="H525" s="252"/>
      <c r="I525" s="252"/>
      <c r="J525" s="252"/>
      <c r="K525" s="252"/>
      <c r="L525"/>
      <c r="M525"/>
    </row>
    <row r="526" spans="1:13" s="79" customFormat="1" x14ac:dyDescent="0.35">
      <c r="A526" s="251"/>
      <c r="B526" s="22"/>
      <c r="C526" s="252"/>
      <c r="D526" s="252"/>
      <c r="E526" s="252"/>
      <c r="F526" s="252"/>
      <c r="G526" s="252"/>
      <c r="H526" s="252"/>
      <c r="I526" s="252"/>
      <c r="J526" s="252"/>
      <c r="K526" s="252"/>
      <c r="L526"/>
      <c r="M526"/>
    </row>
    <row r="527" spans="1:13" s="79" customFormat="1" x14ac:dyDescent="0.35">
      <c r="A527" s="251"/>
      <c r="B527" s="22"/>
      <c r="C527" s="252"/>
      <c r="D527" s="252"/>
      <c r="E527" s="252"/>
      <c r="F527" s="252"/>
      <c r="G527" s="252"/>
      <c r="H527" s="252"/>
      <c r="I527" s="252"/>
      <c r="J527" s="252"/>
      <c r="K527" s="252"/>
      <c r="L527"/>
      <c r="M527"/>
    </row>
    <row r="528" spans="1:13" s="79" customFormat="1" x14ac:dyDescent="0.35">
      <c r="A528" s="251"/>
      <c r="B528" s="22"/>
      <c r="C528" s="252"/>
      <c r="D528" s="252"/>
      <c r="E528" s="252"/>
      <c r="F528" s="252"/>
      <c r="G528" s="252"/>
      <c r="H528" s="252"/>
      <c r="I528" s="252"/>
      <c r="J528" s="252"/>
      <c r="K528" s="252"/>
      <c r="L528"/>
      <c r="M528"/>
    </row>
    <row r="529" spans="1:13" s="79" customFormat="1" x14ac:dyDescent="0.35">
      <c r="A529" s="251"/>
      <c r="B529" s="22"/>
      <c r="C529" s="252"/>
      <c r="D529" s="252"/>
      <c r="E529" s="252"/>
      <c r="F529" s="252"/>
      <c r="G529" s="252"/>
      <c r="H529" s="252"/>
      <c r="I529" s="252"/>
      <c r="J529" s="252"/>
      <c r="K529" s="252"/>
      <c r="L529"/>
      <c r="M529"/>
    </row>
    <row r="530" spans="1:13" s="79" customFormat="1" x14ac:dyDescent="0.35">
      <c r="A530" s="251"/>
      <c r="B530" s="22"/>
      <c r="C530" s="252"/>
      <c r="D530" s="252"/>
      <c r="E530" s="252"/>
      <c r="F530" s="252"/>
      <c r="G530" s="252"/>
      <c r="H530" s="252"/>
      <c r="I530" s="252"/>
      <c r="J530" s="252"/>
      <c r="K530" s="252"/>
      <c r="L530"/>
      <c r="M530"/>
    </row>
    <row r="531" spans="1:13" s="79" customFormat="1" x14ac:dyDescent="0.35">
      <c r="A531" s="251"/>
      <c r="B531" s="22"/>
      <c r="C531" s="252"/>
      <c r="D531" s="252"/>
      <c r="E531" s="252"/>
      <c r="F531" s="252"/>
      <c r="G531" s="252"/>
      <c r="H531" s="252"/>
      <c r="I531" s="252"/>
      <c r="J531" s="252"/>
      <c r="K531" s="252"/>
      <c r="L531"/>
      <c r="M531"/>
    </row>
    <row r="532" spans="1:13" s="79" customFormat="1" x14ac:dyDescent="0.35">
      <c r="A532" s="251"/>
      <c r="B532" s="22"/>
      <c r="C532" s="252"/>
      <c r="D532" s="252"/>
      <c r="E532" s="252"/>
      <c r="F532" s="252"/>
      <c r="G532" s="252"/>
      <c r="H532" s="252"/>
      <c r="I532" s="252"/>
      <c r="J532" s="252"/>
      <c r="K532" s="252"/>
      <c r="L532"/>
      <c r="M532"/>
    </row>
    <row r="533" spans="1:13" s="79" customFormat="1" x14ac:dyDescent="0.35">
      <c r="A533" s="251"/>
      <c r="B533" s="22"/>
      <c r="C533" s="252"/>
      <c r="D533" s="252"/>
      <c r="E533" s="252"/>
      <c r="F533" s="252"/>
      <c r="G533" s="252"/>
      <c r="H533" s="252"/>
      <c r="I533" s="252"/>
      <c r="J533" s="252"/>
      <c r="K533" s="252"/>
      <c r="L533"/>
      <c r="M533"/>
    </row>
    <row r="534" spans="1:13" s="79" customFormat="1" x14ac:dyDescent="0.35">
      <c r="A534" s="251"/>
      <c r="B534" s="22"/>
      <c r="C534" s="252"/>
      <c r="D534" s="252"/>
      <c r="E534" s="252"/>
      <c r="F534" s="252"/>
      <c r="G534" s="252"/>
      <c r="H534" s="252"/>
      <c r="I534" s="252"/>
      <c r="J534" s="252"/>
      <c r="K534" s="252"/>
      <c r="L534"/>
      <c r="M534"/>
    </row>
    <row r="535" spans="1:13" s="79" customFormat="1" x14ac:dyDescent="0.35">
      <c r="A535" s="251"/>
      <c r="B535" s="22"/>
      <c r="C535" s="252"/>
      <c r="D535" s="252"/>
      <c r="E535" s="252"/>
      <c r="F535" s="252"/>
      <c r="G535" s="252"/>
      <c r="H535" s="252"/>
      <c r="I535" s="252"/>
      <c r="J535" s="252"/>
      <c r="K535" s="252"/>
      <c r="L535"/>
      <c r="M535"/>
    </row>
    <row r="536" spans="1:13" s="79" customFormat="1" x14ac:dyDescent="0.35">
      <c r="A536" s="251"/>
      <c r="B536" s="22"/>
      <c r="C536" s="252"/>
      <c r="D536" s="252"/>
      <c r="E536" s="252"/>
      <c r="F536" s="252"/>
      <c r="G536" s="252"/>
      <c r="H536" s="252"/>
      <c r="I536" s="252"/>
      <c r="J536" s="252"/>
      <c r="K536" s="252"/>
      <c r="L536"/>
      <c r="M536"/>
    </row>
    <row r="537" spans="1:13" s="79" customFormat="1" x14ac:dyDescent="0.35">
      <c r="A537" s="251"/>
      <c r="B537" s="22"/>
      <c r="C537" s="252"/>
      <c r="D537" s="252"/>
      <c r="E537" s="252"/>
      <c r="F537" s="252"/>
      <c r="G537" s="252"/>
      <c r="H537" s="252"/>
      <c r="I537" s="252"/>
      <c r="J537" s="252"/>
      <c r="K537" s="252"/>
      <c r="L537"/>
      <c r="M537"/>
    </row>
    <row r="538" spans="1:13" s="79" customFormat="1" x14ac:dyDescent="0.35">
      <c r="A538" s="251"/>
      <c r="B538" s="22"/>
      <c r="C538" s="252"/>
      <c r="D538" s="252"/>
      <c r="E538" s="252"/>
      <c r="F538" s="252"/>
      <c r="G538" s="252"/>
      <c r="H538" s="252"/>
      <c r="I538" s="252"/>
      <c r="J538" s="252"/>
      <c r="K538" s="252"/>
      <c r="L538"/>
      <c r="M538"/>
    </row>
    <row r="539" spans="1:13" s="79" customFormat="1" x14ac:dyDescent="0.35">
      <c r="A539" s="251"/>
      <c r="B539" s="22"/>
      <c r="C539" s="252"/>
      <c r="D539" s="252"/>
      <c r="E539" s="252"/>
      <c r="F539" s="252"/>
      <c r="G539" s="252"/>
      <c r="H539" s="252"/>
      <c r="I539" s="252"/>
      <c r="J539" s="252"/>
      <c r="K539" s="252"/>
      <c r="L539"/>
      <c r="M539"/>
    </row>
    <row r="540" spans="1:13" s="79" customFormat="1" x14ac:dyDescent="0.35">
      <c r="A540" s="251"/>
      <c r="B540" s="22"/>
      <c r="C540" s="252"/>
      <c r="D540" s="252"/>
      <c r="E540" s="252"/>
      <c r="F540" s="252"/>
      <c r="G540" s="252"/>
      <c r="H540" s="252"/>
      <c r="I540" s="252"/>
      <c r="J540" s="252"/>
      <c r="K540" s="252"/>
      <c r="L540"/>
      <c r="M540"/>
    </row>
    <row r="541" spans="1:13" s="79" customFormat="1" x14ac:dyDescent="0.35">
      <c r="A541" s="251"/>
      <c r="B541" s="22"/>
      <c r="C541" s="252"/>
      <c r="D541" s="252"/>
      <c r="E541" s="252"/>
      <c r="F541" s="252"/>
      <c r="G541" s="252"/>
      <c r="H541" s="252"/>
      <c r="I541" s="252"/>
      <c r="J541" s="252"/>
      <c r="K541" s="252"/>
      <c r="L541"/>
      <c r="M541"/>
    </row>
    <row r="542" spans="1:13" s="79" customFormat="1" x14ac:dyDescent="0.35">
      <c r="A542" s="251"/>
      <c r="B542" s="22"/>
      <c r="C542" s="252"/>
      <c r="D542" s="252"/>
      <c r="E542" s="252"/>
      <c r="F542" s="252"/>
      <c r="G542" s="252"/>
      <c r="H542" s="252"/>
      <c r="I542" s="252"/>
      <c r="J542" s="252"/>
      <c r="K542" s="252"/>
      <c r="L542"/>
      <c r="M542"/>
    </row>
    <row r="543" spans="1:13" s="79" customFormat="1" x14ac:dyDescent="0.35">
      <c r="A543" s="251"/>
      <c r="B543" s="22"/>
      <c r="C543" s="252"/>
      <c r="D543" s="252"/>
      <c r="E543" s="252"/>
      <c r="F543" s="252"/>
      <c r="G543" s="252"/>
      <c r="H543" s="252"/>
      <c r="I543" s="252"/>
      <c r="J543" s="252"/>
      <c r="K543" s="252"/>
      <c r="L543"/>
      <c r="M543"/>
    </row>
    <row r="544" spans="1:13" s="79" customFormat="1" x14ac:dyDescent="0.35">
      <c r="A544" s="251"/>
      <c r="B544" s="22"/>
      <c r="C544" s="252"/>
      <c r="D544" s="252"/>
      <c r="E544" s="252"/>
      <c r="F544" s="252"/>
      <c r="G544" s="252"/>
      <c r="H544" s="252"/>
      <c r="I544" s="252"/>
      <c r="J544" s="252"/>
      <c r="K544" s="252"/>
      <c r="L544"/>
      <c r="M544"/>
    </row>
    <row r="545" spans="1:13" s="79" customFormat="1" x14ac:dyDescent="0.35">
      <c r="A545" s="251"/>
      <c r="B545" s="22"/>
      <c r="C545" s="252"/>
      <c r="D545" s="252"/>
      <c r="E545" s="252"/>
      <c r="F545" s="252"/>
      <c r="G545" s="252"/>
      <c r="H545" s="252"/>
      <c r="I545" s="252"/>
      <c r="J545" s="252"/>
      <c r="K545" s="252"/>
      <c r="L545"/>
      <c r="M545"/>
    </row>
    <row r="546" spans="1:13" s="79" customFormat="1" x14ac:dyDescent="0.35">
      <c r="A546" s="251"/>
      <c r="B546" s="22"/>
      <c r="C546" s="252"/>
      <c r="D546" s="252"/>
      <c r="E546" s="252"/>
      <c r="F546" s="252"/>
      <c r="G546" s="252"/>
      <c r="H546" s="252"/>
      <c r="I546" s="252"/>
      <c r="J546" s="252"/>
      <c r="K546" s="252"/>
      <c r="L546"/>
      <c r="M546"/>
    </row>
    <row r="547" spans="1:13" s="79" customFormat="1" x14ac:dyDescent="0.35">
      <c r="A547" s="251"/>
      <c r="B547" s="22"/>
      <c r="C547" s="252"/>
      <c r="D547" s="252"/>
      <c r="E547" s="252"/>
      <c r="F547" s="252"/>
      <c r="G547" s="252"/>
      <c r="H547" s="252"/>
      <c r="I547" s="252"/>
      <c r="J547" s="252"/>
      <c r="K547" s="252"/>
      <c r="L547"/>
      <c r="M547"/>
    </row>
    <row r="548" spans="1:13" s="79" customFormat="1" x14ac:dyDescent="0.35">
      <c r="A548" s="251"/>
      <c r="B548" s="22"/>
      <c r="C548" s="252"/>
      <c r="D548" s="252"/>
      <c r="E548" s="252"/>
      <c r="F548" s="252"/>
      <c r="G548" s="252"/>
      <c r="H548" s="252"/>
      <c r="I548" s="252"/>
      <c r="J548" s="252"/>
      <c r="K548" s="252"/>
      <c r="L548"/>
      <c r="M548"/>
    </row>
    <row r="549" spans="1:13" s="79" customFormat="1" x14ac:dyDescent="0.35">
      <c r="A549" s="251"/>
      <c r="B549" s="22"/>
      <c r="C549" s="252"/>
      <c r="D549" s="252"/>
      <c r="E549" s="252"/>
      <c r="F549" s="252"/>
      <c r="G549" s="252"/>
      <c r="H549" s="252"/>
      <c r="I549" s="252"/>
      <c r="J549" s="252"/>
      <c r="K549" s="252"/>
      <c r="L549"/>
      <c r="M549"/>
    </row>
    <row r="550" spans="1:13" s="79" customFormat="1" x14ac:dyDescent="0.35">
      <c r="A550" s="251"/>
      <c r="B550" s="22"/>
      <c r="C550" s="252"/>
      <c r="D550" s="252"/>
      <c r="E550" s="252"/>
      <c r="F550" s="252"/>
      <c r="G550" s="252"/>
      <c r="H550" s="252"/>
      <c r="I550" s="252"/>
      <c r="J550" s="252"/>
      <c r="K550" s="252"/>
      <c r="L550"/>
      <c r="M550"/>
    </row>
    <row r="551" spans="1:13" s="79" customFormat="1" x14ac:dyDescent="0.35">
      <c r="A551" s="251"/>
      <c r="B551" s="22"/>
      <c r="C551" s="252"/>
      <c r="D551" s="252"/>
      <c r="E551" s="252"/>
      <c r="F551" s="252"/>
      <c r="G551" s="252"/>
      <c r="H551" s="252"/>
      <c r="I551" s="252"/>
      <c r="J551" s="252"/>
      <c r="K551" s="252"/>
      <c r="L551"/>
      <c r="M551"/>
    </row>
    <row r="552" spans="1:13" s="79" customFormat="1" x14ac:dyDescent="0.35">
      <c r="A552" s="251"/>
      <c r="B552" s="22"/>
      <c r="C552" s="252"/>
      <c r="D552" s="252"/>
      <c r="E552" s="252"/>
      <c r="F552" s="252"/>
      <c r="G552" s="252"/>
      <c r="H552" s="252"/>
      <c r="I552" s="252"/>
      <c r="J552" s="252"/>
      <c r="K552" s="252"/>
      <c r="L552"/>
      <c r="M552"/>
    </row>
    <row r="553" spans="1:13" s="79" customFormat="1" x14ac:dyDescent="0.35">
      <c r="A553" s="251"/>
      <c r="B553" s="22"/>
      <c r="C553" s="252"/>
      <c r="D553" s="252"/>
      <c r="E553" s="252"/>
      <c r="F553" s="252"/>
      <c r="G553" s="252"/>
      <c r="H553" s="252"/>
      <c r="I553" s="252"/>
      <c r="J553" s="252"/>
      <c r="K553" s="252"/>
      <c r="L553"/>
      <c r="M553"/>
    </row>
    <row r="554" spans="1:13" s="79" customFormat="1" x14ac:dyDescent="0.35">
      <c r="A554" s="251"/>
      <c r="B554" s="22"/>
      <c r="C554" s="252"/>
      <c r="D554" s="252"/>
      <c r="E554" s="252"/>
      <c r="F554" s="252"/>
      <c r="G554" s="252"/>
      <c r="H554" s="252"/>
      <c r="I554" s="252"/>
      <c r="J554" s="252"/>
      <c r="K554" s="252"/>
      <c r="L554"/>
      <c r="M554"/>
    </row>
    <row r="555" spans="1:13" s="79" customFormat="1" x14ac:dyDescent="0.35">
      <c r="A555" s="251"/>
      <c r="B555" s="22"/>
      <c r="C555" s="252"/>
      <c r="D555" s="252"/>
      <c r="E555" s="252"/>
      <c r="F555" s="252"/>
      <c r="G555" s="252"/>
      <c r="H555" s="252"/>
      <c r="I555" s="252"/>
      <c r="J555" s="252"/>
      <c r="K555" s="252"/>
      <c r="L555"/>
      <c r="M555"/>
    </row>
    <row r="556" spans="1:13" s="79" customFormat="1" x14ac:dyDescent="0.35">
      <c r="A556" s="251"/>
      <c r="B556" s="22"/>
      <c r="C556" s="252"/>
      <c r="D556" s="252"/>
      <c r="E556" s="252"/>
      <c r="F556" s="252"/>
      <c r="G556" s="252"/>
      <c r="H556" s="252"/>
      <c r="I556" s="252"/>
      <c r="J556" s="252"/>
      <c r="K556" s="252"/>
      <c r="L556"/>
      <c r="M556"/>
    </row>
    <row r="557" spans="1:13" s="79" customFormat="1" x14ac:dyDescent="0.35">
      <c r="A557" s="251"/>
      <c r="B557" s="22"/>
      <c r="C557" s="252"/>
      <c r="D557" s="252"/>
      <c r="E557" s="252"/>
      <c r="F557" s="252"/>
      <c r="G557" s="252"/>
      <c r="H557" s="252"/>
      <c r="I557" s="252"/>
      <c r="J557" s="252"/>
      <c r="K557" s="252"/>
      <c r="L557"/>
      <c r="M557"/>
    </row>
    <row r="558" spans="1:13" s="79" customFormat="1" x14ac:dyDescent="0.35">
      <c r="A558" s="251"/>
      <c r="B558" s="22"/>
      <c r="C558" s="252"/>
      <c r="D558" s="252"/>
      <c r="E558" s="252"/>
      <c r="F558" s="252"/>
      <c r="G558" s="252"/>
      <c r="H558" s="252"/>
      <c r="I558" s="252"/>
      <c r="J558" s="252"/>
      <c r="K558" s="252"/>
      <c r="L558"/>
      <c r="M558"/>
    </row>
    <row r="559" spans="1:13" s="79" customFormat="1" x14ac:dyDescent="0.35">
      <c r="A559" s="251"/>
      <c r="B559" s="22"/>
      <c r="C559" s="252"/>
      <c r="D559" s="252"/>
      <c r="E559" s="252"/>
      <c r="F559" s="252"/>
      <c r="G559" s="252"/>
      <c r="H559" s="252"/>
      <c r="I559" s="252"/>
      <c r="J559" s="252"/>
      <c r="K559" s="252"/>
      <c r="L559"/>
      <c r="M559"/>
    </row>
    <row r="560" spans="1:13" s="79" customFormat="1" x14ac:dyDescent="0.35">
      <c r="A560" s="251"/>
      <c r="B560" s="22"/>
      <c r="C560" s="252"/>
      <c r="D560" s="252"/>
      <c r="E560" s="252"/>
      <c r="F560" s="252"/>
      <c r="G560" s="252"/>
      <c r="H560" s="252"/>
      <c r="I560" s="252"/>
      <c r="J560" s="252"/>
      <c r="K560" s="252"/>
      <c r="L560"/>
      <c r="M560"/>
    </row>
    <row r="561" spans="1:13" s="79" customFormat="1" x14ac:dyDescent="0.35">
      <c r="A561" s="251"/>
      <c r="B561" s="22"/>
      <c r="C561" s="252"/>
      <c r="D561" s="252"/>
      <c r="E561" s="252"/>
      <c r="F561" s="252"/>
      <c r="G561" s="252"/>
      <c r="H561" s="252"/>
      <c r="I561" s="252"/>
      <c r="J561" s="252"/>
      <c r="K561" s="252"/>
      <c r="L561"/>
      <c r="M561"/>
    </row>
    <row r="562" spans="1:13" s="79" customFormat="1" x14ac:dyDescent="0.35">
      <c r="A562" s="251"/>
      <c r="B562" s="22"/>
      <c r="C562" s="252"/>
      <c r="D562" s="252"/>
      <c r="E562" s="252"/>
      <c r="F562" s="252"/>
      <c r="G562" s="252"/>
      <c r="H562" s="252"/>
      <c r="I562" s="252"/>
      <c r="J562" s="252"/>
      <c r="K562" s="252"/>
      <c r="L562"/>
      <c r="M562"/>
    </row>
    <row r="563" spans="1:13" s="79" customFormat="1" x14ac:dyDescent="0.35">
      <c r="A563" s="251"/>
      <c r="B563" s="22"/>
      <c r="C563" s="252"/>
      <c r="D563" s="252"/>
      <c r="E563" s="252"/>
      <c r="F563" s="252"/>
      <c r="G563" s="252"/>
      <c r="H563" s="252"/>
      <c r="I563" s="252"/>
      <c r="J563" s="252"/>
      <c r="K563" s="252"/>
      <c r="L563"/>
      <c r="M563"/>
    </row>
    <row r="564" spans="1:13" s="79" customFormat="1" x14ac:dyDescent="0.35">
      <c r="A564" s="251"/>
      <c r="B564" s="22"/>
      <c r="C564" s="252"/>
      <c r="D564" s="252"/>
      <c r="E564" s="252"/>
      <c r="F564" s="252"/>
      <c r="G564" s="252"/>
      <c r="H564" s="252"/>
      <c r="I564" s="252"/>
      <c r="J564" s="252"/>
      <c r="K564" s="252"/>
      <c r="L564"/>
      <c r="M564"/>
    </row>
    <row r="565" spans="1:13" s="79" customFormat="1" x14ac:dyDescent="0.35">
      <c r="A565" s="251"/>
      <c r="B565" s="22"/>
      <c r="C565" s="252"/>
      <c r="D565" s="252"/>
      <c r="E565" s="252"/>
      <c r="F565" s="252"/>
      <c r="G565" s="252"/>
      <c r="H565" s="252"/>
      <c r="I565" s="252"/>
      <c r="J565" s="252"/>
      <c r="K565" s="252"/>
      <c r="L565"/>
      <c r="M565"/>
    </row>
    <row r="566" spans="1:13" s="79" customFormat="1" x14ac:dyDescent="0.35">
      <c r="A566" s="251"/>
      <c r="B566" s="22"/>
      <c r="C566" s="252"/>
      <c r="D566" s="252"/>
      <c r="E566" s="252"/>
      <c r="F566" s="252"/>
      <c r="G566" s="252"/>
      <c r="H566" s="252"/>
      <c r="I566" s="252"/>
      <c r="J566" s="252"/>
      <c r="K566" s="252"/>
      <c r="L566"/>
      <c r="M566"/>
    </row>
    <row r="567" spans="1:13" s="79" customFormat="1" x14ac:dyDescent="0.35">
      <c r="A567" s="251"/>
      <c r="B567" s="22"/>
      <c r="C567" s="252"/>
      <c r="D567" s="252"/>
      <c r="E567" s="252"/>
      <c r="F567" s="252"/>
      <c r="G567" s="252"/>
      <c r="H567" s="252"/>
      <c r="I567" s="252"/>
      <c r="J567" s="252"/>
      <c r="K567" s="252"/>
      <c r="L567"/>
      <c r="M567"/>
    </row>
    <row r="568" spans="1:13" s="79" customFormat="1" x14ac:dyDescent="0.35">
      <c r="A568" s="251"/>
      <c r="B568" s="22"/>
      <c r="C568" s="252"/>
      <c r="D568" s="252"/>
      <c r="E568" s="252"/>
      <c r="F568" s="252"/>
      <c r="G568" s="252"/>
      <c r="H568" s="252"/>
      <c r="I568" s="252"/>
      <c r="J568" s="252"/>
      <c r="K568" s="252"/>
      <c r="L568"/>
      <c r="M568"/>
    </row>
    <row r="569" spans="1:13" s="79" customFormat="1" x14ac:dyDescent="0.35">
      <c r="A569" s="251"/>
      <c r="B569" s="22"/>
      <c r="C569" s="252"/>
      <c r="D569" s="252"/>
      <c r="E569" s="252"/>
      <c r="F569" s="252"/>
      <c r="G569" s="252"/>
      <c r="H569" s="252"/>
      <c r="I569" s="252"/>
      <c r="J569" s="252"/>
      <c r="K569" s="252"/>
      <c r="L569"/>
      <c r="M569"/>
    </row>
    <row r="570" spans="1:13" s="79" customFormat="1" x14ac:dyDescent="0.35">
      <c r="A570" s="251"/>
      <c r="B570" s="22"/>
      <c r="C570" s="252"/>
      <c r="D570" s="252"/>
      <c r="E570" s="252"/>
      <c r="F570" s="252"/>
      <c r="G570" s="252"/>
      <c r="H570" s="252"/>
      <c r="I570" s="252"/>
      <c r="J570" s="252"/>
      <c r="K570" s="252"/>
      <c r="L570"/>
      <c r="M570"/>
    </row>
    <row r="571" spans="1:13" s="79" customFormat="1" x14ac:dyDescent="0.35">
      <c r="A571" s="251"/>
      <c r="B571" s="22"/>
      <c r="C571" s="252"/>
      <c r="D571" s="252"/>
      <c r="E571" s="252"/>
      <c r="F571" s="252"/>
      <c r="G571" s="252"/>
      <c r="H571" s="252"/>
      <c r="I571" s="252"/>
      <c r="J571" s="252"/>
      <c r="K571" s="252"/>
      <c r="L571"/>
      <c r="M571"/>
    </row>
    <row r="572" spans="1:13" s="79" customFormat="1" x14ac:dyDescent="0.35">
      <c r="A572" s="251"/>
      <c r="B572" s="22"/>
      <c r="C572" s="252"/>
      <c r="D572" s="252"/>
      <c r="E572" s="252"/>
      <c r="F572" s="252"/>
      <c r="G572" s="252"/>
      <c r="H572" s="252"/>
      <c r="I572" s="252"/>
      <c r="J572" s="252"/>
      <c r="K572" s="252"/>
      <c r="L572"/>
      <c r="M572"/>
    </row>
    <row r="573" spans="1:13" s="79" customFormat="1" x14ac:dyDescent="0.35">
      <c r="A573" s="251"/>
      <c r="B573" s="22"/>
      <c r="C573" s="252"/>
      <c r="D573" s="252"/>
      <c r="E573" s="252"/>
      <c r="F573" s="252"/>
      <c r="G573" s="252"/>
      <c r="H573" s="252"/>
      <c r="I573" s="252"/>
      <c r="J573" s="252"/>
      <c r="K573" s="252"/>
      <c r="L573"/>
      <c r="M573"/>
    </row>
    <row r="574" spans="1:13" s="79" customFormat="1" x14ac:dyDescent="0.35">
      <c r="A574" s="251"/>
      <c r="B574" s="22"/>
      <c r="C574" s="252"/>
      <c r="D574" s="252"/>
      <c r="E574" s="252"/>
      <c r="F574" s="252"/>
      <c r="G574" s="252"/>
      <c r="H574" s="252"/>
      <c r="I574" s="252"/>
      <c r="J574" s="252"/>
      <c r="K574" s="252"/>
      <c r="L574"/>
      <c r="M574"/>
    </row>
    <row r="575" spans="1:13" s="79" customFormat="1" x14ac:dyDescent="0.35">
      <c r="A575" s="251"/>
      <c r="B575" s="22"/>
      <c r="C575" s="252"/>
      <c r="D575" s="252"/>
      <c r="E575" s="252"/>
      <c r="F575" s="252"/>
      <c r="G575" s="252"/>
      <c r="H575" s="252"/>
      <c r="I575" s="252"/>
      <c r="J575" s="252"/>
      <c r="K575" s="252"/>
      <c r="L575"/>
      <c r="M575"/>
    </row>
    <row r="576" spans="1:13" s="79" customFormat="1" x14ac:dyDescent="0.35">
      <c r="A576" s="251"/>
      <c r="B576" s="22"/>
      <c r="C576" s="252"/>
      <c r="D576" s="252"/>
      <c r="E576" s="252"/>
      <c r="F576" s="252"/>
      <c r="G576" s="252"/>
      <c r="H576" s="252"/>
      <c r="I576" s="252"/>
      <c r="J576" s="252"/>
      <c r="K576" s="252"/>
      <c r="L576"/>
      <c r="M576"/>
    </row>
    <row r="577" spans="1:13" s="79" customFormat="1" x14ac:dyDescent="0.35">
      <c r="A577" s="251"/>
      <c r="B577" s="22"/>
      <c r="C577" s="252"/>
      <c r="D577" s="252"/>
      <c r="E577" s="252"/>
      <c r="F577" s="252"/>
      <c r="G577" s="252"/>
      <c r="H577" s="252"/>
      <c r="I577" s="252"/>
      <c r="J577" s="252"/>
      <c r="K577" s="252"/>
      <c r="L577"/>
      <c r="M577"/>
    </row>
    <row r="578" spans="1:13" s="79" customFormat="1" x14ac:dyDescent="0.35">
      <c r="A578" s="251"/>
      <c r="B578" s="22"/>
      <c r="C578" s="252"/>
      <c r="D578" s="252"/>
      <c r="E578" s="252"/>
      <c r="F578" s="252"/>
      <c r="G578" s="252"/>
      <c r="H578" s="252"/>
      <c r="I578" s="252"/>
      <c r="J578" s="252"/>
      <c r="K578" s="252"/>
      <c r="L578"/>
      <c r="M578"/>
    </row>
    <row r="579" spans="1:13" s="79" customFormat="1" x14ac:dyDescent="0.35">
      <c r="A579" s="251"/>
      <c r="B579" s="22"/>
      <c r="C579" s="252"/>
      <c r="D579" s="252"/>
      <c r="E579" s="252"/>
      <c r="F579" s="252"/>
      <c r="G579" s="252"/>
      <c r="H579" s="252"/>
      <c r="I579" s="252"/>
      <c r="J579" s="252"/>
      <c r="K579" s="252"/>
      <c r="L579"/>
      <c r="M579"/>
    </row>
    <row r="580" spans="1:13" s="79" customFormat="1" x14ac:dyDescent="0.35">
      <c r="A580" s="251"/>
      <c r="B580" s="22"/>
      <c r="C580" s="252"/>
      <c r="D580" s="252"/>
      <c r="E580" s="252"/>
      <c r="F580" s="252"/>
      <c r="G580" s="252"/>
      <c r="H580" s="252"/>
      <c r="I580" s="252"/>
      <c r="J580" s="252"/>
      <c r="K580" s="252"/>
      <c r="L580"/>
      <c r="M580"/>
    </row>
    <row r="581" spans="1:13" s="79" customFormat="1" x14ac:dyDescent="0.35">
      <c r="A581" s="251"/>
      <c r="B581" s="22"/>
      <c r="C581" s="252"/>
      <c r="D581" s="252"/>
      <c r="E581" s="252"/>
      <c r="F581" s="252"/>
      <c r="G581" s="252"/>
      <c r="H581" s="252"/>
      <c r="I581" s="252"/>
      <c r="J581" s="252"/>
      <c r="K581" s="252"/>
      <c r="L581"/>
      <c r="M581"/>
    </row>
    <row r="582" spans="1:13" s="79" customFormat="1" x14ac:dyDescent="0.35">
      <c r="A582" s="251"/>
      <c r="B582" s="22"/>
      <c r="C582" s="252"/>
      <c r="D582" s="252"/>
      <c r="E582" s="252"/>
      <c r="F582" s="252"/>
      <c r="G582" s="252"/>
      <c r="H582" s="252"/>
      <c r="I582" s="252"/>
      <c r="J582" s="252"/>
      <c r="K582" s="252"/>
      <c r="L582"/>
      <c r="M582"/>
    </row>
    <row r="583" spans="1:13" s="79" customFormat="1" x14ac:dyDescent="0.35">
      <c r="A583" s="251"/>
      <c r="B583" s="22"/>
      <c r="C583" s="252"/>
      <c r="D583" s="252"/>
      <c r="E583" s="252"/>
      <c r="F583" s="252"/>
      <c r="G583" s="252"/>
      <c r="H583" s="252"/>
      <c r="I583" s="252"/>
      <c r="J583" s="252"/>
      <c r="K583" s="252"/>
      <c r="L583"/>
      <c r="M583"/>
    </row>
    <row r="584" spans="1:13" s="79" customFormat="1" x14ac:dyDescent="0.35">
      <c r="A584" s="251"/>
      <c r="B584" s="22"/>
      <c r="C584" s="252"/>
      <c r="D584" s="252"/>
      <c r="E584" s="252"/>
      <c r="F584" s="252"/>
      <c r="G584" s="252"/>
      <c r="H584" s="252"/>
      <c r="I584" s="252"/>
      <c r="J584" s="252"/>
      <c r="K584" s="252"/>
      <c r="L584"/>
      <c r="M584"/>
    </row>
    <row r="585" spans="1:13" s="79" customFormat="1" x14ac:dyDescent="0.35">
      <c r="A585" s="251"/>
      <c r="B585" s="22"/>
      <c r="C585" s="252"/>
      <c r="D585" s="252"/>
      <c r="E585" s="252"/>
      <c r="F585" s="252"/>
      <c r="G585" s="252"/>
      <c r="H585" s="252"/>
      <c r="I585" s="252"/>
      <c r="J585" s="252"/>
      <c r="K585" s="252"/>
      <c r="L585"/>
      <c r="M585"/>
    </row>
    <row r="586" spans="1:13" s="79" customFormat="1" x14ac:dyDescent="0.35">
      <c r="A586" s="251"/>
      <c r="B586" s="22"/>
      <c r="C586" s="252"/>
      <c r="D586" s="252"/>
      <c r="E586" s="252"/>
      <c r="F586" s="252"/>
      <c r="G586" s="252"/>
      <c r="H586" s="252"/>
      <c r="I586" s="252"/>
      <c r="J586" s="252"/>
      <c r="K586" s="252"/>
      <c r="L586"/>
      <c r="M586"/>
    </row>
    <row r="587" spans="1:13" s="79" customFormat="1" x14ac:dyDescent="0.35">
      <c r="A587" s="251"/>
      <c r="B587" s="22"/>
      <c r="C587" s="252"/>
      <c r="D587" s="252"/>
      <c r="E587" s="252"/>
      <c r="F587" s="252"/>
      <c r="G587" s="252"/>
      <c r="H587" s="252"/>
      <c r="I587" s="252"/>
      <c r="J587" s="252"/>
      <c r="K587" s="252"/>
      <c r="L587"/>
      <c r="M587"/>
    </row>
    <row r="588" spans="1:13" s="79" customFormat="1" x14ac:dyDescent="0.35">
      <c r="A588" s="251"/>
      <c r="B588" s="22"/>
      <c r="C588" s="252"/>
      <c r="D588" s="252"/>
      <c r="E588" s="252"/>
      <c r="F588" s="252"/>
      <c r="G588" s="252"/>
      <c r="H588" s="252"/>
      <c r="I588" s="252"/>
      <c r="J588" s="252"/>
      <c r="K588" s="252"/>
      <c r="L588"/>
      <c r="M588"/>
    </row>
    <row r="589" spans="1:13" s="79" customFormat="1" x14ac:dyDescent="0.35">
      <c r="A589" s="251"/>
      <c r="B589" s="22"/>
      <c r="C589" s="252"/>
      <c r="D589" s="252"/>
      <c r="E589" s="252"/>
      <c r="F589" s="252"/>
      <c r="G589" s="252"/>
      <c r="H589" s="252"/>
      <c r="I589" s="252"/>
      <c r="J589" s="252"/>
      <c r="K589" s="252"/>
      <c r="L589"/>
      <c r="M589"/>
    </row>
    <row r="590" spans="1:13" s="79" customFormat="1" x14ac:dyDescent="0.35">
      <c r="A590" s="251"/>
      <c r="B590" s="22"/>
      <c r="C590" s="252"/>
      <c r="D590" s="252"/>
      <c r="E590" s="252"/>
      <c r="F590" s="252"/>
      <c r="G590" s="252"/>
      <c r="H590" s="252"/>
      <c r="I590" s="252"/>
      <c r="J590" s="252"/>
      <c r="K590" s="252"/>
      <c r="L590"/>
      <c r="M590"/>
    </row>
    <row r="591" spans="1:13" s="79" customFormat="1" x14ac:dyDescent="0.35">
      <c r="A591" s="251"/>
      <c r="B591" s="22"/>
      <c r="C591" s="252"/>
      <c r="D591" s="252"/>
      <c r="E591" s="252"/>
      <c r="F591" s="252"/>
      <c r="G591" s="252"/>
      <c r="H591" s="252"/>
      <c r="I591" s="252"/>
      <c r="J591" s="252"/>
      <c r="K591" s="252"/>
      <c r="L591"/>
      <c r="M591"/>
    </row>
    <row r="592" spans="1:13" s="79" customFormat="1" x14ac:dyDescent="0.35">
      <c r="A592" s="251"/>
      <c r="B592" s="22"/>
      <c r="C592" s="252"/>
      <c r="D592" s="252"/>
      <c r="E592" s="252"/>
      <c r="F592" s="252"/>
      <c r="G592" s="252"/>
      <c r="H592" s="252"/>
      <c r="I592" s="252"/>
      <c r="J592" s="252"/>
      <c r="K592" s="252"/>
      <c r="L592"/>
      <c r="M592"/>
    </row>
    <row r="593" spans="1:13" s="79" customFormat="1" x14ac:dyDescent="0.35">
      <c r="A593" s="251"/>
      <c r="B593" s="22"/>
      <c r="C593" s="252"/>
      <c r="D593" s="252"/>
      <c r="E593" s="252"/>
      <c r="F593" s="252"/>
      <c r="G593" s="252"/>
      <c r="H593" s="252"/>
      <c r="I593" s="252"/>
      <c r="J593" s="252"/>
      <c r="K593" s="252"/>
      <c r="L593"/>
      <c r="M593"/>
    </row>
    <row r="594" spans="1:13" s="79" customFormat="1" x14ac:dyDescent="0.35">
      <c r="A594" s="251"/>
      <c r="B594" s="22"/>
      <c r="C594" s="252"/>
      <c r="D594" s="252"/>
      <c r="E594" s="252"/>
      <c r="F594" s="252"/>
      <c r="G594" s="252"/>
      <c r="H594" s="252"/>
      <c r="I594" s="252"/>
      <c r="J594" s="252"/>
      <c r="K594" s="252"/>
      <c r="L594"/>
      <c r="M594"/>
    </row>
    <row r="595" spans="1:13" s="79" customFormat="1" x14ac:dyDescent="0.35">
      <c r="A595" s="251"/>
      <c r="B595" s="22"/>
      <c r="C595" s="252"/>
      <c r="D595" s="252"/>
      <c r="E595" s="252"/>
      <c r="F595" s="252"/>
      <c r="G595" s="252"/>
      <c r="H595" s="252"/>
      <c r="I595" s="252"/>
      <c r="J595" s="252"/>
      <c r="K595" s="252"/>
      <c r="L595"/>
      <c r="M595"/>
    </row>
    <row r="596" spans="1:13" s="79" customFormat="1" x14ac:dyDescent="0.35">
      <c r="A596" s="251"/>
      <c r="B596" s="22"/>
      <c r="C596" s="252"/>
      <c r="D596" s="252"/>
      <c r="E596" s="252"/>
      <c r="F596" s="252"/>
      <c r="G596" s="252"/>
      <c r="H596" s="252"/>
      <c r="I596" s="252"/>
      <c r="J596" s="252"/>
      <c r="K596" s="252"/>
      <c r="L596"/>
      <c r="M596"/>
    </row>
    <row r="597" spans="1:13" s="79" customFormat="1" x14ac:dyDescent="0.35">
      <c r="A597" s="251"/>
      <c r="B597" s="22"/>
      <c r="C597" s="252"/>
      <c r="D597" s="252"/>
      <c r="E597" s="252"/>
      <c r="F597" s="252"/>
      <c r="G597" s="252"/>
      <c r="H597" s="252"/>
      <c r="I597" s="252"/>
      <c r="J597" s="252"/>
      <c r="K597" s="252"/>
      <c r="L597"/>
      <c r="M597"/>
    </row>
    <row r="598" spans="1:13" s="79" customFormat="1" x14ac:dyDescent="0.35">
      <c r="A598" s="251"/>
      <c r="B598" s="22"/>
      <c r="C598" s="252"/>
      <c r="D598" s="252"/>
      <c r="E598" s="252"/>
      <c r="F598" s="252"/>
      <c r="G598" s="252"/>
      <c r="H598" s="252"/>
      <c r="I598" s="252"/>
      <c r="J598" s="252"/>
      <c r="K598" s="252"/>
      <c r="L598"/>
      <c r="M598"/>
    </row>
    <row r="599" spans="1:13" s="79" customFormat="1" x14ac:dyDescent="0.35">
      <c r="A599" s="251"/>
      <c r="B599" s="22"/>
      <c r="C599" s="252"/>
      <c r="D599" s="252"/>
      <c r="E599" s="252"/>
      <c r="F599" s="252"/>
      <c r="G599" s="252"/>
      <c r="H599" s="252"/>
      <c r="I599" s="252"/>
      <c r="J599" s="252"/>
      <c r="K599" s="252"/>
      <c r="L599"/>
      <c r="M599"/>
    </row>
    <row r="600" spans="1:13" s="79" customFormat="1" x14ac:dyDescent="0.35">
      <c r="A600" s="251"/>
      <c r="B600" s="22"/>
      <c r="C600" s="252"/>
      <c r="D600" s="252"/>
      <c r="E600" s="252"/>
      <c r="F600" s="252"/>
      <c r="G600" s="252"/>
      <c r="H600" s="252"/>
      <c r="I600" s="252"/>
      <c r="J600" s="252"/>
      <c r="K600" s="252"/>
      <c r="L600"/>
      <c r="M600"/>
    </row>
    <row r="601" spans="1:13" s="79" customFormat="1" x14ac:dyDescent="0.35">
      <c r="A601" s="251"/>
      <c r="B601" s="22"/>
      <c r="C601" s="252"/>
      <c r="D601" s="252"/>
      <c r="E601" s="252"/>
      <c r="F601" s="252"/>
      <c r="G601" s="252"/>
      <c r="H601" s="252"/>
      <c r="I601" s="252"/>
      <c r="J601" s="252"/>
      <c r="K601" s="252"/>
      <c r="L601"/>
      <c r="M601"/>
    </row>
    <row r="602" spans="1:13" s="79" customFormat="1" x14ac:dyDescent="0.35">
      <c r="A602" s="251"/>
      <c r="B602" s="22"/>
      <c r="C602" s="252"/>
      <c r="D602" s="252"/>
      <c r="E602" s="252"/>
      <c r="F602" s="252"/>
      <c r="G602" s="252"/>
      <c r="H602" s="252"/>
      <c r="I602" s="252"/>
      <c r="J602" s="252"/>
      <c r="K602" s="252"/>
      <c r="L602"/>
      <c r="M602"/>
    </row>
    <row r="603" spans="1:13" s="79" customFormat="1" x14ac:dyDescent="0.35">
      <c r="A603" s="251"/>
      <c r="B603" s="22"/>
      <c r="C603" s="252"/>
      <c r="D603" s="252"/>
      <c r="E603" s="252"/>
      <c r="F603" s="252"/>
      <c r="G603" s="252"/>
      <c r="H603" s="252"/>
      <c r="I603" s="252"/>
      <c r="J603" s="252"/>
      <c r="K603" s="252"/>
      <c r="L603"/>
      <c r="M603"/>
    </row>
    <row r="604" spans="1:13" s="79" customFormat="1" x14ac:dyDescent="0.35">
      <c r="A604" s="251"/>
      <c r="B604" s="22"/>
      <c r="C604" s="252"/>
      <c r="D604" s="252"/>
      <c r="E604" s="252"/>
      <c r="F604" s="252"/>
      <c r="G604" s="252"/>
      <c r="H604" s="252"/>
      <c r="I604" s="252"/>
      <c r="J604" s="252"/>
      <c r="K604" s="252"/>
      <c r="L604"/>
      <c r="M604"/>
    </row>
    <row r="605" spans="1:13" s="79" customFormat="1" x14ac:dyDescent="0.35">
      <c r="A605" s="251"/>
      <c r="B605" s="22"/>
      <c r="C605" s="252"/>
      <c r="D605" s="252"/>
      <c r="E605" s="252"/>
      <c r="F605" s="252"/>
      <c r="G605" s="252"/>
      <c r="H605" s="252"/>
      <c r="I605" s="252"/>
      <c r="J605" s="252"/>
      <c r="K605" s="252"/>
      <c r="L605"/>
      <c r="M605"/>
    </row>
    <row r="606" spans="1:13" s="79" customFormat="1" x14ac:dyDescent="0.35">
      <c r="A606" s="251"/>
      <c r="B606" s="22"/>
      <c r="C606" s="252"/>
      <c r="D606" s="252"/>
      <c r="E606" s="252"/>
      <c r="F606" s="252"/>
      <c r="G606" s="252"/>
      <c r="H606" s="252"/>
      <c r="I606" s="252"/>
      <c r="J606" s="252"/>
      <c r="K606" s="252"/>
      <c r="L606"/>
      <c r="M606"/>
    </row>
    <row r="607" spans="1:13" s="79" customFormat="1" x14ac:dyDescent="0.35">
      <c r="A607" s="251"/>
      <c r="B607" s="22"/>
      <c r="C607" s="252"/>
      <c r="D607" s="252"/>
      <c r="E607" s="252"/>
      <c r="F607" s="252"/>
      <c r="G607" s="252"/>
      <c r="H607" s="252"/>
      <c r="I607" s="252"/>
      <c r="J607" s="252"/>
      <c r="K607" s="252"/>
      <c r="L607"/>
      <c r="M607"/>
    </row>
    <row r="608" spans="1:13" s="79" customFormat="1" x14ac:dyDescent="0.35">
      <c r="A608" s="251"/>
      <c r="B608" s="22"/>
      <c r="C608" s="252"/>
      <c r="D608" s="252"/>
      <c r="E608" s="252"/>
      <c r="F608" s="252"/>
      <c r="G608" s="252"/>
      <c r="H608" s="252"/>
      <c r="I608" s="252"/>
      <c r="J608" s="252"/>
      <c r="K608" s="252"/>
      <c r="L608"/>
      <c r="M608"/>
    </row>
    <row r="609" spans="1:13" s="79" customFormat="1" x14ac:dyDescent="0.35">
      <c r="A609" s="251"/>
      <c r="B609" s="22"/>
      <c r="C609" s="252"/>
      <c r="D609" s="252"/>
      <c r="E609" s="252"/>
      <c r="F609" s="252"/>
      <c r="G609" s="252"/>
      <c r="H609" s="252"/>
      <c r="I609" s="252"/>
      <c r="J609" s="252"/>
      <c r="K609" s="252"/>
      <c r="L609"/>
      <c r="M609"/>
    </row>
    <row r="610" spans="1:13" s="79" customFormat="1" x14ac:dyDescent="0.35">
      <c r="A610" s="251"/>
      <c r="B610" s="22"/>
      <c r="C610" s="252"/>
      <c r="D610" s="252"/>
      <c r="E610" s="252"/>
      <c r="F610" s="252"/>
      <c r="G610" s="252"/>
      <c r="H610" s="252"/>
      <c r="I610" s="252"/>
      <c r="J610" s="252"/>
      <c r="K610" s="252"/>
      <c r="L610"/>
      <c r="M610"/>
    </row>
    <row r="611" spans="1:13" s="79" customFormat="1" x14ac:dyDescent="0.35">
      <c r="A611" s="251"/>
      <c r="B611" s="22"/>
      <c r="C611" s="252"/>
      <c r="D611" s="252"/>
      <c r="E611" s="252"/>
      <c r="F611" s="252"/>
      <c r="G611" s="252"/>
      <c r="H611" s="252"/>
      <c r="I611" s="252"/>
      <c r="J611" s="252"/>
      <c r="K611" s="252"/>
      <c r="L611"/>
      <c r="M611"/>
    </row>
    <row r="612" spans="1:13" s="79" customFormat="1" x14ac:dyDescent="0.35">
      <c r="A612" s="251"/>
      <c r="B612" s="22"/>
      <c r="C612" s="252"/>
      <c r="D612" s="252"/>
      <c r="E612" s="252"/>
      <c r="F612" s="252"/>
      <c r="G612" s="252"/>
      <c r="H612" s="252"/>
      <c r="I612" s="252"/>
      <c r="J612" s="252"/>
      <c r="K612" s="252"/>
      <c r="L612"/>
      <c r="M612"/>
    </row>
    <row r="613" spans="1:13" s="79" customFormat="1" x14ac:dyDescent="0.35">
      <c r="A613" s="251"/>
      <c r="B613" s="22"/>
      <c r="C613" s="252"/>
      <c r="D613" s="252"/>
      <c r="E613" s="252"/>
      <c r="F613" s="252"/>
      <c r="G613" s="252"/>
      <c r="H613" s="252"/>
      <c r="I613" s="252"/>
      <c r="J613" s="252"/>
      <c r="K613" s="252"/>
      <c r="L613"/>
      <c r="M613"/>
    </row>
    <row r="614" spans="1:13" s="79" customFormat="1" x14ac:dyDescent="0.35">
      <c r="A614" s="251"/>
      <c r="B614" s="22"/>
      <c r="C614" s="252"/>
      <c r="D614" s="252"/>
      <c r="E614" s="252"/>
      <c r="F614" s="252"/>
      <c r="G614" s="252"/>
      <c r="H614" s="252"/>
      <c r="I614" s="252"/>
      <c r="J614" s="252"/>
      <c r="K614" s="252"/>
      <c r="L614"/>
      <c r="M614"/>
    </row>
    <row r="615" spans="1:13" s="79" customFormat="1" x14ac:dyDescent="0.35">
      <c r="A615" s="251"/>
      <c r="B615" s="22"/>
      <c r="C615" s="252"/>
      <c r="D615" s="252"/>
      <c r="E615" s="252"/>
      <c r="F615" s="252"/>
      <c r="G615" s="252"/>
      <c r="H615" s="252"/>
      <c r="I615" s="252"/>
      <c r="J615" s="252"/>
      <c r="K615" s="252"/>
      <c r="L615"/>
      <c r="M615"/>
    </row>
    <row r="616" spans="1:13" s="79" customFormat="1" x14ac:dyDescent="0.35">
      <c r="A616" s="251"/>
      <c r="B616" s="22"/>
      <c r="C616" s="252"/>
      <c r="D616" s="252"/>
      <c r="E616" s="252"/>
      <c r="F616" s="252"/>
      <c r="G616" s="252"/>
      <c r="H616" s="252"/>
      <c r="I616" s="252"/>
      <c r="J616" s="252"/>
      <c r="K616" s="252"/>
      <c r="L616"/>
      <c r="M616"/>
    </row>
    <row r="617" spans="1:13" s="79" customFormat="1" x14ac:dyDescent="0.35">
      <c r="A617" s="251"/>
      <c r="B617" s="22"/>
      <c r="C617" s="252"/>
      <c r="D617" s="252"/>
      <c r="E617" s="252"/>
      <c r="F617" s="252"/>
      <c r="G617" s="252"/>
      <c r="H617" s="252"/>
      <c r="I617" s="252"/>
      <c r="J617" s="252"/>
      <c r="K617" s="252"/>
      <c r="L617"/>
      <c r="M617"/>
    </row>
    <row r="618" spans="1:13" s="79" customFormat="1" x14ac:dyDescent="0.35">
      <c r="A618" s="251"/>
      <c r="B618" s="22"/>
      <c r="C618" s="252"/>
      <c r="D618" s="252"/>
      <c r="E618" s="252"/>
      <c r="F618" s="252"/>
      <c r="G618" s="252"/>
      <c r="H618" s="252"/>
      <c r="I618" s="252"/>
      <c r="J618" s="252"/>
      <c r="K618" s="252"/>
      <c r="L618"/>
      <c r="M618"/>
    </row>
    <row r="619" spans="1:13" s="79" customFormat="1" x14ac:dyDescent="0.35">
      <c r="A619" s="251"/>
      <c r="B619" s="22"/>
      <c r="C619" s="252"/>
      <c r="D619" s="252"/>
      <c r="E619" s="252"/>
      <c r="F619" s="252"/>
      <c r="G619" s="252"/>
      <c r="H619" s="252"/>
      <c r="I619" s="252"/>
      <c r="J619" s="252"/>
      <c r="K619" s="252"/>
      <c r="L619"/>
      <c r="M619"/>
    </row>
    <row r="620" spans="1:13" s="79" customFormat="1" x14ac:dyDescent="0.35">
      <c r="A620" s="251"/>
      <c r="B620" s="22"/>
      <c r="C620" s="252"/>
      <c r="D620" s="252"/>
      <c r="E620" s="252"/>
      <c r="F620" s="252"/>
      <c r="G620" s="252"/>
      <c r="H620" s="252"/>
      <c r="I620" s="252"/>
      <c r="J620" s="252"/>
      <c r="K620" s="252"/>
      <c r="L620"/>
      <c r="M620"/>
    </row>
    <row r="621" spans="1:13" s="79" customFormat="1" x14ac:dyDescent="0.35">
      <c r="A621" s="251"/>
      <c r="B621" s="22"/>
      <c r="C621" s="252"/>
      <c r="D621" s="252"/>
      <c r="E621" s="252"/>
      <c r="F621" s="252"/>
      <c r="G621" s="252"/>
      <c r="H621" s="252"/>
      <c r="I621" s="252"/>
      <c r="J621" s="252"/>
      <c r="K621" s="252"/>
      <c r="L621"/>
      <c r="M621"/>
    </row>
    <row r="622" spans="1:13" s="79" customFormat="1" x14ac:dyDescent="0.35">
      <c r="A622" s="251"/>
      <c r="B622" s="22"/>
      <c r="C622" s="252"/>
      <c r="D622" s="252"/>
      <c r="E622" s="252"/>
      <c r="F622" s="252"/>
      <c r="G622" s="252"/>
      <c r="H622" s="252"/>
      <c r="I622" s="252"/>
      <c r="J622" s="252"/>
      <c r="K622" s="252"/>
      <c r="L622"/>
      <c r="M622"/>
    </row>
    <row r="623" spans="1:13" s="79" customFormat="1" x14ac:dyDescent="0.35">
      <c r="A623" s="251"/>
      <c r="B623" s="22"/>
      <c r="C623" s="252"/>
      <c r="D623" s="252"/>
      <c r="E623" s="252"/>
      <c r="F623" s="252"/>
      <c r="G623" s="252"/>
      <c r="H623" s="252"/>
      <c r="I623" s="252"/>
      <c r="J623" s="252"/>
      <c r="K623" s="252"/>
      <c r="L623"/>
      <c r="M623"/>
    </row>
    <row r="624" spans="1:13" s="79" customFormat="1" x14ac:dyDescent="0.35">
      <c r="A624" s="251"/>
      <c r="B624" s="22"/>
      <c r="C624" s="252"/>
      <c r="D624" s="252"/>
      <c r="E624" s="252"/>
      <c r="F624" s="252"/>
      <c r="G624" s="252"/>
      <c r="H624" s="252"/>
      <c r="I624" s="252"/>
      <c r="J624" s="252"/>
      <c r="K624" s="252"/>
      <c r="L624"/>
      <c r="M624"/>
    </row>
    <row r="625" spans="1:13" s="79" customFormat="1" x14ac:dyDescent="0.35">
      <c r="A625" s="251"/>
      <c r="B625" s="22"/>
      <c r="C625" s="252"/>
      <c r="D625" s="252"/>
      <c r="E625" s="252"/>
      <c r="F625" s="252"/>
      <c r="G625" s="252"/>
      <c r="H625" s="252"/>
      <c r="I625" s="252"/>
      <c r="J625" s="252"/>
      <c r="K625" s="252"/>
      <c r="L625"/>
      <c r="M625"/>
    </row>
    <row r="626" spans="1:13" s="79" customFormat="1" x14ac:dyDescent="0.35">
      <c r="A626" s="251"/>
      <c r="B626" s="22"/>
      <c r="C626" s="252"/>
      <c r="D626" s="252"/>
      <c r="E626" s="252"/>
      <c r="F626" s="252"/>
      <c r="G626" s="252"/>
      <c r="H626" s="252"/>
      <c r="I626" s="252"/>
      <c r="J626" s="252"/>
      <c r="K626" s="252"/>
      <c r="L626"/>
      <c r="M626"/>
    </row>
    <row r="627" spans="1:13" s="79" customFormat="1" x14ac:dyDescent="0.35">
      <c r="A627" s="251"/>
      <c r="B627" s="22"/>
      <c r="C627" s="252"/>
      <c r="D627" s="252"/>
      <c r="E627" s="252"/>
      <c r="F627" s="252"/>
      <c r="G627" s="252"/>
      <c r="H627" s="252"/>
      <c r="I627" s="252"/>
      <c r="J627" s="252"/>
      <c r="K627" s="252"/>
      <c r="L627"/>
      <c r="M627"/>
    </row>
    <row r="628" spans="1:13" s="79" customFormat="1" x14ac:dyDescent="0.35">
      <c r="A628" s="251"/>
      <c r="B628" s="22"/>
      <c r="C628" s="252"/>
      <c r="D628" s="252"/>
      <c r="E628" s="252"/>
      <c r="F628" s="252"/>
      <c r="G628" s="252"/>
      <c r="H628" s="252"/>
      <c r="I628" s="252"/>
      <c r="J628" s="252"/>
      <c r="K628" s="252"/>
      <c r="L628"/>
      <c r="M628"/>
    </row>
    <row r="629" spans="1:13" s="79" customFormat="1" x14ac:dyDescent="0.35">
      <c r="A629" s="251"/>
      <c r="B629" s="22"/>
      <c r="C629" s="252"/>
      <c r="D629" s="252"/>
      <c r="E629" s="252"/>
      <c r="F629" s="252"/>
      <c r="G629" s="252"/>
      <c r="H629" s="252"/>
      <c r="I629" s="252"/>
      <c r="J629" s="252"/>
      <c r="K629" s="252"/>
      <c r="L629"/>
      <c r="M629"/>
    </row>
    <row r="630" spans="1:13" s="79" customFormat="1" x14ac:dyDescent="0.35">
      <c r="A630" s="251"/>
      <c r="B630" s="22"/>
      <c r="C630" s="252"/>
      <c r="D630" s="252"/>
      <c r="E630" s="252"/>
      <c r="F630" s="252"/>
      <c r="G630" s="252"/>
      <c r="H630" s="252"/>
      <c r="I630" s="252"/>
      <c r="J630" s="252"/>
      <c r="K630" s="252"/>
      <c r="L630"/>
      <c r="M630"/>
    </row>
    <row r="631" spans="1:13" s="79" customFormat="1" x14ac:dyDescent="0.35">
      <c r="A631" s="251"/>
      <c r="B631" s="22"/>
      <c r="C631" s="252"/>
      <c r="D631" s="252"/>
      <c r="E631" s="252"/>
      <c r="F631" s="252"/>
      <c r="G631" s="252"/>
      <c r="H631" s="252"/>
      <c r="I631" s="252"/>
      <c r="J631" s="252"/>
      <c r="K631" s="252"/>
      <c r="L631"/>
      <c r="M631"/>
    </row>
    <row r="632" spans="1:13" s="79" customFormat="1" x14ac:dyDescent="0.35">
      <c r="A632" s="251"/>
      <c r="B632" s="22"/>
      <c r="C632" s="252"/>
      <c r="D632" s="252"/>
      <c r="E632" s="252"/>
      <c r="F632" s="252"/>
      <c r="G632" s="252"/>
      <c r="H632" s="252"/>
      <c r="I632" s="252"/>
      <c r="J632" s="252"/>
      <c r="K632" s="252"/>
      <c r="L632"/>
      <c r="M632"/>
    </row>
    <row r="633" spans="1:13" s="79" customFormat="1" x14ac:dyDescent="0.35">
      <c r="A633" s="251"/>
      <c r="B633" s="22"/>
      <c r="C633" s="252"/>
      <c r="D633" s="252"/>
      <c r="E633" s="252"/>
      <c r="F633" s="252"/>
      <c r="G633" s="252"/>
      <c r="H633" s="252"/>
      <c r="I633" s="252"/>
      <c r="J633" s="252"/>
      <c r="K633" s="252"/>
      <c r="L633"/>
      <c r="M633"/>
    </row>
    <row r="634" spans="1:13" s="79" customFormat="1" x14ac:dyDescent="0.35">
      <c r="A634" s="251"/>
      <c r="B634" s="22"/>
      <c r="C634" s="252"/>
      <c r="D634" s="252"/>
      <c r="E634" s="252"/>
      <c r="F634" s="252"/>
      <c r="G634" s="252"/>
      <c r="H634" s="252"/>
      <c r="I634" s="252"/>
      <c r="J634" s="252"/>
      <c r="K634" s="252"/>
      <c r="L634"/>
      <c r="M634"/>
    </row>
    <row r="635" spans="1:13" s="79" customFormat="1" x14ac:dyDescent="0.35">
      <c r="A635" s="251"/>
      <c r="B635" s="22"/>
      <c r="C635" s="252"/>
      <c r="D635" s="252"/>
      <c r="E635" s="252"/>
      <c r="F635" s="252"/>
      <c r="G635" s="252"/>
      <c r="H635" s="252"/>
      <c r="I635" s="252"/>
      <c r="J635" s="252"/>
      <c r="K635" s="252"/>
      <c r="L635"/>
      <c r="M635"/>
    </row>
    <row r="636" spans="1:13" s="79" customFormat="1" x14ac:dyDescent="0.35">
      <c r="A636" s="251"/>
      <c r="B636" s="22"/>
      <c r="C636" s="252"/>
      <c r="D636" s="252"/>
      <c r="E636" s="252"/>
      <c r="F636" s="252"/>
      <c r="G636" s="252"/>
      <c r="H636" s="252"/>
      <c r="I636" s="252"/>
      <c r="J636" s="252"/>
      <c r="K636" s="252"/>
      <c r="L636"/>
      <c r="M636"/>
    </row>
    <row r="637" spans="1:13" s="79" customFormat="1" x14ac:dyDescent="0.35">
      <c r="A637" s="251"/>
      <c r="B637" s="22"/>
      <c r="C637" s="252"/>
      <c r="D637" s="252"/>
      <c r="E637" s="252"/>
      <c r="F637" s="252"/>
      <c r="G637" s="252"/>
      <c r="H637" s="252"/>
      <c r="I637" s="252"/>
      <c r="J637" s="252"/>
      <c r="K637" s="252"/>
      <c r="L637"/>
      <c r="M637"/>
    </row>
    <row r="638" spans="1:13" s="79" customFormat="1" x14ac:dyDescent="0.35">
      <c r="A638" s="251"/>
      <c r="B638" s="22"/>
      <c r="C638" s="252"/>
      <c r="D638" s="252"/>
      <c r="E638" s="252"/>
      <c r="F638" s="252"/>
      <c r="G638" s="252"/>
      <c r="H638" s="252"/>
      <c r="I638" s="252"/>
      <c r="J638" s="252"/>
      <c r="K638" s="252"/>
      <c r="L638"/>
      <c r="M638"/>
    </row>
    <row r="639" spans="1:13" s="79" customFormat="1" x14ac:dyDescent="0.35">
      <c r="A639" s="251"/>
      <c r="B639" s="22"/>
      <c r="C639" s="252"/>
      <c r="D639" s="252"/>
      <c r="E639" s="252"/>
      <c r="F639" s="252"/>
      <c r="G639" s="252"/>
      <c r="H639" s="252"/>
      <c r="I639" s="252"/>
      <c r="J639" s="252"/>
      <c r="K639" s="252"/>
      <c r="L639"/>
      <c r="M639"/>
    </row>
    <row r="640" spans="1:13" s="79" customFormat="1" x14ac:dyDescent="0.35">
      <c r="A640" s="251"/>
      <c r="B640" s="22"/>
      <c r="C640" s="252"/>
      <c r="D640" s="252"/>
      <c r="E640" s="252"/>
      <c r="F640" s="252"/>
      <c r="G640" s="252"/>
      <c r="H640" s="252"/>
      <c r="I640" s="252"/>
      <c r="J640" s="252"/>
      <c r="K640" s="252"/>
      <c r="L640"/>
      <c r="M640"/>
    </row>
    <row r="641" spans="1:13" s="79" customFormat="1" x14ac:dyDescent="0.35">
      <c r="A641" s="251"/>
      <c r="B641" s="22"/>
      <c r="C641" s="252"/>
      <c r="D641" s="252"/>
      <c r="E641" s="252"/>
      <c r="F641" s="252"/>
      <c r="G641" s="252"/>
      <c r="H641" s="252"/>
      <c r="I641" s="252"/>
      <c r="J641" s="252"/>
      <c r="K641" s="252"/>
      <c r="L641"/>
      <c r="M641"/>
    </row>
    <row r="642" spans="1:13" s="79" customFormat="1" x14ac:dyDescent="0.35">
      <c r="A642" s="251"/>
      <c r="B642" s="22"/>
      <c r="C642" s="252"/>
      <c r="D642" s="252"/>
      <c r="E642" s="252"/>
      <c r="F642" s="252"/>
      <c r="G642" s="252"/>
      <c r="H642" s="252"/>
      <c r="I642" s="252"/>
      <c r="J642" s="252"/>
      <c r="K642" s="252"/>
      <c r="L642"/>
      <c r="M642"/>
    </row>
    <row r="643" spans="1:13" s="79" customFormat="1" x14ac:dyDescent="0.35">
      <c r="A643" s="251"/>
      <c r="B643" s="22"/>
      <c r="C643" s="252"/>
      <c r="D643" s="252"/>
      <c r="E643" s="252"/>
      <c r="F643" s="252"/>
      <c r="G643" s="252"/>
      <c r="H643" s="252"/>
      <c r="I643" s="252"/>
      <c r="J643" s="252"/>
      <c r="K643" s="252"/>
      <c r="L643"/>
      <c r="M643"/>
    </row>
    <row r="644" spans="1:13" s="79" customFormat="1" x14ac:dyDescent="0.35">
      <c r="A644" s="251"/>
      <c r="B644" s="22"/>
      <c r="C644" s="252"/>
      <c r="D644" s="252"/>
      <c r="E644" s="252"/>
      <c r="F644" s="252"/>
      <c r="G644" s="252"/>
      <c r="H644" s="252"/>
      <c r="I644" s="252"/>
      <c r="J644" s="252"/>
      <c r="K644" s="252"/>
      <c r="L644"/>
      <c r="M644"/>
    </row>
    <row r="645" spans="1:13" s="79" customFormat="1" x14ac:dyDescent="0.35">
      <c r="A645" s="251"/>
      <c r="B645" s="22"/>
      <c r="C645" s="252"/>
      <c r="D645" s="252"/>
      <c r="E645" s="252"/>
      <c r="F645" s="252"/>
      <c r="G645" s="252"/>
      <c r="H645" s="252"/>
      <c r="I645" s="252"/>
      <c r="J645" s="252"/>
      <c r="K645" s="252"/>
      <c r="L645"/>
      <c r="M645"/>
    </row>
    <row r="646" spans="1:13" s="79" customFormat="1" x14ac:dyDescent="0.35">
      <c r="A646" s="251"/>
      <c r="B646" s="22"/>
      <c r="C646" s="252"/>
      <c r="D646" s="252"/>
      <c r="E646" s="252"/>
      <c r="F646" s="252"/>
      <c r="G646" s="252"/>
      <c r="H646" s="252"/>
      <c r="I646" s="252"/>
      <c r="J646" s="252"/>
      <c r="K646" s="252"/>
      <c r="L646"/>
      <c r="M646"/>
    </row>
    <row r="647" spans="1:13" s="79" customFormat="1" x14ac:dyDescent="0.35">
      <c r="A647" s="251"/>
      <c r="B647" s="22"/>
      <c r="C647" s="252"/>
      <c r="D647" s="252"/>
      <c r="E647" s="252"/>
      <c r="F647" s="252"/>
      <c r="G647" s="252"/>
      <c r="H647" s="252"/>
      <c r="I647" s="252"/>
      <c r="J647" s="252"/>
      <c r="K647" s="252"/>
      <c r="L647"/>
      <c r="M647"/>
    </row>
    <row r="648" spans="1:13" s="79" customFormat="1" x14ac:dyDescent="0.35">
      <c r="A648" s="251"/>
      <c r="B648" s="22"/>
      <c r="C648" s="252"/>
      <c r="D648" s="252"/>
      <c r="E648" s="252"/>
      <c r="F648" s="252"/>
      <c r="G648" s="252"/>
      <c r="H648" s="252"/>
      <c r="I648" s="252"/>
      <c r="J648" s="252"/>
      <c r="K648" s="252"/>
      <c r="L648"/>
      <c r="M648"/>
    </row>
    <row r="649" spans="1:13" s="79" customFormat="1" x14ac:dyDescent="0.35">
      <c r="A649" s="251"/>
      <c r="B649" s="22"/>
      <c r="C649" s="252"/>
      <c r="D649" s="252"/>
      <c r="E649" s="252"/>
      <c r="F649" s="252"/>
      <c r="G649" s="252"/>
      <c r="H649" s="252"/>
      <c r="I649" s="252"/>
      <c r="J649" s="252"/>
      <c r="K649" s="252"/>
      <c r="L649"/>
      <c r="M649"/>
    </row>
    <row r="650" spans="1:13" s="79" customFormat="1" x14ac:dyDescent="0.35">
      <c r="A650" s="251"/>
      <c r="B650" s="22"/>
      <c r="C650" s="252"/>
      <c r="D650" s="252"/>
      <c r="E650" s="252"/>
      <c r="F650" s="252"/>
      <c r="G650" s="252"/>
      <c r="H650" s="252"/>
      <c r="I650" s="252"/>
      <c r="J650" s="252"/>
      <c r="K650" s="252"/>
      <c r="L650"/>
      <c r="M650"/>
    </row>
    <row r="651" spans="1:13" s="79" customFormat="1" x14ac:dyDescent="0.35">
      <c r="A651" s="251"/>
      <c r="B651" s="22"/>
      <c r="C651" s="252"/>
      <c r="D651" s="252"/>
      <c r="E651" s="252"/>
      <c r="F651" s="252"/>
      <c r="G651" s="252"/>
      <c r="H651" s="252"/>
      <c r="I651" s="252"/>
      <c r="J651" s="252"/>
      <c r="K651" s="252"/>
      <c r="L651"/>
      <c r="M651"/>
    </row>
    <row r="652" spans="1:13" s="79" customFormat="1" x14ac:dyDescent="0.35">
      <c r="A652" s="251"/>
      <c r="B652" s="22"/>
      <c r="C652" s="252"/>
      <c r="D652" s="252"/>
      <c r="E652" s="252"/>
      <c r="F652" s="252"/>
      <c r="G652" s="252"/>
      <c r="H652" s="252"/>
      <c r="I652" s="252"/>
      <c r="J652" s="252"/>
      <c r="K652" s="252"/>
      <c r="L652"/>
      <c r="M652"/>
    </row>
    <row r="653" spans="1:13" s="79" customFormat="1" x14ac:dyDescent="0.35">
      <c r="A653" s="251"/>
      <c r="B653" s="22"/>
      <c r="C653" s="252"/>
      <c r="D653" s="252"/>
      <c r="E653" s="252"/>
      <c r="F653" s="252"/>
      <c r="G653" s="252"/>
      <c r="H653" s="252"/>
      <c r="I653" s="252"/>
      <c r="J653" s="252"/>
      <c r="K653" s="252"/>
      <c r="L653"/>
      <c r="M653"/>
    </row>
    <row r="654" spans="1:13" s="79" customFormat="1" x14ac:dyDescent="0.35">
      <c r="A654" s="251"/>
      <c r="B654" s="22"/>
      <c r="C654" s="252"/>
      <c r="D654" s="252"/>
      <c r="E654" s="252"/>
      <c r="F654" s="252"/>
      <c r="G654" s="252"/>
      <c r="H654" s="252"/>
      <c r="I654" s="252"/>
      <c r="J654" s="252"/>
      <c r="K654" s="252"/>
      <c r="L654"/>
      <c r="M654"/>
    </row>
    <row r="655" spans="1:13" s="79" customFormat="1" x14ac:dyDescent="0.35">
      <c r="A655" s="251"/>
      <c r="B655" s="22"/>
      <c r="C655" s="252"/>
      <c r="D655" s="252"/>
      <c r="E655" s="252"/>
      <c r="F655" s="252"/>
      <c r="G655" s="252"/>
      <c r="H655" s="252"/>
      <c r="I655" s="252"/>
      <c r="J655" s="252"/>
      <c r="K655" s="252"/>
      <c r="L655"/>
      <c r="M655"/>
    </row>
    <row r="656" spans="1:13" s="79" customFormat="1" x14ac:dyDescent="0.35">
      <c r="A656" s="251"/>
      <c r="B656" s="22"/>
      <c r="C656" s="252"/>
      <c r="D656" s="252"/>
      <c r="E656" s="252"/>
      <c r="F656" s="252"/>
      <c r="G656" s="252"/>
      <c r="H656" s="252"/>
      <c r="I656" s="252"/>
      <c r="J656" s="252"/>
      <c r="K656" s="252"/>
      <c r="L656"/>
      <c r="M656"/>
    </row>
    <row r="657" spans="1:13" s="79" customFormat="1" x14ac:dyDescent="0.35">
      <c r="A657" s="251"/>
      <c r="B657" s="22"/>
      <c r="C657" s="252"/>
      <c r="D657" s="252"/>
      <c r="E657" s="252"/>
      <c r="F657" s="252"/>
      <c r="G657" s="252"/>
      <c r="H657" s="252"/>
      <c r="I657" s="252"/>
      <c r="J657" s="252"/>
      <c r="K657" s="252"/>
      <c r="L657"/>
      <c r="M657"/>
    </row>
    <row r="658" spans="1:13" s="79" customFormat="1" x14ac:dyDescent="0.35">
      <c r="A658" s="251"/>
      <c r="B658" s="22"/>
      <c r="C658" s="252"/>
      <c r="D658" s="252"/>
      <c r="E658" s="252"/>
      <c r="F658" s="252"/>
      <c r="G658" s="252"/>
      <c r="H658" s="252"/>
      <c r="I658" s="252"/>
      <c r="J658" s="252"/>
      <c r="K658" s="252"/>
      <c r="L658"/>
      <c r="M658"/>
    </row>
    <row r="659" spans="1:13" s="79" customFormat="1" x14ac:dyDescent="0.35">
      <c r="A659" s="251"/>
      <c r="B659" s="22"/>
      <c r="C659" s="252"/>
      <c r="D659" s="252"/>
      <c r="E659" s="252"/>
      <c r="F659" s="252"/>
      <c r="G659" s="252"/>
      <c r="H659" s="252"/>
      <c r="I659" s="252"/>
      <c r="J659" s="252"/>
      <c r="K659" s="252"/>
      <c r="L659"/>
      <c r="M659"/>
    </row>
    <row r="660" spans="1:13" s="79" customFormat="1" x14ac:dyDescent="0.35">
      <c r="A660" s="251"/>
      <c r="B660" s="22"/>
      <c r="C660" s="252"/>
      <c r="D660" s="252"/>
      <c r="E660" s="252"/>
      <c r="F660" s="252"/>
      <c r="G660" s="252"/>
      <c r="H660" s="252"/>
      <c r="I660" s="252"/>
      <c r="J660" s="252"/>
      <c r="K660" s="252"/>
      <c r="L660"/>
      <c r="M660"/>
    </row>
    <row r="661" spans="1:13" s="79" customFormat="1" x14ac:dyDescent="0.35">
      <c r="A661" s="251"/>
      <c r="B661" s="22"/>
      <c r="C661" s="252"/>
      <c r="D661" s="252"/>
      <c r="E661" s="252"/>
      <c r="F661" s="252"/>
      <c r="G661" s="252"/>
      <c r="H661" s="252"/>
      <c r="I661" s="252"/>
      <c r="J661" s="252"/>
      <c r="K661" s="252"/>
      <c r="L661"/>
      <c r="M661"/>
    </row>
    <row r="662" spans="1:13" s="79" customFormat="1" x14ac:dyDescent="0.35">
      <c r="A662" s="251"/>
      <c r="B662" s="22"/>
      <c r="C662" s="252"/>
      <c r="D662" s="252"/>
      <c r="E662" s="252"/>
      <c r="F662" s="252"/>
      <c r="G662" s="252"/>
      <c r="H662" s="252"/>
      <c r="I662" s="252"/>
      <c r="J662" s="252"/>
      <c r="K662" s="252"/>
      <c r="L662"/>
      <c r="M662"/>
    </row>
    <row r="663" spans="1:13" s="79" customFormat="1" x14ac:dyDescent="0.35">
      <c r="A663" s="251"/>
      <c r="B663" s="22"/>
      <c r="C663" s="252"/>
      <c r="D663" s="252"/>
      <c r="E663" s="252"/>
      <c r="F663" s="252"/>
      <c r="G663" s="252"/>
      <c r="H663" s="252"/>
      <c r="I663" s="252"/>
      <c r="J663" s="252"/>
      <c r="K663" s="252"/>
      <c r="L663"/>
      <c r="M663"/>
    </row>
    <row r="664" spans="1:13" s="79" customFormat="1" x14ac:dyDescent="0.35">
      <c r="A664" s="251"/>
      <c r="B664" s="22"/>
      <c r="C664" s="252"/>
      <c r="D664" s="252"/>
      <c r="E664" s="252"/>
      <c r="F664" s="252"/>
      <c r="G664" s="252"/>
      <c r="H664" s="252"/>
      <c r="I664" s="252"/>
      <c r="J664" s="252"/>
      <c r="K664" s="252"/>
      <c r="L664"/>
      <c r="M664"/>
    </row>
    <row r="665" spans="1:13" s="79" customFormat="1" x14ac:dyDescent="0.35">
      <c r="A665" s="251"/>
      <c r="B665" s="22"/>
      <c r="C665" s="252"/>
      <c r="D665" s="252"/>
      <c r="E665" s="252"/>
      <c r="F665" s="252"/>
      <c r="G665" s="252"/>
      <c r="H665" s="252"/>
      <c r="I665" s="252"/>
      <c r="J665" s="252"/>
      <c r="K665" s="252"/>
      <c r="L665"/>
      <c r="M665"/>
    </row>
    <row r="666" spans="1:13" s="79" customFormat="1" x14ac:dyDescent="0.35">
      <c r="A666" s="251"/>
      <c r="B666" s="22"/>
      <c r="C666" s="252"/>
      <c r="D666" s="252"/>
      <c r="E666" s="252"/>
      <c r="F666" s="252"/>
      <c r="G666" s="252"/>
      <c r="H666" s="252"/>
      <c r="I666" s="252"/>
      <c r="J666" s="252"/>
      <c r="K666" s="252"/>
      <c r="L666"/>
      <c r="M666"/>
    </row>
    <row r="667" spans="1:13" s="79" customFormat="1" x14ac:dyDescent="0.35">
      <c r="A667" s="251"/>
      <c r="B667" s="22"/>
      <c r="C667" s="252"/>
      <c r="D667" s="252"/>
      <c r="E667" s="252"/>
      <c r="F667" s="252"/>
      <c r="G667" s="252"/>
      <c r="H667" s="252"/>
      <c r="I667" s="252"/>
      <c r="J667" s="252"/>
      <c r="K667" s="252"/>
      <c r="L667"/>
      <c r="M667"/>
    </row>
    <row r="668" spans="1:13" s="79" customFormat="1" x14ac:dyDescent="0.35">
      <c r="A668" s="251"/>
      <c r="B668" s="22"/>
      <c r="C668" s="252"/>
      <c r="D668" s="252"/>
      <c r="E668" s="252"/>
      <c r="F668" s="252"/>
      <c r="G668" s="252"/>
      <c r="H668" s="252"/>
      <c r="I668" s="252"/>
      <c r="J668" s="252"/>
      <c r="K668" s="252"/>
      <c r="L668"/>
      <c r="M668"/>
    </row>
    <row r="669" spans="1:13" s="79" customFormat="1" x14ac:dyDescent="0.35">
      <c r="A669" s="251"/>
      <c r="B669" s="22"/>
      <c r="C669" s="252"/>
      <c r="D669" s="252"/>
      <c r="E669" s="252"/>
      <c r="F669" s="252"/>
      <c r="G669" s="252"/>
      <c r="H669" s="252"/>
      <c r="I669" s="252"/>
      <c r="J669" s="252"/>
      <c r="K669" s="252"/>
      <c r="L669"/>
      <c r="M669"/>
    </row>
    <row r="670" spans="1:13" s="79" customFormat="1" x14ac:dyDescent="0.35">
      <c r="A670" s="251"/>
      <c r="B670" s="22"/>
      <c r="C670" s="252"/>
      <c r="D670" s="252"/>
      <c r="E670" s="252"/>
      <c r="F670" s="252"/>
      <c r="G670" s="252"/>
      <c r="H670" s="252"/>
      <c r="I670" s="252"/>
      <c r="J670" s="252"/>
      <c r="K670" s="252"/>
      <c r="L670"/>
      <c r="M670"/>
    </row>
    <row r="671" spans="1:13" s="79" customFormat="1" x14ac:dyDescent="0.35">
      <c r="A671" s="251"/>
      <c r="B671" s="22"/>
      <c r="C671" s="252"/>
      <c r="D671" s="252"/>
      <c r="E671" s="252"/>
      <c r="F671" s="252"/>
      <c r="G671" s="252"/>
      <c r="H671" s="252"/>
      <c r="I671" s="252"/>
      <c r="J671" s="252"/>
      <c r="K671" s="252"/>
      <c r="L671"/>
      <c r="M671"/>
    </row>
    <row r="672" spans="1:13" s="79" customFormat="1" x14ac:dyDescent="0.35">
      <c r="A672" s="251"/>
      <c r="B672" s="22"/>
      <c r="C672" s="252"/>
      <c r="D672" s="252"/>
      <c r="E672" s="252"/>
      <c r="F672" s="252"/>
      <c r="G672" s="252"/>
      <c r="H672" s="252"/>
      <c r="I672" s="252"/>
      <c r="J672" s="252"/>
      <c r="K672" s="252"/>
      <c r="L672"/>
      <c r="M672"/>
    </row>
    <row r="673" spans="1:13" s="79" customFormat="1" x14ac:dyDescent="0.35">
      <c r="A673" s="251"/>
      <c r="B673" s="22"/>
      <c r="C673" s="252"/>
      <c r="D673" s="252"/>
      <c r="E673" s="252"/>
      <c r="F673" s="252"/>
      <c r="G673" s="252"/>
      <c r="H673" s="252"/>
      <c r="I673" s="252"/>
      <c r="J673" s="252"/>
      <c r="K673" s="252"/>
      <c r="L673"/>
      <c r="M673"/>
    </row>
    <row r="674" spans="1:13" s="79" customFormat="1" x14ac:dyDescent="0.35">
      <c r="A674" s="251"/>
      <c r="B674" s="22"/>
      <c r="C674" s="252"/>
      <c r="D674" s="252"/>
      <c r="E674" s="252"/>
      <c r="F674" s="252"/>
      <c r="G674" s="252"/>
      <c r="H674" s="252"/>
      <c r="I674" s="252"/>
      <c r="J674" s="252"/>
      <c r="K674" s="252"/>
      <c r="L674"/>
      <c r="M674"/>
    </row>
    <row r="675" spans="1:13" s="79" customFormat="1" x14ac:dyDescent="0.35">
      <c r="A675" s="251"/>
      <c r="B675" s="22"/>
      <c r="C675" s="252"/>
      <c r="D675" s="252"/>
      <c r="E675" s="252"/>
      <c r="F675" s="252"/>
      <c r="G675" s="252"/>
      <c r="H675" s="252"/>
      <c r="I675" s="252"/>
      <c r="J675" s="252"/>
      <c r="K675" s="252"/>
      <c r="L675"/>
      <c r="M675"/>
    </row>
    <row r="676" spans="1:13" s="79" customFormat="1" x14ac:dyDescent="0.35">
      <c r="A676" s="251"/>
      <c r="B676" s="22"/>
      <c r="C676" s="252"/>
      <c r="D676" s="252"/>
      <c r="E676" s="252"/>
      <c r="F676" s="252"/>
      <c r="G676" s="252"/>
      <c r="H676" s="252"/>
      <c r="I676" s="252"/>
      <c r="J676" s="252"/>
      <c r="K676" s="252"/>
      <c r="L676"/>
      <c r="M676"/>
    </row>
    <row r="677" spans="1:13" s="79" customFormat="1" x14ac:dyDescent="0.35">
      <c r="A677" s="251"/>
      <c r="B677" s="22"/>
      <c r="C677" s="252"/>
      <c r="D677" s="252"/>
      <c r="E677" s="252"/>
      <c r="F677" s="252"/>
      <c r="G677" s="252"/>
      <c r="H677" s="252"/>
      <c r="I677" s="252"/>
      <c r="J677" s="252"/>
      <c r="K677" s="252"/>
      <c r="L677"/>
      <c r="M677"/>
    </row>
    <row r="678" spans="1:13" s="79" customFormat="1" x14ac:dyDescent="0.35">
      <c r="A678" s="251"/>
      <c r="B678" s="22"/>
      <c r="C678" s="252"/>
      <c r="D678" s="252"/>
      <c r="E678" s="252"/>
      <c r="F678" s="252"/>
      <c r="G678" s="252"/>
      <c r="H678" s="252"/>
      <c r="I678" s="252"/>
      <c r="J678" s="252"/>
      <c r="K678" s="252"/>
      <c r="L678"/>
      <c r="M678"/>
    </row>
    <row r="679" spans="1:13" s="79" customFormat="1" x14ac:dyDescent="0.35">
      <c r="A679" s="251"/>
      <c r="B679" s="22"/>
      <c r="C679" s="252"/>
      <c r="D679" s="252"/>
      <c r="E679" s="252"/>
      <c r="F679" s="252"/>
      <c r="G679" s="252"/>
      <c r="H679" s="252"/>
      <c r="I679" s="252"/>
      <c r="J679" s="252"/>
      <c r="K679" s="252"/>
      <c r="L679"/>
      <c r="M679"/>
    </row>
    <row r="680" spans="1:13" s="79" customFormat="1" x14ac:dyDescent="0.35">
      <c r="A680" s="251"/>
      <c r="B680" s="22"/>
      <c r="C680" s="252"/>
      <c r="D680" s="252"/>
      <c r="E680" s="252"/>
      <c r="F680" s="252"/>
      <c r="G680" s="252"/>
      <c r="H680" s="252"/>
      <c r="I680" s="252"/>
      <c r="J680" s="252"/>
      <c r="K680" s="252"/>
      <c r="L680"/>
      <c r="M680"/>
    </row>
    <row r="681" spans="1:13" s="79" customFormat="1" x14ac:dyDescent="0.35">
      <c r="A681" s="251"/>
      <c r="B681" s="22"/>
      <c r="C681" s="252"/>
      <c r="D681" s="252"/>
      <c r="E681" s="252"/>
      <c r="F681" s="252"/>
      <c r="G681" s="252"/>
      <c r="H681" s="252"/>
      <c r="I681" s="252"/>
      <c r="J681" s="252"/>
      <c r="K681" s="252"/>
      <c r="L681"/>
      <c r="M681"/>
    </row>
    <row r="682" spans="1:13" s="79" customFormat="1" x14ac:dyDescent="0.35">
      <c r="A682" s="251"/>
      <c r="B682" s="22"/>
      <c r="C682" s="252"/>
      <c r="D682" s="252"/>
      <c r="E682" s="252"/>
      <c r="F682" s="252"/>
      <c r="G682" s="252"/>
      <c r="H682" s="252"/>
      <c r="I682" s="252"/>
      <c r="J682" s="252"/>
      <c r="K682" s="252"/>
      <c r="L682"/>
      <c r="M682"/>
    </row>
    <row r="683" spans="1:13" s="79" customFormat="1" x14ac:dyDescent="0.35">
      <c r="A683" s="251"/>
      <c r="B683" s="22"/>
      <c r="C683" s="252"/>
      <c r="D683" s="252"/>
      <c r="E683" s="252"/>
      <c r="F683" s="252"/>
      <c r="G683" s="252"/>
      <c r="H683" s="252"/>
      <c r="I683" s="252"/>
      <c r="J683" s="252"/>
      <c r="K683" s="252"/>
      <c r="L683"/>
      <c r="M683"/>
    </row>
    <row r="684" spans="1:13" s="79" customFormat="1" x14ac:dyDescent="0.35">
      <c r="A684" s="251"/>
      <c r="B684" s="22"/>
      <c r="C684" s="252"/>
      <c r="D684" s="252"/>
      <c r="E684" s="252"/>
      <c r="F684" s="252"/>
      <c r="G684" s="252"/>
      <c r="H684" s="252"/>
      <c r="I684" s="252"/>
      <c r="J684" s="252"/>
      <c r="K684" s="252"/>
      <c r="L684"/>
      <c r="M684"/>
    </row>
    <row r="685" spans="1:13" s="79" customFormat="1" x14ac:dyDescent="0.35">
      <c r="A685" s="251"/>
      <c r="B685" s="22"/>
      <c r="C685" s="252"/>
      <c r="D685" s="252"/>
      <c r="E685" s="252"/>
      <c r="F685" s="252"/>
      <c r="G685" s="252"/>
      <c r="H685" s="252"/>
      <c r="I685" s="252"/>
      <c r="J685" s="252"/>
      <c r="K685" s="252"/>
      <c r="L685"/>
      <c r="M685"/>
    </row>
    <row r="686" spans="1:13" s="79" customFormat="1" x14ac:dyDescent="0.35">
      <c r="A686" s="251"/>
      <c r="B686" s="22"/>
      <c r="C686" s="252"/>
      <c r="D686" s="252"/>
      <c r="E686" s="252"/>
      <c r="F686" s="252"/>
      <c r="G686" s="252"/>
      <c r="H686" s="252"/>
      <c r="I686" s="252"/>
      <c r="J686" s="252"/>
      <c r="K686" s="252"/>
      <c r="L686"/>
      <c r="M686"/>
    </row>
    <row r="687" spans="1:13" s="79" customFormat="1" x14ac:dyDescent="0.35">
      <c r="A687" s="251"/>
      <c r="B687" s="22"/>
      <c r="C687" s="252"/>
      <c r="D687" s="252"/>
      <c r="E687" s="252"/>
      <c r="F687" s="252"/>
      <c r="G687" s="252"/>
      <c r="H687" s="252"/>
      <c r="I687" s="252"/>
      <c r="J687" s="252"/>
      <c r="K687" s="252"/>
      <c r="L687"/>
      <c r="M687"/>
    </row>
    <row r="688" spans="1:13" s="79" customFormat="1" x14ac:dyDescent="0.35">
      <c r="A688" s="251"/>
      <c r="B688" s="22"/>
      <c r="C688" s="252"/>
      <c r="D688" s="252"/>
      <c r="E688" s="252"/>
      <c r="F688" s="252"/>
      <c r="G688" s="252"/>
      <c r="H688" s="252"/>
      <c r="I688" s="252"/>
      <c r="J688" s="252"/>
      <c r="K688" s="252"/>
      <c r="L688"/>
      <c r="M688"/>
    </row>
    <row r="689" spans="1:13" s="79" customFormat="1" x14ac:dyDescent="0.35">
      <c r="A689" s="251"/>
      <c r="B689" s="22"/>
      <c r="C689" s="252"/>
      <c r="D689" s="252"/>
      <c r="E689" s="252"/>
      <c r="F689" s="252"/>
      <c r="G689" s="252"/>
      <c r="H689" s="252"/>
      <c r="I689" s="252"/>
      <c r="J689" s="252"/>
      <c r="K689" s="252"/>
      <c r="L689"/>
      <c r="M689"/>
    </row>
    <row r="690" spans="1:13" s="79" customFormat="1" x14ac:dyDescent="0.35">
      <c r="A690" s="251"/>
      <c r="B690" s="22"/>
      <c r="C690" s="252"/>
      <c r="D690" s="252"/>
      <c r="E690" s="252"/>
      <c r="F690" s="252"/>
      <c r="G690" s="252"/>
      <c r="H690" s="252"/>
      <c r="I690" s="252"/>
      <c r="J690" s="252"/>
      <c r="K690" s="252"/>
      <c r="L690"/>
      <c r="M690"/>
    </row>
    <row r="691" spans="1:13" s="79" customFormat="1" x14ac:dyDescent="0.35">
      <c r="A691" s="251"/>
      <c r="B691" s="22"/>
      <c r="C691" s="252"/>
      <c r="D691" s="252"/>
      <c r="E691" s="252"/>
      <c r="F691" s="252"/>
      <c r="G691" s="252"/>
      <c r="H691" s="252"/>
      <c r="I691" s="252"/>
      <c r="J691" s="252"/>
      <c r="K691" s="252"/>
      <c r="L691"/>
      <c r="M691"/>
    </row>
    <row r="692" spans="1:13" s="79" customFormat="1" x14ac:dyDescent="0.35">
      <c r="A692" s="251"/>
      <c r="B692" s="22"/>
      <c r="C692" s="252"/>
      <c r="D692" s="252"/>
      <c r="E692" s="252"/>
      <c r="F692" s="252"/>
      <c r="G692" s="252"/>
      <c r="H692" s="252"/>
      <c r="I692" s="252"/>
      <c r="J692" s="252"/>
      <c r="K692" s="252"/>
      <c r="L692"/>
      <c r="M692"/>
    </row>
    <row r="693" spans="1:13" s="79" customFormat="1" x14ac:dyDescent="0.35">
      <c r="A693" s="251"/>
      <c r="B693" s="22"/>
      <c r="C693" s="252"/>
      <c r="D693" s="252"/>
      <c r="E693" s="252"/>
      <c r="F693" s="252"/>
      <c r="G693" s="252"/>
      <c r="H693" s="252"/>
      <c r="I693" s="252"/>
      <c r="J693" s="252"/>
      <c r="K693" s="252"/>
      <c r="L693"/>
      <c r="M693"/>
    </row>
    <row r="694" spans="1:13" s="79" customFormat="1" x14ac:dyDescent="0.35">
      <c r="A694" s="251"/>
      <c r="B694" s="22"/>
      <c r="C694" s="252"/>
      <c r="D694" s="252"/>
      <c r="E694" s="252"/>
      <c r="F694" s="252"/>
      <c r="G694" s="252"/>
      <c r="H694" s="252"/>
      <c r="I694" s="252"/>
      <c r="J694" s="252"/>
      <c r="K694" s="252"/>
      <c r="L694"/>
      <c r="M694"/>
    </row>
    <row r="695" spans="1:13" s="79" customFormat="1" x14ac:dyDescent="0.35">
      <c r="A695" s="251"/>
      <c r="B695" s="22"/>
      <c r="C695" s="252"/>
      <c r="D695" s="252"/>
      <c r="E695" s="252"/>
      <c r="F695" s="252"/>
      <c r="G695" s="252"/>
      <c r="H695" s="252"/>
      <c r="I695" s="252"/>
      <c r="J695" s="252"/>
      <c r="K695" s="252"/>
      <c r="L695"/>
      <c r="M695"/>
    </row>
    <row r="696" spans="1:13" s="79" customFormat="1" x14ac:dyDescent="0.35">
      <c r="A696" s="251"/>
      <c r="B696" s="22"/>
      <c r="C696" s="252"/>
      <c r="D696" s="252"/>
      <c r="E696" s="252"/>
      <c r="F696" s="252"/>
      <c r="G696" s="252"/>
      <c r="H696" s="252"/>
      <c r="I696" s="252"/>
      <c r="J696" s="252"/>
      <c r="K696" s="252"/>
      <c r="L696"/>
      <c r="M696"/>
    </row>
    <row r="697" spans="1:13" s="79" customFormat="1" x14ac:dyDescent="0.35">
      <c r="A697" s="251"/>
      <c r="B697" s="22"/>
      <c r="C697" s="252"/>
      <c r="D697" s="252"/>
      <c r="E697" s="252"/>
      <c r="F697" s="252"/>
      <c r="G697" s="252"/>
      <c r="H697" s="252"/>
      <c r="I697" s="252"/>
      <c r="J697" s="252"/>
      <c r="K697" s="252"/>
      <c r="L697"/>
      <c r="M697"/>
    </row>
    <row r="698" spans="1:13" s="79" customFormat="1" x14ac:dyDescent="0.35">
      <c r="A698" s="251"/>
      <c r="B698" s="22"/>
      <c r="C698" s="252"/>
      <c r="D698" s="252"/>
      <c r="E698" s="252"/>
      <c r="F698" s="252"/>
      <c r="G698" s="252"/>
      <c r="H698" s="252"/>
      <c r="I698" s="252"/>
      <c r="J698" s="252"/>
      <c r="K698" s="252"/>
      <c r="L698"/>
      <c r="M698"/>
    </row>
    <row r="699" spans="1:13" s="79" customFormat="1" x14ac:dyDescent="0.35">
      <c r="A699" s="251"/>
      <c r="B699" s="22"/>
      <c r="C699" s="252"/>
      <c r="D699" s="252"/>
      <c r="E699" s="252"/>
      <c r="F699" s="252"/>
      <c r="G699" s="252"/>
      <c r="H699" s="252"/>
      <c r="I699" s="252"/>
      <c r="J699" s="252"/>
      <c r="K699" s="252"/>
      <c r="L699"/>
      <c r="M699"/>
    </row>
    <row r="700" spans="1:13" s="79" customFormat="1" x14ac:dyDescent="0.35">
      <c r="A700" s="251"/>
      <c r="B700" s="22"/>
      <c r="C700" s="252"/>
      <c r="D700" s="252"/>
      <c r="E700" s="252"/>
      <c r="F700" s="252"/>
      <c r="G700" s="252"/>
      <c r="H700" s="252"/>
      <c r="I700" s="252"/>
      <c r="J700" s="252"/>
      <c r="K700" s="252"/>
      <c r="L700"/>
      <c r="M700"/>
    </row>
    <row r="701" spans="1:13" s="79" customFormat="1" x14ac:dyDescent="0.35">
      <c r="A701" s="251"/>
      <c r="B701" s="22"/>
      <c r="C701" s="252"/>
      <c r="D701" s="252"/>
      <c r="E701" s="252"/>
      <c r="F701" s="252"/>
      <c r="G701" s="252"/>
      <c r="H701" s="252"/>
      <c r="I701" s="252"/>
      <c r="J701" s="252"/>
      <c r="K701" s="252"/>
      <c r="L701"/>
      <c r="M701"/>
    </row>
    <row r="702" spans="1:13" s="79" customFormat="1" x14ac:dyDescent="0.35">
      <c r="A702" s="251"/>
      <c r="B702" s="22"/>
      <c r="C702" s="252"/>
      <c r="D702" s="252"/>
      <c r="E702" s="252"/>
      <c r="F702" s="252"/>
      <c r="G702" s="252"/>
      <c r="H702" s="252"/>
      <c r="I702" s="252"/>
      <c r="J702" s="252"/>
      <c r="K702" s="252"/>
      <c r="L702"/>
      <c r="M702"/>
    </row>
    <row r="703" spans="1:13" s="79" customFormat="1" x14ac:dyDescent="0.35">
      <c r="A703" s="251"/>
      <c r="B703" s="22"/>
      <c r="C703" s="252"/>
      <c r="D703" s="252"/>
      <c r="E703" s="252"/>
      <c r="F703" s="252"/>
      <c r="G703" s="252"/>
      <c r="H703" s="252"/>
      <c r="I703" s="252"/>
      <c r="J703" s="252"/>
      <c r="K703" s="252"/>
      <c r="L703"/>
      <c r="M703"/>
    </row>
    <row r="704" spans="1:13" s="79" customFormat="1" x14ac:dyDescent="0.35">
      <c r="A704" s="251"/>
      <c r="B704" s="22"/>
      <c r="C704" s="252"/>
      <c r="D704" s="252"/>
      <c r="E704" s="252"/>
      <c r="F704" s="252"/>
      <c r="G704" s="252"/>
      <c r="H704" s="252"/>
      <c r="I704" s="252"/>
      <c r="J704" s="252"/>
      <c r="K704" s="252"/>
      <c r="L704"/>
      <c r="M704"/>
    </row>
    <row r="705" spans="1:13" s="79" customFormat="1" x14ac:dyDescent="0.35">
      <c r="A705" s="251"/>
      <c r="B705" s="22"/>
      <c r="C705" s="252"/>
      <c r="D705" s="252"/>
      <c r="E705" s="252"/>
      <c r="F705" s="252"/>
      <c r="G705" s="252"/>
      <c r="H705" s="252"/>
      <c r="I705" s="252"/>
      <c r="J705" s="252"/>
      <c r="K705" s="252"/>
      <c r="L705"/>
      <c r="M705"/>
    </row>
    <row r="706" spans="1:13" s="79" customFormat="1" x14ac:dyDescent="0.35">
      <c r="A706" s="251"/>
      <c r="B706" s="22"/>
      <c r="C706" s="252"/>
      <c r="D706" s="252"/>
      <c r="E706" s="252"/>
      <c r="F706" s="252"/>
      <c r="G706" s="252"/>
      <c r="H706" s="252"/>
      <c r="I706" s="252"/>
      <c r="J706" s="252"/>
      <c r="K706" s="252"/>
      <c r="L706"/>
      <c r="M706"/>
    </row>
    <row r="707" spans="1:13" s="79" customFormat="1" x14ac:dyDescent="0.35">
      <c r="A707" s="251"/>
      <c r="B707" s="22"/>
      <c r="C707" s="252"/>
      <c r="D707" s="252"/>
      <c r="E707" s="252"/>
      <c r="F707" s="252"/>
      <c r="G707" s="252"/>
      <c r="H707" s="252"/>
      <c r="I707" s="252"/>
      <c r="J707" s="252"/>
      <c r="K707" s="252"/>
      <c r="L707"/>
      <c r="M707"/>
    </row>
    <row r="708" spans="1:13" s="79" customFormat="1" x14ac:dyDescent="0.35">
      <c r="A708" s="251"/>
      <c r="B708" s="22"/>
      <c r="C708" s="252"/>
      <c r="D708" s="252"/>
      <c r="E708" s="252"/>
      <c r="F708" s="252"/>
      <c r="G708" s="252"/>
      <c r="H708" s="252"/>
      <c r="I708" s="252"/>
      <c r="J708" s="252"/>
      <c r="K708" s="252"/>
      <c r="L708"/>
      <c r="M708"/>
    </row>
    <row r="709" spans="1:13" s="79" customFormat="1" x14ac:dyDescent="0.35">
      <c r="A709" s="251"/>
      <c r="B709" s="22"/>
      <c r="C709" s="252"/>
      <c r="D709" s="252"/>
      <c r="E709" s="252"/>
      <c r="F709" s="252"/>
      <c r="G709" s="252"/>
      <c r="H709" s="252"/>
      <c r="I709" s="252"/>
      <c r="J709" s="252"/>
      <c r="K709" s="252"/>
      <c r="L709"/>
      <c r="M709"/>
    </row>
    <row r="710" spans="1:13" s="79" customFormat="1" x14ac:dyDescent="0.35">
      <c r="A710" s="251"/>
      <c r="B710" s="22"/>
      <c r="C710" s="252"/>
      <c r="D710" s="252"/>
      <c r="E710" s="252"/>
      <c r="F710" s="252"/>
      <c r="G710" s="252"/>
      <c r="H710" s="252"/>
      <c r="I710" s="252"/>
      <c r="J710" s="252"/>
      <c r="K710" s="252"/>
      <c r="L710"/>
      <c r="M710"/>
    </row>
    <row r="711" spans="1:13" s="79" customFormat="1" x14ac:dyDescent="0.35">
      <c r="A711" s="251"/>
      <c r="B711" s="22"/>
      <c r="C711" s="252"/>
      <c r="D711" s="252"/>
      <c r="E711" s="252"/>
      <c r="F711" s="252"/>
      <c r="G711" s="252"/>
      <c r="H711" s="252"/>
      <c r="I711" s="252"/>
      <c r="J711" s="252"/>
      <c r="K711" s="252"/>
      <c r="L711"/>
      <c r="M711"/>
    </row>
    <row r="712" spans="1:13" s="79" customFormat="1" x14ac:dyDescent="0.35">
      <c r="A712" s="251"/>
      <c r="B712" s="22"/>
      <c r="C712" s="252"/>
      <c r="D712" s="252"/>
      <c r="E712" s="252"/>
      <c r="F712" s="252"/>
      <c r="G712" s="252"/>
      <c r="H712" s="252"/>
      <c r="I712" s="252"/>
      <c r="J712" s="252"/>
      <c r="K712" s="252"/>
      <c r="L712"/>
      <c r="M712"/>
    </row>
    <row r="713" spans="1:13" s="79" customFormat="1" x14ac:dyDescent="0.35">
      <c r="A713" s="251"/>
      <c r="B713" s="22"/>
      <c r="C713" s="252"/>
      <c r="D713" s="252"/>
      <c r="E713" s="252"/>
      <c r="F713" s="252"/>
      <c r="G713" s="252"/>
      <c r="H713" s="252"/>
      <c r="I713" s="252"/>
      <c r="J713" s="252"/>
      <c r="K713" s="252"/>
      <c r="L713"/>
      <c r="M713"/>
    </row>
    <row r="714" spans="1:13" s="79" customFormat="1" x14ac:dyDescent="0.35">
      <c r="A714" s="251"/>
      <c r="B714" s="22"/>
      <c r="C714" s="252"/>
      <c r="D714" s="252"/>
      <c r="E714" s="252"/>
      <c r="F714" s="252"/>
      <c r="G714" s="252"/>
      <c r="H714" s="252"/>
      <c r="I714" s="252"/>
      <c r="J714" s="252"/>
      <c r="K714" s="252"/>
      <c r="L714"/>
      <c r="M714"/>
    </row>
    <row r="715" spans="1:13" s="79" customFormat="1" x14ac:dyDescent="0.35">
      <c r="A715" s="251"/>
      <c r="B715" s="22"/>
      <c r="C715" s="252"/>
      <c r="D715" s="252"/>
      <c r="E715" s="252"/>
      <c r="F715" s="252"/>
      <c r="G715" s="252"/>
      <c r="H715" s="252"/>
      <c r="I715" s="252"/>
      <c r="J715" s="252"/>
      <c r="K715" s="252"/>
      <c r="L715"/>
      <c r="M715"/>
    </row>
    <row r="716" spans="1:13" s="79" customFormat="1" x14ac:dyDescent="0.35">
      <c r="A716" s="251"/>
      <c r="B716" s="22"/>
      <c r="C716" s="252"/>
      <c r="D716" s="252"/>
      <c r="E716" s="252"/>
      <c r="F716" s="252"/>
      <c r="G716" s="252"/>
      <c r="H716" s="252"/>
      <c r="I716" s="252"/>
      <c r="J716" s="252"/>
      <c r="K716" s="252"/>
      <c r="L716"/>
      <c r="M716"/>
    </row>
    <row r="717" spans="1:13" s="79" customFormat="1" x14ac:dyDescent="0.35">
      <c r="A717" s="251"/>
      <c r="B717" s="22"/>
      <c r="C717" s="252"/>
      <c r="D717" s="252"/>
      <c r="E717" s="252"/>
      <c r="F717" s="252"/>
      <c r="G717" s="252"/>
      <c r="H717" s="252"/>
      <c r="I717" s="252"/>
      <c r="J717" s="252"/>
      <c r="K717" s="252"/>
      <c r="L717"/>
      <c r="M717"/>
    </row>
    <row r="718" spans="1:13" s="79" customFormat="1" x14ac:dyDescent="0.35">
      <c r="A718" s="251"/>
      <c r="B718" s="22"/>
      <c r="C718" s="252"/>
      <c r="D718" s="252"/>
      <c r="E718" s="252"/>
      <c r="F718" s="252"/>
      <c r="G718" s="252"/>
      <c r="H718" s="252"/>
      <c r="I718" s="252"/>
      <c r="J718" s="252"/>
      <c r="K718" s="252"/>
      <c r="L718"/>
      <c r="M718"/>
    </row>
    <row r="719" spans="1:13" s="79" customFormat="1" x14ac:dyDescent="0.35">
      <c r="A719" s="251"/>
      <c r="B719" s="22"/>
      <c r="C719" s="252"/>
      <c r="D719" s="252"/>
      <c r="E719" s="252"/>
      <c r="F719" s="252"/>
      <c r="G719" s="252"/>
      <c r="H719" s="252"/>
      <c r="I719" s="252"/>
      <c r="J719" s="252"/>
      <c r="K719" s="252"/>
      <c r="L719"/>
      <c r="M719"/>
    </row>
    <row r="720" spans="1:13" s="79" customFormat="1" x14ac:dyDescent="0.35">
      <c r="A720" s="251"/>
      <c r="B720" s="22"/>
      <c r="C720" s="252"/>
      <c r="D720" s="252"/>
      <c r="E720" s="252"/>
      <c r="F720" s="252"/>
      <c r="G720" s="252"/>
      <c r="H720" s="252"/>
      <c r="I720" s="252"/>
      <c r="J720" s="252"/>
      <c r="K720" s="252"/>
      <c r="L720"/>
      <c r="M720"/>
    </row>
    <row r="721" spans="1:13" s="79" customFormat="1" x14ac:dyDescent="0.35">
      <c r="A721" s="251"/>
      <c r="B721" s="22"/>
      <c r="C721" s="252"/>
      <c r="D721" s="252"/>
      <c r="E721" s="252"/>
      <c r="F721" s="252"/>
      <c r="G721" s="252"/>
      <c r="H721" s="252"/>
      <c r="I721" s="252"/>
      <c r="J721" s="252"/>
      <c r="K721" s="252"/>
      <c r="L721"/>
      <c r="M721"/>
    </row>
    <row r="722" spans="1:13" s="79" customFormat="1" x14ac:dyDescent="0.35">
      <c r="A722" s="251"/>
      <c r="B722" s="22"/>
      <c r="C722" s="252"/>
      <c r="D722" s="252"/>
      <c r="E722" s="252"/>
      <c r="F722" s="252"/>
      <c r="G722" s="252"/>
      <c r="H722" s="252"/>
      <c r="I722" s="252"/>
      <c r="J722" s="252"/>
      <c r="K722" s="252"/>
      <c r="L722"/>
      <c r="M722"/>
    </row>
    <row r="723" spans="1:13" s="79" customFormat="1" x14ac:dyDescent="0.35">
      <c r="A723" s="251"/>
      <c r="B723" s="22"/>
      <c r="C723" s="252"/>
      <c r="D723" s="252"/>
      <c r="E723" s="252"/>
      <c r="F723" s="252"/>
      <c r="G723" s="252"/>
      <c r="H723" s="252"/>
      <c r="I723" s="252"/>
      <c r="J723" s="252"/>
      <c r="K723" s="252"/>
      <c r="L723"/>
      <c r="M723"/>
    </row>
    <row r="724" spans="1:13" s="79" customFormat="1" x14ac:dyDescent="0.35">
      <c r="A724" s="251"/>
      <c r="B724" s="22"/>
      <c r="C724" s="252"/>
      <c r="D724" s="252"/>
      <c r="E724" s="252"/>
      <c r="F724" s="252"/>
      <c r="G724" s="252"/>
      <c r="H724" s="252"/>
      <c r="I724" s="252"/>
      <c r="J724" s="252"/>
      <c r="K724" s="252"/>
      <c r="L724"/>
      <c r="M724"/>
    </row>
    <row r="725" spans="1:13" s="79" customFormat="1" x14ac:dyDescent="0.35">
      <c r="A725" s="251"/>
      <c r="B725" s="22"/>
      <c r="C725" s="252"/>
      <c r="D725" s="252"/>
      <c r="E725" s="252"/>
      <c r="F725" s="252"/>
      <c r="G725" s="252"/>
      <c r="H725" s="252"/>
      <c r="I725" s="252"/>
      <c r="J725" s="252"/>
      <c r="K725" s="252"/>
      <c r="L725"/>
      <c r="M725"/>
    </row>
    <row r="726" spans="1:13" s="79" customFormat="1" x14ac:dyDescent="0.35">
      <c r="A726" s="251"/>
      <c r="B726" s="22"/>
      <c r="C726" s="252"/>
      <c r="D726" s="252"/>
      <c r="E726" s="252"/>
      <c r="F726" s="252"/>
      <c r="G726" s="252"/>
      <c r="H726" s="252"/>
      <c r="I726" s="252"/>
      <c r="J726" s="252"/>
      <c r="K726" s="252"/>
      <c r="L726"/>
      <c r="M726"/>
    </row>
    <row r="727" spans="1:13" s="79" customFormat="1" x14ac:dyDescent="0.35">
      <c r="A727" s="251"/>
      <c r="B727" s="22"/>
      <c r="C727" s="252"/>
      <c r="D727" s="252"/>
      <c r="E727" s="252"/>
      <c r="F727" s="252"/>
      <c r="G727" s="252"/>
      <c r="H727" s="252"/>
      <c r="I727" s="252"/>
      <c r="J727" s="252"/>
      <c r="K727" s="252"/>
      <c r="L727"/>
      <c r="M727"/>
    </row>
    <row r="728" spans="1:13" s="79" customFormat="1" x14ac:dyDescent="0.35">
      <c r="A728" s="251"/>
      <c r="B728" s="22"/>
      <c r="C728" s="252"/>
      <c r="D728" s="252"/>
      <c r="E728" s="252"/>
      <c r="F728" s="252"/>
      <c r="G728" s="252"/>
      <c r="H728" s="252"/>
      <c r="I728" s="252"/>
      <c r="J728" s="252"/>
      <c r="K728" s="252"/>
      <c r="L728"/>
      <c r="M728"/>
    </row>
    <row r="729" spans="1:13" s="79" customFormat="1" x14ac:dyDescent="0.35">
      <c r="A729" s="251"/>
      <c r="B729" s="22"/>
      <c r="C729" s="252"/>
      <c r="D729" s="252"/>
      <c r="E729" s="252"/>
      <c r="F729" s="252"/>
      <c r="G729" s="252"/>
      <c r="H729" s="252"/>
      <c r="I729" s="252"/>
      <c r="J729" s="252"/>
      <c r="K729" s="252"/>
      <c r="L729"/>
      <c r="M729"/>
    </row>
    <row r="730" spans="1:13" s="79" customFormat="1" x14ac:dyDescent="0.35">
      <c r="A730" s="251"/>
      <c r="B730" s="22"/>
      <c r="C730" s="252"/>
      <c r="D730" s="252"/>
      <c r="E730" s="252"/>
      <c r="F730" s="252"/>
      <c r="G730" s="252"/>
      <c r="H730" s="252"/>
      <c r="I730" s="252"/>
      <c r="J730" s="252"/>
      <c r="K730" s="252"/>
      <c r="L730"/>
      <c r="M730"/>
    </row>
    <row r="731" spans="1:13" s="79" customFormat="1" x14ac:dyDescent="0.35">
      <c r="A731" s="251"/>
      <c r="B731" s="22"/>
      <c r="C731" s="252"/>
      <c r="D731" s="252"/>
      <c r="E731" s="252"/>
      <c r="F731" s="252"/>
      <c r="G731" s="252"/>
      <c r="H731" s="252"/>
      <c r="I731" s="252"/>
      <c r="J731" s="252"/>
      <c r="K731" s="252"/>
      <c r="L731"/>
      <c r="M731"/>
    </row>
    <row r="732" spans="1:13" s="79" customFormat="1" x14ac:dyDescent="0.35">
      <c r="A732" s="251"/>
      <c r="B732" s="22"/>
      <c r="C732" s="252"/>
      <c r="D732" s="252"/>
      <c r="E732" s="252"/>
      <c r="F732" s="252"/>
      <c r="G732" s="252"/>
      <c r="H732" s="252"/>
      <c r="I732" s="252"/>
      <c r="J732" s="252"/>
      <c r="K732" s="252"/>
      <c r="L732"/>
      <c r="M732"/>
    </row>
    <row r="733" spans="1:13" s="79" customFormat="1" x14ac:dyDescent="0.35">
      <c r="A733" s="251"/>
      <c r="B733" s="22"/>
      <c r="C733" s="252"/>
      <c r="D733" s="252"/>
      <c r="E733" s="252"/>
      <c r="F733" s="252"/>
      <c r="G733" s="252"/>
      <c r="H733" s="252"/>
      <c r="I733" s="252"/>
      <c r="J733" s="252"/>
      <c r="K733" s="252"/>
      <c r="L733"/>
      <c r="M733"/>
    </row>
    <row r="734" spans="1:13" s="79" customFormat="1" x14ac:dyDescent="0.35">
      <c r="A734" s="251"/>
      <c r="B734" s="22"/>
      <c r="C734" s="252"/>
      <c r="D734" s="252"/>
      <c r="E734" s="252"/>
      <c r="F734" s="252"/>
      <c r="G734" s="252"/>
      <c r="H734" s="252"/>
      <c r="I734" s="252"/>
      <c r="J734" s="252"/>
      <c r="K734" s="252"/>
      <c r="L734"/>
      <c r="M734"/>
    </row>
    <row r="735" spans="1:13" s="79" customFormat="1" x14ac:dyDescent="0.35">
      <c r="A735" s="251"/>
      <c r="B735" s="22"/>
      <c r="C735" s="252"/>
      <c r="D735" s="252"/>
      <c r="E735" s="252"/>
      <c r="F735" s="252"/>
      <c r="G735" s="252"/>
      <c r="H735" s="252"/>
      <c r="I735" s="252"/>
      <c r="J735" s="252"/>
      <c r="K735" s="252"/>
      <c r="L735"/>
      <c r="M735"/>
    </row>
    <row r="736" spans="1:13" s="79" customFormat="1" x14ac:dyDescent="0.35">
      <c r="A736" s="251"/>
      <c r="B736" s="22"/>
      <c r="C736" s="252"/>
      <c r="D736" s="252"/>
      <c r="E736" s="252"/>
      <c r="F736" s="252"/>
      <c r="G736" s="252"/>
      <c r="H736" s="252"/>
      <c r="I736" s="252"/>
      <c r="J736" s="252"/>
      <c r="K736" s="252"/>
      <c r="L736"/>
      <c r="M736"/>
    </row>
    <row r="737" spans="1:13" s="79" customFormat="1" x14ac:dyDescent="0.35">
      <c r="A737" s="251"/>
      <c r="B737" s="22"/>
      <c r="C737" s="252"/>
      <c r="D737" s="252"/>
      <c r="E737" s="252"/>
      <c r="F737" s="252"/>
      <c r="G737" s="252"/>
      <c r="H737" s="252"/>
      <c r="I737" s="252"/>
      <c r="J737" s="252"/>
      <c r="K737" s="252"/>
      <c r="L737"/>
      <c r="M737"/>
    </row>
    <row r="738" spans="1:13" s="79" customFormat="1" x14ac:dyDescent="0.35">
      <c r="A738" s="251"/>
      <c r="B738" s="22"/>
      <c r="C738" s="252"/>
      <c r="D738" s="252"/>
      <c r="E738" s="252"/>
      <c r="F738" s="252"/>
      <c r="G738" s="252"/>
      <c r="H738" s="252"/>
      <c r="I738" s="252"/>
      <c r="J738" s="252"/>
      <c r="K738" s="252"/>
      <c r="L738"/>
      <c r="M738"/>
    </row>
    <row r="739" spans="1:13" s="79" customFormat="1" x14ac:dyDescent="0.35">
      <c r="A739" s="251"/>
      <c r="B739" s="22"/>
      <c r="C739" s="252"/>
      <c r="D739" s="252"/>
      <c r="E739" s="252"/>
      <c r="F739" s="252"/>
      <c r="G739" s="252"/>
      <c r="H739" s="252"/>
      <c r="I739" s="252"/>
      <c r="J739" s="252"/>
      <c r="K739" s="252"/>
      <c r="L739"/>
      <c r="M739"/>
    </row>
    <row r="740" spans="1:13" s="79" customFormat="1" x14ac:dyDescent="0.35">
      <c r="A740" s="251"/>
      <c r="B740" s="22"/>
      <c r="C740" s="252"/>
      <c r="D740" s="252"/>
      <c r="E740" s="252"/>
      <c r="F740" s="252"/>
      <c r="G740" s="252"/>
      <c r="H740" s="252"/>
      <c r="I740" s="252"/>
      <c r="J740" s="252"/>
      <c r="K740" s="252"/>
      <c r="L740"/>
      <c r="M740"/>
    </row>
    <row r="741" spans="1:13" s="79" customFormat="1" x14ac:dyDescent="0.35">
      <c r="A741" s="251"/>
      <c r="B741" s="22"/>
      <c r="C741" s="252"/>
      <c r="D741" s="252"/>
      <c r="E741" s="252"/>
      <c r="F741" s="252"/>
      <c r="G741" s="252"/>
      <c r="H741" s="252"/>
      <c r="I741" s="252"/>
      <c r="J741" s="252"/>
      <c r="K741" s="252"/>
      <c r="L741"/>
      <c r="M741"/>
    </row>
    <row r="742" spans="1:13" s="79" customFormat="1" x14ac:dyDescent="0.35">
      <c r="A742" s="251"/>
      <c r="B742" s="22"/>
      <c r="C742" s="252"/>
      <c r="D742" s="252"/>
      <c r="E742" s="252"/>
      <c r="F742" s="252"/>
      <c r="G742" s="252"/>
      <c r="H742" s="252"/>
      <c r="I742" s="252"/>
      <c r="J742" s="252"/>
      <c r="K742" s="252"/>
      <c r="L742"/>
      <c r="M742"/>
    </row>
    <row r="743" spans="1:13" s="79" customFormat="1" x14ac:dyDescent="0.35">
      <c r="A743" s="251"/>
      <c r="B743" s="22"/>
      <c r="C743" s="252"/>
      <c r="D743" s="252"/>
      <c r="E743" s="252"/>
      <c r="F743" s="252"/>
      <c r="G743" s="252"/>
      <c r="H743" s="252"/>
      <c r="I743" s="252"/>
      <c r="J743" s="252"/>
      <c r="K743" s="252"/>
      <c r="L743"/>
      <c r="M743"/>
    </row>
    <row r="744" spans="1:13" s="79" customFormat="1" x14ac:dyDescent="0.35">
      <c r="A744" s="251"/>
      <c r="B744" s="22"/>
      <c r="C744" s="252"/>
      <c r="D744" s="252"/>
      <c r="E744" s="252"/>
      <c r="F744" s="252"/>
      <c r="G744" s="252"/>
      <c r="H744" s="252"/>
      <c r="I744" s="252"/>
      <c r="J744" s="252"/>
      <c r="K744" s="252"/>
      <c r="L744"/>
      <c r="M744"/>
    </row>
    <row r="745" spans="1:13" s="79" customFormat="1" x14ac:dyDescent="0.35">
      <c r="A745" s="251"/>
      <c r="B745" s="22"/>
      <c r="C745" s="252"/>
      <c r="D745" s="252"/>
      <c r="E745" s="252"/>
      <c r="F745" s="252"/>
      <c r="G745" s="252"/>
      <c r="H745" s="252"/>
      <c r="I745" s="252"/>
      <c r="J745" s="252"/>
      <c r="K745" s="252"/>
      <c r="L745"/>
      <c r="M745"/>
    </row>
    <row r="746" spans="1:13" s="79" customFormat="1" x14ac:dyDescent="0.35">
      <c r="A746" s="251"/>
      <c r="B746" s="22"/>
      <c r="C746" s="252"/>
      <c r="D746" s="252"/>
      <c r="E746" s="252"/>
      <c r="F746" s="252"/>
      <c r="G746" s="252"/>
      <c r="H746" s="252"/>
      <c r="I746" s="252"/>
      <c r="J746" s="252"/>
      <c r="K746" s="252"/>
      <c r="L746"/>
      <c r="M746"/>
    </row>
    <row r="747" spans="1:13" s="79" customFormat="1" x14ac:dyDescent="0.35">
      <c r="A747" s="251"/>
      <c r="B747" s="22"/>
      <c r="C747" s="252"/>
      <c r="D747" s="252"/>
      <c r="E747" s="252"/>
      <c r="F747" s="252"/>
      <c r="G747" s="252"/>
      <c r="H747" s="252"/>
      <c r="I747" s="252"/>
      <c r="J747" s="252"/>
      <c r="K747" s="252"/>
      <c r="L747"/>
      <c r="M747"/>
    </row>
    <row r="748" spans="1:13" s="79" customFormat="1" x14ac:dyDescent="0.35">
      <c r="A748" s="251"/>
      <c r="B748" s="22"/>
      <c r="C748" s="252"/>
      <c r="D748" s="252"/>
      <c r="E748" s="252"/>
      <c r="F748" s="252"/>
      <c r="G748" s="252"/>
      <c r="H748" s="252"/>
      <c r="I748" s="252"/>
      <c r="J748" s="252"/>
      <c r="K748" s="252"/>
      <c r="L748"/>
      <c r="M748"/>
    </row>
    <row r="749" spans="1:13" s="79" customFormat="1" x14ac:dyDescent="0.35">
      <c r="A749" s="251"/>
      <c r="B749" s="22"/>
      <c r="C749" s="252"/>
      <c r="D749" s="252"/>
      <c r="E749" s="252"/>
      <c r="F749" s="252"/>
      <c r="G749" s="252"/>
      <c r="H749" s="252"/>
      <c r="I749" s="252"/>
      <c r="J749" s="252"/>
      <c r="K749" s="252"/>
      <c r="L749"/>
      <c r="M749"/>
    </row>
    <row r="750" spans="1:13" s="79" customFormat="1" x14ac:dyDescent="0.35">
      <c r="A750" s="251"/>
      <c r="B750" s="22"/>
      <c r="C750" s="252"/>
      <c r="D750" s="252"/>
      <c r="E750" s="252"/>
      <c r="F750" s="252"/>
      <c r="G750" s="252"/>
      <c r="H750" s="252"/>
      <c r="I750" s="252"/>
      <c r="J750" s="252"/>
      <c r="K750" s="252"/>
      <c r="L750"/>
      <c r="M750"/>
    </row>
    <row r="751" spans="1:13" s="79" customFormat="1" x14ac:dyDescent="0.35">
      <c r="A751" s="251"/>
      <c r="B751" s="22"/>
      <c r="C751" s="252"/>
      <c r="D751" s="252"/>
      <c r="E751" s="252"/>
      <c r="F751" s="252"/>
      <c r="G751" s="252"/>
      <c r="H751" s="252"/>
      <c r="I751" s="252"/>
      <c r="J751" s="252"/>
      <c r="K751" s="252"/>
      <c r="L751"/>
      <c r="M751"/>
    </row>
    <row r="752" spans="1:13" s="79" customFormat="1" x14ac:dyDescent="0.35">
      <c r="A752" s="251"/>
      <c r="B752" s="22"/>
      <c r="C752" s="252"/>
      <c r="D752" s="252"/>
      <c r="E752" s="252"/>
      <c r="F752" s="252"/>
      <c r="G752" s="252"/>
      <c r="H752" s="252"/>
      <c r="I752" s="252"/>
      <c r="J752" s="252"/>
      <c r="K752" s="252"/>
      <c r="L752"/>
      <c r="M752"/>
    </row>
    <row r="753" spans="1:13" s="79" customFormat="1" x14ac:dyDescent="0.35">
      <c r="A753" s="251"/>
      <c r="B753" s="22"/>
      <c r="C753" s="252"/>
      <c r="D753" s="252"/>
      <c r="E753" s="252"/>
      <c r="F753" s="252"/>
      <c r="G753" s="252"/>
      <c r="H753" s="252"/>
      <c r="I753" s="252"/>
      <c r="J753" s="252"/>
      <c r="K753" s="252"/>
      <c r="L753"/>
      <c r="M753"/>
    </row>
    <row r="754" spans="1:13" s="79" customFormat="1" x14ac:dyDescent="0.35">
      <c r="A754" s="251"/>
      <c r="B754" s="22"/>
      <c r="C754" s="252"/>
      <c r="D754" s="252"/>
      <c r="E754" s="252"/>
      <c r="F754" s="252"/>
      <c r="G754" s="252"/>
      <c r="H754" s="252"/>
      <c r="I754" s="252"/>
      <c r="J754" s="252"/>
      <c r="K754" s="252"/>
      <c r="L754"/>
      <c r="M754"/>
    </row>
    <row r="755" spans="1:13" s="79" customFormat="1" x14ac:dyDescent="0.35">
      <c r="A755" s="251"/>
      <c r="B755" s="22"/>
      <c r="C755" s="252"/>
      <c r="D755" s="252"/>
      <c r="E755" s="252"/>
      <c r="F755" s="252"/>
      <c r="G755" s="252"/>
      <c r="H755" s="252"/>
      <c r="I755" s="252"/>
      <c r="J755" s="252"/>
      <c r="K755" s="252"/>
      <c r="L755"/>
      <c r="M755"/>
    </row>
    <row r="756" spans="1:13" s="79" customFormat="1" x14ac:dyDescent="0.35">
      <c r="A756" s="251"/>
      <c r="B756" s="22"/>
      <c r="C756" s="252"/>
      <c r="D756" s="252"/>
      <c r="E756" s="252"/>
      <c r="F756" s="252"/>
      <c r="G756" s="252"/>
      <c r="H756" s="252"/>
      <c r="I756" s="252"/>
      <c r="J756" s="252"/>
      <c r="K756" s="252"/>
      <c r="L756"/>
      <c r="M756"/>
    </row>
    <row r="757" spans="1:13" s="79" customFormat="1" x14ac:dyDescent="0.35">
      <c r="A757" s="251"/>
      <c r="B757" s="22"/>
      <c r="C757" s="252"/>
      <c r="D757" s="252"/>
      <c r="E757" s="252"/>
      <c r="F757" s="252"/>
      <c r="G757" s="252"/>
      <c r="H757" s="252"/>
      <c r="I757" s="252"/>
      <c r="J757" s="252"/>
      <c r="K757" s="252"/>
      <c r="L757"/>
      <c r="M757"/>
    </row>
    <row r="758" spans="1:13" s="79" customFormat="1" x14ac:dyDescent="0.35">
      <c r="A758" s="251"/>
      <c r="B758" s="22"/>
      <c r="C758" s="252"/>
      <c r="D758" s="252"/>
      <c r="E758" s="252"/>
      <c r="F758" s="252"/>
      <c r="G758" s="252"/>
      <c r="H758" s="252"/>
      <c r="I758" s="252"/>
      <c r="J758" s="252"/>
      <c r="K758" s="252"/>
      <c r="L758"/>
      <c r="M758"/>
    </row>
    <row r="759" spans="1:13" s="79" customFormat="1" x14ac:dyDescent="0.35">
      <c r="A759" s="251"/>
      <c r="B759" s="22"/>
      <c r="C759" s="252"/>
      <c r="D759" s="252"/>
      <c r="E759" s="252"/>
      <c r="F759" s="252"/>
      <c r="G759" s="252"/>
      <c r="H759" s="252"/>
      <c r="I759" s="252"/>
      <c r="J759" s="252"/>
      <c r="K759" s="252"/>
      <c r="L759"/>
      <c r="M759"/>
    </row>
    <row r="760" spans="1:13" s="79" customFormat="1" x14ac:dyDescent="0.35">
      <c r="A760" s="251"/>
      <c r="B760" s="22"/>
      <c r="C760" s="252"/>
      <c r="D760" s="252"/>
      <c r="E760" s="252"/>
      <c r="F760" s="252"/>
      <c r="G760" s="252"/>
      <c r="H760" s="252"/>
      <c r="I760" s="252"/>
      <c r="J760" s="252"/>
      <c r="K760" s="252"/>
      <c r="L760"/>
      <c r="M760"/>
    </row>
    <row r="761" spans="1:13" s="79" customFormat="1" x14ac:dyDescent="0.35">
      <c r="A761" s="251"/>
      <c r="B761" s="22"/>
      <c r="C761" s="252"/>
      <c r="D761" s="252"/>
      <c r="E761" s="252"/>
      <c r="F761" s="252"/>
      <c r="G761" s="252"/>
      <c r="H761" s="252"/>
      <c r="I761" s="252"/>
      <c r="J761" s="252"/>
      <c r="K761" s="252"/>
      <c r="L761"/>
      <c r="M761"/>
    </row>
    <row r="762" spans="1:13" s="79" customFormat="1" x14ac:dyDescent="0.35">
      <c r="A762" s="251"/>
      <c r="B762" s="22"/>
      <c r="C762" s="252"/>
      <c r="D762" s="252"/>
      <c r="E762" s="252"/>
      <c r="F762" s="252"/>
      <c r="G762" s="252"/>
      <c r="H762" s="252"/>
      <c r="I762" s="252"/>
      <c r="J762" s="252"/>
      <c r="K762" s="252"/>
      <c r="L762"/>
      <c r="M762"/>
    </row>
    <row r="763" spans="1:13" s="79" customFormat="1" x14ac:dyDescent="0.35">
      <c r="A763" s="251"/>
      <c r="B763" s="22"/>
      <c r="C763" s="252"/>
      <c r="D763" s="252"/>
      <c r="E763" s="252"/>
      <c r="F763" s="252"/>
      <c r="G763" s="252"/>
      <c r="H763" s="252"/>
      <c r="I763" s="252"/>
      <c r="J763" s="252"/>
      <c r="K763" s="252"/>
      <c r="L763"/>
      <c r="M763"/>
    </row>
    <row r="764" spans="1:13" s="79" customFormat="1" x14ac:dyDescent="0.35">
      <c r="A764" s="251"/>
      <c r="B764" s="22"/>
      <c r="C764" s="252"/>
      <c r="D764" s="252"/>
      <c r="E764" s="252"/>
      <c r="F764" s="252"/>
      <c r="G764" s="252"/>
      <c r="H764" s="252"/>
      <c r="I764" s="252"/>
      <c r="J764" s="252"/>
      <c r="K764" s="252"/>
      <c r="L764"/>
      <c r="M764"/>
    </row>
    <row r="765" spans="1:13" s="79" customFormat="1" x14ac:dyDescent="0.35">
      <c r="A765" s="251"/>
      <c r="B765" s="22"/>
      <c r="C765" s="252"/>
      <c r="D765" s="252"/>
      <c r="E765" s="252"/>
      <c r="F765" s="252"/>
      <c r="G765" s="252"/>
      <c r="H765" s="252"/>
      <c r="I765" s="252"/>
      <c r="J765" s="252"/>
      <c r="K765" s="252"/>
      <c r="L765"/>
      <c r="M765"/>
    </row>
    <row r="766" spans="1:13" s="79" customFormat="1" x14ac:dyDescent="0.35">
      <c r="A766" s="251"/>
      <c r="B766" s="22"/>
      <c r="C766" s="252"/>
      <c r="D766" s="252"/>
      <c r="E766" s="252"/>
      <c r="F766" s="252"/>
      <c r="G766" s="252"/>
      <c r="H766" s="252"/>
      <c r="I766" s="252"/>
      <c r="J766" s="252"/>
      <c r="K766" s="252"/>
      <c r="L766"/>
      <c r="M766"/>
    </row>
    <row r="767" spans="1:13" s="79" customFormat="1" x14ac:dyDescent="0.35">
      <c r="A767" s="251"/>
      <c r="B767" s="22"/>
      <c r="C767" s="252"/>
      <c r="D767" s="252"/>
      <c r="E767" s="252"/>
      <c r="F767" s="252"/>
      <c r="G767" s="252"/>
      <c r="H767" s="252"/>
      <c r="I767" s="252"/>
      <c r="J767" s="252"/>
      <c r="K767" s="252"/>
      <c r="L767"/>
      <c r="M767"/>
    </row>
    <row r="768" spans="1:13" s="79" customFormat="1" x14ac:dyDescent="0.35">
      <c r="A768" s="251"/>
      <c r="B768" s="22"/>
      <c r="C768" s="252"/>
      <c r="D768" s="252"/>
      <c r="E768" s="252"/>
      <c r="F768" s="252"/>
      <c r="G768" s="252"/>
      <c r="H768" s="252"/>
      <c r="I768" s="252"/>
      <c r="J768" s="252"/>
      <c r="K768" s="252"/>
      <c r="L768"/>
      <c r="M768"/>
    </row>
    <row r="769" spans="1:13" s="79" customFormat="1" x14ac:dyDescent="0.35">
      <c r="A769" s="251"/>
      <c r="B769" s="22"/>
      <c r="C769" s="252"/>
      <c r="D769" s="252"/>
      <c r="E769" s="252"/>
      <c r="F769" s="252"/>
      <c r="G769" s="252"/>
      <c r="H769" s="252"/>
      <c r="I769" s="252"/>
      <c r="J769" s="252"/>
      <c r="K769" s="252"/>
      <c r="L769"/>
      <c r="M769"/>
    </row>
    <row r="770" spans="1:13" s="79" customFormat="1" x14ac:dyDescent="0.35">
      <c r="A770" s="251"/>
      <c r="B770" s="22"/>
      <c r="C770" s="252"/>
      <c r="D770" s="252"/>
      <c r="E770" s="252"/>
      <c r="F770" s="252"/>
      <c r="G770" s="252"/>
      <c r="H770" s="252"/>
      <c r="I770" s="252"/>
      <c r="J770" s="252"/>
      <c r="K770" s="252"/>
      <c r="L770"/>
      <c r="M770"/>
    </row>
    <row r="771" spans="1:13" s="79" customFormat="1" x14ac:dyDescent="0.35">
      <c r="A771" s="251"/>
      <c r="B771" s="22"/>
      <c r="C771" s="252"/>
      <c r="D771" s="252"/>
      <c r="E771" s="252"/>
      <c r="F771" s="252"/>
      <c r="G771" s="252"/>
      <c r="H771" s="252"/>
      <c r="I771" s="252"/>
      <c r="J771" s="252"/>
      <c r="K771" s="252"/>
      <c r="L771"/>
      <c r="M771"/>
    </row>
    <row r="772" spans="1:13" s="79" customFormat="1" x14ac:dyDescent="0.35">
      <c r="A772" s="251"/>
      <c r="B772" s="22"/>
      <c r="C772" s="252"/>
      <c r="D772" s="252"/>
      <c r="E772" s="252"/>
      <c r="F772" s="252"/>
      <c r="G772" s="252"/>
      <c r="H772" s="252"/>
      <c r="I772" s="252"/>
      <c r="J772" s="252"/>
      <c r="K772" s="252"/>
      <c r="L772"/>
      <c r="M772"/>
    </row>
    <row r="773" spans="1:13" s="79" customFormat="1" x14ac:dyDescent="0.35">
      <c r="A773" s="251"/>
      <c r="B773" s="22"/>
      <c r="C773" s="252"/>
      <c r="D773" s="252"/>
      <c r="E773" s="252"/>
      <c r="F773" s="252"/>
      <c r="G773" s="252"/>
      <c r="H773" s="252"/>
      <c r="I773" s="252"/>
      <c r="J773" s="252"/>
      <c r="K773" s="252"/>
      <c r="L773"/>
      <c r="M773"/>
    </row>
    <row r="774" spans="1:13" s="79" customFormat="1" x14ac:dyDescent="0.35">
      <c r="A774" s="251"/>
      <c r="B774" s="22"/>
      <c r="C774" s="252"/>
      <c r="D774" s="252"/>
      <c r="E774" s="252"/>
      <c r="F774" s="252"/>
      <c r="G774" s="252"/>
      <c r="H774" s="252"/>
      <c r="I774" s="252"/>
      <c r="J774" s="252"/>
      <c r="K774" s="252"/>
      <c r="L774"/>
      <c r="M774"/>
    </row>
    <row r="775" spans="1:13" s="79" customFormat="1" x14ac:dyDescent="0.35">
      <c r="A775" s="251"/>
      <c r="B775" s="22"/>
      <c r="C775" s="252"/>
      <c r="D775" s="252"/>
      <c r="E775" s="252"/>
      <c r="F775" s="252"/>
      <c r="G775" s="252"/>
      <c r="H775" s="252"/>
      <c r="I775" s="252"/>
      <c r="J775" s="252"/>
      <c r="K775" s="252"/>
      <c r="L775"/>
      <c r="M775"/>
    </row>
    <row r="776" spans="1:13" s="79" customFormat="1" x14ac:dyDescent="0.35">
      <c r="A776" s="251"/>
      <c r="B776" s="22"/>
      <c r="C776" s="252"/>
      <c r="D776" s="252"/>
      <c r="E776" s="252"/>
      <c r="F776" s="252"/>
      <c r="G776" s="252"/>
      <c r="H776" s="252"/>
      <c r="I776" s="252"/>
      <c r="J776" s="252"/>
      <c r="K776" s="252"/>
      <c r="L776"/>
      <c r="M776"/>
    </row>
    <row r="777" spans="1:13" s="79" customFormat="1" x14ac:dyDescent="0.35">
      <c r="A777" s="251"/>
      <c r="B777" s="22"/>
      <c r="C777" s="252"/>
      <c r="D777" s="252"/>
      <c r="E777" s="252"/>
      <c r="F777" s="252"/>
      <c r="G777" s="252"/>
      <c r="H777" s="252"/>
      <c r="I777" s="252"/>
      <c r="J777" s="252"/>
      <c r="K777" s="252"/>
      <c r="L777"/>
      <c r="M777"/>
    </row>
    <row r="778" spans="1:13" s="79" customFormat="1" x14ac:dyDescent="0.35">
      <c r="A778" s="251"/>
      <c r="B778" s="22"/>
      <c r="C778" s="252"/>
      <c r="D778" s="252"/>
      <c r="E778" s="252"/>
      <c r="F778" s="252"/>
      <c r="G778" s="252"/>
      <c r="H778" s="252"/>
      <c r="I778" s="252"/>
      <c r="J778" s="252"/>
      <c r="K778" s="252"/>
      <c r="L778"/>
      <c r="M778"/>
    </row>
    <row r="779" spans="1:13" s="79" customFormat="1" x14ac:dyDescent="0.35">
      <c r="A779" s="251"/>
      <c r="B779" s="22"/>
      <c r="C779" s="252"/>
      <c r="D779" s="252"/>
      <c r="E779" s="252"/>
      <c r="F779" s="252"/>
      <c r="G779" s="252"/>
      <c r="H779" s="252"/>
      <c r="I779" s="252"/>
      <c r="J779" s="252"/>
      <c r="K779" s="252"/>
      <c r="L779"/>
      <c r="M779"/>
    </row>
    <row r="780" spans="1:13" s="79" customFormat="1" x14ac:dyDescent="0.35">
      <c r="A780" s="251"/>
      <c r="B780" s="22"/>
      <c r="C780" s="252"/>
      <c r="D780" s="252"/>
      <c r="E780" s="252"/>
      <c r="F780" s="252"/>
      <c r="G780" s="252"/>
      <c r="H780" s="252"/>
      <c r="I780" s="252"/>
      <c r="J780" s="252"/>
      <c r="K780" s="252"/>
      <c r="L780"/>
      <c r="M780"/>
    </row>
    <row r="781" spans="1:13" s="79" customFormat="1" x14ac:dyDescent="0.35">
      <c r="A781" s="251"/>
      <c r="B781" s="22"/>
      <c r="C781" s="252"/>
      <c r="D781" s="252"/>
      <c r="E781" s="252"/>
      <c r="F781" s="252"/>
      <c r="G781" s="252"/>
      <c r="H781" s="252"/>
      <c r="I781" s="252"/>
      <c r="J781" s="252"/>
      <c r="K781" s="252"/>
      <c r="L781"/>
      <c r="M781"/>
    </row>
    <row r="782" spans="1:13" s="79" customFormat="1" x14ac:dyDescent="0.35">
      <c r="A782" s="251"/>
      <c r="B782" s="22"/>
      <c r="C782" s="252"/>
      <c r="D782" s="252"/>
      <c r="E782" s="252"/>
      <c r="F782" s="252"/>
      <c r="G782" s="252"/>
      <c r="H782" s="252"/>
      <c r="I782" s="252"/>
      <c r="J782" s="252"/>
      <c r="K782" s="252"/>
      <c r="L782"/>
      <c r="M782"/>
    </row>
    <row r="783" spans="1:13" s="79" customFormat="1" x14ac:dyDescent="0.35">
      <c r="A783" s="251"/>
      <c r="B783" s="22"/>
      <c r="C783" s="252"/>
      <c r="D783" s="252"/>
      <c r="E783" s="252"/>
      <c r="F783" s="252"/>
      <c r="G783" s="252"/>
      <c r="H783" s="252"/>
      <c r="I783" s="252"/>
      <c r="J783" s="252"/>
      <c r="K783" s="252"/>
      <c r="L783"/>
      <c r="M783"/>
    </row>
    <row r="784" spans="1:13" s="79" customFormat="1" x14ac:dyDescent="0.35">
      <c r="A784" s="251"/>
      <c r="B784" s="22"/>
      <c r="C784" s="252"/>
      <c r="D784" s="252"/>
      <c r="E784" s="252"/>
      <c r="F784" s="252"/>
      <c r="G784" s="252"/>
      <c r="H784" s="252"/>
      <c r="I784" s="252"/>
      <c r="J784" s="252"/>
      <c r="K784" s="252"/>
      <c r="L784"/>
      <c r="M784"/>
    </row>
    <row r="785" spans="1:13" s="79" customFormat="1" x14ac:dyDescent="0.35">
      <c r="A785" s="251"/>
      <c r="B785" s="22"/>
      <c r="C785" s="252"/>
      <c r="D785" s="252"/>
      <c r="E785" s="252"/>
      <c r="F785" s="252"/>
      <c r="G785" s="252"/>
      <c r="H785" s="252"/>
      <c r="I785" s="252"/>
      <c r="J785" s="252"/>
      <c r="K785" s="252"/>
      <c r="L785"/>
      <c r="M785"/>
    </row>
    <row r="786" spans="1:13" s="79" customFormat="1" x14ac:dyDescent="0.35">
      <c r="A786" s="251"/>
      <c r="B786" s="22"/>
      <c r="C786" s="252"/>
      <c r="D786" s="252"/>
      <c r="E786" s="252"/>
      <c r="F786" s="252"/>
      <c r="G786" s="252"/>
      <c r="H786" s="252"/>
      <c r="I786" s="252"/>
      <c r="J786" s="252"/>
      <c r="K786" s="252"/>
      <c r="L786"/>
      <c r="M786"/>
    </row>
    <row r="787" spans="1:13" s="79" customFormat="1" x14ac:dyDescent="0.35">
      <c r="A787" s="251"/>
      <c r="B787" s="22"/>
      <c r="C787" s="252"/>
      <c r="D787" s="252"/>
      <c r="E787" s="252"/>
      <c r="F787" s="252"/>
      <c r="G787" s="252"/>
      <c r="H787" s="252"/>
      <c r="I787" s="252"/>
      <c r="J787" s="252"/>
      <c r="K787" s="252"/>
      <c r="L787"/>
      <c r="M787"/>
    </row>
    <row r="788" spans="1:13" s="79" customFormat="1" x14ac:dyDescent="0.35">
      <c r="A788" s="251"/>
      <c r="B788" s="22"/>
      <c r="C788" s="252"/>
      <c r="D788" s="252"/>
      <c r="E788" s="252"/>
      <c r="F788" s="252"/>
      <c r="G788" s="252"/>
      <c r="H788" s="252"/>
      <c r="I788" s="252"/>
      <c r="J788" s="252"/>
      <c r="K788" s="252"/>
      <c r="L788"/>
      <c r="M788"/>
    </row>
    <row r="789" spans="1:13" s="79" customFormat="1" x14ac:dyDescent="0.35">
      <c r="A789" s="251"/>
      <c r="B789" s="22"/>
      <c r="C789" s="252"/>
      <c r="D789" s="252"/>
      <c r="E789" s="252"/>
      <c r="F789" s="252"/>
      <c r="G789" s="252"/>
      <c r="H789" s="252"/>
      <c r="I789" s="252"/>
      <c r="J789" s="252"/>
      <c r="K789" s="252"/>
      <c r="L789"/>
      <c r="M789"/>
    </row>
    <row r="790" spans="1:13" s="79" customFormat="1" x14ac:dyDescent="0.35">
      <c r="A790" s="251"/>
      <c r="B790" s="22"/>
      <c r="C790" s="252"/>
      <c r="D790" s="252"/>
      <c r="E790" s="252"/>
      <c r="F790" s="252"/>
      <c r="G790" s="252"/>
      <c r="H790" s="252"/>
      <c r="I790" s="252"/>
      <c r="J790" s="252"/>
      <c r="K790" s="252"/>
      <c r="L790"/>
      <c r="M790"/>
    </row>
    <row r="791" spans="1:13" s="79" customFormat="1" x14ac:dyDescent="0.35">
      <c r="A791" s="251"/>
      <c r="B791" s="22"/>
      <c r="C791" s="252"/>
      <c r="D791" s="252"/>
      <c r="E791" s="252"/>
      <c r="F791" s="252"/>
      <c r="G791" s="252"/>
      <c r="H791" s="252"/>
      <c r="I791" s="252"/>
      <c r="J791" s="252"/>
      <c r="K791" s="252"/>
      <c r="L791"/>
      <c r="M791"/>
    </row>
    <row r="792" spans="1:13" s="79" customFormat="1" x14ac:dyDescent="0.35">
      <c r="A792" s="251"/>
      <c r="B792" s="22"/>
      <c r="C792" s="252"/>
      <c r="D792" s="252"/>
      <c r="E792" s="252"/>
      <c r="F792" s="252"/>
      <c r="G792" s="252"/>
      <c r="H792" s="252"/>
      <c r="I792" s="252"/>
      <c r="J792" s="252"/>
      <c r="K792" s="252"/>
      <c r="L792"/>
      <c r="M792"/>
    </row>
    <row r="793" spans="1:13" s="79" customFormat="1" x14ac:dyDescent="0.35">
      <c r="A793" s="251"/>
      <c r="B793" s="22"/>
      <c r="C793" s="252"/>
      <c r="D793" s="252"/>
      <c r="E793" s="252"/>
      <c r="F793" s="252"/>
      <c r="G793" s="252"/>
      <c r="H793" s="252"/>
      <c r="I793" s="252"/>
      <c r="J793" s="252"/>
      <c r="K793" s="252"/>
      <c r="L793"/>
      <c r="M793"/>
    </row>
    <row r="794" spans="1:13" s="79" customFormat="1" x14ac:dyDescent="0.35">
      <c r="A794" s="251"/>
      <c r="B794" s="22"/>
      <c r="C794" s="252"/>
      <c r="D794" s="252"/>
      <c r="E794" s="252"/>
      <c r="F794" s="252"/>
      <c r="G794" s="252"/>
      <c r="H794" s="252"/>
      <c r="I794" s="252"/>
      <c r="J794" s="252"/>
      <c r="K794" s="252"/>
      <c r="L794"/>
      <c r="M794"/>
    </row>
    <row r="795" spans="1:13" s="79" customFormat="1" x14ac:dyDescent="0.35">
      <c r="A795" s="251"/>
      <c r="B795" s="22"/>
      <c r="C795" s="252"/>
      <c r="D795" s="252"/>
      <c r="E795" s="252"/>
      <c r="F795" s="252"/>
      <c r="G795" s="252"/>
      <c r="H795" s="252"/>
      <c r="I795" s="252"/>
      <c r="J795" s="252"/>
      <c r="K795" s="252"/>
      <c r="L795"/>
      <c r="M795"/>
    </row>
    <row r="796" spans="1:13" s="79" customFormat="1" x14ac:dyDescent="0.35">
      <c r="A796" s="251"/>
      <c r="B796" s="22"/>
      <c r="C796" s="252"/>
      <c r="D796" s="252"/>
      <c r="E796" s="252"/>
      <c r="F796" s="252"/>
      <c r="G796" s="252"/>
      <c r="H796" s="252"/>
      <c r="I796" s="252"/>
      <c r="J796" s="252"/>
      <c r="K796" s="252"/>
      <c r="L796"/>
      <c r="M796"/>
    </row>
    <row r="797" spans="1:13" s="79" customFormat="1" x14ac:dyDescent="0.35">
      <c r="A797" s="251"/>
      <c r="B797" s="22"/>
      <c r="C797" s="252"/>
      <c r="D797" s="252"/>
      <c r="E797" s="252"/>
      <c r="F797" s="252"/>
      <c r="G797" s="252"/>
      <c r="H797" s="252"/>
      <c r="I797" s="252"/>
      <c r="J797" s="252"/>
      <c r="K797" s="252"/>
      <c r="L797"/>
      <c r="M797"/>
    </row>
    <row r="798" spans="1:13" s="79" customFormat="1" x14ac:dyDescent="0.35">
      <c r="A798" s="251"/>
      <c r="B798" s="22"/>
      <c r="C798" s="252"/>
      <c r="D798" s="252"/>
      <c r="E798" s="252"/>
      <c r="F798" s="252"/>
      <c r="G798" s="252"/>
      <c r="H798" s="252"/>
      <c r="I798" s="252"/>
      <c r="J798" s="252"/>
      <c r="K798" s="252"/>
      <c r="L798"/>
      <c r="M798"/>
    </row>
    <row r="799" spans="1:13" s="79" customFormat="1" x14ac:dyDescent="0.35">
      <c r="A799" s="251"/>
      <c r="B799" s="22"/>
      <c r="C799" s="252"/>
      <c r="D799" s="252"/>
      <c r="E799" s="252"/>
      <c r="F799" s="252"/>
      <c r="G799" s="252"/>
      <c r="H799" s="252"/>
      <c r="I799" s="252"/>
      <c r="J799" s="252"/>
      <c r="K799" s="252"/>
      <c r="L799"/>
      <c r="M799"/>
    </row>
    <row r="800" spans="1:13" s="79" customFormat="1" x14ac:dyDescent="0.35">
      <c r="A800" s="251"/>
      <c r="B800" s="22"/>
      <c r="C800" s="252"/>
      <c r="D800" s="252"/>
      <c r="E800" s="252"/>
      <c r="F800" s="252"/>
      <c r="G800" s="252"/>
      <c r="H800" s="252"/>
      <c r="I800" s="252"/>
      <c r="J800" s="252"/>
      <c r="K800" s="252"/>
      <c r="L800"/>
      <c r="M800"/>
    </row>
    <row r="801" spans="1:13" s="79" customFormat="1" x14ac:dyDescent="0.35">
      <c r="A801" s="251"/>
      <c r="B801" s="22"/>
      <c r="C801" s="252"/>
      <c r="D801" s="252"/>
      <c r="E801" s="252"/>
      <c r="F801" s="252"/>
      <c r="G801" s="252"/>
      <c r="H801" s="252"/>
      <c r="I801" s="252"/>
      <c r="J801" s="252"/>
      <c r="K801" s="252"/>
      <c r="L801"/>
      <c r="M801"/>
    </row>
    <row r="802" spans="1:13" s="79" customFormat="1" x14ac:dyDescent="0.35">
      <c r="A802" s="251"/>
      <c r="B802" s="22"/>
      <c r="C802" s="252"/>
      <c r="D802" s="252"/>
      <c r="E802" s="252"/>
      <c r="F802" s="252"/>
      <c r="G802" s="252"/>
      <c r="H802" s="252"/>
      <c r="I802" s="252"/>
      <c r="J802" s="252"/>
      <c r="K802" s="252"/>
      <c r="L802"/>
      <c r="M802"/>
    </row>
    <row r="803" spans="1:13" s="79" customFormat="1" x14ac:dyDescent="0.35">
      <c r="A803" s="251"/>
      <c r="B803" s="22"/>
      <c r="C803" s="252"/>
      <c r="D803" s="252"/>
      <c r="E803" s="252"/>
      <c r="F803" s="252"/>
      <c r="G803" s="252"/>
      <c r="H803" s="252"/>
      <c r="I803" s="252"/>
      <c r="J803" s="252"/>
      <c r="K803" s="252"/>
      <c r="L803"/>
      <c r="M803"/>
    </row>
    <row r="804" spans="1:13" s="79" customFormat="1" x14ac:dyDescent="0.35">
      <c r="A804" s="251"/>
      <c r="B804" s="22"/>
      <c r="C804" s="252"/>
      <c r="D804" s="252"/>
      <c r="E804" s="252"/>
      <c r="F804" s="252"/>
      <c r="G804" s="252"/>
      <c r="H804" s="252"/>
      <c r="I804" s="252"/>
      <c r="J804" s="252"/>
      <c r="K804" s="252"/>
      <c r="L804"/>
      <c r="M804"/>
    </row>
    <row r="805" spans="1:13" s="79" customFormat="1" x14ac:dyDescent="0.35">
      <c r="A805" s="251"/>
      <c r="B805" s="22"/>
      <c r="C805" s="252"/>
      <c r="D805" s="252"/>
      <c r="E805" s="252"/>
      <c r="F805" s="252"/>
      <c r="G805" s="252"/>
      <c r="H805" s="252"/>
      <c r="I805" s="252"/>
      <c r="J805" s="252"/>
      <c r="K805" s="252"/>
      <c r="L805"/>
      <c r="M805"/>
    </row>
    <row r="806" spans="1:13" s="79" customFormat="1" x14ac:dyDescent="0.35">
      <c r="A806" s="251"/>
      <c r="B806" s="22"/>
      <c r="C806" s="252"/>
      <c r="D806" s="252"/>
      <c r="E806" s="252"/>
      <c r="F806" s="252"/>
      <c r="G806" s="252"/>
      <c r="H806" s="252"/>
      <c r="I806" s="252"/>
      <c r="J806" s="252"/>
      <c r="K806" s="252"/>
      <c r="L806"/>
      <c r="M806"/>
    </row>
    <row r="807" spans="1:13" s="79" customFormat="1" x14ac:dyDescent="0.35">
      <c r="A807" s="251"/>
      <c r="B807" s="22"/>
      <c r="C807" s="252"/>
      <c r="D807" s="252"/>
      <c r="E807" s="252"/>
      <c r="F807" s="252"/>
      <c r="G807" s="252"/>
      <c r="H807" s="252"/>
      <c r="I807" s="252"/>
      <c r="J807" s="252"/>
      <c r="K807" s="252"/>
      <c r="L807"/>
      <c r="M807"/>
    </row>
    <row r="808" spans="1:13" s="79" customFormat="1" x14ac:dyDescent="0.35">
      <c r="A808" s="251"/>
      <c r="B808" s="22"/>
      <c r="C808" s="252"/>
      <c r="D808" s="252"/>
      <c r="E808" s="252"/>
      <c r="F808" s="252"/>
      <c r="G808" s="252"/>
      <c r="H808" s="252"/>
      <c r="I808" s="252"/>
      <c r="J808" s="252"/>
      <c r="K808" s="252"/>
      <c r="L808"/>
      <c r="M808"/>
    </row>
    <row r="809" spans="1:13" s="79" customFormat="1" x14ac:dyDescent="0.35">
      <c r="A809" s="251"/>
      <c r="B809" s="22"/>
      <c r="C809" s="252"/>
      <c r="D809" s="252"/>
      <c r="E809" s="252"/>
      <c r="F809" s="252"/>
      <c r="G809" s="252"/>
      <c r="H809" s="252"/>
      <c r="I809" s="252"/>
      <c r="J809" s="252"/>
      <c r="K809" s="252"/>
      <c r="L809"/>
      <c r="M809"/>
    </row>
    <row r="810" spans="1:13" s="79" customFormat="1" x14ac:dyDescent="0.35">
      <c r="A810" s="251"/>
      <c r="B810" s="22"/>
      <c r="C810" s="252"/>
      <c r="D810" s="252"/>
      <c r="E810" s="252"/>
      <c r="F810" s="252"/>
      <c r="G810" s="252"/>
      <c r="H810" s="252"/>
      <c r="I810" s="252"/>
      <c r="J810" s="252"/>
      <c r="K810" s="252"/>
      <c r="L810"/>
      <c r="M810"/>
    </row>
    <row r="811" spans="1:13" s="79" customFormat="1" x14ac:dyDescent="0.35">
      <c r="A811" s="251"/>
      <c r="B811" s="22"/>
      <c r="C811" s="252"/>
      <c r="D811" s="252"/>
      <c r="E811" s="252"/>
      <c r="F811" s="252"/>
      <c r="G811" s="252"/>
      <c r="H811" s="252"/>
      <c r="I811" s="252"/>
      <c r="J811" s="252"/>
      <c r="K811" s="252"/>
      <c r="L811"/>
      <c r="M811"/>
    </row>
    <row r="812" spans="1:13" s="79" customFormat="1" x14ac:dyDescent="0.35">
      <c r="A812" s="251"/>
      <c r="B812" s="22"/>
      <c r="C812" s="252"/>
      <c r="D812" s="252"/>
      <c r="E812" s="252"/>
      <c r="F812" s="252"/>
      <c r="G812" s="252"/>
      <c r="H812" s="252"/>
      <c r="I812" s="252"/>
      <c r="J812" s="252"/>
      <c r="K812" s="252"/>
      <c r="L812"/>
      <c r="M812"/>
    </row>
    <row r="813" spans="1:13" s="79" customFormat="1" x14ac:dyDescent="0.35">
      <c r="A813" s="251"/>
      <c r="B813" s="22"/>
      <c r="C813" s="252"/>
      <c r="D813" s="252"/>
      <c r="E813" s="252"/>
      <c r="F813" s="252"/>
      <c r="G813" s="252"/>
      <c r="H813" s="252"/>
      <c r="I813" s="252"/>
      <c r="J813" s="252"/>
      <c r="K813" s="252"/>
      <c r="L813"/>
      <c r="M813"/>
    </row>
    <row r="814" spans="1:13" s="79" customFormat="1" x14ac:dyDescent="0.35">
      <c r="A814" s="251"/>
      <c r="B814" s="22"/>
      <c r="C814" s="252"/>
      <c r="D814" s="252"/>
      <c r="E814" s="252"/>
      <c r="F814" s="252"/>
      <c r="G814" s="252"/>
      <c r="H814" s="252"/>
      <c r="I814" s="252"/>
      <c r="J814" s="252"/>
      <c r="K814" s="252"/>
      <c r="L814"/>
      <c r="M814"/>
    </row>
    <row r="815" spans="1:13" s="79" customFormat="1" x14ac:dyDescent="0.35">
      <c r="A815" s="251"/>
      <c r="B815" s="22"/>
      <c r="C815" s="252"/>
      <c r="D815" s="252"/>
      <c r="E815" s="252"/>
      <c r="F815" s="252"/>
      <c r="G815" s="252"/>
      <c r="H815" s="252"/>
      <c r="I815" s="252"/>
      <c r="J815" s="252"/>
      <c r="K815" s="252"/>
      <c r="L815"/>
      <c r="M815"/>
    </row>
    <row r="816" spans="1:13" s="79" customFormat="1" x14ac:dyDescent="0.35">
      <c r="A816" s="251"/>
      <c r="B816" s="22"/>
      <c r="C816" s="252"/>
      <c r="D816" s="252"/>
      <c r="E816" s="252"/>
      <c r="F816" s="252"/>
      <c r="G816" s="252"/>
      <c r="H816" s="252"/>
      <c r="I816" s="252"/>
      <c r="J816" s="252"/>
      <c r="K816" s="252"/>
      <c r="L816"/>
      <c r="M816"/>
    </row>
    <row r="817" spans="1:13" s="79" customFormat="1" x14ac:dyDescent="0.35">
      <c r="A817" s="251"/>
      <c r="B817" s="22"/>
      <c r="C817" s="252"/>
      <c r="D817" s="252"/>
      <c r="E817" s="252"/>
      <c r="F817" s="252"/>
      <c r="G817" s="252"/>
      <c r="H817" s="252"/>
      <c r="I817" s="252"/>
      <c r="J817" s="252"/>
      <c r="K817" s="252"/>
      <c r="L817"/>
      <c r="M817"/>
    </row>
    <row r="818" spans="1:13" s="79" customFormat="1" x14ac:dyDescent="0.35">
      <c r="A818" s="251"/>
      <c r="B818" s="22"/>
      <c r="C818" s="252"/>
      <c r="D818" s="252"/>
      <c r="E818" s="252"/>
      <c r="F818" s="252"/>
      <c r="G818" s="252"/>
      <c r="H818" s="252"/>
      <c r="I818" s="252"/>
      <c r="J818" s="252"/>
      <c r="K818" s="252"/>
      <c r="L818"/>
      <c r="M818"/>
    </row>
    <row r="819" spans="1:13" s="79" customFormat="1" x14ac:dyDescent="0.35">
      <c r="A819" s="251"/>
      <c r="B819" s="22"/>
      <c r="C819" s="252"/>
      <c r="D819" s="252"/>
      <c r="E819" s="252"/>
      <c r="F819" s="252"/>
      <c r="G819" s="252"/>
      <c r="H819" s="252"/>
      <c r="I819" s="252"/>
      <c r="J819" s="252"/>
      <c r="K819" s="252"/>
      <c r="L819"/>
      <c r="M819"/>
    </row>
    <row r="820" spans="1:13" s="79" customFormat="1" x14ac:dyDescent="0.35">
      <c r="A820" s="251"/>
      <c r="B820" s="22"/>
      <c r="C820" s="252"/>
      <c r="D820" s="252"/>
      <c r="E820" s="252"/>
      <c r="F820" s="252"/>
      <c r="G820" s="252"/>
      <c r="H820" s="252"/>
      <c r="I820" s="252"/>
      <c r="J820" s="252"/>
      <c r="K820" s="252"/>
      <c r="L820"/>
      <c r="M820"/>
    </row>
    <row r="821" spans="1:13" s="79" customFormat="1" x14ac:dyDescent="0.35">
      <c r="A821" s="251"/>
      <c r="B821" s="22"/>
      <c r="C821" s="252"/>
      <c r="D821" s="252"/>
      <c r="E821" s="252"/>
      <c r="F821" s="252"/>
      <c r="G821" s="252"/>
      <c r="H821" s="252"/>
      <c r="I821" s="252"/>
      <c r="J821" s="252"/>
      <c r="K821" s="252"/>
      <c r="L821"/>
      <c r="M821"/>
    </row>
    <row r="822" spans="1:13" s="79" customFormat="1" x14ac:dyDescent="0.35">
      <c r="A822" s="251"/>
      <c r="B822" s="22"/>
      <c r="C822" s="252"/>
      <c r="D822" s="252"/>
      <c r="E822" s="252"/>
      <c r="F822" s="252"/>
      <c r="G822" s="252"/>
      <c r="H822" s="252"/>
      <c r="I822" s="252"/>
      <c r="J822" s="252"/>
      <c r="K822" s="252"/>
      <c r="L822"/>
      <c r="M822"/>
    </row>
    <row r="823" spans="1:13" s="79" customFormat="1" x14ac:dyDescent="0.35">
      <c r="A823" s="251"/>
      <c r="B823" s="22"/>
      <c r="C823" s="252"/>
      <c r="D823" s="252"/>
      <c r="E823" s="252"/>
      <c r="F823" s="252"/>
      <c r="G823" s="252"/>
      <c r="H823" s="252"/>
      <c r="I823" s="252"/>
      <c r="J823" s="252"/>
      <c r="K823" s="252"/>
      <c r="L823"/>
      <c r="M823"/>
    </row>
    <row r="824" spans="1:13" s="79" customFormat="1" x14ac:dyDescent="0.35">
      <c r="A824" s="251"/>
      <c r="B824" s="22"/>
      <c r="C824" s="252"/>
      <c r="D824" s="252"/>
      <c r="E824" s="252"/>
      <c r="F824" s="252"/>
      <c r="G824" s="252"/>
      <c r="H824" s="252"/>
      <c r="I824" s="252"/>
      <c r="J824" s="252"/>
      <c r="K824" s="252"/>
      <c r="L824"/>
      <c r="M824"/>
    </row>
    <row r="825" spans="1:13" s="79" customFormat="1" x14ac:dyDescent="0.35">
      <c r="A825" s="251"/>
      <c r="B825" s="22"/>
      <c r="C825" s="252"/>
      <c r="D825" s="252"/>
      <c r="E825" s="252"/>
      <c r="F825" s="252"/>
      <c r="G825" s="252"/>
      <c r="H825" s="252"/>
      <c r="I825" s="252"/>
      <c r="J825" s="252"/>
      <c r="K825" s="252"/>
      <c r="L825"/>
      <c r="M825"/>
    </row>
    <row r="826" spans="1:13" s="79" customFormat="1" x14ac:dyDescent="0.35">
      <c r="A826" s="251"/>
      <c r="B826" s="22"/>
      <c r="C826" s="252"/>
      <c r="D826" s="252"/>
      <c r="E826" s="252"/>
      <c r="F826" s="252"/>
      <c r="G826" s="252"/>
      <c r="H826" s="252"/>
      <c r="I826" s="252"/>
      <c r="J826" s="252"/>
      <c r="K826" s="252"/>
      <c r="L826"/>
      <c r="M826"/>
    </row>
    <row r="827" spans="1:13" s="79" customFormat="1" x14ac:dyDescent="0.35">
      <c r="A827" s="251"/>
      <c r="B827" s="22"/>
      <c r="C827" s="252"/>
      <c r="D827" s="252"/>
      <c r="E827" s="252"/>
      <c r="F827" s="252"/>
      <c r="G827" s="252"/>
      <c r="H827" s="252"/>
      <c r="I827" s="252"/>
      <c r="J827" s="252"/>
      <c r="K827" s="252"/>
      <c r="L827"/>
      <c r="M827"/>
    </row>
    <row r="828" spans="1:13" s="79" customFormat="1" x14ac:dyDescent="0.35">
      <c r="A828" s="251"/>
      <c r="B828" s="22"/>
      <c r="C828" s="252"/>
      <c r="D828" s="252"/>
      <c r="E828" s="252"/>
      <c r="F828" s="252"/>
      <c r="G828" s="252"/>
      <c r="H828" s="252"/>
      <c r="I828" s="252"/>
      <c r="J828" s="252"/>
      <c r="K828" s="252"/>
      <c r="L828"/>
      <c r="M828"/>
    </row>
    <row r="829" spans="1:13" s="79" customFormat="1" x14ac:dyDescent="0.35">
      <c r="A829" s="251"/>
      <c r="B829" s="22"/>
      <c r="C829" s="252"/>
      <c r="D829" s="252"/>
      <c r="E829" s="252"/>
      <c r="F829" s="252"/>
      <c r="G829" s="252"/>
      <c r="H829" s="252"/>
      <c r="I829" s="252"/>
      <c r="J829" s="252"/>
      <c r="K829" s="252"/>
      <c r="L829"/>
      <c r="M829"/>
    </row>
    <row r="830" spans="1:13" s="79" customFormat="1" x14ac:dyDescent="0.35">
      <c r="A830" s="251"/>
      <c r="B830" s="22"/>
      <c r="C830" s="252"/>
      <c r="D830" s="252"/>
      <c r="E830" s="252"/>
      <c r="F830" s="252"/>
      <c r="G830" s="252"/>
      <c r="H830" s="252"/>
      <c r="I830" s="252"/>
      <c r="J830" s="252"/>
      <c r="K830" s="252"/>
      <c r="L830"/>
      <c r="M830"/>
    </row>
    <row r="831" spans="1:13" s="79" customFormat="1" x14ac:dyDescent="0.35">
      <c r="A831" s="251"/>
      <c r="B831" s="22"/>
      <c r="C831" s="252"/>
      <c r="D831" s="252"/>
      <c r="E831" s="252"/>
      <c r="F831" s="252"/>
      <c r="G831" s="252"/>
      <c r="H831" s="252"/>
      <c r="I831" s="252"/>
      <c r="J831" s="252"/>
      <c r="K831" s="252"/>
      <c r="L831"/>
      <c r="M831"/>
    </row>
    <row r="832" spans="1:13" s="79" customFormat="1" x14ac:dyDescent="0.35">
      <c r="A832" s="251"/>
      <c r="B832" s="22"/>
      <c r="C832" s="252"/>
      <c r="D832" s="252"/>
      <c r="E832" s="252"/>
      <c r="F832" s="252"/>
      <c r="G832" s="252"/>
      <c r="H832" s="252"/>
      <c r="I832" s="252"/>
      <c r="J832" s="252"/>
      <c r="K832" s="252"/>
      <c r="L832"/>
      <c r="M832"/>
    </row>
    <row r="833" spans="1:13" s="79" customFormat="1" x14ac:dyDescent="0.35">
      <c r="A833" s="251"/>
      <c r="B833" s="22"/>
      <c r="C833" s="252"/>
      <c r="D833" s="252"/>
      <c r="E833" s="252"/>
      <c r="F833" s="252"/>
      <c r="G833" s="252"/>
      <c r="H833" s="252"/>
      <c r="I833" s="252"/>
      <c r="J833" s="252"/>
      <c r="K833" s="252"/>
      <c r="L833"/>
      <c r="M833"/>
    </row>
    <row r="834" spans="1:13" s="79" customFormat="1" x14ac:dyDescent="0.35">
      <c r="A834" s="251"/>
      <c r="B834" s="22"/>
      <c r="C834" s="252"/>
      <c r="D834" s="252"/>
      <c r="E834" s="252"/>
      <c r="F834" s="252"/>
      <c r="G834" s="252"/>
      <c r="H834" s="252"/>
      <c r="I834" s="252"/>
      <c r="J834" s="252"/>
      <c r="K834" s="252"/>
      <c r="L834"/>
      <c r="M834"/>
    </row>
    <row r="835" spans="1:13" s="79" customFormat="1" x14ac:dyDescent="0.35">
      <c r="A835" s="251"/>
      <c r="B835" s="22"/>
      <c r="C835" s="252"/>
      <c r="D835" s="252"/>
      <c r="E835" s="252"/>
      <c r="F835" s="252"/>
      <c r="G835" s="252"/>
      <c r="H835" s="252"/>
      <c r="I835" s="252"/>
      <c r="J835" s="252"/>
      <c r="K835" s="252"/>
      <c r="L835"/>
      <c r="M835"/>
    </row>
    <row r="836" spans="1:13" s="79" customFormat="1" x14ac:dyDescent="0.35">
      <c r="A836" s="251"/>
      <c r="B836" s="22"/>
      <c r="C836" s="252"/>
      <c r="D836" s="252"/>
      <c r="E836" s="252"/>
      <c r="F836" s="252"/>
      <c r="G836" s="252"/>
      <c r="H836" s="252"/>
      <c r="I836" s="252"/>
      <c r="J836" s="252"/>
      <c r="K836" s="252"/>
      <c r="L836"/>
      <c r="M836"/>
    </row>
    <row r="837" spans="1:13" s="79" customFormat="1" x14ac:dyDescent="0.35">
      <c r="A837" s="251"/>
      <c r="B837" s="22"/>
      <c r="C837" s="252"/>
      <c r="D837" s="252"/>
      <c r="E837" s="252"/>
      <c r="F837" s="252"/>
      <c r="G837" s="252"/>
      <c r="H837" s="252"/>
      <c r="I837" s="252"/>
      <c r="J837" s="252"/>
      <c r="K837" s="252"/>
      <c r="L837"/>
      <c r="M837"/>
    </row>
    <row r="838" spans="1:13" s="79" customFormat="1" x14ac:dyDescent="0.35">
      <c r="A838" s="251"/>
      <c r="B838" s="22"/>
      <c r="C838" s="252"/>
      <c r="D838" s="252"/>
      <c r="E838" s="252"/>
      <c r="F838" s="252"/>
      <c r="G838" s="252"/>
      <c r="H838" s="252"/>
      <c r="I838" s="252"/>
      <c r="J838" s="252"/>
      <c r="K838" s="252"/>
      <c r="L838"/>
      <c r="M838"/>
    </row>
    <row r="839" spans="1:13" s="79" customFormat="1" x14ac:dyDescent="0.35">
      <c r="A839" s="251"/>
      <c r="B839" s="22"/>
      <c r="C839" s="252"/>
      <c r="D839" s="252"/>
      <c r="E839" s="252"/>
      <c r="F839" s="252"/>
      <c r="G839" s="252"/>
      <c r="H839" s="252"/>
      <c r="I839" s="252"/>
      <c r="J839" s="252"/>
      <c r="K839" s="252"/>
      <c r="L839"/>
      <c r="M839"/>
    </row>
    <row r="840" spans="1:13" s="79" customFormat="1" x14ac:dyDescent="0.35">
      <c r="A840" s="251"/>
      <c r="B840" s="22"/>
      <c r="C840" s="252"/>
      <c r="D840" s="252"/>
      <c r="E840" s="252"/>
      <c r="F840" s="252"/>
      <c r="G840" s="252"/>
      <c r="H840" s="252"/>
      <c r="I840" s="252"/>
      <c r="J840" s="252"/>
      <c r="K840" s="252"/>
      <c r="L840"/>
      <c r="M840"/>
    </row>
    <row r="841" spans="1:13" s="79" customFormat="1" x14ac:dyDescent="0.35">
      <c r="A841" s="251"/>
      <c r="B841" s="22"/>
      <c r="C841" s="252"/>
      <c r="D841" s="252"/>
      <c r="E841" s="252"/>
      <c r="F841" s="252"/>
      <c r="G841" s="252"/>
      <c r="H841" s="252"/>
      <c r="I841" s="252"/>
      <c r="J841" s="252"/>
      <c r="K841" s="252"/>
      <c r="L841"/>
      <c r="M841"/>
    </row>
    <row r="842" spans="1:13" s="79" customFormat="1" x14ac:dyDescent="0.35">
      <c r="A842" s="251"/>
      <c r="B842" s="22"/>
      <c r="C842" s="252"/>
      <c r="D842" s="252"/>
      <c r="E842" s="252"/>
      <c r="F842" s="252"/>
      <c r="G842" s="252"/>
      <c r="H842" s="252"/>
      <c r="I842" s="252"/>
      <c r="J842" s="252"/>
      <c r="K842" s="252"/>
      <c r="L842"/>
      <c r="M842"/>
    </row>
    <row r="843" spans="1:13" s="79" customFormat="1" x14ac:dyDescent="0.35">
      <c r="A843" s="251"/>
      <c r="B843" s="22"/>
      <c r="C843" s="252"/>
      <c r="D843" s="252"/>
      <c r="E843" s="252"/>
      <c r="F843" s="252"/>
      <c r="G843" s="252"/>
      <c r="H843" s="252"/>
      <c r="I843" s="252"/>
      <c r="J843" s="252"/>
      <c r="K843" s="252"/>
      <c r="L843"/>
      <c r="M843"/>
    </row>
    <row r="844" spans="1:13" s="79" customFormat="1" x14ac:dyDescent="0.35">
      <c r="A844" s="251"/>
      <c r="B844" s="22"/>
      <c r="C844" s="252"/>
      <c r="D844" s="252"/>
      <c r="E844" s="252"/>
      <c r="F844" s="252"/>
      <c r="G844" s="252"/>
      <c r="H844" s="252"/>
      <c r="I844" s="252"/>
      <c r="J844" s="252"/>
      <c r="K844" s="252"/>
      <c r="L844"/>
      <c r="M844"/>
    </row>
    <row r="845" spans="1:13" s="79" customFormat="1" x14ac:dyDescent="0.35">
      <c r="A845" s="251"/>
      <c r="B845" s="22"/>
      <c r="C845" s="252"/>
      <c r="D845" s="252"/>
      <c r="E845" s="252"/>
      <c r="F845" s="252"/>
      <c r="G845" s="252"/>
      <c r="H845" s="252"/>
      <c r="I845" s="252"/>
      <c r="J845" s="252"/>
      <c r="K845" s="252"/>
      <c r="L845"/>
      <c r="M845"/>
    </row>
    <row r="846" spans="1:13" s="79" customFormat="1" x14ac:dyDescent="0.35">
      <c r="A846" s="251"/>
      <c r="B846" s="22"/>
      <c r="C846" s="252"/>
      <c r="D846" s="252"/>
      <c r="E846" s="252"/>
      <c r="F846" s="252"/>
      <c r="G846" s="252"/>
      <c r="H846" s="252"/>
      <c r="I846" s="252"/>
      <c r="J846" s="252"/>
      <c r="K846" s="252"/>
      <c r="L846"/>
      <c r="M846"/>
    </row>
    <row r="847" spans="1:13" s="79" customFormat="1" x14ac:dyDescent="0.35">
      <c r="A847" s="251"/>
      <c r="B847" s="22"/>
      <c r="C847" s="252"/>
      <c r="D847" s="252"/>
      <c r="E847" s="252"/>
      <c r="F847" s="252"/>
      <c r="G847" s="252"/>
      <c r="H847" s="252"/>
      <c r="I847" s="252"/>
      <c r="J847" s="252"/>
      <c r="K847" s="252"/>
      <c r="L847"/>
      <c r="M847"/>
    </row>
    <row r="848" spans="1:13" s="79" customFormat="1" x14ac:dyDescent="0.35">
      <c r="A848" s="251"/>
      <c r="B848" s="22"/>
      <c r="C848" s="252"/>
      <c r="D848" s="252"/>
      <c r="E848" s="252"/>
      <c r="F848" s="252"/>
      <c r="G848" s="252"/>
      <c r="H848" s="252"/>
      <c r="I848" s="252"/>
      <c r="J848" s="252"/>
      <c r="K848" s="252"/>
      <c r="L848"/>
      <c r="M848"/>
    </row>
    <row r="849" spans="1:13" s="79" customFormat="1" x14ac:dyDescent="0.35">
      <c r="A849" s="251"/>
      <c r="B849" s="22"/>
      <c r="C849" s="252"/>
      <c r="D849" s="252"/>
      <c r="E849" s="252"/>
      <c r="F849" s="252"/>
      <c r="G849" s="252"/>
      <c r="H849" s="252"/>
      <c r="I849" s="252"/>
      <c r="J849" s="252"/>
      <c r="K849" s="252"/>
      <c r="L849"/>
      <c r="M849"/>
    </row>
    <row r="850" spans="1:13" s="79" customFormat="1" x14ac:dyDescent="0.35">
      <c r="A850" s="251"/>
      <c r="B850" s="22"/>
      <c r="C850" s="252"/>
      <c r="D850" s="252"/>
      <c r="E850" s="252"/>
      <c r="F850" s="252"/>
      <c r="G850" s="252"/>
      <c r="H850" s="252"/>
      <c r="I850" s="252"/>
      <c r="J850" s="252"/>
      <c r="K850" s="252"/>
      <c r="L850"/>
      <c r="M850"/>
    </row>
    <row r="851" spans="1:13" s="79" customFormat="1" x14ac:dyDescent="0.35">
      <c r="A851" s="251"/>
      <c r="B851" s="22"/>
      <c r="C851" s="252"/>
      <c r="D851" s="252"/>
      <c r="E851" s="252"/>
      <c r="F851" s="252"/>
      <c r="G851" s="252"/>
      <c r="H851" s="252"/>
      <c r="I851" s="252"/>
      <c r="J851" s="252"/>
      <c r="K851" s="252"/>
      <c r="L851"/>
      <c r="M851"/>
    </row>
    <row r="852" spans="1:13" s="79" customFormat="1" x14ac:dyDescent="0.35">
      <c r="A852" s="251"/>
      <c r="B852" s="22"/>
      <c r="C852" s="252"/>
      <c r="D852" s="252"/>
      <c r="E852" s="252"/>
      <c r="F852" s="252"/>
      <c r="G852" s="252"/>
      <c r="H852" s="252"/>
      <c r="I852" s="252"/>
      <c r="J852" s="252"/>
      <c r="K852" s="252"/>
      <c r="L852"/>
      <c r="M852"/>
    </row>
    <row r="853" spans="1:13" s="79" customFormat="1" x14ac:dyDescent="0.35">
      <c r="A853" s="251"/>
      <c r="B853" s="22"/>
      <c r="C853" s="252"/>
      <c r="D853" s="252"/>
      <c r="E853" s="252"/>
      <c r="F853" s="252"/>
      <c r="G853" s="252"/>
      <c r="H853" s="252"/>
      <c r="I853" s="252"/>
      <c r="J853" s="252"/>
      <c r="K853" s="252"/>
      <c r="L853"/>
      <c r="M853"/>
    </row>
    <row r="854" spans="1:13" s="79" customFormat="1" x14ac:dyDescent="0.35">
      <c r="A854" s="251"/>
      <c r="B854" s="22"/>
      <c r="C854" s="252"/>
      <c r="D854" s="252"/>
      <c r="E854" s="252"/>
      <c r="F854" s="252"/>
      <c r="G854" s="252"/>
      <c r="H854" s="252"/>
      <c r="I854" s="252"/>
      <c r="J854" s="252"/>
      <c r="K854" s="252"/>
      <c r="L854"/>
      <c r="M854"/>
    </row>
    <row r="855" spans="1:13" s="79" customFormat="1" x14ac:dyDescent="0.35">
      <c r="A855" s="251"/>
      <c r="B855" s="22"/>
      <c r="C855" s="252"/>
      <c r="D855" s="252"/>
      <c r="E855" s="252"/>
      <c r="F855" s="252"/>
      <c r="G855" s="252"/>
      <c r="H855" s="252"/>
      <c r="I855" s="252"/>
      <c r="J855" s="252"/>
      <c r="K855" s="252"/>
      <c r="L855"/>
      <c r="M855"/>
    </row>
    <row r="856" spans="1:13" s="79" customFormat="1" x14ac:dyDescent="0.35">
      <c r="A856" s="251"/>
      <c r="B856" s="22"/>
      <c r="C856" s="252"/>
      <c r="D856" s="252"/>
      <c r="E856" s="252"/>
      <c r="F856" s="252"/>
      <c r="G856" s="252"/>
      <c r="H856" s="252"/>
      <c r="I856" s="252"/>
      <c r="J856" s="252"/>
      <c r="K856" s="252"/>
      <c r="L856"/>
      <c r="M856"/>
    </row>
    <row r="857" spans="1:13" s="79" customFormat="1" x14ac:dyDescent="0.35">
      <c r="A857" s="251"/>
      <c r="B857" s="22"/>
      <c r="C857" s="252"/>
      <c r="D857" s="252"/>
      <c r="E857" s="252"/>
      <c r="F857" s="252"/>
      <c r="G857" s="252"/>
      <c r="H857" s="252"/>
      <c r="I857" s="252"/>
      <c r="J857" s="252"/>
      <c r="K857" s="252"/>
      <c r="L857"/>
      <c r="M857"/>
    </row>
    <row r="858" spans="1:13" s="79" customFormat="1" x14ac:dyDescent="0.35">
      <c r="A858" s="251"/>
      <c r="B858" s="22"/>
      <c r="C858" s="252"/>
      <c r="D858" s="252"/>
      <c r="E858" s="252"/>
      <c r="F858" s="252"/>
      <c r="G858" s="252"/>
      <c r="H858" s="252"/>
      <c r="I858" s="252"/>
      <c r="J858" s="252"/>
      <c r="K858" s="252"/>
      <c r="L858"/>
      <c r="M858"/>
    </row>
    <row r="859" spans="1:13" s="79" customFormat="1" x14ac:dyDescent="0.35">
      <c r="A859" s="251"/>
      <c r="B859" s="22"/>
      <c r="C859" s="252"/>
      <c r="D859" s="252"/>
      <c r="E859" s="252"/>
      <c r="F859" s="252"/>
      <c r="G859" s="252"/>
      <c r="H859" s="252"/>
      <c r="I859" s="252"/>
      <c r="J859" s="252"/>
      <c r="K859" s="252"/>
      <c r="L859"/>
      <c r="M859"/>
    </row>
    <row r="860" spans="1:13" s="79" customFormat="1" x14ac:dyDescent="0.35">
      <c r="A860" s="251"/>
      <c r="B860" s="22"/>
      <c r="C860" s="252"/>
      <c r="D860" s="252"/>
      <c r="E860" s="252"/>
      <c r="F860" s="252"/>
      <c r="G860" s="252"/>
      <c r="H860" s="252"/>
      <c r="I860" s="252"/>
      <c r="J860" s="252"/>
      <c r="K860" s="252"/>
      <c r="L860"/>
      <c r="M860"/>
    </row>
    <row r="861" spans="1:13" s="79" customFormat="1" x14ac:dyDescent="0.35">
      <c r="A861" s="251"/>
      <c r="B861" s="22"/>
      <c r="C861" s="252"/>
      <c r="D861" s="252"/>
      <c r="E861" s="252"/>
      <c r="F861" s="252"/>
      <c r="G861" s="252"/>
      <c r="H861" s="252"/>
      <c r="I861" s="252"/>
      <c r="J861" s="252"/>
      <c r="K861" s="252"/>
      <c r="L861"/>
      <c r="M861"/>
    </row>
    <row r="862" spans="1:13" s="79" customFormat="1" x14ac:dyDescent="0.35">
      <c r="A862" s="251"/>
      <c r="B862" s="22"/>
      <c r="C862" s="252"/>
      <c r="D862" s="252"/>
      <c r="E862" s="252"/>
      <c r="F862" s="252"/>
      <c r="G862" s="252"/>
      <c r="H862" s="252"/>
      <c r="I862" s="252"/>
      <c r="J862" s="252"/>
      <c r="K862" s="252"/>
      <c r="L862"/>
      <c r="M862"/>
    </row>
    <row r="863" spans="1:13" s="79" customFormat="1" x14ac:dyDescent="0.35">
      <c r="A863" s="251"/>
      <c r="B863" s="22"/>
      <c r="C863" s="252"/>
      <c r="D863" s="252"/>
      <c r="E863" s="252"/>
      <c r="F863" s="252"/>
      <c r="G863" s="252"/>
      <c r="H863" s="252"/>
      <c r="I863" s="252"/>
      <c r="J863" s="252"/>
      <c r="K863" s="252"/>
      <c r="L863"/>
      <c r="M863"/>
    </row>
    <row r="864" spans="1:13" s="79" customFormat="1" x14ac:dyDescent="0.35">
      <c r="A864" s="251"/>
      <c r="B864" s="22"/>
      <c r="C864" s="252"/>
      <c r="D864" s="252"/>
      <c r="E864" s="252"/>
      <c r="F864" s="252"/>
      <c r="G864" s="252"/>
      <c r="H864" s="252"/>
      <c r="I864" s="252"/>
      <c r="J864" s="252"/>
      <c r="K864" s="252"/>
      <c r="L864"/>
      <c r="M864"/>
    </row>
    <row r="865" spans="1:13" s="79" customFormat="1" x14ac:dyDescent="0.35">
      <c r="A865" s="251"/>
      <c r="B865" s="22"/>
      <c r="C865" s="252"/>
      <c r="D865" s="252"/>
      <c r="E865" s="252"/>
      <c r="F865" s="252"/>
      <c r="G865" s="252"/>
      <c r="H865" s="252"/>
      <c r="I865" s="252"/>
      <c r="J865" s="252"/>
      <c r="K865" s="252"/>
      <c r="L865"/>
      <c r="M865"/>
    </row>
    <row r="866" spans="1:13" s="79" customFormat="1" x14ac:dyDescent="0.35">
      <c r="A866" s="251"/>
      <c r="B866" s="22"/>
      <c r="C866" s="252"/>
      <c r="D866" s="252"/>
      <c r="E866" s="252"/>
      <c r="F866" s="252"/>
      <c r="G866" s="252"/>
      <c r="H866" s="252"/>
      <c r="I866" s="252"/>
      <c r="J866" s="252"/>
      <c r="K866" s="252"/>
      <c r="L866"/>
      <c r="M866"/>
    </row>
    <row r="867" spans="1:13" s="79" customFormat="1" x14ac:dyDescent="0.35">
      <c r="A867" s="251"/>
      <c r="B867" s="22"/>
      <c r="C867" s="252"/>
      <c r="D867" s="252"/>
      <c r="E867" s="252"/>
      <c r="F867" s="252"/>
      <c r="G867" s="252"/>
      <c r="H867" s="252"/>
      <c r="I867" s="252"/>
      <c r="J867" s="252"/>
      <c r="K867" s="252"/>
      <c r="L867"/>
      <c r="M867"/>
    </row>
    <row r="868" spans="1:13" s="79" customFormat="1" x14ac:dyDescent="0.35">
      <c r="A868" s="251"/>
      <c r="B868" s="22"/>
      <c r="C868" s="252"/>
      <c r="D868" s="252"/>
      <c r="E868" s="252"/>
      <c r="F868" s="252"/>
      <c r="G868" s="252"/>
      <c r="H868" s="252"/>
      <c r="I868" s="252"/>
      <c r="J868" s="252"/>
      <c r="K868" s="252"/>
      <c r="L868"/>
      <c r="M868"/>
    </row>
    <row r="869" spans="1:13" s="79" customFormat="1" x14ac:dyDescent="0.35">
      <c r="A869" s="251"/>
      <c r="B869" s="22"/>
      <c r="C869" s="252"/>
      <c r="D869" s="252"/>
      <c r="E869" s="252"/>
      <c r="F869" s="252"/>
      <c r="G869" s="252"/>
      <c r="H869" s="252"/>
      <c r="I869" s="252"/>
      <c r="J869" s="252"/>
      <c r="K869" s="252"/>
      <c r="L869"/>
      <c r="M869"/>
    </row>
    <row r="870" spans="1:13" s="79" customFormat="1" x14ac:dyDescent="0.35">
      <c r="A870" s="251"/>
      <c r="B870" s="22"/>
      <c r="C870" s="252"/>
      <c r="D870" s="252"/>
      <c r="E870" s="252"/>
      <c r="F870" s="252"/>
      <c r="G870" s="252"/>
      <c r="H870" s="252"/>
      <c r="I870" s="252"/>
      <c r="J870" s="252"/>
      <c r="K870" s="252"/>
      <c r="L870"/>
      <c r="M870"/>
    </row>
    <row r="871" spans="1:13" s="79" customFormat="1" x14ac:dyDescent="0.35">
      <c r="A871" s="251"/>
      <c r="B871" s="22"/>
      <c r="C871" s="252"/>
      <c r="D871" s="252"/>
      <c r="E871" s="252"/>
      <c r="F871" s="252"/>
      <c r="G871" s="252"/>
      <c r="H871" s="252"/>
      <c r="I871" s="252"/>
      <c r="J871" s="252"/>
      <c r="K871" s="252"/>
      <c r="L871"/>
      <c r="M871"/>
    </row>
    <row r="872" spans="1:13" s="79" customFormat="1" x14ac:dyDescent="0.35">
      <c r="A872" s="251"/>
      <c r="B872" s="22"/>
      <c r="C872" s="252"/>
      <c r="D872" s="252"/>
      <c r="E872" s="252"/>
      <c r="F872" s="252"/>
      <c r="G872" s="252"/>
      <c r="H872" s="252"/>
      <c r="I872" s="252"/>
      <c r="J872" s="252"/>
      <c r="K872" s="252"/>
      <c r="L872"/>
      <c r="M872"/>
    </row>
    <row r="873" spans="1:13" s="79" customFormat="1" x14ac:dyDescent="0.35">
      <c r="A873" s="251"/>
      <c r="B873" s="22"/>
      <c r="C873" s="252"/>
      <c r="D873" s="252"/>
      <c r="E873" s="252"/>
      <c r="F873" s="252"/>
      <c r="G873" s="252"/>
      <c r="H873" s="252"/>
      <c r="I873" s="252"/>
      <c r="J873" s="252"/>
      <c r="K873" s="252"/>
      <c r="L873"/>
      <c r="M873"/>
    </row>
    <row r="874" spans="1:13" s="79" customFormat="1" x14ac:dyDescent="0.35">
      <c r="A874" s="251"/>
      <c r="B874" s="22"/>
      <c r="C874" s="252"/>
      <c r="D874" s="252"/>
      <c r="E874" s="252"/>
      <c r="F874" s="252"/>
      <c r="G874" s="252"/>
      <c r="H874" s="252"/>
      <c r="I874" s="252"/>
      <c r="J874" s="252"/>
      <c r="K874" s="252"/>
      <c r="L874"/>
      <c r="M874"/>
    </row>
    <row r="875" spans="1:13" s="79" customFormat="1" x14ac:dyDescent="0.35">
      <c r="A875" s="251"/>
      <c r="B875" s="22"/>
      <c r="C875" s="252"/>
      <c r="D875" s="252"/>
      <c r="E875" s="252"/>
      <c r="F875" s="252"/>
      <c r="G875" s="252"/>
      <c r="H875" s="252"/>
      <c r="I875" s="252"/>
      <c r="J875" s="252"/>
      <c r="K875" s="252"/>
      <c r="L875"/>
      <c r="M875"/>
    </row>
    <row r="876" spans="1:13" s="79" customFormat="1" x14ac:dyDescent="0.35">
      <c r="A876" s="251"/>
      <c r="B876" s="22"/>
      <c r="C876" s="252"/>
      <c r="D876" s="252"/>
      <c r="E876" s="252"/>
      <c r="F876" s="252"/>
      <c r="G876" s="252"/>
      <c r="H876" s="252"/>
      <c r="I876" s="252"/>
      <c r="J876" s="252"/>
      <c r="K876" s="252"/>
      <c r="L876"/>
      <c r="M876"/>
    </row>
    <row r="877" spans="1:13" s="79" customFormat="1" x14ac:dyDescent="0.35">
      <c r="A877" s="251"/>
      <c r="B877" s="22"/>
      <c r="C877" s="252"/>
      <c r="D877" s="252"/>
      <c r="E877" s="252"/>
      <c r="F877" s="252"/>
      <c r="G877" s="252"/>
      <c r="H877" s="252"/>
      <c r="I877" s="252"/>
      <c r="J877" s="252"/>
      <c r="K877" s="252"/>
      <c r="L877"/>
      <c r="M877"/>
    </row>
    <row r="878" spans="1:13" s="79" customFormat="1" x14ac:dyDescent="0.35">
      <c r="A878" s="251"/>
      <c r="B878" s="22"/>
      <c r="C878" s="252"/>
      <c r="D878" s="252"/>
      <c r="E878" s="252"/>
      <c r="F878" s="252"/>
      <c r="G878" s="252"/>
      <c r="H878" s="252"/>
      <c r="I878" s="252"/>
      <c r="J878" s="252"/>
      <c r="K878" s="252"/>
      <c r="L878"/>
      <c r="M878"/>
    </row>
    <row r="879" spans="1:13" s="79" customFormat="1" x14ac:dyDescent="0.35">
      <c r="A879" s="251"/>
      <c r="B879" s="22"/>
      <c r="C879" s="252"/>
      <c r="D879" s="252"/>
      <c r="E879" s="252"/>
      <c r="F879" s="252"/>
      <c r="G879" s="252"/>
      <c r="H879" s="252"/>
      <c r="I879" s="252"/>
      <c r="J879" s="252"/>
      <c r="K879" s="252"/>
      <c r="L879"/>
      <c r="M879"/>
    </row>
    <row r="880" spans="1:13" s="79" customFormat="1" x14ac:dyDescent="0.35">
      <c r="A880" s="251"/>
      <c r="B880" s="22"/>
      <c r="C880" s="252"/>
      <c r="D880" s="252"/>
      <c r="E880" s="252"/>
      <c r="F880" s="252"/>
      <c r="G880" s="252"/>
      <c r="H880" s="252"/>
      <c r="I880" s="252"/>
      <c r="J880" s="252"/>
      <c r="K880" s="252"/>
      <c r="L880"/>
      <c r="M880"/>
    </row>
    <row r="881" spans="1:13" s="79" customFormat="1" x14ac:dyDescent="0.35">
      <c r="A881" s="251"/>
      <c r="B881" s="22"/>
      <c r="C881" s="252"/>
      <c r="D881" s="252"/>
      <c r="E881" s="252"/>
      <c r="F881" s="252"/>
      <c r="G881" s="252"/>
      <c r="H881" s="252"/>
      <c r="I881" s="252"/>
      <c r="J881" s="252"/>
      <c r="K881" s="252"/>
      <c r="L881"/>
      <c r="M881"/>
    </row>
    <row r="882" spans="1:13" s="79" customFormat="1" x14ac:dyDescent="0.35">
      <c r="A882" s="251"/>
      <c r="B882" s="22"/>
      <c r="C882" s="252"/>
      <c r="D882" s="252"/>
      <c r="E882" s="252"/>
      <c r="F882" s="252"/>
      <c r="G882" s="252"/>
      <c r="H882" s="252"/>
      <c r="I882" s="252"/>
      <c r="J882" s="252"/>
      <c r="K882" s="252"/>
      <c r="L882"/>
      <c r="M882"/>
    </row>
    <row r="883" spans="1:13" s="79" customFormat="1" x14ac:dyDescent="0.35">
      <c r="A883" s="251"/>
      <c r="B883" s="22"/>
      <c r="C883" s="252"/>
      <c r="D883" s="252"/>
      <c r="E883" s="252"/>
      <c r="F883" s="252"/>
      <c r="G883" s="252"/>
      <c r="H883" s="252"/>
      <c r="I883" s="252"/>
      <c r="J883" s="252"/>
      <c r="K883" s="252"/>
      <c r="L883"/>
      <c r="M883"/>
    </row>
    <row r="884" spans="1:13" s="79" customFormat="1" x14ac:dyDescent="0.35">
      <c r="A884" s="251"/>
      <c r="B884" s="22"/>
      <c r="C884" s="252"/>
      <c r="D884" s="252"/>
      <c r="E884" s="252"/>
      <c r="F884" s="252"/>
      <c r="G884" s="252"/>
      <c r="H884" s="252"/>
      <c r="I884" s="252"/>
      <c r="J884" s="252"/>
      <c r="K884" s="252"/>
      <c r="L884"/>
      <c r="M884"/>
    </row>
    <row r="885" spans="1:13" s="79" customFormat="1" x14ac:dyDescent="0.35">
      <c r="A885" s="251"/>
      <c r="B885" s="22"/>
      <c r="C885" s="252"/>
      <c r="D885" s="252"/>
      <c r="E885" s="252"/>
      <c r="F885" s="252"/>
      <c r="G885" s="252"/>
      <c r="H885" s="252"/>
      <c r="I885" s="252"/>
      <c r="J885" s="252"/>
      <c r="K885" s="252"/>
      <c r="L885"/>
      <c r="M885"/>
    </row>
    <row r="886" spans="1:13" s="79" customFormat="1" x14ac:dyDescent="0.35">
      <c r="A886" s="251"/>
      <c r="B886" s="22"/>
      <c r="C886" s="252"/>
      <c r="D886" s="252"/>
      <c r="E886" s="252"/>
      <c r="F886" s="252"/>
      <c r="G886" s="252"/>
      <c r="H886" s="252"/>
      <c r="I886" s="252"/>
      <c r="J886" s="252"/>
      <c r="K886" s="252"/>
      <c r="L886"/>
      <c r="M886"/>
    </row>
    <row r="887" spans="1:13" s="79" customFormat="1" x14ac:dyDescent="0.35">
      <c r="A887" s="251"/>
      <c r="B887" s="22"/>
      <c r="C887" s="252"/>
      <c r="D887" s="252"/>
      <c r="E887" s="252"/>
      <c r="F887" s="252"/>
      <c r="G887" s="252"/>
      <c r="H887" s="252"/>
      <c r="I887" s="252"/>
      <c r="J887" s="252"/>
      <c r="K887" s="252"/>
      <c r="L887"/>
      <c r="M887"/>
    </row>
    <row r="888" spans="1:13" s="79" customFormat="1" x14ac:dyDescent="0.35">
      <c r="A888" s="251"/>
      <c r="B888" s="22"/>
      <c r="C888" s="252"/>
      <c r="D888" s="252"/>
      <c r="E888" s="252"/>
      <c r="F888" s="252"/>
      <c r="G888" s="252"/>
      <c r="H888" s="252"/>
      <c r="I888" s="252"/>
      <c r="J888" s="252"/>
      <c r="K888" s="252"/>
      <c r="L888"/>
      <c r="M888"/>
    </row>
    <row r="889" spans="1:13" s="79" customFormat="1" x14ac:dyDescent="0.35">
      <c r="A889" s="251"/>
      <c r="B889" s="22"/>
      <c r="C889" s="252"/>
      <c r="D889" s="252"/>
      <c r="E889" s="252"/>
      <c r="F889" s="252"/>
      <c r="G889" s="252"/>
      <c r="H889" s="252"/>
      <c r="I889" s="252"/>
      <c r="J889" s="252"/>
      <c r="K889" s="252"/>
      <c r="L889"/>
      <c r="M889"/>
    </row>
    <row r="890" spans="1:13" s="79" customFormat="1" x14ac:dyDescent="0.35">
      <c r="A890" s="251"/>
      <c r="B890" s="22"/>
      <c r="C890" s="252"/>
      <c r="D890" s="252"/>
      <c r="E890" s="252"/>
      <c r="F890" s="252"/>
      <c r="G890" s="252"/>
      <c r="H890" s="252"/>
      <c r="I890" s="252"/>
      <c r="J890" s="252"/>
      <c r="K890" s="252"/>
      <c r="L890"/>
      <c r="M890"/>
    </row>
    <row r="891" spans="1:13" s="79" customFormat="1" x14ac:dyDescent="0.35">
      <c r="A891" s="251"/>
      <c r="B891" s="22"/>
      <c r="C891" s="252"/>
      <c r="D891" s="252"/>
      <c r="E891" s="252"/>
      <c r="F891" s="252"/>
      <c r="G891" s="252"/>
      <c r="H891" s="252"/>
      <c r="I891" s="252"/>
      <c r="J891" s="252"/>
      <c r="K891" s="252"/>
      <c r="L891"/>
      <c r="M891"/>
    </row>
    <row r="892" spans="1:13" s="79" customFormat="1" x14ac:dyDescent="0.35">
      <c r="A892" s="251"/>
      <c r="B892" s="22"/>
      <c r="C892" s="252"/>
      <c r="D892" s="252"/>
      <c r="E892" s="252"/>
      <c r="F892" s="252"/>
      <c r="G892" s="252"/>
      <c r="H892" s="252"/>
      <c r="I892" s="252"/>
      <c r="J892" s="252"/>
      <c r="K892" s="252"/>
      <c r="L892"/>
      <c r="M892"/>
    </row>
    <row r="893" spans="1:13" s="79" customFormat="1" x14ac:dyDescent="0.35">
      <c r="A893" s="251"/>
      <c r="B893" s="22"/>
      <c r="C893" s="252"/>
      <c r="D893" s="252"/>
      <c r="E893" s="252"/>
      <c r="F893" s="252"/>
      <c r="G893" s="252"/>
      <c r="H893" s="252"/>
      <c r="I893" s="252"/>
      <c r="J893" s="252"/>
      <c r="K893" s="252"/>
      <c r="L893"/>
      <c r="M893"/>
    </row>
    <row r="894" spans="1:13" s="79" customFormat="1" x14ac:dyDescent="0.35">
      <c r="A894" s="251"/>
      <c r="B894" s="22"/>
      <c r="C894" s="252"/>
      <c r="D894" s="252"/>
      <c r="E894" s="252"/>
      <c r="F894" s="252"/>
      <c r="G894" s="252"/>
      <c r="H894" s="252"/>
      <c r="I894" s="252"/>
      <c r="J894" s="252"/>
      <c r="K894" s="252"/>
      <c r="L894"/>
      <c r="M894"/>
    </row>
    <row r="895" spans="1:13" s="79" customFormat="1" x14ac:dyDescent="0.35">
      <c r="A895" s="251"/>
      <c r="B895" s="22"/>
      <c r="C895" s="252"/>
      <c r="D895" s="252"/>
      <c r="E895" s="252"/>
      <c r="F895" s="252"/>
      <c r="G895" s="252"/>
      <c r="H895" s="252"/>
      <c r="I895" s="252"/>
      <c r="J895" s="252"/>
      <c r="K895" s="252"/>
      <c r="L895"/>
      <c r="M895"/>
    </row>
    <row r="896" spans="1:13" s="79" customFormat="1" x14ac:dyDescent="0.35">
      <c r="A896" s="251"/>
      <c r="B896" s="22"/>
      <c r="C896" s="252"/>
      <c r="D896" s="252"/>
      <c r="E896" s="252"/>
      <c r="F896" s="252"/>
      <c r="G896" s="252"/>
      <c r="H896" s="252"/>
      <c r="I896" s="252"/>
      <c r="J896" s="252"/>
      <c r="K896" s="252"/>
      <c r="L896"/>
      <c r="M896"/>
    </row>
    <row r="897" spans="1:13" s="79" customFormat="1" x14ac:dyDescent="0.35">
      <c r="A897" s="251"/>
      <c r="B897" s="22"/>
      <c r="C897" s="252"/>
      <c r="D897" s="252"/>
      <c r="E897" s="252"/>
      <c r="F897" s="252"/>
      <c r="G897" s="252"/>
      <c r="H897" s="252"/>
      <c r="I897" s="252"/>
      <c r="J897" s="252"/>
      <c r="K897" s="252"/>
      <c r="L897"/>
      <c r="M897"/>
    </row>
    <row r="898" spans="1:13" s="79" customFormat="1" x14ac:dyDescent="0.35">
      <c r="A898" s="251"/>
      <c r="B898" s="22"/>
      <c r="C898" s="252"/>
      <c r="D898" s="252"/>
      <c r="E898" s="252"/>
      <c r="F898" s="252"/>
      <c r="G898" s="252"/>
      <c r="H898" s="252"/>
      <c r="I898" s="252"/>
      <c r="J898" s="252"/>
      <c r="K898" s="252"/>
      <c r="L898"/>
      <c r="M898"/>
    </row>
    <row r="899" spans="1:13" s="79" customFormat="1" x14ac:dyDescent="0.35">
      <c r="A899" s="251"/>
      <c r="B899" s="22"/>
      <c r="C899" s="252"/>
      <c r="D899" s="252"/>
      <c r="E899" s="252"/>
      <c r="F899" s="252"/>
      <c r="G899" s="252"/>
      <c r="H899" s="252"/>
      <c r="I899" s="252"/>
      <c r="J899" s="252"/>
      <c r="K899" s="252"/>
      <c r="L899"/>
      <c r="M899"/>
    </row>
    <row r="900" spans="1:13" s="79" customFormat="1" x14ac:dyDescent="0.35">
      <c r="A900" s="251"/>
      <c r="B900" s="22"/>
      <c r="C900" s="252"/>
      <c r="D900" s="252"/>
      <c r="E900" s="252"/>
      <c r="F900" s="252"/>
      <c r="G900" s="252"/>
      <c r="H900" s="252"/>
      <c r="I900" s="252"/>
      <c r="J900" s="252"/>
      <c r="K900" s="252"/>
      <c r="L900"/>
      <c r="M900"/>
    </row>
    <row r="901" spans="1:13" s="79" customFormat="1" x14ac:dyDescent="0.35">
      <c r="A901" s="251"/>
      <c r="B901" s="22"/>
      <c r="C901" s="252"/>
      <c r="D901" s="252"/>
      <c r="E901" s="252"/>
      <c r="F901" s="252"/>
      <c r="G901" s="252"/>
      <c r="H901" s="252"/>
      <c r="I901" s="252"/>
      <c r="J901" s="252"/>
      <c r="K901" s="252"/>
      <c r="L901"/>
      <c r="M901"/>
    </row>
    <row r="902" spans="1:13" s="79" customFormat="1" x14ac:dyDescent="0.35">
      <c r="A902" s="251"/>
      <c r="B902" s="22"/>
      <c r="C902" s="252"/>
      <c r="D902" s="252"/>
      <c r="E902" s="252"/>
      <c r="F902" s="252"/>
      <c r="G902" s="252"/>
      <c r="H902" s="252"/>
      <c r="I902" s="252"/>
      <c r="J902" s="252"/>
      <c r="K902" s="252"/>
      <c r="L902"/>
      <c r="M902"/>
    </row>
    <row r="903" spans="1:13" s="79" customFormat="1" x14ac:dyDescent="0.35">
      <c r="A903" s="251"/>
      <c r="B903" s="22"/>
      <c r="C903" s="252"/>
      <c r="D903" s="252"/>
      <c r="E903" s="252"/>
      <c r="F903" s="252"/>
      <c r="G903" s="252"/>
      <c r="H903" s="252"/>
      <c r="I903" s="252"/>
      <c r="J903" s="252"/>
      <c r="K903" s="252"/>
      <c r="L903"/>
      <c r="M903"/>
    </row>
    <row r="904" spans="1:13" s="79" customFormat="1" x14ac:dyDescent="0.35">
      <c r="A904" s="251"/>
      <c r="B904" s="22"/>
      <c r="C904" s="252"/>
      <c r="D904" s="252"/>
      <c r="E904" s="252"/>
      <c r="F904" s="252"/>
      <c r="G904" s="252"/>
      <c r="H904" s="252"/>
      <c r="I904" s="252"/>
      <c r="J904" s="252"/>
      <c r="K904" s="252"/>
      <c r="L904"/>
      <c r="M904"/>
    </row>
    <row r="905" spans="1:13" s="79" customFormat="1" x14ac:dyDescent="0.35">
      <c r="A905" s="251"/>
      <c r="B905" s="22"/>
      <c r="C905" s="252"/>
      <c r="D905" s="252"/>
      <c r="E905" s="252"/>
      <c r="F905" s="252"/>
      <c r="G905" s="252"/>
      <c r="H905" s="252"/>
      <c r="I905" s="252"/>
      <c r="J905" s="252"/>
      <c r="K905" s="252"/>
      <c r="L905"/>
      <c r="M905"/>
    </row>
    <row r="906" spans="1:13" s="79" customFormat="1" x14ac:dyDescent="0.35">
      <c r="A906" s="251"/>
      <c r="B906" s="22"/>
      <c r="C906" s="252"/>
      <c r="D906" s="252"/>
      <c r="E906" s="252"/>
      <c r="F906" s="252"/>
      <c r="G906" s="252"/>
      <c r="H906" s="252"/>
      <c r="I906" s="252"/>
      <c r="J906" s="252"/>
      <c r="K906" s="252"/>
      <c r="L906"/>
      <c r="M906"/>
    </row>
    <row r="907" spans="1:13" s="79" customFormat="1" x14ac:dyDescent="0.35">
      <c r="A907" s="251"/>
      <c r="B907" s="22"/>
      <c r="C907" s="252"/>
      <c r="D907" s="252"/>
      <c r="E907" s="252"/>
      <c r="F907" s="252"/>
      <c r="G907" s="252"/>
      <c r="H907" s="252"/>
      <c r="I907" s="252"/>
      <c r="J907" s="252"/>
      <c r="K907" s="252"/>
      <c r="L907"/>
      <c r="M907"/>
    </row>
    <row r="908" spans="1:13" s="79" customFormat="1" x14ac:dyDescent="0.35">
      <c r="A908" s="251"/>
      <c r="B908" s="22"/>
      <c r="C908" s="252"/>
      <c r="D908" s="252"/>
      <c r="E908" s="252"/>
      <c r="F908" s="252"/>
      <c r="G908" s="252"/>
      <c r="H908" s="252"/>
      <c r="I908" s="252"/>
      <c r="J908" s="252"/>
      <c r="K908" s="252"/>
      <c r="L908"/>
      <c r="M908"/>
    </row>
    <row r="909" spans="1:13" s="79" customFormat="1" x14ac:dyDescent="0.35">
      <c r="A909" s="251"/>
      <c r="B909" s="22"/>
      <c r="C909" s="252"/>
      <c r="D909" s="252"/>
      <c r="E909" s="252"/>
      <c r="F909" s="252"/>
      <c r="G909" s="252"/>
      <c r="H909" s="252"/>
      <c r="I909" s="252"/>
      <c r="J909" s="252"/>
      <c r="K909" s="252"/>
      <c r="L909"/>
      <c r="M909"/>
    </row>
    <row r="910" spans="1:13" s="79" customFormat="1" x14ac:dyDescent="0.35">
      <c r="A910" s="251"/>
      <c r="B910" s="22"/>
      <c r="C910" s="252"/>
      <c r="D910" s="252"/>
      <c r="E910" s="252"/>
      <c r="F910" s="252"/>
      <c r="G910" s="252"/>
      <c r="H910" s="252"/>
      <c r="I910" s="252"/>
      <c r="J910" s="252"/>
      <c r="K910" s="252"/>
      <c r="L910"/>
      <c r="M910"/>
    </row>
    <row r="911" spans="1:13" s="79" customFormat="1" x14ac:dyDescent="0.35">
      <c r="A911" s="251"/>
      <c r="B911" s="22"/>
      <c r="C911" s="252"/>
      <c r="D911" s="252"/>
      <c r="E911" s="252"/>
      <c r="F911" s="252"/>
      <c r="G911" s="252"/>
      <c r="H911" s="252"/>
      <c r="I911" s="252"/>
      <c r="J911" s="252"/>
      <c r="K911" s="252"/>
      <c r="L911"/>
      <c r="M911"/>
    </row>
    <row r="912" spans="1:13" s="79" customFormat="1" x14ac:dyDescent="0.35">
      <c r="A912" s="251"/>
      <c r="B912" s="22"/>
      <c r="C912" s="252"/>
      <c r="D912" s="252"/>
      <c r="E912" s="252"/>
      <c r="F912" s="252"/>
      <c r="G912" s="252"/>
      <c r="H912" s="252"/>
      <c r="I912" s="252"/>
      <c r="J912" s="252"/>
      <c r="K912" s="252"/>
      <c r="L912"/>
      <c r="M912"/>
    </row>
    <row r="913" spans="1:13" s="79" customFormat="1" x14ac:dyDescent="0.35">
      <c r="A913" s="251"/>
      <c r="B913" s="22"/>
      <c r="C913" s="252"/>
      <c r="D913" s="252"/>
      <c r="E913" s="252"/>
      <c r="F913" s="252"/>
      <c r="G913" s="252"/>
      <c r="H913" s="252"/>
      <c r="I913" s="252"/>
      <c r="J913" s="252"/>
      <c r="K913" s="252"/>
      <c r="L913"/>
      <c r="M913"/>
    </row>
    <row r="914" spans="1:13" s="79" customFormat="1" x14ac:dyDescent="0.35">
      <c r="A914" s="251"/>
      <c r="B914" s="22"/>
      <c r="C914" s="252"/>
      <c r="D914" s="252"/>
      <c r="E914" s="252"/>
      <c r="F914" s="252"/>
      <c r="G914" s="252"/>
      <c r="H914" s="252"/>
      <c r="I914" s="252"/>
      <c r="J914" s="252"/>
      <c r="K914" s="252"/>
      <c r="L914"/>
      <c r="M914"/>
    </row>
    <row r="915" spans="1:13" s="79" customFormat="1" x14ac:dyDescent="0.35">
      <c r="A915" s="251"/>
      <c r="B915" s="22"/>
      <c r="C915" s="252"/>
      <c r="D915" s="252"/>
      <c r="E915" s="252"/>
      <c r="F915" s="252"/>
      <c r="G915" s="252"/>
      <c r="H915" s="252"/>
      <c r="I915" s="252"/>
      <c r="J915" s="252"/>
      <c r="K915" s="252"/>
      <c r="L915"/>
      <c r="M915"/>
    </row>
    <row r="916" spans="1:13" s="79" customFormat="1" x14ac:dyDescent="0.35">
      <c r="A916" s="251"/>
      <c r="B916" s="22"/>
      <c r="C916" s="252"/>
      <c r="D916" s="252"/>
      <c r="E916" s="252"/>
      <c r="F916" s="252"/>
      <c r="G916" s="252"/>
      <c r="H916" s="252"/>
      <c r="I916" s="252"/>
      <c r="J916" s="252"/>
      <c r="K916" s="252"/>
      <c r="L916"/>
      <c r="M916"/>
    </row>
    <row r="917" spans="1:13" s="79" customFormat="1" x14ac:dyDescent="0.35">
      <c r="A917" s="251"/>
      <c r="B917" s="22"/>
      <c r="C917" s="252"/>
      <c r="D917" s="252"/>
      <c r="E917" s="252"/>
      <c r="F917" s="252"/>
      <c r="G917" s="252"/>
      <c r="H917" s="252"/>
      <c r="I917" s="252"/>
      <c r="J917" s="252"/>
      <c r="K917" s="252"/>
      <c r="L917"/>
      <c r="M917"/>
    </row>
    <row r="918" spans="1:13" s="79" customFormat="1" x14ac:dyDescent="0.35">
      <c r="A918" s="251"/>
      <c r="B918" s="22"/>
      <c r="C918" s="252"/>
      <c r="D918" s="252"/>
      <c r="E918" s="252"/>
      <c r="F918" s="252"/>
      <c r="G918" s="252"/>
      <c r="H918" s="252"/>
      <c r="I918" s="252"/>
      <c r="J918" s="252"/>
      <c r="K918" s="252"/>
      <c r="L918"/>
      <c r="M918"/>
    </row>
    <row r="919" spans="1:13" s="79" customFormat="1" x14ac:dyDescent="0.35">
      <c r="A919" s="251"/>
      <c r="B919" s="22"/>
      <c r="C919" s="252"/>
      <c r="D919" s="252"/>
      <c r="E919" s="252"/>
      <c r="F919" s="252"/>
      <c r="G919" s="252"/>
      <c r="H919" s="252"/>
      <c r="I919" s="252"/>
      <c r="J919" s="252"/>
      <c r="K919" s="252"/>
      <c r="L919"/>
      <c r="M919"/>
    </row>
    <row r="920" spans="1:13" s="79" customFormat="1" x14ac:dyDescent="0.35">
      <c r="A920" s="251"/>
      <c r="B920" s="22"/>
      <c r="C920" s="252"/>
      <c r="D920" s="252"/>
      <c r="E920" s="252"/>
      <c r="F920" s="252"/>
      <c r="G920" s="252"/>
      <c r="H920" s="252"/>
      <c r="I920" s="252"/>
      <c r="J920" s="252"/>
      <c r="K920" s="252"/>
      <c r="L920"/>
      <c r="M920"/>
    </row>
    <row r="921" spans="1:13" s="79" customFormat="1" x14ac:dyDescent="0.35">
      <c r="A921" s="251"/>
      <c r="B921" s="22"/>
      <c r="C921" s="252"/>
      <c r="D921" s="252"/>
      <c r="E921" s="252"/>
      <c r="F921" s="252"/>
      <c r="G921" s="252"/>
      <c r="H921" s="252"/>
      <c r="I921" s="252"/>
      <c r="J921" s="252"/>
      <c r="K921" s="252"/>
      <c r="L921"/>
      <c r="M921"/>
    </row>
    <row r="922" spans="1:13" s="79" customFormat="1" x14ac:dyDescent="0.35">
      <c r="A922" s="251"/>
      <c r="B922" s="22"/>
      <c r="C922" s="252"/>
      <c r="D922" s="252"/>
      <c r="E922" s="252"/>
      <c r="F922" s="252"/>
      <c r="G922" s="252"/>
      <c r="H922" s="252"/>
      <c r="I922" s="252"/>
      <c r="J922" s="252"/>
      <c r="K922" s="252"/>
      <c r="L922"/>
      <c r="M922"/>
    </row>
    <row r="923" spans="1:13" s="79" customFormat="1" x14ac:dyDescent="0.35">
      <c r="A923" s="251"/>
      <c r="B923" s="22"/>
      <c r="C923" s="252"/>
      <c r="D923" s="252"/>
      <c r="E923" s="252"/>
      <c r="F923" s="252"/>
      <c r="G923" s="252"/>
      <c r="H923" s="252"/>
      <c r="I923" s="252"/>
      <c r="J923" s="252"/>
      <c r="K923" s="252"/>
      <c r="L923"/>
      <c r="M923"/>
    </row>
    <row r="924" spans="1:13" s="79" customFormat="1" x14ac:dyDescent="0.35">
      <c r="A924" s="251"/>
      <c r="B924" s="22"/>
      <c r="C924" s="252"/>
      <c r="D924" s="252"/>
      <c r="E924" s="252"/>
      <c r="F924" s="252"/>
      <c r="G924" s="252"/>
      <c r="H924" s="252"/>
      <c r="I924" s="252"/>
      <c r="J924" s="252"/>
      <c r="K924" s="252"/>
      <c r="L924"/>
      <c r="M924"/>
    </row>
    <row r="925" spans="1:13" s="79" customFormat="1" x14ac:dyDescent="0.35">
      <c r="A925" s="251"/>
      <c r="B925" s="22"/>
      <c r="C925" s="252"/>
      <c r="D925" s="252"/>
      <c r="E925" s="252"/>
      <c r="F925" s="252"/>
      <c r="G925" s="252"/>
      <c r="H925" s="252"/>
      <c r="I925" s="252"/>
      <c r="J925" s="252"/>
      <c r="K925" s="252"/>
      <c r="L925"/>
      <c r="M925"/>
    </row>
    <row r="926" spans="1:13" s="79" customFormat="1" x14ac:dyDescent="0.35">
      <c r="A926" s="251"/>
      <c r="B926" s="22"/>
      <c r="C926" s="252"/>
      <c r="D926" s="252"/>
      <c r="E926" s="252"/>
      <c r="F926" s="252"/>
      <c r="G926" s="252"/>
      <c r="H926" s="252"/>
      <c r="I926" s="252"/>
      <c r="J926" s="252"/>
      <c r="K926" s="252"/>
      <c r="L926"/>
      <c r="M926"/>
    </row>
    <row r="927" spans="1:13" s="79" customFormat="1" x14ac:dyDescent="0.35">
      <c r="A927" s="251"/>
      <c r="B927" s="22"/>
      <c r="C927" s="252"/>
      <c r="D927" s="252"/>
      <c r="E927" s="252"/>
      <c r="F927" s="252"/>
      <c r="G927" s="252"/>
      <c r="H927" s="252"/>
      <c r="I927" s="252"/>
      <c r="J927" s="252"/>
      <c r="K927" s="252"/>
      <c r="L927"/>
      <c r="M927"/>
    </row>
    <row r="928" spans="1:13" s="79" customFormat="1" x14ac:dyDescent="0.35">
      <c r="A928" s="251"/>
      <c r="B928" s="22"/>
      <c r="C928" s="252"/>
      <c r="D928" s="252"/>
      <c r="E928" s="252"/>
      <c r="F928" s="252"/>
      <c r="G928" s="252"/>
      <c r="H928" s="252"/>
      <c r="I928" s="252"/>
      <c r="J928" s="252"/>
      <c r="K928" s="252"/>
      <c r="L928"/>
      <c r="M928"/>
    </row>
    <row r="929" spans="1:13" s="79" customFormat="1" x14ac:dyDescent="0.35">
      <c r="A929" s="251"/>
      <c r="B929" s="22"/>
      <c r="C929" s="252"/>
      <c r="D929" s="252"/>
      <c r="E929" s="252"/>
      <c r="F929" s="252"/>
      <c r="G929" s="252"/>
      <c r="H929" s="252"/>
      <c r="I929" s="252"/>
      <c r="J929" s="252"/>
      <c r="K929" s="252"/>
      <c r="L929"/>
      <c r="M929"/>
    </row>
    <row r="930" spans="1:13" s="79" customFormat="1" x14ac:dyDescent="0.35">
      <c r="A930" s="251"/>
      <c r="B930" s="22"/>
      <c r="C930" s="252"/>
      <c r="D930" s="252"/>
      <c r="E930" s="252"/>
      <c r="F930" s="252"/>
      <c r="G930" s="252"/>
      <c r="H930" s="252"/>
      <c r="I930" s="252"/>
      <c r="J930" s="252"/>
      <c r="K930" s="252"/>
      <c r="L930"/>
      <c r="M930"/>
    </row>
    <row r="931" spans="1:13" s="79" customFormat="1" x14ac:dyDescent="0.35">
      <c r="A931" s="251"/>
      <c r="B931" s="22"/>
      <c r="C931" s="252"/>
      <c r="D931" s="252"/>
      <c r="E931" s="252"/>
      <c r="F931" s="252"/>
      <c r="G931" s="252"/>
      <c r="H931" s="252"/>
      <c r="I931" s="252"/>
      <c r="J931" s="252"/>
      <c r="K931" s="252"/>
      <c r="L931"/>
      <c r="M931"/>
    </row>
    <row r="932" spans="1:13" s="79" customFormat="1" x14ac:dyDescent="0.35">
      <c r="A932" s="251"/>
      <c r="B932" s="22"/>
      <c r="C932" s="252"/>
      <c r="D932" s="252"/>
      <c r="E932" s="252"/>
      <c r="F932" s="252"/>
      <c r="G932" s="252"/>
      <c r="H932" s="252"/>
      <c r="I932" s="252"/>
      <c r="J932" s="252"/>
      <c r="K932" s="252"/>
      <c r="L932"/>
      <c r="M932"/>
    </row>
    <row r="933" spans="1:13" s="79" customFormat="1" x14ac:dyDescent="0.35">
      <c r="A933" s="251"/>
      <c r="B933" s="22"/>
      <c r="C933" s="252"/>
      <c r="D933" s="252"/>
      <c r="E933" s="252"/>
      <c r="F933" s="252"/>
      <c r="G933" s="252"/>
      <c r="H933" s="252"/>
      <c r="I933" s="252"/>
      <c r="J933" s="252"/>
      <c r="K933" s="252"/>
      <c r="L933"/>
      <c r="M933"/>
    </row>
    <row r="934" spans="1:13" s="79" customFormat="1" x14ac:dyDescent="0.35">
      <c r="A934" s="251"/>
      <c r="B934" s="22"/>
      <c r="C934" s="252"/>
      <c r="D934" s="252"/>
      <c r="E934" s="252"/>
      <c r="F934" s="252"/>
      <c r="G934" s="252"/>
      <c r="H934" s="252"/>
      <c r="I934" s="252"/>
      <c r="J934" s="252"/>
      <c r="K934" s="252"/>
      <c r="L934"/>
      <c r="M934"/>
    </row>
    <row r="935" spans="1:13" s="79" customFormat="1" x14ac:dyDescent="0.35">
      <c r="A935" s="251"/>
      <c r="B935" s="22"/>
      <c r="C935" s="252"/>
      <c r="D935" s="252"/>
      <c r="E935" s="252"/>
      <c r="F935" s="252"/>
      <c r="G935" s="252"/>
      <c r="H935" s="252"/>
      <c r="I935" s="252"/>
      <c r="J935" s="252"/>
      <c r="K935" s="252"/>
      <c r="L935"/>
      <c r="M935"/>
    </row>
    <row r="936" spans="1:13" s="79" customFormat="1" x14ac:dyDescent="0.35">
      <c r="A936" s="251"/>
      <c r="B936" s="22"/>
      <c r="C936" s="252"/>
      <c r="D936" s="252"/>
      <c r="E936" s="252"/>
      <c r="F936" s="252"/>
      <c r="G936" s="252"/>
      <c r="H936" s="252"/>
      <c r="I936" s="252"/>
      <c r="J936" s="252"/>
      <c r="K936" s="252"/>
      <c r="L936"/>
      <c r="M936"/>
    </row>
    <row r="937" spans="1:13" s="79" customFormat="1" x14ac:dyDescent="0.35">
      <c r="A937" s="251"/>
      <c r="B937" s="22"/>
      <c r="C937" s="252"/>
      <c r="D937" s="252"/>
      <c r="E937" s="252"/>
      <c r="F937" s="252"/>
      <c r="G937" s="252"/>
      <c r="H937" s="252"/>
      <c r="I937" s="252"/>
      <c r="J937" s="252"/>
      <c r="K937" s="252"/>
      <c r="L937"/>
      <c r="M937"/>
    </row>
    <row r="938" spans="1:13" s="79" customFormat="1" x14ac:dyDescent="0.35">
      <c r="A938" s="251"/>
      <c r="B938" s="22"/>
      <c r="C938" s="252"/>
      <c r="D938" s="252"/>
      <c r="E938" s="252"/>
      <c r="F938" s="252"/>
      <c r="G938" s="252"/>
      <c r="H938" s="252"/>
      <c r="I938" s="252"/>
      <c r="J938" s="252"/>
      <c r="K938" s="252"/>
      <c r="L938"/>
      <c r="M938"/>
    </row>
    <row r="939" spans="1:13" s="79" customFormat="1" x14ac:dyDescent="0.35">
      <c r="A939" s="251"/>
      <c r="B939" s="22"/>
      <c r="C939" s="252"/>
      <c r="D939" s="252"/>
      <c r="E939" s="252"/>
      <c r="F939" s="252"/>
      <c r="G939" s="252"/>
      <c r="H939" s="252"/>
      <c r="I939" s="252"/>
      <c r="J939" s="252"/>
      <c r="K939" s="252"/>
      <c r="L939"/>
      <c r="M939"/>
    </row>
    <row r="940" spans="1:13" s="79" customFormat="1" x14ac:dyDescent="0.35">
      <c r="A940" s="251"/>
      <c r="B940" s="22"/>
      <c r="C940" s="252"/>
      <c r="D940" s="252"/>
      <c r="E940" s="252"/>
      <c r="F940" s="252"/>
      <c r="G940" s="252"/>
      <c r="H940" s="252"/>
      <c r="I940" s="252"/>
      <c r="J940" s="252"/>
      <c r="K940" s="252"/>
      <c r="L940"/>
      <c r="M940"/>
    </row>
    <row r="941" spans="1:13" s="79" customFormat="1" x14ac:dyDescent="0.35">
      <c r="A941" s="251"/>
      <c r="B941" s="22"/>
      <c r="C941" s="252"/>
      <c r="D941" s="252"/>
      <c r="E941" s="252"/>
      <c r="F941" s="252"/>
      <c r="G941" s="252"/>
      <c r="H941" s="252"/>
      <c r="I941" s="252"/>
      <c r="J941" s="252"/>
      <c r="K941" s="252"/>
      <c r="L941"/>
      <c r="M941"/>
    </row>
    <row r="942" spans="1:13" s="79" customFormat="1" x14ac:dyDescent="0.35">
      <c r="A942" s="251"/>
      <c r="B942" s="22"/>
      <c r="C942" s="252"/>
      <c r="D942" s="252"/>
      <c r="E942" s="252"/>
      <c r="F942" s="252"/>
      <c r="G942" s="252"/>
      <c r="H942" s="252"/>
      <c r="I942" s="252"/>
      <c r="J942" s="252"/>
      <c r="K942" s="252"/>
      <c r="L942"/>
      <c r="M942"/>
    </row>
    <row r="943" spans="1:13" s="79" customFormat="1" x14ac:dyDescent="0.35">
      <c r="A943" s="251"/>
      <c r="B943" s="22"/>
      <c r="C943" s="252"/>
      <c r="D943" s="252"/>
      <c r="E943" s="252"/>
      <c r="F943" s="252"/>
      <c r="G943" s="252"/>
      <c r="H943" s="252"/>
      <c r="I943" s="252"/>
      <c r="J943" s="252"/>
      <c r="K943" s="252"/>
      <c r="L943"/>
      <c r="M943"/>
    </row>
    <row r="944" spans="1:13" s="79" customFormat="1" x14ac:dyDescent="0.35">
      <c r="A944" s="251"/>
      <c r="B944" s="22"/>
      <c r="C944" s="252"/>
      <c r="D944" s="252"/>
      <c r="E944" s="252"/>
      <c r="F944" s="252"/>
      <c r="G944" s="252"/>
      <c r="H944" s="252"/>
      <c r="I944" s="252"/>
      <c r="J944" s="252"/>
      <c r="K944" s="252"/>
      <c r="L944"/>
      <c r="M944"/>
    </row>
    <row r="945" spans="1:13" s="79" customFormat="1" x14ac:dyDescent="0.35">
      <c r="A945" s="251"/>
      <c r="B945" s="22"/>
      <c r="C945" s="252"/>
      <c r="D945" s="252"/>
      <c r="E945" s="252"/>
      <c r="F945" s="252"/>
      <c r="G945" s="252"/>
      <c r="H945" s="252"/>
      <c r="I945" s="252"/>
      <c r="J945" s="252"/>
      <c r="K945" s="252"/>
      <c r="L945"/>
      <c r="M945"/>
    </row>
    <row r="946" spans="1:13" s="79" customFormat="1" x14ac:dyDescent="0.35">
      <c r="A946" s="251"/>
      <c r="B946" s="22"/>
      <c r="C946" s="252"/>
      <c r="D946" s="252"/>
      <c r="E946" s="252"/>
      <c r="F946" s="252"/>
      <c r="G946" s="252"/>
      <c r="H946" s="252"/>
      <c r="I946" s="252"/>
      <c r="J946" s="252"/>
      <c r="K946" s="252"/>
      <c r="L946"/>
      <c r="M946"/>
    </row>
    <row r="947" spans="1:13" s="79" customFormat="1" x14ac:dyDescent="0.35">
      <c r="A947" s="251"/>
      <c r="B947" s="22"/>
      <c r="C947" s="252"/>
      <c r="D947" s="252"/>
      <c r="E947" s="252"/>
      <c r="F947" s="252"/>
      <c r="G947" s="252"/>
      <c r="H947" s="252"/>
      <c r="I947" s="252"/>
      <c r="J947" s="252"/>
      <c r="K947" s="252"/>
      <c r="L947"/>
      <c r="M947"/>
    </row>
    <row r="948" spans="1:13" s="79" customFormat="1" x14ac:dyDescent="0.35">
      <c r="A948" s="251"/>
      <c r="B948" s="22"/>
      <c r="C948" s="252"/>
      <c r="D948" s="252"/>
      <c r="E948" s="252"/>
      <c r="F948" s="252"/>
      <c r="G948" s="252"/>
      <c r="H948" s="252"/>
      <c r="I948" s="252"/>
      <c r="J948" s="252"/>
      <c r="K948" s="252"/>
      <c r="L948"/>
      <c r="M948"/>
    </row>
    <row r="949" spans="1:13" s="79" customFormat="1" x14ac:dyDescent="0.35">
      <c r="A949" s="251"/>
      <c r="B949" s="22"/>
      <c r="C949" s="252"/>
      <c r="D949" s="252"/>
      <c r="E949" s="252"/>
      <c r="F949" s="252"/>
      <c r="G949" s="252"/>
      <c r="H949" s="252"/>
      <c r="I949" s="252"/>
      <c r="J949" s="252"/>
      <c r="K949" s="252"/>
      <c r="L949"/>
      <c r="M949"/>
    </row>
    <row r="950" spans="1:13" s="79" customFormat="1" x14ac:dyDescent="0.35">
      <c r="A950" s="251"/>
      <c r="B950" s="22"/>
      <c r="C950" s="252"/>
      <c r="D950" s="252"/>
      <c r="E950" s="252"/>
      <c r="F950" s="252"/>
      <c r="G950" s="252"/>
      <c r="H950" s="252"/>
      <c r="I950" s="252"/>
      <c r="J950" s="252"/>
      <c r="K950" s="252"/>
      <c r="L950"/>
      <c r="M950"/>
    </row>
    <row r="951" spans="1:13" s="79" customFormat="1" x14ac:dyDescent="0.35">
      <c r="A951" s="251"/>
      <c r="B951" s="22"/>
      <c r="C951" s="252"/>
      <c r="D951" s="252"/>
      <c r="E951" s="252"/>
      <c r="F951" s="252"/>
      <c r="G951" s="252"/>
      <c r="H951" s="252"/>
      <c r="I951" s="252"/>
      <c r="J951" s="252"/>
      <c r="K951" s="252"/>
      <c r="L951"/>
      <c r="M951"/>
    </row>
    <row r="952" spans="1:13" s="79" customFormat="1" x14ac:dyDescent="0.35">
      <c r="A952" s="251"/>
      <c r="B952" s="22"/>
      <c r="C952" s="252"/>
      <c r="D952" s="252"/>
      <c r="E952" s="252"/>
      <c r="F952" s="252"/>
      <c r="G952" s="252"/>
      <c r="H952" s="252"/>
      <c r="I952" s="252"/>
      <c r="J952" s="252"/>
      <c r="K952" s="252"/>
      <c r="L952"/>
      <c r="M952"/>
    </row>
    <row r="953" spans="1:13" s="79" customFormat="1" x14ac:dyDescent="0.35">
      <c r="A953" s="251"/>
      <c r="B953" s="22"/>
      <c r="C953" s="252"/>
      <c r="D953" s="252"/>
      <c r="E953" s="252"/>
      <c r="F953" s="252"/>
      <c r="G953" s="252"/>
      <c r="H953" s="252"/>
      <c r="I953" s="252"/>
      <c r="J953" s="252"/>
      <c r="K953" s="252"/>
      <c r="L953"/>
      <c r="M953"/>
    </row>
    <row r="954" spans="1:13" s="79" customFormat="1" x14ac:dyDescent="0.35">
      <c r="A954" s="251"/>
      <c r="B954" s="22"/>
      <c r="C954" s="252"/>
      <c r="D954" s="252"/>
      <c r="E954" s="252"/>
      <c r="F954" s="252"/>
      <c r="G954" s="252"/>
      <c r="H954" s="252"/>
      <c r="I954" s="252"/>
      <c r="J954" s="252"/>
      <c r="K954" s="252"/>
      <c r="L954"/>
      <c r="M954"/>
    </row>
    <row r="955" spans="1:13" s="79" customFormat="1" x14ac:dyDescent="0.35">
      <c r="A955" s="251"/>
      <c r="B955" s="22"/>
      <c r="C955" s="252"/>
      <c r="D955" s="252"/>
      <c r="E955" s="252"/>
      <c r="F955" s="252"/>
      <c r="G955" s="252"/>
      <c r="H955" s="252"/>
      <c r="I955" s="252"/>
      <c r="J955" s="252"/>
      <c r="K955" s="252"/>
      <c r="L955"/>
      <c r="M955"/>
    </row>
    <row r="956" spans="1:13" s="79" customFormat="1" x14ac:dyDescent="0.35">
      <c r="A956" s="251"/>
      <c r="B956" s="22"/>
      <c r="C956" s="252"/>
      <c r="D956" s="252"/>
      <c r="E956" s="252"/>
      <c r="F956" s="252"/>
      <c r="G956" s="252"/>
      <c r="H956" s="252"/>
      <c r="I956" s="252"/>
      <c r="J956" s="252"/>
      <c r="K956" s="252"/>
      <c r="L956"/>
      <c r="M956"/>
    </row>
    <row r="957" spans="1:13" s="79" customFormat="1" x14ac:dyDescent="0.35">
      <c r="A957" s="251"/>
      <c r="B957" s="22"/>
      <c r="C957" s="252"/>
      <c r="D957" s="252"/>
      <c r="E957" s="252"/>
      <c r="F957" s="252"/>
      <c r="G957" s="252"/>
      <c r="H957" s="252"/>
      <c r="I957" s="252"/>
      <c r="J957" s="252"/>
      <c r="K957" s="252"/>
      <c r="L957"/>
      <c r="M957"/>
    </row>
    <row r="958" spans="1:13" s="79" customFormat="1" x14ac:dyDescent="0.35">
      <c r="A958" s="251"/>
      <c r="B958" s="22"/>
      <c r="C958" s="252"/>
      <c r="D958" s="252"/>
      <c r="E958" s="252"/>
      <c r="F958" s="252"/>
      <c r="G958" s="252"/>
      <c r="H958" s="252"/>
      <c r="I958" s="252"/>
      <c r="J958" s="252"/>
      <c r="K958" s="252"/>
      <c r="L958"/>
      <c r="M958"/>
    </row>
    <row r="959" spans="1:13" s="79" customFormat="1" x14ac:dyDescent="0.35">
      <c r="A959" s="251"/>
      <c r="B959" s="22"/>
      <c r="C959" s="252"/>
      <c r="D959" s="252"/>
      <c r="E959" s="252"/>
      <c r="F959" s="252"/>
      <c r="G959" s="252"/>
      <c r="H959" s="252"/>
      <c r="I959" s="252"/>
      <c r="J959" s="252"/>
      <c r="K959" s="252"/>
      <c r="L959"/>
      <c r="M959"/>
    </row>
    <row r="960" spans="1:13" s="79" customFormat="1" x14ac:dyDescent="0.35">
      <c r="A960" s="251"/>
      <c r="B960" s="22"/>
      <c r="C960" s="252"/>
      <c r="D960" s="252"/>
      <c r="E960" s="252"/>
      <c r="F960" s="252"/>
      <c r="G960" s="252"/>
      <c r="H960" s="252"/>
      <c r="I960" s="252"/>
      <c r="J960" s="252"/>
      <c r="K960" s="252"/>
      <c r="L960"/>
      <c r="M960"/>
    </row>
    <row r="961" spans="1:13" s="79" customFormat="1" x14ac:dyDescent="0.35">
      <c r="A961" s="251"/>
      <c r="B961" s="22"/>
      <c r="C961" s="252"/>
      <c r="D961" s="252"/>
      <c r="E961" s="252"/>
      <c r="F961" s="252"/>
      <c r="G961" s="252"/>
      <c r="H961" s="252"/>
      <c r="I961" s="252"/>
      <c r="J961" s="252"/>
      <c r="K961" s="252"/>
      <c r="L961"/>
      <c r="M961"/>
    </row>
    <row r="962" spans="1:13" s="79" customFormat="1" x14ac:dyDescent="0.35">
      <c r="A962" s="251"/>
      <c r="B962" s="22"/>
      <c r="C962" s="252"/>
      <c r="D962" s="252"/>
      <c r="E962" s="252"/>
      <c r="F962" s="252"/>
      <c r="G962" s="252"/>
      <c r="H962" s="252"/>
      <c r="I962" s="252"/>
      <c r="J962" s="252"/>
      <c r="K962" s="252"/>
      <c r="L962"/>
      <c r="M962"/>
    </row>
    <row r="963" spans="1:13" s="79" customFormat="1" x14ac:dyDescent="0.35">
      <c r="A963" s="251"/>
      <c r="B963" s="22"/>
      <c r="C963" s="252"/>
      <c r="D963" s="252"/>
      <c r="E963" s="252"/>
      <c r="F963" s="252"/>
      <c r="G963" s="252"/>
      <c r="H963" s="252"/>
      <c r="I963" s="252"/>
      <c r="J963" s="252"/>
      <c r="K963" s="252"/>
      <c r="L963"/>
      <c r="M963"/>
    </row>
    <row r="964" spans="1:13" s="79" customFormat="1" x14ac:dyDescent="0.35">
      <c r="A964" s="251"/>
      <c r="B964" s="22"/>
      <c r="C964" s="252"/>
      <c r="D964" s="252"/>
      <c r="E964" s="252"/>
      <c r="F964" s="252"/>
      <c r="G964" s="252"/>
      <c r="H964" s="252"/>
      <c r="I964" s="252"/>
      <c r="J964" s="252"/>
      <c r="K964" s="252"/>
      <c r="L964"/>
      <c r="M964"/>
    </row>
    <row r="965" spans="1:13" s="79" customFormat="1" x14ac:dyDescent="0.35">
      <c r="A965" s="251"/>
      <c r="B965" s="22"/>
      <c r="C965" s="252"/>
      <c r="D965" s="252"/>
      <c r="E965" s="252"/>
      <c r="F965" s="252"/>
      <c r="G965" s="252"/>
      <c r="H965" s="252"/>
      <c r="I965" s="252"/>
      <c r="J965" s="252"/>
      <c r="K965" s="252"/>
      <c r="L965"/>
      <c r="M965"/>
    </row>
    <row r="966" spans="1:13" s="79" customFormat="1" x14ac:dyDescent="0.35">
      <c r="A966" s="251"/>
      <c r="B966" s="22"/>
      <c r="C966" s="252"/>
      <c r="D966" s="252"/>
      <c r="E966" s="252"/>
      <c r="F966" s="252"/>
      <c r="G966" s="252"/>
      <c r="H966" s="252"/>
      <c r="I966" s="252"/>
      <c r="J966" s="252"/>
      <c r="K966" s="252"/>
      <c r="L966"/>
      <c r="M966"/>
    </row>
    <row r="967" spans="1:13" s="79" customFormat="1" x14ac:dyDescent="0.35">
      <c r="A967" s="251"/>
      <c r="B967" s="22"/>
      <c r="C967" s="252"/>
      <c r="D967" s="252"/>
      <c r="E967" s="252"/>
      <c r="F967" s="252"/>
      <c r="G967" s="252"/>
      <c r="H967" s="252"/>
      <c r="I967" s="252"/>
      <c r="J967" s="252"/>
      <c r="K967" s="252"/>
      <c r="L967"/>
      <c r="M967"/>
    </row>
    <row r="968" spans="1:13" s="79" customFormat="1" x14ac:dyDescent="0.35">
      <c r="A968" s="251"/>
      <c r="B968" s="22"/>
      <c r="C968" s="252"/>
      <c r="D968" s="252"/>
      <c r="E968" s="252"/>
      <c r="F968" s="252"/>
      <c r="G968" s="252"/>
      <c r="H968" s="252"/>
      <c r="I968" s="252"/>
      <c r="J968" s="252"/>
      <c r="K968" s="252"/>
      <c r="L968"/>
      <c r="M968"/>
    </row>
    <row r="969" spans="1:13" s="79" customFormat="1" x14ac:dyDescent="0.35">
      <c r="A969" s="251"/>
      <c r="B969" s="22"/>
      <c r="C969" s="252"/>
      <c r="D969" s="252"/>
      <c r="E969" s="252"/>
      <c r="F969" s="252"/>
      <c r="G969" s="252"/>
      <c r="H969" s="252"/>
      <c r="I969" s="252"/>
      <c r="J969" s="252"/>
      <c r="K969" s="252"/>
      <c r="L969"/>
      <c r="M969"/>
    </row>
    <row r="970" spans="1:13" s="79" customFormat="1" x14ac:dyDescent="0.35">
      <c r="A970" s="251"/>
      <c r="B970" s="22"/>
      <c r="C970" s="252"/>
      <c r="D970" s="252"/>
      <c r="E970" s="252"/>
      <c r="F970" s="252"/>
      <c r="G970" s="252"/>
      <c r="H970" s="252"/>
      <c r="I970" s="252"/>
      <c r="J970" s="252"/>
      <c r="K970" s="252"/>
      <c r="L970"/>
      <c r="M970"/>
    </row>
    <row r="971" spans="1:13" s="79" customFormat="1" x14ac:dyDescent="0.35">
      <c r="A971" s="251"/>
      <c r="B971" s="22"/>
      <c r="C971" s="252"/>
      <c r="D971" s="252"/>
      <c r="E971" s="252"/>
      <c r="F971" s="252"/>
      <c r="G971" s="252"/>
      <c r="H971" s="252"/>
      <c r="I971" s="252"/>
      <c r="J971" s="252"/>
      <c r="K971" s="252"/>
      <c r="L971"/>
      <c r="M971"/>
    </row>
    <row r="972" spans="1:13" s="79" customFormat="1" x14ac:dyDescent="0.35">
      <c r="A972" s="251"/>
      <c r="B972" s="22"/>
      <c r="C972" s="252"/>
      <c r="D972" s="252"/>
      <c r="E972" s="252"/>
      <c r="F972" s="252"/>
      <c r="G972" s="252"/>
      <c r="H972" s="252"/>
      <c r="I972" s="252"/>
      <c r="J972" s="252"/>
      <c r="K972" s="252"/>
      <c r="L972"/>
      <c r="M972"/>
    </row>
    <row r="973" spans="1:13" s="79" customFormat="1" x14ac:dyDescent="0.35">
      <c r="A973" s="251"/>
      <c r="B973" s="22"/>
      <c r="C973" s="252"/>
      <c r="D973" s="252"/>
      <c r="E973" s="252"/>
      <c r="F973" s="252"/>
      <c r="G973" s="252"/>
      <c r="H973" s="252"/>
      <c r="I973" s="252"/>
      <c r="J973" s="252"/>
      <c r="K973" s="252"/>
      <c r="L973"/>
      <c r="M973"/>
    </row>
    <row r="974" spans="1:13" s="79" customFormat="1" x14ac:dyDescent="0.35">
      <c r="A974" s="251"/>
      <c r="B974" s="22"/>
      <c r="C974" s="252"/>
      <c r="D974" s="252"/>
      <c r="E974" s="252"/>
      <c r="F974" s="252"/>
      <c r="G974" s="252"/>
      <c r="H974" s="252"/>
      <c r="I974" s="252"/>
      <c r="J974" s="252"/>
      <c r="K974" s="252"/>
      <c r="L974"/>
      <c r="M974"/>
    </row>
    <row r="975" spans="1:13" s="79" customFormat="1" x14ac:dyDescent="0.35">
      <c r="A975" s="251"/>
      <c r="B975" s="22"/>
      <c r="C975" s="252"/>
      <c r="D975" s="252"/>
      <c r="E975" s="252"/>
      <c r="F975" s="252"/>
      <c r="G975" s="252"/>
      <c r="H975" s="252"/>
      <c r="I975" s="252"/>
      <c r="J975" s="252"/>
      <c r="K975" s="252"/>
      <c r="L975"/>
      <c r="M975"/>
    </row>
    <row r="976" spans="1:13" s="79" customFormat="1" x14ac:dyDescent="0.35">
      <c r="A976" s="251"/>
      <c r="B976" s="22"/>
      <c r="C976" s="252"/>
      <c r="D976" s="252"/>
      <c r="E976" s="252"/>
      <c r="F976" s="252"/>
      <c r="G976" s="252"/>
      <c r="H976" s="252"/>
      <c r="I976" s="252"/>
      <c r="J976" s="252"/>
      <c r="K976" s="252"/>
      <c r="L976"/>
      <c r="M976"/>
    </row>
    <row r="977" spans="1:13" s="79" customFormat="1" x14ac:dyDescent="0.35">
      <c r="A977" s="251"/>
      <c r="B977" s="22"/>
      <c r="C977" s="252"/>
      <c r="D977" s="252"/>
      <c r="E977" s="252"/>
      <c r="F977" s="252"/>
      <c r="G977" s="252"/>
      <c r="H977" s="252"/>
      <c r="I977" s="252"/>
      <c r="J977" s="252"/>
      <c r="K977" s="252"/>
      <c r="L977"/>
      <c r="M977"/>
    </row>
    <row r="978" spans="1:13" s="79" customFormat="1" x14ac:dyDescent="0.35">
      <c r="A978" s="251"/>
      <c r="B978" s="22"/>
      <c r="C978" s="252"/>
      <c r="D978" s="252"/>
      <c r="E978" s="252"/>
      <c r="F978" s="252"/>
      <c r="G978" s="252"/>
      <c r="H978" s="252"/>
      <c r="I978" s="252"/>
      <c r="J978" s="252"/>
      <c r="K978" s="252"/>
      <c r="L978"/>
      <c r="M978"/>
    </row>
    <row r="979" spans="1:13" s="79" customFormat="1" x14ac:dyDescent="0.35">
      <c r="A979" s="251"/>
      <c r="B979" s="22"/>
      <c r="C979" s="252"/>
      <c r="D979" s="252"/>
      <c r="E979" s="252"/>
      <c r="F979" s="252"/>
      <c r="G979" s="252"/>
      <c r="H979" s="252"/>
      <c r="I979" s="252"/>
      <c r="J979" s="252"/>
      <c r="K979" s="252"/>
      <c r="L979"/>
      <c r="M979"/>
    </row>
    <row r="980" spans="1:13" s="79" customFormat="1" x14ac:dyDescent="0.35">
      <c r="A980" s="251"/>
      <c r="B980" s="22"/>
      <c r="C980" s="252"/>
      <c r="D980" s="252"/>
      <c r="E980" s="252"/>
      <c r="F980" s="252"/>
      <c r="G980" s="252"/>
      <c r="H980" s="252"/>
      <c r="I980" s="252"/>
      <c r="J980" s="252"/>
      <c r="K980" s="252"/>
      <c r="L980"/>
      <c r="M980"/>
    </row>
    <row r="981" spans="1:13" s="79" customFormat="1" x14ac:dyDescent="0.35">
      <c r="A981" s="251"/>
      <c r="B981" s="22"/>
      <c r="C981" s="252"/>
      <c r="D981" s="252"/>
      <c r="E981" s="252"/>
      <c r="F981" s="252"/>
      <c r="G981" s="252"/>
      <c r="H981" s="252"/>
      <c r="I981" s="252"/>
      <c r="J981" s="252"/>
      <c r="K981" s="252"/>
      <c r="L981"/>
      <c r="M981"/>
    </row>
    <row r="982" spans="1:13" s="79" customFormat="1" x14ac:dyDescent="0.35">
      <c r="A982" s="251"/>
      <c r="B982" s="22"/>
      <c r="C982" s="252"/>
      <c r="D982" s="252"/>
      <c r="E982" s="252"/>
      <c r="F982" s="252"/>
      <c r="G982" s="252"/>
      <c r="H982" s="252"/>
      <c r="I982" s="252"/>
      <c r="J982" s="252"/>
      <c r="K982" s="252"/>
      <c r="L982"/>
      <c r="M982"/>
    </row>
    <row r="983" spans="1:13" s="79" customFormat="1" x14ac:dyDescent="0.35">
      <c r="A983" s="251"/>
      <c r="B983" s="22"/>
      <c r="C983" s="252"/>
      <c r="D983" s="252"/>
      <c r="E983" s="252"/>
      <c r="F983" s="252"/>
      <c r="G983" s="252"/>
      <c r="H983" s="252"/>
      <c r="I983" s="252"/>
      <c r="J983" s="252"/>
      <c r="K983" s="252"/>
      <c r="L983"/>
      <c r="M983"/>
    </row>
    <row r="984" spans="1:13" s="79" customFormat="1" x14ac:dyDescent="0.35">
      <c r="A984" s="251"/>
      <c r="B984" s="22"/>
      <c r="C984" s="252"/>
      <c r="D984" s="252"/>
      <c r="E984" s="252"/>
      <c r="F984" s="252"/>
      <c r="G984" s="252"/>
      <c r="H984" s="252"/>
      <c r="I984" s="252"/>
      <c r="J984" s="252"/>
      <c r="K984" s="252"/>
      <c r="L984"/>
      <c r="M984"/>
    </row>
    <row r="985" spans="1:13" s="79" customFormat="1" x14ac:dyDescent="0.35">
      <c r="A985" s="251"/>
      <c r="B985" s="22"/>
      <c r="C985" s="252"/>
      <c r="D985" s="252"/>
      <c r="E985" s="252"/>
      <c r="F985" s="252"/>
      <c r="G985" s="252"/>
      <c r="H985" s="252"/>
      <c r="I985" s="252"/>
      <c r="J985" s="252"/>
      <c r="K985" s="252"/>
      <c r="L985"/>
      <c r="M985"/>
    </row>
    <row r="986" spans="1:13" s="79" customFormat="1" x14ac:dyDescent="0.35">
      <c r="A986" s="251"/>
      <c r="B986" s="22"/>
      <c r="C986" s="252"/>
      <c r="D986" s="252"/>
      <c r="E986" s="252"/>
      <c r="F986" s="252"/>
      <c r="G986" s="252"/>
      <c r="H986" s="252"/>
      <c r="I986" s="252"/>
      <c r="J986" s="252"/>
      <c r="K986" s="252"/>
      <c r="L986"/>
      <c r="M986"/>
    </row>
    <row r="987" spans="1:13" s="79" customFormat="1" x14ac:dyDescent="0.35">
      <c r="A987" s="251"/>
      <c r="B987" s="22"/>
      <c r="C987" s="252"/>
      <c r="D987" s="252"/>
      <c r="E987" s="252"/>
      <c r="F987" s="252"/>
      <c r="G987" s="252"/>
      <c r="H987" s="252"/>
      <c r="I987" s="252"/>
      <c r="J987" s="252"/>
      <c r="K987" s="252"/>
      <c r="L987"/>
      <c r="M987"/>
    </row>
    <row r="988" spans="1:13" s="79" customFormat="1" x14ac:dyDescent="0.35">
      <c r="A988" s="251"/>
      <c r="B988" s="22"/>
      <c r="C988" s="252"/>
      <c r="D988" s="252"/>
      <c r="E988" s="252"/>
      <c r="F988" s="252"/>
      <c r="G988" s="252"/>
      <c r="H988" s="252"/>
      <c r="I988" s="252"/>
      <c r="J988" s="252"/>
      <c r="K988" s="252"/>
      <c r="L988"/>
      <c r="M988"/>
    </row>
    <row r="989" spans="1:13" s="79" customFormat="1" x14ac:dyDescent="0.35">
      <c r="A989" s="251"/>
      <c r="B989" s="22"/>
      <c r="C989" s="252"/>
      <c r="D989" s="252"/>
      <c r="E989" s="252"/>
      <c r="F989" s="252"/>
      <c r="G989" s="252"/>
      <c r="H989" s="252"/>
      <c r="I989" s="252"/>
      <c r="J989" s="252"/>
      <c r="K989" s="252"/>
      <c r="L989"/>
      <c r="M989"/>
    </row>
    <row r="990" spans="1:13" s="79" customFormat="1" x14ac:dyDescent="0.35">
      <c r="A990" s="251"/>
      <c r="B990" s="22"/>
      <c r="C990" s="252"/>
      <c r="D990" s="252"/>
      <c r="E990" s="252"/>
      <c r="F990" s="252"/>
      <c r="G990" s="252"/>
      <c r="H990" s="252"/>
      <c r="I990" s="252"/>
      <c r="J990" s="252"/>
      <c r="K990" s="252"/>
      <c r="L990"/>
      <c r="M990"/>
    </row>
    <row r="991" spans="1:13" s="79" customFormat="1" x14ac:dyDescent="0.35">
      <c r="A991" s="251"/>
      <c r="B991" s="22"/>
      <c r="C991" s="252"/>
      <c r="D991" s="252"/>
      <c r="E991" s="252"/>
      <c r="F991" s="252"/>
      <c r="G991" s="252"/>
      <c r="H991" s="252"/>
      <c r="I991" s="252"/>
      <c r="J991" s="252"/>
      <c r="K991" s="252"/>
      <c r="L991"/>
      <c r="M991"/>
    </row>
    <row r="992" spans="1:13" s="79" customFormat="1" x14ac:dyDescent="0.35">
      <c r="A992" s="251"/>
      <c r="B992" s="22"/>
      <c r="C992" s="252"/>
      <c r="D992" s="252"/>
      <c r="E992" s="252"/>
      <c r="F992" s="252"/>
      <c r="G992" s="252"/>
      <c r="H992" s="252"/>
      <c r="I992" s="252"/>
      <c r="J992" s="252"/>
      <c r="K992" s="252"/>
      <c r="L992"/>
      <c r="M992"/>
    </row>
    <row r="993" spans="1:13" s="79" customFormat="1" x14ac:dyDescent="0.35">
      <c r="A993" s="251"/>
      <c r="B993" s="22"/>
      <c r="C993" s="252"/>
      <c r="D993" s="252"/>
      <c r="E993" s="252"/>
      <c r="F993" s="252"/>
      <c r="G993" s="252"/>
      <c r="H993" s="252"/>
      <c r="I993" s="252"/>
      <c r="J993" s="252"/>
      <c r="K993" s="252"/>
      <c r="L993"/>
      <c r="M993"/>
    </row>
    <row r="994" spans="1:13" s="79" customFormat="1" x14ac:dyDescent="0.35">
      <c r="A994" s="251"/>
      <c r="B994" s="22"/>
      <c r="C994" s="252"/>
      <c r="D994" s="252"/>
      <c r="E994" s="252"/>
      <c r="F994" s="252"/>
      <c r="G994" s="252"/>
      <c r="H994" s="252"/>
      <c r="I994" s="252"/>
      <c r="J994" s="252"/>
      <c r="K994" s="252"/>
      <c r="L994"/>
      <c r="M994"/>
    </row>
    <row r="995" spans="1:13" s="79" customFormat="1" x14ac:dyDescent="0.35">
      <c r="A995" s="251"/>
      <c r="B995" s="22"/>
      <c r="C995" s="252"/>
      <c r="D995" s="252"/>
      <c r="E995" s="252"/>
      <c r="F995" s="252"/>
      <c r="G995" s="252"/>
      <c r="H995" s="252"/>
      <c r="I995" s="252"/>
      <c r="J995" s="252"/>
      <c r="K995" s="252"/>
      <c r="L995"/>
      <c r="M995"/>
    </row>
    <row r="996" spans="1:13" s="79" customFormat="1" x14ac:dyDescent="0.35">
      <c r="A996" s="251"/>
      <c r="B996" s="22"/>
      <c r="C996" s="252"/>
      <c r="D996" s="252"/>
      <c r="E996" s="252"/>
      <c r="F996" s="252"/>
      <c r="G996" s="252"/>
      <c r="H996" s="252"/>
      <c r="I996" s="252"/>
      <c r="J996" s="252"/>
      <c r="K996" s="252"/>
      <c r="L996"/>
      <c r="M996"/>
    </row>
    <row r="997" spans="1:13" s="79" customFormat="1" x14ac:dyDescent="0.35">
      <c r="A997" s="251"/>
      <c r="B997" s="22"/>
      <c r="C997" s="252"/>
      <c r="D997" s="252"/>
      <c r="E997" s="252"/>
      <c r="F997" s="252"/>
      <c r="G997" s="252"/>
      <c r="H997" s="252"/>
      <c r="I997" s="252"/>
      <c r="J997" s="252"/>
      <c r="K997" s="252"/>
      <c r="L997"/>
      <c r="M997"/>
    </row>
    <row r="998" spans="1:13" s="79" customFormat="1" x14ac:dyDescent="0.35">
      <c r="A998" s="251"/>
      <c r="B998" s="22"/>
      <c r="C998" s="252"/>
      <c r="D998" s="252"/>
      <c r="E998" s="252"/>
      <c r="F998" s="252"/>
      <c r="G998" s="252"/>
      <c r="H998" s="252"/>
      <c r="I998" s="252"/>
      <c r="J998" s="252"/>
      <c r="K998" s="252"/>
      <c r="L998"/>
      <c r="M998"/>
    </row>
    <row r="999" spans="1:13" s="79" customFormat="1" x14ac:dyDescent="0.35">
      <c r="A999" s="251"/>
      <c r="B999" s="22"/>
      <c r="C999" s="252"/>
      <c r="D999" s="252"/>
      <c r="E999" s="252"/>
      <c r="F999" s="252"/>
      <c r="G999" s="252"/>
      <c r="H999" s="252"/>
      <c r="I999" s="252"/>
      <c r="J999" s="252"/>
      <c r="K999" s="252"/>
      <c r="L999"/>
      <c r="M999"/>
    </row>
    <row r="1000" spans="1:13" s="79" customFormat="1" x14ac:dyDescent="0.35">
      <c r="A1000" s="251"/>
      <c r="B1000" s="22"/>
      <c r="C1000" s="252"/>
      <c r="D1000" s="252"/>
      <c r="E1000" s="252"/>
      <c r="F1000" s="252"/>
      <c r="G1000" s="252"/>
      <c r="H1000" s="252"/>
      <c r="I1000" s="252"/>
      <c r="J1000" s="252"/>
      <c r="K1000" s="252"/>
      <c r="L1000"/>
      <c r="M1000"/>
    </row>
    <row r="1001" spans="1:13" s="79" customFormat="1" x14ac:dyDescent="0.35">
      <c r="A1001" s="251"/>
      <c r="B1001" s="22"/>
      <c r="C1001" s="252"/>
      <c r="D1001" s="252"/>
      <c r="E1001" s="252"/>
      <c r="F1001" s="252"/>
      <c r="G1001" s="252"/>
      <c r="H1001" s="252"/>
      <c r="I1001" s="252"/>
      <c r="J1001" s="252"/>
      <c r="K1001" s="252"/>
      <c r="L1001"/>
      <c r="M1001"/>
    </row>
    <row r="1002" spans="1:13" s="79" customFormat="1" x14ac:dyDescent="0.35">
      <c r="A1002" s="251"/>
      <c r="B1002" s="22"/>
      <c r="C1002" s="252"/>
      <c r="D1002" s="252"/>
      <c r="E1002" s="252"/>
      <c r="F1002" s="252"/>
      <c r="G1002" s="252"/>
      <c r="H1002" s="252"/>
      <c r="I1002" s="252"/>
      <c r="J1002" s="252"/>
      <c r="K1002" s="252"/>
      <c r="L1002"/>
      <c r="M1002"/>
    </row>
    <row r="1003" spans="1:13" s="79" customFormat="1" x14ac:dyDescent="0.35">
      <c r="A1003" s="251"/>
      <c r="B1003" s="22"/>
      <c r="C1003" s="252"/>
      <c r="D1003" s="252"/>
      <c r="E1003" s="252"/>
      <c r="F1003" s="252"/>
      <c r="G1003" s="252"/>
      <c r="H1003" s="252"/>
      <c r="I1003" s="252"/>
      <c r="J1003" s="252"/>
      <c r="K1003" s="252"/>
      <c r="L1003"/>
      <c r="M1003"/>
    </row>
    <row r="1004" spans="1:13" s="79" customFormat="1" x14ac:dyDescent="0.35">
      <c r="A1004" s="251"/>
      <c r="B1004" s="22"/>
      <c r="C1004" s="252"/>
      <c r="D1004" s="252"/>
      <c r="E1004" s="252"/>
      <c r="F1004" s="252"/>
      <c r="G1004" s="252"/>
      <c r="H1004" s="252"/>
      <c r="I1004" s="252"/>
      <c r="J1004" s="252"/>
      <c r="K1004" s="252"/>
      <c r="L1004"/>
      <c r="M1004"/>
    </row>
    <row r="1005" spans="1:13" s="79" customFormat="1" x14ac:dyDescent="0.35">
      <c r="A1005" s="251"/>
      <c r="B1005" s="22"/>
      <c r="C1005" s="252"/>
      <c r="D1005" s="252"/>
      <c r="E1005" s="252"/>
      <c r="F1005" s="252"/>
      <c r="G1005" s="252"/>
      <c r="H1005" s="252"/>
      <c r="I1005" s="252"/>
      <c r="J1005" s="252"/>
      <c r="K1005" s="252"/>
      <c r="L1005"/>
      <c r="M1005"/>
    </row>
    <row r="1006" spans="1:13" s="79" customFormat="1" x14ac:dyDescent="0.35">
      <c r="A1006" s="251"/>
      <c r="B1006" s="22"/>
      <c r="C1006" s="252"/>
      <c r="D1006" s="252"/>
      <c r="E1006" s="252"/>
      <c r="F1006" s="252"/>
      <c r="G1006" s="252"/>
      <c r="H1006" s="252"/>
      <c r="I1006" s="252"/>
      <c r="J1006" s="252"/>
      <c r="K1006" s="252"/>
      <c r="L1006"/>
      <c r="M1006"/>
    </row>
    <row r="1007" spans="1:13" s="79" customFormat="1" x14ac:dyDescent="0.35">
      <c r="A1007" s="251"/>
      <c r="B1007" s="22"/>
      <c r="C1007" s="252"/>
      <c r="D1007" s="252"/>
      <c r="E1007" s="252"/>
      <c r="F1007" s="252"/>
      <c r="G1007" s="252"/>
      <c r="H1007" s="252"/>
      <c r="I1007" s="252"/>
      <c r="J1007" s="252"/>
      <c r="K1007" s="252"/>
      <c r="L1007"/>
      <c r="M1007"/>
    </row>
    <row r="1008" spans="1:13" s="79" customFormat="1" x14ac:dyDescent="0.35">
      <c r="A1008" s="251"/>
      <c r="B1008" s="22"/>
      <c r="C1008" s="252"/>
      <c r="D1008" s="252"/>
      <c r="E1008" s="252"/>
      <c r="F1008" s="252"/>
      <c r="G1008" s="252"/>
      <c r="H1008" s="252"/>
      <c r="I1008" s="252"/>
      <c r="J1008" s="252"/>
      <c r="K1008" s="252"/>
      <c r="L1008"/>
      <c r="M1008"/>
    </row>
    <row r="1009" spans="1:13" s="79" customFormat="1" x14ac:dyDescent="0.35">
      <c r="A1009" s="251"/>
      <c r="B1009" s="22"/>
      <c r="C1009" s="252"/>
      <c r="D1009" s="252"/>
      <c r="E1009" s="252"/>
      <c r="F1009" s="252"/>
      <c r="G1009" s="252"/>
      <c r="H1009" s="252"/>
      <c r="I1009" s="252"/>
      <c r="J1009" s="252"/>
      <c r="K1009" s="252"/>
      <c r="L1009"/>
      <c r="M1009"/>
    </row>
    <row r="1010" spans="1:13" s="79" customFormat="1" x14ac:dyDescent="0.35">
      <c r="A1010" s="251"/>
      <c r="B1010" s="22"/>
      <c r="C1010" s="252"/>
      <c r="D1010" s="252"/>
      <c r="E1010" s="252"/>
      <c r="F1010" s="252"/>
      <c r="G1010" s="252"/>
      <c r="H1010" s="252"/>
      <c r="I1010" s="252"/>
      <c r="J1010" s="252"/>
      <c r="K1010" s="252"/>
      <c r="L1010"/>
      <c r="M1010"/>
    </row>
    <row r="1011" spans="1:13" s="79" customFormat="1" x14ac:dyDescent="0.35">
      <c r="A1011" s="251"/>
      <c r="B1011" s="22"/>
      <c r="C1011" s="252"/>
      <c r="D1011" s="252"/>
      <c r="E1011" s="252"/>
      <c r="F1011" s="252"/>
      <c r="G1011" s="252"/>
      <c r="H1011" s="252"/>
      <c r="I1011" s="252"/>
      <c r="J1011" s="252"/>
      <c r="K1011" s="252"/>
      <c r="L1011"/>
      <c r="M1011"/>
    </row>
    <row r="1012" spans="1:13" s="79" customFormat="1" x14ac:dyDescent="0.35">
      <c r="A1012" s="251"/>
      <c r="B1012" s="22"/>
      <c r="C1012" s="252"/>
      <c r="D1012" s="252"/>
      <c r="E1012" s="252"/>
      <c r="F1012" s="252"/>
      <c r="G1012" s="252"/>
      <c r="H1012" s="252"/>
      <c r="I1012" s="252"/>
      <c r="J1012" s="252"/>
      <c r="K1012" s="252"/>
      <c r="L1012"/>
      <c r="M1012"/>
    </row>
    <row r="1013" spans="1:13" s="79" customFormat="1" x14ac:dyDescent="0.35">
      <c r="A1013" s="251"/>
      <c r="B1013" s="22"/>
      <c r="C1013" s="252"/>
      <c r="D1013" s="252"/>
      <c r="E1013" s="252"/>
      <c r="F1013" s="252"/>
      <c r="G1013" s="252"/>
      <c r="H1013" s="252"/>
      <c r="I1013" s="252"/>
      <c r="J1013" s="252"/>
      <c r="K1013" s="252"/>
      <c r="L1013"/>
      <c r="M1013"/>
    </row>
    <row r="1014" spans="1:13" s="79" customFormat="1" x14ac:dyDescent="0.35">
      <c r="A1014" s="251"/>
      <c r="B1014" s="22"/>
      <c r="C1014" s="252"/>
      <c r="D1014" s="252"/>
      <c r="E1014" s="252"/>
      <c r="F1014" s="252"/>
      <c r="G1014" s="252"/>
      <c r="H1014" s="252"/>
      <c r="I1014" s="252"/>
      <c r="J1014" s="252"/>
      <c r="K1014" s="252"/>
      <c r="L1014"/>
      <c r="M1014"/>
    </row>
    <row r="1015" spans="1:13" s="79" customFormat="1" x14ac:dyDescent="0.35">
      <c r="A1015" s="251"/>
      <c r="B1015" s="22"/>
      <c r="C1015" s="252"/>
      <c r="D1015" s="252"/>
      <c r="E1015" s="252"/>
      <c r="F1015" s="252"/>
      <c r="G1015" s="252"/>
      <c r="H1015" s="252"/>
      <c r="I1015" s="252"/>
      <c r="J1015" s="252"/>
      <c r="K1015" s="252"/>
      <c r="L1015"/>
      <c r="M1015"/>
    </row>
    <row r="1016" spans="1:13" s="79" customFormat="1" x14ac:dyDescent="0.35">
      <c r="A1016" s="251"/>
      <c r="B1016" s="22"/>
      <c r="C1016" s="252"/>
      <c r="D1016" s="252"/>
      <c r="E1016" s="252"/>
      <c r="F1016" s="252"/>
      <c r="G1016" s="252"/>
      <c r="H1016" s="252"/>
      <c r="I1016" s="252"/>
      <c r="J1016" s="252"/>
      <c r="K1016" s="252"/>
      <c r="L1016"/>
      <c r="M1016"/>
    </row>
    <row r="1017" spans="1:13" s="79" customFormat="1" x14ac:dyDescent="0.35">
      <c r="A1017" s="251"/>
      <c r="B1017" s="22"/>
      <c r="C1017" s="252"/>
      <c r="D1017" s="252"/>
      <c r="E1017" s="252"/>
      <c r="F1017" s="252"/>
      <c r="G1017" s="252"/>
      <c r="H1017" s="252"/>
      <c r="I1017" s="252"/>
      <c r="J1017" s="252"/>
      <c r="K1017" s="252"/>
      <c r="L1017"/>
      <c r="M1017"/>
    </row>
    <row r="1018" spans="1:13" s="79" customFormat="1" x14ac:dyDescent="0.35">
      <c r="A1018" s="251"/>
      <c r="B1018" s="22"/>
      <c r="C1018" s="252"/>
      <c r="D1018" s="252"/>
      <c r="E1018" s="252"/>
      <c r="F1018" s="252"/>
      <c r="G1018" s="252"/>
      <c r="H1018" s="252"/>
      <c r="I1018" s="252"/>
      <c r="J1018" s="252"/>
      <c r="K1018" s="252"/>
      <c r="L1018"/>
      <c r="M1018"/>
    </row>
    <row r="1019" spans="1:13" s="79" customFormat="1" x14ac:dyDescent="0.35">
      <c r="A1019" s="251"/>
      <c r="B1019" s="22"/>
      <c r="C1019" s="252"/>
      <c r="D1019" s="252"/>
      <c r="E1019" s="252"/>
      <c r="F1019" s="252"/>
      <c r="G1019" s="252"/>
      <c r="H1019" s="252"/>
      <c r="I1019" s="252"/>
      <c r="J1019" s="252"/>
      <c r="K1019" s="252"/>
      <c r="L1019"/>
      <c r="M1019"/>
    </row>
    <row r="1020" spans="1:13" s="79" customFormat="1" x14ac:dyDescent="0.35">
      <c r="A1020" s="251"/>
      <c r="B1020" s="22"/>
      <c r="C1020" s="252"/>
      <c r="D1020" s="252"/>
      <c r="E1020" s="252"/>
      <c r="F1020" s="252"/>
      <c r="G1020" s="252"/>
      <c r="H1020" s="252"/>
      <c r="I1020" s="252"/>
      <c r="J1020" s="252"/>
      <c r="K1020" s="252"/>
      <c r="L1020"/>
      <c r="M1020"/>
    </row>
    <row r="1021" spans="1:13" s="79" customFormat="1" x14ac:dyDescent="0.35">
      <c r="A1021" s="251"/>
      <c r="B1021" s="22"/>
      <c r="C1021" s="252"/>
      <c r="D1021" s="252"/>
      <c r="E1021" s="252"/>
      <c r="F1021" s="252"/>
      <c r="G1021" s="252"/>
      <c r="H1021" s="252"/>
      <c r="I1021" s="252"/>
      <c r="J1021" s="252"/>
      <c r="K1021" s="252"/>
      <c r="L1021"/>
      <c r="M1021"/>
    </row>
    <row r="1022" spans="1:13" s="79" customFormat="1" x14ac:dyDescent="0.35">
      <c r="A1022" s="251"/>
      <c r="B1022" s="22"/>
      <c r="C1022" s="252"/>
      <c r="D1022" s="252"/>
      <c r="E1022" s="252"/>
      <c r="F1022" s="252"/>
      <c r="G1022" s="252"/>
      <c r="H1022" s="252"/>
      <c r="I1022" s="252"/>
      <c r="J1022" s="252"/>
      <c r="K1022" s="252"/>
      <c r="L1022"/>
      <c r="M1022"/>
    </row>
    <row r="1023" spans="1:13" s="79" customFormat="1" x14ac:dyDescent="0.35">
      <c r="A1023" s="251"/>
      <c r="B1023" s="22"/>
      <c r="C1023" s="252"/>
      <c r="D1023" s="252"/>
      <c r="E1023" s="252"/>
      <c r="F1023" s="252"/>
      <c r="G1023" s="252"/>
      <c r="H1023" s="252"/>
      <c r="I1023" s="252"/>
      <c r="J1023" s="252"/>
      <c r="K1023" s="252"/>
      <c r="L1023"/>
      <c r="M1023"/>
    </row>
    <row r="1024" spans="1:13" s="79" customFormat="1" x14ac:dyDescent="0.35">
      <c r="A1024" s="251"/>
      <c r="B1024" s="22"/>
      <c r="C1024" s="252"/>
      <c r="D1024" s="252"/>
      <c r="E1024" s="252"/>
      <c r="F1024" s="252"/>
      <c r="G1024" s="252"/>
      <c r="H1024" s="252"/>
      <c r="I1024" s="252"/>
      <c r="J1024" s="252"/>
      <c r="K1024" s="252"/>
      <c r="L1024"/>
      <c r="M1024"/>
    </row>
    <row r="1025" spans="1:13" s="79" customFormat="1" x14ac:dyDescent="0.35">
      <c r="A1025" s="251"/>
      <c r="B1025" s="22"/>
      <c r="C1025" s="252"/>
      <c r="D1025" s="252"/>
      <c r="E1025" s="252"/>
      <c r="F1025" s="252"/>
      <c r="G1025" s="252"/>
      <c r="H1025" s="252"/>
      <c r="I1025" s="252"/>
      <c r="J1025" s="252"/>
      <c r="K1025" s="252"/>
      <c r="L1025"/>
      <c r="M1025"/>
    </row>
    <row r="1026" spans="1:13" s="79" customFormat="1" x14ac:dyDescent="0.35">
      <c r="A1026" s="251"/>
      <c r="B1026" s="22"/>
      <c r="C1026" s="252"/>
      <c r="D1026" s="252"/>
      <c r="E1026" s="252"/>
      <c r="F1026" s="252"/>
      <c r="G1026" s="252"/>
      <c r="H1026" s="252"/>
      <c r="I1026" s="252"/>
      <c r="J1026" s="252"/>
      <c r="K1026" s="252"/>
      <c r="L1026"/>
      <c r="M1026"/>
    </row>
    <row r="1027" spans="1:13" s="79" customFormat="1" x14ac:dyDescent="0.35">
      <c r="A1027" s="251"/>
      <c r="B1027" s="22"/>
      <c r="C1027" s="252"/>
      <c r="D1027" s="252"/>
      <c r="E1027" s="252"/>
      <c r="F1027" s="252"/>
      <c r="G1027" s="252"/>
      <c r="H1027" s="252"/>
      <c r="I1027" s="252"/>
      <c r="J1027" s="252"/>
      <c r="K1027" s="252"/>
      <c r="L1027"/>
      <c r="M1027"/>
    </row>
    <row r="1028" spans="1:13" s="79" customFormat="1" x14ac:dyDescent="0.35">
      <c r="A1028" s="251"/>
      <c r="B1028" s="22"/>
      <c r="C1028" s="252"/>
      <c r="D1028" s="252"/>
      <c r="E1028" s="252"/>
      <c r="F1028" s="252"/>
      <c r="G1028" s="252"/>
      <c r="H1028" s="252"/>
      <c r="I1028" s="252"/>
      <c r="J1028" s="252"/>
      <c r="K1028" s="252"/>
      <c r="L1028"/>
      <c r="M1028"/>
    </row>
    <row r="1029" spans="1:13" s="79" customFormat="1" x14ac:dyDescent="0.35">
      <c r="A1029" s="251"/>
      <c r="B1029" s="22"/>
      <c r="C1029" s="252"/>
      <c r="D1029" s="252"/>
      <c r="E1029" s="252"/>
      <c r="F1029" s="252"/>
      <c r="G1029" s="252"/>
      <c r="H1029" s="252"/>
      <c r="I1029" s="252"/>
      <c r="J1029" s="252"/>
      <c r="K1029" s="252"/>
      <c r="L1029"/>
      <c r="M1029"/>
    </row>
    <row r="1030" spans="1:13" s="79" customFormat="1" x14ac:dyDescent="0.35">
      <c r="A1030" s="251"/>
      <c r="B1030" s="22"/>
      <c r="C1030" s="252"/>
      <c r="D1030" s="252"/>
      <c r="E1030" s="252"/>
      <c r="F1030" s="252"/>
      <c r="G1030" s="252"/>
      <c r="H1030" s="252"/>
      <c r="I1030" s="252"/>
      <c r="J1030" s="252"/>
      <c r="K1030" s="252"/>
      <c r="L1030"/>
      <c r="M1030"/>
    </row>
    <row r="1031" spans="1:13" s="79" customFormat="1" x14ac:dyDescent="0.35">
      <c r="A1031" s="251"/>
      <c r="B1031" s="22"/>
      <c r="C1031" s="252"/>
      <c r="D1031" s="252"/>
      <c r="E1031" s="252"/>
      <c r="F1031" s="252"/>
      <c r="G1031" s="252"/>
      <c r="H1031" s="252"/>
      <c r="I1031" s="252"/>
      <c r="J1031" s="252"/>
      <c r="K1031" s="252"/>
      <c r="L1031"/>
      <c r="M1031"/>
    </row>
    <row r="1032" spans="1:13" s="79" customFormat="1" x14ac:dyDescent="0.35">
      <c r="A1032" s="251"/>
      <c r="B1032" s="22"/>
      <c r="C1032" s="252"/>
      <c r="D1032" s="252"/>
      <c r="E1032" s="252"/>
      <c r="F1032" s="252"/>
      <c r="G1032" s="252"/>
      <c r="H1032" s="252"/>
      <c r="I1032" s="252"/>
      <c r="J1032" s="252"/>
      <c r="K1032" s="252"/>
      <c r="L1032"/>
      <c r="M1032"/>
    </row>
    <row r="1033" spans="1:13" s="79" customFormat="1" x14ac:dyDescent="0.35">
      <c r="A1033" s="251"/>
      <c r="B1033" s="22"/>
      <c r="C1033" s="252"/>
      <c r="D1033" s="252"/>
      <c r="E1033" s="252"/>
      <c r="F1033" s="252"/>
      <c r="G1033" s="252"/>
      <c r="H1033" s="252"/>
      <c r="I1033" s="252"/>
      <c r="J1033" s="252"/>
      <c r="K1033" s="252"/>
      <c r="L1033"/>
      <c r="M1033"/>
    </row>
    <row r="1034" spans="1:13" s="79" customFormat="1" x14ac:dyDescent="0.35">
      <c r="A1034" s="251"/>
      <c r="B1034" s="22"/>
      <c r="C1034" s="252"/>
      <c r="D1034" s="252"/>
      <c r="E1034" s="252"/>
      <c r="F1034" s="252"/>
      <c r="G1034" s="252"/>
      <c r="H1034" s="252"/>
      <c r="I1034" s="252"/>
      <c r="J1034" s="252"/>
      <c r="K1034" s="252"/>
      <c r="L1034"/>
      <c r="M1034"/>
    </row>
    <row r="1035" spans="1:13" s="79" customFormat="1" x14ac:dyDescent="0.35">
      <c r="A1035" s="251"/>
      <c r="B1035" s="22"/>
      <c r="C1035" s="252"/>
      <c r="D1035" s="252"/>
      <c r="E1035" s="252"/>
      <c r="F1035" s="252"/>
      <c r="G1035" s="252"/>
      <c r="H1035" s="252"/>
      <c r="I1035" s="252"/>
      <c r="J1035" s="252"/>
      <c r="K1035" s="252"/>
      <c r="L1035"/>
      <c r="M1035"/>
    </row>
    <row r="1036" spans="1:13" s="79" customFormat="1" x14ac:dyDescent="0.35">
      <c r="A1036" s="251"/>
      <c r="B1036" s="22"/>
      <c r="C1036" s="252"/>
      <c r="D1036" s="252"/>
      <c r="E1036" s="252"/>
      <c r="F1036" s="252"/>
      <c r="G1036" s="252"/>
      <c r="H1036" s="252"/>
      <c r="I1036" s="252"/>
      <c r="J1036" s="252"/>
      <c r="K1036" s="252"/>
      <c r="L1036"/>
      <c r="M1036"/>
    </row>
    <row r="1037" spans="1:13" s="79" customFormat="1" x14ac:dyDescent="0.35">
      <c r="A1037" s="251"/>
      <c r="B1037" s="22"/>
      <c r="C1037" s="252"/>
      <c r="D1037" s="252"/>
      <c r="E1037" s="252"/>
      <c r="F1037" s="252"/>
      <c r="G1037" s="252"/>
      <c r="H1037" s="252"/>
      <c r="I1037" s="252"/>
      <c r="J1037" s="252"/>
      <c r="K1037" s="252"/>
      <c r="L1037"/>
      <c r="M1037"/>
    </row>
    <row r="1038" spans="1:13" s="79" customFormat="1" x14ac:dyDescent="0.35">
      <c r="A1038" s="251"/>
      <c r="B1038" s="22"/>
      <c r="C1038" s="252"/>
      <c r="D1038" s="252"/>
      <c r="E1038" s="252"/>
      <c r="F1038" s="252"/>
      <c r="G1038" s="252"/>
      <c r="H1038" s="252"/>
      <c r="I1038" s="252"/>
      <c r="J1038" s="252"/>
      <c r="K1038" s="252"/>
      <c r="L1038"/>
      <c r="M1038"/>
    </row>
    <row r="1039" spans="1:13" s="79" customFormat="1" x14ac:dyDescent="0.35">
      <c r="A1039" s="251"/>
      <c r="B1039" s="22"/>
      <c r="C1039" s="252"/>
      <c r="D1039" s="252"/>
      <c r="E1039" s="252"/>
      <c r="F1039" s="252"/>
      <c r="G1039" s="252"/>
      <c r="H1039" s="252"/>
      <c r="I1039" s="252"/>
      <c r="J1039" s="252"/>
      <c r="K1039" s="252"/>
      <c r="L1039"/>
      <c r="M1039"/>
    </row>
    <row r="1040" spans="1:13" s="79" customFormat="1" x14ac:dyDescent="0.35">
      <c r="A1040" s="251"/>
      <c r="B1040" s="22"/>
      <c r="C1040" s="252"/>
      <c r="D1040" s="252"/>
      <c r="E1040" s="252"/>
      <c r="F1040" s="252"/>
      <c r="G1040" s="252"/>
      <c r="H1040" s="252"/>
      <c r="I1040" s="252"/>
      <c r="J1040" s="252"/>
      <c r="K1040" s="252"/>
      <c r="L1040"/>
      <c r="M1040"/>
    </row>
    <row r="1041" spans="1:13" s="79" customFormat="1" x14ac:dyDescent="0.35">
      <c r="A1041" s="251"/>
      <c r="B1041" s="22"/>
      <c r="C1041" s="252"/>
      <c r="D1041" s="252"/>
      <c r="E1041" s="252"/>
      <c r="F1041" s="252"/>
      <c r="G1041" s="252"/>
      <c r="H1041" s="252"/>
      <c r="I1041" s="252"/>
      <c r="J1041" s="252"/>
      <c r="K1041" s="252"/>
      <c r="L1041"/>
      <c r="M1041"/>
    </row>
    <row r="1042" spans="1:13" s="79" customFormat="1" x14ac:dyDescent="0.35">
      <c r="A1042" s="251"/>
      <c r="B1042" s="22"/>
      <c r="C1042" s="252"/>
      <c r="D1042" s="252"/>
      <c r="E1042" s="252"/>
      <c r="F1042" s="252"/>
      <c r="G1042" s="252"/>
      <c r="H1042" s="252"/>
      <c r="I1042" s="252"/>
      <c r="J1042" s="252"/>
      <c r="K1042" s="252"/>
      <c r="L1042"/>
      <c r="M1042"/>
    </row>
    <row r="1043" spans="1:13" s="79" customFormat="1" x14ac:dyDescent="0.35">
      <c r="A1043" s="251"/>
      <c r="B1043" s="22"/>
      <c r="C1043" s="252"/>
      <c r="D1043" s="252"/>
      <c r="E1043" s="252"/>
      <c r="F1043" s="252"/>
      <c r="G1043" s="252"/>
      <c r="H1043" s="252"/>
      <c r="I1043" s="252"/>
      <c r="J1043" s="252"/>
      <c r="K1043" s="252"/>
      <c r="L1043"/>
      <c r="M1043"/>
    </row>
    <row r="1044" spans="1:13" s="79" customFormat="1" x14ac:dyDescent="0.35">
      <c r="A1044" s="251"/>
      <c r="B1044" s="22"/>
      <c r="C1044" s="252"/>
      <c r="D1044" s="252"/>
      <c r="E1044" s="252"/>
      <c r="F1044" s="252"/>
      <c r="G1044" s="252"/>
      <c r="H1044" s="252"/>
      <c r="I1044" s="252"/>
      <c r="J1044" s="252"/>
      <c r="K1044" s="252"/>
      <c r="L1044"/>
      <c r="M1044"/>
    </row>
    <row r="1045" spans="1:13" s="79" customFormat="1" x14ac:dyDescent="0.35">
      <c r="A1045" s="251"/>
      <c r="B1045" s="22"/>
      <c r="C1045" s="252"/>
      <c r="D1045" s="252"/>
      <c r="E1045" s="252"/>
      <c r="F1045" s="252"/>
      <c r="G1045" s="252"/>
      <c r="H1045" s="252"/>
      <c r="I1045" s="252"/>
      <c r="J1045" s="252"/>
      <c r="K1045" s="252"/>
      <c r="L1045"/>
      <c r="M1045"/>
    </row>
    <row r="1046" spans="1:13" s="79" customFormat="1" x14ac:dyDescent="0.35">
      <c r="A1046" s="251"/>
      <c r="B1046" s="22"/>
      <c r="C1046" s="252"/>
      <c r="D1046" s="252"/>
      <c r="E1046" s="252"/>
      <c r="F1046" s="252"/>
      <c r="G1046" s="252"/>
      <c r="H1046" s="252"/>
      <c r="I1046" s="252"/>
      <c r="J1046" s="252"/>
      <c r="K1046" s="252"/>
      <c r="L1046"/>
      <c r="M1046"/>
    </row>
    <row r="1047" spans="1:13" s="79" customFormat="1" x14ac:dyDescent="0.35">
      <c r="A1047" s="251"/>
      <c r="B1047" s="22"/>
      <c r="C1047" s="252"/>
      <c r="D1047" s="252"/>
      <c r="E1047" s="252"/>
      <c r="F1047" s="252"/>
      <c r="G1047" s="252"/>
      <c r="H1047" s="252"/>
      <c r="I1047" s="252"/>
      <c r="J1047" s="252"/>
      <c r="K1047" s="252"/>
      <c r="L1047"/>
      <c r="M1047"/>
    </row>
    <row r="1048" spans="1:13" s="79" customFormat="1" x14ac:dyDescent="0.35">
      <c r="A1048" s="251"/>
      <c r="B1048" s="22"/>
      <c r="C1048" s="252"/>
      <c r="D1048" s="252"/>
      <c r="E1048" s="252"/>
      <c r="F1048" s="252"/>
      <c r="G1048" s="252"/>
      <c r="H1048" s="252"/>
      <c r="I1048" s="252"/>
      <c r="J1048" s="252"/>
      <c r="K1048" s="252"/>
      <c r="L1048"/>
      <c r="M1048"/>
    </row>
    <row r="1049" spans="1:13" s="79" customFormat="1" x14ac:dyDescent="0.35">
      <c r="A1049" s="251"/>
      <c r="B1049" s="22"/>
      <c r="C1049" s="252"/>
      <c r="D1049" s="252"/>
      <c r="E1049" s="252"/>
      <c r="F1049" s="252"/>
      <c r="G1049" s="252"/>
      <c r="H1049" s="252"/>
      <c r="I1049" s="252"/>
      <c r="J1049" s="252"/>
      <c r="K1049" s="252"/>
      <c r="L1049"/>
      <c r="M1049"/>
    </row>
    <row r="1050" spans="1:13" s="79" customFormat="1" x14ac:dyDescent="0.35">
      <c r="A1050" s="251"/>
      <c r="B1050" s="22"/>
      <c r="C1050" s="252"/>
      <c r="D1050" s="252"/>
      <c r="E1050" s="252"/>
      <c r="F1050" s="252"/>
      <c r="G1050" s="252"/>
      <c r="H1050" s="252"/>
      <c r="I1050" s="252"/>
      <c r="J1050" s="252"/>
      <c r="K1050" s="252"/>
      <c r="L1050"/>
      <c r="M1050"/>
    </row>
    <row r="1051" spans="1:13" s="79" customFormat="1" x14ac:dyDescent="0.35">
      <c r="A1051" s="251"/>
      <c r="B1051" s="22"/>
      <c r="C1051" s="252"/>
      <c r="D1051" s="252"/>
      <c r="E1051" s="252"/>
      <c r="F1051" s="252"/>
      <c r="G1051" s="252"/>
      <c r="H1051" s="252"/>
      <c r="I1051" s="252"/>
      <c r="J1051" s="252"/>
      <c r="K1051" s="252"/>
      <c r="L1051"/>
      <c r="M1051"/>
    </row>
    <row r="1052" spans="1:13" s="79" customFormat="1" x14ac:dyDescent="0.35">
      <c r="A1052" s="251"/>
      <c r="B1052" s="22"/>
      <c r="C1052" s="252"/>
      <c r="D1052" s="252"/>
      <c r="E1052" s="252"/>
      <c r="F1052" s="252"/>
      <c r="G1052" s="252"/>
      <c r="H1052" s="252"/>
      <c r="I1052" s="252"/>
      <c r="J1052" s="252"/>
      <c r="K1052" s="252"/>
      <c r="L1052"/>
      <c r="M1052"/>
    </row>
    <row r="1053" spans="1:13" s="79" customFormat="1" x14ac:dyDescent="0.35">
      <c r="A1053" s="251"/>
      <c r="B1053" s="22"/>
      <c r="C1053" s="252"/>
      <c r="D1053" s="252"/>
      <c r="E1053" s="252"/>
      <c r="F1053" s="252"/>
      <c r="G1053" s="252"/>
      <c r="H1053" s="252"/>
      <c r="I1053" s="252"/>
      <c r="J1053" s="252"/>
      <c r="K1053" s="252"/>
      <c r="L1053"/>
      <c r="M1053"/>
    </row>
    <row r="1054" spans="1:13" s="79" customFormat="1" x14ac:dyDescent="0.35">
      <c r="A1054" s="251"/>
      <c r="B1054" s="22"/>
      <c r="C1054" s="252"/>
      <c r="D1054" s="252"/>
      <c r="E1054" s="252"/>
      <c r="F1054" s="252"/>
      <c r="G1054" s="252"/>
      <c r="H1054" s="252"/>
      <c r="I1054" s="252"/>
      <c r="J1054" s="252"/>
      <c r="K1054" s="252"/>
      <c r="L1054"/>
      <c r="M1054"/>
    </row>
    <row r="1055" spans="1:13" s="79" customFormat="1" x14ac:dyDescent="0.35">
      <c r="A1055" s="251"/>
      <c r="B1055" s="22"/>
      <c r="C1055" s="252"/>
      <c r="D1055" s="252"/>
      <c r="E1055" s="252"/>
      <c r="F1055" s="252"/>
      <c r="G1055" s="252"/>
      <c r="H1055" s="252"/>
      <c r="I1055" s="252"/>
      <c r="J1055" s="252"/>
      <c r="K1055" s="252"/>
      <c r="L1055"/>
      <c r="M1055"/>
    </row>
    <row r="1056" spans="1:13" s="79" customFormat="1" x14ac:dyDescent="0.35">
      <c r="A1056" s="251"/>
      <c r="B1056" s="22"/>
      <c r="C1056" s="252"/>
      <c r="D1056" s="252"/>
      <c r="E1056" s="252"/>
      <c r="F1056" s="252"/>
      <c r="G1056" s="252"/>
      <c r="H1056" s="252"/>
      <c r="I1056" s="252"/>
      <c r="J1056" s="252"/>
      <c r="K1056" s="252"/>
      <c r="L1056"/>
      <c r="M1056"/>
    </row>
    <row r="1057" spans="1:13" s="79" customFormat="1" x14ac:dyDescent="0.35">
      <c r="A1057" s="251"/>
      <c r="B1057" s="22"/>
      <c r="C1057" s="252"/>
      <c r="D1057" s="252"/>
      <c r="E1057" s="252"/>
      <c r="F1057" s="252"/>
      <c r="G1057" s="252"/>
      <c r="H1057" s="252"/>
      <c r="I1057" s="252"/>
      <c r="J1057" s="252"/>
      <c r="K1057" s="252"/>
      <c r="L1057"/>
      <c r="M1057"/>
    </row>
    <row r="1058" spans="1:13" s="79" customFormat="1" x14ac:dyDescent="0.35">
      <c r="A1058" s="251"/>
      <c r="B1058" s="22"/>
      <c r="C1058" s="252"/>
      <c r="D1058" s="252"/>
      <c r="E1058" s="252"/>
      <c r="F1058" s="252"/>
      <c r="G1058" s="252"/>
      <c r="H1058" s="252"/>
      <c r="I1058" s="252"/>
      <c r="J1058" s="252"/>
      <c r="K1058" s="252"/>
      <c r="L1058"/>
      <c r="M1058"/>
    </row>
    <row r="1059" spans="1:13" s="79" customFormat="1" x14ac:dyDescent="0.35">
      <c r="A1059" s="251"/>
      <c r="B1059" s="22"/>
      <c r="C1059" s="252"/>
      <c r="D1059" s="252"/>
      <c r="E1059" s="252"/>
      <c r="F1059" s="252"/>
      <c r="G1059" s="252"/>
      <c r="H1059" s="252"/>
      <c r="I1059" s="252"/>
      <c r="J1059" s="252"/>
      <c r="K1059" s="252"/>
      <c r="L1059"/>
      <c r="M1059"/>
    </row>
    <row r="1060" spans="1:13" s="79" customFormat="1" x14ac:dyDescent="0.35">
      <c r="A1060" s="251"/>
      <c r="B1060" s="22"/>
      <c r="C1060" s="252"/>
      <c r="D1060" s="252"/>
      <c r="E1060" s="252"/>
      <c r="F1060" s="252"/>
      <c r="G1060" s="252"/>
      <c r="H1060" s="252"/>
      <c r="I1060" s="252"/>
      <c r="J1060" s="252"/>
      <c r="K1060" s="252"/>
      <c r="L1060"/>
      <c r="M1060"/>
    </row>
    <row r="1061" spans="1:13" s="79" customFormat="1" x14ac:dyDescent="0.35">
      <c r="A1061" s="251"/>
      <c r="B1061" s="22"/>
      <c r="C1061" s="252"/>
      <c r="D1061" s="252"/>
      <c r="E1061" s="252"/>
      <c r="F1061" s="252"/>
      <c r="G1061" s="252"/>
      <c r="H1061" s="252"/>
      <c r="I1061" s="252"/>
      <c r="J1061" s="252"/>
      <c r="K1061" s="252"/>
      <c r="L1061"/>
      <c r="M1061"/>
    </row>
    <row r="1062" spans="1:13" s="79" customFormat="1" x14ac:dyDescent="0.35">
      <c r="A1062" s="251"/>
      <c r="B1062" s="22"/>
      <c r="C1062" s="252"/>
      <c r="D1062" s="252"/>
      <c r="E1062" s="252"/>
      <c r="F1062" s="252"/>
      <c r="G1062" s="252"/>
      <c r="H1062" s="252"/>
      <c r="I1062" s="252"/>
      <c r="J1062" s="252"/>
      <c r="K1062" s="252"/>
      <c r="L1062"/>
      <c r="M1062"/>
    </row>
    <row r="1063" spans="1:13" s="79" customFormat="1" x14ac:dyDescent="0.35">
      <c r="A1063" s="251"/>
      <c r="B1063" s="22"/>
      <c r="C1063" s="252"/>
      <c r="D1063" s="252"/>
      <c r="E1063" s="252"/>
      <c r="F1063" s="252"/>
      <c r="G1063" s="252"/>
      <c r="H1063" s="252"/>
      <c r="I1063" s="252"/>
      <c r="J1063" s="252"/>
      <c r="K1063" s="252"/>
      <c r="L1063"/>
      <c r="M1063"/>
    </row>
    <row r="1064" spans="1:13" s="79" customFormat="1" x14ac:dyDescent="0.35">
      <c r="A1064" s="251"/>
      <c r="B1064" s="22"/>
      <c r="C1064" s="252"/>
      <c r="D1064" s="252"/>
      <c r="E1064" s="252"/>
      <c r="F1064" s="252"/>
      <c r="G1064" s="252"/>
      <c r="H1064" s="252"/>
      <c r="I1064" s="252"/>
      <c r="J1064" s="252"/>
      <c r="K1064" s="252"/>
      <c r="L1064"/>
      <c r="M1064"/>
    </row>
    <row r="1065" spans="1:13" s="79" customFormat="1" x14ac:dyDescent="0.35">
      <c r="A1065" s="251"/>
      <c r="B1065" s="22"/>
      <c r="C1065" s="252"/>
      <c r="D1065" s="252"/>
      <c r="E1065" s="252"/>
      <c r="F1065" s="252"/>
      <c r="G1065" s="252"/>
      <c r="H1065" s="252"/>
      <c r="I1065" s="252"/>
      <c r="J1065" s="252"/>
      <c r="K1065" s="252"/>
      <c r="L1065"/>
      <c r="M1065"/>
    </row>
    <row r="1066" spans="1:13" s="79" customFormat="1" x14ac:dyDescent="0.35">
      <c r="A1066" s="251"/>
      <c r="B1066" s="22"/>
      <c r="C1066" s="252"/>
      <c r="D1066" s="252"/>
      <c r="E1066" s="252"/>
      <c r="F1066" s="252"/>
      <c r="G1066" s="252"/>
      <c r="H1066" s="252"/>
      <c r="I1066" s="252"/>
      <c r="J1066" s="252"/>
      <c r="K1066" s="252"/>
      <c r="L1066"/>
      <c r="M1066"/>
    </row>
    <row r="1067" spans="1:13" s="79" customFormat="1" x14ac:dyDescent="0.35">
      <c r="A1067" s="251"/>
      <c r="B1067" s="22"/>
      <c r="C1067" s="252"/>
      <c r="D1067" s="252"/>
      <c r="E1067" s="252"/>
      <c r="F1067" s="252"/>
      <c r="G1067" s="252"/>
      <c r="H1067" s="252"/>
      <c r="I1067" s="252"/>
      <c r="J1067" s="252"/>
      <c r="K1067" s="252"/>
      <c r="L1067"/>
      <c r="M1067"/>
    </row>
    <row r="1068" spans="1:13" s="79" customFormat="1" x14ac:dyDescent="0.35">
      <c r="A1068" s="251"/>
      <c r="B1068" s="22"/>
      <c r="C1068" s="252"/>
      <c r="D1068" s="252"/>
      <c r="E1068" s="252"/>
      <c r="F1068" s="252"/>
      <c r="G1068" s="252"/>
      <c r="H1068" s="252"/>
      <c r="I1068" s="252"/>
      <c r="J1068" s="252"/>
      <c r="K1068" s="252"/>
      <c r="L1068"/>
      <c r="M1068"/>
    </row>
    <row r="1069" spans="1:13" s="79" customFormat="1" x14ac:dyDescent="0.35">
      <c r="A1069" s="251"/>
      <c r="B1069" s="22"/>
      <c r="C1069" s="252"/>
      <c r="D1069" s="252"/>
      <c r="E1069" s="252"/>
      <c r="F1069" s="252"/>
      <c r="G1069" s="252"/>
      <c r="H1069" s="252"/>
      <c r="I1069" s="252"/>
      <c r="J1069" s="252"/>
      <c r="K1069" s="252"/>
      <c r="L1069"/>
      <c r="M1069"/>
    </row>
    <row r="1070" spans="1:13" s="79" customFormat="1" x14ac:dyDescent="0.35">
      <c r="A1070" s="251"/>
      <c r="B1070" s="22"/>
      <c r="C1070" s="252"/>
      <c r="D1070" s="252"/>
      <c r="E1070" s="252"/>
      <c r="F1070" s="252"/>
      <c r="G1070" s="252"/>
      <c r="H1070" s="252"/>
      <c r="I1070" s="252"/>
      <c r="J1070" s="252"/>
      <c r="K1070" s="252"/>
      <c r="L1070"/>
      <c r="M1070"/>
    </row>
    <row r="1071" spans="1:13" s="79" customFormat="1" x14ac:dyDescent="0.35">
      <c r="A1071" s="251"/>
      <c r="B1071" s="22"/>
      <c r="C1071" s="252"/>
      <c r="D1071" s="252"/>
      <c r="E1071" s="252"/>
      <c r="F1071" s="252"/>
      <c r="G1071" s="252"/>
      <c r="H1071" s="252"/>
      <c r="I1071" s="252"/>
      <c r="J1071" s="252"/>
      <c r="K1071" s="252"/>
      <c r="L1071"/>
      <c r="M1071"/>
    </row>
    <row r="1072" spans="1:13" s="79" customFormat="1" x14ac:dyDescent="0.35">
      <c r="A1072" s="251"/>
      <c r="B1072" s="22"/>
      <c r="C1072" s="252"/>
      <c r="D1072" s="252"/>
      <c r="E1072" s="252"/>
      <c r="F1072" s="252"/>
      <c r="G1072" s="252"/>
      <c r="H1072" s="252"/>
      <c r="I1072" s="252"/>
      <c r="J1072" s="252"/>
      <c r="K1072" s="252"/>
      <c r="L1072"/>
      <c r="M1072"/>
    </row>
    <row r="1073" spans="1:13" s="79" customFormat="1" x14ac:dyDescent="0.35">
      <c r="A1073" s="251"/>
      <c r="B1073" s="22"/>
      <c r="C1073" s="252"/>
      <c r="D1073" s="252"/>
      <c r="E1073" s="252"/>
      <c r="F1073" s="252"/>
      <c r="G1073" s="252"/>
      <c r="H1073" s="252"/>
      <c r="I1073" s="252"/>
      <c r="J1073" s="252"/>
      <c r="K1073" s="252"/>
      <c r="L1073"/>
      <c r="M1073"/>
    </row>
    <row r="1074" spans="1:13" s="79" customFormat="1" x14ac:dyDescent="0.35">
      <c r="A1074" s="251"/>
      <c r="B1074" s="22"/>
      <c r="C1074" s="252"/>
      <c r="D1074" s="252"/>
      <c r="E1074" s="252"/>
      <c r="F1074" s="252"/>
      <c r="G1074" s="252"/>
      <c r="H1074" s="252"/>
      <c r="I1074" s="252"/>
      <c r="J1074" s="252"/>
      <c r="K1074" s="252"/>
      <c r="L1074"/>
      <c r="M1074"/>
    </row>
    <row r="1075" spans="1:13" s="79" customFormat="1" x14ac:dyDescent="0.35">
      <c r="A1075" s="251"/>
      <c r="B1075" s="22"/>
      <c r="C1075" s="252"/>
      <c r="D1075" s="252"/>
      <c r="E1075" s="252"/>
      <c r="F1075" s="252"/>
      <c r="G1075" s="252"/>
      <c r="H1075" s="252"/>
      <c r="I1075" s="252"/>
      <c r="J1075" s="252"/>
      <c r="K1075" s="252"/>
      <c r="L1075"/>
      <c r="M1075"/>
    </row>
    <row r="1076" spans="1:13" s="79" customFormat="1" x14ac:dyDescent="0.35">
      <c r="A1076" s="251"/>
      <c r="B1076" s="22"/>
      <c r="C1076" s="252"/>
      <c r="D1076" s="252"/>
      <c r="E1076" s="252"/>
      <c r="F1076" s="252"/>
      <c r="G1076" s="252"/>
      <c r="H1076" s="252"/>
      <c r="I1076" s="252"/>
      <c r="J1076" s="252"/>
      <c r="K1076" s="252"/>
      <c r="L1076"/>
      <c r="M1076"/>
    </row>
    <row r="1077" spans="1:13" s="79" customFormat="1" x14ac:dyDescent="0.35">
      <c r="A1077" s="251"/>
      <c r="B1077" s="22"/>
      <c r="C1077" s="252"/>
      <c r="D1077" s="252"/>
      <c r="E1077" s="252"/>
      <c r="F1077" s="252"/>
      <c r="G1077" s="252"/>
      <c r="H1077" s="252"/>
      <c r="I1077" s="252"/>
      <c r="J1077" s="252"/>
      <c r="K1077" s="252"/>
      <c r="L1077"/>
      <c r="M1077"/>
    </row>
    <row r="1078" spans="1:13" s="79" customFormat="1" x14ac:dyDescent="0.35">
      <c r="A1078" s="251"/>
      <c r="B1078" s="22"/>
      <c r="C1078" s="252"/>
      <c r="D1078" s="252"/>
      <c r="E1078" s="252"/>
      <c r="F1078" s="252"/>
      <c r="G1078" s="252"/>
      <c r="H1078" s="252"/>
      <c r="I1078" s="252"/>
      <c r="J1078" s="252"/>
      <c r="K1078" s="252"/>
      <c r="L1078"/>
      <c r="M1078"/>
    </row>
    <row r="1079" spans="1:13" s="79" customFormat="1" x14ac:dyDescent="0.35">
      <c r="A1079" s="251"/>
      <c r="B1079" s="22"/>
      <c r="C1079" s="252"/>
      <c r="D1079" s="252"/>
      <c r="E1079" s="252"/>
      <c r="F1079" s="252"/>
      <c r="G1079" s="252"/>
      <c r="H1079" s="252"/>
      <c r="I1079" s="252"/>
      <c r="J1079" s="252"/>
      <c r="K1079" s="252"/>
      <c r="L1079"/>
      <c r="M1079"/>
    </row>
    <row r="1080" spans="1:13" s="79" customFormat="1" x14ac:dyDescent="0.35">
      <c r="A1080" s="251"/>
      <c r="B1080" s="22"/>
      <c r="C1080" s="252"/>
      <c r="D1080" s="252"/>
      <c r="E1080" s="252"/>
      <c r="F1080" s="252"/>
      <c r="G1080" s="252"/>
      <c r="H1080" s="252"/>
      <c r="I1080" s="252"/>
      <c r="J1080" s="252"/>
      <c r="K1080" s="252"/>
      <c r="L1080"/>
      <c r="M1080"/>
    </row>
    <row r="1081" spans="1:13" s="79" customFormat="1" x14ac:dyDescent="0.35">
      <c r="A1081" s="251"/>
      <c r="B1081" s="22"/>
      <c r="C1081" s="252"/>
      <c r="D1081" s="252"/>
      <c r="E1081" s="252"/>
      <c r="F1081" s="252"/>
      <c r="G1081" s="252"/>
      <c r="H1081" s="252"/>
      <c r="I1081" s="252"/>
      <c r="J1081" s="252"/>
      <c r="K1081" s="252"/>
      <c r="L1081"/>
      <c r="M1081"/>
    </row>
    <row r="1082" spans="1:13" s="79" customFormat="1" x14ac:dyDescent="0.35">
      <c r="A1082" s="251"/>
      <c r="B1082" s="22"/>
      <c r="C1082" s="252"/>
      <c r="D1082" s="252"/>
      <c r="E1082" s="252"/>
      <c r="F1082" s="252"/>
      <c r="G1082" s="252"/>
      <c r="H1082" s="252"/>
      <c r="I1082" s="252"/>
      <c r="J1082" s="252"/>
      <c r="K1082" s="252"/>
      <c r="L1082"/>
      <c r="M1082"/>
    </row>
    <row r="1083" spans="1:13" s="79" customFormat="1" x14ac:dyDescent="0.35">
      <c r="A1083" s="251"/>
      <c r="B1083" s="22"/>
      <c r="C1083" s="252"/>
      <c r="D1083" s="252"/>
      <c r="E1083" s="252"/>
      <c r="F1083" s="252"/>
      <c r="G1083" s="252"/>
      <c r="H1083" s="252"/>
      <c r="I1083" s="252"/>
      <c r="J1083" s="252"/>
      <c r="K1083" s="252"/>
      <c r="L1083"/>
      <c r="M1083"/>
    </row>
    <row r="1084" spans="1:13" s="79" customFormat="1" x14ac:dyDescent="0.35">
      <c r="A1084" s="251"/>
      <c r="B1084" s="22"/>
      <c r="C1084" s="252"/>
      <c r="D1084" s="252"/>
      <c r="E1084" s="252"/>
      <c r="F1084" s="252"/>
      <c r="G1084" s="252"/>
      <c r="H1084" s="252"/>
      <c r="I1084" s="252"/>
      <c r="J1084" s="252"/>
      <c r="K1084" s="252"/>
      <c r="L1084"/>
      <c r="M1084"/>
    </row>
    <row r="1085" spans="1:13" s="79" customFormat="1" x14ac:dyDescent="0.35">
      <c r="A1085" s="251"/>
      <c r="B1085" s="22"/>
      <c r="C1085" s="252"/>
      <c r="D1085" s="252"/>
      <c r="E1085" s="252"/>
      <c r="F1085" s="252"/>
      <c r="G1085" s="252"/>
      <c r="H1085" s="252"/>
      <c r="I1085" s="252"/>
      <c r="J1085" s="252"/>
      <c r="K1085" s="252"/>
      <c r="L1085"/>
      <c r="M1085"/>
    </row>
    <row r="1086" spans="1:13" s="79" customFormat="1" x14ac:dyDescent="0.35">
      <c r="A1086" s="251"/>
      <c r="B1086" s="22"/>
      <c r="C1086" s="252"/>
      <c r="D1086" s="252"/>
      <c r="E1086" s="252"/>
      <c r="F1086" s="252"/>
      <c r="G1086" s="252"/>
      <c r="H1086" s="252"/>
      <c r="I1086" s="252"/>
      <c r="J1086" s="252"/>
      <c r="K1086" s="252"/>
      <c r="L1086"/>
      <c r="M1086"/>
    </row>
    <row r="1087" spans="1:13" s="79" customFormat="1" x14ac:dyDescent="0.35">
      <c r="A1087" s="251"/>
      <c r="B1087" s="22"/>
      <c r="C1087" s="252"/>
      <c r="D1087" s="252"/>
      <c r="E1087" s="252"/>
      <c r="F1087" s="252"/>
      <c r="G1087" s="252"/>
      <c r="H1087" s="252"/>
      <c r="I1087" s="252"/>
      <c r="J1087" s="252"/>
      <c r="K1087" s="252"/>
      <c r="L1087"/>
      <c r="M1087"/>
    </row>
    <row r="1088" spans="1:13" s="79" customFormat="1" x14ac:dyDescent="0.35">
      <c r="A1088" s="251"/>
      <c r="B1088" s="22"/>
      <c r="C1088" s="252"/>
      <c r="D1088" s="252"/>
      <c r="E1088" s="252"/>
      <c r="F1088" s="252"/>
      <c r="G1088" s="252"/>
      <c r="H1088" s="252"/>
      <c r="I1088" s="252"/>
      <c r="J1088" s="252"/>
      <c r="K1088" s="252"/>
      <c r="L1088"/>
      <c r="M1088"/>
    </row>
    <row r="1089" spans="1:13" s="79" customFormat="1" x14ac:dyDescent="0.35">
      <c r="A1089" s="251"/>
      <c r="B1089" s="22"/>
      <c r="C1089" s="252"/>
      <c r="D1089" s="252"/>
      <c r="E1089" s="252"/>
      <c r="F1089" s="252"/>
      <c r="G1089" s="252"/>
      <c r="H1089" s="252"/>
      <c r="I1089" s="252"/>
      <c r="J1089" s="252"/>
      <c r="K1089" s="252"/>
      <c r="L1089"/>
      <c r="M1089"/>
    </row>
    <row r="1090" spans="1:13" s="79" customFormat="1" x14ac:dyDescent="0.35">
      <c r="A1090" s="251"/>
      <c r="B1090" s="22"/>
      <c r="C1090" s="252"/>
      <c r="D1090" s="252"/>
      <c r="E1090" s="252"/>
      <c r="F1090" s="252"/>
      <c r="G1090" s="252"/>
      <c r="H1090" s="252"/>
      <c r="I1090" s="252"/>
      <c r="J1090" s="252"/>
      <c r="K1090" s="252"/>
      <c r="L1090"/>
      <c r="M1090"/>
    </row>
    <row r="1091" spans="1:13" s="79" customFormat="1" x14ac:dyDescent="0.35">
      <c r="A1091" s="251"/>
      <c r="B1091" s="22"/>
      <c r="C1091" s="252"/>
      <c r="D1091" s="252"/>
      <c r="E1091" s="252"/>
      <c r="F1091" s="252"/>
      <c r="G1091" s="252"/>
      <c r="H1091" s="252"/>
      <c r="I1091" s="252"/>
      <c r="J1091" s="252"/>
      <c r="K1091" s="252"/>
      <c r="L1091"/>
      <c r="M1091"/>
    </row>
    <row r="1092" spans="1:13" s="79" customFormat="1" x14ac:dyDescent="0.35">
      <c r="A1092" s="251"/>
      <c r="B1092" s="22"/>
      <c r="C1092" s="252"/>
      <c r="D1092" s="252"/>
      <c r="E1092" s="252"/>
      <c r="F1092" s="252"/>
      <c r="G1092" s="252"/>
      <c r="H1092" s="252"/>
      <c r="I1092" s="252"/>
      <c r="J1092" s="252"/>
      <c r="K1092" s="252"/>
      <c r="L1092"/>
      <c r="M1092"/>
    </row>
    <row r="1093" spans="1:13" s="79" customFormat="1" x14ac:dyDescent="0.35">
      <c r="A1093" s="251"/>
      <c r="B1093" s="22"/>
      <c r="C1093" s="252"/>
      <c r="D1093" s="252"/>
      <c r="E1093" s="252"/>
      <c r="F1093" s="252"/>
      <c r="G1093" s="252"/>
      <c r="H1093" s="252"/>
      <c r="I1093" s="252"/>
      <c r="J1093" s="252"/>
      <c r="K1093" s="252"/>
      <c r="L1093"/>
      <c r="M1093"/>
    </row>
    <row r="1094" spans="1:13" s="79" customFormat="1" x14ac:dyDescent="0.35">
      <c r="A1094" s="251"/>
      <c r="B1094" s="22"/>
      <c r="C1094" s="252"/>
      <c r="D1094" s="252"/>
      <c r="E1094" s="252"/>
      <c r="F1094" s="252"/>
      <c r="G1094" s="252"/>
      <c r="H1094" s="252"/>
      <c r="I1094" s="252"/>
      <c r="J1094" s="252"/>
      <c r="K1094" s="252"/>
      <c r="L1094"/>
      <c r="M1094"/>
    </row>
    <row r="1095" spans="1:13" s="79" customFormat="1" x14ac:dyDescent="0.35">
      <c r="A1095" s="251"/>
      <c r="B1095" s="22"/>
      <c r="C1095" s="252"/>
      <c r="D1095" s="252"/>
      <c r="E1095" s="252"/>
      <c r="F1095" s="252"/>
      <c r="G1095" s="252"/>
      <c r="H1095" s="252"/>
      <c r="I1095" s="252"/>
      <c r="J1095" s="252"/>
      <c r="K1095" s="252"/>
      <c r="L1095"/>
      <c r="M1095"/>
    </row>
    <row r="1096" spans="1:13" s="79" customFormat="1" x14ac:dyDescent="0.35">
      <c r="A1096" s="251"/>
      <c r="B1096" s="22"/>
      <c r="C1096" s="252"/>
      <c r="D1096" s="252"/>
      <c r="E1096" s="252"/>
      <c r="F1096" s="252"/>
      <c r="G1096" s="252"/>
      <c r="H1096" s="252"/>
      <c r="I1096" s="252"/>
      <c r="J1096" s="252"/>
      <c r="K1096" s="252"/>
      <c r="L1096"/>
      <c r="M1096"/>
    </row>
    <row r="1097" spans="1:13" s="79" customFormat="1" x14ac:dyDescent="0.35">
      <c r="A1097" s="251"/>
      <c r="B1097" s="22"/>
      <c r="C1097" s="252"/>
      <c r="D1097" s="252"/>
      <c r="E1097" s="252"/>
      <c r="F1097" s="252"/>
      <c r="G1097" s="252"/>
      <c r="H1097" s="252"/>
      <c r="I1097" s="252"/>
      <c r="J1097" s="252"/>
      <c r="K1097" s="252"/>
      <c r="L1097"/>
      <c r="M1097"/>
    </row>
    <row r="1098" spans="1:13" s="79" customFormat="1" x14ac:dyDescent="0.35">
      <c r="A1098" s="251"/>
      <c r="B1098" s="22"/>
      <c r="C1098" s="252"/>
      <c r="D1098" s="252"/>
      <c r="E1098" s="252"/>
      <c r="F1098" s="252"/>
      <c r="G1098" s="252"/>
      <c r="H1098" s="252"/>
      <c r="I1098" s="252"/>
      <c r="J1098" s="252"/>
      <c r="K1098" s="252"/>
      <c r="L1098"/>
      <c r="M1098"/>
    </row>
    <row r="1099" spans="1:13" s="79" customFormat="1" x14ac:dyDescent="0.35">
      <c r="A1099" s="251"/>
      <c r="B1099" s="22"/>
      <c r="C1099" s="252"/>
      <c r="D1099" s="252"/>
      <c r="E1099" s="252"/>
      <c r="F1099" s="252"/>
      <c r="G1099" s="252"/>
      <c r="H1099" s="252"/>
      <c r="I1099" s="252"/>
      <c r="J1099" s="252"/>
      <c r="K1099" s="252"/>
      <c r="L1099"/>
      <c r="M1099"/>
    </row>
    <row r="1100" spans="1:13" s="79" customFormat="1" x14ac:dyDescent="0.35">
      <c r="A1100" s="251"/>
      <c r="B1100" s="22"/>
      <c r="C1100" s="252"/>
      <c r="D1100" s="252"/>
      <c r="E1100" s="252"/>
      <c r="F1100" s="252"/>
      <c r="G1100" s="252"/>
      <c r="H1100" s="252"/>
      <c r="I1100" s="252"/>
      <c r="J1100" s="252"/>
      <c r="K1100" s="252"/>
      <c r="L1100"/>
      <c r="M1100"/>
    </row>
    <row r="1101" spans="1:13" s="79" customFormat="1" x14ac:dyDescent="0.35">
      <c r="A1101" s="251"/>
      <c r="B1101" s="22"/>
      <c r="C1101" s="252"/>
      <c r="D1101" s="252"/>
      <c r="E1101" s="252"/>
      <c r="F1101" s="252"/>
      <c r="G1101" s="252"/>
      <c r="H1101" s="252"/>
      <c r="I1101" s="252"/>
      <c r="J1101" s="252"/>
      <c r="K1101" s="252"/>
      <c r="L1101"/>
      <c r="M1101"/>
    </row>
    <row r="1102" spans="1:13" s="79" customFormat="1" x14ac:dyDescent="0.35">
      <c r="A1102" s="251"/>
      <c r="B1102" s="22"/>
      <c r="C1102" s="252"/>
      <c r="D1102" s="252"/>
      <c r="E1102" s="252"/>
      <c r="F1102" s="252"/>
      <c r="G1102" s="252"/>
      <c r="H1102" s="252"/>
      <c r="I1102" s="252"/>
      <c r="J1102" s="252"/>
      <c r="K1102" s="252"/>
      <c r="L1102"/>
      <c r="M1102"/>
    </row>
    <row r="1103" spans="1:13" s="79" customFormat="1" x14ac:dyDescent="0.35">
      <c r="A1103" s="251"/>
      <c r="B1103" s="22"/>
      <c r="C1103" s="252"/>
      <c r="D1103" s="252"/>
      <c r="E1103" s="252"/>
      <c r="F1103" s="252"/>
      <c r="G1103" s="252"/>
      <c r="H1103" s="252"/>
      <c r="I1103" s="252"/>
      <c r="J1103" s="252"/>
      <c r="K1103" s="252"/>
      <c r="L1103"/>
      <c r="M1103"/>
    </row>
    <row r="1104" spans="1:13" s="79" customFormat="1" x14ac:dyDescent="0.35">
      <c r="A1104" s="251"/>
      <c r="B1104" s="22"/>
      <c r="C1104" s="252"/>
      <c r="D1104" s="252"/>
      <c r="E1104" s="252"/>
      <c r="F1104" s="252"/>
      <c r="G1104" s="252"/>
      <c r="H1104" s="252"/>
      <c r="I1104" s="252"/>
      <c r="J1104" s="252"/>
      <c r="K1104" s="252"/>
      <c r="L1104"/>
      <c r="M1104"/>
    </row>
    <row r="1105" spans="1:13" s="79" customFormat="1" x14ac:dyDescent="0.35">
      <c r="A1105" s="251"/>
      <c r="B1105" s="22"/>
      <c r="C1105" s="252"/>
      <c r="D1105" s="252"/>
      <c r="E1105" s="252"/>
      <c r="F1105" s="252"/>
      <c r="G1105" s="252"/>
      <c r="H1105" s="252"/>
      <c r="I1105" s="252"/>
      <c r="J1105" s="252"/>
      <c r="K1105" s="252"/>
      <c r="L1105"/>
      <c r="M1105"/>
    </row>
    <row r="1106" spans="1:13" s="79" customFormat="1" x14ac:dyDescent="0.35">
      <c r="A1106" s="251"/>
      <c r="B1106" s="22"/>
      <c r="C1106" s="252"/>
      <c r="D1106" s="252"/>
      <c r="E1106" s="252"/>
      <c r="F1106" s="252"/>
      <c r="G1106" s="252"/>
      <c r="H1106" s="252"/>
      <c r="I1106" s="252"/>
      <c r="J1106" s="252"/>
      <c r="K1106" s="252"/>
      <c r="L1106"/>
      <c r="M1106"/>
    </row>
    <row r="1107" spans="1:13" s="79" customFormat="1" x14ac:dyDescent="0.35">
      <c r="A1107" s="251"/>
      <c r="B1107" s="22"/>
      <c r="C1107" s="252"/>
      <c r="D1107" s="252"/>
      <c r="E1107" s="252"/>
      <c r="F1107" s="252"/>
      <c r="G1107" s="252"/>
      <c r="H1107" s="252"/>
      <c r="I1107" s="252"/>
      <c r="J1107" s="252"/>
      <c r="K1107" s="252"/>
      <c r="L1107"/>
      <c r="M1107"/>
    </row>
    <row r="1108" spans="1:13" s="79" customFormat="1" x14ac:dyDescent="0.35">
      <c r="A1108" s="251"/>
      <c r="B1108" s="22"/>
      <c r="C1108" s="252"/>
      <c r="D1108" s="252"/>
      <c r="E1108" s="252"/>
      <c r="F1108" s="252"/>
      <c r="G1108" s="252"/>
      <c r="H1108" s="252"/>
      <c r="I1108" s="252"/>
      <c r="J1108" s="252"/>
      <c r="K1108" s="252"/>
      <c r="L1108"/>
      <c r="M1108"/>
    </row>
    <row r="1109" spans="1:13" s="79" customFormat="1" x14ac:dyDescent="0.35">
      <c r="A1109" s="251"/>
      <c r="B1109" s="22"/>
      <c r="C1109" s="252"/>
      <c r="D1109" s="252"/>
      <c r="E1109" s="252"/>
      <c r="F1109" s="252"/>
      <c r="G1109" s="252"/>
      <c r="H1109" s="252"/>
      <c r="I1109" s="252"/>
      <c r="J1109" s="252"/>
      <c r="K1109" s="252"/>
      <c r="L1109"/>
      <c r="M1109"/>
    </row>
    <row r="1110" spans="1:13" s="79" customFormat="1" x14ac:dyDescent="0.35">
      <c r="A1110" s="251"/>
      <c r="B1110" s="22"/>
      <c r="C1110" s="252"/>
      <c r="D1110" s="252"/>
      <c r="E1110" s="252"/>
      <c r="F1110" s="252"/>
      <c r="G1110" s="252"/>
      <c r="H1110" s="252"/>
      <c r="I1110" s="252"/>
      <c r="J1110" s="252"/>
      <c r="K1110" s="252"/>
      <c r="L1110"/>
      <c r="M1110"/>
    </row>
    <row r="1111" spans="1:13" s="79" customFormat="1" x14ac:dyDescent="0.35">
      <c r="A1111" s="251"/>
      <c r="B1111" s="22"/>
      <c r="C1111" s="252"/>
      <c r="D1111" s="252"/>
      <c r="E1111" s="252"/>
      <c r="F1111" s="252"/>
      <c r="G1111" s="252"/>
      <c r="H1111" s="252"/>
      <c r="I1111" s="252"/>
      <c r="J1111" s="252"/>
      <c r="K1111" s="252"/>
      <c r="L1111"/>
      <c r="M1111"/>
    </row>
    <row r="1112" spans="1:13" s="79" customFormat="1" x14ac:dyDescent="0.35">
      <c r="A1112" s="251"/>
      <c r="B1112" s="22"/>
      <c r="C1112" s="252"/>
      <c r="D1112" s="252"/>
      <c r="E1112" s="252"/>
      <c r="F1112" s="252"/>
      <c r="G1112" s="252"/>
      <c r="H1112" s="252"/>
      <c r="I1112" s="252"/>
      <c r="J1112" s="252"/>
      <c r="K1112" s="252"/>
      <c r="L1112"/>
      <c r="M1112"/>
    </row>
    <row r="1113" spans="1:13" s="79" customFormat="1" x14ac:dyDescent="0.35">
      <c r="A1113" s="251"/>
      <c r="B1113" s="22"/>
      <c r="C1113" s="252"/>
      <c r="D1113" s="252"/>
      <c r="E1113" s="252"/>
      <c r="F1113" s="252"/>
      <c r="G1113" s="252"/>
      <c r="H1113" s="252"/>
      <c r="I1113" s="252"/>
      <c r="J1113" s="252"/>
      <c r="K1113" s="252"/>
      <c r="L1113"/>
      <c r="M1113"/>
    </row>
    <row r="1114" spans="1:13" s="79" customFormat="1" x14ac:dyDescent="0.35">
      <c r="A1114" s="251"/>
      <c r="B1114" s="22"/>
      <c r="C1114" s="252"/>
      <c r="D1114" s="252"/>
      <c r="E1114" s="252"/>
      <c r="F1114" s="252"/>
      <c r="G1114" s="252"/>
      <c r="H1114" s="252"/>
      <c r="I1114" s="252"/>
      <c r="J1114" s="252"/>
      <c r="K1114" s="252"/>
      <c r="L1114"/>
      <c r="M1114"/>
    </row>
    <row r="1115" spans="1:13" s="79" customFormat="1" x14ac:dyDescent="0.35">
      <c r="A1115" s="251"/>
      <c r="B1115" s="22"/>
      <c r="C1115" s="252"/>
      <c r="D1115" s="252"/>
      <c r="E1115" s="252"/>
      <c r="F1115" s="252"/>
      <c r="G1115" s="252"/>
      <c r="H1115" s="252"/>
      <c r="I1115" s="252"/>
      <c r="J1115" s="252"/>
      <c r="K1115" s="252"/>
      <c r="L1115"/>
      <c r="M1115"/>
    </row>
    <row r="1116" spans="1:13" s="79" customFormat="1" x14ac:dyDescent="0.35">
      <c r="A1116" s="251"/>
      <c r="B1116" s="22"/>
      <c r="C1116" s="252"/>
      <c r="D1116" s="252"/>
      <c r="E1116" s="252"/>
      <c r="F1116" s="252"/>
      <c r="G1116" s="252"/>
      <c r="H1116" s="252"/>
      <c r="I1116" s="252"/>
      <c r="J1116" s="252"/>
      <c r="K1116" s="252"/>
      <c r="L1116"/>
      <c r="M1116"/>
    </row>
    <row r="1117" spans="1:13" s="79" customFormat="1" x14ac:dyDescent="0.35">
      <c r="A1117" s="251"/>
      <c r="B1117" s="22"/>
      <c r="C1117" s="252"/>
      <c r="D1117" s="252"/>
      <c r="E1117" s="252"/>
      <c r="F1117" s="252"/>
      <c r="G1117" s="252"/>
      <c r="H1117" s="252"/>
      <c r="I1117" s="252"/>
      <c r="J1117" s="252"/>
      <c r="K1117" s="252"/>
      <c r="L1117"/>
      <c r="M1117"/>
    </row>
    <row r="1118" spans="1:13" s="79" customFormat="1" x14ac:dyDescent="0.35">
      <c r="A1118" s="251"/>
      <c r="B1118" s="22"/>
      <c r="C1118" s="252"/>
      <c r="D1118" s="252"/>
      <c r="E1118" s="252"/>
      <c r="F1118" s="252"/>
      <c r="G1118" s="252"/>
      <c r="H1118" s="252"/>
      <c r="I1118" s="252"/>
      <c r="J1118" s="252"/>
      <c r="K1118" s="252"/>
      <c r="L1118"/>
      <c r="M1118"/>
    </row>
    <row r="1119" spans="1:13" s="79" customFormat="1" x14ac:dyDescent="0.35">
      <c r="A1119" s="251"/>
      <c r="B1119" s="22"/>
      <c r="C1119" s="252"/>
      <c r="D1119" s="252"/>
      <c r="E1119" s="252"/>
      <c r="F1119" s="252"/>
      <c r="G1119" s="252"/>
      <c r="H1119" s="252"/>
      <c r="I1119" s="252"/>
      <c r="J1119" s="252"/>
      <c r="K1119" s="252"/>
      <c r="L1119"/>
      <c r="M1119"/>
    </row>
    <row r="1120" spans="1:13" s="79" customFormat="1" x14ac:dyDescent="0.35">
      <c r="A1120" s="251"/>
      <c r="B1120" s="22"/>
      <c r="C1120" s="252"/>
      <c r="D1120" s="252"/>
      <c r="E1120" s="252"/>
      <c r="F1120" s="252"/>
      <c r="G1120" s="252"/>
      <c r="H1120" s="252"/>
      <c r="I1120" s="252"/>
      <c r="J1120" s="252"/>
      <c r="K1120" s="252"/>
      <c r="L1120"/>
      <c r="M1120"/>
    </row>
    <row r="1121" spans="1:13" s="79" customFormat="1" x14ac:dyDescent="0.35">
      <c r="A1121" s="251"/>
      <c r="B1121" s="22"/>
      <c r="C1121" s="252"/>
      <c r="D1121" s="252"/>
      <c r="E1121" s="252"/>
      <c r="F1121" s="252"/>
      <c r="G1121" s="252"/>
      <c r="H1121" s="252"/>
      <c r="I1121" s="252"/>
      <c r="J1121" s="252"/>
      <c r="K1121" s="252"/>
      <c r="L1121"/>
      <c r="M1121"/>
    </row>
    <row r="1122" spans="1:13" s="79" customFormat="1" x14ac:dyDescent="0.35">
      <c r="A1122" s="251"/>
      <c r="B1122" s="22"/>
      <c r="C1122" s="252"/>
      <c r="D1122" s="252"/>
      <c r="E1122" s="252"/>
      <c r="F1122" s="252"/>
      <c r="G1122" s="252"/>
      <c r="H1122" s="252"/>
      <c r="I1122" s="252"/>
      <c r="J1122" s="252"/>
      <c r="K1122" s="252"/>
      <c r="L1122"/>
      <c r="M1122"/>
    </row>
    <row r="1123" spans="1:13" s="79" customFormat="1" x14ac:dyDescent="0.35">
      <c r="A1123" s="251"/>
      <c r="B1123" s="22"/>
      <c r="C1123" s="252"/>
      <c r="D1123" s="252"/>
      <c r="E1123" s="252"/>
      <c r="F1123" s="252"/>
      <c r="G1123" s="252"/>
      <c r="H1123" s="252"/>
      <c r="I1123" s="252"/>
      <c r="J1123" s="252"/>
      <c r="K1123" s="252"/>
      <c r="L1123"/>
      <c r="M1123"/>
    </row>
    <row r="1124" spans="1:13" s="79" customFormat="1" x14ac:dyDescent="0.35">
      <c r="A1124" s="251"/>
      <c r="B1124" s="22"/>
      <c r="C1124" s="252"/>
      <c r="D1124" s="252"/>
      <c r="E1124" s="252"/>
      <c r="F1124" s="252"/>
      <c r="G1124" s="252"/>
      <c r="H1124" s="252"/>
      <c r="I1124" s="252"/>
      <c r="J1124" s="252"/>
      <c r="K1124" s="252"/>
      <c r="L1124"/>
      <c r="M1124"/>
    </row>
    <row r="1125" spans="1:13" s="79" customFormat="1" x14ac:dyDescent="0.35">
      <c r="A1125" s="251"/>
      <c r="B1125" s="22"/>
      <c r="C1125" s="252"/>
      <c r="D1125" s="252"/>
      <c r="E1125" s="252"/>
      <c r="F1125" s="252"/>
      <c r="G1125" s="252"/>
      <c r="H1125" s="252"/>
      <c r="I1125" s="252"/>
      <c r="J1125" s="252"/>
      <c r="K1125" s="252"/>
      <c r="L1125"/>
      <c r="M1125"/>
    </row>
    <row r="1126" spans="1:13" s="79" customFormat="1" x14ac:dyDescent="0.35">
      <c r="A1126" s="251"/>
      <c r="B1126" s="22"/>
      <c r="C1126" s="252"/>
      <c r="D1126" s="252"/>
      <c r="E1126" s="252"/>
      <c r="F1126" s="252"/>
      <c r="G1126" s="252"/>
      <c r="H1126" s="252"/>
      <c r="I1126" s="252"/>
      <c r="J1126" s="252"/>
      <c r="K1126" s="252"/>
      <c r="L1126"/>
      <c r="M1126"/>
    </row>
    <row r="1127" spans="1:13" s="79" customFormat="1" x14ac:dyDescent="0.35">
      <c r="A1127" s="251"/>
      <c r="B1127" s="22"/>
      <c r="C1127" s="252"/>
      <c r="D1127" s="252"/>
      <c r="E1127" s="252"/>
      <c r="F1127" s="252"/>
      <c r="G1127" s="252"/>
      <c r="H1127" s="252"/>
      <c r="I1127" s="252"/>
      <c r="J1127" s="252"/>
      <c r="K1127" s="252"/>
      <c r="L1127"/>
      <c r="M1127"/>
    </row>
    <row r="1128" spans="1:13" s="79" customFormat="1" x14ac:dyDescent="0.35">
      <c r="A1128" s="251"/>
      <c r="B1128" s="22"/>
      <c r="C1128" s="252"/>
      <c r="D1128" s="252"/>
      <c r="E1128" s="252"/>
      <c r="F1128" s="252"/>
      <c r="G1128" s="252"/>
      <c r="H1128" s="252"/>
      <c r="I1128" s="252"/>
      <c r="J1128" s="252"/>
      <c r="K1128" s="252"/>
      <c r="L1128"/>
      <c r="M1128"/>
    </row>
    <row r="1129" spans="1:13" s="79" customFormat="1" x14ac:dyDescent="0.35">
      <c r="A1129" s="251"/>
      <c r="B1129" s="22"/>
      <c r="C1129" s="252"/>
      <c r="D1129" s="252"/>
      <c r="E1129" s="252"/>
      <c r="F1129" s="252"/>
      <c r="G1129" s="252"/>
      <c r="H1129" s="252"/>
      <c r="I1129" s="252"/>
      <c r="J1129" s="252"/>
      <c r="K1129" s="252"/>
      <c r="L1129"/>
      <c r="M1129"/>
    </row>
    <row r="1130" spans="1:13" s="79" customFormat="1" x14ac:dyDescent="0.35">
      <c r="A1130" s="251"/>
      <c r="B1130" s="22"/>
      <c r="C1130" s="252"/>
      <c r="D1130" s="252"/>
      <c r="E1130" s="252"/>
      <c r="F1130" s="252"/>
      <c r="G1130" s="252"/>
      <c r="H1130" s="252"/>
      <c r="I1130" s="252"/>
      <c r="J1130" s="252"/>
      <c r="K1130" s="252"/>
      <c r="L1130"/>
      <c r="M1130"/>
    </row>
    <row r="1131" spans="1:13" s="79" customFormat="1" x14ac:dyDescent="0.35">
      <c r="A1131" s="251"/>
      <c r="B1131" s="22"/>
      <c r="C1131" s="252"/>
      <c r="D1131" s="252"/>
      <c r="E1131" s="252"/>
      <c r="F1131" s="252"/>
      <c r="G1131" s="252"/>
      <c r="H1131" s="252"/>
      <c r="I1131" s="252"/>
      <c r="J1131" s="252"/>
      <c r="K1131" s="252"/>
      <c r="L1131"/>
      <c r="M1131"/>
    </row>
    <row r="1132" spans="1:13" s="79" customFormat="1" x14ac:dyDescent="0.35">
      <c r="A1132" s="251"/>
      <c r="B1132" s="22"/>
      <c r="C1132" s="252"/>
      <c r="D1132" s="252"/>
      <c r="E1132" s="252"/>
      <c r="F1132" s="252"/>
      <c r="G1132" s="252"/>
      <c r="H1132" s="252"/>
      <c r="I1132" s="252"/>
      <c r="J1132" s="252"/>
      <c r="K1132" s="252"/>
      <c r="L1132"/>
      <c r="M1132"/>
    </row>
    <row r="1133" spans="1:13" s="79" customFormat="1" x14ac:dyDescent="0.35">
      <c r="A1133" s="251"/>
      <c r="B1133" s="22"/>
      <c r="C1133" s="252"/>
      <c r="D1133" s="252"/>
      <c r="E1133" s="252"/>
      <c r="F1133" s="252"/>
      <c r="G1133" s="252"/>
      <c r="H1133" s="252"/>
      <c r="I1133" s="252"/>
      <c r="J1133" s="252"/>
      <c r="K1133" s="252"/>
      <c r="L1133"/>
      <c r="M1133"/>
    </row>
    <row r="1134" spans="1:13" s="79" customFormat="1" x14ac:dyDescent="0.35">
      <c r="A1134" s="251"/>
      <c r="B1134" s="22"/>
      <c r="C1134" s="252"/>
      <c r="D1134" s="252"/>
      <c r="E1134" s="252"/>
      <c r="F1134" s="252"/>
      <c r="G1134" s="252"/>
      <c r="H1134" s="252"/>
      <c r="I1134" s="252"/>
      <c r="J1134" s="252"/>
      <c r="K1134" s="252"/>
      <c r="L1134"/>
      <c r="M1134"/>
    </row>
    <row r="1135" spans="1:13" s="79" customFormat="1" x14ac:dyDescent="0.35">
      <c r="A1135" s="251"/>
      <c r="B1135" s="22"/>
      <c r="C1135" s="252"/>
      <c r="D1135" s="252"/>
      <c r="E1135" s="252"/>
      <c r="F1135" s="252"/>
      <c r="G1135" s="252"/>
      <c r="H1135" s="252"/>
      <c r="I1135" s="252"/>
      <c r="J1135" s="252"/>
      <c r="K1135" s="252"/>
      <c r="L1135"/>
      <c r="M1135"/>
    </row>
    <row r="1136" spans="1:13" s="79" customFormat="1" x14ac:dyDescent="0.35">
      <c r="A1136" s="251"/>
      <c r="B1136" s="22"/>
      <c r="C1136" s="252"/>
      <c r="D1136" s="252"/>
      <c r="E1136" s="252"/>
      <c r="F1136" s="252"/>
      <c r="G1136" s="252"/>
      <c r="H1136" s="252"/>
      <c r="I1136" s="252"/>
      <c r="J1136" s="252"/>
      <c r="K1136" s="252"/>
      <c r="L1136"/>
      <c r="M1136"/>
    </row>
    <row r="1137" spans="1:13" s="79" customFormat="1" x14ac:dyDescent="0.35">
      <c r="A1137" s="251"/>
      <c r="B1137" s="22"/>
      <c r="C1137" s="252"/>
      <c r="D1137" s="252"/>
      <c r="E1137" s="252"/>
      <c r="F1137" s="252"/>
      <c r="G1137" s="252"/>
      <c r="H1137" s="252"/>
      <c r="I1137" s="252"/>
      <c r="J1137" s="252"/>
      <c r="K1137" s="252"/>
      <c r="L1137"/>
      <c r="M1137"/>
    </row>
    <row r="1138" spans="1:13" s="79" customFormat="1" x14ac:dyDescent="0.35">
      <c r="A1138" s="251"/>
      <c r="B1138" s="22"/>
      <c r="C1138" s="252"/>
      <c r="D1138" s="252"/>
      <c r="E1138" s="252"/>
      <c r="F1138" s="252"/>
      <c r="G1138" s="252"/>
      <c r="H1138" s="252"/>
      <c r="I1138" s="252"/>
      <c r="J1138" s="252"/>
      <c r="K1138" s="252"/>
      <c r="L1138"/>
      <c r="M1138"/>
    </row>
    <row r="1139" spans="1:13" s="79" customFormat="1" x14ac:dyDescent="0.35">
      <c r="A1139" s="251"/>
      <c r="B1139" s="22"/>
      <c r="C1139" s="252"/>
      <c r="D1139" s="252"/>
      <c r="E1139" s="252"/>
      <c r="F1139" s="252"/>
      <c r="G1139" s="252"/>
      <c r="H1139" s="252"/>
      <c r="I1139" s="252"/>
      <c r="J1139" s="252"/>
      <c r="K1139" s="252"/>
      <c r="L1139"/>
      <c r="M1139"/>
    </row>
    <row r="1140" spans="1:13" s="79" customFormat="1" x14ac:dyDescent="0.35">
      <c r="A1140" s="251"/>
      <c r="B1140" s="22"/>
      <c r="C1140" s="252"/>
      <c r="D1140" s="252"/>
      <c r="E1140" s="252"/>
      <c r="F1140" s="252"/>
      <c r="G1140" s="252"/>
      <c r="H1140" s="252"/>
      <c r="I1140" s="252"/>
      <c r="J1140" s="252"/>
      <c r="K1140" s="252"/>
      <c r="L1140"/>
      <c r="M1140"/>
    </row>
    <row r="1141" spans="1:13" s="79" customFormat="1" x14ac:dyDescent="0.35">
      <c r="A1141" s="251"/>
      <c r="B1141" s="22"/>
      <c r="C1141" s="252"/>
      <c r="D1141" s="252"/>
      <c r="E1141" s="252"/>
      <c r="F1141" s="252"/>
      <c r="G1141" s="252"/>
      <c r="H1141" s="252"/>
      <c r="I1141" s="252"/>
      <c r="J1141" s="252"/>
      <c r="K1141" s="252"/>
      <c r="L1141"/>
      <c r="M1141"/>
    </row>
    <row r="1142" spans="1:13" s="79" customFormat="1" x14ac:dyDescent="0.35">
      <c r="A1142" s="251"/>
      <c r="B1142" s="22"/>
      <c r="C1142" s="252"/>
      <c r="D1142" s="252"/>
      <c r="E1142" s="252"/>
      <c r="F1142" s="252"/>
      <c r="G1142" s="252"/>
      <c r="H1142" s="252"/>
      <c r="I1142" s="252"/>
      <c r="J1142" s="252"/>
      <c r="K1142" s="252"/>
      <c r="L1142"/>
      <c r="M1142"/>
    </row>
    <row r="1143" spans="1:13" s="79" customFormat="1" x14ac:dyDescent="0.35">
      <c r="A1143" s="251"/>
      <c r="B1143" s="22"/>
      <c r="C1143" s="252"/>
      <c r="D1143" s="252"/>
      <c r="E1143" s="252"/>
      <c r="F1143" s="252"/>
      <c r="G1143" s="252"/>
      <c r="H1143" s="252"/>
      <c r="I1143" s="252"/>
      <c r="J1143" s="252"/>
      <c r="K1143" s="252"/>
      <c r="L1143"/>
      <c r="M1143"/>
    </row>
    <row r="1144" spans="1:13" s="79" customFormat="1" x14ac:dyDescent="0.35">
      <c r="A1144" s="251"/>
      <c r="B1144" s="22"/>
      <c r="C1144" s="252"/>
      <c r="D1144" s="252"/>
      <c r="E1144" s="252"/>
      <c r="F1144" s="252"/>
      <c r="G1144" s="252"/>
      <c r="H1144" s="252"/>
      <c r="I1144" s="252"/>
      <c r="J1144" s="252"/>
      <c r="K1144" s="252"/>
      <c r="L1144"/>
      <c r="M1144"/>
    </row>
    <row r="1145" spans="1:13" s="79" customFormat="1" x14ac:dyDescent="0.35">
      <c r="A1145" s="251"/>
      <c r="B1145" s="22"/>
      <c r="C1145" s="252"/>
      <c r="D1145" s="252"/>
      <c r="E1145" s="252"/>
      <c r="F1145" s="252"/>
      <c r="G1145" s="252"/>
      <c r="H1145" s="252"/>
      <c r="I1145" s="252"/>
      <c r="J1145" s="252"/>
      <c r="K1145" s="252"/>
      <c r="L1145"/>
      <c r="M1145"/>
    </row>
    <row r="1146" spans="1:13" s="79" customFormat="1" x14ac:dyDescent="0.35">
      <c r="A1146" s="251"/>
      <c r="B1146" s="22"/>
      <c r="C1146" s="252"/>
      <c r="D1146" s="252"/>
      <c r="E1146" s="252"/>
      <c r="F1146" s="252"/>
      <c r="G1146" s="252"/>
      <c r="H1146" s="252"/>
      <c r="I1146" s="252"/>
      <c r="J1146" s="252"/>
      <c r="K1146" s="252"/>
      <c r="L1146"/>
      <c r="M1146"/>
    </row>
    <row r="1147" spans="1:13" s="79" customFormat="1" x14ac:dyDescent="0.35">
      <c r="A1147" s="251"/>
      <c r="B1147" s="22"/>
      <c r="C1147" s="252"/>
      <c r="D1147" s="252"/>
      <c r="E1147" s="252"/>
      <c r="F1147" s="252"/>
      <c r="G1147" s="252"/>
      <c r="H1147" s="252"/>
      <c r="I1147" s="252"/>
      <c r="J1147" s="252"/>
      <c r="K1147" s="252"/>
      <c r="L1147"/>
      <c r="M1147"/>
    </row>
    <row r="1148" spans="1:13" s="79" customFormat="1" x14ac:dyDescent="0.35">
      <c r="A1148" s="251"/>
      <c r="B1148" s="22"/>
      <c r="C1148" s="252"/>
      <c r="D1148" s="252"/>
      <c r="E1148" s="252"/>
      <c r="F1148" s="252"/>
      <c r="G1148" s="252"/>
      <c r="H1148" s="252"/>
      <c r="I1148" s="252"/>
      <c r="J1148" s="252"/>
      <c r="K1148" s="252"/>
      <c r="L1148"/>
      <c r="M1148"/>
    </row>
    <row r="1149" spans="1:13" s="79" customFormat="1" x14ac:dyDescent="0.35">
      <c r="A1149" s="251"/>
      <c r="B1149" s="22"/>
      <c r="C1149" s="252"/>
      <c r="D1149" s="252"/>
      <c r="E1149" s="252"/>
      <c r="F1149" s="252"/>
      <c r="G1149" s="252"/>
      <c r="H1149" s="252"/>
      <c r="I1149" s="252"/>
      <c r="J1149" s="252"/>
      <c r="K1149" s="252"/>
      <c r="L1149"/>
      <c r="M1149"/>
    </row>
    <row r="1150" spans="1:13" s="79" customFormat="1" x14ac:dyDescent="0.35">
      <c r="A1150" s="251"/>
      <c r="B1150" s="22"/>
      <c r="C1150" s="252"/>
      <c r="D1150" s="252"/>
      <c r="E1150" s="252"/>
      <c r="F1150" s="252"/>
      <c r="G1150" s="252"/>
      <c r="H1150" s="252"/>
      <c r="I1150" s="252"/>
      <c r="J1150" s="252"/>
      <c r="K1150" s="252"/>
      <c r="L1150"/>
      <c r="M1150"/>
    </row>
    <row r="1151" spans="1:13" s="79" customFormat="1" x14ac:dyDescent="0.35">
      <c r="A1151" s="251"/>
      <c r="B1151" s="22"/>
      <c r="C1151" s="252"/>
      <c r="D1151" s="252"/>
      <c r="E1151" s="252"/>
      <c r="F1151" s="252"/>
      <c r="G1151" s="252"/>
      <c r="H1151" s="252"/>
      <c r="I1151" s="252"/>
      <c r="J1151" s="252"/>
      <c r="K1151" s="252"/>
      <c r="L1151"/>
      <c r="M1151"/>
    </row>
    <row r="1152" spans="1:13" s="79" customFormat="1" x14ac:dyDescent="0.35">
      <c r="A1152" s="251"/>
      <c r="B1152" s="22"/>
      <c r="C1152" s="252"/>
      <c r="D1152" s="252"/>
      <c r="E1152" s="252"/>
      <c r="F1152" s="252"/>
      <c r="G1152" s="252"/>
      <c r="H1152" s="252"/>
      <c r="I1152" s="252"/>
      <c r="J1152" s="252"/>
      <c r="K1152" s="252"/>
      <c r="L1152"/>
      <c r="M1152"/>
    </row>
    <row r="1153" spans="1:13" s="79" customFormat="1" x14ac:dyDescent="0.35">
      <c r="A1153" s="251"/>
      <c r="B1153" s="22"/>
      <c r="C1153" s="252"/>
      <c r="D1153" s="252"/>
      <c r="E1153" s="252"/>
      <c r="F1153" s="252"/>
      <c r="G1153" s="252"/>
      <c r="H1153" s="252"/>
      <c r="I1153" s="252"/>
      <c r="J1153" s="252"/>
      <c r="K1153" s="252"/>
      <c r="L1153"/>
      <c r="M1153"/>
    </row>
    <row r="1154" spans="1:13" s="79" customFormat="1" x14ac:dyDescent="0.35">
      <c r="A1154" s="251"/>
      <c r="B1154" s="22"/>
      <c r="C1154" s="252"/>
      <c r="D1154" s="252"/>
      <c r="E1154" s="252"/>
      <c r="F1154" s="252"/>
      <c r="G1154" s="252"/>
      <c r="H1154" s="252"/>
      <c r="I1154" s="252"/>
      <c r="J1154" s="252"/>
      <c r="K1154" s="252"/>
      <c r="L1154"/>
      <c r="M1154"/>
    </row>
    <row r="1155" spans="1:13" s="79" customFormat="1" x14ac:dyDescent="0.35">
      <c r="A1155" s="251"/>
      <c r="B1155" s="22"/>
      <c r="C1155" s="252"/>
      <c r="D1155" s="252"/>
      <c r="E1155" s="252"/>
      <c r="F1155" s="252"/>
      <c r="G1155" s="252"/>
      <c r="H1155" s="252"/>
      <c r="I1155" s="252"/>
      <c r="J1155" s="252"/>
      <c r="K1155" s="252"/>
      <c r="L1155"/>
      <c r="M1155"/>
    </row>
    <row r="1156" spans="1:13" s="79" customFormat="1" x14ac:dyDescent="0.35">
      <c r="A1156" s="251"/>
      <c r="B1156" s="22"/>
      <c r="C1156" s="252"/>
      <c r="D1156" s="252"/>
      <c r="E1156" s="252"/>
      <c r="F1156" s="252"/>
      <c r="G1156" s="252"/>
      <c r="H1156" s="252"/>
      <c r="I1156" s="252"/>
      <c r="J1156" s="252"/>
      <c r="K1156" s="252"/>
      <c r="L1156"/>
      <c r="M1156"/>
    </row>
    <row r="1157" spans="1:13" s="79" customFormat="1" x14ac:dyDescent="0.35">
      <c r="A1157" s="251"/>
      <c r="B1157" s="22"/>
      <c r="C1157" s="252"/>
      <c r="D1157" s="252"/>
      <c r="E1157" s="252"/>
      <c r="F1157" s="252"/>
      <c r="G1157" s="252"/>
      <c r="H1157" s="252"/>
      <c r="I1157" s="252"/>
      <c r="J1157" s="252"/>
      <c r="K1157" s="252"/>
      <c r="L1157"/>
      <c r="M1157"/>
    </row>
    <row r="1158" spans="1:13" s="79" customFormat="1" x14ac:dyDescent="0.35">
      <c r="A1158" s="251"/>
      <c r="B1158" s="22"/>
      <c r="C1158" s="252"/>
      <c r="D1158" s="252"/>
      <c r="E1158" s="252"/>
      <c r="F1158" s="252"/>
      <c r="G1158" s="252"/>
      <c r="H1158" s="252"/>
      <c r="I1158" s="252"/>
      <c r="J1158" s="252"/>
      <c r="K1158" s="252"/>
      <c r="L1158"/>
      <c r="M1158"/>
    </row>
    <row r="1159" spans="1:13" s="79" customFormat="1" x14ac:dyDescent="0.35">
      <c r="A1159" s="251"/>
      <c r="B1159" s="22"/>
      <c r="C1159" s="252"/>
      <c r="D1159" s="252"/>
      <c r="E1159" s="252"/>
      <c r="F1159" s="252"/>
      <c r="G1159" s="252"/>
      <c r="H1159" s="252"/>
      <c r="I1159" s="252"/>
      <c r="J1159" s="252"/>
      <c r="K1159" s="252"/>
      <c r="L1159"/>
      <c r="M1159"/>
    </row>
    <row r="1160" spans="1:13" s="79" customFormat="1" x14ac:dyDescent="0.35">
      <c r="A1160" s="251"/>
      <c r="B1160" s="22"/>
      <c r="C1160" s="252"/>
      <c r="D1160" s="252"/>
      <c r="E1160" s="252"/>
      <c r="F1160" s="252"/>
      <c r="G1160" s="252"/>
      <c r="H1160" s="252"/>
      <c r="I1160" s="252"/>
      <c r="J1160" s="252"/>
      <c r="K1160" s="252"/>
      <c r="L1160"/>
      <c r="M1160"/>
    </row>
    <row r="1161" spans="1:13" s="79" customFormat="1" x14ac:dyDescent="0.35">
      <c r="A1161" s="251"/>
      <c r="B1161" s="22"/>
      <c r="C1161" s="252"/>
      <c r="D1161" s="252"/>
      <c r="E1161" s="252"/>
      <c r="F1161" s="252"/>
      <c r="G1161" s="252"/>
      <c r="H1161" s="252"/>
      <c r="I1161" s="252"/>
      <c r="J1161" s="252"/>
      <c r="K1161" s="252"/>
      <c r="L1161"/>
      <c r="M1161"/>
    </row>
    <row r="1162" spans="1:13" s="79" customFormat="1" x14ac:dyDescent="0.35">
      <c r="A1162" s="251"/>
      <c r="B1162" s="22"/>
      <c r="C1162" s="252"/>
      <c r="D1162" s="252"/>
      <c r="E1162" s="252"/>
      <c r="F1162" s="252"/>
      <c r="G1162" s="252"/>
      <c r="H1162" s="252"/>
      <c r="I1162" s="252"/>
      <c r="J1162" s="252"/>
      <c r="K1162" s="252"/>
      <c r="L1162"/>
      <c r="M1162"/>
    </row>
    <row r="1163" spans="1:13" s="79" customFormat="1" x14ac:dyDescent="0.35">
      <c r="A1163" s="251"/>
      <c r="B1163" s="22"/>
      <c r="C1163" s="252"/>
      <c r="D1163" s="252"/>
      <c r="E1163" s="252"/>
      <c r="F1163" s="252"/>
      <c r="G1163" s="252"/>
      <c r="H1163" s="252"/>
      <c r="I1163" s="252"/>
      <c r="J1163" s="252"/>
      <c r="K1163" s="252"/>
      <c r="L1163"/>
      <c r="M1163"/>
    </row>
    <row r="1164" spans="1:13" s="79" customFormat="1" x14ac:dyDescent="0.35">
      <c r="A1164" s="251"/>
      <c r="B1164" s="22"/>
      <c r="C1164" s="252"/>
      <c r="D1164" s="252"/>
      <c r="E1164" s="252"/>
      <c r="F1164" s="252"/>
      <c r="G1164" s="252"/>
      <c r="H1164" s="252"/>
      <c r="I1164" s="252"/>
      <c r="J1164" s="252"/>
      <c r="K1164" s="252"/>
      <c r="L1164"/>
      <c r="M1164"/>
    </row>
    <row r="1165" spans="1:13" s="79" customFormat="1" x14ac:dyDescent="0.35">
      <c r="A1165" s="251"/>
      <c r="B1165" s="22"/>
      <c r="C1165" s="252"/>
      <c r="D1165" s="252"/>
      <c r="E1165" s="252"/>
      <c r="F1165" s="252"/>
      <c r="G1165" s="252"/>
      <c r="H1165" s="252"/>
      <c r="I1165" s="252"/>
      <c r="J1165" s="252"/>
      <c r="K1165" s="252"/>
      <c r="L1165"/>
      <c r="M1165"/>
    </row>
    <row r="1166" spans="1:13" s="79" customFormat="1" x14ac:dyDescent="0.35">
      <c r="A1166" s="251"/>
      <c r="B1166" s="22"/>
      <c r="C1166" s="252"/>
      <c r="D1166" s="252"/>
      <c r="E1166" s="252"/>
      <c r="F1166" s="252"/>
      <c r="G1166" s="252"/>
      <c r="H1166" s="252"/>
      <c r="I1166" s="252"/>
      <c r="J1166" s="252"/>
      <c r="K1166" s="252"/>
      <c r="L1166"/>
      <c r="M1166"/>
    </row>
    <row r="1167" spans="1:13" s="79" customFormat="1" x14ac:dyDescent="0.35">
      <c r="A1167" s="251"/>
      <c r="B1167" s="22"/>
      <c r="C1167" s="252"/>
      <c r="D1167" s="252"/>
      <c r="E1167" s="252"/>
      <c r="F1167" s="252"/>
      <c r="G1167" s="252"/>
      <c r="H1167" s="252"/>
      <c r="I1167" s="252"/>
      <c r="J1167" s="252"/>
      <c r="K1167" s="252"/>
      <c r="L1167"/>
      <c r="M1167"/>
    </row>
    <row r="1168" spans="1:13" s="79" customFormat="1" x14ac:dyDescent="0.35">
      <c r="A1168" s="251"/>
      <c r="B1168" s="22"/>
      <c r="C1168" s="252"/>
      <c r="D1168" s="252"/>
      <c r="E1168" s="252"/>
      <c r="F1168" s="252"/>
      <c r="G1168" s="252"/>
      <c r="H1168" s="252"/>
      <c r="I1168" s="252"/>
      <c r="J1168" s="252"/>
      <c r="K1168" s="252"/>
      <c r="L1168"/>
      <c r="M1168"/>
    </row>
    <row r="1169" spans="1:13" s="79" customFormat="1" x14ac:dyDescent="0.35">
      <c r="A1169" s="251"/>
      <c r="B1169" s="22"/>
      <c r="C1169" s="252"/>
      <c r="D1169" s="252"/>
      <c r="E1169" s="252"/>
      <c r="F1169" s="252"/>
      <c r="G1169" s="252"/>
      <c r="H1169" s="252"/>
      <c r="I1169" s="252"/>
      <c r="J1169" s="252"/>
      <c r="K1169" s="252"/>
      <c r="L1169"/>
      <c r="M1169"/>
    </row>
    <row r="1170" spans="1:13" s="79" customFormat="1" x14ac:dyDescent="0.35">
      <c r="A1170" s="251"/>
      <c r="B1170" s="22"/>
      <c r="C1170" s="252"/>
      <c r="D1170" s="252"/>
      <c r="E1170" s="252"/>
      <c r="F1170" s="252"/>
      <c r="G1170" s="252"/>
      <c r="H1170" s="252"/>
      <c r="I1170" s="252"/>
      <c r="J1170" s="252"/>
      <c r="K1170" s="252"/>
      <c r="L1170"/>
      <c r="M1170"/>
    </row>
    <row r="1171" spans="1:13" s="79" customFormat="1" x14ac:dyDescent="0.35">
      <c r="A1171" s="251"/>
      <c r="B1171" s="22"/>
      <c r="C1171" s="252"/>
      <c r="D1171" s="252"/>
      <c r="E1171" s="252"/>
      <c r="F1171" s="252"/>
      <c r="G1171" s="252"/>
      <c r="H1171" s="252"/>
      <c r="I1171" s="252"/>
      <c r="J1171" s="252"/>
      <c r="K1171" s="252"/>
      <c r="L1171"/>
      <c r="M1171"/>
    </row>
    <row r="1172" spans="1:13" s="79" customFormat="1" x14ac:dyDescent="0.35">
      <c r="A1172" s="251"/>
      <c r="B1172" s="22"/>
      <c r="C1172" s="252"/>
      <c r="D1172" s="252"/>
      <c r="E1172" s="252"/>
      <c r="F1172" s="252"/>
      <c r="G1172" s="252"/>
      <c r="H1172" s="252"/>
      <c r="I1172" s="252"/>
      <c r="J1172" s="252"/>
      <c r="K1172" s="252"/>
      <c r="L1172"/>
      <c r="M1172"/>
    </row>
    <row r="1173" spans="1:13" s="79" customFormat="1" x14ac:dyDescent="0.35">
      <c r="A1173" s="251"/>
      <c r="B1173" s="22"/>
      <c r="C1173" s="252"/>
      <c r="D1173" s="252"/>
      <c r="E1173" s="252"/>
      <c r="F1173" s="252"/>
      <c r="G1173" s="252"/>
      <c r="H1173" s="252"/>
      <c r="I1173" s="252"/>
      <c r="J1173" s="252"/>
      <c r="K1173" s="252"/>
      <c r="L1173"/>
      <c r="M1173"/>
    </row>
    <row r="1174" spans="1:13" s="79" customFormat="1" x14ac:dyDescent="0.35">
      <c r="A1174" s="251"/>
      <c r="B1174" s="22"/>
      <c r="C1174" s="252"/>
      <c r="D1174" s="252"/>
      <c r="E1174" s="252"/>
      <c r="F1174" s="252"/>
      <c r="G1174" s="252"/>
      <c r="H1174" s="252"/>
      <c r="I1174" s="252"/>
      <c r="J1174" s="252"/>
      <c r="K1174" s="252"/>
      <c r="L1174"/>
      <c r="M1174"/>
    </row>
    <row r="1175" spans="1:13" s="79" customFormat="1" x14ac:dyDescent="0.35">
      <c r="A1175" s="251"/>
      <c r="B1175" s="22"/>
      <c r="C1175" s="252"/>
      <c r="D1175" s="252"/>
      <c r="E1175" s="252"/>
      <c r="F1175" s="252"/>
      <c r="G1175" s="252"/>
      <c r="H1175" s="252"/>
      <c r="I1175" s="252"/>
      <c r="J1175" s="252"/>
      <c r="K1175" s="252"/>
      <c r="L1175"/>
      <c r="M1175"/>
    </row>
    <row r="1176" spans="1:13" s="79" customFormat="1" x14ac:dyDescent="0.35">
      <c r="A1176" s="251"/>
      <c r="B1176" s="22"/>
      <c r="C1176" s="252"/>
      <c r="D1176" s="252"/>
      <c r="E1176" s="252"/>
      <c r="F1176" s="252"/>
      <c r="G1176" s="252"/>
      <c r="H1176" s="252"/>
      <c r="I1176" s="252"/>
      <c r="J1176" s="252"/>
      <c r="K1176" s="252"/>
      <c r="L1176"/>
      <c r="M1176"/>
    </row>
    <row r="1177" spans="1:13" s="79" customFormat="1" x14ac:dyDescent="0.35">
      <c r="A1177" s="251"/>
      <c r="B1177" s="22"/>
      <c r="C1177" s="252"/>
      <c r="D1177" s="252"/>
      <c r="E1177" s="252"/>
      <c r="F1177" s="252"/>
      <c r="G1177" s="252"/>
      <c r="H1177" s="252"/>
      <c r="I1177" s="252"/>
      <c r="J1177" s="252"/>
      <c r="K1177" s="252"/>
      <c r="L1177"/>
      <c r="M1177"/>
    </row>
    <row r="1178" spans="1:13" s="79" customFormat="1" x14ac:dyDescent="0.35">
      <c r="A1178" s="251"/>
      <c r="B1178" s="22"/>
      <c r="C1178" s="252"/>
      <c r="D1178" s="252"/>
      <c r="E1178" s="252"/>
      <c r="F1178" s="252"/>
      <c r="G1178" s="252"/>
      <c r="H1178" s="252"/>
      <c r="I1178" s="252"/>
      <c r="J1178" s="252"/>
      <c r="K1178" s="252"/>
      <c r="L1178"/>
      <c r="M1178"/>
    </row>
    <row r="1179" spans="1:13" s="79" customFormat="1" x14ac:dyDescent="0.35">
      <c r="A1179" s="251"/>
      <c r="B1179" s="22"/>
      <c r="C1179" s="252"/>
      <c r="D1179" s="252"/>
      <c r="E1179" s="252"/>
      <c r="F1179" s="252"/>
      <c r="G1179" s="252"/>
      <c r="H1179" s="252"/>
      <c r="I1179" s="252"/>
      <c r="J1179" s="252"/>
      <c r="K1179" s="252"/>
      <c r="L1179"/>
      <c r="M1179"/>
    </row>
    <row r="1180" spans="1:13" s="79" customFormat="1" x14ac:dyDescent="0.35">
      <c r="A1180" s="251"/>
      <c r="B1180" s="22"/>
      <c r="C1180" s="252"/>
      <c r="D1180" s="252"/>
      <c r="E1180" s="252"/>
      <c r="F1180" s="252"/>
      <c r="G1180" s="252"/>
      <c r="H1180" s="252"/>
      <c r="I1180" s="252"/>
      <c r="J1180" s="252"/>
      <c r="K1180" s="252"/>
      <c r="L1180"/>
      <c r="M1180"/>
    </row>
    <row r="1181" spans="1:13" s="79" customFormat="1" x14ac:dyDescent="0.35">
      <c r="A1181" s="251"/>
      <c r="B1181" s="22"/>
      <c r="C1181" s="252"/>
      <c r="D1181" s="252"/>
      <c r="E1181" s="252"/>
      <c r="F1181" s="252"/>
      <c r="G1181" s="252"/>
      <c r="H1181" s="252"/>
      <c r="I1181" s="252"/>
      <c r="J1181" s="252"/>
      <c r="K1181" s="252"/>
      <c r="L1181"/>
      <c r="M1181"/>
    </row>
    <row r="1182" spans="1:13" s="79" customFormat="1" x14ac:dyDescent="0.35">
      <c r="A1182" s="251"/>
      <c r="B1182" s="22"/>
      <c r="C1182" s="252"/>
      <c r="D1182" s="252"/>
      <c r="E1182" s="252"/>
      <c r="F1182" s="252"/>
      <c r="G1182" s="252"/>
      <c r="H1182" s="252"/>
      <c r="I1182" s="252"/>
      <c r="J1182" s="252"/>
      <c r="K1182" s="252"/>
      <c r="L1182"/>
      <c r="M1182"/>
    </row>
    <row r="1183" spans="1:13" s="79" customFormat="1" x14ac:dyDescent="0.35">
      <c r="A1183" s="251"/>
      <c r="B1183" s="22"/>
      <c r="C1183" s="252"/>
      <c r="D1183" s="252"/>
      <c r="E1183" s="252"/>
      <c r="F1183" s="252"/>
      <c r="G1183" s="252"/>
      <c r="H1183" s="252"/>
      <c r="I1183" s="252"/>
      <c r="J1183" s="252"/>
      <c r="K1183" s="252"/>
      <c r="L1183"/>
      <c r="M1183"/>
    </row>
    <row r="1184" spans="1:13" s="79" customFormat="1" x14ac:dyDescent="0.35">
      <c r="A1184" s="251"/>
      <c r="B1184" s="22"/>
      <c r="C1184" s="252"/>
      <c r="D1184" s="252"/>
      <c r="E1184" s="252"/>
      <c r="F1184" s="252"/>
      <c r="G1184" s="252"/>
      <c r="H1184" s="252"/>
      <c r="I1184" s="252"/>
      <c r="J1184" s="252"/>
      <c r="K1184" s="252"/>
      <c r="L1184"/>
      <c r="M1184"/>
    </row>
    <row r="1185" spans="1:13" s="79" customFormat="1" x14ac:dyDescent="0.35">
      <c r="A1185" s="251"/>
      <c r="B1185" s="22"/>
      <c r="C1185" s="252"/>
      <c r="D1185" s="252"/>
      <c r="E1185" s="252"/>
      <c r="F1185" s="252"/>
      <c r="G1185" s="252"/>
      <c r="H1185" s="252"/>
      <c r="I1185" s="252"/>
      <c r="J1185" s="252"/>
      <c r="K1185" s="252"/>
      <c r="L1185"/>
      <c r="M1185"/>
    </row>
    <row r="1186" spans="1:13" s="79" customFormat="1" x14ac:dyDescent="0.35">
      <c r="A1186" s="251"/>
      <c r="B1186" s="22"/>
      <c r="C1186" s="252"/>
      <c r="D1186" s="252"/>
      <c r="E1186" s="252"/>
      <c r="F1186" s="252"/>
      <c r="G1186" s="252"/>
      <c r="H1186" s="252"/>
      <c r="I1186" s="252"/>
      <c r="J1186" s="252"/>
      <c r="K1186" s="252"/>
      <c r="L1186"/>
      <c r="M1186"/>
    </row>
    <row r="1187" spans="1:13" s="79" customFormat="1" x14ac:dyDescent="0.35">
      <c r="A1187" s="251"/>
      <c r="B1187" s="22"/>
      <c r="C1187" s="252"/>
      <c r="D1187" s="252"/>
      <c r="E1187" s="252"/>
      <c r="F1187" s="252"/>
      <c r="G1187" s="252"/>
      <c r="H1187" s="252"/>
      <c r="I1187" s="252"/>
      <c r="J1187" s="252"/>
      <c r="K1187" s="252"/>
      <c r="L1187"/>
      <c r="M1187"/>
    </row>
    <row r="1188" spans="1:13" s="79" customFormat="1" x14ac:dyDescent="0.35">
      <c r="A1188" s="251"/>
      <c r="B1188" s="22"/>
      <c r="C1188" s="252"/>
      <c r="D1188" s="252"/>
      <c r="E1188" s="252"/>
      <c r="F1188" s="252"/>
      <c r="G1188" s="252"/>
      <c r="H1188" s="252"/>
      <c r="I1188" s="252"/>
      <c r="J1188" s="252"/>
      <c r="K1188" s="252"/>
      <c r="L1188"/>
      <c r="M1188"/>
    </row>
    <row r="1189" spans="1:13" s="79" customFormat="1" x14ac:dyDescent="0.35">
      <c r="A1189" s="251"/>
      <c r="B1189" s="22"/>
      <c r="C1189" s="252"/>
      <c r="D1189" s="252"/>
      <c r="E1189" s="252"/>
      <c r="F1189" s="252"/>
      <c r="G1189" s="252"/>
      <c r="H1189" s="252"/>
      <c r="I1189" s="252"/>
      <c r="J1189" s="252"/>
      <c r="K1189" s="252"/>
      <c r="L1189"/>
      <c r="M1189"/>
    </row>
    <row r="1190" spans="1:13" s="79" customFormat="1" x14ac:dyDescent="0.35">
      <c r="A1190" s="251"/>
      <c r="B1190" s="22"/>
      <c r="C1190" s="252"/>
      <c r="D1190" s="252"/>
      <c r="E1190" s="252"/>
      <c r="F1190" s="252"/>
      <c r="G1190" s="252"/>
      <c r="H1190" s="252"/>
      <c r="I1190" s="252"/>
      <c r="J1190" s="252"/>
      <c r="K1190" s="252"/>
      <c r="L1190"/>
      <c r="M1190"/>
    </row>
    <row r="1191" spans="1:13" s="79" customFormat="1" x14ac:dyDescent="0.35">
      <c r="A1191" s="251"/>
      <c r="B1191" s="22"/>
      <c r="C1191" s="252"/>
      <c r="D1191" s="252"/>
      <c r="E1191" s="252"/>
      <c r="F1191" s="252"/>
      <c r="G1191" s="252"/>
      <c r="H1191" s="252"/>
      <c r="I1191" s="252"/>
      <c r="J1191" s="252"/>
      <c r="K1191" s="252"/>
      <c r="L1191"/>
      <c r="M1191"/>
    </row>
    <row r="1192" spans="1:13" s="79" customFormat="1" x14ac:dyDescent="0.35">
      <c r="A1192" s="251"/>
      <c r="B1192" s="22"/>
      <c r="C1192" s="252"/>
      <c r="D1192" s="252"/>
      <c r="E1192" s="252"/>
      <c r="F1192" s="252"/>
      <c r="G1192" s="252"/>
      <c r="H1192" s="252"/>
      <c r="I1192" s="252"/>
      <c r="J1192" s="252"/>
      <c r="K1192" s="252"/>
      <c r="L1192"/>
      <c r="M1192"/>
    </row>
    <row r="1193" spans="1:13" s="79" customFormat="1" x14ac:dyDescent="0.35">
      <c r="A1193" s="251"/>
      <c r="B1193" s="22"/>
      <c r="C1193" s="252"/>
      <c r="D1193" s="252"/>
      <c r="E1193" s="252"/>
      <c r="F1193" s="252"/>
      <c r="G1193" s="252"/>
      <c r="H1193" s="252"/>
      <c r="I1193" s="252"/>
      <c r="J1193" s="252"/>
      <c r="K1193" s="252"/>
      <c r="L1193"/>
      <c r="M1193"/>
    </row>
    <row r="1194" spans="1:13" s="79" customFormat="1" x14ac:dyDescent="0.35">
      <c r="A1194" s="251"/>
      <c r="B1194" s="22"/>
      <c r="C1194" s="252"/>
      <c r="D1194" s="252"/>
      <c r="E1194" s="252"/>
      <c r="F1194" s="252"/>
      <c r="G1194" s="252"/>
      <c r="H1194" s="252"/>
      <c r="I1194" s="252"/>
      <c r="J1194" s="252"/>
      <c r="K1194" s="252"/>
      <c r="L1194"/>
      <c r="M1194"/>
    </row>
    <row r="1195" spans="1:13" s="79" customFormat="1" x14ac:dyDescent="0.35">
      <c r="A1195" s="251"/>
      <c r="B1195" s="22"/>
      <c r="C1195" s="252"/>
      <c r="D1195" s="252"/>
      <c r="E1195" s="252"/>
      <c r="F1195" s="252"/>
      <c r="G1195" s="252"/>
      <c r="H1195" s="252"/>
      <c r="I1195" s="252"/>
      <c r="J1195" s="252"/>
      <c r="K1195" s="252"/>
      <c r="L1195"/>
      <c r="M1195"/>
    </row>
    <row r="1196" spans="1:13" s="79" customFormat="1" x14ac:dyDescent="0.35">
      <c r="A1196" s="251"/>
      <c r="B1196" s="22"/>
      <c r="C1196" s="252"/>
      <c r="D1196" s="252"/>
      <c r="E1196" s="252"/>
      <c r="F1196" s="252"/>
      <c r="G1196" s="252"/>
      <c r="H1196" s="252"/>
      <c r="I1196" s="252"/>
      <c r="J1196" s="252"/>
      <c r="K1196" s="252"/>
      <c r="L1196"/>
      <c r="M1196"/>
    </row>
    <row r="1197" spans="1:13" s="79" customFormat="1" x14ac:dyDescent="0.35">
      <c r="A1197" s="251"/>
      <c r="B1197" s="22"/>
      <c r="C1197" s="252"/>
      <c r="D1197" s="252"/>
      <c r="E1197" s="252"/>
      <c r="F1197" s="252"/>
      <c r="G1197" s="252"/>
      <c r="H1197" s="252"/>
      <c r="I1197" s="252"/>
      <c r="J1197" s="252"/>
      <c r="K1197" s="252"/>
      <c r="L1197"/>
      <c r="M1197"/>
    </row>
    <row r="1198" spans="1:13" s="79" customFormat="1" x14ac:dyDescent="0.35">
      <c r="A1198" s="251"/>
      <c r="B1198" s="22"/>
      <c r="C1198" s="252"/>
      <c r="D1198" s="252"/>
      <c r="E1198" s="252"/>
      <c r="F1198" s="252"/>
      <c r="G1198" s="252"/>
      <c r="H1198" s="252"/>
      <c r="I1198" s="252"/>
      <c r="J1198" s="252"/>
      <c r="K1198" s="252"/>
      <c r="L1198"/>
      <c r="M1198"/>
    </row>
    <row r="1199" spans="1:13" s="79" customFormat="1" x14ac:dyDescent="0.35">
      <c r="A1199" s="251"/>
      <c r="B1199" s="22"/>
      <c r="C1199" s="252"/>
      <c r="D1199" s="252"/>
      <c r="E1199" s="252"/>
      <c r="F1199" s="252"/>
      <c r="G1199" s="252"/>
      <c r="H1199" s="252"/>
      <c r="I1199" s="252"/>
      <c r="J1199" s="252"/>
      <c r="K1199" s="252"/>
      <c r="L1199"/>
      <c r="M1199"/>
    </row>
    <row r="1200" spans="1:13" s="79" customFormat="1" x14ac:dyDescent="0.35">
      <c r="A1200" s="251"/>
      <c r="B1200" s="22"/>
      <c r="C1200" s="252"/>
      <c r="D1200" s="252"/>
      <c r="E1200" s="252"/>
      <c r="F1200" s="252"/>
      <c r="G1200" s="252"/>
      <c r="H1200" s="252"/>
      <c r="I1200" s="252"/>
      <c r="J1200" s="252"/>
      <c r="K1200" s="252"/>
      <c r="L1200"/>
      <c r="M1200"/>
    </row>
    <row r="1201" spans="1:13" s="79" customFormat="1" x14ac:dyDescent="0.35">
      <c r="A1201" s="251"/>
      <c r="B1201" s="22"/>
      <c r="C1201" s="252"/>
      <c r="D1201" s="252"/>
      <c r="E1201" s="252"/>
      <c r="F1201" s="252"/>
      <c r="G1201" s="252"/>
      <c r="H1201" s="252"/>
      <c r="I1201" s="252"/>
      <c r="J1201" s="252"/>
      <c r="K1201" s="252"/>
      <c r="L1201"/>
      <c r="M1201"/>
    </row>
    <row r="1202" spans="1:13" s="79" customFormat="1" x14ac:dyDescent="0.35">
      <c r="A1202" s="251"/>
      <c r="B1202" s="22"/>
      <c r="C1202" s="252"/>
      <c r="D1202" s="252"/>
      <c r="E1202" s="252"/>
      <c r="F1202" s="252"/>
      <c r="G1202" s="252"/>
      <c r="H1202" s="252"/>
      <c r="I1202" s="252"/>
      <c r="J1202" s="252"/>
      <c r="K1202" s="252"/>
      <c r="L1202"/>
      <c r="M1202"/>
    </row>
    <row r="1203" spans="1:13" s="79" customFormat="1" x14ac:dyDescent="0.35">
      <c r="A1203" s="251"/>
      <c r="B1203" s="22"/>
      <c r="C1203" s="252"/>
      <c r="D1203" s="252"/>
      <c r="E1203" s="252"/>
      <c r="F1203" s="252"/>
      <c r="G1203" s="252"/>
      <c r="H1203" s="252"/>
      <c r="I1203" s="252"/>
      <c r="J1203" s="252"/>
      <c r="K1203" s="252"/>
      <c r="L1203"/>
      <c r="M1203"/>
    </row>
    <row r="1204" spans="1:13" s="79" customFormat="1" x14ac:dyDescent="0.35">
      <c r="A1204" s="251"/>
      <c r="B1204" s="22"/>
      <c r="C1204" s="252"/>
      <c r="D1204" s="252"/>
      <c r="E1204" s="252"/>
      <c r="F1204" s="252"/>
      <c r="G1204" s="252"/>
      <c r="H1204" s="252"/>
      <c r="I1204" s="252"/>
      <c r="J1204" s="252"/>
      <c r="K1204" s="252"/>
      <c r="L1204"/>
      <c r="M1204"/>
    </row>
    <row r="1205" spans="1:13" s="79" customFormat="1" x14ac:dyDescent="0.35">
      <c r="A1205" s="251"/>
      <c r="B1205" s="22"/>
      <c r="C1205" s="252"/>
      <c r="D1205" s="252"/>
      <c r="E1205" s="252"/>
      <c r="F1205" s="252"/>
      <c r="G1205" s="252"/>
      <c r="H1205" s="252"/>
      <c r="I1205" s="252"/>
      <c r="J1205" s="252"/>
      <c r="K1205" s="252"/>
      <c r="L1205"/>
      <c r="M1205"/>
    </row>
    <row r="1206" spans="1:13" s="79" customFormat="1" x14ac:dyDescent="0.35">
      <c r="A1206" s="251"/>
      <c r="B1206" s="22"/>
      <c r="C1206" s="252"/>
      <c r="D1206" s="252"/>
      <c r="E1206" s="252"/>
      <c r="F1206" s="252"/>
      <c r="G1206" s="252"/>
      <c r="H1206" s="252"/>
      <c r="I1206" s="252"/>
      <c r="J1206" s="252"/>
      <c r="K1206" s="252"/>
      <c r="L1206"/>
      <c r="M1206"/>
    </row>
    <row r="1207" spans="1:13" s="79" customFormat="1" x14ac:dyDescent="0.35">
      <c r="A1207" s="251"/>
      <c r="B1207" s="22"/>
      <c r="C1207" s="252"/>
      <c r="D1207" s="252"/>
      <c r="E1207" s="252"/>
      <c r="F1207" s="252"/>
      <c r="G1207" s="252"/>
      <c r="H1207" s="252"/>
      <c r="I1207" s="252"/>
      <c r="J1207" s="252"/>
      <c r="K1207" s="252"/>
      <c r="L1207"/>
      <c r="M1207"/>
    </row>
    <row r="1208" spans="1:13" s="79" customFormat="1" x14ac:dyDescent="0.35">
      <c r="A1208" s="251"/>
      <c r="B1208" s="22"/>
      <c r="C1208" s="252"/>
      <c r="D1208" s="252"/>
      <c r="E1208" s="252"/>
      <c r="F1208" s="252"/>
      <c r="G1208" s="252"/>
      <c r="H1208" s="252"/>
      <c r="I1208" s="252"/>
      <c r="J1208" s="252"/>
      <c r="K1208" s="252"/>
      <c r="L1208"/>
      <c r="M1208"/>
    </row>
    <row r="1209" spans="1:13" s="79" customFormat="1" x14ac:dyDescent="0.35">
      <c r="A1209" s="251"/>
      <c r="B1209" s="22"/>
      <c r="C1209" s="252"/>
      <c r="D1209" s="252"/>
      <c r="E1209" s="252"/>
      <c r="F1209" s="252"/>
      <c r="G1209" s="252"/>
      <c r="H1209" s="252"/>
      <c r="I1209" s="252"/>
      <c r="J1209" s="252"/>
      <c r="K1209" s="252"/>
      <c r="L1209"/>
      <c r="M1209"/>
    </row>
    <row r="1210" spans="1:13" s="79" customFormat="1" x14ac:dyDescent="0.35">
      <c r="A1210" s="251"/>
      <c r="B1210" s="22"/>
      <c r="C1210" s="252"/>
      <c r="D1210" s="252"/>
      <c r="E1210" s="252"/>
      <c r="F1210" s="252"/>
      <c r="G1210" s="252"/>
      <c r="H1210" s="252"/>
      <c r="I1210" s="252"/>
      <c r="J1210" s="252"/>
      <c r="K1210" s="252"/>
      <c r="L1210"/>
      <c r="M1210"/>
    </row>
    <row r="1211" spans="1:13" s="79" customFormat="1" x14ac:dyDescent="0.35">
      <c r="A1211" s="251"/>
      <c r="B1211" s="22"/>
      <c r="C1211" s="252"/>
      <c r="D1211" s="252"/>
      <c r="E1211" s="252"/>
      <c r="F1211" s="252"/>
      <c r="G1211" s="252"/>
      <c r="H1211" s="252"/>
      <c r="I1211" s="252"/>
      <c r="J1211" s="252"/>
      <c r="K1211" s="252"/>
      <c r="L1211"/>
      <c r="M1211"/>
    </row>
    <row r="1212" spans="1:13" s="79" customFormat="1" x14ac:dyDescent="0.35">
      <c r="A1212" s="251"/>
      <c r="B1212" s="22"/>
      <c r="C1212" s="252"/>
      <c r="D1212" s="252"/>
      <c r="E1212" s="252"/>
      <c r="F1212" s="252"/>
      <c r="G1212" s="252"/>
      <c r="H1212" s="252"/>
      <c r="I1212" s="252"/>
      <c r="J1212" s="252"/>
      <c r="K1212" s="252"/>
      <c r="L1212"/>
      <c r="M1212"/>
    </row>
    <row r="1213" spans="1:13" s="79" customFormat="1" x14ac:dyDescent="0.35">
      <c r="A1213" s="251"/>
      <c r="B1213" s="22"/>
      <c r="C1213" s="252"/>
      <c r="D1213" s="252"/>
      <c r="E1213" s="252"/>
      <c r="F1213" s="252"/>
      <c r="G1213" s="252"/>
      <c r="H1213" s="252"/>
      <c r="I1213" s="252"/>
      <c r="J1213" s="252"/>
      <c r="K1213" s="252"/>
      <c r="L1213"/>
      <c r="M1213"/>
    </row>
    <row r="1214" spans="1:13" s="79" customFormat="1" x14ac:dyDescent="0.35">
      <c r="A1214" s="251"/>
      <c r="B1214" s="22"/>
      <c r="C1214" s="252"/>
      <c r="D1214" s="252"/>
      <c r="E1214" s="252"/>
      <c r="F1214" s="252"/>
      <c r="G1214" s="252"/>
      <c r="H1214" s="252"/>
      <c r="I1214" s="252"/>
      <c r="J1214" s="252"/>
      <c r="K1214" s="252"/>
      <c r="L1214"/>
      <c r="M1214"/>
    </row>
    <row r="1215" spans="1:13" s="79" customFormat="1" x14ac:dyDescent="0.35">
      <c r="A1215" s="251"/>
      <c r="B1215" s="22"/>
      <c r="C1215" s="252"/>
      <c r="D1215" s="252"/>
      <c r="E1215" s="252"/>
      <c r="F1215" s="252"/>
      <c r="G1215" s="252"/>
      <c r="H1215" s="252"/>
      <c r="I1215" s="252"/>
      <c r="J1215" s="252"/>
      <c r="K1215" s="252"/>
      <c r="L1215"/>
      <c r="M1215"/>
    </row>
    <row r="1216" spans="1:13" s="79" customFormat="1" x14ac:dyDescent="0.35">
      <c r="A1216" s="251"/>
      <c r="B1216" s="22"/>
      <c r="C1216" s="252"/>
      <c r="D1216" s="252"/>
      <c r="E1216" s="252"/>
      <c r="F1216" s="252"/>
      <c r="G1216" s="252"/>
      <c r="H1216" s="252"/>
      <c r="I1216" s="252"/>
      <c r="J1216" s="252"/>
      <c r="K1216" s="252"/>
      <c r="L1216"/>
      <c r="M1216"/>
    </row>
    <row r="1217" spans="1:13" s="79" customFormat="1" x14ac:dyDescent="0.35">
      <c r="A1217" s="251"/>
      <c r="B1217" s="22"/>
      <c r="C1217" s="252"/>
      <c r="D1217" s="252"/>
      <c r="E1217" s="252"/>
      <c r="F1217" s="252"/>
      <c r="G1217" s="252"/>
      <c r="H1217" s="252"/>
      <c r="I1217" s="252"/>
      <c r="J1217" s="252"/>
      <c r="K1217" s="252"/>
      <c r="L1217"/>
      <c r="M1217"/>
    </row>
    <row r="1218" spans="1:13" s="79" customFormat="1" x14ac:dyDescent="0.35">
      <c r="A1218" s="251"/>
      <c r="B1218" s="22"/>
      <c r="C1218" s="252"/>
      <c r="D1218" s="252"/>
      <c r="E1218" s="252"/>
      <c r="F1218" s="252"/>
      <c r="G1218" s="252"/>
      <c r="H1218" s="252"/>
      <c r="I1218" s="252"/>
      <c r="J1218" s="252"/>
      <c r="K1218" s="252"/>
      <c r="L1218"/>
      <c r="M1218"/>
    </row>
    <row r="1219" spans="1:13" s="79" customFormat="1" x14ac:dyDescent="0.35">
      <c r="A1219" s="251"/>
      <c r="B1219" s="22"/>
      <c r="C1219" s="252"/>
      <c r="D1219" s="252"/>
      <c r="E1219" s="252"/>
      <c r="F1219" s="252"/>
      <c r="G1219" s="252"/>
      <c r="H1219" s="252"/>
      <c r="I1219" s="252"/>
      <c r="J1219" s="252"/>
      <c r="K1219" s="252"/>
      <c r="L1219"/>
      <c r="M1219"/>
    </row>
    <row r="1220" spans="1:13" s="79" customFormat="1" x14ac:dyDescent="0.35">
      <c r="A1220" s="251"/>
      <c r="B1220" s="22"/>
      <c r="C1220" s="252"/>
      <c r="D1220" s="252"/>
      <c r="E1220" s="252"/>
      <c r="F1220" s="252"/>
      <c r="G1220" s="252"/>
      <c r="H1220" s="252"/>
      <c r="I1220" s="252"/>
      <c r="J1220" s="252"/>
      <c r="K1220" s="252"/>
      <c r="L1220"/>
      <c r="M1220"/>
    </row>
    <row r="1221" spans="1:13" s="79" customFormat="1" x14ac:dyDescent="0.35">
      <c r="A1221" s="251"/>
      <c r="B1221" s="22"/>
      <c r="C1221" s="252"/>
      <c r="D1221" s="252"/>
      <c r="E1221" s="252"/>
      <c r="F1221" s="252"/>
      <c r="G1221" s="252"/>
      <c r="H1221" s="252"/>
      <c r="I1221" s="252"/>
      <c r="J1221" s="252"/>
      <c r="K1221" s="252"/>
      <c r="L1221"/>
      <c r="M1221"/>
    </row>
    <row r="1222" spans="1:13" s="79" customFormat="1" x14ac:dyDescent="0.35">
      <c r="A1222" s="251"/>
      <c r="B1222" s="22"/>
      <c r="C1222" s="252"/>
      <c r="D1222" s="252"/>
      <c r="E1222" s="252"/>
      <c r="F1222" s="252"/>
      <c r="G1222" s="252"/>
      <c r="H1222" s="252"/>
      <c r="I1222" s="252"/>
      <c r="J1222" s="252"/>
      <c r="K1222" s="252"/>
      <c r="L1222"/>
      <c r="M1222"/>
    </row>
    <row r="1223" spans="1:13" s="79" customFormat="1" x14ac:dyDescent="0.35">
      <c r="A1223" s="251"/>
      <c r="B1223" s="22"/>
      <c r="C1223" s="252"/>
      <c r="D1223" s="252"/>
      <c r="E1223" s="252"/>
      <c r="F1223" s="252"/>
      <c r="G1223" s="252"/>
      <c r="H1223" s="252"/>
      <c r="I1223" s="252"/>
      <c r="J1223" s="252"/>
      <c r="K1223" s="252"/>
      <c r="L1223"/>
      <c r="M1223"/>
    </row>
    <row r="1224" spans="1:13" s="79" customFormat="1" x14ac:dyDescent="0.35">
      <c r="A1224" s="251"/>
      <c r="B1224" s="22"/>
      <c r="C1224" s="252"/>
      <c r="D1224" s="252"/>
      <c r="E1224" s="252"/>
      <c r="F1224" s="252"/>
      <c r="G1224" s="252"/>
      <c r="H1224" s="252"/>
      <c r="I1224" s="252"/>
      <c r="J1224" s="252"/>
      <c r="K1224" s="252"/>
      <c r="L1224"/>
      <c r="M1224"/>
    </row>
    <row r="1225" spans="1:13" s="79" customFormat="1" x14ac:dyDescent="0.35">
      <c r="A1225" s="251"/>
      <c r="B1225" s="22"/>
      <c r="C1225" s="252"/>
      <c r="D1225" s="252"/>
      <c r="E1225" s="252"/>
      <c r="F1225" s="252"/>
      <c r="G1225" s="252"/>
      <c r="H1225" s="252"/>
      <c r="I1225" s="252"/>
      <c r="J1225" s="252"/>
      <c r="K1225" s="252"/>
      <c r="L1225"/>
      <c r="M1225"/>
    </row>
    <row r="1226" spans="1:13" s="79" customFormat="1" x14ac:dyDescent="0.35">
      <c r="A1226" s="251"/>
      <c r="B1226" s="22"/>
      <c r="C1226" s="252"/>
      <c r="D1226" s="252"/>
      <c r="E1226" s="252"/>
      <c r="F1226" s="252"/>
      <c r="G1226" s="252"/>
      <c r="H1226" s="252"/>
      <c r="I1226" s="252"/>
      <c r="J1226" s="252"/>
      <c r="K1226" s="252"/>
      <c r="L1226"/>
      <c r="M1226"/>
    </row>
    <row r="1227" spans="1:13" s="79" customFormat="1" x14ac:dyDescent="0.35">
      <c r="A1227" s="251"/>
      <c r="B1227" s="22"/>
      <c r="C1227" s="252"/>
      <c r="D1227" s="252"/>
      <c r="E1227" s="252"/>
      <c r="F1227" s="252"/>
      <c r="G1227" s="252"/>
      <c r="H1227" s="252"/>
      <c r="I1227" s="252"/>
      <c r="J1227" s="252"/>
      <c r="K1227" s="252"/>
      <c r="L1227"/>
      <c r="M1227"/>
    </row>
    <row r="1228" spans="1:13" s="79" customFormat="1" x14ac:dyDescent="0.35">
      <c r="A1228" s="251"/>
      <c r="B1228" s="22"/>
      <c r="C1228" s="252"/>
      <c r="D1228" s="252"/>
      <c r="E1228" s="252"/>
      <c r="F1228" s="252"/>
      <c r="G1228" s="252"/>
      <c r="H1228" s="252"/>
      <c r="I1228" s="252"/>
      <c r="J1228" s="252"/>
      <c r="K1228" s="252"/>
      <c r="L1228"/>
      <c r="M1228"/>
    </row>
    <row r="1229" spans="1:13" s="79" customFormat="1" x14ac:dyDescent="0.35">
      <c r="A1229" s="251"/>
      <c r="B1229" s="22"/>
      <c r="C1229" s="252"/>
      <c r="D1229" s="252"/>
      <c r="E1229" s="252"/>
      <c r="F1229" s="252"/>
      <c r="G1229" s="252"/>
      <c r="H1229" s="252"/>
      <c r="I1229" s="252"/>
      <c r="J1229" s="252"/>
      <c r="K1229" s="252"/>
      <c r="L1229"/>
      <c r="M1229"/>
    </row>
    <row r="1230" spans="1:13" s="79" customFormat="1" x14ac:dyDescent="0.35">
      <c r="A1230" s="251"/>
      <c r="B1230" s="22"/>
      <c r="C1230" s="252"/>
      <c r="D1230" s="252"/>
      <c r="E1230" s="252"/>
      <c r="F1230" s="252"/>
      <c r="G1230" s="252"/>
      <c r="H1230" s="252"/>
      <c r="I1230" s="252"/>
      <c r="J1230" s="252"/>
      <c r="K1230" s="252"/>
      <c r="L1230"/>
      <c r="M1230"/>
    </row>
    <row r="1231" spans="1:13" s="79" customFormat="1" x14ac:dyDescent="0.35">
      <c r="A1231" s="251"/>
      <c r="B1231" s="22"/>
      <c r="C1231" s="252"/>
      <c r="D1231" s="252"/>
      <c r="E1231" s="252"/>
      <c r="F1231" s="252"/>
      <c r="G1231" s="252"/>
      <c r="H1231" s="252"/>
      <c r="I1231" s="252"/>
      <c r="J1231" s="252"/>
      <c r="K1231" s="252"/>
      <c r="L1231"/>
      <c r="M1231"/>
    </row>
    <row r="1232" spans="1:13" s="79" customFormat="1" x14ac:dyDescent="0.35">
      <c r="A1232" s="251"/>
      <c r="B1232" s="22"/>
      <c r="C1232" s="252"/>
      <c r="D1232" s="252"/>
      <c r="E1232" s="252"/>
      <c r="F1232" s="252"/>
      <c r="G1232" s="252"/>
      <c r="H1232" s="252"/>
      <c r="I1232" s="252"/>
      <c r="J1232" s="252"/>
      <c r="K1232" s="252"/>
      <c r="L1232"/>
      <c r="M1232"/>
    </row>
    <row r="1233" spans="1:13" s="79" customFormat="1" x14ac:dyDescent="0.35">
      <c r="A1233" s="251"/>
      <c r="B1233" s="22"/>
      <c r="C1233" s="252"/>
      <c r="D1233" s="252"/>
      <c r="E1233" s="252"/>
      <c r="F1233" s="252"/>
      <c r="G1233" s="252"/>
      <c r="H1233" s="252"/>
      <c r="I1233" s="252"/>
      <c r="J1233" s="252"/>
      <c r="K1233" s="252"/>
      <c r="L1233"/>
      <c r="M1233"/>
    </row>
    <row r="1234" spans="1:13" s="79" customFormat="1" x14ac:dyDescent="0.35">
      <c r="A1234" s="251"/>
      <c r="B1234" s="22"/>
      <c r="C1234" s="252"/>
      <c r="D1234" s="252"/>
      <c r="E1234" s="252"/>
      <c r="F1234" s="252"/>
      <c r="G1234" s="252"/>
      <c r="H1234" s="252"/>
      <c r="I1234" s="252"/>
      <c r="J1234" s="252"/>
      <c r="K1234" s="252"/>
      <c r="L1234"/>
      <c r="M1234"/>
    </row>
    <row r="1235" spans="1:13" s="79" customFormat="1" x14ac:dyDescent="0.35">
      <c r="A1235" s="251"/>
      <c r="B1235" s="22"/>
      <c r="C1235" s="252"/>
      <c r="D1235" s="252"/>
      <c r="E1235" s="252"/>
      <c r="F1235" s="252"/>
      <c r="G1235" s="252"/>
      <c r="H1235" s="252"/>
      <c r="I1235" s="252"/>
      <c r="J1235" s="252"/>
      <c r="K1235" s="252"/>
      <c r="L1235"/>
      <c r="M1235"/>
    </row>
    <row r="1236" spans="1:13" s="79" customFormat="1" x14ac:dyDescent="0.35">
      <c r="A1236" s="251"/>
      <c r="B1236" s="22"/>
      <c r="C1236" s="252"/>
      <c r="D1236" s="252"/>
      <c r="E1236" s="252"/>
      <c r="F1236" s="252"/>
      <c r="G1236" s="252"/>
      <c r="H1236" s="252"/>
      <c r="I1236" s="252"/>
      <c r="J1236" s="252"/>
      <c r="K1236" s="252"/>
      <c r="L1236"/>
      <c r="M1236"/>
    </row>
    <row r="1237" spans="1:13" s="79" customFormat="1" x14ac:dyDescent="0.35">
      <c r="A1237" s="251"/>
      <c r="B1237" s="22"/>
      <c r="C1237" s="252"/>
      <c r="D1237" s="252"/>
      <c r="E1237" s="252"/>
      <c r="F1237" s="252"/>
      <c r="G1237" s="252"/>
      <c r="H1237" s="252"/>
      <c r="I1237" s="252"/>
      <c r="J1237" s="252"/>
      <c r="K1237" s="252"/>
      <c r="L1237"/>
      <c r="M1237"/>
    </row>
    <row r="1238" spans="1:13" s="79" customFormat="1" x14ac:dyDescent="0.35">
      <c r="A1238" s="251"/>
      <c r="B1238" s="22"/>
      <c r="C1238" s="252"/>
      <c r="D1238" s="252"/>
      <c r="E1238" s="252"/>
      <c r="F1238" s="252"/>
      <c r="G1238" s="252"/>
      <c r="H1238" s="252"/>
      <c r="I1238" s="252"/>
      <c r="J1238" s="252"/>
      <c r="K1238" s="252"/>
      <c r="L1238"/>
      <c r="M1238"/>
    </row>
    <row r="1239" spans="1:13" s="79" customFormat="1" x14ac:dyDescent="0.35">
      <c r="A1239" s="251"/>
      <c r="B1239" s="22"/>
      <c r="C1239" s="252"/>
      <c r="D1239" s="252"/>
      <c r="E1239" s="252"/>
      <c r="F1239" s="252"/>
      <c r="G1239" s="252"/>
      <c r="H1239" s="252"/>
      <c r="I1239" s="252"/>
      <c r="J1239" s="252"/>
      <c r="K1239" s="252"/>
      <c r="L1239"/>
      <c r="M1239"/>
    </row>
    <row r="1240" spans="1:13" s="79" customFormat="1" x14ac:dyDescent="0.35">
      <c r="A1240" s="251"/>
      <c r="B1240" s="22"/>
      <c r="C1240" s="252"/>
      <c r="D1240" s="252"/>
      <c r="E1240" s="252"/>
      <c r="F1240" s="252"/>
      <c r="G1240" s="252"/>
      <c r="H1240" s="252"/>
      <c r="I1240" s="252"/>
      <c r="J1240" s="252"/>
      <c r="K1240" s="252"/>
      <c r="L1240"/>
      <c r="M1240"/>
    </row>
    <row r="1241" spans="1:13" s="79" customFormat="1" x14ac:dyDescent="0.35">
      <c r="A1241" s="251"/>
      <c r="B1241" s="22"/>
      <c r="C1241" s="252"/>
      <c r="D1241" s="252"/>
      <c r="E1241" s="252"/>
      <c r="F1241" s="252"/>
      <c r="G1241" s="252"/>
      <c r="H1241" s="252"/>
      <c r="I1241" s="252"/>
      <c r="J1241" s="252"/>
      <c r="K1241" s="252"/>
      <c r="L1241"/>
      <c r="M1241"/>
    </row>
    <row r="1242" spans="1:13" s="79" customFormat="1" x14ac:dyDescent="0.35">
      <c r="A1242" s="251"/>
      <c r="B1242" s="22"/>
      <c r="C1242" s="252"/>
      <c r="D1242" s="252"/>
      <c r="E1242" s="252"/>
      <c r="F1242" s="252"/>
      <c r="G1242" s="252"/>
      <c r="H1242" s="252"/>
      <c r="I1242" s="252"/>
      <c r="J1242" s="252"/>
      <c r="K1242" s="252"/>
      <c r="L1242"/>
      <c r="M1242"/>
    </row>
    <row r="1243" spans="1:13" s="79" customFormat="1" x14ac:dyDescent="0.35">
      <c r="A1243" s="251"/>
      <c r="B1243" s="22"/>
      <c r="C1243" s="252"/>
      <c r="D1243" s="252"/>
      <c r="E1243" s="252"/>
      <c r="F1243" s="252"/>
      <c r="G1243" s="252"/>
      <c r="H1243" s="252"/>
      <c r="I1243" s="252"/>
      <c r="J1243" s="252"/>
      <c r="K1243" s="252"/>
      <c r="L1243"/>
      <c r="M1243"/>
    </row>
    <row r="1244" spans="1:13" s="79" customFormat="1" x14ac:dyDescent="0.35">
      <c r="A1244" s="251"/>
      <c r="B1244" s="22"/>
      <c r="C1244" s="252"/>
      <c r="D1244" s="252"/>
      <c r="E1244" s="252"/>
      <c r="F1244" s="252"/>
      <c r="G1244" s="252"/>
      <c r="H1244" s="252"/>
      <c r="I1244" s="252"/>
      <c r="J1244" s="252"/>
      <c r="K1244" s="252"/>
      <c r="L1244"/>
      <c r="M1244"/>
    </row>
    <row r="1245" spans="1:13" s="79" customFormat="1" x14ac:dyDescent="0.35">
      <c r="A1245" s="251"/>
      <c r="B1245" s="22"/>
      <c r="C1245" s="252"/>
      <c r="D1245" s="252"/>
      <c r="E1245" s="252"/>
      <c r="F1245" s="252"/>
      <c r="G1245" s="252"/>
      <c r="H1245" s="252"/>
      <c r="I1245" s="252"/>
      <c r="J1245" s="252"/>
      <c r="K1245" s="252"/>
      <c r="L1245"/>
      <c r="M1245"/>
    </row>
    <row r="1246" spans="1:13" s="79" customFormat="1" x14ac:dyDescent="0.35">
      <c r="A1246" s="251"/>
      <c r="B1246" s="22"/>
      <c r="C1246" s="252"/>
      <c r="D1246" s="252"/>
      <c r="E1246" s="252"/>
      <c r="F1246" s="252"/>
      <c r="G1246" s="252"/>
      <c r="H1246" s="252"/>
      <c r="I1246" s="252"/>
      <c r="J1246" s="252"/>
      <c r="K1246" s="252"/>
      <c r="L1246"/>
      <c r="M1246"/>
    </row>
    <row r="1247" spans="1:13" s="79" customFormat="1" x14ac:dyDescent="0.35">
      <c r="A1247" s="251"/>
      <c r="B1247" s="22"/>
      <c r="C1247" s="252"/>
      <c r="D1247" s="252"/>
      <c r="E1247" s="252"/>
      <c r="F1247" s="252"/>
      <c r="G1247" s="252"/>
      <c r="H1247" s="252"/>
      <c r="I1247" s="252"/>
      <c r="J1247" s="252"/>
      <c r="K1247" s="252"/>
      <c r="L1247"/>
      <c r="M1247"/>
    </row>
    <row r="1248" spans="1:13" s="79" customFormat="1" x14ac:dyDescent="0.35">
      <c r="A1248" s="251"/>
      <c r="B1248" s="22"/>
      <c r="C1248" s="252"/>
      <c r="D1248" s="252"/>
      <c r="E1248" s="252"/>
      <c r="F1248" s="252"/>
      <c r="G1248" s="252"/>
      <c r="H1248" s="252"/>
      <c r="I1248" s="252"/>
      <c r="J1248" s="252"/>
      <c r="K1248" s="252"/>
      <c r="L1248"/>
      <c r="M1248"/>
    </row>
    <row r="1249" spans="1:13" s="79" customFormat="1" x14ac:dyDescent="0.35">
      <c r="A1249" s="251"/>
      <c r="B1249" s="22"/>
      <c r="C1249" s="252"/>
      <c r="D1249" s="252"/>
      <c r="E1249" s="252"/>
      <c r="F1249" s="252"/>
      <c r="G1249" s="252"/>
      <c r="H1249" s="252"/>
      <c r="I1249" s="252"/>
      <c r="J1249" s="252"/>
      <c r="K1249" s="252"/>
      <c r="L1249"/>
      <c r="M1249"/>
    </row>
    <row r="1250" spans="1:13" s="79" customFormat="1" x14ac:dyDescent="0.35">
      <c r="A1250" s="251"/>
      <c r="B1250" s="22"/>
      <c r="C1250" s="252"/>
      <c r="D1250" s="252"/>
      <c r="E1250" s="252"/>
      <c r="F1250" s="252"/>
      <c r="G1250" s="252"/>
      <c r="H1250" s="252"/>
      <c r="I1250" s="252"/>
      <c r="J1250" s="252"/>
      <c r="K1250" s="252"/>
      <c r="L1250"/>
      <c r="M1250"/>
    </row>
    <row r="1251" spans="1:13" s="79" customFormat="1" x14ac:dyDescent="0.35">
      <c r="A1251" s="251"/>
      <c r="B1251" s="22"/>
      <c r="C1251" s="252"/>
      <c r="D1251" s="252"/>
      <c r="E1251" s="252"/>
      <c r="F1251" s="252"/>
      <c r="G1251" s="252"/>
      <c r="H1251" s="252"/>
      <c r="I1251" s="252"/>
      <c r="J1251" s="252"/>
      <c r="K1251" s="252"/>
      <c r="L1251"/>
      <c r="M1251"/>
    </row>
    <row r="1252" spans="1:13" s="79" customFormat="1" x14ac:dyDescent="0.35">
      <c r="A1252" s="251"/>
      <c r="B1252" s="22"/>
      <c r="C1252" s="252"/>
      <c r="D1252" s="252"/>
      <c r="E1252" s="252"/>
      <c r="F1252" s="252"/>
      <c r="G1252" s="252"/>
      <c r="H1252" s="252"/>
      <c r="I1252" s="252"/>
      <c r="J1252" s="252"/>
      <c r="K1252" s="252"/>
      <c r="L1252"/>
      <c r="M1252"/>
    </row>
    <row r="1253" spans="1:13" s="79" customFormat="1" x14ac:dyDescent="0.35">
      <c r="A1253" s="251"/>
      <c r="B1253" s="22"/>
      <c r="C1253" s="252"/>
      <c r="D1253" s="252"/>
      <c r="E1253" s="252"/>
      <c r="F1253" s="252"/>
      <c r="G1253" s="252"/>
      <c r="H1253" s="252"/>
      <c r="I1253" s="252"/>
      <c r="J1253" s="252"/>
      <c r="K1253" s="252"/>
      <c r="L1253"/>
      <c r="M1253"/>
    </row>
    <row r="1254" spans="1:13" s="79" customFormat="1" x14ac:dyDescent="0.35">
      <c r="A1254" s="251"/>
      <c r="B1254" s="22"/>
      <c r="C1254" s="252"/>
      <c r="D1254" s="252"/>
      <c r="E1254" s="252"/>
      <c r="F1254" s="252"/>
      <c r="G1254" s="252"/>
      <c r="H1254" s="252"/>
      <c r="I1254" s="252"/>
      <c r="J1254" s="252"/>
      <c r="K1254" s="252"/>
      <c r="L1254"/>
      <c r="M1254"/>
    </row>
    <row r="1255" spans="1:13" s="79" customFormat="1" x14ac:dyDescent="0.35">
      <c r="A1255" s="251"/>
      <c r="B1255" s="22"/>
      <c r="C1255" s="252"/>
      <c r="D1255" s="252"/>
      <c r="E1255" s="252"/>
      <c r="F1255" s="252"/>
      <c r="G1255" s="252"/>
      <c r="H1255" s="252"/>
      <c r="I1255" s="252"/>
      <c r="J1255" s="252"/>
      <c r="K1255" s="252"/>
      <c r="L1255"/>
      <c r="M1255"/>
    </row>
    <row r="1256" spans="1:13" s="79" customFormat="1" x14ac:dyDescent="0.35">
      <c r="A1256" s="251"/>
      <c r="B1256" s="22"/>
      <c r="C1256" s="252"/>
      <c r="D1256" s="252"/>
      <c r="E1256" s="252"/>
      <c r="F1256" s="252"/>
      <c r="G1256" s="252"/>
      <c r="H1256" s="252"/>
      <c r="I1256" s="252"/>
      <c r="J1256" s="252"/>
      <c r="K1256" s="252"/>
      <c r="L1256"/>
      <c r="M1256"/>
    </row>
    <row r="1257" spans="1:13" s="79" customFormat="1" x14ac:dyDescent="0.35">
      <c r="A1257" s="251"/>
      <c r="B1257" s="22"/>
      <c r="C1257" s="252"/>
      <c r="D1257" s="252"/>
      <c r="E1257" s="252"/>
      <c r="F1257" s="252"/>
      <c r="G1257" s="252"/>
      <c r="H1257" s="252"/>
      <c r="I1257" s="252"/>
      <c r="J1257" s="252"/>
      <c r="K1257" s="252"/>
      <c r="L1257"/>
      <c r="M1257"/>
    </row>
    <row r="1258" spans="1:13" s="79" customFormat="1" x14ac:dyDescent="0.35">
      <c r="A1258" s="251"/>
      <c r="B1258" s="22"/>
      <c r="C1258" s="252"/>
      <c r="D1258" s="252"/>
      <c r="E1258" s="252"/>
      <c r="F1258" s="252"/>
      <c r="G1258" s="252"/>
      <c r="H1258" s="252"/>
      <c r="I1258" s="252"/>
      <c r="J1258" s="252"/>
      <c r="K1258" s="252"/>
      <c r="L1258"/>
      <c r="M1258"/>
    </row>
    <row r="1259" spans="1:13" s="79" customFormat="1" x14ac:dyDescent="0.35">
      <c r="A1259" s="251"/>
      <c r="B1259" s="22"/>
      <c r="C1259" s="252"/>
      <c r="D1259" s="252"/>
      <c r="E1259" s="252"/>
      <c r="F1259" s="252"/>
      <c r="G1259" s="252"/>
      <c r="H1259" s="252"/>
      <c r="I1259" s="252"/>
      <c r="J1259" s="252"/>
      <c r="K1259" s="252"/>
      <c r="L1259"/>
      <c r="M1259"/>
    </row>
    <row r="1260" spans="1:13" s="79" customFormat="1" x14ac:dyDescent="0.35">
      <c r="A1260" s="251"/>
      <c r="B1260" s="22"/>
      <c r="C1260" s="252"/>
      <c r="D1260" s="252"/>
      <c r="E1260" s="252"/>
      <c r="F1260" s="252"/>
      <c r="G1260" s="252"/>
      <c r="H1260" s="252"/>
      <c r="I1260" s="252"/>
      <c r="J1260" s="252"/>
      <c r="K1260" s="252"/>
      <c r="L1260"/>
      <c r="M1260"/>
    </row>
    <row r="1261" spans="1:13" s="79" customFormat="1" x14ac:dyDescent="0.35">
      <c r="A1261" s="251"/>
      <c r="B1261" s="22"/>
      <c r="C1261" s="252"/>
      <c r="D1261" s="252"/>
      <c r="E1261" s="252"/>
      <c r="F1261" s="252"/>
      <c r="G1261" s="252"/>
      <c r="H1261" s="252"/>
      <c r="I1261" s="252"/>
      <c r="J1261" s="252"/>
      <c r="K1261" s="252"/>
      <c r="L1261"/>
      <c r="M1261"/>
    </row>
    <row r="1262" spans="1:13" s="79" customFormat="1" x14ac:dyDescent="0.35">
      <c r="A1262" s="251"/>
      <c r="B1262" s="22"/>
      <c r="C1262" s="252"/>
      <c r="D1262" s="252"/>
      <c r="E1262" s="252"/>
      <c r="F1262" s="252"/>
      <c r="G1262" s="252"/>
      <c r="H1262" s="252"/>
      <c r="I1262" s="252"/>
      <c r="J1262" s="252"/>
      <c r="K1262" s="252"/>
      <c r="L1262"/>
      <c r="M1262"/>
    </row>
    <row r="1263" spans="1:13" s="79" customFormat="1" x14ac:dyDescent="0.35">
      <c r="A1263" s="251"/>
      <c r="B1263" s="22"/>
      <c r="C1263" s="252"/>
      <c r="D1263" s="252"/>
      <c r="E1263" s="252"/>
      <c r="F1263" s="252"/>
      <c r="G1263" s="252"/>
      <c r="H1263" s="252"/>
      <c r="I1263" s="252"/>
      <c r="J1263" s="252"/>
      <c r="K1263" s="252"/>
      <c r="L1263"/>
      <c r="M1263"/>
    </row>
    <row r="1264" spans="1:13" s="79" customFormat="1" x14ac:dyDescent="0.35">
      <c r="A1264" s="251"/>
      <c r="B1264" s="22"/>
      <c r="C1264" s="252"/>
      <c r="D1264" s="252"/>
      <c r="E1264" s="252"/>
      <c r="F1264" s="252"/>
      <c r="G1264" s="252"/>
      <c r="H1264" s="252"/>
      <c r="I1264" s="252"/>
      <c r="J1264" s="252"/>
      <c r="K1264" s="252"/>
      <c r="L1264"/>
      <c r="M1264"/>
    </row>
    <row r="1265" spans="1:13" s="79" customFormat="1" x14ac:dyDescent="0.35">
      <c r="A1265" s="251"/>
      <c r="B1265" s="22"/>
      <c r="C1265" s="252"/>
      <c r="D1265" s="252"/>
      <c r="E1265" s="252"/>
      <c r="F1265" s="252"/>
      <c r="G1265" s="252"/>
      <c r="H1265" s="252"/>
      <c r="I1265" s="252"/>
      <c r="J1265" s="252"/>
      <c r="K1265" s="252"/>
      <c r="L1265"/>
      <c r="M1265"/>
    </row>
    <row r="1266" spans="1:13" s="79" customFormat="1" x14ac:dyDescent="0.35">
      <c r="A1266" s="251"/>
      <c r="B1266" s="22"/>
      <c r="C1266" s="252"/>
      <c r="D1266" s="252"/>
      <c r="E1266" s="252"/>
      <c r="F1266" s="252"/>
      <c r="G1266" s="252"/>
      <c r="H1266" s="252"/>
      <c r="I1266" s="252"/>
      <c r="J1266" s="252"/>
      <c r="K1266" s="252"/>
      <c r="L1266"/>
      <c r="M1266"/>
    </row>
    <row r="1267" spans="1:13" s="79" customFormat="1" x14ac:dyDescent="0.35">
      <c r="A1267" s="251"/>
      <c r="B1267" s="22"/>
      <c r="C1267" s="252"/>
      <c r="D1267" s="252"/>
      <c r="E1267" s="252"/>
      <c r="F1267" s="252"/>
      <c r="G1267" s="252"/>
      <c r="H1267" s="252"/>
      <c r="I1267" s="252"/>
      <c r="J1267" s="252"/>
      <c r="K1267" s="252"/>
      <c r="L1267"/>
      <c r="M1267"/>
    </row>
    <row r="1268" spans="1:13" s="79" customFormat="1" x14ac:dyDescent="0.35">
      <c r="A1268" s="251"/>
      <c r="B1268" s="22"/>
      <c r="C1268" s="252"/>
      <c r="D1268" s="252"/>
      <c r="E1268" s="252"/>
      <c r="F1268" s="252"/>
      <c r="G1268" s="252"/>
      <c r="H1268" s="252"/>
      <c r="I1268" s="252"/>
      <c r="J1268" s="252"/>
      <c r="K1268" s="252"/>
      <c r="L1268"/>
      <c r="M1268"/>
    </row>
    <row r="1269" spans="1:13" s="79" customFormat="1" x14ac:dyDescent="0.35">
      <c r="A1269" s="251"/>
      <c r="B1269" s="22"/>
      <c r="C1269" s="252"/>
      <c r="D1269" s="252"/>
      <c r="E1269" s="252"/>
      <c r="F1269" s="252"/>
      <c r="G1269" s="252"/>
      <c r="H1269" s="252"/>
      <c r="I1269" s="252"/>
      <c r="J1269" s="252"/>
      <c r="K1269" s="252"/>
      <c r="L1269"/>
      <c r="M1269"/>
    </row>
    <row r="1270" spans="1:13" s="79" customFormat="1" x14ac:dyDescent="0.35">
      <c r="A1270" s="251"/>
      <c r="B1270" s="22"/>
      <c r="C1270" s="252"/>
      <c r="D1270" s="252"/>
      <c r="E1270" s="252"/>
      <c r="F1270" s="252"/>
      <c r="G1270" s="252"/>
      <c r="H1270" s="252"/>
      <c r="I1270" s="252"/>
      <c r="J1270" s="252"/>
      <c r="K1270" s="252"/>
      <c r="L1270"/>
      <c r="M1270"/>
    </row>
    <row r="1271" spans="1:13" s="79" customFormat="1" x14ac:dyDescent="0.35">
      <c r="A1271" s="251"/>
      <c r="B1271" s="22"/>
      <c r="C1271" s="252"/>
      <c r="D1271" s="252"/>
      <c r="E1271" s="252"/>
      <c r="F1271" s="252"/>
      <c r="G1271" s="252"/>
      <c r="H1271" s="252"/>
      <c r="I1271" s="252"/>
      <c r="J1271" s="252"/>
      <c r="K1271" s="252"/>
      <c r="L1271"/>
      <c r="M1271"/>
    </row>
    <row r="1272" spans="1:13" s="79" customFormat="1" x14ac:dyDescent="0.35">
      <c r="A1272" s="251"/>
      <c r="B1272" s="22"/>
      <c r="C1272" s="252"/>
      <c r="D1272" s="252"/>
      <c r="E1272" s="252"/>
      <c r="F1272" s="252"/>
      <c r="G1272" s="252"/>
      <c r="H1272" s="252"/>
      <c r="I1272" s="252"/>
      <c r="J1272" s="252"/>
      <c r="K1272" s="252"/>
      <c r="L1272"/>
      <c r="M1272"/>
    </row>
    <row r="1273" spans="1:13" s="79" customFormat="1" x14ac:dyDescent="0.35">
      <c r="A1273" s="251"/>
      <c r="B1273" s="22"/>
      <c r="C1273" s="252"/>
      <c r="D1273" s="252"/>
      <c r="E1273" s="252"/>
      <c r="F1273" s="252"/>
      <c r="G1273" s="252"/>
      <c r="H1273" s="252"/>
      <c r="I1273" s="252"/>
      <c r="J1273" s="252"/>
      <c r="K1273" s="252"/>
      <c r="L1273"/>
      <c r="M1273"/>
    </row>
    <row r="1274" spans="1:13" s="79" customFormat="1" x14ac:dyDescent="0.35">
      <c r="A1274" s="251"/>
      <c r="B1274" s="22"/>
      <c r="C1274" s="252"/>
      <c r="D1274" s="252"/>
      <c r="E1274" s="252"/>
      <c r="F1274" s="252"/>
      <c r="G1274" s="252"/>
      <c r="H1274" s="252"/>
      <c r="I1274" s="252"/>
      <c r="J1274" s="252"/>
      <c r="K1274" s="252"/>
      <c r="L1274"/>
      <c r="M1274"/>
    </row>
    <row r="1275" spans="1:13" s="79" customFormat="1" x14ac:dyDescent="0.35">
      <c r="A1275" s="251"/>
      <c r="B1275" s="22"/>
      <c r="C1275" s="252"/>
      <c r="D1275" s="252"/>
      <c r="E1275" s="252"/>
      <c r="F1275" s="252"/>
      <c r="G1275" s="252"/>
      <c r="H1275" s="252"/>
      <c r="I1275" s="252"/>
      <c r="J1275" s="252"/>
      <c r="K1275" s="252"/>
      <c r="L1275"/>
      <c r="M1275"/>
    </row>
    <row r="1276" spans="1:13" s="79" customFormat="1" x14ac:dyDescent="0.35">
      <c r="A1276" s="251"/>
      <c r="B1276" s="22"/>
      <c r="C1276" s="252"/>
      <c r="D1276" s="252"/>
      <c r="E1276" s="252"/>
      <c r="F1276" s="252"/>
      <c r="G1276" s="252"/>
      <c r="H1276" s="252"/>
      <c r="I1276" s="252"/>
      <c r="J1276" s="252"/>
      <c r="K1276" s="252"/>
      <c r="L1276"/>
      <c r="M1276"/>
    </row>
    <row r="1277" spans="1:13" s="79" customFormat="1" x14ac:dyDescent="0.35">
      <c r="A1277" s="251"/>
      <c r="B1277" s="22"/>
      <c r="C1277" s="252"/>
      <c r="D1277" s="252"/>
      <c r="E1277" s="252"/>
      <c r="F1277" s="252"/>
      <c r="G1277" s="252"/>
      <c r="H1277" s="252"/>
      <c r="I1277" s="252"/>
      <c r="J1277" s="252"/>
      <c r="K1277" s="252"/>
      <c r="L1277"/>
      <c r="M1277"/>
    </row>
    <row r="1278" spans="1:13" s="79" customFormat="1" x14ac:dyDescent="0.35">
      <c r="A1278" s="251"/>
      <c r="B1278" s="22"/>
      <c r="C1278" s="252"/>
      <c r="D1278" s="252"/>
      <c r="E1278" s="252"/>
      <c r="F1278" s="252"/>
      <c r="G1278" s="252"/>
      <c r="H1278" s="252"/>
      <c r="I1278" s="252"/>
      <c r="J1278" s="252"/>
      <c r="K1278" s="252"/>
      <c r="L1278"/>
      <c r="M1278"/>
    </row>
    <row r="1279" spans="1:13" s="79" customFormat="1" x14ac:dyDescent="0.35">
      <c r="A1279" s="251"/>
      <c r="B1279" s="22"/>
      <c r="C1279" s="252"/>
      <c r="D1279" s="252"/>
      <c r="E1279" s="252"/>
      <c r="F1279" s="252"/>
      <c r="G1279" s="252"/>
      <c r="H1279" s="252"/>
      <c r="I1279" s="252"/>
      <c r="J1279" s="252"/>
      <c r="K1279" s="252"/>
      <c r="L1279"/>
      <c r="M1279"/>
    </row>
    <row r="1280" spans="1:13" s="79" customFormat="1" x14ac:dyDescent="0.35">
      <c r="A1280" s="251"/>
      <c r="B1280" s="22"/>
      <c r="C1280" s="252"/>
      <c r="D1280" s="252"/>
      <c r="E1280" s="252"/>
      <c r="F1280" s="252"/>
      <c r="G1280" s="252"/>
      <c r="H1280" s="252"/>
      <c r="I1280" s="252"/>
      <c r="J1280" s="252"/>
      <c r="K1280" s="252"/>
      <c r="L1280"/>
      <c r="M1280"/>
    </row>
    <row r="1281" spans="1:13" s="79" customFormat="1" x14ac:dyDescent="0.35">
      <c r="A1281" s="251"/>
      <c r="B1281" s="22"/>
      <c r="C1281" s="252"/>
      <c r="D1281" s="252"/>
      <c r="E1281" s="252"/>
      <c r="F1281" s="252"/>
      <c r="G1281" s="252"/>
      <c r="H1281" s="252"/>
      <c r="I1281" s="252"/>
      <c r="J1281" s="252"/>
      <c r="K1281" s="252"/>
      <c r="L1281"/>
      <c r="M1281"/>
    </row>
    <row r="1282" spans="1:13" s="79" customFormat="1" x14ac:dyDescent="0.35">
      <c r="A1282" s="251"/>
      <c r="B1282" s="22"/>
      <c r="C1282" s="252"/>
      <c r="D1282" s="252"/>
      <c r="E1282" s="252"/>
      <c r="F1282" s="252"/>
      <c r="G1282" s="252"/>
      <c r="H1282" s="252"/>
      <c r="I1282" s="252"/>
      <c r="J1282" s="252"/>
      <c r="K1282" s="252"/>
      <c r="L1282"/>
      <c r="M1282"/>
    </row>
    <row r="1283" spans="1:13" s="79" customFormat="1" x14ac:dyDescent="0.35">
      <c r="A1283" s="251"/>
      <c r="B1283" s="22"/>
      <c r="C1283" s="252"/>
      <c r="D1283" s="252"/>
      <c r="E1283" s="252"/>
      <c r="F1283" s="252"/>
      <c r="G1283" s="252"/>
      <c r="H1283" s="252"/>
      <c r="I1283" s="252"/>
      <c r="J1283" s="252"/>
      <c r="K1283" s="252"/>
      <c r="L1283"/>
      <c r="M1283"/>
    </row>
    <row r="1284" spans="1:13" s="79" customFormat="1" x14ac:dyDescent="0.35">
      <c r="A1284" s="251"/>
      <c r="B1284" s="22"/>
      <c r="C1284" s="252"/>
      <c r="D1284" s="252"/>
      <c r="E1284" s="252"/>
      <c r="F1284" s="252"/>
      <c r="G1284" s="252"/>
      <c r="H1284" s="252"/>
      <c r="I1284" s="252"/>
      <c r="J1284" s="252"/>
      <c r="K1284" s="252"/>
      <c r="L1284"/>
      <c r="M1284"/>
    </row>
    <row r="1285" spans="1:13" s="79" customFormat="1" x14ac:dyDescent="0.35">
      <c r="A1285" s="251"/>
      <c r="B1285" s="22"/>
      <c r="C1285" s="252"/>
      <c r="D1285" s="252"/>
      <c r="E1285" s="252"/>
      <c r="F1285" s="252"/>
      <c r="G1285" s="252"/>
      <c r="H1285" s="252"/>
      <c r="I1285" s="252"/>
      <c r="J1285" s="252"/>
      <c r="K1285" s="252"/>
      <c r="L1285"/>
      <c r="M1285"/>
    </row>
    <row r="1286" spans="1:13" s="79" customFormat="1" x14ac:dyDescent="0.35">
      <c r="A1286" s="251"/>
      <c r="B1286" s="22"/>
      <c r="C1286" s="252"/>
      <c r="D1286" s="252"/>
      <c r="E1286" s="252"/>
      <c r="F1286" s="252"/>
      <c r="G1286" s="252"/>
      <c r="H1286" s="252"/>
      <c r="I1286" s="252"/>
      <c r="J1286" s="252"/>
      <c r="K1286" s="252"/>
      <c r="L1286"/>
      <c r="M1286"/>
    </row>
    <row r="1287" spans="1:13" s="79" customFormat="1" x14ac:dyDescent="0.35">
      <c r="A1287" s="251"/>
      <c r="B1287" s="22"/>
      <c r="C1287" s="252"/>
      <c r="D1287" s="252"/>
      <c r="E1287" s="252"/>
      <c r="F1287" s="252"/>
      <c r="G1287" s="252"/>
      <c r="H1287" s="252"/>
      <c r="I1287" s="252"/>
      <c r="J1287" s="252"/>
      <c r="K1287" s="252"/>
      <c r="L1287"/>
      <c r="M1287"/>
    </row>
    <row r="1288" spans="1:13" s="79" customFormat="1" x14ac:dyDescent="0.35">
      <c r="A1288" s="251"/>
      <c r="B1288" s="22"/>
      <c r="C1288" s="252"/>
      <c r="D1288" s="252"/>
      <c r="E1288" s="252"/>
      <c r="F1288" s="252"/>
      <c r="G1288" s="252"/>
      <c r="H1288" s="252"/>
      <c r="I1288" s="252"/>
      <c r="J1288" s="252"/>
      <c r="K1288" s="252"/>
      <c r="L1288"/>
      <c r="M1288"/>
    </row>
    <row r="1289" spans="1:13" s="79" customFormat="1" x14ac:dyDescent="0.35">
      <c r="A1289" s="251"/>
      <c r="B1289" s="22"/>
      <c r="C1289" s="252"/>
      <c r="D1289" s="252"/>
      <c r="E1289" s="252"/>
      <c r="F1289" s="252"/>
      <c r="G1289" s="252"/>
      <c r="H1289" s="252"/>
      <c r="I1289" s="252"/>
      <c r="J1289" s="252"/>
      <c r="K1289" s="252"/>
      <c r="L1289"/>
      <c r="M1289"/>
    </row>
    <row r="1290" spans="1:13" s="79" customFormat="1" x14ac:dyDescent="0.35">
      <c r="A1290" s="251"/>
      <c r="B1290" s="22"/>
      <c r="C1290" s="252"/>
      <c r="D1290" s="252"/>
      <c r="E1290" s="252"/>
      <c r="F1290" s="252"/>
      <c r="G1290" s="252"/>
      <c r="H1290" s="252"/>
      <c r="I1290" s="252"/>
      <c r="J1290" s="252"/>
      <c r="K1290" s="252"/>
      <c r="L1290"/>
      <c r="M1290"/>
    </row>
    <row r="1291" spans="1:13" s="79" customFormat="1" x14ac:dyDescent="0.35">
      <c r="A1291" s="251"/>
      <c r="B1291" s="22"/>
      <c r="C1291" s="252"/>
      <c r="D1291" s="252"/>
      <c r="E1291" s="252"/>
      <c r="F1291" s="252"/>
      <c r="G1291" s="252"/>
      <c r="H1291" s="252"/>
      <c r="I1291" s="252"/>
      <c r="J1291" s="252"/>
      <c r="K1291" s="252"/>
      <c r="L1291"/>
      <c r="M1291"/>
    </row>
    <row r="1292" spans="1:13" s="79" customFormat="1" x14ac:dyDescent="0.35">
      <c r="A1292" s="251"/>
      <c r="B1292" s="22"/>
      <c r="C1292" s="252"/>
      <c r="D1292" s="252"/>
      <c r="E1292" s="252"/>
      <c r="F1292" s="252"/>
      <c r="G1292" s="252"/>
      <c r="H1292" s="252"/>
      <c r="I1292" s="252"/>
      <c r="J1292" s="252"/>
      <c r="K1292" s="252"/>
      <c r="L1292"/>
      <c r="M1292"/>
    </row>
    <row r="1293" spans="1:13" s="79" customFormat="1" x14ac:dyDescent="0.35">
      <c r="A1293" s="251"/>
      <c r="B1293" s="22"/>
      <c r="C1293" s="252"/>
      <c r="D1293" s="252"/>
      <c r="E1293" s="252"/>
      <c r="F1293" s="252"/>
      <c r="G1293" s="252"/>
      <c r="H1293" s="252"/>
      <c r="I1293" s="252"/>
      <c r="J1293" s="252"/>
      <c r="K1293" s="252"/>
      <c r="L1293"/>
      <c r="M1293"/>
    </row>
    <row r="1294" spans="1:13" s="79" customFormat="1" x14ac:dyDescent="0.35">
      <c r="A1294" s="251"/>
      <c r="B1294" s="22"/>
      <c r="C1294" s="252"/>
      <c r="D1294" s="252"/>
      <c r="E1294" s="252"/>
      <c r="F1294" s="252"/>
      <c r="G1294" s="252"/>
      <c r="H1294" s="252"/>
      <c r="I1294" s="252"/>
      <c r="J1294" s="252"/>
      <c r="K1294" s="252"/>
      <c r="L1294"/>
      <c r="M1294"/>
    </row>
    <row r="1295" spans="1:13" s="79" customFormat="1" x14ac:dyDescent="0.35">
      <c r="A1295" s="251"/>
      <c r="B1295" s="22"/>
      <c r="C1295" s="252"/>
      <c r="D1295" s="252"/>
      <c r="E1295" s="252"/>
      <c r="F1295" s="252"/>
      <c r="G1295" s="252"/>
      <c r="H1295" s="252"/>
      <c r="I1295" s="252"/>
      <c r="J1295" s="252"/>
      <c r="K1295" s="252"/>
      <c r="L1295"/>
      <c r="M1295"/>
    </row>
    <row r="1296" spans="1:13" s="79" customFormat="1" x14ac:dyDescent="0.35">
      <c r="A1296" s="251"/>
      <c r="B1296" s="22"/>
      <c r="C1296" s="252"/>
      <c r="D1296" s="252"/>
      <c r="E1296" s="252"/>
      <c r="F1296" s="252"/>
      <c r="G1296" s="252"/>
      <c r="H1296" s="252"/>
      <c r="I1296" s="252"/>
      <c r="J1296" s="252"/>
      <c r="K1296" s="252"/>
      <c r="L1296"/>
      <c r="M1296"/>
    </row>
    <row r="1297" spans="1:13" s="79" customFormat="1" x14ac:dyDescent="0.35">
      <c r="A1297" s="251"/>
      <c r="B1297" s="22"/>
      <c r="C1297" s="252"/>
      <c r="D1297" s="252"/>
      <c r="E1297" s="252"/>
      <c r="F1297" s="252"/>
      <c r="G1297" s="252"/>
      <c r="H1297" s="252"/>
      <c r="I1297" s="252"/>
      <c r="J1297" s="252"/>
      <c r="K1297" s="252"/>
      <c r="L1297"/>
      <c r="M1297"/>
    </row>
    <row r="1298" spans="1:13" s="79" customFormat="1" x14ac:dyDescent="0.35">
      <c r="A1298" s="251"/>
      <c r="B1298" s="22"/>
      <c r="C1298" s="252"/>
      <c r="D1298" s="252"/>
      <c r="E1298" s="252"/>
      <c r="F1298" s="252"/>
      <c r="G1298" s="252"/>
      <c r="H1298" s="252"/>
      <c r="I1298" s="252"/>
      <c r="J1298" s="252"/>
      <c r="K1298" s="252"/>
      <c r="L1298"/>
      <c r="M1298"/>
    </row>
    <row r="1299" spans="1:13" s="79" customFormat="1" x14ac:dyDescent="0.35">
      <c r="A1299" s="251"/>
      <c r="B1299" s="22"/>
      <c r="C1299" s="252"/>
      <c r="D1299" s="252"/>
      <c r="E1299" s="252"/>
      <c r="F1299" s="252"/>
      <c r="G1299" s="252"/>
      <c r="H1299" s="252"/>
      <c r="I1299" s="252"/>
      <c r="J1299" s="252"/>
      <c r="K1299" s="252"/>
      <c r="L1299"/>
      <c r="M1299"/>
    </row>
    <row r="1300" spans="1:13" s="79" customFormat="1" x14ac:dyDescent="0.35">
      <c r="A1300" s="251"/>
      <c r="B1300" s="22"/>
      <c r="C1300" s="252"/>
      <c r="D1300" s="252"/>
      <c r="E1300" s="252"/>
      <c r="F1300" s="252"/>
      <c r="G1300" s="252"/>
      <c r="H1300" s="252"/>
      <c r="I1300" s="252"/>
      <c r="J1300" s="252"/>
      <c r="K1300" s="252"/>
      <c r="L1300"/>
      <c r="M1300"/>
    </row>
    <row r="1301" spans="1:13" s="79" customFormat="1" x14ac:dyDescent="0.35">
      <c r="A1301" s="251"/>
      <c r="B1301" s="22"/>
      <c r="C1301" s="252"/>
      <c r="D1301" s="252"/>
      <c r="E1301" s="252"/>
      <c r="F1301" s="252"/>
      <c r="G1301" s="252"/>
      <c r="H1301" s="252"/>
      <c r="I1301" s="252"/>
      <c r="J1301" s="252"/>
      <c r="K1301" s="252"/>
      <c r="L1301"/>
      <c r="M1301"/>
    </row>
    <row r="1302" spans="1:13" s="79" customFormat="1" x14ac:dyDescent="0.35">
      <c r="A1302" s="251"/>
      <c r="B1302" s="22"/>
      <c r="C1302" s="252"/>
      <c r="D1302" s="252"/>
      <c r="E1302" s="252"/>
      <c r="F1302" s="252"/>
      <c r="G1302" s="252"/>
      <c r="H1302" s="252"/>
      <c r="I1302" s="252"/>
      <c r="J1302" s="252"/>
      <c r="K1302" s="252"/>
      <c r="L1302"/>
      <c r="M1302"/>
    </row>
    <row r="1303" spans="1:13" s="79" customFormat="1" x14ac:dyDescent="0.35">
      <c r="A1303" s="251"/>
      <c r="B1303" s="22"/>
      <c r="C1303" s="252"/>
      <c r="D1303" s="252"/>
      <c r="E1303" s="252"/>
      <c r="F1303" s="252"/>
      <c r="G1303" s="252"/>
      <c r="H1303" s="252"/>
      <c r="I1303" s="252"/>
      <c r="J1303" s="252"/>
      <c r="K1303" s="252"/>
      <c r="L1303"/>
      <c r="M1303"/>
    </row>
    <row r="1304" spans="1:13" s="79" customFormat="1" x14ac:dyDescent="0.35">
      <c r="A1304" s="251"/>
      <c r="B1304" s="22"/>
      <c r="C1304" s="252"/>
      <c r="D1304" s="252"/>
      <c r="E1304" s="252"/>
      <c r="F1304" s="252"/>
      <c r="G1304" s="252"/>
      <c r="H1304" s="252"/>
      <c r="I1304" s="252"/>
      <c r="J1304" s="252"/>
      <c r="K1304" s="252"/>
      <c r="L1304"/>
      <c r="M1304"/>
    </row>
    <row r="1305" spans="1:13" s="79" customFormat="1" x14ac:dyDescent="0.35">
      <c r="A1305" s="251"/>
      <c r="B1305" s="22"/>
      <c r="C1305" s="252"/>
      <c r="D1305" s="252"/>
      <c r="E1305" s="252"/>
      <c r="F1305" s="252"/>
      <c r="G1305" s="252"/>
      <c r="H1305" s="252"/>
      <c r="I1305" s="252"/>
      <c r="J1305" s="252"/>
      <c r="K1305" s="252"/>
      <c r="L1305"/>
      <c r="M1305"/>
    </row>
    <row r="1306" spans="1:13" s="79" customFormat="1" x14ac:dyDescent="0.35">
      <c r="A1306" s="251"/>
      <c r="B1306" s="22"/>
      <c r="C1306" s="252"/>
      <c r="D1306" s="252"/>
      <c r="E1306" s="252"/>
      <c r="F1306" s="252"/>
      <c r="G1306" s="252"/>
      <c r="H1306" s="252"/>
      <c r="I1306" s="252"/>
      <c r="J1306" s="252"/>
      <c r="K1306" s="252"/>
      <c r="L1306"/>
      <c r="M1306"/>
    </row>
    <row r="1307" spans="1:13" s="79" customFormat="1" x14ac:dyDescent="0.35">
      <c r="A1307" s="251"/>
      <c r="B1307" s="22"/>
      <c r="C1307" s="252"/>
      <c r="D1307" s="252"/>
      <c r="E1307" s="252"/>
      <c r="F1307" s="252"/>
      <c r="G1307" s="252"/>
      <c r="H1307" s="252"/>
      <c r="I1307" s="252"/>
      <c r="J1307" s="252"/>
      <c r="K1307" s="252"/>
      <c r="L1307"/>
      <c r="M1307"/>
    </row>
    <row r="1308" spans="1:13" s="79" customFormat="1" x14ac:dyDescent="0.35">
      <c r="A1308" s="251"/>
      <c r="B1308" s="22"/>
      <c r="C1308" s="252"/>
      <c r="D1308" s="252"/>
      <c r="E1308" s="252"/>
      <c r="F1308" s="252"/>
      <c r="G1308" s="252"/>
      <c r="H1308" s="252"/>
      <c r="I1308" s="252"/>
      <c r="J1308" s="252"/>
      <c r="K1308" s="252"/>
      <c r="L1308"/>
      <c r="M1308"/>
    </row>
    <row r="1309" spans="1:13" s="79" customFormat="1" x14ac:dyDescent="0.35">
      <c r="A1309" s="251"/>
      <c r="B1309" s="22"/>
      <c r="C1309" s="252"/>
      <c r="D1309" s="252"/>
      <c r="E1309" s="252"/>
      <c r="F1309" s="252"/>
      <c r="G1309" s="252"/>
      <c r="H1309" s="252"/>
      <c r="I1309" s="252"/>
      <c r="J1309" s="252"/>
      <c r="K1309" s="252"/>
      <c r="L1309"/>
      <c r="M1309"/>
    </row>
    <row r="1310" spans="1:13" s="79" customFormat="1" x14ac:dyDescent="0.35">
      <c r="A1310" s="251"/>
      <c r="B1310" s="22"/>
      <c r="C1310" s="252"/>
      <c r="D1310" s="252"/>
      <c r="E1310" s="252"/>
      <c r="F1310" s="252"/>
      <c r="G1310" s="252"/>
      <c r="H1310" s="252"/>
      <c r="I1310" s="252"/>
      <c r="J1310" s="252"/>
      <c r="K1310" s="252"/>
      <c r="L1310"/>
      <c r="M1310"/>
    </row>
    <row r="1311" spans="1:13" s="79" customFormat="1" x14ac:dyDescent="0.35">
      <c r="A1311" s="251"/>
      <c r="B1311" s="22"/>
      <c r="C1311" s="252"/>
      <c r="D1311" s="252"/>
      <c r="E1311" s="252"/>
      <c r="F1311" s="252"/>
      <c r="G1311" s="252"/>
      <c r="H1311" s="252"/>
      <c r="I1311" s="252"/>
      <c r="J1311" s="252"/>
      <c r="K1311" s="252"/>
      <c r="L1311"/>
      <c r="M1311"/>
    </row>
    <row r="1312" spans="1:13" s="79" customFormat="1" x14ac:dyDescent="0.35">
      <c r="A1312" s="251"/>
      <c r="B1312" s="22"/>
      <c r="C1312" s="252"/>
      <c r="D1312" s="252"/>
      <c r="E1312" s="252"/>
      <c r="F1312" s="252"/>
      <c r="G1312" s="252"/>
      <c r="H1312" s="252"/>
      <c r="I1312" s="252"/>
      <c r="J1312" s="252"/>
      <c r="K1312" s="252"/>
      <c r="L1312"/>
      <c r="M1312"/>
    </row>
    <row r="1313" spans="1:13" s="79" customFormat="1" x14ac:dyDescent="0.35">
      <c r="A1313" s="251"/>
      <c r="B1313" s="22"/>
      <c r="C1313" s="252"/>
      <c r="D1313" s="252"/>
      <c r="E1313" s="252"/>
      <c r="F1313" s="252"/>
      <c r="G1313" s="252"/>
      <c r="H1313" s="252"/>
      <c r="I1313" s="252"/>
      <c r="J1313" s="252"/>
      <c r="K1313" s="252"/>
      <c r="L1313"/>
      <c r="M1313"/>
    </row>
    <row r="1314" spans="1:13" s="79" customFormat="1" x14ac:dyDescent="0.35">
      <c r="A1314" s="251"/>
      <c r="B1314" s="22"/>
      <c r="C1314" s="252"/>
      <c r="D1314" s="252"/>
      <c r="E1314" s="252"/>
      <c r="F1314" s="252"/>
      <c r="G1314" s="252"/>
      <c r="H1314" s="252"/>
      <c r="I1314" s="252"/>
      <c r="J1314" s="252"/>
      <c r="K1314" s="252"/>
      <c r="L1314"/>
      <c r="M1314"/>
    </row>
    <row r="1315" spans="1:13" s="79" customFormat="1" x14ac:dyDescent="0.35">
      <c r="A1315" s="251"/>
      <c r="B1315" s="22"/>
      <c r="C1315" s="252"/>
      <c r="D1315" s="252"/>
      <c r="E1315" s="252"/>
      <c r="F1315" s="252"/>
      <c r="G1315" s="252"/>
      <c r="H1315" s="252"/>
      <c r="I1315" s="252"/>
      <c r="J1315" s="252"/>
      <c r="K1315" s="252"/>
      <c r="L1315"/>
      <c r="M1315"/>
    </row>
    <row r="1316" spans="1:13" s="79" customFormat="1" x14ac:dyDescent="0.35">
      <c r="A1316" s="251"/>
      <c r="B1316" s="22"/>
      <c r="C1316" s="252"/>
      <c r="D1316" s="252"/>
      <c r="E1316" s="252"/>
      <c r="F1316" s="252"/>
      <c r="G1316" s="252"/>
      <c r="H1316" s="252"/>
      <c r="I1316" s="252"/>
      <c r="J1316" s="252"/>
      <c r="K1316" s="252"/>
      <c r="L1316"/>
      <c r="M1316"/>
    </row>
    <row r="1317" spans="1:13" s="79" customFormat="1" x14ac:dyDescent="0.35">
      <c r="A1317" s="251"/>
      <c r="B1317" s="22"/>
      <c r="C1317" s="252"/>
      <c r="D1317" s="252"/>
      <c r="E1317" s="252"/>
      <c r="F1317" s="252"/>
      <c r="G1317" s="252"/>
      <c r="H1317" s="252"/>
      <c r="I1317" s="252"/>
      <c r="J1317" s="252"/>
      <c r="K1317" s="252"/>
      <c r="L1317"/>
      <c r="M1317"/>
    </row>
    <row r="1318" spans="1:13" s="79" customFormat="1" x14ac:dyDescent="0.35">
      <c r="A1318" s="251"/>
      <c r="B1318" s="22"/>
      <c r="C1318" s="252"/>
      <c r="D1318" s="252"/>
      <c r="E1318" s="252"/>
      <c r="F1318" s="252"/>
      <c r="G1318" s="252"/>
      <c r="H1318" s="252"/>
      <c r="I1318" s="252"/>
      <c r="J1318" s="252"/>
      <c r="K1318" s="252"/>
      <c r="L1318"/>
      <c r="M1318"/>
    </row>
    <row r="1319" spans="1:13" s="79" customFormat="1" x14ac:dyDescent="0.35">
      <c r="A1319" s="251"/>
      <c r="B1319" s="22"/>
      <c r="C1319" s="252"/>
      <c r="D1319" s="252"/>
      <c r="E1319" s="252"/>
      <c r="F1319" s="252"/>
      <c r="G1319" s="252"/>
      <c r="H1319" s="252"/>
      <c r="I1319" s="252"/>
      <c r="J1319" s="252"/>
      <c r="K1319" s="252"/>
      <c r="L1319"/>
      <c r="M1319"/>
    </row>
    <row r="1320" spans="1:13" s="79" customFormat="1" x14ac:dyDescent="0.35">
      <c r="A1320" s="251"/>
      <c r="B1320" s="22"/>
      <c r="C1320" s="252"/>
      <c r="D1320" s="252"/>
      <c r="E1320" s="252"/>
      <c r="F1320" s="252"/>
      <c r="G1320" s="252"/>
      <c r="H1320" s="252"/>
      <c r="I1320" s="252"/>
      <c r="J1320" s="252"/>
      <c r="K1320" s="252"/>
      <c r="L1320"/>
      <c r="M1320"/>
    </row>
    <row r="1321" spans="1:13" s="79" customFormat="1" x14ac:dyDescent="0.35">
      <c r="A1321" s="251"/>
      <c r="B1321" s="22"/>
      <c r="C1321" s="252"/>
      <c r="D1321" s="252"/>
      <c r="E1321" s="252"/>
      <c r="F1321" s="252"/>
      <c r="G1321" s="252"/>
      <c r="H1321" s="252"/>
      <c r="I1321" s="252"/>
      <c r="J1321" s="252"/>
      <c r="K1321" s="252"/>
      <c r="L1321"/>
      <c r="M1321"/>
    </row>
    <row r="1322" spans="1:13" s="79" customFormat="1" x14ac:dyDescent="0.35">
      <c r="A1322" s="251"/>
      <c r="B1322" s="22"/>
      <c r="C1322" s="252"/>
      <c r="D1322" s="252"/>
      <c r="E1322" s="252"/>
      <c r="F1322" s="252"/>
      <c r="G1322" s="252"/>
      <c r="H1322" s="252"/>
      <c r="I1322" s="252"/>
      <c r="J1322" s="252"/>
      <c r="K1322" s="252"/>
      <c r="L1322"/>
      <c r="M1322"/>
    </row>
    <row r="1323" spans="1:13" s="79" customFormat="1" x14ac:dyDescent="0.35">
      <c r="A1323" s="251"/>
      <c r="B1323" s="22"/>
      <c r="C1323" s="252"/>
      <c r="D1323" s="252"/>
      <c r="E1323" s="252"/>
      <c r="F1323" s="252"/>
      <c r="G1323" s="252"/>
      <c r="H1323" s="252"/>
      <c r="I1323" s="252"/>
      <c r="J1323" s="252"/>
      <c r="K1323" s="252"/>
      <c r="L1323"/>
      <c r="M1323"/>
    </row>
    <row r="1324" spans="1:13" s="79" customFormat="1" x14ac:dyDescent="0.35">
      <c r="A1324" s="251"/>
      <c r="B1324" s="22"/>
      <c r="C1324" s="252"/>
      <c r="D1324" s="252"/>
      <c r="E1324" s="252"/>
      <c r="F1324" s="252"/>
      <c r="G1324" s="252"/>
      <c r="H1324" s="252"/>
      <c r="I1324" s="252"/>
      <c r="J1324" s="252"/>
      <c r="K1324" s="252"/>
      <c r="L1324"/>
      <c r="M1324"/>
    </row>
    <row r="1325" spans="1:13" s="79" customFormat="1" x14ac:dyDescent="0.35">
      <c r="A1325" s="251"/>
      <c r="B1325" s="22"/>
      <c r="C1325" s="252"/>
      <c r="D1325" s="252"/>
      <c r="E1325" s="252"/>
      <c r="F1325" s="252"/>
      <c r="G1325" s="252"/>
      <c r="H1325" s="252"/>
      <c r="I1325" s="252"/>
      <c r="J1325" s="252"/>
      <c r="K1325" s="252"/>
      <c r="L1325"/>
      <c r="M1325"/>
    </row>
    <row r="1326" spans="1:13" s="79" customFormat="1" x14ac:dyDescent="0.35">
      <c r="A1326" s="251"/>
      <c r="B1326" s="22"/>
      <c r="C1326" s="252"/>
      <c r="D1326" s="252"/>
      <c r="E1326" s="252"/>
      <c r="F1326" s="252"/>
      <c r="G1326" s="252"/>
      <c r="H1326" s="252"/>
      <c r="I1326" s="252"/>
      <c r="J1326" s="252"/>
      <c r="K1326" s="252"/>
      <c r="L1326"/>
      <c r="M1326"/>
    </row>
    <row r="1327" spans="1:13" s="79" customFormat="1" x14ac:dyDescent="0.35">
      <c r="A1327" s="251"/>
      <c r="B1327" s="22"/>
      <c r="C1327" s="252"/>
      <c r="D1327" s="252"/>
      <c r="E1327" s="252"/>
      <c r="F1327" s="252"/>
      <c r="G1327" s="252"/>
      <c r="H1327" s="252"/>
      <c r="I1327" s="252"/>
      <c r="J1327" s="252"/>
      <c r="K1327" s="252"/>
      <c r="L1327"/>
      <c r="M1327"/>
    </row>
    <row r="1328" spans="1:13" s="79" customFormat="1" x14ac:dyDescent="0.35">
      <c r="A1328" s="251"/>
      <c r="B1328" s="22"/>
      <c r="C1328" s="252"/>
      <c r="D1328" s="252"/>
      <c r="E1328" s="252"/>
      <c r="F1328" s="252"/>
      <c r="G1328" s="252"/>
      <c r="H1328" s="252"/>
      <c r="I1328" s="252"/>
      <c r="J1328" s="252"/>
      <c r="K1328" s="252"/>
      <c r="L1328"/>
      <c r="M1328"/>
    </row>
    <row r="1329" spans="1:13" s="79" customFormat="1" x14ac:dyDescent="0.35">
      <c r="A1329" s="251"/>
      <c r="B1329" s="22"/>
      <c r="C1329" s="252"/>
      <c r="D1329" s="252"/>
      <c r="E1329" s="252"/>
      <c r="F1329" s="252"/>
      <c r="G1329" s="252"/>
      <c r="H1329" s="252"/>
      <c r="I1329" s="252"/>
      <c r="J1329" s="252"/>
      <c r="K1329" s="252"/>
      <c r="L1329"/>
      <c r="M1329"/>
    </row>
    <row r="1330" spans="1:13" s="79" customFormat="1" x14ac:dyDescent="0.35">
      <c r="A1330" s="251"/>
      <c r="B1330" s="22"/>
      <c r="C1330" s="252"/>
      <c r="D1330" s="252"/>
      <c r="E1330" s="252"/>
      <c r="F1330" s="252"/>
      <c r="G1330" s="252"/>
      <c r="H1330" s="252"/>
      <c r="I1330" s="252"/>
      <c r="J1330" s="252"/>
      <c r="K1330" s="252"/>
      <c r="L1330"/>
      <c r="M1330"/>
    </row>
    <row r="1331" spans="1:13" s="79" customFormat="1" x14ac:dyDescent="0.35">
      <c r="A1331" s="251"/>
      <c r="B1331" s="22"/>
      <c r="C1331" s="252"/>
      <c r="D1331" s="252"/>
      <c r="E1331" s="252"/>
      <c r="F1331" s="252"/>
      <c r="G1331" s="252"/>
      <c r="H1331" s="252"/>
      <c r="I1331" s="252"/>
      <c r="J1331" s="252"/>
      <c r="K1331" s="252"/>
      <c r="L1331"/>
      <c r="M1331"/>
    </row>
    <row r="1332" spans="1:13" s="79" customFormat="1" x14ac:dyDescent="0.35">
      <c r="A1332" s="251"/>
      <c r="B1332" s="22"/>
      <c r="C1332" s="252"/>
      <c r="D1332" s="252"/>
      <c r="E1332" s="252"/>
      <c r="F1332" s="252"/>
      <c r="G1332" s="252"/>
      <c r="H1332" s="252"/>
      <c r="I1332" s="252"/>
      <c r="J1332" s="252"/>
      <c r="K1332" s="252"/>
      <c r="L1332"/>
      <c r="M1332"/>
    </row>
    <row r="1333" spans="1:13" s="79" customFormat="1" x14ac:dyDescent="0.35">
      <c r="A1333" s="251"/>
      <c r="B1333" s="22"/>
      <c r="C1333" s="252"/>
      <c r="D1333" s="252"/>
      <c r="E1333" s="252"/>
      <c r="F1333" s="252"/>
      <c r="G1333" s="252"/>
      <c r="H1333" s="252"/>
      <c r="I1333" s="252"/>
      <c r="J1333" s="252"/>
      <c r="K1333" s="252"/>
      <c r="L1333"/>
      <c r="M1333"/>
    </row>
    <row r="1334" spans="1:13" s="79" customFormat="1" x14ac:dyDescent="0.35">
      <c r="A1334" s="251"/>
      <c r="B1334" s="22"/>
      <c r="C1334" s="252"/>
      <c r="D1334" s="252"/>
      <c r="E1334" s="252"/>
      <c r="F1334" s="252"/>
      <c r="G1334" s="252"/>
      <c r="H1334" s="252"/>
      <c r="I1334" s="252"/>
      <c r="J1334" s="252"/>
      <c r="K1334" s="252"/>
      <c r="L1334"/>
      <c r="M1334"/>
    </row>
    <row r="1335" spans="1:13" s="79" customFormat="1" x14ac:dyDescent="0.35">
      <c r="A1335" s="251"/>
      <c r="B1335" s="22"/>
      <c r="C1335" s="252"/>
      <c r="D1335" s="252"/>
      <c r="E1335" s="252"/>
      <c r="F1335" s="252"/>
      <c r="G1335" s="252"/>
      <c r="H1335" s="252"/>
      <c r="I1335" s="252"/>
      <c r="J1335" s="252"/>
      <c r="K1335" s="252"/>
      <c r="L1335"/>
      <c r="M1335"/>
    </row>
    <row r="1336" spans="1:13" s="79" customFormat="1" x14ac:dyDescent="0.35">
      <c r="A1336" s="251"/>
      <c r="B1336" s="22"/>
      <c r="C1336" s="252"/>
      <c r="D1336" s="252"/>
      <c r="E1336" s="252"/>
      <c r="F1336" s="252"/>
      <c r="G1336" s="252"/>
      <c r="H1336" s="252"/>
      <c r="I1336" s="252"/>
      <c r="J1336" s="252"/>
      <c r="K1336" s="252"/>
      <c r="L1336"/>
      <c r="M1336"/>
    </row>
    <row r="1337" spans="1:13" s="79" customFormat="1" x14ac:dyDescent="0.35">
      <c r="A1337" s="251"/>
      <c r="B1337" s="22"/>
      <c r="C1337" s="252"/>
      <c r="D1337" s="252"/>
      <c r="E1337" s="252"/>
      <c r="F1337" s="252"/>
      <c r="G1337" s="252"/>
      <c r="H1337" s="252"/>
      <c r="I1337" s="252"/>
      <c r="J1337" s="252"/>
      <c r="K1337" s="252"/>
      <c r="L1337"/>
      <c r="M1337"/>
    </row>
    <row r="1338" spans="1:13" s="79" customFormat="1" x14ac:dyDescent="0.35">
      <c r="A1338" s="251"/>
      <c r="B1338" s="22"/>
      <c r="C1338" s="252"/>
      <c r="D1338" s="252"/>
      <c r="E1338" s="252"/>
      <c r="F1338" s="252"/>
      <c r="G1338" s="252"/>
      <c r="H1338" s="252"/>
      <c r="I1338" s="252"/>
      <c r="J1338" s="252"/>
      <c r="K1338" s="252"/>
      <c r="L1338"/>
      <c r="M1338"/>
    </row>
    <row r="1339" spans="1:13" s="79" customFormat="1" x14ac:dyDescent="0.35">
      <c r="A1339" s="251"/>
      <c r="B1339" s="22"/>
      <c r="C1339" s="252"/>
      <c r="D1339" s="252"/>
      <c r="E1339" s="252"/>
      <c r="F1339" s="252"/>
      <c r="G1339" s="252"/>
      <c r="H1339" s="252"/>
      <c r="I1339" s="252"/>
      <c r="J1339" s="252"/>
      <c r="K1339" s="252"/>
      <c r="L1339"/>
      <c r="M1339"/>
    </row>
    <row r="1340" spans="1:13" s="79" customFormat="1" x14ac:dyDescent="0.35">
      <c r="A1340" s="251"/>
      <c r="B1340" s="22"/>
      <c r="C1340" s="252"/>
      <c r="D1340" s="252"/>
      <c r="E1340" s="252"/>
      <c r="F1340" s="252"/>
      <c r="G1340" s="252"/>
      <c r="H1340" s="252"/>
      <c r="I1340" s="252"/>
      <c r="J1340" s="252"/>
      <c r="K1340" s="252"/>
      <c r="L1340"/>
      <c r="M1340"/>
    </row>
    <row r="1341" spans="1:13" s="79" customFormat="1" x14ac:dyDescent="0.35">
      <c r="A1341" s="251"/>
      <c r="B1341" s="22"/>
      <c r="C1341" s="252"/>
      <c r="D1341" s="252"/>
      <c r="E1341" s="252"/>
      <c r="F1341" s="252"/>
      <c r="G1341" s="252"/>
      <c r="H1341" s="252"/>
      <c r="I1341" s="252"/>
      <c r="J1341" s="252"/>
      <c r="K1341" s="252"/>
      <c r="L1341"/>
      <c r="M1341"/>
    </row>
    <row r="1342" spans="1:13" s="79" customFormat="1" x14ac:dyDescent="0.35">
      <c r="A1342" s="251"/>
      <c r="B1342" s="22"/>
      <c r="C1342" s="252"/>
      <c r="D1342" s="252"/>
      <c r="E1342" s="252"/>
      <c r="F1342" s="252"/>
      <c r="G1342" s="252"/>
      <c r="H1342" s="252"/>
      <c r="I1342" s="252"/>
      <c r="J1342" s="252"/>
      <c r="K1342" s="252"/>
      <c r="L1342"/>
      <c r="M1342"/>
    </row>
    <row r="1343" spans="1:13" s="79" customFormat="1" x14ac:dyDescent="0.35">
      <c r="A1343" s="251"/>
      <c r="B1343" s="22"/>
      <c r="C1343" s="252"/>
      <c r="D1343" s="252"/>
      <c r="E1343" s="252"/>
      <c r="F1343" s="252"/>
      <c r="G1343" s="252"/>
      <c r="H1343" s="252"/>
      <c r="I1343" s="252"/>
      <c r="J1343" s="252"/>
      <c r="K1343" s="252"/>
      <c r="L1343"/>
      <c r="M1343"/>
    </row>
    <row r="1344" spans="1:13" s="79" customFormat="1" x14ac:dyDescent="0.35">
      <c r="A1344" s="251"/>
      <c r="B1344" s="22"/>
      <c r="C1344" s="252"/>
      <c r="D1344" s="252"/>
      <c r="E1344" s="252"/>
      <c r="F1344" s="252"/>
      <c r="G1344" s="252"/>
      <c r="H1344" s="252"/>
      <c r="I1344" s="252"/>
      <c r="J1344" s="252"/>
      <c r="K1344" s="252"/>
      <c r="L1344"/>
      <c r="M1344"/>
    </row>
    <row r="1345" spans="1:13" s="79" customFormat="1" x14ac:dyDescent="0.35">
      <c r="A1345" s="251"/>
      <c r="B1345" s="22"/>
      <c r="C1345" s="252"/>
      <c r="D1345" s="252"/>
      <c r="E1345" s="252"/>
      <c r="F1345" s="252"/>
      <c r="G1345" s="252"/>
      <c r="H1345" s="252"/>
      <c r="I1345" s="252"/>
      <c r="J1345" s="252"/>
      <c r="K1345" s="252"/>
      <c r="L1345"/>
      <c r="M1345"/>
    </row>
    <row r="1346" spans="1:13" s="79" customFormat="1" x14ac:dyDescent="0.35">
      <c r="A1346" s="251"/>
      <c r="B1346" s="22"/>
      <c r="C1346" s="252"/>
      <c r="D1346" s="252"/>
      <c r="E1346" s="252"/>
      <c r="F1346" s="252"/>
      <c r="G1346" s="252"/>
      <c r="H1346" s="252"/>
      <c r="I1346" s="252"/>
      <c r="J1346" s="252"/>
      <c r="K1346" s="252"/>
      <c r="L1346"/>
      <c r="M1346"/>
    </row>
    <row r="1347" spans="1:13" s="79" customFormat="1" x14ac:dyDescent="0.35">
      <c r="A1347" s="251"/>
      <c r="B1347" s="22"/>
      <c r="C1347" s="252"/>
      <c r="D1347" s="252"/>
      <c r="E1347" s="252"/>
      <c r="F1347" s="252"/>
      <c r="G1347" s="252"/>
      <c r="H1347" s="252"/>
      <c r="I1347" s="252"/>
      <c r="J1347" s="252"/>
      <c r="K1347" s="252"/>
      <c r="L1347"/>
      <c r="M1347"/>
    </row>
    <row r="1348" spans="1:13" s="79" customFormat="1" x14ac:dyDescent="0.35">
      <c r="A1348" s="251"/>
      <c r="B1348" s="22"/>
      <c r="C1348" s="252"/>
      <c r="D1348" s="252"/>
      <c r="E1348" s="252"/>
      <c r="F1348" s="252"/>
      <c r="G1348" s="252"/>
      <c r="H1348" s="252"/>
      <c r="I1348" s="252"/>
      <c r="J1348" s="252"/>
      <c r="K1348" s="252"/>
      <c r="L1348"/>
      <c r="M1348"/>
    </row>
    <row r="1349" spans="1:13" s="79" customFormat="1" x14ac:dyDescent="0.35">
      <c r="A1349" s="251"/>
      <c r="B1349" s="22"/>
      <c r="C1349" s="252"/>
      <c r="D1349" s="252"/>
      <c r="E1349" s="252"/>
      <c r="F1349" s="252"/>
      <c r="G1349" s="252"/>
      <c r="H1349" s="252"/>
      <c r="I1349" s="252"/>
      <c r="J1349" s="252"/>
      <c r="K1349" s="252"/>
      <c r="L1349"/>
      <c r="M1349"/>
    </row>
    <row r="1350" spans="1:13" s="79" customFormat="1" x14ac:dyDescent="0.35">
      <c r="A1350" s="251"/>
      <c r="B1350" s="22"/>
      <c r="C1350" s="252"/>
      <c r="D1350" s="252"/>
      <c r="E1350" s="252"/>
      <c r="F1350" s="252"/>
      <c r="G1350" s="252"/>
      <c r="H1350" s="252"/>
      <c r="I1350" s="252"/>
      <c r="J1350" s="252"/>
      <c r="K1350" s="252"/>
      <c r="L1350"/>
      <c r="M1350"/>
    </row>
    <row r="1351" spans="1:13" s="79" customFormat="1" x14ac:dyDescent="0.35">
      <c r="A1351" s="251"/>
      <c r="B1351" s="22"/>
      <c r="C1351" s="252"/>
      <c r="D1351" s="252"/>
      <c r="E1351" s="252"/>
      <c r="F1351" s="252"/>
      <c r="G1351" s="252"/>
      <c r="H1351" s="252"/>
      <c r="I1351" s="252"/>
      <c r="J1351" s="252"/>
      <c r="K1351" s="252"/>
      <c r="L1351"/>
      <c r="M1351"/>
    </row>
    <row r="1352" spans="1:13" s="79" customFormat="1" x14ac:dyDescent="0.35">
      <c r="A1352" s="251"/>
      <c r="B1352" s="22"/>
      <c r="C1352" s="252"/>
      <c r="D1352" s="252"/>
      <c r="E1352" s="252"/>
      <c r="F1352" s="252"/>
      <c r="G1352" s="252"/>
      <c r="H1352" s="252"/>
      <c r="I1352" s="252"/>
      <c r="J1352" s="252"/>
      <c r="K1352" s="252"/>
      <c r="L1352"/>
      <c r="M1352"/>
    </row>
    <row r="1353" spans="1:13" s="79" customFormat="1" x14ac:dyDescent="0.35">
      <c r="A1353" s="251"/>
      <c r="B1353" s="22"/>
      <c r="C1353" s="252"/>
      <c r="D1353" s="252"/>
      <c r="E1353" s="252"/>
      <c r="F1353" s="252"/>
      <c r="G1353" s="252"/>
      <c r="H1353" s="252"/>
      <c r="I1353" s="252"/>
      <c r="J1353" s="252"/>
      <c r="K1353" s="252"/>
      <c r="L1353"/>
      <c r="M1353"/>
    </row>
    <row r="1354" spans="1:13" s="79" customFormat="1" x14ac:dyDescent="0.35">
      <c r="A1354" s="251"/>
      <c r="B1354" s="22"/>
      <c r="C1354" s="252"/>
      <c r="D1354" s="252"/>
      <c r="E1354" s="252"/>
      <c r="F1354" s="252"/>
      <c r="G1354" s="252"/>
      <c r="H1354" s="252"/>
      <c r="I1354" s="252"/>
      <c r="J1354" s="252"/>
      <c r="K1354" s="252"/>
      <c r="L1354"/>
      <c r="M1354"/>
    </row>
    <row r="1355" spans="1:13" s="79" customFormat="1" x14ac:dyDescent="0.35">
      <c r="A1355" s="251"/>
      <c r="B1355" s="22"/>
      <c r="C1355" s="252"/>
      <c r="D1355" s="252"/>
      <c r="E1355" s="252"/>
      <c r="F1355" s="252"/>
      <c r="G1355" s="252"/>
      <c r="H1355" s="252"/>
      <c r="I1355" s="252"/>
      <c r="J1355" s="252"/>
      <c r="K1355" s="252"/>
      <c r="L1355"/>
      <c r="M1355"/>
    </row>
    <row r="1356" spans="1:13" s="79" customFormat="1" x14ac:dyDescent="0.35">
      <c r="A1356" s="251"/>
      <c r="B1356" s="22"/>
      <c r="C1356" s="252"/>
      <c r="D1356" s="252"/>
      <c r="E1356" s="252"/>
      <c r="F1356" s="252"/>
      <c r="G1356" s="252"/>
      <c r="H1356" s="252"/>
      <c r="I1356" s="252"/>
      <c r="J1356" s="252"/>
      <c r="K1356" s="252"/>
      <c r="L1356"/>
      <c r="M1356"/>
    </row>
    <row r="1357" spans="1:13" s="79" customFormat="1" x14ac:dyDescent="0.35">
      <c r="A1357" s="251"/>
      <c r="B1357" s="22"/>
      <c r="C1357" s="252"/>
      <c r="D1357" s="252"/>
      <c r="E1357" s="252"/>
      <c r="F1357" s="252"/>
      <c r="G1357" s="252"/>
      <c r="H1357" s="252"/>
      <c r="I1357" s="252"/>
      <c r="J1357" s="252"/>
      <c r="K1357" s="252"/>
      <c r="L1357"/>
      <c r="M1357"/>
    </row>
    <row r="1358" spans="1:13" s="79" customFormat="1" x14ac:dyDescent="0.35">
      <c r="A1358" s="251"/>
      <c r="B1358" s="22"/>
      <c r="C1358" s="252"/>
      <c r="D1358" s="252"/>
      <c r="E1358" s="252"/>
      <c r="F1358" s="252"/>
      <c r="G1358" s="252"/>
      <c r="H1358" s="252"/>
      <c r="I1358" s="252"/>
      <c r="J1358" s="252"/>
      <c r="K1358" s="252"/>
      <c r="L1358"/>
      <c r="M1358"/>
    </row>
    <row r="1359" spans="1:13" s="79" customFormat="1" x14ac:dyDescent="0.35">
      <c r="A1359" s="251"/>
      <c r="B1359" s="22"/>
      <c r="C1359" s="252"/>
      <c r="D1359" s="252"/>
      <c r="E1359" s="252"/>
      <c r="F1359" s="252"/>
      <c r="G1359" s="252"/>
      <c r="H1359" s="252"/>
      <c r="I1359" s="252"/>
      <c r="J1359" s="252"/>
      <c r="K1359" s="252"/>
      <c r="L1359"/>
      <c r="M1359"/>
    </row>
    <row r="1360" spans="1:13" s="79" customFormat="1" x14ac:dyDescent="0.35">
      <c r="A1360" s="251"/>
      <c r="B1360" s="22"/>
      <c r="C1360" s="252"/>
      <c r="D1360" s="252"/>
      <c r="E1360" s="252"/>
      <c r="F1360" s="252"/>
      <c r="G1360" s="252"/>
      <c r="H1360" s="252"/>
      <c r="I1360" s="252"/>
      <c r="J1360" s="252"/>
      <c r="K1360" s="252"/>
      <c r="L1360"/>
      <c r="M1360"/>
    </row>
    <row r="1361" spans="1:13" s="79" customFormat="1" x14ac:dyDescent="0.35">
      <c r="A1361" s="251"/>
      <c r="B1361" s="22"/>
      <c r="C1361" s="252"/>
      <c r="D1361" s="252"/>
      <c r="E1361" s="252"/>
      <c r="F1361" s="252"/>
      <c r="G1361" s="252"/>
      <c r="H1361" s="252"/>
      <c r="I1361" s="252"/>
      <c r="J1361" s="252"/>
      <c r="K1361" s="252"/>
      <c r="L1361"/>
      <c r="M1361"/>
    </row>
    <row r="1362" spans="1:13" s="79" customFormat="1" x14ac:dyDescent="0.35">
      <c r="A1362" s="251"/>
      <c r="B1362" s="22"/>
      <c r="C1362" s="252"/>
      <c r="D1362" s="252"/>
      <c r="E1362" s="252"/>
      <c r="F1362" s="252"/>
      <c r="G1362" s="252"/>
      <c r="H1362" s="252"/>
      <c r="I1362" s="252"/>
      <c r="J1362" s="252"/>
      <c r="K1362" s="252"/>
      <c r="L1362"/>
      <c r="M1362"/>
    </row>
    <row r="1363" spans="1:13" s="79" customFormat="1" x14ac:dyDescent="0.35">
      <c r="A1363" s="251"/>
      <c r="B1363" s="22"/>
      <c r="C1363" s="252"/>
      <c r="D1363" s="252"/>
      <c r="E1363" s="252"/>
      <c r="F1363" s="252"/>
      <c r="G1363" s="252"/>
      <c r="H1363" s="252"/>
      <c r="I1363" s="252"/>
      <c r="J1363" s="252"/>
      <c r="K1363" s="252"/>
      <c r="L1363"/>
      <c r="M1363"/>
    </row>
    <row r="1364" spans="1:13" s="79" customFormat="1" x14ac:dyDescent="0.35">
      <c r="A1364" s="251"/>
      <c r="B1364" s="22"/>
      <c r="C1364" s="252"/>
      <c r="D1364" s="252"/>
      <c r="E1364" s="252"/>
      <c r="F1364" s="252"/>
      <c r="G1364" s="252"/>
      <c r="H1364" s="252"/>
      <c r="I1364" s="252"/>
      <c r="J1364" s="252"/>
      <c r="K1364" s="252"/>
      <c r="L1364"/>
      <c r="M1364"/>
    </row>
    <row r="1365" spans="1:13" s="79" customFormat="1" x14ac:dyDescent="0.35">
      <c r="A1365" s="251"/>
      <c r="B1365" s="22"/>
      <c r="C1365" s="252"/>
      <c r="D1365" s="252"/>
      <c r="E1365" s="252"/>
      <c r="F1365" s="252"/>
      <c r="G1365" s="252"/>
      <c r="H1365" s="252"/>
      <c r="I1365" s="252"/>
      <c r="J1365" s="252"/>
      <c r="K1365" s="252"/>
      <c r="L1365"/>
      <c r="M1365"/>
    </row>
    <row r="1366" spans="1:13" s="79" customFormat="1" x14ac:dyDescent="0.35">
      <c r="A1366" s="251"/>
      <c r="B1366" s="22"/>
      <c r="C1366" s="252"/>
      <c r="D1366" s="252"/>
      <c r="E1366" s="252"/>
      <c r="F1366" s="252"/>
      <c r="G1366" s="252"/>
      <c r="H1366" s="252"/>
      <c r="I1366" s="252"/>
      <c r="J1366" s="252"/>
      <c r="K1366" s="252"/>
      <c r="L1366"/>
      <c r="M1366"/>
    </row>
    <row r="1367" spans="1:13" s="79" customFormat="1" x14ac:dyDescent="0.35">
      <c r="A1367" s="251"/>
      <c r="B1367" s="22"/>
      <c r="C1367" s="252"/>
      <c r="D1367" s="252"/>
      <c r="E1367" s="252"/>
      <c r="F1367" s="252"/>
      <c r="G1367" s="252"/>
      <c r="H1367" s="252"/>
      <c r="I1367" s="252"/>
      <c r="J1367" s="252"/>
      <c r="K1367" s="252"/>
      <c r="L1367"/>
      <c r="M1367"/>
    </row>
    <row r="1368" spans="1:13" s="79" customFormat="1" x14ac:dyDescent="0.35">
      <c r="A1368" s="251"/>
      <c r="B1368" s="22"/>
      <c r="C1368" s="252"/>
      <c r="D1368" s="252"/>
      <c r="E1368" s="252"/>
      <c r="F1368" s="252"/>
      <c r="G1368" s="252"/>
      <c r="H1368" s="252"/>
      <c r="I1368" s="252"/>
      <c r="J1368" s="252"/>
      <c r="K1368" s="252"/>
      <c r="L1368"/>
      <c r="M1368"/>
    </row>
    <row r="1369" spans="1:13" s="79" customFormat="1" x14ac:dyDescent="0.35">
      <c r="A1369" s="251"/>
      <c r="B1369" s="22"/>
      <c r="C1369" s="252"/>
      <c r="D1369" s="252"/>
      <c r="E1369" s="252"/>
      <c r="F1369" s="252"/>
      <c r="G1369" s="252"/>
      <c r="H1369" s="252"/>
      <c r="I1369" s="252"/>
      <c r="J1369" s="252"/>
      <c r="K1369" s="252"/>
      <c r="L1369"/>
      <c r="M1369"/>
    </row>
    <row r="1370" spans="1:13" s="79" customFormat="1" x14ac:dyDescent="0.35">
      <c r="A1370" s="251"/>
      <c r="B1370" s="22"/>
      <c r="C1370" s="252"/>
      <c r="D1370" s="252"/>
      <c r="E1370" s="252"/>
      <c r="F1370" s="252"/>
      <c r="G1370" s="252"/>
      <c r="H1370" s="252"/>
      <c r="I1370" s="252"/>
      <c r="J1370" s="252"/>
      <c r="K1370" s="252"/>
      <c r="L1370"/>
      <c r="M1370"/>
    </row>
    <row r="1371" spans="1:13" s="79" customFormat="1" x14ac:dyDescent="0.35">
      <c r="A1371" s="251"/>
      <c r="B1371" s="22"/>
      <c r="C1371" s="252"/>
      <c r="D1371" s="252"/>
      <c r="E1371" s="252"/>
      <c r="F1371" s="252"/>
      <c r="G1371" s="252"/>
      <c r="H1371" s="252"/>
      <c r="I1371" s="252"/>
      <c r="J1371" s="252"/>
      <c r="K1371" s="252"/>
      <c r="L1371"/>
      <c r="M1371"/>
    </row>
    <row r="1372" spans="1:13" s="79" customFormat="1" x14ac:dyDescent="0.35">
      <c r="A1372" s="251"/>
      <c r="B1372" s="22"/>
      <c r="C1372" s="252"/>
      <c r="D1372" s="252"/>
      <c r="E1372" s="252"/>
      <c r="F1372" s="252"/>
      <c r="G1372" s="252"/>
      <c r="H1372" s="252"/>
      <c r="I1372" s="252"/>
      <c r="J1372" s="252"/>
      <c r="K1372" s="252"/>
      <c r="L1372"/>
      <c r="M1372"/>
    </row>
    <row r="1373" spans="1:13" s="79" customFormat="1" x14ac:dyDescent="0.35">
      <c r="A1373" s="251"/>
      <c r="B1373" s="22"/>
      <c r="C1373" s="252"/>
      <c r="D1373" s="252"/>
      <c r="E1373" s="252"/>
      <c r="F1373" s="252"/>
      <c r="G1373" s="252"/>
      <c r="H1373" s="252"/>
      <c r="I1373" s="252"/>
      <c r="J1373" s="252"/>
      <c r="K1373" s="252"/>
      <c r="L1373"/>
      <c r="M1373"/>
    </row>
    <row r="1374" spans="1:13" s="79" customFormat="1" x14ac:dyDescent="0.35">
      <c r="A1374" s="251"/>
      <c r="B1374" s="22"/>
      <c r="C1374" s="252"/>
      <c r="D1374" s="252"/>
      <c r="E1374" s="252"/>
      <c r="F1374" s="252"/>
      <c r="G1374" s="252"/>
      <c r="H1374" s="252"/>
      <c r="I1374" s="252"/>
      <c r="J1374" s="252"/>
      <c r="K1374" s="252"/>
      <c r="L1374"/>
      <c r="M1374"/>
    </row>
    <row r="1375" spans="1:13" s="79" customFormat="1" x14ac:dyDescent="0.35">
      <c r="A1375" s="251"/>
      <c r="B1375" s="22"/>
      <c r="C1375" s="252"/>
      <c r="D1375" s="252"/>
      <c r="E1375" s="252"/>
      <c r="F1375" s="252"/>
      <c r="G1375" s="252"/>
      <c r="H1375" s="252"/>
      <c r="I1375" s="252"/>
      <c r="J1375" s="252"/>
      <c r="K1375" s="252"/>
      <c r="L1375"/>
      <c r="M1375"/>
    </row>
    <row r="1376" spans="1:13" s="79" customFormat="1" x14ac:dyDescent="0.35">
      <c r="A1376" s="251"/>
      <c r="B1376" s="22"/>
      <c r="C1376" s="252"/>
      <c r="D1376" s="252"/>
      <c r="E1376" s="252"/>
      <c r="F1376" s="252"/>
      <c r="G1376" s="252"/>
      <c r="H1376" s="252"/>
      <c r="I1376" s="252"/>
      <c r="J1376" s="252"/>
      <c r="K1376" s="252"/>
      <c r="L1376"/>
      <c r="M1376"/>
    </row>
    <row r="1377" spans="1:13" s="79" customFormat="1" x14ac:dyDescent="0.35">
      <c r="A1377" s="251"/>
      <c r="B1377" s="22"/>
      <c r="C1377" s="252"/>
      <c r="D1377" s="252"/>
      <c r="E1377" s="252"/>
      <c r="F1377" s="252"/>
      <c r="G1377" s="252"/>
      <c r="H1377" s="252"/>
      <c r="I1377" s="252"/>
      <c r="J1377" s="252"/>
      <c r="K1377" s="252"/>
      <c r="L1377"/>
      <c r="M1377"/>
    </row>
    <row r="1378" spans="1:13" s="79" customFormat="1" x14ac:dyDescent="0.35">
      <c r="A1378" s="251"/>
      <c r="B1378" s="22"/>
      <c r="C1378" s="252"/>
      <c r="D1378" s="252"/>
      <c r="E1378" s="252"/>
      <c r="F1378" s="252"/>
      <c r="G1378" s="252"/>
      <c r="H1378" s="252"/>
      <c r="I1378" s="252"/>
      <c r="J1378" s="252"/>
      <c r="K1378" s="252"/>
      <c r="L1378"/>
      <c r="M1378"/>
    </row>
    <row r="1379" spans="1:13" s="79" customFormat="1" x14ac:dyDescent="0.35">
      <c r="A1379" s="251"/>
      <c r="B1379" s="22"/>
      <c r="C1379" s="252"/>
      <c r="D1379" s="252"/>
      <c r="E1379" s="252"/>
      <c r="F1379" s="252"/>
      <c r="G1379" s="252"/>
      <c r="H1379" s="252"/>
      <c r="I1379" s="252"/>
      <c r="J1379" s="252"/>
      <c r="K1379" s="252"/>
      <c r="L1379"/>
      <c r="M1379"/>
    </row>
    <row r="1380" spans="1:13" s="79" customFormat="1" x14ac:dyDescent="0.35">
      <c r="A1380" s="251"/>
      <c r="B1380" s="22"/>
      <c r="C1380" s="252"/>
      <c r="D1380" s="252"/>
      <c r="E1380" s="252"/>
      <c r="F1380" s="252"/>
      <c r="G1380" s="252"/>
      <c r="H1380" s="252"/>
      <c r="I1380" s="252"/>
      <c r="J1380" s="252"/>
      <c r="K1380" s="252"/>
      <c r="L1380"/>
      <c r="M1380"/>
    </row>
    <row r="1381" spans="1:13" s="79" customFormat="1" x14ac:dyDescent="0.35">
      <c r="A1381" s="251"/>
      <c r="B1381" s="22"/>
      <c r="C1381" s="252"/>
      <c r="D1381" s="252"/>
      <c r="E1381" s="252"/>
      <c r="F1381" s="252"/>
      <c r="G1381" s="252"/>
      <c r="H1381" s="252"/>
      <c r="I1381" s="252"/>
      <c r="J1381" s="252"/>
      <c r="K1381" s="252"/>
      <c r="L1381"/>
      <c r="M1381"/>
    </row>
    <row r="1382" spans="1:13" s="79" customFormat="1" x14ac:dyDescent="0.35">
      <c r="A1382" s="251"/>
      <c r="B1382" s="22"/>
      <c r="C1382" s="252"/>
      <c r="D1382" s="252"/>
      <c r="E1382" s="252"/>
      <c r="F1382" s="252"/>
      <c r="G1382" s="252"/>
      <c r="H1382" s="252"/>
      <c r="I1382" s="252"/>
      <c r="J1382" s="252"/>
      <c r="K1382" s="252"/>
      <c r="L1382"/>
      <c r="M1382"/>
    </row>
    <row r="1383" spans="1:13" s="79" customFormat="1" x14ac:dyDescent="0.35">
      <c r="A1383" s="251"/>
      <c r="B1383" s="22"/>
      <c r="C1383" s="252"/>
      <c r="D1383" s="252"/>
      <c r="E1383" s="252"/>
      <c r="F1383" s="252"/>
      <c r="G1383" s="252"/>
      <c r="H1383" s="252"/>
      <c r="I1383" s="252"/>
      <c r="J1383" s="252"/>
      <c r="K1383" s="252"/>
      <c r="L1383"/>
      <c r="M1383"/>
    </row>
    <row r="1384" spans="1:13" s="79" customFormat="1" x14ac:dyDescent="0.35">
      <c r="A1384" s="251"/>
      <c r="B1384" s="22"/>
      <c r="C1384" s="252"/>
      <c r="D1384" s="252"/>
      <c r="E1384" s="252"/>
      <c r="F1384" s="252"/>
      <c r="G1384" s="252"/>
      <c r="H1384" s="252"/>
      <c r="I1384" s="252"/>
      <c r="J1384" s="252"/>
      <c r="K1384" s="252"/>
      <c r="L1384"/>
      <c r="M1384"/>
    </row>
    <row r="1385" spans="1:13" s="79" customFormat="1" x14ac:dyDescent="0.35">
      <c r="A1385" s="251"/>
      <c r="B1385" s="22"/>
      <c r="C1385" s="252"/>
      <c r="D1385" s="252"/>
      <c r="E1385" s="252"/>
      <c r="F1385" s="252"/>
      <c r="G1385" s="252"/>
      <c r="H1385" s="252"/>
      <c r="I1385" s="252"/>
      <c r="J1385" s="252"/>
      <c r="K1385" s="252"/>
      <c r="L1385"/>
      <c r="M1385"/>
    </row>
    <row r="1386" spans="1:13" s="79" customFormat="1" x14ac:dyDescent="0.35">
      <c r="A1386" s="251"/>
      <c r="B1386" s="22"/>
      <c r="C1386" s="252"/>
      <c r="D1386" s="252"/>
      <c r="E1386" s="252"/>
      <c r="F1386" s="252"/>
      <c r="G1386" s="252"/>
      <c r="H1386" s="252"/>
      <c r="I1386" s="252"/>
      <c r="J1386" s="252"/>
      <c r="K1386" s="252"/>
      <c r="L1386"/>
      <c r="M1386"/>
    </row>
    <row r="1387" spans="1:13" s="79" customFormat="1" x14ac:dyDescent="0.35">
      <c r="A1387" s="251"/>
      <c r="B1387" s="22"/>
      <c r="C1387" s="252"/>
      <c r="D1387" s="252"/>
      <c r="E1387" s="252"/>
      <c r="F1387" s="252"/>
      <c r="G1387" s="252"/>
      <c r="H1387" s="252"/>
      <c r="I1387" s="252"/>
      <c r="J1387" s="252"/>
      <c r="K1387" s="252"/>
      <c r="L1387"/>
      <c r="M1387"/>
    </row>
    <row r="1388" spans="1:13" s="79" customFormat="1" x14ac:dyDescent="0.35">
      <c r="A1388" s="251"/>
      <c r="B1388" s="22"/>
      <c r="C1388" s="252"/>
      <c r="D1388" s="252"/>
      <c r="E1388" s="252"/>
      <c r="F1388" s="252"/>
      <c r="G1388" s="252"/>
      <c r="H1388" s="252"/>
      <c r="I1388" s="252"/>
      <c r="J1388" s="252"/>
      <c r="K1388" s="252"/>
      <c r="L1388"/>
      <c r="M1388"/>
    </row>
    <row r="1389" spans="1:13" s="79" customFormat="1" x14ac:dyDescent="0.35">
      <c r="A1389" s="251"/>
      <c r="B1389" s="22"/>
      <c r="C1389" s="252"/>
      <c r="D1389" s="252"/>
      <c r="E1389" s="252"/>
      <c r="F1389" s="252"/>
      <c r="G1389" s="252"/>
      <c r="H1389" s="252"/>
      <c r="I1389" s="252"/>
      <c r="J1389" s="252"/>
      <c r="K1389" s="252"/>
      <c r="L1389"/>
      <c r="M1389"/>
    </row>
    <row r="1390" spans="1:13" s="79" customFormat="1" x14ac:dyDescent="0.35">
      <c r="A1390" s="251"/>
      <c r="B1390" s="22"/>
      <c r="C1390" s="252"/>
      <c r="D1390" s="252"/>
      <c r="E1390" s="252"/>
      <c r="F1390" s="252"/>
      <c r="G1390" s="252"/>
      <c r="H1390" s="252"/>
      <c r="I1390" s="252"/>
      <c r="J1390" s="252"/>
      <c r="K1390" s="252"/>
      <c r="L1390"/>
      <c r="M1390"/>
    </row>
    <row r="1391" spans="1:13" s="79" customFormat="1" x14ac:dyDescent="0.35">
      <c r="A1391" s="251"/>
      <c r="B1391" s="22"/>
      <c r="C1391" s="252"/>
      <c r="D1391" s="252"/>
      <c r="E1391" s="252"/>
      <c r="F1391" s="252"/>
      <c r="G1391" s="252"/>
      <c r="H1391" s="252"/>
      <c r="I1391" s="252"/>
      <c r="J1391" s="252"/>
      <c r="K1391" s="252"/>
      <c r="L1391"/>
      <c r="M1391"/>
    </row>
    <row r="1392" spans="1:13" s="79" customFormat="1" x14ac:dyDescent="0.35">
      <c r="A1392" s="251"/>
      <c r="B1392" s="22"/>
      <c r="C1392" s="252"/>
      <c r="D1392" s="252"/>
      <c r="E1392" s="252"/>
      <c r="F1392" s="252"/>
      <c r="G1392" s="252"/>
      <c r="H1392" s="252"/>
      <c r="I1392" s="252"/>
      <c r="J1392" s="252"/>
      <c r="K1392" s="252"/>
      <c r="L1392"/>
      <c r="M1392"/>
    </row>
    <row r="1393" spans="1:13" s="79" customFormat="1" x14ac:dyDescent="0.35">
      <c r="A1393" s="251"/>
      <c r="B1393" s="22"/>
      <c r="C1393" s="252"/>
      <c r="D1393" s="252"/>
      <c r="E1393" s="252"/>
      <c r="F1393" s="252"/>
      <c r="G1393" s="252"/>
      <c r="H1393" s="252"/>
      <c r="I1393" s="252"/>
      <c r="J1393" s="252"/>
      <c r="K1393" s="252"/>
      <c r="L1393"/>
      <c r="M1393"/>
    </row>
    <row r="1394" spans="1:13" s="79" customFormat="1" x14ac:dyDescent="0.35">
      <c r="A1394" s="251"/>
      <c r="B1394" s="22"/>
      <c r="C1394" s="252"/>
      <c r="D1394" s="252"/>
      <c r="E1394" s="252"/>
      <c r="F1394" s="252"/>
      <c r="G1394" s="252"/>
      <c r="H1394" s="252"/>
      <c r="I1394" s="252"/>
      <c r="J1394" s="252"/>
      <c r="K1394" s="252"/>
      <c r="L1394"/>
      <c r="M1394"/>
    </row>
    <row r="1395" spans="1:13" s="79" customFormat="1" x14ac:dyDescent="0.35">
      <c r="A1395" s="251"/>
      <c r="B1395" s="22"/>
      <c r="C1395" s="252"/>
      <c r="D1395" s="252"/>
      <c r="E1395" s="252"/>
      <c r="F1395" s="252"/>
      <c r="G1395" s="252"/>
      <c r="H1395" s="252"/>
      <c r="I1395" s="252"/>
      <c r="J1395" s="252"/>
      <c r="K1395" s="252"/>
      <c r="L1395"/>
      <c r="M1395"/>
    </row>
    <row r="1396" spans="1:13" s="79" customFormat="1" x14ac:dyDescent="0.35">
      <c r="A1396" s="251"/>
      <c r="B1396" s="22"/>
      <c r="C1396" s="252"/>
      <c r="D1396" s="252"/>
      <c r="E1396" s="252"/>
      <c r="F1396" s="252"/>
      <c r="G1396" s="252"/>
      <c r="H1396" s="252"/>
      <c r="I1396" s="252"/>
      <c r="J1396" s="252"/>
      <c r="K1396" s="252"/>
      <c r="L1396"/>
      <c r="M1396"/>
    </row>
    <row r="1397" spans="1:13" s="79" customFormat="1" x14ac:dyDescent="0.35">
      <c r="A1397" s="251"/>
      <c r="B1397" s="22"/>
      <c r="C1397" s="252"/>
      <c r="D1397" s="252"/>
      <c r="E1397" s="252"/>
      <c r="F1397" s="252"/>
      <c r="G1397" s="252"/>
      <c r="H1397" s="252"/>
      <c r="I1397" s="252"/>
      <c r="J1397" s="252"/>
      <c r="K1397" s="252"/>
      <c r="L1397"/>
      <c r="M1397"/>
    </row>
    <row r="1398" spans="1:13" s="79" customFormat="1" x14ac:dyDescent="0.35">
      <c r="A1398" s="251"/>
      <c r="B1398" s="22"/>
      <c r="C1398" s="252"/>
      <c r="D1398" s="252"/>
      <c r="E1398" s="252"/>
      <c r="F1398" s="252"/>
      <c r="G1398" s="252"/>
      <c r="H1398" s="252"/>
      <c r="I1398" s="252"/>
      <c r="J1398" s="252"/>
      <c r="K1398" s="252"/>
      <c r="L1398"/>
      <c r="M1398"/>
    </row>
    <row r="1399" spans="1:13" s="79" customFormat="1" x14ac:dyDescent="0.35">
      <c r="A1399" s="251"/>
      <c r="B1399" s="22"/>
      <c r="C1399" s="252"/>
      <c r="D1399" s="252"/>
      <c r="E1399" s="252"/>
      <c r="F1399" s="252"/>
      <c r="G1399" s="252"/>
      <c r="H1399" s="252"/>
      <c r="I1399" s="252"/>
      <c r="J1399" s="252"/>
      <c r="K1399" s="252"/>
      <c r="L1399"/>
      <c r="M1399"/>
    </row>
    <row r="1400" spans="1:13" s="79" customFormat="1" x14ac:dyDescent="0.35">
      <c r="A1400" s="251"/>
      <c r="B1400" s="22"/>
      <c r="C1400" s="252"/>
      <c r="D1400" s="252"/>
      <c r="E1400" s="252"/>
      <c r="F1400" s="252"/>
      <c r="G1400" s="252"/>
      <c r="H1400" s="252"/>
      <c r="I1400" s="252"/>
      <c r="J1400" s="252"/>
      <c r="K1400" s="252"/>
      <c r="L1400"/>
      <c r="M1400"/>
    </row>
    <row r="1401" spans="1:13" s="79" customFormat="1" x14ac:dyDescent="0.35">
      <c r="A1401" s="251"/>
      <c r="B1401" s="22"/>
      <c r="C1401" s="252"/>
      <c r="D1401" s="252"/>
      <c r="E1401" s="252"/>
      <c r="F1401" s="252"/>
      <c r="G1401" s="252"/>
      <c r="H1401" s="252"/>
      <c r="I1401" s="252"/>
      <c r="J1401" s="252"/>
      <c r="K1401" s="252"/>
      <c r="L1401"/>
      <c r="M1401"/>
    </row>
    <row r="1402" spans="1:13" s="79" customFormat="1" x14ac:dyDescent="0.35">
      <c r="A1402" s="251"/>
      <c r="B1402" s="22"/>
      <c r="C1402" s="252"/>
      <c r="D1402" s="252"/>
      <c r="E1402" s="252"/>
      <c r="F1402" s="252"/>
      <c r="G1402" s="252"/>
      <c r="H1402" s="252"/>
      <c r="I1402" s="252"/>
      <c r="J1402" s="252"/>
      <c r="K1402" s="252"/>
      <c r="L1402"/>
      <c r="M1402"/>
    </row>
    <row r="1403" spans="1:13" s="79" customFormat="1" x14ac:dyDescent="0.35">
      <c r="A1403" s="251"/>
      <c r="B1403" s="22"/>
      <c r="C1403" s="252"/>
      <c r="D1403" s="252"/>
      <c r="E1403" s="252"/>
      <c r="F1403" s="252"/>
      <c r="G1403" s="252"/>
      <c r="H1403" s="252"/>
      <c r="I1403" s="252"/>
      <c r="J1403" s="252"/>
      <c r="K1403" s="252"/>
      <c r="L1403"/>
      <c r="M1403"/>
    </row>
    <row r="1404" spans="1:13" s="79" customFormat="1" x14ac:dyDescent="0.35">
      <c r="A1404" s="251"/>
      <c r="B1404" s="22"/>
      <c r="C1404" s="252"/>
      <c r="D1404" s="252"/>
      <c r="E1404" s="252"/>
      <c r="F1404" s="252"/>
      <c r="G1404" s="252"/>
      <c r="H1404" s="252"/>
      <c r="I1404" s="252"/>
      <c r="J1404" s="252"/>
      <c r="K1404" s="252"/>
      <c r="L1404"/>
      <c r="M1404"/>
    </row>
    <row r="1405" spans="1:13" s="79" customFormat="1" x14ac:dyDescent="0.35">
      <c r="A1405" s="251"/>
      <c r="B1405" s="22"/>
      <c r="C1405" s="252"/>
      <c r="D1405" s="252"/>
      <c r="E1405" s="252"/>
      <c r="F1405" s="252"/>
      <c r="G1405" s="252"/>
      <c r="H1405" s="252"/>
      <c r="I1405" s="252"/>
      <c r="J1405" s="252"/>
      <c r="K1405" s="252"/>
      <c r="L1405"/>
      <c r="M1405"/>
    </row>
    <row r="1406" spans="1:13" s="79" customFormat="1" x14ac:dyDescent="0.35">
      <c r="A1406" s="251"/>
      <c r="B1406" s="22"/>
      <c r="C1406" s="252"/>
      <c r="D1406" s="252"/>
      <c r="E1406" s="252"/>
      <c r="F1406" s="252"/>
      <c r="G1406" s="252"/>
      <c r="H1406" s="252"/>
      <c r="I1406" s="252"/>
      <c r="J1406" s="252"/>
      <c r="K1406" s="252"/>
      <c r="L1406"/>
      <c r="M1406"/>
    </row>
    <row r="1407" spans="1:13" s="79" customFormat="1" x14ac:dyDescent="0.35">
      <c r="A1407" s="251"/>
      <c r="B1407" s="22"/>
      <c r="C1407" s="252"/>
      <c r="D1407" s="252"/>
      <c r="E1407" s="252"/>
      <c r="F1407" s="252"/>
      <c r="G1407" s="252"/>
      <c r="H1407" s="252"/>
      <c r="I1407" s="252"/>
      <c r="J1407" s="252"/>
      <c r="K1407" s="252"/>
      <c r="L1407"/>
      <c r="M1407"/>
    </row>
    <row r="1408" spans="1:13" s="79" customFormat="1" x14ac:dyDescent="0.35">
      <c r="A1408" s="251"/>
      <c r="B1408" s="22"/>
      <c r="C1408" s="252"/>
      <c r="D1408" s="252"/>
      <c r="E1408" s="252"/>
      <c r="F1408" s="252"/>
      <c r="G1408" s="252"/>
      <c r="H1408" s="252"/>
      <c r="I1408" s="252"/>
      <c r="J1408" s="252"/>
      <c r="K1408" s="252"/>
      <c r="L1408"/>
      <c r="M1408"/>
    </row>
    <row r="1409" spans="1:13" s="79" customFormat="1" x14ac:dyDescent="0.35">
      <c r="A1409" s="251"/>
      <c r="B1409" s="22"/>
      <c r="C1409" s="252"/>
      <c r="D1409" s="252"/>
      <c r="E1409" s="252"/>
      <c r="F1409" s="252"/>
      <c r="G1409" s="252"/>
      <c r="H1409" s="252"/>
      <c r="I1409" s="252"/>
      <c r="J1409" s="252"/>
      <c r="K1409" s="252"/>
      <c r="L1409"/>
      <c r="M1409"/>
    </row>
    <row r="1410" spans="1:13" s="79" customFormat="1" x14ac:dyDescent="0.35">
      <c r="A1410" s="251"/>
      <c r="B1410" s="22"/>
      <c r="C1410" s="252"/>
      <c r="D1410" s="252"/>
      <c r="E1410" s="252"/>
      <c r="F1410" s="252"/>
      <c r="G1410" s="252"/>
      <c r="H1410" s="252"/>
      <c r="I1410" s="252"/>
      <c r="J1410" s="252"/>
      <c r="K1410" s="252"/>
      <c r="L1410"/>
      <c r="M1410"/>
    </row>
    <row r="1411" spans="1:13" s="79" customFormat="1" x14ac:dyDescent="0.35">
      <c r="A1411" s="251"/>
      <c r="B1411" s="22"/>
      <c r="C1411" s="252"/>
      <c r="D1411" s="252"/>
      <c r="E1411" s="252"/>
      <c r="F1411" s="252"/>
      <c r="G1411" s="252"/>
      <c r="H1411" s="252"/>
      <c r="I1411" s="252"/>
      <c r="J1411" s="252"/>
      <c r="K1411" s="252"/>
      <c r="L1411"/>
      <c r="M1411"/>
    </row>
    <row r="1412" spans="1:13" s="79" customFormat="1" x14ac:dyDescent="0.35">
      <c r="A1412" s="251"/>
      <c r="B1412" s="22"/>
      <c r="C1412" s="252"/>
      <c r="D1412" s="252"/>
      <c r="E1412" s="252"/>
      <c r="F1412" s="252"/>
      <c r="G1412" s="252"/>
      <c r="H1412" s="252"/>
      <c r="I1412" s="252"/>
      <c r="J1412" s="252"/>
      <c r="K1412" s="252"/>
      <c r="L1412"/>
      <c r="M1412"/>
    </row>
    <row r="1413" spans="1:13" s="79" customFormat="1" x14ac:dyDescent="0.35">
      <c r="A1413" s="251"/>
      <c r="B1413" s="22"/>
      <c r="C1413" s="252"/>
      <c r="D1413" s="252"/>
      <c r="E1413" s="252"/>
      <c r="F1413" s="252"/>
      <c r="G1413" s="252"/>
      <c r="H1413" s="252"/>
      <c r="I1413" s="252"/>
      <c r="J1413" s="252"/>
      <c r="K1413" s="252"/>
      <c r="L1413"/>
      <c r="M1413"/>
    </row>
    <row r="1414" spans="1:13" s="79" customFormat="1" x14ac:dyDescent="0.35">
      <c r="A1414" s="251"/>
      <c r="B1414" s="22"/>
      <c r="C1414" s="252"/>
      <c r="D1414" s="252"/>
      <c r="E1414" s="252"/>
      <c r="F1414" s="252"/>
      <c r="G1414" s="252"/>
      <c r="H1414" s="252"/>
      <c r="I1414" s="252"/>
      <c r="J1414" s="252"/>
      <c r="K1414" s="252"/>
      <c r="L1414"/>
      <c r="M1414"/>
    </row>
    <row r="1415" spans="1:13" s="79" customFormat="1" x14ac:dyDescent="0.35">
      <c r="A1415" s="251"/>
      <c r="B1415" s="22"/>
      <c r="C1415" s="252"/>
      <c r="D1415" s="252"/>
      <c r="E1415" s="252"/>
      <c r="F1415" s="252"/>
      <c r="G1415" s="252"/>
      <c r="H1415" s="252"/>
      <c r="I1415" s="252"/>
      <c r="J1415" s="252"/>
      <c r="K1415" s="252"/>
      <c r="L1415"/>
      <c r="M1415"/>
    </row>
    <row r="1416" spans="1:13" s="79" customFormat="1" x14ac:dyDescent="0.35">
      <c r="A1416" s="251"/>
      <c r="B1416" s="22"/>
      <c r="C1416" s="252"/>
      <c r="D1416" s="252"/>
      <c r="E1416" s="252"/>
      <c r="F1416" s="252"/>
      <c r="G1416" s="252"/>
      <c r="H1416" s="252"/>
      <c r="I1416" s="252"/>
      <c r="J1416" s="252"/>
      <c r="K1416" s="252"/>
      <c r="L1416"/>
      <c r="M1416"/>
    </row>
    <row r="1417" spans="1:13" s="79" customFormat="1" x14ac:dyDescent="0.35">
      <c r="A1417" s="251"/>
      <c r="B1417" s="22"/>
      <c r="C1417" s="252"/>
      <c r="D1417" s="252"/>
      <c r="E1417" s="252"/>
      <c r="F1417" s="252"/>
      <c r="G1417" s="252"/>
      <c r="H1417" s="252"/>
      <c r="I1417" s="252"/>
      <c r="J1417" s="252"/>
      <c r="K1417" s="252"/>
      <c r="L1417"/>
      <c r="M1417"/>
    </row>
    <row r="1418" spans="1:13" s="79" customFormat="1" x14ac:dyDescent="0.35">
      <c r="A1418" s="251"/>
      <c r="B1418" s="22"/>
      <c r="C1418" s="252"/>
      <c r="D1418" s="252"/>
      <c r="E1418" s="252"/>
      <c r="F1418" s="252"/>
      <c r="G1418" s="252"/>
      <c r="H1418" s="252"/>
      <c r="I1418" s="252"/>
      <c r="J1418" s="252"/>
      <c r="K1418" s="252"/>
      <c r="L1418"/>
      <c r="M1418"/>
    </row>
    <row r="1419" spans="1:13" s="79" customFormat="1" x14ac:dyDescent="0.35">
      <c r="A1419" s="251"/>
      <c r="B1419" s="22"/>
      <c r="C1419" s="252"/>
      <c r="D1419" s="252"/>
      <c r="E1419" s="252"/>
      <c r="F1419" s="252"/>
      <c r="G1419" s="252"/>
      <c r="H1419" s="252"/>
      <c r="I1419" s="252"/>
      <c r="J1419" s="252"/>
      <c r="K1419" s="252"/>
      <c r="L1419"/>
      <c r="M1419"/>
    </row>
    <row r="1420" spans="1:13" s="79" customFormat="1" x14ac:dyDescent="0.35">
      <c r="A1420" s="251"/>
      <c r="B1420" s="22"/>
      <c r="C1420" s="252"/>
      <c r="D1420" s="252"/>
      <c r="E1420" s="252"/>
      <c r="F1420" s="252"/>
      <c r="G1420" s="252"/>
      <c r="H1420" s="252"/>
      <c r="I1420" s="252"/>
      <c r="J1420" s="252"/>
      <c r="K1420" s="252"/>
      <c r="L1420"/>
      <c r="M1420"/>
    </row>
    <row r="1421" spans="1:13" s="79" customFormat="1" x14ac:dyDescent="0.35">
      <c r="A1421" s="251"/>
      <c r="B1421" s="22"/>
      <c r="C1421" s="252"/>
      <c r="D1421" s="252"/>
      <c r="E1421" s="252"/>
      <c r="F1421" s="252"/>
      <c r="G1421" s="252"/>
      <c r="H1421" s="252"/>
      <c r="I1421" s="252"/>
      <c r="J1421" s="252"/>
      <c r="K1421" s="252"/>
      <c r="L1421"/>
      <c r="M1421"/>
    </row>
    <row r="1422" spans="1:13" s="79" customFormat="1" x14ac:dyDescent="0.35">
      <c r="A1422" s="251"/>
      <c r="B1422" s="22"/>
      <c r="C1422" s="252"/>
      <c r="D1422" s="252"/>
      <c r="E1422" s="252"/>
      <c r="F1422" s="252"/>
      <c r="G1422" s="252"/>
      <c r="H1422" s="252"/>
      <c r="I1422" s="252"/>
      <c r="J1422" s="252"/>
      <c r="K1422" s="252"/>
      <c r="L1422"/>
      <c r="M1422"/>
    </row>
    <row r="1423" spans="1:13" s="79" customFormat="1" x14ac:dyDescent="0.35">
      <c r="A1423" s="251"/>
      <c r="B1423" s="22"/>
      <c r="C1423" s="252"/>
      <c r="D1423" s="252"/>
      <c r="E1423" s="252"/>
      <c r="F1423" s="252"/>
      <c r="G1423" s="252"/>
      <c r="H1423" s="252"/>
      <c r="I1423" s="252"/>
      <c r="J1423" s="252"/>
      <c r="K1423" s="252"/>
      <c r="L1423"/>
      <c r="M1423"/>
    </row>
    <row r="1424" spans="1:13" s="79" customFormat="1" x14ac:dyDescent="0.35">
      <c r="A1424" s="251"/>
      <c r="B1424" s="22"/>
      <c r="C1424" s="252"/>
      <c r="D1424" s="252"/>
      <c r="E1424" s="252"/>
      <c r="F1424" s="252"/>
      <c r="G1424" s="252"/>
      <c r="H1424" s="252"/>
      <c r="I1424" s="252"/>
      <c r="J1424" s="252"/>
      <c r="K1424" s="252"/>
      <c r="L1424"/>
      <c r="M1424"/>
    </row>
    <row r="1425" spans="1:13" s="79" customFormat="1" x14ac:dyDescent="0.35">
      <c r="A1425" s="251"/>
      <c r="B1425" s="22"/>
      <c r="C1425" s="252"/>
      <c r="D1425" s="252"/>
      <c r="E1425" s="252"/>
      <c r="F1425" s="252"/>
      <c r="G1425" s="252"/>
      <c r="H1425" s="252"/>
      <c r="I1425" s="252"/>
      <c r="J1425" s="252"/>
      <c r="K1425" s="252"/>
      <c r="L1425"/>
      <c r="M1425"/>
    </row>
    <row r="1426" spans="1:13" s="79" customFormat="1" x14ac:dyDescent="0.35">
      <c r="A1426" s="251"/>
      <c r="B1426" s="22"/>
      <c r="C1426" s="252"/>
      <c r="D1426" s="252"/>
      <c r="E1426" s="252"/>
      <c r="F1426" s="252"/>
      <c r="G1426" s="252"/>
      <c r="H1426" s="252"/>
      <c r="I1426" s="252"/>
      <c r="J1426" s="252"/>
      <c r="K1426" s="252"/>
      <c r="L1426"/>
      <c r="M1426"/>
    </row>
    <row r="1427" spans="1:13" s="79" customFormat="1" x14ac:dyDescent="0.35">
      <c r="A1427" s="251"/>
      <c r="B1427" s="22"/>
      <c r="C1427" s="252"/>
      <c r="D1427" s="252"/>
      <c r="E1427" s="252"/>
      <c r="F1427" s="252"/>
      <c r="G1427" s="252"/>
      <c r="H1427" s="252"/>
      <c r="I1427" s="252"/>
      <c r="J1427" s="252"/>
      <c r="K1427" s="252"/>
      <c r="L1427"/>
      <c r="M1427"/>
    </row>
    <row r="1428" spans="1:13" s="79" customFormat="1" x14ac:dyDescent="0.35">
      <c r="A1428" s="251"/>
      <c r="B1428" s="22"/>
      <c r="C1428" s="252"/>
      <c r="D1428" s="252"/>
      <c r="E1428" s="252"/>
      <c r="F1428" s="252"/>
      <c r="G1428" s="252"/>
      <c r="H1428" s="252"/>
      <c r="I1428" s="252"/>
      <c r="J1428" s="252"/>
      <c r="K1428" s="252"/>
      <c r="L1428"/>
      <c r="M1428"/>
    </row>
    <row r="1429" spans="1:13" s="79" customFormat="1" x14ac:dyDescent="0.35">
      <c r="A1429" s="251"/>
      <c r="B1429" s="22"/>
      <c r="C1429" s="252"/>
      <c r="D1429" s="252"/>
      <c r="E1429" s="252"/>
      <c r="F1429" s="252"/>
      <c r="G1429" s="252"/>
      <c r="H1429" s="252"/>
      <c r="I1429" s="252"/>
      <c r="J1429" s="252"/>
      <c r="K1429" s="252"/>
      <c r="L1429"/>
      <c r="M1429"/>
    </row>
    <row r="1430" spans="1:13" s="79" customFormat="1" x14ac:dyDescent="0.35">
      <c r="A1430" s="251"/>
      <c r="B1430" s="22"/>
      <c r="C1430" s="252"/>
      <c r="D1430" s="252"/>
      <c r="E1430" s="252"/>
      <c r="F1430" s="252"/>
      <c r="G1430" s="252"/>
      <c r="H1430" s="252"/>
      <c r="I1430" s="252"/>
      <c r="J1430" s="252"/>
      <c r="K1430" s="252"/>
      <c r="L1430"/>
      <c r="M1430"/>
    </row>
    <row r="1431" spans="1:13" s="79" customFormat="1" x14ac:dyDescent="0.35">
      <c r="A1431" s="251"/>
      <c r="B1431" s="22"/>
      <c r="C1431" s="252"/>
      <c r="D1431" s="252"/>
      <c r="E1431" s="252"/>
      <c r="F1431" s="252"/>
      <c r="G1431" s="252"/>
      <c r="H1431" s="252"/>
      <c r="I1431" s="252"/>
      <c r="J1431" s="252"/>
      <c r="K1431" s="252"/>
      <c r="L1431"/>
      <c r="M1431"/>
    </row>
    <row r="1432" spans="1:13" s="79" customFormat="1" x14ac:dyDescent="0.35">
      <c r="A1432" s="251"/>
      <c r="B1432" s="22"/>
      <c r="C1432" s="252"/>
      <c r="D1432" s="252"/>
      <c r="E1432" s="252"/>
      <c r="F1432" s="252"/>
      <c r="G1432" s="252"/>
      <c r="H1432" s="252"/>
      <c r="I1432" s="252"/>
      <c r="J1432" s="252"/>
      <c r="K1432" s="252"/>
      <c r="L1432"/>
      <c r="M1432"/>
    </row>
    <row r="1433" spans="1:13" s="79" customFormat="1" x14ac:dyDescent="0.35">
      <c r="A1433" s="251"/>
      <c r="B1433" s="22"/>
      <c r="C1433" s="252"/>
      <c r="D1433" s="252"/>
      <c r="E1433" s="252"/>
      <c r="F1433" s="252"/>
      <c r="G1433" s="252"/>
      <c r="H1433" s="252"/>
      <c r="I1433" s="252"/>
      <c r="J1433" s="252"/>
      <c r="K1433" s="252"/>
      <c r="L1433"/>
      <c r="M1433"/>
    </row>
    <row r="1434" spans="1:13" s="79" customFormat="1" x14ac:dyDescent="0.35">
      <c r="A1434" s="251"/>
      <c r="B1434" s="22"/>
      <c r="C1434" s="252"/>
      <c r="D1434" s="252"/>
      <c r="E1434" s="252"/>
      <c r="F1434" s="252"/>
      <c r="G1434" s="252"/>
      <c r="H1434" s="252"/>
      <c r="I1434" s="252"/>
      <c r="J1434" s="252"/>
      <c r="K1434" s="252"/>
      <c r="L1434"/>
      <c r="M1434"/>
    </row>
    <row r="1435" spans="1:13" s="79" customFormat="1" x14ac:dyDescent="0.35">
      <c r="A1435" s="251"/>
      <c r="B1435" s="22"/>
      <c r="C1435" s="252"/>
      <c r="D1435" s="252"/>
      <c r="E1435" s="252"/>
      <c r="F1435" s="252"/>
      <c r="G1435" s="252"/>
      <c r="H1435" s="252"/>
      <c r="I1435" s="252"/>
      <c r="J1435" s="252"/>
      <c r="K1435" s="252"/>
      <c r="L1435"/>
      <c r="M1435"/>
    </row>
    <row r="1436" spans="1:13" s="79" customFormat="1" x14ac:dyDescent="0.35">
      <c r="A1436" s="251"/>
      <c r="B1436" s="22"/>
      <c r="C1436" s="252"/>
      <c r="D1436" s="252"/>
      <c r="E1436" s="252"/>
      <c r="F1436" s="252"/>
      <c r="G1436" s="252"/>
      <c r="H1436" s="252"/>
      <c r="I1436" s="252"/>
      <c r="J1436" s="252"/>
      <c r="K1436" s="252"/>
      <c r="L1436"/>
      <c r="M1436"/>
    </row>
    <row r="1437" spans="1:13" s="79" customFormat="1" x14ac:dyDescent="0.35">
      <c r="A1437" s="251"/>
      <c r="B1437" s="22"/>
      <c r="C1437" s="252"/>
      <c r="D1437" s="252"/>
      <c r="E1437" s="252"/>
      <c r="F1437" s="252"/>
      <c r="G1437" s="252"/>
      <c r="H1437" s="252"/>
      <c r="I1437" s="252"/>
      <c r="J1437" s="252"/>
      <c r="K1437" s="252"/>
      <c r="L1437"/>
      <c r="M1437"/>
    </row>
    <row r="1438" spans="1:13" s="79" customFormat="1" x14ac:dyDescent="0.35">
      <c r="A1438" s="251"/>
      <c r="B1438" s="22"/>
      <c r="C1438" s="252"/>
      <c r="D1438" s="252"/>
      <c r="E1438" s="252"/>
      <c r="F1438" s="252"/>
      <c r="G1438" s="252"/>
      <c r="H1438" s="252"/>
      <c r="I1438" s="252"/>
      <c r="J1438" s="252"/>
      <c r="K1438" s="252"/>
      <c r="L1438"/>
      <c r="M1438"/>
    </row>
    <row r="1439" spans="1:13" s="79" customFormat="1" x14ac:dyDescent="0.35">
      <c r="A1439" s="251"/>
      <c r="B1439" s="22"/>
      <c r="C1439" s="252"/>
      <c r="D1439" s="252"/>
      <c r="E1439" s="252"/>
      <c r="F1439" s="252"/>
      <c r="G1439" s="252"/>
      <c r="H1439" s="252"/>
      <c r="I1439" s="252"/>
      <c r="J1439" s="252"/>
      <c r="K1439" s="252"/>
      <c r="L1439"/>
      <c r="M1439"/>
    </row>
    <row r="1440" spans="1:13" s="79" customFormat="1" x14ac:dyDescent="0.35">
      <c r="A1440" s="251"/>
      <c r="B1440" s="22"/>
      <c r="C1440" s="252"/>
      <c r="D1440" s="252"/>
      <c r="E1440" s="252"/>
      <c r="F1440" s="252"/>
      <c r="G1440" s="252"/>
      <c r="H1440" s="252"/>
      <c r="I1440" s="252"/>
      <c r="J1440" s="252"/>
      <c r="K1440" s="252"/>
      <c r="L1440"/>
      <c r="M1440"/>
    </row>
    <row r="1441" spans="1:13" s="79" customFormat="1" x14ac:dyDescent="0.35">
      <c r="A1441" s="251"/>
      <c r="B1441" s="22"/>
      <c r="C1441" s="252"/>
      <c r="D1441" s="252"/>
      <c r="E1441" s="252"/>
      <c r="F1441" s="252"/>
      <c r="G1441" s="252"/>
      <c r="H1441" s="252"/>
      <c r="I1441" s="252"/>
      <c r="J1441" s="252"/>
      <c r="K1441" s="252"/>
      <c r="L1441"/>
      <c r="M1441"/>
    </row>
    <row r="1442" spans="1:13" s="79" customFormat="1" x14ac:dyDescent="0.35">
      <c r="A1442" s="251"/>
      <c r="B1442" s="22"/>
      <c r="C1442" s="252"/>
      <c r="D1442" s="252"/>
      <c r="E1442" s="252"/>
      <c r="F1442" s="252"/>
      <c r="G1442" s="252"/>
      <c r="H1442" s="252"/>
      <c r="I1442" s="252"/>
      <c r="J1442" s="252"/>
      <c r="K1442" s="252"/>
      <c r="L1442"/>
      <c r="M1442"/>
    </row>
    <row r="1443" spans="1:13" s="79" customFormat="1" x14ac:dyDescent="0.35">
      <c r="A1443" s="251"/>
      <c r="B1443" s="22"/>
      <c r="C1443" s="252"/>
      <c r="D1443" s="252"/>
      <c r="E1443" s="252"/>
      <c r="F1443" s="252"/>
      <c r="G1443" s="252"/>
      <c r="H1443" s="252"/>
      <c r="I1443" s="252"/>
      <c r="J1443" s="252"/>
      <c r="K1443" s="252"/>
      <c r="L1443"/>
      <c r="M1443"/>
    </row>
    <row r="1444" spans="1:13" s="79" customFormat="1" x14ac:dyDescent="0.35">
      <c r="A1444" s="251"/>
      <c r="B1444" s="22"/>
      <c r="C1444" s="252"/>
      <c r="D1444" s="252"/>
      <c r="E1444" s="252"/>
      <c r="F1444" s="252"/>
      <c r="G1444" s="252"/>
      <c r="H1444" s="252"/>
      <c r="I1444" s="252"/>
      <c r="J1444" s="252"/>
      <c r="K1444" s="252"/>
      <c r="L1444"/>
      <c r="M1444"/>
    </row>
    <row r="1445" spans="1:13" s="79" customFormat="1" x14ac:dyDescent="0.35">
      <c r="A1445" s="251"/>
      <c r="B1445" s="22"/>
      <c r="C1445" s="252"/>
      <c r="D1445" s="252"/>
      <c r="E1445" s="252"/>
      <c r="F1445" s="252"/>
      <c r="G1445" s="252"/>
      <c r="H1445" s="252"/>
      <c r="I1445" s="252"/>
      <c r="J1445" s="252"/>
      <c r="K1445" s="252"/>
      <c r="L1445"/>
      <c r="M1445"/>
    </row>
    <row r="1446" spans="1:13" s="79" customFormat="1" x14ac:dyDescent="0.35">
      <c r="A1446" s="251"/>
      <c r="B1446" s="22"/>
      <c r="C1446" s="252"/>
      <c r="D1446" s="252"/>
      <c r="E1446" s="252"/>
      <c r="F1446" s="252"/>
      <c r="G1446" s="252"/>
      <c r="H1446" s="252"/>
      <c r="I1446" s="252"/>
      <c r="J1446" s="252"/>
      <c r="K1446" s="252"/>
      <c r="L1446"/>
      <c r="M1446"/>
    </row>
    <row r="1447" spans="1:13" s="79" customFormat="1" x14ac:dyDescent="0.35">
      <c r="A1447" s="251"/>
      <c r="B1447" s="22"/>
      <c r="C1447" s="252"/>
      <c r="D1447" s="252"/>
      <c r="E1447" s="252"/>
      <c r="F1447" s="252"/>
      <c r="G1447" s="252"/>
      <c r="H1447" s="252"/>
      <c r="I1447" s="252"/>
      <c r="J1447" s="252"/>
      <c r="K1447" s="252"/>
      <c r="L1447"/>
      <c r="M1447"/>
    </row>
    <row r="1448" spans="1:13" s="79" customFormat="1" x14ac:dyDescent="0.35">
      <c r="A1448" s="251"/>
      <c r="B1448" s="22"/>
      <c r="C1448" s="252"/>
      <c r="D1448" s="252"/>
      <c r="E1448" s="252"/>
      <c r="F1448" s="252"/>
      <c r="G1448" s="252"/>
      <c r="H1448" s="252"/>
      <c r="I1448" s="252"/>
      <c r="J1448" s="252"/>
      <c r="K1448" s="252"/>
      <c r="L1448"/>
      <c r="M1448"/>
    </row>
    <row r="1449" spans="1:13" s="79" customFormat="1" x14ac:dyDescent="0.35">
      <c r="A1449" s="251"/>
      <c r="B1449" s="22"/>
      <c r="C1449" s="252"/>
      <c r="D1449" s="252"/>
      <c r="E1449" s="252"/>
      <c r="F1449" s="252"/>
      <c r="G1449" s="252"/>
      <c r="H1449" s="252"/>
      <c r="I1449" s="252"/>
      <c r="J1449" s="252"/>
      <c r="K1449" s="252"/>
      <c r="L1449"/>
      <c r="M1449"/>
    </row>
    <row r="1450" spans="1:13" s="79" customFormat="1" x14ac:dyDescent="0.35">
      <c r="A1450" s="251"/>
      <c r="B1450" s="22"/>
      <c r="C1450" s="252"/>
      <c r="D1450" s="252"/>
      <c r="E1450" s="252"/>
      <c r="F1450" s="252"/>
      <c r="G1450" s="252"/>
      <c r="H1450" s="252"/>
      <c r="I1450" s="252"/>
      <c r="J1450" s="252"/>
      <c r="K1450" s="252"/>
      <c r="L1450"/>
      <c r="M1450"/>
    </row>
    <row r="1451" spans="1:13" s="79" customFormat="1" x14ac:dyDescent="0.35">
      <c r="A1451" s="251"/>
      <c r="B1451" s="22"/>
      <c r="C1451" s="252"/>
      <c r="D1451" s="252"/>
      <c r="E1451" s="252"/>
      <c r="F1451" s="252"/>
      <c r="G1451" s="252"/>
      <c r="H1451" s="252"/>
      <c r="I1451" s="252"/>
      <c r="J1451" s="252"/>
      <c r="K1451" s="252"/>
      <c r="L1451"/>
      <c r="M1451"/>
    </row>
    <row r="1452" spans="1:13" s="79" customFormat="1" x14ac:dyDescent="0.35">
      <c r="A1452" s="251"/>
      <c r="B1452" s="22"/>
      <c r="C1452" s="252"/>
      <c r="D1452" s="252"/>
      <c r="E1452" s="252"/>
      <c r="F1452" s="252"/>
      <c r="G1452" s="252"/>
      <c r="H1452" s="252"/>
      <c r="I1452" s="252"/>
      <c r="J1452" s="252"/>
      <c r="K1452" s="252"/>
      <c r="L1452"/>
      <c r="M1452"/>
    </row>
    <row r="1453" spans="1:13" s="79" customFormat="1" x14ac:dyDescent="0.35">
      <c r="A1453" s="251"/>
      <c r="B1453" s="22"/>
      <c r="C1453" s="252"/>
      <c r="D1453" s="252"/>
      <c r="E1453" s="252"/>
      <c r="F1453" s="252"/>
      <c r="G1453" s="252"/>
      <c r="H1453" s="252"/>
      <c r="I1453" s="252"/>
      <c r="J1453" s="252"/>
      <c r="K1453" s="252"/>
      <c r="L1453"/>
      <c r="M1453"/>
    </row>
    <row r="1454" spans="1:13" s="79" customFormat="1" x14ac:dyDescent="0.35">
      <c r="A1454" s="251"/>
      <c r="B1454" s="22"/>
      <c r="C1454" s="252"/>
      <c r="D1454" s="252"/>
      <c r="E1454" s="252"/>
      <c r="F1454" s="252"/>
      <c r="G1454" s="252"/>
      <c r="H1454" s="252"/>
      <c r="I1454" s="252"/>
      <c r="J1454" s="252"/>
      <c r="K1454" s="252"/>
      <c r="L1454"/>
      <c r="M1454"/>
    </row>
    <row r="1455" spans="1:13" s="79" customFormat="1" x14ac:dyDescent="0.35">
      <c r="A1455" s="251"/>
      <c r="B1455" s="22"/>
      <c r="C1455" s="252"/>
      <c r="D1455" s="252"/>
      <c r="E1455" s="252"/>
      <c r="F1455" s="252"/>
      <c r="G1455" s="252"/>
      <c r="H1455" s="252"/>
      <c r="I1455" s="252"/>
      <c r="J1455" s="252"/>
      <c r="K1455" s="252"/>
      <c r="L1455"/>
      <c r="M1455"/>
    </row>
    <row r="1456" spans="1:13" s="79" customFormat="1" x14ac:dyDescent="0.35">
      <c r="A1456" s="251"/>
      <c r="B1456" s="22"/>
      <c r="C1456" s="252"/>
      <c r="D1456" s="252"/>
      <c r="E1456" s="252"/>
      <c r="F1456" s="252"/>
      <c r="G1456" s="252"/>
      <c r="H1456" s="252"/>
      <c r="I1456" s="252"/>
      <c r="J1456" s="252"/>
      <c r="K1456" s="252"/>
      <c r="L1456"/>
      <c r="M1456"/>
    </row>
    <row r="1457" spans="1:13" s="79" customFormat="1" x14ac:dyDescent="0.35">
      <c r="A1457" s="251"/>
      <c r="B1457" s="22"/>
      <c r="C1457" s="252"/>
      <c r="D1457" s="252"/>
      <c r="E1457" s="252"/>
      <c r="F1457" s="252"/>
      <c r="G1457" s="252"/>
      <c r="H1457" s="252"/>
      <c r="I1457" s="252"/>
      <c r="J1457" s="252"/>
      <c r="K1457" s="252"/>
      <c r="L1457"/>
      <c r="M1457"/>
    </row>
    <row r="1458" spans="1:13" s="79" customFormat="1" x14ac:dyDescent="0.35">
      <c r="A1458" s="251"/>
      <c r="B1458" s="22"/>
      <c r="C1458" s="252"/>
      <c r="D1458" s="252"/>
      <c r="E1458" s="252"/>
      <c r="F1458" s="252"/>
      <c r="G1458" s="252"/>
      <c r="H1458" s="252"/>
      <c r="I1458" s="252"/>
      <c r="J1458" s="252"/>
      <c r="K1458" s="252"/>
      <c r="L1458"/>
      <c r="M1458"/>
    </row>
    <row r="1459" spans="1:13" s="79" customFormat="1" x14ac:dyDescent="0.35">
      <c r="A1459" s="251"/>
      <c r="B1459" s="22"/>
      <c r="C1459" s="252"/>
      <c r="D1459" s="252"/>
      <c r="E1459" s="252"/>
      <c r="F1459" s="252"/>
      <c r="G1459" s="252"/>
      <c r="H1459" s="252"/>
      <c r="I1459" s="252"/>
      <c r="J1459" s="252"/>
      <c r="K1459" s="252"/>
      <c r="L1459"/>
      <c r="M1459"/>
    </row>
    <row r="1460" spans="1:13" s="79" customFormat="1" x14ac:dyDescent="0.35">
      <c r="A1460" s="251"/>
      <c r="B1460" s="22"/>
      <c r="C1460" s="252"/>
      <c r="D1460" s="252"/>
      <c r="E1460" s="252"/>
      <c r="F1460" s="252"/>
      <c r="G1460" s="252"/>
      <c r="H1460" s="252"/>
      <c r="I1460" s="252"/>
      <c r="J1460" s="252"/>
      <c r="K1460" s="252"/>
      <c r="L1460"/>
      <c r="M1460"/>
    </row>
    <row r="1461" spans="1:13" s="79" customFormat="1" x14ac:dyDescent="0.35">
      <c r="A1461" s="251"/>
      <c r="B1461" s="22"/>
      <c r="C1461" s="252"/>
      <c r="D1461" s="252"/>
      <c r="E1461" s="252"/>
      <c r="F1461" s="252"/>
      <c r="G1461" s="252"/>
      <c r="H1461" s="252"/>
      <c r="I1461" s="252"/>
      <c r="J1461" s="252"/>
      <c r="K1461" s="252"/>
      <c r="L1461"/>
      <c r="M1461"/>
    </row>
    <row r="1462" spans="1:13" s="79" customFormat="1" x14ac:dyDescent="0.35">
      <c r="A1462" s="251"/>
      <c r="B1462" s="22"/>
      <c r="C1462" s="252"/>
      <c r="D1462" s="252"/>
      <c r="E1462" s="252"/>
      <c r="F1462" s="252"/>
      <c r="G1462" s="252"/>
      <c r="H1462" s="252"/>
      <c r="I1462" s="252"/>
      <c r="J1462" s="252"/>
      <c r="K1462" s="252"/>
      <c r="L1462"/>
      <c r="M1462"/>
    </row>
    <row r="1463" spans="1:13" s="79" customFormat="1" x14ac:dyDescent="0.35">
      <c r="A1463" s="251"/>
      <c r="B1463" s="22"/>
      <c r="C1463" s="252"/>
      <c r="D1463" s="252"/>
      <c r="E1463" s="252"/>
      <c r="F1463" s="252"/>
      <c r="G1463" s="252"/>
      <c r="H1463" s="252"/>
      <c r="I1463" s="252"/>
      <c r="J1463" s="252"/>
      <c r="K1463" s="252"/>
      <c r="L1463"/>
      <c r="M1463"/>
    </row>
    <row r="1464" spans="1:13" s="79" customFormat="1" x14ac:dyDescent="0.35">
      <c r="A1464" s="251"/>
      <c r="B1464" s="22"/>
      <c r="C1464" s="252"/>
      <c r="D1464" s="252"/>
      <c r="E1464" s="252"/>
      <c r="F1464" s="252"/>
      <c r="G1464" s="252"/>
      <c r="H1464" s="252"/>
      <c r="I1464" s="252"/>
      <c r="J1464" s="252"/>
      <c r="K1464" s="252"/>
      <c r="L1464"/>
      <c r="M1464"/>
    </row>
    <row r="1465" spans="1:13" s="79" customFormat="1" x14ac:dyDescent="0.35">
      <c r="A1465" s="251"/>
      <c r="B1465" s="22"/>
      <c r="C1465" s="252"/>
      <c r="D1465" s="252"/>
      <c r="E1465" s="252"/>
      <c r="F1465" s="252"/>
      <c r="G1465" s="252"/>
      <c r="H1465" s="252"/>
      <c r="I1465" s="252"/>
      <c r="J1465" s="252"/>
      <c r="K1465" s="252"/>
      <c r="L1465"/>
      <c r="M1465"/>
    </row>
    <row r="1466" spans="1:13" s="79" customFormat="1" x14ac:dyDescent="0.35">
      <c r="A1466" s="251"/>
      <c r="B1466" s="22"/>
      <c r="C1466" s="252"/>
      <c r="D1466" s="252"/>
      <c r="E1466" s="252"/>
      <c r="F1466" s="252"/>
      <c r="G1466" s="252"/>
      <c r="H1466" s="252"/>
      <c r="I1466" s="252"/>
      <c r="J1466" s="252"/>
      <c r="K1466" s="252"/>
      <c r="L1466"/>
      <c r="M1466"/>
    </row>
    <row r="1467" spans="1:13" s="79" customFormat="1" x14ac:dyDescent="0.35">
      <c r="A1467" s="251"/>
      <c r="B1467" s="22"/>
      <c r="C1467" s="252"/>
      <c r="D1467" s="252"/>
      <c r="E1467" s="252"/>
      <c r="F1467" s="252"/>
      <c r="G1467" s="252"/>
      <c r="H1467" s="252"/>
      <c r="I1467" s="252"/>
      <c r="J1467" s="252"/>
      <c r="K1467" s="252"/>
      <c r="L1467"/>
      <c r="M1467"/>
    </row>
    <row r="1468" spans="1:13" s="79" customFormat="1" x14ac:dyDescent="0.35">
      <c r="A1468" s="251"/>
      <c r="B1468" s="22"/>
      <c r="C1468" s="252"/>
      <c r="D1468" s="252"/>
      <c r="E1468" s="252"/>
      <c r="F1468" s="252"/>
      <c r="G1468" s="252"/>
      <c r="H1468" s="252"/>
      <c r="I1468" s="252"/>
      <c r="J1468" s="252"/>
      <c r="K1468" s="252"/>
      <c r="L1468"/>
      <c r="M1468"/>
    </row>
    <row r="1469" spans="1:13" s="79" customFormat="1" x14ac:dyDescent="0.35">
      <c r="A1469" s="251"/>
      <c r="B1469" s="22"/>
      <c r="C1469" s="252"/>
      <c r="D1469" s="252"/>
      <c r="E1469" s="252"/>
      <c r="F1469" s="252"/>
      <c r="G1469" s="252"/>
      <c r="H1469" s="252"/>
      <c r="I1469" s="252"/>
      <c r="J1469" s="252"/>
      <c r="K1469" s="252"/>
      <c r="L1469"/>
      <c r="M1469"/>
    </row>
    <row r="1470" spans="1:13" s="79" customFormat="1" x14ac:dyDescent="0.35">
      <c r="A1470" s="251"/>
      <c r="B1470" s="22"/>
      <c r="C1470" s="252"/>
      <c r="D1470" s="252"/>
      <c r="E1470" s="252"/>
      <c r="F1470" s="252"/>
      <c r="G1470" s="252"/>
      <c r="H1470" s="252"/>
      <c r="I1470" s="252"/>
      <c r="J1470" s="252"/>
      <c r="K1470" s="252"/>
      <c r="L1470"/>
      <c r="M1470"/>
    </row>
    <row r="1471" spans="1:13" s="79" customFormat="1" x14ac:dyDescent="0.35">
      <c r="A1471" s="251"/>
      <c r="B1471" s="22"/>
      <c r="C1471" s="252"/>
      <c r="D1471" s="252"/>
      <c r="E1471" s="252"/>
      <c r="F1471" s="252"/>
      <c r="G1471" s="252"/>
      <c r="H1471" s="252"/>
      <c r="I1471" s="252"/>
      <c r="J1471" s="252"/>
      <c r="K1471" s="252"/>
      <c r="L1471"/>
      <c r="M1471"/>
    </row>
    <row r="1472" spans="1:13" s="79" customFormat="1" x14ac:dyDescent="0.35">
      <c r="A1472" s="251"/>
      <c r="B1472" s="22"/>
      <c r="C1472" s="252"/>
      <c r="D1472" s="252"/>
      <c r="E1472" s="252"/>
      <c r="F1472" s="252"/>
      <c r="G1472" s="252"/>
      <c r="H1472" s="252"/>
      <c r="I1472" s="252"/>
      <c r="J1472" s="252"/>
      <c r="K1472" s="252"/>
      <c r="L1472"/>
      <c r="M1472"/>
    </row>
    <row r="1473" spans="1:13" s="79" customFormat="1" x14ac:dyDescent="0.35">
      <c r="A1473" s="251"/>
      <c r="B1473" s="22"/>
      <c r="C1473" s="252"/>
      <c r="D1473" s="252"/>
      <c r="E1473" s="252"/>
      <c r="F1473" s="252"/>
      <c r="G1473" s="252"/>
      <c r="H1473" s="252"/>
      <c r="I1473" s="252"/>
      <c r="J1473" s="252"/>
      <c r="K1473" s="252"/>
      <c r="L1473"/>
      <c r="M1473"/>
    </row>
    <row r="1474" spans="1:13" s="79" customFormat="1" x14ac:dyDescent="0.35">
      <c r="A1474" s="251"/>
      <c r="B1474" s="22"/>
      <c r="C1474" s="252"/>
      <c r="D1474" s="252"/>
      <c r="E1474" s="252"/>
      <c r="F1474" s="252"/>
      <c r="G1474" s="252"/>
      <c r="H1474" s="252"/>
      <c r="I1474" s="252"/>
      <c r="J1474" s="252"/>
      <c r="K1474" s="252"/>
      <c r="L1474"/>
      <c r="M1474"/>
    </row>
    <row r="1475" spans="1:13" s="79" customFormat="1" x14ac:dyDescent="0.35">
      <c r="A1475" s="251"/>
      <c r="B1475" s="22"/>
      <c r="C1475" s="252"/>
      <c r="D1475" s="252"/>
      <c r="E1475" s="252"/>
      <c r="F1475" s="252"/>
      <c r="G1475" s="252"/>
      <c r="H1475" s="252"/>
      <c r="I1475" s="252"/>
      <c r="J1475" s="252"/>
      <c r="K1475" s="252"/>
      <c r="L1475"/>
      <c r="M1475"/>
    </row>
    <row r="1476" spans="1:13" s="79" customFormat="1" x14ac:dyDescent="0.35">
      <c r="A1476" s="251"/>
      <c r="B1476" s="22"/>
      <c r="C1476" s="252"/>
      <c r="D1476" s="252"/>
      <c r="E1476" s="252"/>
      <c r="F1476" s="252"/>
      <c r="G1476" s="252"/>
      <c r="H1476" s="252"/>
      <c r="I1476" s="252"/>
      <c r="J1476" s="252"/>
      <c r="K1476" s="252"/>
      <c r="L1476"/>
      <c r="M1476"/>
    </row>
    <row r="1477" spans="1:13" s="79" customFormat="1" x14ac:dyDescent="0.35">
      <c r="A1477" s="251"/>
      <c r="B1477" s="22"/>
      <c r="C1477" s="252"/>
      <c r="D1477" s="252"/>
      <c r="E1477" s="252"/>
      <c r="F1477" s="252"/>
      <c r="G1477" s="252"/>
      <c r="H1477" s="252"/>
      <c r="I1477" s="252"/>
      <c r="J1477" s="252"/>
      <c r="K1477" s="252"/>
      <c r="L1477"/>
      <c r="M1477"/>
    </row>
    <row r="1478" spans="1:13" s="79" customFormat="1" x14ac:dyDescent="0.35">
      <c r="A1478" s="251"/>
      <c r="B1478" s="22"/>
      <c r="C1478" s="252"/>
      <c r="D1478" s="252"/>
      <c r="E1478" s="252"/>
      <c r="F1478" s="252"/>
      <c r="G1478" s="252"/>
      <c r="H1478" s="252"/>
      <c r="I1478" s="252"/>
      <c r="J1478" s="252"/>
      <c r="K1478" s="252"/>
      <c r="L1478"/>
      <c r="M1478"/>
    </row>
    <row r="1479" spans="1:13" s="79" customFormat="1" x14ac:dyDescent="0.35">
      <c r="A1479" s="251"/>
      <c r="B1479" s="22"/>
      <c r="C1479" s="252"/>
      <c r="D1479" s="252"/>
      <c r="E1479" s="252"/>
      <c r="F1479" s="252"/>
      <c r="G1479" s="252"/>
      <c r="H1479" s="252"/>
      <c r="I1479" s="252"/>
      <c r="J1479" s="252"/>
      <c r="K1479" s="252"/>
      <c r="L1479"/>
      <c r="M1479"/>
    </row>
    <row r="1480" spans="1:13" s="79" customFormat="1" x14ac:dyDescent="0.35">
      <c r="A1480" s="251"/>
      <c r="B1480" s="22"/>
      <c r="C1480" s="252"/>
      <c r="D1480" s="252"/>
      <c r="E1480" s="252"/>
      <c r="F1480" s="252"/>
      <c r="G1480" s="252"/>
      <c r="H1480" s="252"/>
      <c r="I1480" s="252"/>
      <c r="J1480" s="252"/>
      <c r="K1480" s="252"/>
      <c r="L1480"/>
      <c r="M1480"/>
    </row>
    <row r="1481" spans="1:13" s="79" customFormat="1" x14ac:dyDescent="0.35">
      <c r="A1481" s="251"/>
      <c r="B1481" s="22"/>
      <c r="C1481" s="252"/>
      <c r="D1481" s="252"/>
      <c r="E1481" s="252"/>
      <c r="F1481" s="252"/>
      <c r="G1481" s="252"/>
      <c r="H1481" s="252"/>
      <c r="I1481" s="252"/>
      <c r="J1481" s="252"/>
      <c r="K1481" s="252"/>
      <c r="L1481"/>
      <c r="M1481"/>
    </row>
    <row r="1482" spans="1:13" s="79" customFormat="1" x14ac:dyDescent="0.35">
      <c r="A1482" s="251"/>
      <c r="B1482" s="22"/>
      <c r="C1482" s="252"/>
      <c r="D1482" s="252"/>
      <c r="E1482" s="252"/>
      <c r="F1482" s="252"/>
      <c r="G1482" s="252"/>
      <c r="H1482" s="252"/>
      <c r="I1482" s="252"/>
      <c r="J1482" s="252"/>
      <c r="K1482" s="252"/>
      <c r="L1482"/>
      <c r="M1482"/>
    </row>
    <row r="1483" spans="1:13" s="79" customFormat="1" x14ac:dyDescent="0.35">
      <c r="A1483" s="251"/>
      <c r="B1483" s="22"/>
      <c r="C1483" s="252"/>
      <c r="D1483" s="252"/>
      <c r="E1483" s="252"/>
      <c r="F1483" s="252"/>
      <c r="G1483" s="252"/>
      <c r="H1483" s="252"/>
      <c r="I1483" s="252"/>
      <c r="J1483" s="252"/>
      <c r="K1483" s="252"/>
      <c r="L1483"/>
      <c r="M1483"/>
    </row>
    <row r="1484" spans="1:13" s="79" customFormat="1" x14ac:dyDescent="0.35">
      <c r="A1484" s="251"/>
      <c r="B1484" s="22"/>
      <c r="C1484" s="252"/>
      <c r="D1484" s="252"/>
      <c r="E1484" s="252"/>
      <c r="F1484" s="252"/>
      <c r="G1484" s="252"/>
      <c r="H1484" s="252"/>
      <c r="I1484" s="252"/>
      <c r="J1484" s="252"/>
      <c r="K1484" s="252"/>
      <c r="L1484"/>
      <c r="M1484"/>
    </row>
    <row r="1485" spans="1:13" s="79" customFormat="1" x14ac:dyDescent="0.35">
      <c r="A1485" s="251"/>
      <c r="B1485" s="22"/>
      <c r="C1485" s="252"/>
      <c r="D1485" s="252"/>
      <c r="E1485" s="252"/>
      <c r="F1485" s="252"/>
      <c r="G1485" s="252"/>
      <c r="H1485" s="252"/>
      <c r="I1485" s="252"/>
      <c r="J1485" s="252"/>
      <c r="K1485" s="252"/>
      <c r="L1485"/>
      <c r="M1485"/>
    </row>
    <row r="1486" spans="1:13" s="79" customFormat="1" x14ac:dyDescent="0.35">
      <c r="A1486" s="251"/>
      <c r="B1486" s="22"/>
      <c r="C1486" s="252"/>
      <c r="D1486" s="252"/>
      <c r="E1486" s="252"/>
      <c r="F1486" s="252"/>
      <c r="G1486" s="252"/>
      <c r="H1486" s="252"/>
      <c r="I1486" s="252"/>
      <c r="J1486" s="252"/>
      <c r="K1486" s="252"/>
      <c r="L1486"/>
      <c r="M1486"/>
    </row>
    <row r="1487" spans="1:13" s="79" customFormat="1" x14ac:dyDescent="0.35">
      <c r="A1487" s="251"/>
      <c r="B1487" s="22"/>
      <c r="C1487" s="252"/>
      <c r="D1487" s="252"/>
      <c r="E1487" s="252"/>
      <c r="F1487" s="252"/>
      <c r="G1487" s="252"/>
      <c r="H1487" s="252"/>
      <c r="I1487" s="252"/>
      <c r="J1487" s="252"/>
      <c r="K1487" s="252"/>
      <c r="L1487"/>
      <c r="M1487"/>
    </row>
    <row r="1488" spans="1:13" s="79" customFormat="1" x14ac:dyDescent="0.35">
      <c r="A1488" s="251"/>
      <c r="B1488" s="22"/>
      <c r="C1488" s="252"/>
      <c r="D1488" s="252"/>
      <c r="E1488" s="252"/>
      <c r="F1488" s="252"/>
      <c r="G1488" s="252"/>
      <c r="H1488" s="252"/>
      <c r="I1488" s="252"/>
      <c r="J1488" s="252"/>
      <c r="K1488" s="252"/>
      <c r="L1488"/>
      <c r="M1488"/>
    </row>
    <row r="1489" spans="1:13" s="79" customFormat="1" x14ac:dyDescent="0.35">
      <c r="A1489" s="251"/>
      <c r="B1489" s="22"/>
      <c r="C1489" s="252"/>
      <c r="D1489" s="252"/>
      <c r="E1489" s="252"/>
      <c r="F1489" s="252"/>
      <c r="G1489" s="252"/>
      <c r="H1489" s="252"/>
      <c r="I1489" s="252"/>
      <c r="J1489" s="252"/>
      <c r="K1489" s="252"/>
      <c r="L1489"/>
      <c r="M1489"/>
    </row>
    <row r="1490" spans="1:13" s="79" customFormat="1" x14ac:dyDescent="0.35">
      <c r="A1490" s="251"/>
      <c r="B1490" s="22"/>
      <c r="C1490" s="252"/>
      <c r="D1490" s="252"/>
      <c r="E1490" s="252"/>
      <c r="F1490" s="252"/>
      <c r="G1490" s="252"/>
      <c r="H1490" s="252"/>
      <c r="I1490" s="252"/>
      <c r="J1490" s="252"/>
      <c r="K1490" s="252"/>
      <c r="L1490"/>
      <c r="M1490"/>
    </row>
    <row r="1491" spans="1:13" s="79" customFormat="1" x14ac:dyDescent="0.35">
      <c r="A1491" s="251"/>
      <c r="B1491" s="22"/>
      <c r="C1491" s="252"/>
      <c r="D1491" s="252"/>
      <c r="E1491" s="252"/>
      <c r="F1491" s="252"/>
      <c r="G1491" s="252"/>
      <c r="H1491" s="252"/>
      <c r="I1491" s="252"/>
      <c r="J1491" s="252"/>
      <c r="K1491" s="252"/>
      <c r="L1491"/>
      <c r="M1491"/>
    </row>
    <row r="1492" spans="1:13" s="79" customFormat="1" x14ac:dyDescent="0.35">
      <c r="A1492" s="251"/>
      <c r="B1492" s="22"/>
      <c r="C1492" s="252"/>
      <c r="D1492" s="252"/>
      <c r="E1492" s="252"/>
      <c r="F1492" s="252"/>
      <c r="G1492" s="252"/>
      <c r="H1492" s="252"/>
      <c r="I1492" s="252"/>
      <c r="J1492" s="252"/>
      <c r="K1492" s="252"/>
      <c r="L1492"/>
      <c r="M1492"/>
    </row>
    <row r="1493" spans="1:13" s="79" customFormat="1" x14ac:dyDescent="0.35">
      <c r="A1493" s="251"/>
      <c r="B1493" s="22"/>
      <c r="C1493" s="252"/>
      <c r="D1493" s="252"/>
      <c r="E1493" s="252"/>
      <c r="F1493" s="252"/>
      <c r="G1493" s="252"/>
      <c r="H1493" s="252"/>
      <c r="I1493" s="252"/>
      <c r="J1493" s="252"/>
      <c r="K1493" s="252"/>
      <c r="L1493"/>
      <c r="M1493"/>
    </row>
    <row r="1494" spans="1:13" s="79" customFormat="1" x14ac:dyDescent="0.35">
      <c r="A1494" s="251"/>
      <c r="B1494" s="22"/>
      <c r="C1494" s="252"/>
      <c r="D1494" s="252"/>
      <c r="E1494" s="252"/>
      <c r="F1494" s="252"/>
      <c r="G1494" s="252"/>
      <c r="H1494" s="252"/>
      <c r="I1494" s="252"/>
      <c r="J1494" s="252"/>
      <c r="K1494" s="252"/>
      <c r="L1494"/>
      <c r="M1494"/>
    </row>
    <row r="1495" spans="1:13" s="79" customFormat="1" x14ac:dyDescent="0.35">
      <c r="A1495" s="251"/>
      <c r="B1495" s="22"/>
      <c r="C1495" s="252"/>
      <c r="D1495" s="252"/>
      <c r="E1495" s="252"/>
      <c r="F1495" s="252"/>
      <c r="G1495" s="252"/>
      <c r="H1495" s="252"/>
      <c r="I1495" s="252"/>
      <c r="J1495" s="252"/>
      <c r="K1495" s="252"/>
      <c r="L1495"/>
      <c r="M1495"/>
    </row>
    <row r="1496" spans="1:13" s="79" customFormat="1" x14ac:dyDescent="0.35">
      <c r="A1496" s="251"/>
      <c r="B1496" s="22"/>
      <c r="C1496" s="252"/>
      <c r="D1496" s="252"/>
      <c r="E1496" s="252"/>
      <c r="F1496" s="252"/>
      <c r="G1496" s="252"/>
      <c r="H1496" s="252"/>
      <c r="I1496" s="252"/>
      <c r="J1496" s="252"/>
      <c r="K1496" s="252"/>
      <c r="L1496"/>
      <c r="M1496"/>
    </row>
    <row r="1497" spans="1:13" s="79" customFormat="1" x14ac:dyDescent="0.35">
      <c r="A1497" s="251"/>
      <c r="B1497" s="22"/>
      <c r="C1497" s="252"/>
      <c r="D1497" s="252"/>
      <c r="E1497" s="252"/>
      <c r="F1497" s="252"/>
      <c r="G1497" s="252"/>
      <c r="H1497" s="252"/>
      <c r="I1497" s="252"/>
      <c r="J1497" s="252"/>
      <c r="K1497" s="252"/>
      <c r="L1497"/>
      <c r="M1497"/>
    </row>
    <row r="1498" spans="1:13" s="79" customFormat="1" x14ac:dyDescent="0.35">
      <c r="A1498" s="251"/>
      <c r="B1498" s="22"/>
      <c r="C1498" s="252"/>
      <c r="D1498" s="252"/>
      <c r="E1498" s="252"/>
      <c r="F1498" s="252"/>
      <c r="G1498" s="252"/>
      <c r="H1498" s="252"/>
      <c r="I1498" s="252"/>
      <c r="J1498" s="252"/>
      <c r="K1498" s="252"/>
      <c r="L1498"/>
      <c r="M1498"/>
    </row>
    <row r="1499" spans="1:13" s="79" customFormat="1" x14ac:dyDescent="0.35">
      <c r="A1499" s="251"/>
      <c r="B1499" s="22"/>
      <c r="C1499" s="252"/>
      <c r="D1499" s="252"/>
      <c r="E1499" s="252"/>
      <c r="F1499" s="252"/>
      <c r="G1499" s="252"/>
      <c r="H1499" s="252"/>
      <c r="I1499" s="252"/>
      <c r="J1499" s="252"/>
      <c r="K1499" s="252"/>
      <c r="L1499"/>
      <c r="M1499"/>
    </row>
    <row r="1500" spans="1:13" s="79" customFormat="1" x14ac:dyDescent="0.35">
      <c r="A1500" s="251"/>
      <c r="B1500" s="22"/>
      <c r="C1500" s="252"/>
      <c r="D1500" s="252"/>
      <c r="E1500" s="252"/>
      <c r="F1500" s="252"/>
      <c r="G1500" s="252"/>
      <c r="H1500" s="252"/>
      <c r="I1500" s="252"/>
      <c r="J1500" s="252"/>
      <c r="K1500" s="252"/>
      <c r="L1500"/>
      <c r="M1500"/>
    </row>
    <row r="1501" spans="1:13" s="79" customFormat="1" x14ac:dyDescent="0.35">
      <c r="A1501" s="251"/>
      <c r="B1501" s="22"/>
      <c r="C1501" s="252"/>
      <c r="D1501" s="252"/>
      <c r="E1501" s="252"/>
      <c r="F1501" s="252"/>
      <c r="G1501" s="252"/>
      <c r="H1501" s="252"/>
      <c r="I1501" s="252"/>
      <c r="J1501" s="252"/>
      <c r="K1501" s="252"/>
      <c r="L1501"/>
      <c r="M1501"/>
    </row>
    <row r="1502" spans="1:13" s="79" customFormat="1" x14ac:dyDescent="0.35">
      <c r="A1502" s="251"/>
      <c r="B1502" s="22"/>
      <c r="C1502" s="252"/>
      <c r="D1502" s="252"/>
      <c r="E1502" s="252"/>
      <c r="F1502" s="252"/>
      <c r="G1502" s="252"/>
      <c r="H1502" s="252"/>
      <c r="I1502" s="252"/>
      <c r="J1502" s="252"/>
      <c r="K1502" s="252"/>
      <c r="L1502"/>
      <c r="M1502"/>
    </row>
    <row r="1503" spans="1:13" s="79" customFormat="1" x14ac:dyDescent="0.35">
      <c r="A1503" s="251"/>
      <c r="B1503" s="22"/>
      <c r="C1503" s="252"/>
      <c r="D1503" s="252"/>
      <c r="E1503" s="252"/>
      <c r="F1503" s="252"/>
      <c r="G1503" s="252"/>
      <c r="H1503" s="252"/>
      <c r="I1503" s="252"/>
      <c r="J1503" s="252"/>
      <c r="K1503" s="252"/>
      <c r="L1503"/>
      <c r="M1503"/>
    </row>
    <row r="1504" spans="1:13" s="79" customFormat="1" x14ac:dyDescent="0.35">
      <c r="A1504" s="251"/>
      <c r="B1504" s="22"/>
      <c r="C1504" s="252"/>
      <c r="D1504" s="252"/>
      <c r="E1504" s="252"/>
      <c r="F1504" s="252"/>
      <c r="G1504" s="252"/>
      <c r="H1504" s="252"/>
      <c r="I1504" s="252"/>
      <c r="J1504" s="252"/>
      <c r="K1504" s="252"/>
      <c r="L1504"/>
      <c r="M1504"/>
    </row>
    <row r="1505" spans="1:13" s="79" customFormat="1" x14ac:dyDescent="0.35">
      <c r="A1505" s="251"/>
      <c r="B1505" s="22"/>
      <c r="C1505" s="252"/>
      <c r="D1505" s="252"/>
      <c r="E1505" s="252"/>
      <c r="F1505" s="252"/>
      <c r="G1505" s="252"/>
      <c r="H1505" s="252"/>
      <c r="I1505" s="252"/>
      <c r="J1505" s="252"/>
      <c r="K1505" s="252"/>
      <c r="L1505"/>
      <c r="M1505"/>
    </row>
    <row r="1506" spans="1:13" s="79" customFormat="1" x14ac:dyDescent="0.35">
      <c r="A1506" s="251"/>
      <c r="B1506" s="22"/>
      <c r="C1506" s="252"/>
      <c r="D1506" s="252"/>
      <c r="E1506" s="252"/>
      <c r="F1506" s="252"/>
      <c r="G1506" s="252"/>
      <c r="H1506" s="252"/>
      <c r="I1506" s="252"/>
      <c r="J1506" s="252"/>
      <c r="K1506" s="252"/>
      <c r="L1506"/>
      <c r="M1506"/>
    </row>
    <row r="1507" spans="1:13" s="79" customFormat="1" x14ac:dyDescent="0.35">
      <c r="A1507" s="251"/>
      <c r="B1507" s="22"/>
      <c r="C1507" s="252"/>
      <c r="D1507" s="252"/>
      <c r="E1507" s="252"/>
      <c r="F1507" s="252"/>
      <c r="G1507" s="252"/>
      <c r="H1507" s="252"/>
      <c r="I1507" s="252"/>
      <c r="J1507" s="252"/>
      <c r="K1507" s="252"/>
      <c r="L1507"/>
      <c r="M1507"/>
    </row>
    <row r="1508" spans="1:13" s="79" customFormat="1" x14ac:dyDescent="0.35">
      <c r="A1508" s="251"/>
      <c r="B1508" s="22"/>
      <c r="C1508" s="252"/>
      <c r="D1508" s="252"/>
      <c r="E1508" s="252"/>
      <c r="F1508" s="252"/>
      <c r="G1508" s="252"/>
      <c r="H1508" s="252"/>
      <c r="I1508" s="252"/>
      <c r="J1508" s="252"/>
      <c r="K1508" s="252"/>
      <c r="L1508"/>
      <c r="M1508"/>
    </row>
    <row r="1509" spans="1:13" s="79" customFormat="1" x14ac:dyDescent="0.35">
      <c r="A1509" s="251"/>
      <c r="B1509" s="22"/>
      <c r="C1509" s="252"/>
      <c r="D1509" s="252"/>
      <c r="E1509" s="252"/>
      <c r="F1509" s="252"/>
      <c r="G1509" s="252"/>
      <c r="H1509" s="252"/>
      <c r="I1509" s="252"/>
      <c r="J1509" s="252"/>
      <c r="K1509" s="252"/>
      <c r="L1509"/>
      <c r="M1509"/>
    </row>
    <row r="1510" spans="1:13" s="79" customFormat="1" x14ac:dyDescent="0.35">
      <c r="A1510" s="251"/>
      <c r="B1510" s="22"/>
      <c r="C1510" s="252"/>
      <c r="D1510" s="252"/>
      <c r="E1510" s="252"/>
      <c r="F1510" s="252"/>
      <c r="G1510" s="252"/>
      <c r="H1510" s="252"/>
      <c r="I1510" s="252"/>
      <c r="J1510" s="252"/>
      <c r="K1510" s="252"/>
      <c r="L1510"/>
      <c r="M1510"/>
    </row>
    <row r="1511" spans="1:13" s="79" customFormat="1" x14ac:dyDescent="0.35">
      <c r="A1511" s="251"/>
      <c r="B1511" s="22"/>
      <c r="C1511" s="252"/>
      <c r="D1511" s="252"/>
      <c r="E1511" s="252"/>
      <c r="F1511" s="252"/>
      <c r="G1511" s="252"/>
      <c r="H1511" s="252"/>
      <c r="I1511" s="252"/>
      <c r="J1511" s="252"/>
      <c r="K1511" s="252"/>
      <c r="L1511"/>
      <c r="M1511"/>
    </row>
    <row r="1512" spans="1:13" s="79" customFormat="1" x14ac:dyDescent="0.35">
      <c r="A1512" s="251"/>
      <c r="B1512" s="22"/>
      <c r="C1512" s="252"/>
      <c r="D1512" s="252"/>
      <c r="E1512" s="252"/>
      <c r="F1512" s="252"/>
      <c r="G1512" s="252"/>
      <c r="H1512" s="252"/>
      <c r="I1512" s="252"/>
      <c r="J1512" s="252"/>
      <c r="K1512" s="252"/>
      <c r="L1512"/>
      <c r="M1512"/>
    </row>
    <row r="1513" spans="1:13" s="79" customFormat="1" x14ac:dyDescent="0.35">
      <c r="A1513" s="251"/>
      <c r="B1513" s="22"/>
      <c r="C1513" s="252"/>
      <c r="D1513" s="252"/>
      <c r="E1513" s="252"/>
      <c r="F1513" s="252"/>
      <c r="G1513" s="252"/>
      <c r="H1513" s="252"/>
      <c r="I1513" s="252"/>
      <c r="J1513" s="252"/>
      <c r="K1513" s="252"/>
      <c r="L1513"/>
      <c r="M1513"/>
    </row>
    <row r="1514" spans="1:13" s="79" customFormat="1" x14ac:dyDescent="0.35">
      <c r="A1514" s="251"/>
      <c r="B1514" s="22"/>
      <c r="C1514" s="252"/>
      <c r="D1514" s="252"/>
      <c r="E1514" s="252"/>
      <c r="F1514" s="252"/>
      <c r="G1514" s="252"/>
      <c r="H1514" s="252"/>
      <c r="I1514" s="252"/>
      <c r="J1514" s="252"/>
      <c r="K1514" s="252"/>
      <c r="L1514"/>
      <c r="M1514"/>
    </row>
    <row r="1515" spans="1:13" s="79" customFormat="1" x14ac:dyDescent="0.35">
      <c r="A1515" s="251"/>
      <c r="B1515" s="22"/>
      <c r="C1515" s="252"/>
      <c r="D1515" s="252"/>
      <c r="E1515" s="252"/>
      <c r="F1515" s="252"/>
      <c r="G1515" s="252"/>
      <c r="H1515" s="252"/>
      <c r="I1515" s="252"/>
      <c r="J1515" s="252"/>
      <c r="K1515" s="252"/>
      <c r="L1515"/>
      <c r="M1515"/>
    </row>
    <row r="1516" spans="1:13" s="79" customFormat="1" x14ac:dyDescent="0.35">
      <c r="A1516" s="251"/>
      <c r="B1516" s="22"/>
      <c r="C1516" s="252"/>
      <c r="D1516" s="252"/>
      <c r="E1516" s="252"/>
      <c r="F1516" s="252"/>
      <c r="G1516" s="252"/>
      <c r="H1516" s="252"/>
      <c r="I1516" s="252"/>
      <c r="J1516" s="252"/>
      <c r="K1516" s="252"/>
      <c r="L1516"/>
      <c r="M1516"/>
    </row>
    <row r="1517" spans="1:13" s="79" customFormat="1" x14ac:dyDescent="0.35">
      <c r="A1517" s="251"/>
      <c r="B1517" s="22"/>
      <c r="C1517" s="252"/>
      <c r="D1517" s="252"/>
      <c r="E1517" s="252"/>
      <c r="F1517" s="252"/>
      <c r="G1517" s="252"/>
      <c r="H1517" s="252"/>
      <c r="I1517" s="252"/>
      <c r="J1517" s="252"/>
      <c r="K1517" s="252"/>
      <c r="L1517"/>
      <c r="M1517"/>
    </row>
    <row r="1518" spans="1:13" s="79" customFormat="1" x14ac:dyDescent="0.35">
      <c r="A1518" s="251"/>
      <c r="B1518" s="22"/>
      <c r="C1518" s="252"/>
      <c r="D1518" s="252"/>
      <c r="E1518" s="252"/>
      <c r="F1518" s="252"/>
      <c r="G1518" s="252"/>
      <c r="H1518" s="252"/>
      <c r="I1518" s="252"/>
      <c r="J1518" s="252"/>
      <c r="K1518" s="252"/>
      <c r="L1518"/>
      <c r="M1518"/>
    </row>
    <row r="1519" spans="1:13" s="79" customFormat="1" x14ac:dyDescent="0.35">
      <c r="A1519" s="251"/>
      <c r="B1519" s="22"/>
      <c r="C1519" s="252"/>
      <c r="D1519" s="252"/>
      <c r="E1519" s="252"/>
      <c r="F1519" s="252"/>
      <c r="G1519" s="252"/>
      <c r="H1519" s="252"/>
      <c r="I1519" s="252"/>
      <c r="J1519" s="252"/>
      <c r="K1519" s="252"/>
      <c r="L1519"/>
      <c r="M1519"/>
    </row>
    <row r="1520" spans="1:13" s="79" customFormat="1" x14ac:dyDescent="0.35">
      <c r="A1520" s="251"/>
      <c r="B1520" s="22"/>
      <c r="C1520" s="252"/>
      <c r="D1520" s="252"/>
      <c r="E1520" s="252"/>
      <c r="F1520" s="252"/>
      <c r="G1520" s="252"/>
      <c r="H1520" s="252"/>
      <c r="I1520" s="252"/>
      <c r="J1520" s="252"/>
      <c r="K1520" s="252"/>
      <c r="L1520"/>
      <c r="M1520"/>
    </row>
    <row r="1521" spans="1:13" s="79" customFormat="1" x14ac:dyDescent="0.35">
      <c r="A1521" s="251"/>
      <c r="B1521" s="22"/>
      <c r="C1521" s="252"/>
      <c r="D1521" s="252"/>
      <c r="E1521" s="252"/>
      <c r="F1521" s="252"/>
      <c r="G1521" s="252"/>
      <c r="H1521" s="252"/>
      <c r="I1521" s="252"/>
      <c r="J1521" s="252"/>
      <c r="K1521" s="252"/>
      <c r="L1521"/>
      <c r="M1521"/>
    </row>
    <row r="1522" spans="1:13" s="79" customFormat="1" x14ac:dyDescent="0.35">
      <c r="A1522" s="251"/>
      <c r="B1522" s="22"/>
      <c r="C1522" s="252"/>
      <c r="D1522" s="252"/>
      <c r="E1522" s="252"/>
      <c r="F1522" s="252"/>
      <c r="G1522" s="252"/>
      <c r="H1522" s="252"/>
      <c r="I1522" s="252"/>
      <c r="J1522" s="252"/>
      <c r="K1522" s="252"/>
      <c r="L1522"/>
      <c r="M1522"/>
    </row>
    <row r="1523" spans="1:13" s="79" customFormat="1" x14ac:dyDescent="0.35">
      <c r="A1523" s="251"/>
      <c r="B1523" s="22"/>
      <c r="C1523" s="252"/>
      <c r="D1523" s="252"/>
      <c r="E1523" s="252"/>
      <c r="F1523" s="252"/>
      <c r="G1523" s="252"/>
      <c r="H1523" s="252"/>
      <c r="I1523" s="252"/>
      <c r="J1523" s="252"/>
      <c r="K1523" s="252"/>
      <c r="L1523"/>
      <c r="M1523"/>
    </row>
    <row r="1524" spans="1:13" s="79" customFormat="1" x14ac:dyDescent="0.35">
      <c r="A1524" s="251"/>
      <c r="B1524" s="22"/>
      <c r="C1524" s="252"/>
      <c r="D1524" s="252"/>
      <c r="E1524" s="252"/>
      <c r="F1524" s="252"/>
      <c r="G1524" s="252"/>
      <c r="H1524" s="252"/>
      <c r="I1524" s="252"/>
      <c r="J1524" s="252"/>
      <c r="K1524" s="252"/>
      <c r="L1524"/>
      <c r="M1524"/>
    </row>
    <row r="1525" spans="1:13" s="79" customFormat="1" x14ac:dyDescent="0.35">
      <c r="A1525" s="251"/>
      <c r="B1525" s="22"/>
      <c r="C1525" s="252"/>
      <c r="D1525" s="252"/>
      <c r="E1525" s="252"/>
      <c r="F1525" s="252"/>
      <c r="G1525" s="252"/>
      <c r="H1525" s="252"/>
      <c r="I1525" s="252"/>
      <c r="J1525" s="252"/>
      <c r="K1525" s="252"/>
      <c r="L1525"/>
      <c r="M1525"/>
    </row>
    <row r="1526" spans="1:13" s="79" customFormat="1" x14ac:dyDescent="0.35">
      <c r="A1526" s="251"/>
      <c r="B1526" s="22"/>
      <c r="C1526" s="252"/>
      <c r="D1526" s="252"/>
      <c r="E1526" s="252"/>
      <c r="F1526" s="252"/>
      <c r="G1526" s="252"/>
      <c r="H1526" s="252"/>
      <c r="I1526" s="252"/>
      <c r="J1526" s="252"/>
      <c r="K1526" s="252"/>
      <c r="L1526"/>
      <c r="M1526"/>
    </row>
    <row r="1527" spans="1:13" s="79" customFormat="1" x14ac:dyDescent="0.35">
      <c r="A1527" s="251"/>
      <c r="B1527" s="22"/>
      <c r="C1527" s="252"/>
      <c r="D1527" s="252"/>
      <c r="E1527" s="252"/>
      <c r="F1527" s="252"/>
      <c r="G1527" s="252"/>
      <c r="H1527" s="252"/>
      <c r="I1527" s="252"/>
      <c r="J1527" s="252"/>
      <c r="K1527" s="252"/>
      <c r="L1527"/>
      <c r="M1527"/>
    </row>
    <row r="1528" spans="1:13" s="79" customFormat="1" x14ac:dyDescent="0.35">
      <c r="A1528" s="251"/>
      <c r="B1528" s="22"/>
      <c r="C1528" s="252"/>
      <c r="D1528" s="252"/>
      <c r="E1528" s="252"/>
      <c r="F1528" s="252"/>
      <c r="G1528" s="252"/>
      <c r="H1528" s="252"/>
      <c r="I1528" s="252"/>
      <c r="J1528" s="252"/>
      <c r="K1528" s="252"/>
      <c r="L1528"/>
      <c r="M1528"/>
    </row>
    <row r="1529" spans="1:13" s="79" customFormat="1" x14ac:dyDescent="0.35">
      <c r="A1529" s="251"/>
      <c r="B1529" s="22"/>
      <c r="C1529" s="252"/>
      <c r="D1529" s="252"/>
      <c r="E1529" s="252"/>
      <c r="F1529" s="252"/>
      <c r="G1529" s="252"/>
      <c r="H1529" s="252"/>
      <c r="I1529" s="252"/>
      <c r="J1529" s="252"/>
      <c r="K1529" s="252"/>
      <c r="L1529"/>
      <c r="M1529"/>
    </row>
    <row r="1530" spans="1:13" s="79" customFormat="1" x14ac:dyDescent="0.35">
      <c r="A1530" s="251"/>
      <c r="B1530" s="22"/>
      <c r="C1530" s="252"/>
      <c r="D1530" s="252"/>
      <c r="E1530" s="252"/>
      <c r="F1530" s="252"/>
      <c r="G1530" s="252"/>
      <c r="H1530" s="252"/>
      <c r="I1530" s="252"/>
      <c r="J1530" s="252"/>
      <c r="K1530" s="252"/>
      <c r="L1530"/>
      <c r="M1530"/>
    </row>
    <row r="1531" spans="1:13" s="79" customFormat="1" x14ac:dyDescent="0.35">
      <c r="A1531" s="251"/>
      <c r="B1531" s="22"/>
      <c r="C1531" s="252"/>
      <c r="D1531" s="252"/>
      <c r="E1531" s="252"/>
      <c r="F1531" s="252"/>
      <c r="G1531" s="252"/>
      <c r="H1531" s="252"/>
      <c r="I1531" s="252"/>
      <c r="J1531" s="252"/>
      <c r="K1531" s="252"/>
      <c r="L1531"/>
      <c r="M1531"/>
    </row>
    <row r="1532" spans="1:13" s="79" customFormat="1" x14ac:dyDescent="0.35">
      <c r="A1532" s="251"/>
      <c r="B1532" s="22"/>
      <c r="C1532" s="252"/>
      <c r="D1532" s="252"/>
      <c r="E1532" s="252"/>
      <c r="F1532" s="252"/>
      <c r="G1532" s="252"/>
      <c r="H1532" s="252"/>
      <c r="I1532" s="252"/>
      <c r="J1532" s="252"/>
      <c r="K1532" s="252"/>
      <c r="L1532"/>
      <c r="M1532"/>
    </row>
    <row r="1533" spans="1:13" s="79" customFormat="1" x14ac:dyDescent="0.35">
      <c r="A1533" s="251"/>
      <c r="B1533" s="22"/>
      <c r="C1533" s="252"/>
      <c r="D1533" s="252"/>
      <c r="E1533" s="252"/>
      <c r="F1533" s="252"/>
      <c r="G1533" s="252"/>
      <c r="H1533" s="252"/>
      <c r="I1533" s="252"/>
      <c r="J1533" s="252"/>
      <c r="K1533" s="252"/>
      <c r="L1533"/>
      <c r="M1533"/>
    </row>
    <row r="1534" spans="1:13" s="79" customFormat="1" x14ac:dyDescent="0.35">
      <c r="A1534" s="251"/>
      <c r="B1534" s="22"/>
      <c r="C1534" s="252"/>
      <c r="D1534" s="252"/>
      <c r="E1534" s="252"/>
      <c r="F1534" s="252"/>
      <c r="G1534" s="252"/>
      <c r="H1534" s="252"/>
      <c r="I1534" s="252"/>
      <c r="J1534" s="252"/>
      <c r="K1534" s="252"/>
      <c r="L1534"/>
      <c r="M1534"/>
    </row>
    <row r="1535" spans="1:13" s="79" customFormat="1" x14ac:dyDescent="0.35">
      <c r="A1535" s="251"/>
      <c r="B1535" s="22"/>
      <c r="C1535" s="252"/>
      <c r="D1535" s="252"/>
      <c r="E1535" s="252"/>
      <c r="F1535" s="252"/>
      <c r="G1535" s="252"/>
      <c r="H1535" s="252"/>
      <c r="I1535" s="252"/>
      <c r="J1535" s="252"/>
      <c r="K1535" s="252"/>
      <c r="L1535"/>
      <c r="M1535"/>
    </row>
    <row r="1536" spans="1:13" s="79" customFormat="1" x14ac:dyDescent="0.35">
      <c r="A1536" s="251"/>
      <c r="B1536" s="22"/>
      <c r="C1536" s="252"/>
      <c r="D1536" s="252"/>
      <c r="E1536" s="252"/>
      <c r="F1536" s="252"/>
      <c r="G1536" s="252"/>
      <c r="H1536" s="252"/>
      <c r="I1536" s="252"/>
      <c r="J1536" s="252"/>
      <c r="K1536" s="252"/>
      <c r="L1536"/>
      <c r="M1536"/>
    </row>
    <row r="1537" spans="1:13" s="79" customFormat="1" x14ac:dyDescent="0.35">
      <c r="A1537" s="251"/>
      <c r="B1537" s="22"/>
      <c r="C1537" s="252"/>
      <c r="D1537" s="252"/>
      <c r="E1537" s="252"/>
      <c r="F1537" s="252"/>
      <c r="G1537" s="252"/>
      <c r="H1537" s="252"/>
      <c r="I1537" s="252"/>
      <c r="J1537" s="252"/>
      <c r="K1537" s="252"/>
      <c r="L1537"/>
      <c r="M1537"/>
    </row>
    <row r="1538" spans="1:13" s="79" customFormat="1" x14ac:dyDescent="0.35">
      <c r="A1538" s="251"/>
      <c r="B1538" s="22"/>
      <c r="C1538" s="252"/>
      <c r="D1538" s="252"/>
      <c r="E1538" s="252"/>
      <c r="F1538" s="252"/>
      <c r="G1538" s="252"/>
      <c r="H1538" s="252"/>
      <c r="I1538" s="252"/>
      <c r="J1538" s="252"/>
      <c r="K1538" s="252"/>
      <c r="L1538"/>
      <c r="M1538"/>
    </row>
    <row r="1539" spans="1:13" s="79" customFormat="1" x14ac:dyDescent="0.35">
      <c r="A1539" s="251"/>
      <c r="B1539" s="22"/>
      <c r="C1539" s="252"/>
      <c r="D1539" s="252"/>
      <c r="E1539" s="252"/>
      <c r="F1539" s="252"/>
      <c r="G1539" s="252"/>
      <c r="H1539" s="252"/>
      <c r="I1539" s="252"/>
      <c r="J1539" s="252"/>
      <c r="K1539" s="252"/>
      <c r="L1539"/>
      <c r="M1539"/>
    </row>
    <row r="1540" spans="1:13" s="79" customFormat="1" x14ac:dyDescent="0.35">
      <c r="A1540" s="251"/>
      <c r="B1540" s="22"/>
      <c r="C1540" s="252"/>
      <c r="D1540" s="252"/>
      <c r="E1540" s="252"/>
      <c r="F1540" s="252"/>
      <c r="G1540" s="252"/>
      <c r="H1540" s="252"/>
      <c r="I1540" s="252"/>
      <c r="J1540" s="252"/>
      <c r="K1540" s="252"/>
      <c r="L1540"/>
      <c r="M1540"/>
    </row>
    <row r="1541" spans="1:13" s="79" customFormat="1" x14ac:dyDescent="0.35">
      <c r="A1541" s="251"/>
      <c r="B1541" s="22"/>
      <c r="C1541" s="252"/>
      <c r="D1541" s="252"/>
      <c r="E1541" s="252"/>
      <c r="F1541" s="252"/>
      <c r="G1541" s="252"/>
      <c r="H1541" s="252"/>
      <c r="I1541" s="252"/>
      <c r="J1541" s="252"/>
      <c r="K1541" s="252"/>
      <c r="L1541"/>
      <c r="M1541"/>
    </row>
    <row r="1542" spans="1:13" s="79" customFormat="1" x14ac:dyDescent="0.35">
      <c r="A1542" s="251"/>
      <c r="B1542" s="22"/>
      <c r="C1542" s="252"/>
      <c r="D1542" s="252"/>
      <c r="E1542" s="252"/>
      <c r="F1542" s="252"/>
      <c r="G1542" s="252"/>
      <c r="H1542" s="252"/>
      <c r="I1542" s="252"/>
      <c r="J1542" s="252"/>
      <c r="K1542" s="252"/>
      <c r="L1542"/>
      <c r="M1542"/>
    </row>
    <row r="1543" spans="1:13" s="79" customFormat="1" x14ac:dyDescent="0.35">
      <c r="A1543" s="251"/>
      <c r="B1543" s="22"/>
      <c r="C1543" s="252"/>
      <c r="D1543" s="252"/>
      <c r="E1543" s="252"/>
      <c r="F1543" s="252"/>
      <c r="G1543" s="252"/>
      <c r="H1543" s="252"/>
      <c r="I1543" s="252"/>
      <c r="J1543" s="252"/>
      <c r="K1543" s="252"/>
      <c r="L1543"/>
      <c r="M1543"/>
    </row>
    <row r="1544" spans="1:13" s="79" customFormat="1" x14ac:dyDescent="0.35">
      <c r="A1544" s="251"/>
      <c r="B1544" s="22"/>
      <c r="C1544" s="252"/>
      <c r="D1544" s="252"/>
      <c r="E1544" s="252"/>
      <c r="F1544" s="252"/>
      <c r="G1544" s="252"/>
      <c r="H1544" s="252"/>
      <c r="I1544" s="252"/>
      <c r="J1544" s="252"/>
      <c r="K1544" s="252"/>
      <c r="L1544"/>
      <c r="M1544"/>
    </row>
    <row r="1545" spans="1:13" s="79" customFormat="1" x14ac:dyDescent="0.35">
      <c r="A1545" s="251"/>
      <c r="B1545" s="22"/>
      <c r="C1545" s="252"/>
      <c r="D1545" s="252"/>
      <c r="E1545" s="252"/>
      <c r="F1545" s="252"/>
      <c r="G1545" s="252"/>
      <c r="H1545" s="252"/>
      <c r="I1545" s="252"/>
      <c r="J1545" s="252"/>
      <c r="K1545" s="252"/>
      <c r="L1545"/>
      <c r="M1545"/>
    </row>
    <row r="1546" spans="1:13" s="79" customFormat="1" x14ac:dyDescent="0.35">
      <c r="A1546" s="251"/>
      <c r="B1546" s="22"/>
      <c r="C1546" s="252"/>
      <c r="D1546" s="252"/>
      <c r="E1546" s="252"/>
      <c r="F1546" s="252"/>
      <c r="G1546" s="252"/>
      <c r="H1546" s="252"/>
      <c r="I1546" s="252"/>
      <c r="J1546" s="252"/>
      <c r="K1546" s="252"/>
      <c r="L1546"/>
      <c r="M1546"/>
    </row>
    <row r="1547" spans="1:13" s="79" customFormat="1" x14ac:dyDescent="0.35">
      <c r="A1547" s="251"/>
      <c r="B1547" s="22"/>
      <c r="C1547" s="252"/>
      <c r="D1547" s="252"/>
      <c r="E1547" s="252"/>
      <c r="F1547" s="252"/>
      <c r="G1547" s="252"/>
      <c r="H1547" s="252"/>
      <c r="I1547" s="252"/>
      <c r="J1547" s="252"/>
      <c r="K1547" s="252"/>
      <c r="L1547"/>
      <c r="M1547"/>
    </row>
    <row r="1548" spans="1:13" s="79" customFormat="1" x14ac:dyDescent="0.35">
      <c r="A1548" s="251"/>
      <c r="B1548" s="22"/>
      <c r="C1548" s="252"/>
      <c r="D1548" s="252"/>
      <c r="E1548" s="252"/>
      <c r="F1548" s="252"/>
      <c r="G1548" s="252"/>
      <c r="H1548" s="252"/>
      <c r="I1548" s="252"/>
      <c r="J1548" s="252"/>
      <c r="K1548" s="252"/>
      <c r="L1548"/>
      <c r="M1548"/>
    </row>
    <row r="1549" spans="1:13" s="79" customFormat="1" x14ac:dyDescent="0.35">
      <c r="A1549" s="251"/>
      <c r="B1549" s="22"/>
      <c r="C1549" s="252"/>
      <c r="D1549" s="252"/>
      <c r="E1549" s="252"/>
      <c r="F1549" s="252"/>
      <c r="G1549" s="252"/>
      <c r="H1549" s="252"/>
      <c r="I1549" s="252"/>
      <c r="J1549" s="252"/>
      <c r="K1549" s="252"/>
      <c r="L1549"/>
      <c r="M1549"/>
    </row>
    <row r="1550" spans="1:13" s="79" customFormat="1" x14ac:dyDescent="0.35">
      <c r="A1550" s="251"/>
      <c r="B1550" s="22"/>
      <c r="C1550" s="252"/>
      <c r="D1550" s="252"/>
      <c r="E1550" s="252"/>
      <c r="F1550" s="252"/>
      <c r="G1550" s="252"/>
      <c r="H1550" s="252"/>
      <c r="I1550" s="252"/>
      <c r="J1550" s="252"/>
      <c r="K1550" s="252"/>
      <c r="L1550"/>
      <c r="M1550"/>
    </row>
    <row r="1551" spans="1:13" s="79" customFormat="1" x14ac:dyDescent="0.35">
      <c r="A1551" s="251"/>
      <c r="B1551" s="22"/>
      <c r="C1551" s="252"/>
      <c r="D1551" s="252"/>
      <c r="E1551" s="252"/>
      <c r="F1551" s="252"/>
      <c r="G1551" s="252"/>
      <c r="H1551" s="252"/>
      <c r="I1551" s="252"/>
      <c r="J1551" s="252"/>
      <c r="K1551" s="252"/>
      <c r="L1551"/>
      <c r="M1551"/>
    </row>
    <row r="1552" spans="1:13" s="79" customFormat="1" x14ac:dyDescent="0.35">
      <c r="A1552" s="251"/>
      <c r="B1552" s="22"/>
      <c r="C1552" s="252"/>
      <c r="D1552" s="252"/>
      <c r="E1552" s="252"/>
      <c r="F1552" s="252"/>
      <c r="G1552" s="252"/>
      <c r="H1552" s="252"/>
      <c r="I1552" s="252"/>
      <c r="J1552" s="252"/>
      <c r="K1552" s="252"/>
      <c r="L1552"/>
      <c r="M1552"/>
    </row>
    <row r="1553" spans="1:13" s="79" customFormat="1" x14ac:dyDescent="0.35">
      <c r="A1553" s="251"/>
      <c r="B1553" s="22"/>
      <c r="C1553" s="252"/>
      <c r="D1553" s="252"/>
      <c r="E1553" s="252"/>
      <c r="F1553" s="252"/>
      <c r="G1553" s="252"/>
      <c r="H1553" s="252"/>
      <c r="I1553" s="252"/>
      <c r="J1553" s="252"/>
      <c r="K1553" s="252"/>
      <c r="L1553"/>
      <c r="M1553"/>
    </row>
    <row r="1554" spans="1:13" s="79" customFormat="1" x14ac:dyDescent="0.35">
      <c r="A1554" s="251"/>
      <c r="B1554" s="22"/>
      <c r="C1554" s="252"/>
      <c r="D1554" s="252"/>
      <c r="E1554" s="252"/>
      <c r="F1554" s="252"/>
      <c r="G1554" s="252"/>
      <c r="H1554" s="252"/>
      <c r="I1554" s="252"/>
      <c r="J1554" s="252"/>
      <c r="K1554" s="252"/>
      <c r="L1554"/>
      <c r="M1554"/>
    </row>
    <row r="1555" spans="1:13" s="79" customFormat="1" x14ac:dyDescent="0.35">
      <c r="A1555" s="251"/>
      <c r="B1555" s="22"/>
      <c r="C1555" s="252"/>
      <c r="D1555" s="252"/>
      <c r="E1555" s="252"/>
      <c r="F1555" s="252"/>
      <c r="G1555" s="252"/>
      <c r="H1555" s="252"/>
      <c r="I1555" s="252"/>
      <c r="J1555" s="252"/>
      <c r="K1555" s="252"/>
      <c r="L1555"/>
      <c r="M1555"/>
    </row>
    <row r="1556" spans="1:13" s="79" customFormat="1" x14ac:dyDescent="0.35">
      <c r="A1556" s="251"/>
      <c r="B1556" s="22"/>
      <c r="C1556" s="252"/>
      <c r="D1556" s="252"/>
      <c r="E1556" s="252"/>
      <c r="F1556" s="252"/>
      <c r="G1556" s="252"/>
      <c r="H1556" s="252"/>
      <c r="I1556" s="252"/>
      <c r="J1556" s="252"/>
      <c r="K1556" s="252"/>
      <c r="L1556"/>
      <c r="M1556"/>
    </row>
    <row r="1557" spans="1:13" s="79" customFormat="1" x14ac:dyDescent="0.35">
      <c r="A1557" s="251"/>
      <c r="B1557" s="22"/>
      <c r="C1557" s="252"/>
      <c r="D1557" s="252"/>
      <c r="E1557" s="252"/>
      <c r="F1557" s="252"/>
      <c r="G1557" s="252"/>
      <c r="H1557" s="252"/>
      <c r="I1557" s="252"/>
      <c r="J1557" s="252"/>
      <c r="K1557" s="252"/>
      <c r="L1557"/>
      <c r="M1557"/>
    </row>
    <row r="1558" spans="1:13" s="79" customFormat="1" x14ac:dyDescent="0.35">
      <c r="A1558" s="251"/>
      <c r="B1558" s="22"/>
      <c r="C1558" s="252"/>
      <c r="D1558" s="252"/>
      <c r="E1558" s="252"/>
      <c r="F1558" s="252"/>
      <c r="G1558" s="252"/>
      <c r="H1558" s="252"/>
      <c r="I1558" s="252"/>
      <c r="J1558" s="252"/>
      <c r="K1558" s="252"/>
      <c r="L1558"/>
      <c r="M1558"/>
    </row>
    <row r="1559" spans="1:13" s="79" customFormat="1" x14ac:dyDescent="0.35">
      <c r="A1559" s="251"/>
      <c r="B1559" s="22"/>
      <c r="C1559" s="252"/>
      <c r="D1559" s="252"/>
      <c r="E1559" s="252"/>
      <c r="F1559" s="252"/>
      <c r="G1559" s="252"/>
      <c r="H1559" s="252"/>
      <c r="I1559" s="252"/>
      <c r="J1559" s="252"/>
      <c r="K1559" s="252"/>
      <c r="L1559"/>
      <c r="M1559"/>
    </row>
    <row r="1560" spans="1:13" s="79" customFormat="1" x14ac:dyDescent="0.35">
      <c r="A1560" s="251"/>
      <c r="B1560" s="22"/>
      <c r="C1560" s="252"/>
      <c r="D1560" s="252"/>
      <c r="E1560" s="252"/>
      <c r="F1560" s="252"/>
      <c r="G1560" s="252"/>
      <c r="H1560" s="252"/>
      <c r="I1560" s="252"/>
      <c r="J1560" s="252"/>
      <c r="K1560" s="252"/>
      <c r="L1560"/>
      <c r="M1560"/>
    </row>
    <row r="1561" spans="1:13" s="79" customFormat="1" x14ac:dyDescent="0.35">
      <c r="A1561" s="251"/>
      <c r="B1561" s="22"/>
      <c r="C1561" s="252"/>
      <c r="D1561" s="252"/>
      <c r="E1561" s="252"/>
      <c r="F1561" s="252"/>
      <c r="G1561" s="252"/>
      <c r="H1561" s="252"/>
      <c r="I1561" s="252"/>
      <c r="J1561" s="252"/>
      <c r="K1561" s="252"/>
      <c r="L1561"/>
      <c r="M1561"/>
    </row>
    <row r="1562" spans="1:13" s="79" customFormat="1" x14ac:dyDescent="0.35">
      <c r="A1562" s="251"/>
      <c r="B1562" s="22"/>
      <c r="C1562" s="252"/>
      <c r="D1562" s="252"/>
      <c r="E1562" s="252"/>
      <c r="F1562" s="252"/>
      <c r="G1562" s="252"/>
      <c r="H1562" s="252"/>
      <c r="I1562" s="252"/>
      <c r="J1562" s="252"/>
      <c r="K1562" s="252"/>
      <c r="L1562"/>
      <c r="M1562"/>
    </row>
    <row r="1563" spans="1:13" s="79" customFormat="1" x14ac:dyDescent="0.35">
      <c r="A1563" s="251"/>
      <c r="B1563" s="22"/>
      <c r="C1563" s="252"/>
      <c r="D1563" s="252"/>
      <c r="E1563" s="252"/>
      <c r="F1563" s="252"/>
      <c r="G1563" s="252"/>
      <c r="H1563" s="252"/>
      <c r="I1563" s="252"/>
      <c r="J1563" s="252"/>
      <c r="K1563" s="252"/>
      <c r="L1563"/>
      <c r="M1563"/>
    </row>
    <row r="1564" spans="1:13" s="79" customFormat="1" x14ac:dyDescent="0.35">
      <c r="A1564" s="251"/>
      <c r="B1564" s="22"/>
      <c r="C1564" s="252"/>
      <c r="D1564" s="252"/>
      <c r="E1564" s="252"/>
      <c r="F1564" s="252"/>
      <c r="G1564" s="252"/>
      <c r="H1564" s="252"/>
      <c r="I1564" s="252"/>
      <c r="J1564" s="252"/>
      <c r="K1564" s="252"/>
      <c r="L1564"/>
      <c r="M1564"/>
    </row>
    <row r="1565" spans="1:13" s="79" customFormat="1" x14ac:dyDescent="0.35">
      <c r="A1565" s="251"/>
      <c r="B1565" s="22"/>
      <c r="C1565" s="252"/>
      <c r="D1565" s="252"/>
      <c r="E1565" s="252"/>
      <c r="F1565" s="252"/>
      <c r="G1565" s="252"/>
      <c r="H1565" s="252"/>
      <c r="I1565" s="252"/>
      <c r="J1565" s="252"/>
      <c r="K1565" s="252"/>
      <c r="L1565"/>
      <c r="M1565"/>
    </row>
    <row r="1566" spans="1:13" s="79" customFormat="1" x14ac:dyDescent="0.35">
      <c r="A1566" s="251"/>
      <c r="B1566" s="22"/>
      <c r="C1566" s="252"/>
      <c r="D1566" s="252"/>
      <c r="E1566" s="252"/>
      <c r="F1566" s="252"/>
      <c r="G1566" s="252"/>
      <c r="H1566" s="252"/>
      <c r="I1566" s="252"/>
      <c r="J1566" s="252"/>
      <c r="K1566" s="252"/>
      <c r="L1566"/>
      <c r="M1566"/>
    </row>
    <row r="1567" spans="1:13" s="79" customFormat="1" x14ac:dyDescent="0.35">
      <c r="A1567" s="251"/>
      <c r="B1567" s="22"/>
      <c r="C1567" s="252"/>
      <c r="D1567" s="252"/>
      <c r="E1567" s="252"/>
      <c r="F1567" s="252"/>
      <c r="G1567" s="252"/>
      <c r="H1567" s="252"/>
      <c r="I1567" s="252"/>
      <c r="J1567" s="252"/>
      <c r="K1567" s="252"/>
      <c r="L1567"/>
      <c r="M1567"/>
    </row>
    <row r="1568" spans="1:13" s="79" customFormat="1" x14ac:dyDescent="0.35">
      <c r="A1568" s="251"/>
      <c r="B1568" s="22"/>
      <c r="C1568" s="252"/>
      <c r="D1568" s="252"/>
      <c r="E1568" s="252"/>
      <c r="F1568" s="252"/>
      <c r="G1568" s="252"/>
      <c r="H1568" s="252"/>
      <c r="I1568" s="252"/>
      <c r="J1568" s="252"/>
      <c r="K1568" s="252"/>
      <c r="L1568"/>
      <c r="M1568"/>
    </row>
    <row r="1569" spans="1:13" s="79" customFormat="1" x14ac:dyDescent="0.35">
      <c r="A1569" s="251"/>
      <c r="B1569" s="22"/>
      <c r="C1569" s="252"/>
      <c r="D1569" s="252"/>
      <c r="E1569" s="252"/>
      <c r="F1569" s="252"/>
      <c r="G1569" s="252"/>
      <c r="H1569" s="252"/>
      <c r="I1569" s="252"/>
      <c r="J1569" s="252"/>
      <c r="K1569" s="252"/>
      <c r="L1569"/>
      <c r="M1569"/>
    </row>
    <row r="1570" spans="1:13" s="79" customFormat="1" x14ac:dyDescent="0.35">
      <c r="A1570" s="251"/>
      <c r="B1570" s="22"/>
      <c r="C1570" s="252"/>
      <c r="D1570" s="252"/>
      <c r="E1570" s="252"/>
      <c r="F1570" s="252"/>
      <c r="G1570" s="252"/>
      <c r="H1570" s="252"/>
      <c r="I1570" s="252"/>
      <c r="J1570" s="252"/>
      <c r="K1570" s="252"/>
      <c r="L1570"/>
      <c r="M1570"/>
    </row>
    <row r="1571" spans="1:13" s="79" customFormat="1" x14ac:dyDescent="0.35">
      <c r="A1571" s="251"/>
      <c r="B1571" s="22"/>
      <c r="C1571" s="252"/>
      <c r="D1571" s="252"/>
      <c r="E1571" s="252"/>
      <c r="F1571" s="252"/>
      <c r="G1571" s="252"/>
      <c r="H1571" s="252"/>
      <c r="I1571" s="252"/>
      <c r="J1571" s="252"/>
      <c r="K1571" s="252"/>
      <c r="L1571"/>
      <c r="M1571"/>
    </row>
    <row r="1572" spans="1:13" s="79" customFormat="1" x14ac:dyDescent="0.35">
      <c r="A1572" s="251"/>
      <c r="B1572" s="22"/>
      <c r="C1572" s="252"/>
      <c r="D1572" s="252"/>
      <c r="E1572" s="252"/>
      <c r="F1572" s="252"/>
      <c r="G1572" s="252"/>
      <c r="H1572" s="252"/>
      <c r="I1572" s="252"/>
      <c r="J1572" s="252"/>
      <c r="K1572" s="252"/>
      <c r="L1572"/>
      <c r="M1572"/>
    </row>
    <row r="1573" spans="1:13" s="79" customFormat="1" x14ac:dyDescent="0.35">
      <c r="A1573" s="251"/>
      <c r="B1573" s="22"/>
      <c r="C1573" s="252"/>
      <c r="D1573" s="252"/>
      <c r="E1573" s="252"/>
      <c r="F1573" s="252"/>
      <c r="G1573" s="252"/>
      <c r="H1573" s="252"/>
      <c r="I1573" s="252"/>
      <c r="J1573" s="252"/>
      <c r="K1573" s="252"/>
      <c r="L1573"/>
      <c r="M1573"/>
    </row>
    <row r="1574" spans="1:13" s="79" customFormat="1" x14ac:dyDescent="0.35">
      <c r="A1574" s="251"/>
      <c r="B1574" s="22"/>
      <c r="C1574" s="252"/>
      <c r="D1574" s="252"/>
      <c r="E1574" s="252"/>
      <c r="F1574" s="252"/>
      <c r="G1574" s="252"/>
      <c r="H1574" s="252"/>
      <c r="I1574" s="252"/>
      <c r="J1574" s="252"/>
      <c r="K1574" s="252"/>
      <c r="L1574"/>
      <c r="M1574"/>
    </row>
    <row r="1575" spans="1:13" s="79" customFormat="1" x14ac:dyDescent="0.35">
      <c r="A1575" s="251"/>
      <c r="B1575" s="22"/>
      <c r="C1575" s="252"/>
      <c r="D1575" s="252"/>
      <c r="E1575" s="252"/>
      <c r="F1575" s="252"/>
      <c r="G1575" s="252"/>
      <c r="H1575" s="252"/>
      <c r="I1575" s="252"/>
      <c r="J1575" s="252"/>
      <c r="K1575" s="252"/>
      <c r="L1575"/>
      <c r="M1575"/>
    </row>
    <row r="1576" spans="1:13" s="79" customFormat="1" x14ac:dyDescent="0.35">
      <c r="A1576" s="251"/>
      <c r="B1576" s="22"/>
      <c r="C1576" s="252"/>
      <c r="D1576" s="252"/>
      <c r="E1576" s="252"/>
      <c r="F1576" s="252"/>
      <c r="G1576" s="252"/>
      <c r="H1576" s="252"/>
      <c r="I1576" s="252"/>
      <c r="J1576" s="252"/>
      <c r="K1576" s="252"/>
      <c r="L1576"/>
      <c r="M1576"/>
    </row>
    <row r="1577" spans="1:13" s="79" customFormat="1" x14ac:dyDescent="0.35">
      <c r="A1577" s="251"/>
      <c r="B1577" s="22"/>
      <c r="C1577" s="252"/>
      <c r="D1577" s="252"/>
      <c r="E1577" s="252"/>
      <c r="F1577" s="252"/>
      <c r="G1577" s="252"/>
      <c r="H1577" s="252"/>
      <c r="I1577" s="252"/>
      <c r="J1577" s="252"/>
      <c r="K1577" s="252"/>
      <c r="L1577"/>
      <c r="M1577"/>
    </row>
    <row r="1578" spans="1:13" s="79" customFormat="1" x14ac:dyDescent="0.35">
      <c r="A1578" s="251"/>
      <c r="B1578" s="22"/>
      <c r="C1578" s="252"/>
      <c r="D1578" s="252"/>
      <c r="E1578" s="252"/>
      <c r="F1578" s="252"/>
      <c r="G1578" s="252"/>
      <c r="H1578" s="252"/>
      <c r="I1578" s="252"/>
      <c r="J1578" s="252"/>
      <c r="K1578" s="252"/>
      <c r="L1578"/>
      <c r="M1578"/>
    </row>
    <row r="1579" spans="1:13" s="79" customFormat="1" x14ac:dyDescent="0.35">
      <c r="A1579" s="251"/>
      <c r="B1579" s="22"/>
      <c r="C1579" s="252"/>
      <c r="D1579" s="252"/>
      <c r="E1579" s="252"/>
      <c r="F1579" s="252"/>
      <c r="G1579" s="252"/>
      <c r="H1579" s="252"/>
      <c r="I1579" s="252"/>
      <c r="J1579" s="252"/>
      <c r="K1579" s="252"/>
      <c r="L1579"/>
      <c r="M1579"/>
    </row>
    <row r="1580" spans="1:13" s="79" customFormat="1" x14ac:dyDescent="0.35">
      <c r="A1580" s="251"/>
      <c r="B1580" s="22"/>
      <c r="C1580" s="252"/>
      <c r="D1580" s="252"/>
      <c r="E1580" s="252"/>
      <c r="F1580" s="252"/>
      <c r="G1580" s="252"/>
      <c r="H1580" s="252"/>
      <c r="I1580" s="252"/>
      <c r="J1580" s="252"/>
      <c r="K1580" s="252"/>
      <c r="L1580"/>
      <c r="M1580"/>
    </row>
    <row r="1581" spans="1:13" s="79" customFormat="1" x14ac:dyDescent="0.35">
      <c r="A1581" s="251"/>
      <c r="B1581" s="22"/>
      <c r="C1581" s="252"/>
      <c r="D1581" s="252"/>
      <c r="E1581" s="252"/>
      <c r="F1581" s="252"/>
      <c r="G1581" s="252"/>
      <c r="H1581" s="252"/>
      <c r="I1581" s="252"/>
      <c r="J1581" s="252"/>
      <c r="K1581" s="252"/>
      <c r="L1581"/>
      <c r="M1581"/>
    </row>
    <row r="1582" spans="1:13" s="79" customFormat="1" x14ac:dyDescent="0.35">
      <c r="A1582" s="251"/>
      <c r="B1582" s="22"/>
      <c r="C1582" s="252"/>
      <c r="D1582" s="252"/>
      <c r="E1582" s="252"/>
      <c r="F1582" s="252"/>
      <c r="G1582" s="252"/>
      <c r="H1582" s="252"/>
      <c r="I1582" s="252"/>
      <c r="J1582" s="252"/>
      <c r="K1582" s="252"/>
      <c r="L1582"/>
      <c r="M1582"/>
    </row>
    <row r="1583" spans="1:13" s="79" customFormat="1" x14ac:dyDescent="0.35">
      <c r="A1583" s="251"/>
      <c r="B1583" s="22"/>
      <c r="C1583" s="252"/>
      <c r="D1583" s="252"/>
      <c r="E1583" s="252"/>
      <c r="F1583" s="252"/>
      <c r="G1583" s="252"/>
      <c r="H1583" s="252"/>
      <c r="I1583" s="252"/>
      <c r="J1583" s="252"/>
      <c r="K1583" s="252"/>
      <c r="L1583"/>
      <c r="M1583"/>
    </row>
    <row r="1584" spans="1:13" s="79" customFormat="1" x14ac:dyDescent="0.35">
      <c r="A1584" s="251"/>
      <c r="B1584" s="22"/>
      <c r="C1584" s="252"/>
      <c r="D1584" s="252"/>
      <c r="E1584" s="252"/>
      <c r="F1584" s="252"/>
      <c r="G1584" s="252"/>
      <c r="H1584" s="252"/>
      <c r="I1584" s="252"/>
      <c r="J1584" s="252"/>
      <c r="K1584" s="252"/>
      <c r="L1584"/>
      <c r="M1584"/>
    </row>
    <row r="1585" spans="1:13" s="79" customFormat="1" x14ac:dyDescent="0.35">
      <c r="A1585" s="251"/>
      <c r="B1585" s="22"/>
      <c r="C1585" s="252"/>
      <c r="D1585" s="252"/>
      <c r="E1585" s="252"/>
      <c r="F1585" s="252"/>
      <c r="G1585" s="252"/>
      <c r="H1585" s="252"/>
      <c r="I1585" s="252"/>
      <c r="J1585" s="252"/>
      <c r="K1585" s="252"/>
      <c r="L1585"/>
      <c r="M1585"/>
    </row>
    <row r="1586" spans="1:13" s="79" customFormat="1" x14ac:dyDescent="0.35">
      <c r="A1586" s="251"/>
      <c r="B1586" s="22"/>
      <c r="C1586" s="252"/>
      <c r="D1586" s="252"/>
      <c r="E1586" s="252"/>
      <c r="F1586" s="252"/>
      <c r="G1586" s="252"/>
      <c r="H1586" s="252"/>
      <c r="I1586" s="252"/>
      <c r="J1586" s="252"/>
      <c r="K1586" s="252"/>
      <c r="L1586"/>
      <c r="M1586"/>
    </row>
    <row r="1587" spans="1:13" s="79" customFormat="1" x14ac:dyDescent="0.35">
      <c r="A1587" s="251"/>
      <c r="B1587" s="22"/>
      <c r="C1587" s="252"/>
      <c r="D1587" s="252"/>
      <c r="E1587" s="252"/>
      <c r="F1587" s="252"/>
      <c r="G1587" s="252"/>
      <c r="H1587" s="252"/>
      <c r="I1587" s="252"/>
      <c r="J1587" s="252"/>
      <c r="K1587" s="252"/>
      <c r="L1587"/>
      <c r="M1587"/>
    </row>
    <row r="1588" spans="1:13" s="79" customFormat="1" x14ac:dyDescent="0.35">
      <c r="A1588" s="251"/>
      <c r="B1588" s="22"/>
      <c r="C1588" s="252"/>
      <c r="D1588" s="252"/>
      <c r="E1588" s="252"/>
      <c r="F1588" s="252"/>
      <c r="G1588" s="252"/>
      <c r="H1588" s="252"/>
      <c r="I1588" s="252"/>
      <c r="J1588" s="252"/>
      <c r="K1588" s="252"/>
      <c r="L1588"/>
      <c r="M1588"/>
    </row>
    <row r="1589" spans="1:13" s="79" customFormat="1" x14ac:dyDescent="0.35">
      <c r="A1589" s="251"/>
      <c r="B1589" s="22"/>
      <c r="C1589" s="252"/>
      <c r="D1589" s="252"/>
      <c r="E1589" s="252"/>
      <c r="F1589" s="252"/>
      <c r="G1589" s="252"/>
      <c r="H1589" s="252"/>
      <c r="I1589" s="252"/>
      <c r="J1589" s="252"/>
      <c r="K1589" s="252"/>
      <c r="L1589"/>
      <c r="M1589"/>
    </row>
    <row r="1590" spans="1:13" s="79" customFormat="1" x14ac:dyDescent="0.35">
      <c r="A1590" s="251"/>
      <c r="B1590" s="22"/>
      <c r="C1590" s="252"/>
      <c r="D1590" s="252"/>
      <c r="E1590" s="252"/>
      <c r="F1590" s="252"/>
      <c r="G1590" s="252"/>
      <c r="H1590" s="252"/>
      <c r="I1590" s="252"/>
      <c r="J1590" s="252"/>
      <c r="K1590" s="252"/>
      <c r="L1590"/>
      <c r="M1590"/>
    </row>
    <row r="1591" spans="1:13" s="79" customFormat="1" x14ac:dyDescent="0.35">
      <c r="A1591" s="251"/>
      <c r="B1591" s="22"/>
      <c r="C1591" s="252"/>
      <c r="D1591" s="252"/>
      <c r="E1591" s="252"/>
      <c r="F1591" s="252"/>
      <c r="G1591" s="252"/>
      <c r="H1591" s="252"/>
      <c r="I1591" s="252"/>
      <c r="J1591" s="252"/>
      <c r="K1591" s="252"/>
      <c r="L1591"/>
      <c r="M1591"/>
    </row>
    <row r="1592" spans="1:13" s="79" customFormat="1" x14ac:dyDescent="0.35">
      <c r="A1592" s="251"/>
      <c r="B1592" s="22"/>
      <c r="C1592" s="252"/>
      <c r="D1592" s="252"/>
      <c r="E1592" s="252"/>
      <c r="F1592" s="252"/>
      <c r="G1592" s="252"/>
      <c r="H1592" s="252"/>
      <c r="I1592" s="252"/>
      <c r="J1592" s="252"/>
      <c r="K1592" s="252"/>
      <c r="L1592"/>
      <c r="M1592"/>
    </row>
    <row r="1593" spans="1:13" s="79" customFormat="1" x14ac:dyDescent="0.35">
      <c r="A1593" s="251"/>
      <c r="B1593" s="22"/>
      <c r="C1593" s="252"/>
      <c r="D1593" s="252"/>
      <c r="E1593" s="252"/>
      <c r="F1593" s="252"/>
      <c r="G1593" s="252"/>
      <c r="H1593" s="252"/>
      <c r="I1593" s="252"/>
      <c r="J1593" s="252"/>
      <c r="K1593" s="252"/>
      <c r="L1593"/>
      <c r="M1593"/>
    </row>
    <row r="1594" spans="1:13" s="79" customFormat="1" x14ac:dyDescent="0.35">
      <c r="A1594" s="251"/>
      <c r="B1594" s="22"/>
      <c r="C1594" s="252"/>
      <c r="D1594" s="252"/>
      <c r="E1594" s="252"/>
      <c r="F1594" s="252"/>
      <c r="G1594" s="252"/>
      <c r="H1594" s="252"/>
      <c r="I1594" s="252"/>
      <c r="J1594" s="252"/>
      <c r="K1594" s="252"/>
      <c r="L1594"/>
      <c r="M1594"/>
    </row>
    <row r="1595" spans="1:13" s="79" customFormat="1" x14ac:dyDescent="0.35">
      <c r="A1595" s="251"/>
      <c r="B1595" s="22"/>
      <c r="C1595" s="252"/>
      <c r="D1595" s="252"/>
      <c r="E1595" s="252"/>
      <c r="F1595" s="252"/>
      <c r="G1595" s="252"/>
      <c r="H1595" s="252"/>
      <c r="I1595" s="252"/>
      <c r="J1595" s="252"/>
      <c r="K1595" s="252"/>
      <c r="L1595"/>
      <c r="M1595"/>
    </row>
    <row r="1596" spans="1:13" s="79" customFormat="1" x14ac:dyDescent="0.35">
      <c r="A1596" s="251"/>
      <c r="B1596" s="22"/>
      <c r="C1596" s="252"/>
      <c r="D1596" s="252"/>
      <c r="E1596" s="252"/>
      <c r="F1596" s="252"/>
      <c r="G1596" s="252"/>
      <c r="H1596" s="252"/>
      <c r="I1596" s="252"/>
      <c r="J1596" s="252"/>
      <c r="K1596" s="252"/>
      <c r="L1596"/>
      <c r="M1596"/>
    </row>
    <row r="1597" spans="1:13" s="79" customFormat="1" x14ac:dyDescent="0.35">
      <c r="A1597" s="251"/>
      <c r="B1597" s="22"/>
      <c r="C1597" s="252"/>
      <c r="D1597" s="252"/>
      <c r="E1597" s="252"/>
      <c r="F1597" s="252"/>
      <c r="G1597" s="252"/>
      <c r="H1597" s="252"/>
      <c r="I1597" s="252"/>
      <c r="J1597" s="252"/>
      <c r="K1597" s="252"/>
      <c r="L1597"/>
      <c r="M1597"/>
    </row>
    <row r="1598" spans="1:13" s="79" customFormat="1" x14ac:dyDescent="0.35">
      <c r="A1598" s="251"/>
      <c r="B1598" s="22"/>
      <c r="C1598" s="252"/>
      <c r="D1598" s="252"/>
      <c r="E1598" s="252"/>
      <c r="F1598" s="252"/>
      <c r="G1598" s="252"/>
      <c r="H1598" s="252"/>
      <c r="I1598" s="252"/>
      <c r="J1598" s="252"/>
      <c r="K1598" s="252"/>
      <c r="L1598"/>
      <c r="M1598"/>
    </row>
    <row r="1599" spans="1:13" s="79" customFormat="1" x14ac:dyDescent="0.35">
      <c r="A1599" s="251"/>
      <c r="B1599" s="22"/>
      <c r="C1599" s="252"/>
      <c r="D1599" s="252"/>
      <c r="E1599" s="252"/>
      <c r="F1599" s="252"/>
      <c r="G1599" s="252"/>
      <c r="H1599" s="252"/>
      <c r="I1599" s="252"/>
      <c r="J1599" s="252"/>
      <c r="K1599" s="252"/>
      <c r="L1599"/>
      <c r="M1599"/>
    </row>
    <row r="1600" spans="1:13" s="79" customFormat="1" x14ac:dyDescent="0.35">
      <c r="A1600" s="251"/>
      <c r="B1600" s="22"/>
      <c r="C1600" s="252"/>
      <c r="D1600" s="252"/>
      <c r="E1600" s="252"/>
      <c r="F1600" s="252"/>
      <c r="G1600" s="252"/>
      <c r="H1600" s="252"/>
      <c r="I1600" s="252"/>
      <c r="J1600" s="252"/>
      <c r="K1600" s="252"/>
      <c r="L1600"/>
      <c r="M1600"/>
    </row>
    <row r="1601" spans="1:13" s="79" customFormat="1" x14ac:dyDescent="0.35">
      <c r="A1601" s="251"/>
      <c r="B1601" s="22"/>
      <c r="C1601" s="252"/>
      <c r="D1601" s="252"/>
      <c r="E1601" s="252"/>
      <c r="F1601" s="252"/>
      <c r="G1601" s="252"/>
      <c r="H1601" s="252"/>
      <c r="I1601" s="252"/>
      <c r="J1601" s="252"/>
      <c r="K1601" s="252"/>
      <c r="L1601"/>
      <c r="M1601"/>
    </row>
    <row r="1602" spans="1:13" s="79" customFormat="1" x14ac:dyDescent="0.35">
      <c r="A1602" s="251"/>
      <c r="B1602" s="22"/>
      <c r="C1602" s="252"/>
      <c r="D1602" s="252"/>
      <c r="E1602" s="252"/>
      <c r="F1602" s="252"/>
      <c r="G1602" s="252"/>
      <c r="H1602" s="252"/>
      <c r="I1602" s="252"/>
      <c r="J1602" s="252"/>
      <c r="K1602" s="252"/>
      <c r="L1602"/>
      <c r="M1602"/>
    </row>
    <row r="1603" spans="1:13" s="79" customFormat="1" x14ac:dyDescent="0.35">
      <c r="A1603" s="251"/>
      <c r="B1603" s="22"/>
      <c r="C1603" s="252"/>
      <c r="D1603" s="252"/>
      <c r="E1603" s="252"/>
      <c r="F1603" s="252"/>
      <c r="G1603" s="252"/>
      <c r="H1603" s="252"/>
      <c r="I1603" s="252"/>
      <c r="J1603" s="252"/>
      <c r="K1603" s="252"/>
      <c r="L1603"/>
      <c r="M1603"/>
    </row>
    <row r="1604" spans="1:13" s="79" customFormat="1" x14ac:dyDescent="0.35">
      <c r="A1604" s="251"/>
      <c r="B1604" s="22"/>
      <c r="C1604" s="252"/>
      <c r="D1604" s="252"/>
      <c r="E1604" s="252"/>
      <c r="F1604" s="252"/>
      <c r="G1604" s="252"/>
      <c r="H1604" s="252"/>
      <c r="I1604" s="252"/>
      <c r="J1604" s="252"/>
      <c r="K1604" s="252"/>
      <c r="L1604"/>
      <c r="M1604"/>
    </row>
    <row r="1605" spans="1:13" s="79" customFormat="1" x14ac:dyDescent="0.35">
      <c r="A1605" s="251"/>
      <c r="B1605" s="22"/>
      <c r="C1605" s="252"/>
      <c r="D1605" s="252"/>
      <c r="E1605" s="252"/>
      <c r="F1605" s="252"/>
      <c r="G1605" s="252"/>
      <c r="H1605" s="252"/>
      <c r="I1605" s="252"/>
      <c r="J1605" s="252"/>
      <c r="K1605" s="252"/>
      <c r="L1605"/>
      <c r="M1605"/>
    </row>
    <row r="1606" spans="1:13" s="79" customFormat="1" x14ac:dyDescent="0.35">
      <c r="A1606" s="251"/>
      <c r="B1606" s="22"/>
      <c r="C1606" s="252"/>
      <c r="D1606" s="252"/>
      <c r="E1606" s="252"/>
      <c r="F1606" s="252"/>
      <c r="G1606" s="252"/>
      <c r="H1606" s="252"/>
      <c r="I1606" s="252"/>
      <c r="J1606" s="252"/>
      <c r="K1606" s="252"/>
      <c r="L1606"/>
      <c r="M1606"/>
    </row>
    <row r="1607" spans="1:13" s="79" customFormat="1" x14ac:dyDescent="0.35">
      <c r="A1607" s="251"/>
      <c r="B1607" s="22"/>
      <c r="C1607" s="252"/>
      <c r="D1607" s="252"/>
      <c r="E1607" s="252"/>
      <c r="F1607" s="252"/>
      <c r="G1607" s="252"/>
      <c r="H1607" s="252"/>
      <c r="I1607" s="252"/>
      <c r="J1607" s="252"/>
      <c r="K1607" s="252"/>
      <c r="L1607"/>
      <c r="M1607"/>
    </row>
    <row r="1608" spans="1:13" s="79" customFormat="1" x14ac:dyDescent="0.35">
      <c r="A1608" s="251"/>
      <c r="B1608" s="22"/>
      <c r="C1608" s="252"/>
      <c r="D1608" s="252"/>
      <c r="E1608" s="252"/>
      <c r="F1608" s="252"/>
      <c r="G1608" s="252"/>
      <c r="H1608" s="252"/>
      <c r="I1608" s="252"/>
      <c r="J1608" s="252"/>
      <c r="K1608" s="252"/>
      <c r="L1608"/>
      <c r="M1608"/>
    </row>
    <row r="1609" spans="1:13" s="79" customFormat="1" x14ac:dyDescent="0.35">
      <c r="A1609" s="251"/>
      <c r="B1609" s="22"/>
      <c r="C1609" s="252"/>
      <c r="D1609" s="252"/>
      <c r="E1609" s="252"/>
      <c r="F1609" s="252"/>
      <c r="G1609" s="252"/>
      <c r="H1609" s="252"/>
      <c r="I1609" s="252"/>
      <c r="J1609" s="252"/>
      <c r="K1609" s="252"/>
      <c r="L1609"/>
      <c r="M1609"/>
    </row>
    <row r="1610" spans="1:13" s="79" customFormat="1" x14ac:dyDescent="0.35">
      <c r="A1610" s="251"/>
      <c r="B1610" s="22"/>
      <c r="C1610" s="252"/>
      <c r="D1610" s="252"/>
      <c r="E1610" s="252"/>
      <c r="F1610" s="252"/>
      <c r="G1610" s="252"/>
      <c r="H1610" s="252"/>
      <c r="I1610" s="252"/>
      <c r="J1610" s="252"/>
      <c r="K1610" s="252"/>
      <c r="L1610"/>
      <c r="M1610"/>
    </row>
    <row r="1611" spans="1:13" s="79" customFormat="1" x14ac:dyDescent="0.35">
      <c r="A1611" s="251"/>
      <c r="B1611" s="22"/>
      <c r="C1611" s="252"/>
      <c r="D1611" s="252"/>
      <c r="E1611" s="252"/>
      <c r="F1611" s="252"/>
      <c r="G1611" s="252"/>
      <c r="H1611" s="252"/>
      <c r="I1611" s="252"/>
      <c r="J1611" s="252"/>
      <c r="K1611" s="252"/>
      <c r="L1611"/>
      <c r="M1611"/>
    </row>
    <row r="1612" spans="1:13" s="79" customFormat="1" x14ac:dyDescent="0.35">
      <c r="A1612" s="251"/>
      <c r="B1612" s="22"/>
      <c r="C1612" s="252"/>
      <c r="D1612" s="252"/>
      <c r="E1612" s="252"/>
      <c r="F1612" s="252"/>
      <c r="G1612" s="252"/>
      <c r="H1612" s="252"/>
      <c r="I1612" s="252"/>
      <c r="J1612" s="252"/>
      <c r="K1612" s="252"/>
      <c r="L1612"/>
      <c r="M1612"/>
    </row>
    <row r="1613" spans="1:13" s="79" customFormat="1" x14ac:dyDescent="0.35">
      <c r="A1613" s="251"/>
      <c r="B1613" s="22"/>
      <c r="C1613" s="252"/>
      <c r="D1613" s="252"/>
      <c r="E1613" s="252"/>
      <c r="F1613" s="252"/>
      <c r="G1613" s="252"/>
      <c r="H1613" s="252"/>
      <c r="I1613" s="252"/>
      <c r="J1613" s="252"/>
      <c r="K1613" s="252"/>
      <c r="L1613"/>
      <c r="M1613"/>
    </row>
    <row r="1614" spans="1:13" s="79" customFormat="1" x14ac:dyDescent="0.35">
      <c r="A1614" s="251"/>
      <c r="B1614" s="22"/>
      <c r="C1614" s="252"/>
      <c r="D1614" s="252"/>
      <c r="E1614" s="252"/>
      <c r="F1614" s="252"/>
      <c r="G1614" s="252"/>
      <c r="H1614" s="252"/>
      <c r="I1614" s="252"/>
      <c r="J1614" s="252"/>
      <c r="K1614" s="252"/>
      <c r="L1614"/>
      <c r="M1614"/>
    </row>
    <row r="1615" spans="1:13" s="79" customFormat="1" x14ac:dyDescent="0.35">
      <c r="A1615" s="251"/>
      <c r="B1615" s="22"/>
      <c r="C1615" s="252"/>
      <c r="D1615" s="252"/>
      <c r="E1615" s="252"/>
      <c r="F1615" s="252"/>
      <c r="G1615" s="252"/>
      <c r="H1615" s="252"/>
      <c r="I1615" s="252"/>
      <c r="J1615" s="252"/>
      <c r="K1615" s="252"/>
      <c r="L1615"/>
      <c r="M1615"/>
    </row>
    <row r="1616" spans="1:13" s="79" customFormat="1" x14ac:dyDescent="0.35">
      <c r="A1616" s="251"/>
      <c r="B1616" s="22"/>
      <c r="C1616" s="252"/>
      <c r="D1616" s="252"/>
      <c r="E1616" s="252"/>
      <c r="F1616" s="252"/>
      <c r="G1616" s="252"/>
      <c r="H1616" s="252"/>
      <c r="I1616" s="252"/>
      <c r="J1616" s="252"/>
      <c r="K1616" s="252"/>
      <c r="L1616"/>
      <c r="M1616"/>
    </row>
    <row r="1617" spans="1:13" s="79" customFormat="1" x14ac:dyDescent="0.35">
      <c r="A1617" s="251"/>
      <c r="B1617" s="22"/>
      <c r="C1617" s="252"/>
      <c r="D1617" s="252"/>
      <c r="E1617" s="252"/>
      <c r="F1617" s="252"/>
      <c r="G1617" s="252"/>
      <c r="H1617" s="252"/>
      <c r="I1617" s="252"/>
      <c r="J1617" s="252"/>
      <c r="K1617" s="252"/>
      <c r="L1617"/>
      <c r="M1617"/>
    </row>
    <row r="1618" spans="1:13" s="79" customFormat="1" x14ac:dyDescent="0.35">
      <c r="A1618" s="251"/>
      <c r="B1618" s="22"/>
      <c r="C1618" s="252"/>
      <c r="D1618" s="252"/>
      <c r="E1618" s="252"/>
      <c r="F1618" s="252"/>
      <c r="G1618" s="252"/>
      <c r="H1618" s="252"/>
      <c r="I1618" s="252"/>
      <c r="J1618" s="252"/>
      <c r="K1618" s="252"/>
      <c r="L1618"/>
      <c r="M1618"/>
    </row>
    <row r="1619" spans="1:13" s="79" customFormat="1" x14ac:dyDescent="0.35">
      <c r="A1619" s="251"/>
      <c r="B1619" s="22"/>
      <c r="C1619" s="252"/>
      <c r="D1619" s="252"/>
      <c r="E1619" s="252"/>
      <c r="F1619" s="252"/>
      <c r="G1619" s="252"/>
      <c r="H1619" s="252"/>
      <c r="I1619" s="252"/>
      <c r="J1619" s="252"/>
      <c r="K1619" s="252"/>
      <c r="L1619"/>
      <c r="M1619"/>
    </row>
    <row r="1620" spans="1:13" s="79" customFormat="1" x14ac:dyDescent="0.35">
      <c r="A1620" s="251"/>
      <c r="B1620" s="22"/>
      <c r="C1620" s="252"/>
      <c r="D1620" s="252"/>
      <c r="E1620" s="252"/>
      <c r="F1620" s="252"/>
      <c r="G1620" s="252"/>
      <c r="H1620" s="252"/>
      <c r="I1620" s="252"/>
      <c r="J1620" s="252"/>
      <c r="K1620" s="252"/>
      <c r="L1620"/>
      <c r="M1620"/>
    </row>
    <row r="1621" spans="1:13" s="79" customFormat="1" x14ac:dyDescent="0.35">
      <c r="A1621" s="251"/>
      <c r="B1621" s="22"/>
      <c r="C1621" s="252"/>
      <c r="D1621" s="252"/>
      <c r="E1621" s="252"/>
      <c r="F1621" s="252"/>
      <c r="G1621" s="252"/>
      <c r="H1621" s="252"/>
      <c r="I1621" s="252"/>
      <c r="J1621" s="252"/>
      <c r="K1621" s="252"/>
      <c r="L1621"/>
      <c r="M1621"/>
    </row>
    <row r="1622" spans="1:13" s="79" customFormat="1" x14ac:dyDescent="0.35">
      <c r="A1622" s="251"/>
      <c r="B1622" s="22"/>
      <c r="C1622" s="252"/>
      <c r="D1622" s="252"/>
      <c r="E1622" s="252"/>
      <c r="F1622" s="252"/>
      <c r="G1622" s="252"/>
      <c r="H1622" s="252"/>
      <c r="I1622" s="252"/>
      <c r="J1622" s="252"/>
      <c r="K1622" s="252"/>
      <c r="L1622"/>
      <c r="M1622"/>
    </row>
    <row r="1623" spans="1:13" s="79" customFormat="1" x14ac:dyDescent="0.35">
      <c r="A1623" s="251"/>
      <c r="B1623" s="22"/>
      <c r="C1623" s="252"/>
      <c r="D1623" s="252"/>
      <c r="E1623" s="252"/>
      <c r="F1623" s="252"/>
      <c r="G1623" s="252"/>
      <c r="H1623" s="252"/>
      <c r="I1623" s="252"/>
      <c r="J1623" s="252"/>
      <c r="K1623" s="252"/>
      <c r="L1623"/>
      <c r="M1623"/>
    </row>
    <row r="1624" spans="1:13" s="79" customFormat="1" x14ac:dyDescent="0.35">
      <c r="A1624" s="251"/>
      <c r="B1624" s="22"/>
      <c r="C1624" s="252"/>
      <c r="D1624" s="252"/>
      <c r="E1624" s="252"/>
      <c r="F1624" s="252"/>
      <c r="G1624" s="252"/>
      <c r="H1624" s="252"/>
      <c r="I1624" s="252"/>
      <c r="J1624" s="252"/>
      <c r="K1624" s="252"/>
      <c r="L1624"/>
      <c r="M1624"/>
    </row>
    <row r="1625" spans="1:13" s="79" customFormat="1" x14ac:dyDescent="0.35">
      <c r="A1625" s="251"/>
      <c r="B1625" s="22"/>
      <c r="C1625" s="252"/>
      <c r="D1625" s="252"/>
      <c r="E1625" s="252"/>
      <c r="F1625" s="252"/>
      <c r="G1625" s="252"/>
      <c r="H1625" s="252"/>
      <c r="I1625" s="252"/>
      <c r="J1625" s="252"/>
      <c r="K1625" s="252"/>
      <c r="L1625"/>
      <c r="M1625"/>
    </row>
    <row r="1626" spans="1:13" s="79" customFormat="1" x14ac:dyDescent="0.35">
      <c r="A1626" s="251"/>
      <c r="B1626" s="22"/>
      <c r="C1626" s="252"/>
      <c r="D1626" s="252"/>
      <c r="E1626" s="252"/>
      <c r="F1626" s="252"/>
      <c r="G1626" s="252"/>
      <c r="H1626" s="252"/>
      <c r="I1626" s="252"/>
      <c r="J1626" s="252"/>
      <c r="K1626" s="252"/>
      <c r="L1626"/>
      <c r="M1626"/>
    </row>
    <row r="1627" spans="1:13" s="79" customFormat="1" x14ac:dyDescent="0.35">
      <c r="A1627" s="251"/>
      <c r="B1627" s="22"/>
      <c r="C1627" s="252"/>
      <c r="D1627" s="252"/>
      <c r="E1627" s="252"/>
      <c r="F1627" s="252"/>
      <c r="G1627" s="252"/>
      <c r="H1627" s="252"/>
      <c r="I1627" s="252"/>
      <c r="J1627" s="252"/>
      <c r="K1627" s="252"/>
      <c r="L1627"/>
      <c r="M1627"/>
    </row>
    <row r="1628" spans="1:13" s="79" customFormat="1" x14ac:dyDescent="0.35">
      <c r="A1628" s="251"/>
      <c r="B1628" s="22"/>
      <c r="C1628" s="252"/>
      <c r="D1628" s="252"/>
      <c r="E1628" s="252"/>
      <c r="F1628" s="252"/>
      <c r="G1628" s="252"/>
      <c r="H1628" s="252"/>
      <c r="I1628" s="252"/>
      <c r="J1628" s="252"/>
      <c r="K1628" s="252"/>
      <c r="L1628"/>
      <c r="M1628"/>
    </row>
    <row r="1629" spans="1:13" s="79" customFormat="1" x14ac:dyDescent="0.35">
      <c r="A1629" s="251"/>
      <c r="B1629" s="22"/>
      <c r="C1629" s="252"/>
      <c r="D1629" s="252"/>
      <c r="E1629" s="252"/>
      <c r="F1629" s="252"/>
      <c r="G1629" s="252"/>
      <c r="H1629" s="252"/>
      <c r="I1629" s="252"/>
      <c r="J1629" s="252"/>
      <c r="K1629" s="252"/>
      <c r="L1629"/>
      <c r="M1629"/>
    </row>
    <row r="1630" spans="1:13" s="79" customFormat="1" x14ac:dyDescent="0.35">
      <c r="A1630" s="251"/>
      <c r="B1630" s="22"/>
      <c r="C1630" s="252"/>
      <c r="D1630" s="252"/>
      <c r="E1630" s="252"/>
      <c r="F1630" s="252"/>
      <c r="G1630" s="252"/>
      <c r="H1630" s="252"/>
      <c r="I1630" s="252"/>
      <c r="J1630" s="252"/>
      <c r="K1630" s="252"/>
      <c r="L1630"/>
      <c r="M1630"/>
    </row>
    <row r="1631" spans="1:13" s="79" customFormat="1" x14ac:dyDescent="0.35">
      <c r="A1631" s="251"/>
      <c r="B1631" s="22"/>
      <c r="C1631" s="252"/>
      <c r="D1631" s="252"/>
      <c r="E1631" s="252"/>
      <c r="F1631" s="252"/>
      <c r="G1631" s="252"/>
      <c r="H1631" s="252"/>
      <c r="I1631" s="252"/>
      <c r="J1631" s="252"/>
      <c r="K1631" s="252"/>
      <c r="L1631"/>
      <c r="M1631"/>
    </row>
    <row r="1632" spans="1:13" s="79" customFormat="1" x14ac:dyDescent="0.35">
      <c r="A1632" s="251"/>
      <c r="B1632" s="22"/>
      <c r="C1632" s="252"/>
      <c r="D1632" s="252"/>
      <c r="E1632" s="252"/>
      <c r="F1632" s="252"/>
      <c r="G1632" s="252"/>
      <c r="H1632" s="252"/>
      <c r="I1632" s="252"/>
      <c r="J1632" s="252"/>
      <c r="K1632" s="252"/>
      <c r="L1632"/>
      <c r="M1632"/>
    </row>
    <row r="1633" spans="1:13" s="79" customFormat="1" x14ac:dyDescent="0.35">
      <c r="A1633" s="251"/>
      <c r="B1633" s="22"/>
      <c r="C1633" s="252"/>
      <c r="D1633" s="252"/>
      <c r="E1633" s="252"/>
      <c r="F1633" s="252"/>
      <c r="G1633" s="252"/>
      <c r="H1633" s="252"/>
      <c r="I1633" s="252"/>
      <c r="J1633" s="252"/>
      <c r="K1633" s="252"/>
      <c r="L1633"/>
      <c r="M1633"/>
    </row>
    <row r="1634" spans="1:13" s="79" customFormat="1" x14ac:dyDescent="0.35">
      <c r="A1634" s="251"/>
      <c r="B1634" s="22"/>
      <c r="C1634" s="252"/>
      <c r="D1634" s="252"/>
      <c r="E1634" s="252"/>
      <c r="F1634" s="252"/>
      <c r="G1634" s="252"/>
      <c r="H1634" s="252"/>
      <c r="I1634" s="252"/>
      <c r="J1634" s="252"/>
      <c r="K1634" s="252"/>
      <c r="L1634"/>
      <c r="M1634"/>
    </row>
    <row r="1635" spans="1:13" s="79" customFormat="1" x14ac:dyDescent="0.35">
      <c r="A1635" s="251"/>
      <c r="B1635" s="22"/>
      <c r="C1635" s="252"/>
      <c r="D1635" s="252"/>
      <c r="E1635" s="252"/>
      <c r="F1635" s="252"/>
      <c r="G1635" s="252"/>
      <c r="H1635" s="252"/>
      <c r="I1635" s="252"/>
      <c r="J1635" s="252"/>
      <c r="K1635" s="252"/>
      <c r="L1635"/>
      <c r="M1635"/>
    </row>
    <row r="1636" spans="1:13" s="79" customFormat="1" x14ac:dyDescent="0.35">
      <c r="A1636" s="251"/>
      <c r="B1636" s="22"/>
      <c r="C1636" s="252"/>
      <c r="D1636" s="252"/>
      <c r="E1636" s="252"/>
      <c r="F1636" s="252"/>
      <c r="G1636" s="252"/>
      <c r="H1636" s="252"/>
      <c r="I1636" s="252"/>
      <c r="J1636" s="252"/>
      <c r="K1636" s="252"/>
      <c r="L1636"/>
      <c r="M1636"/>
    </row>
    <row r="1637" spans="1:13" s="79" customFormat="1" x14ac:dyDescent="0.35">
      <c r="A1637" s="251"/>
      <c r="B1637" s="22"/>
      <c r="C1637" s="252"/>
      <c r="D1637" s="252"/>
      <c r="E1637" s="252"/>
      <c r="F1637" s="252"/>
      <c r="G1637" s="252"/>
      <c r="H1637" s="252"/>
      <c r="I1637" s="252"/>
      <c r="J1637" s="252"/>
      <c r="K1637" s="252"/>
      <c r="L1637"/>
      <c r="M1637"/>
    </row>
    <row r="1638" spans="1:13" s="79" customFormat="1" x14ac:dyDescent="0.35">
      <c r="A1638" s="251"/>
      <c r="B1638" s="22"/>
      <c r="C1638" s="252"/>
      <c r="D1638" s="252"/>
      <c r="E1638" s="252"/>
      <c r="F1638" s="252"/>
      <c r="G1638" s="252"/>
      <c r="H1638" s="252"/>
      <c r="I1638" s="252"/>
      <c r="J1638" s="252"/>
      <c r="K1638" s="252"/>
      <c r="L1638"/>
      <c r="M1638"/>
    </row>
    <row r="1639" spans="1:13" s="79" customFormat="1" x14ac:dyDescent="0.35">
      <c r="A1639" s="251"/>
      <c r="B1639" s="22"/>
      <c r="C1639" s="252"/>
      <c r="D1639" s="252"/>
      <c r="E1639" s="252"/>
      <c r="F1639" s="252"/>
      <c r="G1639" s="252"/>
      <c r="H1639" s="252"/>
      <c r="I1639" s="252"/>
      <c r="J1639" s="252"/>
      <c r="K1639" s="252"/>
      <c r="L1639"/>
      <c r="M1639"/>
    </row>
    <row r="1640" spans="1:13" s="79" customFormat="1" x14ac:dyDescent="0.35">
      <c r="A1640" s="251"/>
      <c r="B1640" s="22"/>
      <c r="C1640" s="252"/>
      <c r="D1640" s="252"/>
      <c r="E1640" s="252"/>
      <c r="F1640" s="252"/>
      <c r="G1640" s="252"/>
      <c r="H1640" s="252"/>
      <c r="I1640" s="252"/>
      <c r="J1640" s="252"/>
      <c r="K1640" s="252"/>
      <c r="L1640"/>
      <c r="M1640"/>
    </row>
    <row r="1641" spans="1:13" s="79" customFormat="1" x14ac:dyDescent="0.35">
      <c r="A1641" s="251"/>
      <c r="B1641" s="22"/>
      <c r="C1641" s="252"/>
      <c r="D1641" s="252"/>
      <c r="E1641" s="252"/>
      <c r="F1641" s="252"/>
      <c r="G1641" s="252"/>
      <c r="H1641" s="252"/>
      <c r="I1641" s="252"/>
      <c r="J1641" s="252"/>
      <c r="K1641" s="252"/>
      <c r="L1641"/>
      <c r="M1641"/>
    </row>
    <row r="1642" spans="1:13" s="79" customFormat="1" x14ac:dyDescent="0.35">
      <c r="A1642" s="251"/>
      <c r="B1642" s="22"/>
      <c r="C1642" s="252"/>
      <c r="D1642" s="252"/>
      <c r="E1642" s="252"/>
      <c r="F1642" s="252"/>
      <c r="G1642" s="252"/>
      <c r="H1642" s="252"/>
      <c r="I1642" s="252"/>
      <c r="J1642" s="252"/>
      <c r="K1642" s="252"/>
      <c r="L1642"/>
      <c r="M1642"/>
    </row>
    <row r="1643" spans="1:13" s="79" customFormat="1" x14ac:dyDescent="0.35">
      <c r="A1643" s="251"/>
      <c r="B1643" s="22"/>
      <c r="C1643" s="252"/>
      <c r="D1643" s="252"/>
      <c r="E1643" s="252"/>
      <c r="F1643" s="252"/>
      <c r="G1643" s="252"/>
      <c r="H1643" s="252"/>
      <c r="I1643" s="252"/>
      <c r="J1643" s="252"/>
      <c r="K1643" s="252"/>
      <c r="L1643"/>
      <c r="M1643"/>
    </row>
    <row r="1644" spans="1:13" s="79" customFormat="1" x14ac:dyDescent="0.35">
      <c r="A1644" s="251"/>
      <c r="B1644" s="22"/>
      <c r="C1644" s="252"/>
      <c r="D1644" s="252"/>
      <c r="E1644" s="252"/>
      <c r="F1644" s="252"/>
      <c r="G1644" s="252"/>
      <c r="H1644" s="252"/>
      <c r="I1644" s="252"/>
      <c r="J1644" s="252"/>
      <c r="K1644" s="252"/>
      <c r="L1644"/>
      <c r="M1644"/>
    </row>
    <row r="1645" spans="1:13" s="79" customFormat="1" x14ac:dyDescent="0.35">
      <c r="A1645" s="251"/>
      <c r="B1645" s="22"/>
      <c r="C1645" s="252"/>
      <c r="D1645" s="252"/>
      <c r="E1645" s="252"/>
      <c r="F1645" s="252"/>
      <c r="G1645" s="252"/>
      <c r="H1645" s="252"/>
      <c r="I1645" s="252"/>
      <c r="J1645" s="252"/>
      <c r="K1645" s="252"/>
      <c r="L1645"/>
      <c r="M1645"/>
    </row>
    <row r="1646" spans="1:13" s="79" customFormat="1" x14ac:dyDescent="0.35">
      <c r="A1646" s="251"/>
      <c r="B1646" s="22"/>
      <c r="C1646" s="252"/>
      <c r="D1646" s="252"/>
      <c r="E1646" s="252"/>
      <c r="F1646" s="252"/>
      <c r="G1646" s="252"/>
      <c r="H1646" s="252"/>
      <c r="I1646" s="252"/>
      <c r="J1646" s="252"/>
      <c r="K1646" s="252"/>
      <c r="L1646"/>
      <c r="M1646"/>
    </row>
    <row r="1647" spans="1:13" s="79" customFormat="1" x14ac:dyDescent="0.35">
      <c r="A1647" s="251"/>
      <c r="B1647" s="22"/>
      <c r="C1647" s="252"/>
      <c r="D1647" s="252"/>
      <c r="E1647" s="252"/>
      <c r="F1647" s="252"/>
      <c r="G1647" s="252"/>
      <c r="H1647" s="252"/>
      <c r="I1647" s="252"/>
      <c r="J1647" s="252"/>
      <c r="K1647" s="252"/>
      <c r="L1647"/>
      <c r="M1647"/>
    </row>
    <row r="1648" spans="1:13" s="79" customFormat="1" x14ac:dyDescent="0.35">
      <c r="A1648" s="251"/>
      <c r="B1648" s="22"/>
      <c r="C1648" s="252"/>
      <c r="D1648" s="252"/>
      <c r="E1648" s="252"/>
      <c r="F1648" s="252"/>
      <c r="G1648" s="252"/>
      <c r="H1648" s="252"/>
      <c r="I1648" s="252"/>
      <c r="J1648" s="252"/>
      <c r="K1648" s="252"/>
      <c r="L1648"/>
      <c r="M1648"/>
    </row>
    <row r="1649" spans="1:13" s="79" customFormat="1" x14ac:dyDescent="0.35">
      <c r="A1649" s="251"/>
      <c r="B1649" s="22"/>
      <c r="C1649" s="252"/>
      <c r="D1649" s="252"/>
      <c r="E1649" s="252"/>
      <c r="F1649" s="252"/>
      <c r="G1649" s="252"/>
      <c r="H1649" s="252"/>
      <c r="I1649" s="252"/>
      <c r="J1649" s="252"/>
      <c r="K1649" s="252"/>
      <c r="L1649"/>
      <c r="M1649"/>
    </row>
    <row r="1650" spans="1:13" s="79" customFormat="1" x14ac:dyDescent="0.35">
      <c r="A1650" s="251"/>
      <c r="B1650" s="22"/>
      <c r="C1650" s="252"/>
      <c r="D1650" s="252"/>
      <c r="E1650" s="252"/>
      <c r="F1650" s="252"/>
      <c r="G1650" s="252"/>
      <c r="H1650" s="252"/>
      <c r="I1650" s="252"/>
      <c r="J1650" s="252"/>
      <c r="K1650" s="252"/>
      <c r="L1650"/>
      <c r="M1650"/>
    </row>
    <row r="1651" spans="1:13" s="79" customFormat="1" x14ac:dyDescent="0.35">
      <c r="A1651" s="251"/>
      <c r="B1651" s="22"/>
      <c r="C1651" s="252"/>
      <c r="D1651" s="252"/>
      <c r="E1651" s="252"/>
      <c r="F1651" s="252"/>
      <c r="G1651" s="252"/>
      <c r="H1651" s="252"/>
      <c r="I1651" s="252"/>
      <c r="J1651" s="252"/>
      <c r="K1651" s="252"/>
      <c r="L1651"/>
      <c r="M1651"/>
    </row>
    <row r="1652" spans="1:13" s="79" customFormat="1" x14ac:dyDescent="0.35">
      <c r="A1652" s="251"/>
      <c r="B1652" s="22"/>
      <c r="C1652" s="252"/>
      <c r="D1652" s="252"/>
      <c r="E1652" s="252"/>
      <c r="F1652" s="252"/>
      <c r="G1652" s="252"/>
      <c r="H1652" s="252"/>
      <c r="I1652" s="252"/>
      <c r="J1652" s="252"/>
      <c r="K1652" s="252"/>
      <c r="L1652"/>
      <c r="M1652"/>
    </row>
    <row r="1653" spans="1:13" s="79" customFormat="1" x14ac:dyDescent="0.35">
      <c r="A1653" s="251"/>
      <c r="B1653" s="22"/>
      <c r="C1653" s="252"/>
      <c r="D1653" s="252"/>
      <c r="E1653" s="252"/>
      <c r="F1653" s="252"/>
      <c r="G1653" s="252"/>
      <c r="H1653" s="252"/>
      <c r="I1653" s="252"/>
      <c r="J1653" s="252"/>
      <c r="K1653" s="252"/>
      <c r="L1653"/>
      <c r="M1653"/>
    </row>
    <row r="1654" spans="1:13" s="79" customFormat="1" x14ac:dyDescent="0.35">
      <c r="A1654" s="251"/>
      <c r="B1654" s="22"/>
      <c r="C1654" s="252"/>
      <c r="D1654" s="252"/>
      <c r="E1654" s="252"/>
      <c r="F1654" s="252"/>
      <c r="G1654" s="252"/>
      <c r="H1654" s="252"/>
      <c r="I1654" s="252"/>
      <c r="J1654" s="252"/>
      <c r="K1654" s="252"/>
      <c r="L1654"/>
      <c r="M1654"/>
    </row>
    <row r="1655" spans="1:13" s="79" customFormat="1" x14ac:dyDescent="0.35">
      <c r="A1655" s="251"/>
      <c r="B1655" s="22"/>
      <c r="C1655" s="252"/>
      <c r="D1655" s="252"/>
      <c r="E1655" s="252"/>
      <c r="F1655" s="252"/>
      <c r="G1655" s="252"/>
      <c r="H1655" s="252"/>
      <c r="I1655" s="252"/>
      <c r="J1655" s="252"/>
      <c r="K1655" s="252"/>
      <c r="L1655"/>
      <c r="M1655"/>
    </row>
    <row r="1656" spans="1:13" s="79" customFormat="1" x14ac:dyDescent="0.35">
      <c r="A1656" s="251"/>
      <c r="B1656" s="22"/>
      <c r="C1656" s="252"/>
      <c r="D1656" s="252"/>
      <c r="E1656" s="252"/>
      <c r="F1656" s="252"/>
      <c r="G1656" s="252"/>
      <c r="H1656" s="252"/>
      <c r="I1656" s="252"/>
      <c r="J1656" s="252"/>
      <c r="K1656" s="252"/>
      <c r="L1656"/>
      <c r="M1656"/>
    </row>
    <row r="1657" spans="1:13" s="79" customFormat="1" x14ac:dyDescent="0.35">
      <c r="A1657" s="251"/>
      <c r="B1657" s="22"/>
      <c r="C1657" s="252"/>
      <c r="D1657" s="252"/>
      <c r="E1657" s="252"/>
      <c r="F1657" s="252"/>
      <c r="G1657" s="252"/>
      <c r="H1657" s="252"/>
      <c r="I1657" s="252"/>
      <c r="J1657" s="252"/>
      <c r="K1657" s="252"/>
      <c r="L1657"/>
      <c r="M1657"/>
    </row>
    <row r="1658" spans="1:13" s="79" customFormat="1" x14ac:dyDescent="0.35">
      <c r="A1658" s="251"/>
      <c r="B1658" s="22"/>
      <c r="C1658" s="252"/>
      <c r="D1658" s="252"/>
      <c r="E1658" s="252"/>
      <c r="F1658" s="252"/>
      <c r="G1658" s="252"/>
      <c r="H1658" s="252"/>
      <c r="I1658" s="252"/>
      <c r="J1658" s="252"/>
      <c r="K1658" s="252"/>
      <c r="L1658"/>
      <c r="M1658"/>
    </row>
    <row r="1659" spans="1:13" s="79" customFormat="1" x14ac:dyDescent="0.35">
      <c r="A1659" s="251"/>
      <c r="B1659" s="22"/>
      <c r="C1659" s="252"/>
      <c r="D1659" s="252"/>
      <c r="E1659" s="252"/>
      <c r="F1659" s="252"/>
      <c r="G1659" s="252"/>
      <c r="H1659" s="252"/>
      <c r="I1659" s="252"/>
      <c r="J1659" s="252"/>
      <c r="K1659" s="252"/>
      <c r="L1659"/>
      <c r="M1659"/>
    </row>
    <row r="1660" spans="1:13" s="79" customFormat="1" x14ac:dyDescent="0.35">
      <c r="A1660" s="251"/>
      <c r="B1660" s="22"/>
      <c r="C1660" s="252"/>
      <c r="D1660" s="252"/>
      <c r="E1660" s="252"/>
      <c r="F1660" s="252"/>
      <c r="G1660" s="252"/>
      <c r="H1660" s="252"/>
      <c r="I1660" s="252"/>
      <c r="J1660" s="252"/>
      <c r="K1660" s="252"/>
      <c r="L1660"/>
      <c r="M1660"/>
    </row>
    <row r="1661" spans="1:13" s="79" customFormat="1" x14ac:dyDescent="0.35">
      <c r="A1661" s="251"/>
      <c r="B1661" s="22"/>
      <c r="C1661" s="252"/>
      <c r="D1661" s="252"/>
      <c r="E1661" s="252"/>
      <c r="F1661" s="252"/>
      <c r="G1661" s="252"/>
      <c r="H1661" s="252"/>
      <c r="I1661" s="252"/>
      <c r="J1661" s="252"/>
      <c r="K1661" s="252"/>
      <c r="L1661"/>
      <c r="M1661"/>
    </row>
    <row r="1662" spans="1:13" s="79" customFormat="1" x14ac:dyDescent="0.35">
      <c r="A1662" s="251"/>
      <c r="B1662" s="22"/>
      <c r="C1662" s="252"/>
      <c r="D1662" s="252"/>
      <c r="E1662" s="252"/>
      <c r="F1662" s="252"/>
      <c r="G1662" s="252"/>
      <c r="H1662" s="252"/>
      <c r="I1662" s="252"/>
      <c r="J1662" s="252"/>
      <c r="K1662" s="252"/>
      <c r="L1662"/>
      <c r="M1662"/>
    </row>
    <row r="1663" spans="1:13" s="79" customFormat="1" x14ac:dyDescent="0.35">
      <c r="A1663" s="251"/>
      <c r="B1663" s="22"/>
      <c r="C1663" s="252"/>
      <c r="D1663" s="252"/>
      <c r="E1663" s="252"/>
      <c r="F1663" s="252"/>
      <c r="G1663" s="252"/>
      <c r="H1663" s="252"/>
      <c r="I1663" s="252"/>
      <c r="J1663" s="252"/>
      <c r="K1663" s="252"/>
      <c r="L1663"/>
      <c r="M1663"/>
    </row>
    <row r="1664" spans="1:13" s="79" customFormat="1" x14ac:dyDescent="0.35">
      <c r="A1664" s="251"/>
      <c r="B1664" s="22"/>
      <c r="C1664" s="252"/>
      <c r="D1664" s="252"/>
      <c r="E1664" s="252"/>
      <c r="F1664" s="252"/>
      <c r="G1664" s="252"/>
      <c r="H1664" s="252"/>
      <c r="I1664" s="252"/>
      <c r="J1664" s="252"/>
      <c r="K1664" s="252"/>
      <c r="L1664"/>
      <c r="M1664"/>
    </row>
    <row r="1665" spans="1:13" s="79" customFormat="1" x14ac:dyDescent="0.35">
      <c r="A1665" s="251"/>
      <c r="B1665" s="22"/>
      <c r="C1665" s="252"/>
      <c r="D1665" s="252"/>
      <c r="E1665" s="252"/>
      <c r="F1665" s="252"/>
      <c r="G1665" s="252"/>
      <c r="H1665" s="252"/>
      <c r="I1665" s="252"/>
      <c r="J1665" s="252"/>
      <c r="K1665" s="252"/>
      <c r="L1665"/>
      <c r="M1665"/>
    </row>
    <row r="1666" spans="1:13" s="79" customFormat="1" x14ac:dyDescent="0.35">
      <c r="A1666" s="251"/>
      <c r="B1666" s="22"/>
      <c r="C1666" s="252"/>
      <c r="D1666" s="252"/>
      <c r="E1666" s="252"/>
      <c r="F1666" s="252"/>
      <c r="G1666" s="252"/>
      <c r="H1666" s="252"/>
      <c r="I1666" s="252"/>
      <c r="J1666" s="252"/>
      <c r="K1666" s="252"/>
      <c r="L1666"/>
      <c r="M1666"/>
    </row>
    <row r="1667" spans="1:13" s="79" customFormat="1" x14ac:dyDescent="0.35">
      <c r="A1667" s="251"/>
      <c r="B1667" s="22"/>
      <c r="C1667" s="252"/>
      <c r="D1667" s="252"/>
      <c r="E1667" s="252"/>
      <c r="F1667" s="252"/>
      <c r="G1667" s="252"/>
      <c r="H1667" s="252"/>
      <c r="I1667" s="252"/>
      <c r="J1667" s="252"/>
      <c r="K1667" s="252"/>
      <c r="L1667"/>
      <c r="M1667"/>
    </row>
    <row r="1668" spans="1:13" s="79" customFormat="1" x14ac:dyDescent="0.35">
      <c r="A1668" s="251"/>
      <c r="B1668" s="22"/>
      <c r="C1668" s="252"/>
      <c r="D1668" s="252"/>
      <c r="E1668" s="252"/>
      <c r="F1668" s="252"/>
      <c r="G1668" s="252"/>
      <c r="H1668" s="252"/>
      <c r="I1668" s="252"/>
      <c r="J1668" s="252"/>
      <c r="K1668" s="252"/>
      <c r="L1668"/>
      <c r="M1668"/>
    </row>
    <row r="1669" spans="1:13" s="79" customFormat="1" x14ac:dyDescent="0.35">
      <c r="A1669" s="251"/>
      <c r="B1669" s="22"/>
      <c r="C1669" s="252"/>
      <c r="D1669" s="252"/>
      <c r="E1669" s="252"/>
      <c r="F1669" s="252"/>
      <c r="G1669" s="252"/>
      <c r="H1669" s="252"/>
      <c r="I1669" s="252"/>
      <c r="J1669" s="252"/>
      <c r="K1669" s="252"/>
      <c r="L1669"/>
      <c r="M1669"/>
    </row>
    <row r="1670" spans="1:13" s="79" customFormat="1" x14ac:dyDescent="0.35">
      <c r="A1670" s="251"/>
      <c r="B1670" s="22"/>
      <c r="C1670" s="252"/>
      <c r="D1670" s="252"/>
      <c r="E1670" s="252"/>
      <c r="F1670" s="252"/>
      <c r="G1670" s="252"/>
      <c r="H1670" s="252"/>
      <c r="I1670" s="252"/>
      <c r="J1670" s="252"/>
      <c r="K1670" s="252"/>
      <c r="L1670"/>
      <c r="M1670"/>
    </row>
    <row r="1671" spans="1:13" s="79" customFormat="1" x14ac:dyDescent="0.35">
      <c r="A1671" s="251"/>
      <c r="B1671" s="22"/>
      <c r="C1671" s="252"/>
      <c r="D1671" s="252"/>
      <c r="E1671" s="252"/>
      <c r="F1671" s="252"/>
      <c r="G1671" s="252"/>
      <c r="H1671" s="252"/>
      <c r="I1671" s="252"/>
      <c r="J1671" s="252"/>
      <c r="K1671" s="252"/>
      <c r="L1671"/>
      <c r="M1671"/>
    </row>
    <row r="1672" spans="1:13" s="79" customFormat="1" x14ac:dyDescent="0.35">
      <c r="A1672" s="251"/>
      <c r="B1672" s="22"/>
      <c r="C1672" s="252"/>
      <c r="D1672" s="252"/>
      <c r="E1672" s="252"/>
      <c r="F1672" s="252"/>
      <c r="G1672" s="252"/>
      <c r="H1672" s="252"/>
      <c r="I1672" s="252"/>
      <c r="J1672" s="252"/>
      <c r="K1672" s="252"/>
      <c r="L1672"/>
      <c r="M1672"/>
    </row>
    <row r="1673" spans="1:13" s="79" customFormat="1" x14ac:dyDescent="0.35">
      <c r="A1673" s="251"/>
      <c r="B1673" s="22"/>
      <c r="C1673" s="252"/>
      <c r="D1673" s="252"/>
      <c r="E1673" s="252"/>
      <c r="F1673" s="252"/>
      <c r="G1673" s="252"/>
      <c r="H1673" s="252"/>
      <c r="I1673" s="252"/>
      <c r="J1673" s="252"/>
      <c r="K1673" s="252"/>
      <c r="L1673"/>
      <c r="M1673"/>
    </row>
    <row r="1674" spans="1:13" s="79" customFormat="1" x14ac:dyDescent="0.35">
      <c r="A1674" s="251"/>
      <c r="B1674" s="22"/>
      <c r="C1674" s="252"/>
      <c r="D1674" s="252"/>
      <c r="E1674" s="252"/>
      <c r="F1674" s="252"/>
      <c r="G1674" s="252"/>
      <c r="H1674" s="252"/>
      <c r="I1674" s="252"/>
      <c r="J1674" s="252"/>
      <c r="K1674" s="252"/>
      <c r="L1674"/>
      <c r="M1674"/>
    </row>
    <row r="1675" spans="1:13" s="79" customFormat="1" x14ac:dyDescent="0.35">
      <c r="A1675" s="251"/>
      <c r="B1675" s="22"/>
      <c r="C1675" s="252"/>
      <c r="D1675" s="252"/>
      <c r="E1675" s="252"/>
      <c r="F1675" s="252"/>
      <c r="G1675" s="252"/>
      <c r="H1675" s="252"/>
      <c r="I1675" s="252"/>
      <c r="J1675" s="252"/>
      <c r="K1675" s="252"/>
      <c r="L1675"/>
      <c r="M1675"/>
    </row>
    <row r="1676" spans="1:13" s="79" customFormat="1" x14ac:dyDescent="0.35">
      <c r="A1676" s="251"/>
      <c r="B1676" s="22"/>
      <c r="C1676" s="252"/>
      <c r="D1676" s="252"/>
      <c r="E1676" s="252"/>
      <c r="F1676" s="252"/>
      <c r="G1676" s="252"/>
      <c r="H1676" s="252"/>
      <c r="I1676" s="252"/>
      <c r="J1676" s="252"/>
      <c r="K1676" s="252"/>
      <c r="L1676"/>
      <c r="M1676"/>
    </row>
    <row r="1677" spans="1:13" s="79" customFormat="1" x14ac:dyDescent="0.35">
      <c r="A1677" s="251"/>
      <c r="B1677" s="22"/>
      <c r="C1677" s="252"/>
      <c r="D1677" s="252"/>
      <c r="E1677" s="252"/>
      <c r="F1677" s="252"/>
      <c r="G1677" s="252"/>
      <c r="H1677" s="252"/>
      <c r="I1677" s="252"/>
      <c r="J1677" s="252"/>
      <c r="K1677" s="252"/>
      <c r="L1677"/>
      <c r="M1677"/>
    </row>
    <row r="1678" spans="1:13" s="79" customFormat="1" x14ac:dyDescent="0.35">
      <c r="A1678" s="251"/>
      <c r="B1678" s="22"/>
      <c r="C1678" s="252"/>
      <c r="D1678" s="252"/>
      <c r="E1678" s="252"/>
      <c r="F1678" s="252"/>
      <c r="G1678" s="252"/>
      <c r="H1678" s="252"/>
      <c r="I1678" s="252"/>
      <c r="J1678" s="252"/>
      <c r="K1678" s="252"/>
      <c r="L1678"/>
      <c r="M1678"/>
    </row>
    <row r="1679" spans="1:13" s="79" customFormat="1" x14ac:dyDescent="0.35">
      <c r="A1679" s="251"/>
      <c r="B1679" s="22"/>
      <c r="C1679" s="252"/>
      <c r="D1679" s="252"/>
      <c r="E1679" s="252"/>
      <c r="F1679" s="252"/>
      <c r="G1679" s="252"/>
      <c r="H1679" s="252"/>
      <c r="I1679" s="252"/>
      <c r="J1679" s="252"/>
      <c r="K1679" s="252"/>
      <c r="L1679"/>
      <c r="M1679"/>
    </row>
    <row r="1680" spans="1:13" s="79" customFormat="1" x14ac:dyDescent="0.35">
      <c r="A1680" s="251"/>
      <c r="B1680" s="22"/>
      <c r="C1680" s="252"/>
      <c r="D1680" s="252"/>
      <c r="E1680" s="252"/>
      <c r="F1680" s="252"/>
      <c r="G1680" s="252"/>
      <c r="H1680" s="252"/>
      <c r="I1680" s="252"/>
      <c r="J1680" s="252"/>
      <c r="K1680" s="252"/>
      <c r="L1680"/>
      <c r="M1680"/>
    </row>
    <row r="1681" spans="1:13" s="79" customFormat="1" x14ac:dyDescent="0.35">
      <c r="A1681" s="251"/>
      <c r="B1681" s="22"/>
      <c r="C1681" s="252"/>
      <c r="D1681" s="252"/>
      <c r="E1681" s="252"/>
      <c r="F1681" s="252"/>
      <c r="G1681" s="252"/>
      <c r="H1681" s="252"/>
      <c r="I1681" s="252"/>
      <c r="J1681" s="252"/>
      <c r="K1681" s="252"/>
      <c r="L1681"/>
      <c r="M1681"/>
    </row>
    <row r="1682" spans="1:13" s="79" customFormat="1" x14ac:dyDescent="0.35">
      <c r="A1682" s="251"/>
      <c r="B1682" s="22"/>
      <c r="C1682" s="252"/>
      <c r="D1682" s="252"/>
      <c r="E1682" s="252"/>
      <c r="F1682" s="252"/>
      <c r="G1682" s="252"/>
      <c r="H1682" s="252"/>
      <c r="I1682" s="252"/>
      <c r="J1682" s="252"/>
      <c r="K1682" s="252"/>
      <c r="L1682"/>
      <c r="M1682"/>
    </row>
    <row r="1683" spans="1:13" s="79" customFormat="1" x14ac:dyDescent="0.35">
      <c r="A1683" s="251"/>
      <c r="B1683" s="22"/>
      <c r="C1683" s="252"/>
      <c r="D1683" s="252"/>
      <c r="E1683" s="252"/>
      <c r="F1683" s="252"/>
      <c r="G1683" s="252"/>
      <c r="H1683" s="252"/>
      <c r="I1683" s="252"/>
      <c r="J1683" s="252"/>
      <c r="K1683" s="252"/>
      <c r="L1683"/>
      <c r="M1683"/>
    </row>
    <row r="1684" spans="1:13" s="79" customFormat="1" x14ac:dyDescent="0.35">
      <c r="A1684" s="251"/>
      <c r="B1684" s="22"/>
      <c r="C1684" s="252"/>
      <c r="D1684" s="252"/>
      <c r="E1684" s="252"/>
      <c r="F1684" s="252"/>
      <c r="G1684" s="252"/>
      <c r="H1684" s="252"/>
      <c r="I1684" s="252"/>
      <c r="J1684" s="252"/>
      <c r="K1684" s="252"/>
      <c r="L1684"/>
      <c r="M1684"/>
    </row>
    <row r="1685" spans="1:13" s="79" customFormat="1" x14ac:dyDescent="0.35">
      <c r="A1685" s="251"/>
      <c r="B1685" s="22"/>
      <c r="C1685" s="252"/>
      <c r="D1685" s="252"/>
      <c r="E1685" s="252"/>
      <c r="F1685" s="252"/>
      <c r="G1685" s="252"/>
      <c r="H1685" s="252"/>
      <c r="I1685" s="252"/>
      <c r="J1685" s="252"/>
      <c r="K1685" s="252"/>
      <c r="L1685"/>
      <c r="M1685"/>
    </row>
    <row r="1686" spans="1:13" s="79" customFormat="1" x14ac:dyDescent="0.35">
      <c r="A1686" s="251"/>
      <c r="B1686" s="22"/>
      <c r="C1686" s="252"/>
      <c r="D1686" s="252"/>
      <c r="E1686" s="252"/>
      <c r="F1686" s="252"/>
      <c r="G1686" s="252"/>
      <c r="H1686" s="252"/>
      <c r="I1686" s="252"/>
      <c r="J1686" s="252"/>
      <c r="K1686" s="252"/>
      <c r="L1686"/>
      <c r="M1686"/>
    </row>
    <row r="1687" spans="1:13" s="79" customFormat="1" x14ac:dyDescent="0.35">
      <c r="A1687" s="251"/>
      <c r="B1687" s="22"/>
      <c r="C1687" s="252"/>
      <c r="D1687" s="252"/>
      <c r="E1687" s="252"/>
      <c r="F1687" s="252"/>
      <c r="G1687" s="252"/>
      <c r="H1687" s="252"/>
      <c r="I1687" s="252"/>
      <c r="J1687" s="252"/>
      <c r="K1687" s="252"/>
      <c r="L1687"/>
      <c r="M1687"/>
    </row>
    <row r="1688" spans="1:13" s="79" customFormat="1" x14ac:dyDescent="0.35">
      <c r="A1688" s="251"/>
      <c r="B1688" s="22"/>
      <c r="C1688" s="252"/>
      <c r="D1688" s="252"/>
      <c r="E1688" s="252"/>
      <c r="F1688" s="252"/>
      <c r="G1688" s="252"/>
      <c r="H1688" s="252"/>
      <c r="I1688" s="252"/>
      <c r="J1688" s="252"/>
      <c r="K1688" s="252"/>
      <c r="L1688"/>
      <c r="M1688"/>
    </row>
    <row r="1689" spans="1:13" s="79" customFormat="1" x14ac:dyDescent="0.35">
      <c r="A1689" s="251"/>
      <c r="B1689" s="22"/>
      <c r="C1689" s="252"/>
      <c r="D1689" s="252"/>
      <c r="E1689" s="252"/>
      <c r="F1689" s="252"/>
      <c r="G1689" s="252"/>
      <c r="H1689" s="252"/>
      <c r="I1689" s="252"/>
      <c r="J1689" s="252"/>
      <c r="K1689" s="252"/>
      <c r="L1689"/>
      <c r="M1689"/>
    </row>
    <row r="1690" spans="1:13" s="79" customFormat="1" x14ac:dyDescent="0.35">
      <c r="A1690" s="251"/>
      <c r="B1690" s="22"/>
      <c r="C1690" s="252"/>
      <c r="D1690" s="252"/>
      <c r="E1690" s="252"/>
      <c r="F1690" s="252"/>
      <c r="G1690" s="252"/>
      <c r="H1690" s="252"/>
      <c r="I1690" s="252"/>
      <c r="J1690" s="252"/>
      <c r="K1690" s="252"/>
      <c r="L1690"/>
      <c r="M1690"/>
    </row>
    <row r="1691" spans="1:13" s="79" customFormat="1" x14ac:dyDescent="0.35">
      <c r="A1691" s="251"/>
      <c r="B1691" s="22"/>
      <c r="C1691" s="252"/>
      <c r="D1691" s="252"/>
      <c r="E1691" s="252"/>
      <c r="F1691" s="252"/>
      <c r="G1691" s="252"/>
      <c r="H1691" s="252"/>
      <c r="I1691" s="252"/>
      <c r="J1691" s="252"/>
      <c r="K1691" s="252"/>
      <c r="L1691"/>
      <c r="M1691"/>
    </row>
    <row r="1692" spans="1:13" s="79" customFormat="1" x14ac:dyDescent="0.35">
      <c r="A1692" s="251"/>
      <c r="B1692" s="22"/>
      <c r="C1692" s="252"/>
      <c r="D1692" s="252"/>
      <c r="E1692" s="252"/>
      <c r="F1692" s="252"/>
      <c r="G1692" s="252"/>
      <c r="H1692" s="252"/>
      <c r="I1692" s="252"/>
      <c r="J1692" s="252"/>
      <c r="K1692" s="252"/>
      <c r="L1692"/>
      <c r="M1692"/>
    </row>
    <row r="1693" spans="1:13" s="79" customFormat="1" x14ac:dyDescent="0.35">
      <c r="A1693" s="251"/>
      <c r="B1693" s="22"/>
      <c r="C1693" s="252"/>
      <c r="D1693" s="252"/>
      <c r="E1693" s="252"/>
      <c r="F1693" s="252"/>
      <c r="G1693" s="252"/>
      <c r="H1693" s="252"/>
      <c r="I1693" s="252"/>
      <c r="J1693" s="252"/>
      <c r="K1693" s="252"/>
      <c r="L1693"/>
      <c r="M1693"/>
    </row>
    <row r="1694" spans="1:13" s="79" customFormat="1" x14ac:dyDescent="0.35">
      <c r="A1694" s="251"/>
      <c r="B1694" s="22"/>
      <c r="C1694" s="252"/>
      <c r="D1694" s="252"/>
      <c r="E1694" s="252"/>
      <c r="F1694" s="252"/>
      <c r="G1694" s="252"/>
      <c r="H1694" s="252"/>
      <c r="I1694" s="252"/>
      <c r="J1694" s="252"/>
      <c r="K1694" s="252"/>
      <c r="L1694"/>
      <c r="M1694"/>
    </row>
    <row r="1695" spans="1:13" s="79" customFormat="1" x14ac:dyDescent="0.35">
      <c r="A1695" s="251"/>
      <c r="B1695" s="22"/>
      <c r="C1695" s="252"/>
      <c r="D1695" s="252"/>
      <c r="E1695" s="252"/>
      <c r="F1695" s="252"/>
      <c r="G1695" s="252"/>
      <c r="H1695" s="252"/>
      <c r="I1695" s="252"/>
      <c r="J1695" s="252"/>
      <c r="K1695" s="252"/>
      <c r="L1695"/>
      <c r="M1695"/>
    </row>
    <row r="1696" spans="1:13" s="79" customFormat="1" x14ac:dyDescent="0.35">
      <c r="A1696" s="251"/>
      <c r="B1696" s="22"/>
      <c r="C1696" s="252"/>
      <c r="D1696" s="252"/>
      <c r="E1696" s="252"/>
      <c r="F1696" s="252"/>
      <c r="G1696" s="252"/>
      <c r="H1696" s="252"/>
      <c r="I1696" s="252"/>
      <c r="J1696" s="252"/>
      <c r="K1696" s="252"/>
      <c r="L1696"/>
      <c r="M1696"/>
    </row>
    <row r="1697" spans="1:13" s="79" customFormat="1" x14ac:dyDescent="0.35">
      <c r="A1697" s="251"/>
      <c r="B1697" s="22"/>
      <c r="C1697" s="252"/>
      <c r="D1697" s="252"/>
      <c r="E1697" s="252"/>
      <c r="F1697" s="252"/>
      <c r="G1697" s="252"/>
      <c r="H1697" s="252"/>
      <c r="I1697" s="252"/>
      <c r="J1697" s="252"/>
      <c r="K1697" s="252"/>
      <c r="L1697"/>
      <c r="M1697"/>
    </row>
    <row r="1698" spans="1:13" s="79" customFormat="1" x14ac:dyDescent="0.35">
      <c r="A1698" s="251"/>
      <c r="B1698" s="22"/>
      <c r="C1698" s="252"/>
      <c r="D1698" s="252"/>
      <c r="E1698" s="252"/>
      <c r="F1698" s="252"/>
      <c r="G1698" s="252"/>
      <c r="H1698" s="252"/>
      <c r="I1698" s="252"/>
      <c r="J1698" s="252"/>
      <c r="K1698" s="252"/>
      <c r="L1698"/>
      <c r="M1698"/>
    </row>
    <row r="1699" spans="1:13" s="79" customFormat="1" x14ac:dyDescent="0.35">
      <c r="A1699" s="251"/>
      <c r="B1699" s="22"/>
      <c r="C1699" s="252"/>
      <c r="D1699" s="252"/>
      <c r="E1699" s="252"/>
      <c r="F1699" s="252"/>
      <c r="G1699" s="252"/>
      <c r="H1699" s="252"/>
      <c r="I1699" s="252"/>
      <c r="J1699" s="252"/>
      <c r="K1699" s="252"/>
      <c r="L1699"/>
      <c r="M1699"/>
    </row>
    <row r="1700" spans="1:13" s="79" customFormat="1" x14ac:dyDescent="0.35">
      <c r="A1700" s="251"/>
      <c r="B1700" s="22"/>
      <c r="C1700" s="252"/>
      <c r="D1700" s="252"/>
      <c r="E1700" s="252"/>
      <c r="F1700" s="252"/>
      <c r="G1700" s="252"/>
      <c r="H1700" s="252"/>
      <c r="I1700" s="252"/>
      <c r="J1700" s="252"/>
      <c r="K1700" s="252"/>
      <c r="L1700"/>
      <c r="M1700"/>
    </row>
    <row r="1701" spans="1:13" s="79" customFormat="1" x14ac:dyDescent="0.35">
      <c r="A1701" s="251"/>
      <c r="B1701" s="22"/>
      <c r="C1701" s="252"/>
      <c r="D1701" s="252"/>
      <c r="E1701" s="252"/>
      <c r="F1701" s="252"/>
      <c r="G1701" s="252"/>
      <c r="H1701" s="252"/>
      <c r="I1701" s="252"/>
      <c r="J1701" s="252"/>
      <c r="K1701" s="252"/>
      <c r="L1701"/>
      <c r="M1701"/>
    </row>
    <row r="1702" spans="1:13" s="79" customFormat="1" x14ac:dyDescent="0.35">
      <c r="A1702" s="251"/>
      <c r="B1702" s="22"/>
      <c r="C1702" s="252"/>
      <c r="D1702" s="252"/>
      <c r="E1702" s="252"/>
      <c r="F1702" s="252"/>
      <c r="G1702" s="252"/>
      <c r="H1702" s="252"/>
      <c r="I1702" s="252"/>
      <c r="J1702" s="252"/>
      <c r="K1702" s="252"/>
      <c r="L1702"/>
      <c r="M1702"/>
    </row>
    <row r="1703" spans="1:13" s="79" customFormat="1" x14ac:dyDescent="0.35">
      <c r="A1703" s="251"/>
      <c r="B1703" s="22"/>
      <c r="C1703" s="252"/>
      <c r="D1703" s="252"/>
      <c r="E1703" s="252"/>
      <c r="F1703" s="252"/>
      <c r="G1703" s="252"/>
      <c r="H1703" s="252"/>
      <c r="I1703" s="252"/>
      <c r="J1703" s="252"/>
      <c r="K1703" s="252"/>
      <c r="L1703"/>
      <c r="M1703"/>
    </row>
    <row r="1704" spans="1:13" s="79" customFormat="1" x14ac:dyDescent="0.35">
      <c r="A1704" s="251"/>
      <c r="B1704" s="22"/>
      <c r="C1704" s="252"/>
      <c r="D1704" s="252"/>
      <c r="E1704" s="252"/>
      <c r="F1704" s="252"/>
      <c r="G1704" s="252"/>
      <c r="H1704" s="252"/>
      <c r="I1704" s="252"/>
      <c r="J1704" s="252"/>
      <c r="K1704" s="252"/>
      <c r="L1704"/>
      <c r="M1704"/>
    </row>
    <row r="1705" spans="1:13" s="79" customFormat="1" x14ac:dyDescent="0.35">
      <c r="A1705" s="251"/>
      <c r="B1705" s="22"/>
      <c r="C1705" s="252"/>
      <c r="D1705" s="252"/>
      <c r="E1705" s="252"/>
      <c r="F1705" s="252"/>
      <c r="G1705" s="252"/>
      <c r="H1705" s="252"/>
      <c r="I1705" s="252"/>
      <c r="J1705" s="252"/>
      <c r="K1705" s="252"/>
      <c r="L1705"/>
      <c r="M1705"/>
    </row>
    <row r="1706" spans="1:13" s="79" customFormat="1" x14ac:dyDescent="0.35">
      <c r="A1706" s="251"/>
      <c r="B1706" s="22"/>
      <c r="C1706" s="252"/>
      <c r="D1706" s="252"/>
      <c r="E1706" s="252"/>
      <c r="F1706" s="252"/>
      <c r="G1706" s="252"/>
      <c r="H1706" s="252"/>
      <c r="I1706" s="252"/>
      <c r="J1706" s="252"/>
      <c r="K1706" s="252"/>
      <c r="L1706"/>
      <c r="M1706"/>
    </row>
    <row r="1707" spans="1:13" s="79" customFormat="1" x14ac:dyDescent="0.35">
      <c r="A1707" s="251"/>
      <c r="B1707" s="22"/>
      <c r="C1707" s="252"/>
      <c r="D1707" s="252"/>
      <c r="E1707" s="252"/>
      <c r="F1707" s="252"/>
      <c r="G1707" s="252"/>
      <c r="H1707" s="252"/>
      <c r="I1707" s="252"/>
      <c r="J1707" s="252"/>
      <c r="K1707" s="252"/>
      <c r="L1707"/>
      <c r="M1707"/>
    </row>
    <row r="1708" spans="1:13" s="79" customFormat="1" x14ac:dyDescent="0.35">
      <c r="A1708" s="251"/>
      <c r="B1708" s="22"/>
      <c r="C1708" s="252"/>
      <c r="D1708" s="252"/>
      <c r="E1708" s="252"/>
      <c r="F1708" s="252"/>
      <c r="G1708" s="252"/>
      <c r="H1708" s="252"/>
      <c r="I1708" s="252"/>
      <c r="J1708" s="252"/>
      <c r="K1708" s="252"/>
      <c r="L1708"/>
      <c r="M1708"/>
    </row>
    <row r="1709" spans="1:13" s="79" customFormat="1" x14ac:dyDescent="0.35">
      <c r="A1709" s="251"/>
      <c r="B1709" s="22"/>
      <c r="C1709" s="252"/>
      <c r="D1709" s="252"/>
      <c r="E1709" s="252"/>
      <c r="F1709" s="252"/>
      <c r="G1709" s="252"/>
      <c r="H1709" s="252"/>
      <c r="I1709" s="252"/>
      <c r="J1709" s="252"/>
      <c r="K1709" s="252"/>
      <c r="L1709"/>
      <c r="M1709"/>
    </row>
    <row r="1710" spans="1:13" s="79" customFormat="1" x14ac:dyDescent="0.35">
      <c r="A1710" s="251"/>
      <c r="B1710" s="22"/>
      <c r="C1710" s="252"/>
      <c r="D1710" s="252"/>
      <c r="E1710" s="252"/>
      <c r="F1710" s="252"/>
      <c r="G1710" s="252"/>
      <c r="H1710" s="252"/>
      <c r="I1710" s="252"/>
      <c r="J1710" s="252"/>
      <c r="K1710" s="252"/>
      <c r="L1710"/>
      <c r="M1710"/>
    </row>
    <row r="1711" spans="1:13" s="79" customFormat="1" x14ac:dyDescent="0.35">
      <c r="A1711" s="251"/>
      <c r="B1711" s="22"/>
      <c r="C1711" s="252"/>
      <c r="D1711" s="252"/>
      <c r="E1711" s="252"/>
      <c r="F1711" s="252"/>
      <c r="G1711" s="252"/>
      <c r="H1711" s="252"/>
      <c r="I1711" s="252"/>
      <c r="J1711" s="252"/>
      <c r="K1711" s="252"/>
      <c r="L1711"/>
      <c r="M1711"/>
    </row>
    <row r="1712" spans="1:13" s="79" customFormat="1" x14ac:dyDescent="0.35">
      <c r="A1712" s="251"/>
      <c r="B1712" s="22"/>
      <c r="C1712" s="252"/>
      <c r="D1712" s="252"/>
      <c r="E1712" s="252"/>
      <c r="F1712" s="252"/>
      <c r="G1712" s="252"/>
      <c r="H1712" s="252"/>
      <c r="I1712" s="252"/>
      <c r="J1712" s="252"/>
      <c r="K1712" s="252"/>
      <c r="L1712"/>
      <c r="M1712"/>
    </row>
    <row r="1713" spans="1:13" s="79" customFormat="1" x14ac:dyDescent="0.35">
      <c r="A1713" s="251"/>
      <c r="B1713" s="22"/>
      <c r="C1713" s="252"/>
      <c r="D1713" s="252"/>
      <c r="E1713" s="252"/>
      <c r="F1713" s="252"/>
      <c r="G1713" s="252"/>
      <c r="H1713" s="252"/>
      <c r="I1713" s="252"/>
      <c r="J1713" s="252"/>
      <c r="K1713" s="252"/>
      <c r="L1713"/>
      <c r="M1713"/>
    </row>
    <row r="1714" spans="1:13" s="79" customFormat="1" x14ac:dyDescent="0.35">
      <c r="A1714" s="251"/>
      <c r="B1714" s="22"/>
      <c r="C1714" s="252"/>
      <c r="D1714" s="252"/>
      <c r="E1714" s="252"/>
      <c r="F1714" s="252"/>
      <c r="G1714" s="252"/>
      <c r="H1714" s="252"/>
      <c r="I1714" s="252"/>
      <c r="J1714" s="252"/>
      <c r="K1714" s="252"/>
      <c r="L1714"/>
      <c r="M1714"/>
    </row>
    <row r="1715" spans="1:13" s="79" customFormat="1" x14ac:dyDescent="0.35">
      <c r="A1715" s="251"/>
      <c r="B1715" s="22"/>
      <c r="C1715" s="252"/>
      <c r="D1715" s="252"/>
      <c r="E1715" s="252"/>
      <c r="F1715" s="252"/>
      <c r="G1715" s="252"/>
      <c r="H1715" s="252"/>
      <c r="I1715" s="252"/>
      <c r="J1715" s="252"/>
      <c r="K1715" s="252"/>
      <c r="L1715"/>
      <c r="M1715"/>
    </row>
    <row r="1716" spans="1:13" s="79" customFormat="1" x14ac:dyDescent="0.35">
      <c r="A1716" s="251"/>
      <c r="B1716" s="22"/>
      <c r="C1716" s="252"/>
      <c r="D1716" s="252"/>
      <c r="E1716" s="252"/>
      <c r="F1716" s="252"/>
      <c r="G1716" s="252"/>
      <c r="H1716" s="252"/>
      <c r="I1716" s="252"/>
      <c r="J1716" s="252"/>
      <c r="K1716" s="252"/>
      <c r="L1716"/>
      <c r="M1716"/>
    </row>
    <row r="1717" spans="1:13" s="79" customFormat="1" x14ac:dyDescent="0.35">
      <c r="A1717" s="251"/>
      <c r="B1717" s="22"/>
      <c r="C1717" s="252"/>
      <c r="D1717" s="252"/>
      <c r="E1717" s="252"/>
      <c r="F1717" s="252"/>
      <c r="G1717" s="252"/>
      <c r="H1717" s="252"/>
      <c r="I1717" s="252"/>
      <c r="J1717" s="252"/>
      <c r="K1717" s="252"/>
      <c r="L1717"/>
      <c r="M1717"/>
    </row>
    <row r="1718" spans="1:13" s="79" customFormat="1" x14ac:dyDescent="0.35">
      <c r="A1718" s="251"/>
      <c r="B1718" s="22"/>
      <c r="C1718" s="252"/>
      <c r="D1718" s="252"/>
      <c r="E1718" s="252"/>
      <c r="F1718" s="252"/>
      <c r="G1718" s="252"/>
      <c r="H1718" s="252"/>
      <c r="I1718" s="252"/>
      <c r="J1718" s="252"/>
      <c r="K1718" s="252"/>
      <c r="L1718"/>
      <c r="M1718"/>
    </row>
    <row r="1719" spans="1:13" s="79" customFormat="1" x14ac:dyDescent="0.35">
      <c r="A1719" s="251"/>
      <c r="B1719" s="22"/>
      <c r="C1719" s="252"/>
      <c r="D1719" s="252"/>
      <c r="E1719" s="252"/>
      <c r="F1719" s="252"/>
      <c r="G1719" s="252"/>
      <c r="H1719" s="252"/>
      <c r="I1719" s="252"/>
      <c r="J1719" s="252"/>
      <c r="K1719" s="252"/>
      <c r="L1719"/>
      <c r="M1719"/>
    </row>
    <row r="1720" spans="1:13" s="79" customFormat="1" x14ac:dyDescent="0.35">
      <c r="A1720" s="251"/>
      <c r="B1720" s="22"/>
      <c r="C1720" s="252"/>
      <c r="D1720" s="252"/>
      <c r="E1720" s="252"/>
      <c r="F1720" s="252"/>
      <c r="G1720" s="252"/>
      <c r="H1720" s="252"/>
      <c r="I1720" s="252"/>
      <c r="J1720" s="252"/>
      <c r="K1720" s="252"/>
      <c r="L1720"/>
      <c r="M1720"/>
    </row>
    <row r="1721" spans="1:13" s="79" customFormat="1" x14ac:dyDescent="0.35">
      <c r="A1721" s="251"/>
      <c r="B1721" s="22"/>
      <c r="C1721" s="252"/>
      <c r="D1721" s="252"/>
      <c r="E1721" s="252"/>
      <c r="F1721" s="252"/>
      <c r="G1721" s="252"/>
      <c r="H1721" s="252"/>
      <c r="I1721" s="252"/>
      <c r="J1721" s="252"/>
      <c r="K1721" s="252"/>
      <c r="L1721"/>
      <c r="M1721"/>
    </row>
    <row r="1722" spans="1:13" s="79" customFormat="1" x14ac:dyDescent="0.35">
      <c r="A1722" s="251"/>
      <c r="B1722" s="22"/>
      <c r="C1722" s="252"/>
      <c r="D1722" s="252"/>
      <c r="E1722" s="252"/>
      <c r="F1722" s="252"/>
      <c r="G1722" s="252"/>
      <c r="H1722" s="252"/>
      <c r="I1722" s="252"/>
      <c r="J1722" s="252"/>
      <c r="K1722" s="252"/>
      <c r="L1722"/>
      <c r="M1722"/>
    </row>
    <row r="1723" spans="1:13" s="79" customFormat="1" x14ac:dyDescent="0.35">
      <c r="A1723" s="251"/>
      <c r="B1723" s="22"/>
      <c r="C1723" s="252"/>
      <c r="D1723" s="252"/>
      <c r="E1723" s="252"/>
      <c r="F1723" s="252"/>
      <c r="G1723" s="252"/>
      <c r="H1723" s="252"/>
      <c r="I1723" s="252"/>
      <c r="J1723" s="252"/>
      <c r="K1723" s="252"/>
      <c r="L1723"/>
      <c r="M1723"/>
    </row>
    <row r="1724" spans="1:13" s="79" customFormat="1" x14ac:dyDescent="0.35">
      <c r="A1724" s="251"/>
      <c r="B1724" s="22"/>
      <c r="C1724" s="252"/>
      <c r="D1724" s="252"/>
      <c r="E1724" s="252"/>
      <c r="F1724" s="252"/>
      <c r="G1724" s="252"/>
      <c r="H1724" s="252"/>
      <c r="I1724" s="252"/>
      <c r="J1724" s="252"/>
      <c r="K1724" s="252"/>
      <c r="L1724"/>
      <c r="M1724"/>
    </row>
    <row r="1725" spans="1:13" s="79" customFormat="1" x14ac:dyDescent="0.35">
      <c r="A1725" s="251"/>
      <c r="B1725" s="22"/>
      <c r="C1725" s="252"/>
      <c r="D1725" s="252"/>
      <c r="E1725" s="252"/>
      <c r="F1725" s="252"/>
      <c r="G1725" s="252"/>
      <c r="H1725" s="252"/>
      <c r="I1725" s="252"/>
      <c r="J1725" s="252"/>
      <c r="K1725" s="252"/>
      <c r="L1725"/>
      <c r="M1725"/>
    </row>
    <row r="1726" spans="1:13" s="79" customFormat="1" x14ac:dyDescent="0.35">
      <c r="A1726" s="251"/>
      <c r="B1726" s="22"/>
      <c r="C1726" s="252"/>
      <c r="D1726" s="252"/>
      <c r="E1726" s="252"/>
      <c r="F1726" s="252"/>
      <c r="G1726" s="252"/>
      <c r="H1726" s="252"/>
      <c r="I1726" s="252"/>
      <c r="J1726" s="252"/>
      <c r="K1726" s="252"/>
      <c r="L1726"/>
      <c r="M1726"/>
    </row>
    <row r="1727" spans="1:13" s="79" customFormat="1" x14ac:dyDescent="0.35">
      <c r="A1727" s="251"/>
      <c r="B1727" s="22"/>
      <c r="C1727" s="252"/>
      <c r="D1727" s="252"/>
      <c r="E1727" s="252"/>
      <c r="F1727" s="252"/>
      <c r="G1727" s="252"/>
      <c r="H1727" s="252"/>
      <c r="I1727" s="252"/>
      <c r="J1727" s="252"/>
      <c r="K1727" s="252"/>
      <c r="L1727"/>
      <c r="M1727"/>
    </row>
    <row r="1728" spans="1:13" s="79" customFormat="1" x14ac:dyDescent="0.35">
      <c r="A1728" s="251"/>
      <c r="B1728" s="22"/>
      <c r="C1728" s="252"/>
      <c r="D1728" s="252"/>
      <c r="E1728" s="252"/>
      <c r="F1728" s="252"/>
      <c r="G1728" s="252"/>
      <c r="H1728" s="252"/>
      <c r="I1728" s="252"/>
      <c r="J1728" s="252"/>
      <c r="K1728" s="252"/>
      <c r="L1728"/>
      <c r="M1728"/>
    </row>
    <row r="1729" spans="1:13" s="79" customFormat="1" x14ac:dyDescent="0.35">
      <c r="A1729" s="251"/>
      <c r="B1729" s="22"/>
      <c r="C1729" s="252"/>
      <c r="D1729" s="252"/>
      <c r="E1729" s="252"/>
      <c r="F1729" s="252"/>
      <c r="G1729" s="252"/>
      <c r="H1729" s="252"/>
      <c r="I1729" s="252"/>
      <c r="J1729" s="252"/>
      <c r="K1729" s="252"/>
      <c r="L1729"/>
      <c r="M1729"/>
    </row>
    <row r="1730" spans="1:13" s="79" customFormat="1" x14ac:dyDescent="0.35">
      <c r="A1730" s="251"/>
      <c r="B1730" s="22"/>
      <c r="C1730" s="252"/>
      <c r="D1730" s="252"/>
      <c r="E1730" s="252"/>
      <c r="F1730" s="252"/>
      <c r="G1730" s="252"/>
      <c r="H1730" s="252"/>
      <c r="I1730" s="252"/>
      <c r="J1730" s="252"/>
      <c r="K1730" s="252"/>
      <c r="L1730"/>
      <c r="M1730"/>
    </row>
    <row r="1731" spans="1:13" s="79" customFormat="1" x14ac:dyDescent="0.35">
      <c r="A1731" s="251"/>
      <c r="B1731" s="22"/>
      <c r="C1731" s="252"/>
      <c r="D1731" s="252"/>
      <c r="E1731" s="252"/>
      <c r="F1731" s="252"/>
      <c r="G1731" s="252"/>
      <c r="H1731" s="252"/>
      <c r="I1731" s="252"/>
      <c r="J1731" s="252"/>
      <c r="K1731" s="252"/>
      <c r="L1731"/>
      <c r="M1731"/>
    </row>
    <row r="1732" spans="1:13" s="79" customFormat="1" x14ac:dyDescent="0.35">
      <c r="A1732" s="251"/>
      <c r="B1732" s="22"/>
      <c r="C1732" s="252"/>
      <c r="D1732" s="252"/>
      <c r="E1732" s="252"/>
      <c r="F1732" s="252"/>
      <c r="G1732" s="252"/>
      <c r="H1732" s="252"/>
      <c r="I1732" s="252"/>
      <c r="J1732" s="252"/>
      <c r="K1732" s="252"/>
      <c r="L1732"/>
      <c r="M1732"/>
    </row>
    <row r="1733" spans="1:13" s="79" customFormat="1" x14ac:dyDescent="0.35">
      <c r="A1733" s="251"/>
      <c r="B1733" s="22"/>
      <c r="C1733" s="252"/>
      <c r="D1733" s="252"/>
      <c r="E1733" s="252"/>
      <c r="F1733" s="252"/>
      <c r="G1733" s="252"/>
      <c r="H1733" s="252"/>
      <c r="I1733" s="252"/>
      <c r="J1733" s="252"/>
      <c r="K1733" s="252"/>
      <c r="L1733"/>
      <c r="M1733"/>
    </row>
    <row r="1734" spans="1:13" s="79" customFormat="1" x14ac:dyDescent="0.35">
      <c r="A1734" s="251"/>
      <c r="B1734" s="22"/>
      <c r="C1734" s="252"/>
      <c r="D1734" s="252"/>
      <c r="E1734" s="252"/>
      <c r="F1734" s="252"/>
      <c r="G1734" s="252"/>
      <c r="H1734" s="252"/>
      <c r="I1734" s="252"/>
      <c r="J1734" s="252"/>
      <c r="K1734" s="252"/>
      <c r="L1734"/>
      <c r="M1734"/>
    </row>
    <row r="1735" spans="1:13" s="79" customFormat="1" x14ac:dyDescent="0.35">
      <c r="A1735" s="251"/>
      <c r="B1735" s="22"/>
      <c r="C1735" s="252"/>
      <c r="D1735" s="252"/>
      <c r="E1735" s="252"/>
      <c r="F1735" s="252"/>
      <c r="G1735" s="252"/>
      <c r="H1735" s="252"/>
      <c r="I1735" s="252"/>
      <c r="J1735" s="252"/>
      <c r="K1735" s="252"/>
      <c r="L1735"/>
      <c r="M1735"/>
    </row>
    <row r="1736" spans="1:13" s="79" customFormat="1" x14ac:dyDescent="0.35">
      <c r="A1736" s="251"/>
      <c r="B1736" s="22"/>
      <c r="C1736" s="252"/>
      <c r="D1736" s="252"/>
      <c r="E1736" s="252"/>
      <c r="F1736" s="252"/>
      <c r="G1736" s="252"/>
      <c r="H1736" s="252"/>
      <c r="I1736" s="252"/>
      <c r="J1736" s="252"/>
      <c r="K1736" s="252"/>
      <c r="L1736"/>
      <c r="M1736"/>
    </row>
    <row r="1737" spans="1:13" s="79" customFormat="1" x14ac:dyDescent="0.35">
      <c r="A1737" s="251"/>
      <c r="B1737" s="22"/>
      <c r="C1737" s="252"/>
      <c r="D1737" s="252"/>
      <c r="E1737" s="252"/>
      <c r="F1737" s="252"/>
      <c r="G1737" s="252"/>
      <c r="H1737" s="252"/>
      <c r="I1737" s="252"/>
      <c r="J1737" s="252"/>
      <c r="K1737" s="252"/>
      <c r="L1737"/>
      <c r="M1737"/>
    </row>
    <row r="1738" spans="1:13" s="79" customFormat="1" x14ac:dyDescent="0.35">
      <c r="A1738" s="251"/>
      <c r="B1738" s="22"/>
      <c r="C1738" s="252"/>
      <c r="D1738" s="252"/>
      <c r="E1738" s="252"/>
      <c r="F1738" s="252"/>
      <c r="G1738" s="252"/>
      <c r="H1738" s="252"/>
      <c r="I1738" s="252"/>
      <c r="J1738" s="252"/>
      <c r="K1738" s="252"/>
      <c r="L1738"/>
      <c r="M1738"/>
    </row>
    <row r="1739" spans="1:13" s="79" customFormat="1" x14ac:dyDescent="0.35">
      <c r="A1739" s="251"/>
      <c r="B1739" s="22"/>
      <c r="C1739" s="252"/>
      <c r="D1739" s="252"/>
      <c r="E1739" s="252"/>
      <c r="F1739" s="252"/>
      <c r="G1739" s="252"/>
      <c r="H1739" s="252"/>
      <c r="I1739" s="252"/>
      <c r="J1739" s="252"/>
      <c r="K1739" s="252"/>
      <c r="L1739"/>
      <c r="M1739"/>
    </row>
    <row r="1740" spans="1:13" s="79" customFormat="1" x14ac:dyDescent="0.35">
      <c r="A1740" s="251"/>
      <c r="B1740" s="22"/>
      <c r="C1740" s="252"/>
      <c r="D1740" s="252"/>
      <c r="E1740" s="252"/>
      <c r="F1740" s="252"/>
      <c r="G1740" s="252"/>
      <c r="H1740" s="252"/>
      <c r="I1740" s="252"/>
      <c r="J1740" s="252"/>
      <c r="K1740" s="252"/>
      <c r="L1740"/>
      <c r="M1740"/>
    </row>
    <row r="1741" spans="1:13" s="79" customFormat="1" x14ac:dyDescent="0.35">
      <c r="A1741" s="251"/>
      <c r="B1741" s="22"/>
      <c r="C1741" s="252"/>
      <c r="D1741" s="252"/>
      <c r="E1741" s="252"/>
      <c r="F1741" s="252"/>
      <c r="G1741" s="252"/>
      <c r="H1741" s="252"/>
      <c r="I1741" s="252"/>
      <c r="J1741" s="252"/>
      <c r="K1741" s="252"/>
      <c r="L1741"/>
      <c r="M1741"/>
    </row>
    <row r="1742" spans="1:13" s="79" customFormat="1" x14ac:dyDescent="0.35">
      <c r="A1742" s="251"/>
      <c r="B1742" s="22"/>
      <c r="C1742" s="252"/>
      <c r="D1742" s="252"/>
      <c r="E1742" s="252"/>
      <c r="F1742" s="252"/>
      <c r="G1742" s="252"/>
      <c r="H1742" s="252"/>
      <c r="I1742" s="252"/>
      <c r="J1742" s="252"/>
      <c r="K1742" s="252"/>
      <c r="L1742"/>
      <c r="M1742"/>
    </row>
    <row r="1743" spans="1:13" s="79" customFormat="1" x14ac:dyDescent="0.35">
      <c r="A1743" s="251"/>
      <c r="B1743" s="22"/>
      <c r="C1743" s="252"/>
      <c r="D1743" s="252"/>
      <c r="E1743" s="252"/>
      <c r="F1743" s="252"/>
      <c r="G1743" s="252"/>
      <c r="H1743" s="252"/>
      <c r="I1743" s="252"/>
      <c r="J1743" s="252"/>
      <c r="K1743" s="252"/>
      <c r="L1743"/>
      <c r="M1743"/>
    </row>
    <row r="1744" spans="1:13" s="79" customFormat="1" x14ac:dyDescent="0.35">
      <c r="A1744" s="251"/>
      <c r="B1744" s="22"/>
      <c r="C1744" s="252"/>
      <c r="D1744" s="252"/>
      <c r="E1744" s="252"/>
      <c r="F1744" s="252"/>
      <c r="G1744" s="252"/>
      <c r="H1744" s="252"/>
      <c r="I1744" s="252"/>
      <c r="J1744" s="252"/>
      <c r="K1744" s="252"/>
      <c r="L1744"/>
      <c r="M1744"/>
    </row>
    <row r="1745" spans="1:13" s="79" customFormat="1" x14ac:dyDescent="0.35">
      <c r="A1745" s="251"/>
      <c r="B1745" s="22"/>
      <c r="C1745" s="252"/>
      <c r="D1745" s="252"/>
      <c r="E1745" s="252"/>
      <c r="F1745" s="252"/>
      <c r="G1745" s="252"/>
      <c r="H1745" s="252"/>
      <c r="I1745" s="252"/>
      <c r="J1745" s="252"/>
      <c r="K1745" s="252"/>
      <c r="L1745"/>
      <c r="M1745"/>
    </row>
    <row r="1746" spans="1:13" s="79" customFormat="1" x14ac:dyDescent="0.35">
      <c r="A1746" s="251"/>
      <c r="B1746" s="22"/>
      <c r="C1746" s="252"/>
      <c r="D1746" s="252"/>
      <c r="E1746" s="252"/>
      <c r="F1746" s="252"/>
      <c r="G1746" s="252"/>
      <c r="H1746" s="252"/>
      <c r="I1746" s="252"/>
      <c r="J1746" s="252"/>
      <c r="K1746" s="252"/>
      <c r="L1746"/>
      <c r="M1746"/>
    </row>
    <row r="1747" spans="1:13" s="79" customFormat="1" x14ac:dyDescent="0.35">
      <c r="A1747" s="251"/>
      <c r="B1747" s="22"/>
      <c r="C1747" s="252"/>
      <c r="D1747" s="252"/>
      <c r="E1747" s="252"/>
      <c r="F1747" s="252"/>
      <c r="G1747" s="252"/>
      <c r="H1747" s="252"/>
      <c r="I1747" s="252"/>
      <c r="J1747" s="252"/>
      <c r="K1747" s="252"/>
      <c r="L1747"/>
      <c r="M1747"/>
    </row>
    <row r="1748" spans="1:13" s="79" customFormat="1" x14ac:dyDescent="0.35">
      <c r="A1748" s="251"/>
      <c r="B1748" s="22"/>
      <c r="C1748" s="252"/>
      <c r="D1748" s="252"/>
      <c r="E1748" s="252"/>
      <c r="F1748" s="252"/>
      <c r="G1748" s="252"/>
      <c r="H1748" s="252"/>
      <c r="I1748" s="252"/>
      <c r="J1748" s="252"/>
      <c r="K1748" s="252"/>
      <c r="L1748"/>
      <c r="M1748"/>
    </row>
    <row r="1749" spans="1:13" s="79" customFormat="1" x14ac:dyDescent="0.35">
      <c r="A1749" s="251"/>
      <c r="B1749" s="22"/>
      <c r="C1749" s="252"/>
      <c r="D1749" s="252"/>
      <c r="E1749" s="252"/>
      <c r="F1749" s="252"/>
      <c r="G1749" s="252"/>
      <c r="H1749" s="252"/>
      <c r="I1749" s="252"/>
      <c r="J1749" s="252"/>
      <c r="K1749" s="252"/>
      <c r="L1749"/>
      <c r="M1749"/>
    </row>
    <row r="1750" spans="1:13" s="79" customFormat="1" x14ac:dyDescent="0.35">
      <c r="A1750" s="251"/>
      <c r="B1750" s="22"/>
      <c r="C1750" s="252"/>
      <c r="D1750" s="252"/>
      <c r="E1750" s="252"/>
      <c r="F1750" s="252"/>
      <c r="G1750" s="252"/>
      <c r="H1750" s="252"/>
      <c r="I1750" s="252"/>
      <c r="J1750" s="252"/>
      <c r="K1750" s="252"/>
      <c r="L1750"/>
      <c r="M1750"/>
    </row>
    <row r="1751" spans="1:13" s="79" customFormat="1" x14ac:dyDescent="0.35">
      <c r="A1751" s="251"/>
      <c r="B1751" s="22"/>
      <c r="C1751" s="252"/>
      <c r="D1751" s="252"/>
      <c r="E1751" s="252"/>
      <c r="F1751" s="252"/>
      <c r="G1751" s="252"/>
      <c r="H1751" s="252"/>
      <c r="I1751" s="252"/>
      <c r="J1751" s="252"/>
      <c r="K1751" s="252"/>
      <c r="L1751"/>
      <c r="M1751"/>
    </row>
    <row r="1752" spans="1:13" s="79" customFormat="1" x14ac:dyDescent="0.35">
      <c r="A1752" s="251"/>
      <c r="B1752" s="22"/>
      <c r="C1752" s="252"/>
      <c r="D1752" s="252"/>
      <c r="E1752" s="252"/>
      <c r="F1752" s="252"/>
      <c r="G1752" s="252"/>
      <c r="H1752" s="252"/>
      <c r="I1752" s="252"/>
      <c r="J1752" s="252"/>
      <c r="K1752" s="252"/>
      <c r="L1752"/>
      <c r="M1752"/>
    </row>
    <row r="1753" spans="1:13" s="79" customFormat="1" x14ac:dyDescent="0.35">
      <c r="A1753" s="251"/>
      <c r="B1753" s="22"/>
      <c r="C1753" s="252"/>
      <c r="D1753" s="252"/>
      <c r="E1753" s="252"/>
      <c r="F1753" s="252"/>
      <c r="G1753" s="252"/>
      <c r="H1753" s="252"/>
      <c r="I1753" s="252"/>
      <c r="J1753" s="252"/>
      <c r="K1753" s="252"/>
      <c r="L1753"/>
      <c r="M1753"/>
    </row>
    <row r="1754" spans="1:13" s="79" customFormat="1" x14ac:dyDescent="0.35">
      <c r="A1754" s="251"/>
      <c r="B1754" s="22"/>
      <c r="C1754" s="252"/>
      <c r="D1754" s="252"/>
      <c r="E1754" s="252"/>
      <c r="F1754" s="252"/>
      <c r="G1754" s="252"/>
      <c r="H1754" s="252"/>
      <c r="I1754" s="252"/>
      <c r="J1754" s="252"/>
      <c r="K1754" s="252"/>
      <c r="L1754"/>
      <c r="M1754"/>
    </row>
    <row r="1755" spans="1:13" s="79" customFormat="1" x14ac:dyDescent="0.35">
      <c r="A1755" s="251"/>
      <c r="B1755" s="22"/>
      <c r="C1755" s="252"/>
      <c r="D1755" s="252"/>
      <c r="E1755" s="252"/>
      <c r="F1755" s="252"/>
      <c r="G1755" s="252"/>
      <c r="H1755" s="252"/>
      <c r="I1755" s="252"/>
      <c r="J1755" s="252"/>
      <c r="K1755" s="252"/>
      <c r="L1755"/>
      <c r="M1755"/>
    </row>
    <row r="1756" spans="1:13" s="79" customFormat="1" x14ac:dyDescent="0.35">
      <c r="A1756" s="251"/>
      <c r="B1756" s="22"/>
      <c r="C1756" s="252"/>
      <c r="D1756" s="252"/>
      <c r="E1756" s="252"/>
      <c r="F1756" s="252"/>
      <c r="G1756" s="252"/>
      <c r="H1756" s="252"/>
      <c r="I1756" s="252"/>
      <c r="J1756" s="252"/>
      <c r="K1756" s="252"/>
      <c r="L1756"/>
      <c r="M1756"/>
    </row>
    <row r="1757" spans="1:13" s="79" customFormat="1" x14ac:dyDescent="0.35">
      <c r="A1757" s="251"/>
      <c r="B1757" s="22"/>
      <c r="C1757" s="252"/>
      <c r="D1757" s="252"/>
      <c r="E1757" s="252"/>
      <c r="F1757" s="252"/>
      <c r="G1757" s="252"/>
      <c r="H1757" s="252"/>
      <c r="I1757" s="252"/>
      <c r="J1757" s="252"/>
      <c r="K1757" s="252"/>
      <c r="L1757"/>
      <c r="M1757"/>
    </row>
    <row r="1758" spans="1:13" s="79" customFormat="1" x14ac:dyDescent="0.35">
      <c r="A1758" s="251"/>
      <c r="B1758" s="22"/>
      <c r="C1758" s="252"/>
      <c r="D1758" s="252"/>
      <c r="E1758" s="252"/>
      <c r="F1758" s="252"/>
      <c r="G1758" s="252"/>
      <c r="H1758" s="252"/>
      <c r="I1758" s="252"/>
      <c r="J1758" s="252"/>
      <c r="K1758" s="252"/>
      <c r="L1758"/>
      <c r="M1758"/>
    </row>
    <row r="1759" spans="1:13" s="79" customFormat="1" x14ac:dyDescent="0.35">
      <c r="A1759" s="251"/>
      <c r="B1759" s="22"/>
      <c r="C1759" s="252"/>
      <c r="D1759" s="252"/>
      <c r="E1759" s="252"/>
      <c r="F1759" s="252"/>
      <c r="G1759" s="252"/>
      <c r="H1759" s="252"/>
      <c r="I1759" s="252"/>
      <c r="J1759" s="252"/>
      <c r="K1759" s="252"/>
      <c r="L1759"/>
      <c r="M1759"/>
    </row>
    <row r="1760" spans="1:13" s="79" customFormat="1" x14ac:dyDescent="0.35">
      <c r="A1760" s="251"/>
      <c r="B1760" s="22"/>
      <c r="C1760" s="252"/>
      <c r="D1760" s="252"/>
      <c r="E1760" s="252"/>
      <c r="F1760" s="252"/>
      <c r="G1760" s="252"/>
      <c r="H1760" s="252"/>
      <c r="I1760" s="252"/>
      <c r="J1760" s="252"/>
      <c r="K1760" s="252"/>
      <c r="L1760"/>
      <c r="M1760"/>
    </row>
    <row r="1761" spans="1:13" s="79" customFormat="1" x14ac:dyDescent="0.35">
      <c r="A1761" s="251"/>
      <c r="B1761" s="22"/>
      <c r="C1761" s="252"/>
      <c r="D1761" s="252"/>
      <c r="E1761" s="252"/>
      <c r="F1761" s="252"/>
      <c r="G1761" s="252"/>
      <c r="H1761" s="252"/>
      <c r="I1761" s="252"/>
      <c r="J1761" s="252"/>
      <c r="K1761" s="252"/>
      <c r="L1761"/>
      <c r="M1761"/>
    </row>
    <row r="1762" spans="1:13" s="79" customFormat="1" x14ac:dyDescent="0.35">
      <c r="A1762" s="251"/>
      <c r="B1762" s="22"/>
      <c r="C1762" s="252"/>
      <c r="D1762" s="252"/>
      <c r="E1762" s="252"/>
      <c r="F1762" s="252"/>
      <c r="G1762" s="252"/>
      <c r="H1762" s="252"/>
      <c r="I1762" s="252"/>
      <c r="J1762" s="252"/>
      <c r="K1762" s="252"/>
      <c r="L1762"/>
      <c r="M1762"/>
    </row>
    <row r="1763" spans="1:13" s="79" customFormat="1" x14ac:dyDescent="0.35">
      <c r="A1763" s="251"/>
      <c r="B1763" s="22"/>
      <c r="C1763" s="252"/>
      <c r="D1763" s="252"/>
      <c r="E1763" s="252"/>
      <c r="F1763" s="252"/>
      <c r="G1763" s="252"/>
      <c r="H1763" s="252"/>
      <c r="I1763" s="252"/>
      <c r="J1763" s="252"/>
      <c r="K1763" s="252"/>
      <c r="L1763"/>
      <c r="M1763"/>
    </row>
    <row r="1764" spans="1:13" s="79" customFormat="1" x14ac:dyDescent="0.35">
      <c r="A1764" s="251"/>
      <c r="B1764" s="22"/>
      <c r="C1764" s="252"/>
      <c r="D1764" s="252"/>
      <c r="E1764" s="252"/>
      <c r="F1764" s="252"/>
      <c r="G1764" s="252"/>
      <c r="H1764" s="252"/>
      <c r="I1764" s="252"/>
      <c r="J1764" s="252"/>
      <c r="K1764" s="252"/>
      <c r="L1764"/>
      <c r="M1764"/>
    </row>
    <row r="1765" spans="1:13" s="79" customFormat="1" x14ac:dyDescent="0.35">
      <c r="A1765" s="251"/>
      <c r="B1765" s="22"/>
      <c r="C1765" s="252"/>
      <c r="D1765" s="252"/>
      <c r="E1765" s="252"/>
      <c r="F1765" s="252"/>
      <c r="G1765" s="252"/>
      <c r="H1765" s="252"/>
      <c r="I1765" s="252"/>
      <c r="J1765" s="252"/>
      <c r="K1765" s="252"/>
      <c r="L1765"/>
      <c r="M1765"/>
    </row>
    <row r="1766" spans="1:13" s="79" customFormat="1" x14ac:dyDescent="0.35">
      <c r="A1766" s="251"/>
      <c r="B1766" s="22"/>
      <c r="C1766" s="252"/>
      <c r="D1766" s="252"/>
      <c r="E1766" s="252"/>
      <c r="F1766" s="252"/>
      <c r="G1766" s="252"/>
      <c r="H1766" s="252"/>
      <c r="I1766" s="252"/>
      <c r="J1766" s="252"/>
      <c r="K1766" s="252"/>
      <c r="L1766"/>
      <c r="M1766"/>
    </row>
    <row r="1767" spans="1:13" s="79" customFormat="1" x14ac:dyDescent="0.35">
      <c r="A1767" s="251"/>
      <c r="B1767" s="22"/>
      <c r="C1767" s="252"/>
      <c r="D1767" s="252"/>
      <c r="E1767" s="252"/>
      <c r="F1767" s="252"/>
      <c r="G1767" s="252"/>
      <c r="H1767" s="252"/>
      <c r="I1767" s="252"/>
      <c r="J1767" s="252"/>
      <c r="K1767" s="252"/>
      <c r="L1767"/>
      <c r="M1767"/>
    </row>
    <row r="1768" spans="1:13" s="79" customFormat="1" x14ac:dyDescent="0.35">
      <c r="A1768" s="251"/>
      <c r="B1768" s="22"/>
      <c r="C1768" s="252"/>
      <c r="D1768" s="252"/>
      <c r="E1768" s="252"/>
      <c r="F1768" s="252"/>
      <c r="G1768" s="252"/>
      <c r="H1768" s="252"/>
      <c r="I1768" s="252"/>
      <c r="J1768" s="252"/>
      <c r="K1768" s="252"/>
      <c r="L1768"/>
      <c r="M1768"/>
    </row>
    <row r="1769" spans="1:13" s="79" customFormat="1" x14ac:dyDescent="0.35">
      <c r="A1769" s="251"/>
      <c r="B1769" s="22"/>
      <c r="C1769" s="252"/>
      <c r="D1769" s="252"/>
      <c r="E1769" s="252"/>
      <c r="F1769" s="252"/>
      <c r="G1769" s="252"/>
      <c r="H1769" s="252"/>
      <c r="I1769" s="252"/>
      <c r="J1769" s="252"/>
      <c r="K1769" s="252"/>
      <c r="L1769"/>
      <c r="M1769"/>
    </row>
    <row r="1770" spans="1:13" s="79" customFormat="1" x14ac:dyDescent="0.35">
      <c r="A1770" s="251"/>
      <c r="B1770" s="22"/>
      <c r="C1770" s="252"/>
      <c r="D1770" s="252"/>
      <c r="E1770" s="252"/>
      <c r="F1770" s="252"/>
      <c r="G1770" s="252"/>
      <c r="H1770" s="252"/>
      <c r="I1770" s="252"/>
      <c r="J1770" s="252"/>
      <c r="K1770" s="252"/>
      <c r="L1770"/>
      <c r="M1770"/>
    </row>
    <row r="1771" spans="1:13" s="79" customFormat="1" x14ac:dyDescent="0.35">
      <c r="A1771" s="251"/>
      <c r="B1771" s="22"/>
      <c r="C1771" s="252"/>
      <c r="D1771" s="252"/>
      <c r="E1771" s="252"/>
      <c r="F1771" s="252"/>
      <c r="G1771" s="252"/>
      <c r="H1771" s="252"/>
      <c r="I1771" s="252"/>
      <c r="J1771" s="252"/>
      <c r="K1771" s="252"/>
      <c r="L1771"/>
      <c r="M1771"/>
    </row>
    <row r="1772" spans="1:13" s="79" customFormat="1" x14ac:dyDescent="0.35">
      <c r="A1772" s="251"/>
      <c r="B1772" s="22"/>
      <c r="C1772" s="252"/>
      <c r="D1772" s="252"/>
      <c r="E1772" s="252"/>
      <c r="F1772" s="252"/>
      <c r="G1772" s="252"/>
      <c r="H1772" s="252"/>
      <c r="I1772" s="252"/>
      <c r="J1772" s="252"/>
      <c r="K1772" s="252"/>
      <c r="L1772"/>
      <c r="M1772"/>
    </row>
    <row r="1773" spans="1:13" s="79" customFormat="1" x14ac:dyDescent="0.35">
      <c r="A1773" s="251"/>
      <c r="B1773" s="22"/>
      <c r="C1773" s="252"/>
      <c r="D1773" s="252"/>
      <c r="E1773" s="252"/>
      <c r="F1773" s="252"/>
      <c r="G1773" s="252"/>
      <c r="H1773" s="252"/>
      <c r="I1773" s="252"/>
      <c r="J1773" s="252"/>
      <c r="K1773" s="252"/>
      <c r="L1773"/>
      <c r="M1773"/>
    </row>
    <row r="1774" spans="1:13" s="79" customFormat="1" x14ac:dyDescent="0.35">
      <c r="A1774" s="251"/>
      <c r="B1774" s="22"/>
      <c r="C1774" s="252"/>
      <c r="D1774" s="252"/>
      <c r="E1774" s="252"/>
      <c r="F1774" s="252"/>
      <c r="G1774" s="252"/>
      <c r="H1774" s="252"/>
      <c r="I1774" s="252"/>
      <c r="J1774" s="252"/>
      <c r="K1774" s="252"/>
      <c r="L1774"/>
      <c r="M1774"/>
    </row>
    <row r="1775" spans="1:13" s="79" customFormat="1" x14ac:dyDescent="0.35">
      <c r="A1775" s="251"/>
      <c r="B1775" s="22"/>
      <c r="C1775" s="252"/>
      <c r="D1775" s="252"/>
      <c r="E1775" s="252"/>
      <c r="F1775" s="252"/>
      <c r="G1775" s="252"/>
      <c r="H1775" s="252"/>
      <c r="I1775" s="252"/>
      <c r="J1775" s="252"/>
      <c r="K1775" s="252"/>
      <c r="L1775"/>
      <c r="M1775"/>
    </row>
    <row r="1776" spans="1:13" s="79" customFormat="1" x14ac:dyDescent="0.35">
      <c r="A1776" s="251"/>
      <c r="B1776" s="22"/>
      <c r="C1776" s="252"/>
      <c r="D1776" s="252"/>
      <c r="E1776" s="252"/>
      <c r="F1776" s="252"/>
      <c r="G1776" s="252"/>
      <c r="H1776" s="252"/>
      <c r="I1776" s="252"/>
      <c r="J1776" s="252"/>
      <c r="K1776" s="252"/>
      <c r="L1776"/>
      <c r="M1776"/>
    </row>
    <row r="1777" spans="1:13" s="79" customFormat="1" x14ac:dyDescent="0.35">
      <c r="A1777" s="251"/>
      <c r="B1777" s="22"/>
      <c r="C1777" s="252"/>
      <c r="D1777" s="252"/>
      <c r="E1777" s="252"/>
      <c r="F1777" s="252"/>
      <c r="G1777" s="252"/>
      <c r="H1777" s="252"/>
      <c r="I1777" s="252"/>
      <c r="J1777" s="252"/>
      <c r="K1777" s="252"/>
      <c r="L1777"/>
      <c r="M1777"/>
    </row>
    <row r="1778" spans="1:13" s="79" customFormat="1" x14ac:dyDescent="0.35">
      <c r="A1778" s="251"/>
      <c r="B1778" s="22"/>
      <c r="C1778" s="252"/>
      <c r="D1778" s="252"/>
      <c r="E1778" s="252"/>
      <c r="F1778" s="252"/>
      <c r="G1778" s="252"/>
      <c r="H1778" s="252"/>
      <c r="I1778" s="252"/>
      <c r="J1778" s="252"/>
      <c r="K1778" s="252"/>
      <c r="L1778"/>
      <c r="M1778"/>
    </row>
    <row r="1779" spans="1:13" s="79" customFormat="1" x14ac:dyDescent="0.35">
      <c r="A1779" s="251"/>
      <c r="B1779" s="22"/>
      <c r="C1779" s="252"/>
      <c r="D1779" s="252"/>
      <c r="E1779" s="252"/>
      <c r="F1779" s="252"/>
      <c r="G1779" s="252"/>
      <c r="H1779" s="252"/>
      <c r="I1779" s="252"/>
      <c r="J1779" s="252"/>
      <c r="K1779" s="252"/>
      <c r="L1779"/>
      <c r="M1779"/>
    </row>
    <row r="1780" spans="1:13" s="79" customFormat="1" x14ac:dyDescent="0.35">
      <c r="A1780" s="251"/>
      <c r="B1780" s="22"/>
      <c r="C1780" s="252"/>
      <c r="D1780" s="252"/>
      <c r="E1780" s="252"/>
      <c r="F1780" s="252"/>
      <c r="G1780" s="252"/>
      <c r="H1780" s="252"/>
      <c r="I1780" s="252"/>
      <c r="J1780" s="252"/>
      <c r="K1780" s="252"/>
      <c r="L1780"/>
      <c r="M1780"/>
    </row>
    <row r="1781" spans="1:13" s="79" customFormat="1" x14ac:dyDescent="0.35">
      <c r="A1781" s="251"/>
      <c r="B1781" s="22"/>
      <c r="C1781" s="252"/>
      <c r="D1781" s="252"/>
      <c r="E1781" s="252"/>
      <c r="F1781" s="252"/>
      <c r="G1781" s="252"/>
      <c r="H1781" s="252"/>
      <c r="I1781" s="252"/>
      <c r="J1781" s="252"/>
      <c r="K1781" s="252"/>
      <c r="L1781"/>
      <c r="M1781"/>
    </row>
    <row r="1782" spans="1:13" s="79" customFormat="1" x14ac:dyDescent="0.35">
      <c r="A1782" s="251"/>
      <c r="B1782" s="22"/>
      <c r="C1782" s="252"/>
      <c r="D1782" s="252"/>
      <c r="E1782" s="252"/>
      <c r="F1782" s="252"/>
      <c r="G1782" s="252"/>
      <c r="H1782" s="252"/>
      <c r="I1782" s="252"/>
      <c r="J1782" s="252"/>
      <c r="K1782" s="252"/>
      <c r="L1782"/>
      <c r="M1782"/>
    </row>
    <row r="1783" spans="1:13" s="79" customFormat="1" x14ac:dyDescent="0.35">
      <c r="A1783" s="251"/>
      <c r="B1783" s="22"/>
      <c r="C1783" s="252"/>
      <c r="D1783" s="252"/>
      <c r="E1783" s="252"/>
      <c r="F1783" s="252"/>
      <c r="G1783" s="252"/>
      <c r="H1783" s="252"/>
      <c r="I1783" s="252"/>
      <c r="J1783" s="252"/>
      <c r="K1783" s="252"/>
      <c r="L1783"/>
      <c r="M1783"/>
    </row>
    <row r="1784" spans="1:13" s="79" customFormat="1" x14ac:dyDescent="0.35">
      <c r="A1784" s="251"/>
      <c r="B1784" s="22"/>
      <c r="C1784" s="252"/>
      <c r="D1784" s="252"/>
      <c r="E1784" s="252"/>
      <c r="F1784" s="252"/>
      <c r="G1784" s="252"/>
      <c r="H1784" s="252"/>
      <c r="I1784" s="252"/>
      <c r="J1784" s="252"/>
      <c r="K1784" s="252"/>
      <c r="L1784"/>
      <c r="M1784"/>
    </row>
    <row r="1785" spans="1:13" s="79" customFormat="1" x14ac:dyDescent="0.35">
      <c r="A1785" s="251"/>
      <c r="B1785" s="22"/>
      <c r="C1785" s="252"/>
      <c r="D1785" s="252"/>
      <c r="E1785" s="252"/>
      <c r="F1785" s="252"/>
      <c r="G1785" s="252"/>
      <c r="H1785" s="252"/>
      <c r="I1785" s="252"/>
      <c r="J1785" s="252"/>
      <c r="K1785" s="252"/>
      <c r="L1785"/>
      <c r="M1785"/>
    </row>
    <row r="1786" spans="1:13" s="79" customFormat="1" x14ac:dyDescent="0.35">
      <c r="A1786" s="251"/>
      <c r="B1786" s="22"/>
      <c r="C1786" s="252"/>
      <c r="D1786" s="252"/>
      <c r="E1786" s="252"/>
      <c r="F1786" s="252"/>
      <c r="G1786" s="252"/>
      <c r="H1786" s="252"/>
      <c r="I1786" s="252"/>
      <c r="J1786" s="252"/>
      <c r="K1786" s="252"/>
      <c r="L1786"/>
      <c r="M1786"/>
    </row>
    <row r="1787" spans="1:13" s="79" customFormat="1" x14ac:dyDescent="0.35">
      <c r="A1787" s="251"/>
      <c r="B1787" s="22"/>
      <c r="C1787" s="252"/>
      <c r="D1787" s="252"/>
      <c r="E1787" s="252"/>
      <c r="F1787" s="252"/>
      <c r="G1787" s="252"/>
      <c r="H1787" s="252"/>
      <c r="I1787" s="252"/>
      <c r="J1787" s="252"/>
      <c r="K1787" s="252"/>
      <c r="L1787"/>
      <c r="M1787"/>
    </row>
    <row r="1788" spans="1:13" s="79" customFormat="1" x14ac:dyDescent="0.35">
      <c r="A1788" s="251"/>
      <c r="B1788" s="22"/>
      <c r="C1788" s="252"/>
      <c r="D1788" s="252"/>
      <c r="E1788" s="252"/>
      <c r="F1788" s="252"/>
      <c r="G1788" s="252"/>
      <c r="H1788" s="252"/>
      <c r="I1788" s="252"/>
      <c r="J1788" s="252"/>
      <c r="K1788" s="252"/>
      <c r="L1788"/>
      <c r="M1788"/>
    </row>
    <row r="1789" spans="1:13" s="79" customFormat="1" x14ac:dyDescent="0.35">
      <c r="A1789" s="251"/>
      <c r="B1789" s="22"/>
      <c r="C1789" s="252"/>
      <c r="D1789" s="252"/>
      <c r="E1789" s="252"/>
      <c r="F1789" s="252"/>
      <c r="G1789" s="252"/>
      <c r="H1789" s="252"/>
      <c r="I1789" s="252"/>
      <c r="J1789" s="252"/>
      <c r="K1789" s="252"/>
      <c r="L1789"/>
      <c r="M1789"/>
    </row>
    <row r="1790" spans="1:13" s="79" customFormat="1" x14ac:dyDescent="0.35">
      <c r="A1790" s="251"/>
      <c r="B1790" s="22"/>
      <c r="C1790" s="252"/>
      <c r="D1790" s="252"/>
      <c r="E1790" s="252"/>
      <c r="F1790" s="252"/>
      <c r="G1790" s="252"/>
      <c r="H1790" s="252"/>
      <c r="I1790" s="252"/>
      <c r="J1790" s="252"/>
      <c r="K1790" s="252"/>
      <c r="L1790"/>
      <c r="M1790"/>
    </row>
    <row r="1791" spans="1:13" s="79" customFormat="1" x14ac:dyDescent="0.35">
      <c r="A1791" s="251"/>
      <c r="B1791" s="22"/>
      <c r="C1791" s="252"/>
      <c r="D1791" s="252"/>
      <c r="E1791" s="252"/>
      <c r="F1791" s="252"/>
      <c r="G1791" s="252"/>
      <c r="H1791" s="252"/>
      <c r="I1791" s="252"/>
      <c r="J1791" s="252"/>
      <c r="K1791" s="252"/>
      <c r="L1791"/>
      <c r="M1791"/>
    </row>
    <row r="1792" spans="1:13" s="79" customFormat="1" x14ac:dyDescent="0.35">
      <c r="A1792" s="251"/>
      <c r="B1792" s="22"/>
      <c r="C1792" s="252"/>
      <c r="D1792" s="252"/>
      <c r="E1792" s="252"/>
      <c r="F1792" s="252"/>
      <c r="G1792" s="252"/>
      <c r="H1792" s="252"/>
      <c r="I1792" s="252"/>
      <c r="J1792" s="252"/>
      <c r="K1792" s="252"/>
      <c r="L1792"/>
      <c r="M1792"/>
    </row>
    <row r="1793" spans="1:13" s="79" customFormat="1" x14ac:dyDescent="0.35">
      <c r="A1793" s="251"/>
      <c r="B1793" s="22"/>
      <c r="C1793" s="252"/>
      <c r="D1793" s="252"/>
      <c r="E1793" s="252"/>
      <c r="F1793" s="252"/>
      <c r="G1793" s="252"/>
      <c r="H1793" s="252"/>
      <c r="I1793" s="252"/>
      <c r="J1793" s="252"/>
      <c r="K1793" s="252"/>
      <c r="L1793"/>
      <c r="M1793"/>
    </row>
    <row r="1794" spans="1:13" s="79" customFormat="1" x14ac:dyDescent="0.35">
      <c r="A1794" s="251"/>
      <c r="B1794" s="22"/>
      <c r="C1794" s="252"/>
      <c r="D1794" s="252"/>
      <c r="E1794" s="252"/>
      <c r="F1794" s="252"/>
      <c r="G1794" s="252"/>
      <c r="H1794" s="252"/>
      <c r="I1794" s="252"/>
      <c r="J1794" s="252"/>
      <c r="K1794" s="252"/>
      <c r="L1794"/>
      <c r="M1794"/>
    </row>
    <row r="1795" spans="1:13" s="79" customFormat="1" x14ac:dyDescent="0.35">
      <c r="A1795" s="251"/>
      <c r="B1795" s="22"/>
      <c r="C1795" s="252"/>
      <c r="D1795" s="252"/>
      <c r="E1795" s="252"/>
      <c r="F1795" s="252"/>
      <c r="G1795" s="252"/>
      <c r="H1795" s="252"/>
      <c r="I1795" s="252"/>
      <c r="J1795" s="252"/>
      <c r="K1795" s="252"/>
      <c r="L1795"/>
      <c r="M1795"/>
    </row>
    <row r="1796" spans="1:13" s="79" customFormat="1" x14ac:dyDescent="0.35">
      <c r="A1796" s="251"/>
      <c r="B1796" s="22"/>
      <c r="C1796" s="252"/>
      <c r="D1796" s="252"/>
      <c r="E1796" s="252"/>
      <c r="F1796" s="252"/>
      <c r="G1796" s="252"/>
      <c r="H1796" s="252"/>
      <c r="I1796" s="252"/>
      <c r="J1796" s="252"/>
      <c r="K1796" s="252"/>
      <c r="L1796"/>
      <c r="M1796"/>
    </row>
    <row r="1797" spans="1:13" s="79" customFormat="1" x14ac:dyDescent="0.35">
      <c r="A1797" s="251"/>
      <c r="B1797" s="22"/>
      <c r="C1797" s="252"/>
      <c r="D1797" s="252"/>
      <c r="E1797" s="252"/>
      <c r="F1797" s="252"/>
      <c r="G1797" s="252"/>
      <c r="H1797" s="252"/>
      <c r="I1797" s="252"/>
      <c r="J1797" s="252"/>
      <c r="K1797" s="252"/>
      <c r="L1797"/>
      <c r="M1797"/>
    </row>
    <row r="1798" spans="1:13" s="79" customFormat="1" x14ac:dyDescent="0.35">
      <c r="A1798" s="251"/>
      <c r="B1798" s="22"/>
      <c r="C1798" s="252"/>
      <c r="D1798" s="252"/>
      <c r="E1798" s="252"/>
      <c r="F1798" s="252"/>
      <c r="G1798" s="252"/>
      <c r="H1798" s="252"/>
      <c r="I1798" s="252"/>
      <c r="J1798" s="252"/>
      <c r="K1798" s="252"/>
      <c r="L1798"/>
      <c r="M1798"/>
    </row>
    <row r="1799" spans="1:13" s="79" customFormat="1" x14ac:dyDescent="0.35">
      <c r="A1799" s="251"/>
      <c r="B1799" s="22"/>
      <c r="C1799" s="252"/>
      <c r="D1799" s="252"/>
      <c r="E1799" s="252"/>
      <c r="F1799" s="252"/>
      <c r="G1799" s="252"/>
      <c r="H1799" s="252"/>
      <c r="I1799" s="252"/>
      <c r="J1799" s="252"/>
      <c r="K1799" s="252"/>
      <c r="L1799"/>
      <c r="M1799"/>
    </row>
    <row r="1800" spans="1:13" s="79" customFormat="1" x14ac:dyDescent="0.35">
      <c r="A1800" s="251"/>
      <c r="B1800" s="22"/>
      <c r="C1800" s="252"/>
      <c r="D1800" s="252"/>
      <c r="E1800" s="252"/>
      <c r="F1800" s="252"/>
      <c r="G1800" s="252"/>
      <c r="H1800" s="252"/>
      <c r="I1800" s="252"/>
      <c r="J1800" s="252"/>
      <c r="K1800" s="252"/>
      <c r="L1800"/>
      <c r="M1800"/>
    </row>
    <row r="1801" spans="1:13" s="79" customFormat="1" x14ac:dyDescent="0.35">
      <c r="A1801" s="251"/>
      <c r="B1801" s="22"/>
      <c r="C1801" s="252"/>
      <c r="D1801" s="252"/>
      <c r="E1801" s="252"/>
      <c r="F1801" s="252"/>
      <c r="G1801" s="252"/>
      <c r="H1801" s="252"/>
      <c r="I1801" s="252"/>
      <c r="J1801" s="252"/>
      <c r="K1801" s="252"/>
      <c r="L1801"/>
      <c r="M1801"/>
    </row>
    <row r="1802" spans="1:13" s="79" customFormat="1" x14ac:dyDescent="0.35">
      <c r="A1802" s="251"/>
      <c r="B1802" s="22"/>
      <c r="C1802" s="252"/>
      <c r="D1802" s="252"/>
      <c r="E1802" s="252"/>
      <c r="F1802" s="252"/>
      <c r="G1802" s="252"/>
      <c r="H1802" s="252"/>
      <c r="I1802" s="252"/>
      <c r="J1802" s="252"/>
      <c r="K1802" s="252"/>
      <c r="L1802"/>
      <c r="M1802"/>
    </row>
    <row r="1803" spans="1:13" s="79" customFormat="1" x14ac:dyDescent="0.35">
      <c r="A1803" s="251"/>
      <c r="B1803" s="22"/>
      <c r="C1803" s="252"/>
      <c r="D1803" s="252"/>
      <c r="E1803" s="252"/>
      <c r="F1803" s="252"/>
      <c r="G1803" s="252"/>
      <c r="H1803" s="252"/>
      <c r="I1803" s="252"/>
      <c r="J1803" s="252"/>
      <c r="K1803" s="252"/>
      <c r="L1803"/>
      <c r="M1803"/>
    </row>
    <row r="1804" spans="1:13" s="79" customFormat="1" x14ac:dyDescent="0.35">
      <c r="A1804" s="251"/>
      <c r="B1804" s="22"/>
      <c r="C1804" s="252"/>
      <c r="D1804" s="252"/>
      <c r="E1804" s="252"/>
      <c r="F1804" s="252"/>
      <c r="G1804" s="252"/>
      <c r="H1804" s="252"/>
      <c r="I1804" s="252"/>
      <c r="J1804" s="252"/>
      <c r="K1804" s="252"/>
      <c r="L1804"/>
      <c r="M1804"/>
    </row>
    <row r="1805" spans="1:13" s="79" customFormat="1" x14ac:dyDescent="0.35">
      <c r="A1805" s="251"/>
      <c r="B1805" s="22"/>
      <c r="C1805" s="252"/>
      <c r="D1805" s="252"/>
      <c r="E1805" s="252"/>
      <c r="F1805" s="252"/>
      <c r="G1805" s="252"/>
      <c r="H1805" s="252"/>
      <c r="I1805" s="252"/>
      <c r="J1805" s="252"/>
      <c r="K1805" s="252"/>
      <c r="L1805"/>
      <c r="M1805"/>
    </row>
    <row r="1806" spans="1:13" s="79" customFormat="1" x14ac:dyDescent="0.35">
      <c r="A1806" s="251"/>
      <c r="B1806" s="22"/>
      <c r="C1806" s="252"/>
      <c r="D1806" s="252"/>
      <c r="E1806" s="252"/>
      <c r="F1806" s="252"/>
      <c r="G1806" s="252"/>
      <c r="H1806" s="252"/>
      <c r="I1806" s="252"/>
      <c r="J1806" s="252"/>
      <c r="K1806" s="252"/>
      <c r="L1806"/>
      <c r="M1806"/>
    </row>
    <row r="1807" spans="1:13" s="79" customFormat="1" x14ac:dyDescent="0.35">
      <c r="A1807" s="251"/>
      <c r="B1807" s="22"/>
      <c r="C1807" s="252"/>
      <c r="D1807" s="252"/>
      <c r="E1807" s="252"/>
      <c r="F1807" s="252"/>
      <c r="G1807" s="252"/>
      <c r="H1807" s="252"/>
      <c r="I1807" s="252"/>
      <c r="J1807" s="252"/>
      <c r="K1807" s="252"/>
      <c r="L1807"/>
      <c r="M1807"/>
    </row>
    <row r="1808" spans="1:13" s="79" customFormat="1" x14ac:dyDescent="0.35">
      <c r="A1808" s="251"/>
      <c r="B1808" s="22"/>
      <c r="C1808" s="252"/>
      <c r="D1808" s="252"/>
      <c r="E1808" s="252"/>
      <c r="F1808" s="252"/>
      <c r="G1808" s="252"/>
      <c r="H1808" s="252"/>
      <c r="I1808" s="252"/>
      <c r="J1808" s="252"/>
      <c r="K1808" s="252"/>
      <c r="L1808"/>
      <c r="M1808"/>
    </row>
    <row r="1809" spans="1:13" s="79" customFormat="1" x14ac:dyDescent="0.35">
      <c r="A1809" s="251"/>
      <c r="B1809" s="22"/>
      <c r="C1809" s="252"/>
      <c r="D1809" s="252"/>
      <c r="E1809" s="252"/>
      <c r="F1809" s="252"/>
      <c r="G1809" s="252"/>
      <c r="H1809" s="252"/>
      <c r="I1809" s="252"/>
      <c r="J1809" s="252"/>
      <c r="K1809" s="252"/>
      <c r="L1809"/>
      <c r="M1809"/>
    </row>
    <row r="1810" spans="1:13" s="79" customFormat="1" x14ac:dyDescent="0.35">
      <c r="A1810" s="251"/>
      <c r="B1810" s="22"/>
      <c r="C1810" s="252"/>
      <c r="D1810" s="252"/>
      <c r="E1810" s="252"/>
      <c r="F1810" s="252"/>
      <c r="G1810" s="252"/>
      <c r="H1810" s="252"/>
      <c r="I1810" s="252"/>
      <c r="J1810" s="252"/>
      <c r="K1810" s="252"/>
      <c r="L1810"/>
      <c r="M1810"/>
    </row>
    <row r="1811" spans="1:13" s="79" customFormat="1" x14ac:dyDescent="0.35">
      <c r="A1811" s="251"/>
      <c r="B1811" s="22"/>
      <c r="C1811" s="252"/>
      <c r="D1811" s="252"/>
      <c r="E1811" s="252"/>
      <c r="F1811" s="252"/>
      <c r="G1811" s="252"/>
      <c r="H1811" s="252"/>
      <c r="I1811" s="252"/>
      <c r="J1811" s="252"/>
      <c r="K1811" s="252"/>
      <c r="L1811"/>
      <c r="M1811"/>
    </row>
    <row r="1812" spans="1:13" s="79" customFormat="1" x14ac:dyDescent="0.35">
      <c r="A1812" s="251"/>
      <c r="B1812" s="22"/>
      <c r="C1812" s="252"/>
      <c r="D1812" s="252"/>
      <c r="E1812" s="252"/>
      <c r="F1812" s="252"/>
      <c r="G1812" s="252"/>
      <c r="H1812" s="252"/>
      <c r="I1812" s="252"/>
      <c r="J1812" s="252"/>
      <c r="K1812" s="252"/>
      <c r="L1812"/>
      <c r="M1812"/>
    </row>
    <row r="1813" spans="1:13" s="79" customFormat="1" x14ac:dyDescent="0.35">
      <c r="A1813" s="251"/>
      <c r="B1813" s="22"/>
      <c r="C1813" s="252"/>
      <c r="D1813" s="252"/>
      <c r="E1813" s="252"/>
      <c r="F1813" s="252"/>
      <c r="G1813" s="252"/>
      <c r="H1813" s="252"/>
      <c r="I1813" s="252"/>
      <c r="J1813" s="252"/>
      <c r="K1813" s="252"/>
      <c r="L1813"/>
      <c r="M1813"/>
    </row>
    <row r="1814" spans="1:13" s="79" customFormat="1" x14ac:dyDescent="0.35">
      <c r="A1814" s="251"/>
      <c r="B1814" s="22"/>
      <c r="C1814" s="252"/>
      <c r="D1814" s="252"/>
      <c r="E1814" s="252"/>
      <c r="F1814" s="252"/>
      <c r="G1814" s="252"/>
      <c r="H1814" s="252"/>
      <c r="I1814" s="252"/>
      <c r="J1814" s="252"/>
      <c r="K1814" s="252"/>
      <c r="L1814"/>
      <c r="M1814"/>
    </row>
    <row r="1815" spans="1:13" s="79" customFormat="1" x14ac:dyDescent="0.35">
      <c r="A1815" s="251"/>
      <c r="B1815" s="22"/>
      <c r="C1815" s="252"/>
      <c r="D1815" s="252"/>
      <c r="E1815" s="252"/>
      <c r="F1815" s="252"/>
      <c r="G1815" s="252"/>
      <c r="H1815" s="252"/>
      <c r="I1815" s="252"/>
      <c r="J1815" s="252"/>
      <c r="K1815" s="252"/>
      <c r="L1815"/>
      <c r="M1815"/>
    </row>
    <row r="1816" spans="1:13" s="79" customFormat="1" x14ac:dyDescent="0.35">
      <c r="A1816" s="251"/>
      <c r="B1816" s="22"/>
      <c r="C1816" s="252"/>
      <c r="D1816" s="252"/>
      <c r="E1816" s="252"/>
      <c r="F1816" s="252"/>
      <c r="G1816" s="252"/>
      <c r="H1816" s="252"/>
      <c r="I1816" s="252"/>
      <c r="J1816" s="252"/>
      <c r="K1816" s="252"/>
      <c r="L1816"/>
      <c r="M1816"/>
    </row>
    <row r="1817" spans="1:13" s="79" customFormat="1" x14ac:dyDescent="0.35">
      <c r="A1817" s="251"/>
      <c r="B1817" s="22"/>
      <c r="C1817" s="252"/>
      <c r="D1817" s="252"/>
      <c r="E1817" s="252"/>
      <c r="F1817" s="252"/>
      <c r="G1817" s="252"/>
      <c r="H1817" s="252"/>
      <c r="I1817" s="252"/>
      <c r="J1817" s="252"/>
      <c r="K1817" s="252"/>
      <c r="L1817"/>
      <c r="M1817"/>
    </row>
    <row r="1818" spans="1:13" s="79" customFormat="1" x14ac:dyDescent="0.35">
      <c r="A1818" s="251"/>
      <c r="B1818" s="22"/>
      <c r="C1818" s="252"/>
      <c r="D1818" s="252"/>
      <c r="E1818" s="252"/>
      <c r="F1818" s="252"/>
      <c r="G1818" s="252"/>
      <c r="H1818" s="252"/>
      <c r="I1818" s="252"/>
      <c r="J1818" s="252"/>
      <c r="K1818" s="252"/>
      <c r="L1818"/>
      <c r="M1818"/>
    </row>
    <row r="1819" spans="1:13" s="79" customFormat="1" x14ac:dyDescent="0.35">
      <c r="A1819" s="251"/>
      <c r="B1819" s="22"/>
      <c r="C1819" s="252"/>
      <c r="D1819" s="252"/>
      <c r="E1819" s="252"/>
      <c r="F1819" s="252"/>
      <c r="G1819" s="252"/>
      <c r="H1819" s="252"/>
      <c r="I1819" s="252"/>
      <c r="J1819" s="252"/>
      <c r="K1819" s="252"/>
      <c r="L1819"/>
      <c r="M1819"/>
    </row>
    <row r="1820" spans="1:13" s="79" customFormat="1" x14ac:dyDescent="0.35">
      <c r="A1820" s="251"/>
      <c r="B1820" s="22"/>
      <c r="C1820" s="252"/>
      <c r="D1820" s="252"/>
      <c r="E1820" s="252"/>
      <c r="F1820" s="252"/>
      <c r="G1820" s="252"/>
      <c r="H1820" s="252"/>
      <c r="I1820" s="252"/>
      <c r="J1820" s="252"/>
      <c r="K1820" s="252"/>
      <c r="L1820"/>
      <c r="M1820"/>
    </row>
    <row r="1821" spans="1:13" s="79" customFormat="1" x14ac:dyDescent="0.35">
      <c r="A1821" s="251"/>
      <c r="B1821" s="22"/>
      <c r="C1821" s="252"/>
      <c r="D1821" s="252"/>
      <c r="E1821" s="252"/>
      <c r="F1821" s="252"/>
      <c r="G1821" s="252"/>
      <c r="H1821" s="252"/>
      <c r="I1821" s="252"/>
      <c r="J1821" s="252"/>
      <c r="K1821" s="252"/>
      <c r="L1821"/>
      <c r="M1821"/>
    </row>
    <row r="1822" spans="1:13" s="79" customFormat="1" x14ac:dyDescent="0.35">
      <c r="A1822" s="251"/>
      <c r="B1822" s="22"/>
      <c r="C1822" s="252"/>
      <c r="D1822" s="252"/>
      <c r="E1822" s="252"/>
      <c r="F1822" s="252"/>
      <c r="G1822" s="252"/>
      <c r="H1822" s="252"/>
      <c r="I1822" s="252"/>
      <c r="J1822" s="252"/>
      <c r="K1822" s="252"/>
      <c r="L1822"/>
      <c r="M1822"/>
    </row>
    <row r="1823" spans="1:13" s="79" customFormat="1" x14ac:dyDescent="0.35">
      <c r="A1823" s="251"/>
      <c r="B1823" s="22"/>
      <c r="C1823" s="252"/>
      <c r="D1823" s="252"/>
      <c r="E1823" s="252"/>
      <c r="F1823" s="252"/>
      <c r="G1823" s="252"/>
      <c r="H1823" s="252"/>
      <c r="I1823" s="252"/>
      <c r="J1823" s="252"/>
      <c r="K1823" s="252"/>
      <c r="L1823"/>
      <c r="M1823"/>
    </row>
    <row r="1824" spans="1:13" s="79" customFormat="1" x14ac:dyDescent="0.35">
      <c r="A1824" s="251"/>
      <c r="B1824" s="22"/>
      <c r="C1824" s="252"/>
      <c r="D1824" s="252"/>
      <c r="E1824" s="252"/>
      <c r="F1824" s="252"/>
      <c r="G1824" s="252"/>
      <c r="H1824" s="252"/>
      <c r="I1824" s="252"/>
      <c r="J1824" s="252"/>
      <c r="K1824" s="252"/>
      <c r="L1824"/>
      <c r="M1824"/>
    </row>
    <row r="1825" spans="1:13" s="79" customFormat="1" x14ac:dyDescent="0.35">
      <c r="A1825" s="251"/>
      <c r="B1825" s="22"/>
      <c r="C1825" s="252"/>
      <c r="D1825" s="252"/>
      <c r="E1825" s="252"/>
      <c r="F1825" s="252"/>
      <c r="G1825" s="252"/>
      <c r="H1825" s="252"/>
      <c r="I1825" s="252"/>
      <c r="J1825" s="252"/>
      <c r="K1825" s="252"/>
      <c r="L1825"/>
      <c r="M1825"/>
    </row>
    <row r="1826" spans="1:13" s="79" customFormat="1" x14ac:dyDescent="0.35">
      <c r="A1826" s="251"/>
      <c r="B1826" s="22"/>
      <c r="C1826" s="252"/>
      <c r="D1826" s="252"/>
      <c r="E1826" s="252"/>
      <c r="F1826" s="252"/>
      <c r="G1826" s="252"/>
      <c r="H1826" s="252"/>
      <c r="I1826" s="252"/>
      <c r="J1826" s="252"/>
      <c r="K1826" s="252"/>
      <c r="L1826"/>
      <c r="M1826"/>
    </row>
    <row r="1827" spans="1:13" s="79" customFormat="1" x14ac:dyDescent="0.35">
      <c r="A1827" s="251"/>
      <c r="B1827" s="22"/>
      <c r="C1827" s="252"/>
      <c r="D1827" s="252"/>
      <c r="E1827" s="252"/>
      <c r="F1827" s="252"/>
      <c r="G1827" s="252"/>
      <c r="H1827" s="252"/>
      <c r="I1827" s="252"/>
      <c r="J1827" s="252"/>
      <c r="K1827" s="252"/>
      <c r="L1827"/>
      <c r="M1827"/>
    </row>
    <row r="1828" spans="1:13" s="79" customFormat="1" x14ac:dyDescent="0.35">
      <c r="A1828" s="251"/>
      <c r="B1828" s="22"/>
      <c r="C1828" s="252"/>
      <c r="D1828" s="252"/>
      <c r="E1828" s="252"/>
      <c r="F1828" s="252"/>
      <c r="G1828" s="252"/>
      <c r="H1828" s="252"/>
      <c r="I1828" s="252"/>
      <c r="J1828" s="252"/>
      <c r="K1828" s="252"/>
      <c r="L1828"/>
      <c r="M1828"/>
    </row>
    <row r="1829" spans="1:13" s="79" customFormat="1" x14ac:dyDescent="0.35">
      <c r="A1829" s="251"/>
      <c r="B1829" s="22"/>
      <c r="C1829" s="252"/>
      <c r="D1829" s="252"/>
      <c r="E1829" s="252"/>
      <c r="F1829" s="252"/>
      <c r="G1829" s="252"/>
      <c r="H1829" s="252"/>
      <c r="I1829" s="252"/>
      <c r="J1829" s="252"/>
      <c r="K1829" s="252"/>
      <c r="L1829"/>
      <c r="M1829"/>
    </row>
    <row r="1830" spans="1:13" s="79" customFormat="1" x14ac:dyDescent="0.35">
      <c r="A1830" s="251"/>
      <c r="B1830" s="22"/>
      <c r="C1830" s="252"/>
      <c r="D1830" s="252"/>
      <c r="E1830" s="252"/>
      <c r="F1830" s="252"/>
      <c r="G1830" s="252"/>
      <c r="H1830" s="252"/>
      <c r="I1830" s="252"/>
      <c r="J1830" s="252"/>
      <c r="K1830" s="252"/>
      <c r="L1830"/>
      <c r="M1830"/>
    </row>
    <row r="1831" spans="1:13" s="79" customFormat="1" x14ac:dyDescent="0.35">
      <c r="A1831" s="251"/>
      <c r="B1831" s="22"/>
      <c r="C1831" s="252"/>
      <c r="D1831" s="252"/>
      <c r="E1831" s="252"/>
      <c r="F1831" s="252"/>
      <c r="G1831" s="252"/>
      <c r="H1831" s="252"/>
      <c r="I1831" s="252"/>
      <c r="J1831" s="252"/>
      <c r="K1831" s="252"/>
      <c r="L1831"/>
      <c r="M1831"/>
    </row>
    <row r="1832" spans="1:13" s="79" customFormat="1" x14ac:dyDescent="0.35">
      <c r="A1832" s="251"/>
      <c r="B1832" s="22"/>
      <c r="C1832" s="252"/>
      <c r="D1832" s="252"/>
      <c r="E1832" s="252"/>
      <c r="F1832" s="252"/>
      <c r="G1832" s="252"/>
      <c r="H1832" s="252"/>
      <c r="I1832" s="252"/>
      <c r="J1832" s="252"/>
      <c r="K1832" s="252"/>
      <c r="L1832"/>
      <c r="M1832"/>
    </row>
    <row r="1833" spans="1:13" s="79" customFormat="1" x14ac:dyDescent="0.35">
      <c r="A1833" s="251"/>
      <c r="B1833" s="22"/>
      <c r="C1833" s="252"/>
      <c r="D1833" s="252"/>
      <c r="E1833" s="252"/>
      <c r="F1833" s="252"/>
      <c r="G1833" s="252"/>
      <c r="H1833" s="252"/>
      <c r="I1833" s="252"/>
      <c r="J1833" s="252"/>
      <c r="K1833" s="252"/>
      <c r="L1833"/>
      <c r="M1833"/>
    </row>
    <row r="1834" spans="1:13" s="79" customFormat="1" x14ac:dyDescent="0.35">
      <c r="A1834" s="251"/>
      <c r="B1834" s="22"/>
      <c r="C1834" s="252"/>
      <c r="D1834" s="252"/>
      <c r="E1834" s="252"/>
      <c r="F1834" s="252"/>
      <c r="G1834" s="252"/>
      <c r="H1834" s="252"/>
      <c r="I1834" s="252"/>
      <c r="J1834" s="252"/>
      <c r="K1834" s="252"/>
      <c r="L1834"/>
      <c r="M1834"/>
    </row>
    <row r="1835" spans="1:13" s="79" customFormat="1" x14ac:dyDescent="0.35">
      <c r="A1835" s="251"/>
      <c r="B1835" s="22"/>
      <c r="C1835" s="252"/>
      <c r="D1835" s="252"/>
      <c r="E1835" s="252"/>
      <c r="F1835" s="252"/>
      <c r="G1835" s="252"/>
      <c r="H1835" s="252"/>
      <c r="I1835" s="252"/>
      <c r="J1835" s="252"/>
      <c r="K1835" s="252"/>
      <c r="L1835"/>
      <c r="M1835"/>
    </row>
    <row r="1836" spans="1:13" s="79" customFormat="1" x14ac:dyDescent="0.35">
      <c r="A1836" s="251"/>
      <c r="B1836" s="22"/>
      <c r="C1836" s="252"/>
      <c r="D1836" s="252"/>
      <c r="E1836" s="252"/>
      <c r="F1836" s="252"/>
      <c r="G1836" s="252"/>
      <c r="H1836" s="252"/>
      <c r="I1836" s="252"/>
      <c r="J1836" s="252"/>
      <c r="K1836" s="252"/>
      <c r="L1836"/>
      <c r="M1836"/>
    </row>
    <row r="1837" spans="1:13" s="79" customFormat="1" x14ac:dyDescent="0.35">
      <c r="A1837" s="251"/>
      <c r="B1837" s="22"/>
      <c r="C1837" s="252"/>
      <c r="D1837" s="252"/>
      <c r="E1837" s="252"/>
      <c r="F1837" s="252"/>
      <c r="G1837" s="252"/>
      <c r="H1837" s="252"/>
      <c r="I1837" s="252"/>
      <c r="J1837" s="252"/>
      <c r="K1837" s="252"/>
      <c r="L1837"/>
      <c r="M1837"/>
    </row>
    <row r="1838" spans="1:13" s="79" customFormat="1" x14ac:dyDescent="0.35">
      <c r="A1838" s="251"/>
      <c r="B1838" s="22"/>
      <c r="C1838" s="252"/>
      <c r="D1838" s="252"/>
      <c r="E1838" s="252"/>
      <c r="F1838" s="252"/>
      <c r="G1838" s="252"/>
      <c r="H1838" s="252"/>
      <c r="I1838" s="252"/>
      <c r="J1838" s="252"/>
      <c r="K1838" s="252"/>
      <c r="L1838"/>
      <c r="M1838"/>
    </row>
    <row r="1839" spans="1:13" s="79" customFormat="1" x14ac:dyDescent="0.35">
      <c r="A1839" s="251"/>
      <c r="B1839" s="22"/>
      <c r="C1839" s="252"/>
      <c r="D1839" s="252"/>
      <c r="E1839" s="252"/>
      <c r="F1839" s="252"/>
      <c r="G1839" s="252"/>
      <c r="H1839" s="252"/>
      <c r="I1839" s="252"/>
      <c r="J1839" s="252"/>
      <c r="K1839" s="252"/>
      <c r="L1839"/>
      <c r="M1839"/>
    </row>
    <row r="1840" spans="1:13" s="79" customFormat="1" x14ac:dyDescent="0.35">
      <c r="A1840" s="251"/>
      <c r="B1840" s="22"/>
      <c r="C1840" s="252"/>
      <c r="D1840" s="252"/>
      <c r="E1840" s="252"/>
      <c r="F1840" s="252"/>
      <c r="G1840" s="252"/>
      <c r="H1840" s="252"/>
      <c r="I1840" s="252"/>
      <c r="J1840" s="252"/>
      <c r="K1840" s="252"/>
      <c r="L1840"/>
      <c r="M1840"/>
    </row>
    <row r="1841" spans="1:13" s="79" customFormat="1" x14ac:dyDescent="0.35">
      <c r="A1841" s="251"/>
      <c r="B1841" s="22"/>
      <c r="C1841" s="252"/>
      <c r="D1841" s="252"/>
      <c r="E1841" s="252"/>
      <c r="F1841" s="252"/>
      <c r="G1841" s="252"/>
      <c r="H1841" s="252"/>
      <c r="I1841" s="252"/>
      <c r="J1841" s="252"/>
      <c r="K1841" s="252"/>
      <c r="L1841"/>
      <c r="M1841"/>
    </row>
    <row r="1842" spans="1:13" s="79" customFormat="1" x14ac:dyDescent="0.35">
      <c r="A1842" s="251"/>
      <c r="B1842" s="22"/>
      <c r="C1842" s="252"/>
      <c r="D1842" s="252"/>
      <c r="E1842" s="252"/>
      <c r="F1842" s="252"/>
      <c r="G1842" s="252"/>
      <c r="H1842" s="252"/>
      <c r="I1842" s="252"/>
      <c r="J1842" s="252"/>
      <c r="K1842" s="252"/>
      <c r="L1842"/>
      <c r="M1842"/>
    </row>
    <row r="1843" spans="1:13" s="79" customFormat="1" x14ac:dyDescent="0.35">
      <c r="A1843" s="251"/>
      <c r="B1843" s="22"/>
      <c r="C1843" s="252"/>
      <c r="D1843" s="252"/>
      <c r="E1843" s="252"/>
      <c r="F1843" s="252"/>
      <c r="G1843" s="252"/>
      <c r="H1843" s="252"/>
      <c r="I1843" s="252"/>
      <c r="J1843" s="252"/>
      <c r="K1843" s="252"/>
      <c r="L1843"/>
      <c r="M1843"/>
    </row>
    <row r="1844" spans="1:13" s="79" customFormat="1" x14ac:dyDescent="0.35">
      <c r="A1844" s="251"/>
      <c r="B1844" s="22"/>
      <c r="C1844" s="252"/>
      <c r="D1844" s="252"/>
      <c r="E1844" s="252"/>
      <c r="F1844" s="252"/>
      <c r="G1844" s="252"/>
      <c r="H1844" s="252"/>
      <c r="I1844" s="252"/>
      <c r="J1844" s="252"/>
      <c r="K1844" s="252"/>
      <c r="L1844"/>
      <c r="M1844"/>
    </row>
    <row r="1845" spans="1:13" s="79" customFormat="1" x14ac:dyDescent="0.35">
      <c r="A1845" s="251"/>
      <c r="B1845" s="22"/>
      <c r="C1845" s="252"/>
      <c r="D1845" s="252"/>
      <c r="E1845" s="252"/>
      <c r="F1845" s="252"/>
      <c r="G1845" s="252"/>
      <c r="H1845" s="252"/>
      <c r="I1845" s="252"/>
      <c r="J1845" s="252"/>
      <c r="K1845" s="252"/>
      <c r="L1845"/>
      <c r="M1845"/>
    </row>
    <row r="1846" spans="1:13" s="79" customFormat="1" x14ac:dyDescent="0.35">
      <c r="A1846" s="251"/>
      <c r="B1846" s="22"/>
      <c r="C1846" s="252"/>
      <c r="D1846" s="252"/>
      <c r="E1846" s="252"/>
      <c r="F1846" s="252"/>
      <c r="G1846" s="252"/>
      <c r="H1846" s="252"/>
      <c r="I1846" s="252"/>
      <c r="J1846" s="252"/>
      <c r="K1846" s="252"/>
      <c r="L1846"/>
      <c r="M1846"/>
    </row>
    <row r="1847" spans="1:13" s="79" customFormat="1" x14ac:dyDescent="0.35">
      <c r="A1847" s="251"/>
      <c r="B1847" s="22"/>
      <c r="C1847" s="252"/>
      <c r="D1847" s="252"/>
      <c r="E1847" s="252"/>
      <c r="F1847" s="252"/>
      <c r="G1847" s="252"/>
      <c r="H1847" s="252"/>
      <c r="I1847" s="252"/>
      <c r="J1847" s="252"/>
      <c r="K1847" s="252"/>
      <c r="L1847"/>
      <c r="M1847"/>
    </row>
    <row r="1848" spans="1:13" s="79" customFormat="1" x14ac:dyDescent="0.35">
      <c r="A1848" s="251"/>
      <c r="B1848" s="22"/>
      <c r="C1848" s="252"/>
      <c r="D1848" s="252"/>
      <c r="E1848" s="252"/>
      <c r="F1848" s="252"/>
      <c r="G1848" s="252"/>
      <c r="H1848" s="252"/>
      <c r="I1848" s="252"/>
      <c r="J1848" s="252"/>
      <c r="K1848" s="252"/>
      <c r="L1848"/>
      <c r="M1848"/>
    </row>
    <row r="1849" spans="1:13" s="79" customFormat="1" x14ac:dyDescent="0.35">
      <c r="A1849" s="251"/>
      <c r="B1849" s="22"/>
      <c r="C1849" s="252"/>
      <c r="D1849" s="252"/>
      <c r="E1849" s="252"/>
      <c r="F1849" s="252"/>
      <c r="G1849" s="252"/>
      <c r="H1849" s="252"/>
      <c r="I1849" s="252"/>
      <c r="J1849" s="252"/>
      <c r="K1849" s="252"/>
      <c r="L1849"/>
      <c r="M1849"/>
    </row>
    <row r="1850" spans="1:13" s="79" customFormat="1" x14ac:dyDescent="0.35">
      <c r="A1850" s="251"/>
      <c r="B1850" s="22"/>
      <c r="C1850" s="252"/>
      <c r="D1850" s="252"/>
      <c r="E1850" s="252"/>
      <c r="F1850" s="252"/>
      <c r="G1850" s="252"/>
      <c r="H1850" s="252"/>
      <c r="I1850" s="252"/>
      <c r="J1850" s="252"/>
      <c r="K1850" s="252"/>
      <c r="L1850"/>
      <c r="M1850"/>
    </row>
    <row r="1851" spans="1:13" s="79" customFormat="1" x14ac:dyDescent="0.35">
      <c r="A1851" s="251"/>
      <c r="B1851" s="22"/>
      <c r="C1851" s="252"/>
      <c r="D1851" s="252"/>
      <c r="E1851" s="252"/>
      <c r="F1851" s="252"/>
      <c r="G1851" s="252"/>
      <c r="H1851" s="252"/>
      <c r="I1851" s="252"/>
      <c r="J1851" s="252"/>
      <c r="K1851" s="252"/>
      <c r="L1851"/>
      <c r="M1851"/>
    </row>
    <row r="1852" spans="1:13" s="79" customFormat="1" x14ac:dyDescent="0.35">
      <c r="A1852" s="251"/>
      <c r="B1852" s="22"/>
      <c r="C1852" s="252"/>
      <c r="D1852" s="252"/>
      <c r="E1852" s="252"/>
      <c r="F1852" s="252"/>
      <c r="G1852" s="252"/>
      <c r="H1852" s="252"/>
      <c r="I1852" s="252"/>
      <c r="J1852" s="252"/>
      <c r="K1852" s="252"/>
      <c r="L1852"/>
      <c r="M1852"/>
    </row>
    <row r="1853" spans="1:13" s="79" customFormat="1" x14ac:dyDescent="0.35">
      <c r="A1853" s="251"/>
      <c r="B1853" s="22"/>
      <c r="C1853" s="252"/>
      <c r="D1853" s="252"/>
      <c r="E1853" s="252"/>
      <c r="F1853" s="252"/>
      <c r="G1853" s="252"/>
      <c r="H1853" s="252"/>
      <c r="I1853" s="252"/>
      <c r="J1853" s="252"/>
      <c r="K1853" s="252"/>
      <c r="L1853"/>
      <c r="M1853"/>
    </row>
    <row r="1854" spans="1:13" s="79" customFormat="1" x14ac:dyDescent="0.35">
      <c r="A1854" s="251"/>
      <c r="B1854" s="22"/>
      <c r="C1854" s="252"/>
      <c r="D1854" s="252"/>
      <c r="E1854" s="252"/>
      <c r="F1854" s="252"/>
      <c r="G1854" s="252"/>
      <c r="H1854" s="252"/>
      <c r="I1854" s="252"/>
      <c r="J1854" s="252"/>
      <c r="K1854" s="252"/>
      <c r="L1854"/>
      <c r="M1854"/>
    </row>
    <row r="1855" spans="1:13" s="79" customFormat="1" x14ac:dyDescent="0.35">
      <c r="A1855" s="251"/>
      <c r="B1855" s="22"/>
      <c r="C1855" s="252"/>
      <c r="D1855" s="252"/>
      <c r="E1855" s="252"/>
      <c r="F1855" s="252"/>
      <c r="G1855" s="252"/>
      <c r="H1855" s="252"/>
      <c r="I1855" s="252"/>
      <c r="J1855" s="252"/>
      <c r="K1855" s="252"/>
      <c r="L1855"/>
      <c r="M1855"/>
    </row>
    <row r="1856" spans="1:13" s="79" customFormat="1" x14ac:dyDescent="0.35">
      <c r="A1856" s="251"/>
      <c r="B1856" s="22"/>
      <c r="C1856" s="252"/>
      <c r="D1856" s="252"/>
      <c r="E1856" s="252"/>
      <c r="F1856" s="252"/>
      <c r="G1856" s="252"/>
      <c r="H1856" s="252"/>
      <c r="I1856" s="252"/>
      <c r="J1856" s="252"/>
      <c r="K1856" s="252"/>
      <c r="L1856"/>
      <c r="M1856"/>
    </row>
    <row r="1857" spans="1:13" s="79" customFormat="1" x14ac:dyDescent="0.35">
      <c r="A1857" s="251"/>
      <c r="B1857" s="22"/>
      <c r="C1857" s="252"/>
      <c r="D1857" s="252"/>
      <c r="E1857" s="252"/>
      <c r="F1857" s="252"/>
      <c r="G1857" s="252"/>
      <c r="H1857" s="252"/>
      <c r="I1857" s="252"/>
      <c r="J1857" s="252"/>
      <c r="K1857" s="252"/>
      <c r="L1857"/>
      <c r="M1857"/>
    </row>
    <row r="1858" spans="1:13" s="79" customFormat="1" x14ac:dyDescent="0.35">
      <c r="A1858" s="251"/>
      <c r="B1858" s="22"/>
      <c r="C1858" s="252"/>
      <c r="D1858" s="252"/>
      <c r="E1858" s="252"/>
      <c r="F1858" s="252"/>
      <c r="G1858" s="252"/>
      <c r="H1858" s="252"/>
      <c r="I1858" s="252"/>
      <c r="J1858" s="252"/>
      <c r="K1858" s="252"/>
      <c r="L1858"/>
      <c r="M1858"/>
    </row>
    <row r="1859" spans="1:13" s="79" customFormat="1" x14ac:dyDescent="0.35">
      <c r="A1859" s="251"/>
      <c r="B1859" s="22"/>
      <c r="C1859" s="252"/>
      <c r="D1859" s="252"/>
      <c r="E1859" s="252"/>
      <c r="F1859" s="252"/>
      <c r="G1859" s="252"/>
      <c r="H1859" s="252"/>
      <c r="I1859" s="252"/>
      <c r="J1859" s="252"/>
      <c r="K1859" s="252"/>
      <c r="L1859"/>
      <c r="M1859"/>
    </row>
    <row r="1860" spans="1:13" s="79" customFormat="1" x14ac:dyDescent="0.35">
      <c r="A1860" s="251"/>
      <c r="B1860" s="22"/>
      <c r="C1860" s="252"/>
      <c r="D1860" s="252"/>
      <c r="E1860" s="252"/>
      <c r="F1860" s="252"/>
      <c r="G1860" s="252"/>
      <c r="H1860" s="252"/>
      <c r="I1860" s="252"/>
      <c r="J1860" s="252"/>
      <c r="K1860" s="252"/>
      <c r="L1860"/>
      <c r="M1860"/>
    </row>
    <row r="1861" spans="1:13" s="79" customFormat="1" x14ac:dyDescent="0.35">
      <c r="A1861" s="251"/>
      <c r="B1861" s="22"/>
      <c r="C1861" s="252"/>
      <c r="D1861" s="252"/>
      <c r="E1861" s="252"/>
      <c r="F1861" s="252"/>
      <c r="G1861" s="252"/>
      <c r="H1861" s="252"/>
      <c r="I1861" s="252"/>
      <c r="J1861" s="252"/>
      <c r="K1861" s="252"/>
      <c r="L1861"/>
      <c r="M1861"/>
    </row>
    <row r="1862" spans="1:13" s="79" customFormat="1" x14ac:dyDescent="0.35">
      <c r="A1862" s="251"/>
      <c r="B1862" s="22"/>
      <c r="C1862" s="252"/>
      <c r="D1862" s="252"/>
      <c r="E1862" s="252"/>
      <c r="F1862" s="252"/>
      <c r="G1862" s="252"/>
      <c r="H1862" s="252"/>
      <c r="I1862" s="252"/>
      <c r="J1862" s="252"/>
      <c r="K1862" s="252"/>
      <c r="L1862"/>
      <c r="M1862"/>
    </row>
    <row r="1863" spans="1:13" s="79" customFormat="1" x14ac:dyDescent="0.35">
      <c r="A1863" s="251"/>
      <c r="B1863" s="22"/>
      <c r="C1863" s="252"/>
      <c r="D1863" s="252"/>
      <c r="E1863" s="252"/>
      <c r="F1863" s="252"/>
      <c r="G1863" s="252"/>
      <c r="H1863" s="252"/>
      <c r="I1863" s="252"/>
      <c r="J1863" s="252"/>
      <c r="K1863" s="252"/>
      <c r="L1863"/>
      <c r="M1863"/>
    </row>
    <row r="1864" spans="1:13" s="79" customFormat="1" x14ac:dyDescent="0.35">
      <c r="A1864" s="251"/>
      <c r="B1864" s="22"/>
      <c r="C1864" s="252"/>
      <c r="D1864" s="252"/>
      <c r="E1864" s="252"/>
      <c r="F1864" s="252"/>
      <c r="G1864" s="252"/>
      <c r="H1864" s="252"/>
      <c r="I1864" s="252"/>
      <c r="J1864" s="252"/>
      <c r="K1864" s="252"/>
      <c r="L1864"/>
      <c r="M1864"/>
    </row>
    <row r="1865" spans="1:13" s="79" customFormat="1" x14ac:dyDescent="0.35">
      <c r="A1865" s="251"/>
      <c r="B1865" s="22"/>
      <c r="C1865" s="252"/>
      <c r="D1865" s="252"/>
      <c r="E1865" s="252"/>
      <c r="F1865" s="252"/>
      <c r="G1865" s="252"/>
      <c r="H1865" s="252"/>
      <c r="I1865" s="252"/>
      <c r="J1865" s="252"/>
      <c r="K1865" s="252"/>
      <c r="L1865"/>
      <c r="M1865"/>
    </row>
    <row r="1866" spans="1:13" s="79" customFormat="1" x14ac:dyDescent="0.35">
      <c r="A1866" s="251"/>
      <c r="B1866" s="22"/>
      <c r="C1866" s="252"/>
      <c r="D1866" s="252"/>
      <c r="E1866" s="252"/>
      <c r="F1866" s="252"/>
      <c r="G1866" s="252"/>
      <c r="H1866" s="252"/>
      <c r="I1866" s="252"/>
      <c r="J1866" s="252"/>
      <c r="K1866" s="252"/>
      <c r="L1866"/>
      <c r="M1866"/>
    </row>
    <row r="1867" spans="1:13" s="79" customFormat="1" x14ac:dyDescent="0.35">
      <c r="A1867" s="251"/>
      <c r="B1867" s="22"/>
      <c r="C1867" s="252"/>
      <c r="D1867" s="252"/>
      <c r="E1867" s="252"/>
      <c r="F1867" s="252"/>
      <c r="G1867" s="252"/>
      <c r="H1867" s="252"/>
      <c r="I1867" s="252"/>
      <c r="J1867" s="252"/>
      <c r="K1867" s="252"/>
      <c r="L1867"/>
      <c r="M1867"/>
    </row>
    <row r="1868" spans="1:13" s="79" customFormat="1" x14ac:dyDescent="0.35">
      <c r="A1868" s="251"/>
      <c r="B1868" s="22"/>
      <c r="C1868" s="252"/>
      <c r="D1868" s="252"/>
      <c r="E1868" s="252"/>
      <c r="F1868" s="252"/>
      <c r="G1868" s="252"/>
      <c r="H1868" s="252"/>
      <c r="I1868" s="252"/>
      <c r="J1868" s="252"/>
      <c r="K1868" s="252"/>
      <c r="L1868"/>
      <c r="M1868"/>
    </row>
    <row r="1869" spans="1:13" s="79" customFormat="1" x14ac:dyDescent="0.35">
      <c r="A1869" s="251"/>
      <c r="B1869" s="22"/>
      <c r="C1869" s="252"/>
      <c r="D1869" s="252"/>
      <c r="E1869" s="252"/>
      <c r="F1869" s="252"/>
      <c r="G1869" s="252"/>
      <c r="H1869" s="252"/>
      <c r="I1869" s="252"/>
      <c r="J1869" s="252"/>
      <c r="K1869" s="252"/>
      <c r="L1869"/>
      <c r="M1869"/>
    </row>
    <row r="1870" spans="1:13" s="79" customFormat="1" x14ac:dyDescent="0.35">
      <c r="A1870" s="251"/>
      <c r="B1870" s="22"/>
      <c r="C1870" s="252"/>
      <c r="D1870" s="252"/>
      <c r="E1870" s="252"/>
      <c r="F1870" s="252"/>
      <c r="G1870" s="252"/>
      <c r="H1870" s="252"/>
      <c r="I1870" s="252"/>
      <c r="J1870" s="252"/>
      <c r="K1870" s="252"/>
      <c r="L1870"/>
      <c r="M1870"/>
    </row>
    <row r="1871" spans="1:13" s="79" customFormat="1" x14ac:dyDescent="0.35">
      <c r="A1871" s="251"/>
      <c r="B1871" s="22"/>
      <c r="C1871" s="252"/>
      <c r="D1871" s="252"/>
      <c r="E1871" s="252"/>
      <c r="F1871" s="252"/>
      <c r="G1871" s="252"/>
      <c r="H1871" s="252"/>
      <c r="I1871" s="252"/>
      <c r="J1871" s="252"/>
      <c r="K1871" s="252"/>
      <c r="L1871"/>
      <c r="M1871"/>
    </row>
    <row r="1872" spans="1:13" s="79" customFormat="1" x14ac:dyDescent="0.35">
      <c r="A1872" s="251"/>
      <c r="B1872" s="22"/>
      <c r="C1872" s="252"/>
      <c r="D1872" s="252"/>
      <c r="E1872" s="252"/>
      <c r="F1872" s="252"/>
      <c r="G1872" s="252"/>
      <c r="H1872" s="252"/>
      <c r="I1872" s="252"/>
      <c r="J1872" s="252"/>
      <c r="K1872" s="252"/>
      <c r="L1872"/>
      <c r="M1872"/>
    </row>
    <row r="1873" spans="1:13" s="79" customFormat="1" x14ac:dyDescent="0.35">
      <c r="A1873" s="251"/>
      <c r="B1873" s="22"/>
      <c r="C1873" s="252"/>
      <c r="D1873" s="252"/>
      <c r="E1873" s="252"/>
      <c r="F1873" s="252"/>
      <c r="G1873" s="252"/>
      <c r="H1873" s="252"/>
      <c r="I1873" s="252"/>
      <c r="J1873" s="252"/>
      <c r="K1873" s="252"/>
      <c r="L1873"/>
      <c r="M1873"/>
    </row>
    <row r="1874" spans="1:13" s="79" customFormat="1" x14ac:dyDescent="0.35">
      <c r="A1874" s="251"/>
      <c r="B1874" s="22"/>
      <c r="C1874" s="252"/>
      <c r="D1874" s="252"/>
      <c r="E1874" s="252"/>
      <c r="F1874" s="252"/>
      <c r="G1874" s="252"/>
      <c r="H1874" s="252"/>
      <c r="I1874" s="252"/>
      <c r="J1874" s="252"/>
      <c r="K1874" s="252"/>
      <c r="L1874"/>
      <c r="M1874"/>
    </row>
    <row r="1875" spans="1:13" s="79" customFormat="1" x14ac:dyDescent="0.35">
      <c r="A1875" s="251"/>
      <c r="B1875" s="22"/>
      <c r="C1875" s="252"/>
      <c r="D1875" s="252"/>
      <c r="E1875" s="252"/>
      <c r="F1875" s="252"/>
      <c r="G1875" s="252"/>
      <c r="H1875" s="252"/>
      <c r="I1875" s="252"/>
      <c r="J1875" s="252"/>
      <c r="K1875" s="252"/>
      <c r="L1875"/>
      <c r="M1875"/>
    </row>
    <row r="1876" spans="1:13" s="79" customFormat="1" x14ac:dyDescent="0.35">
      <c r="A1876" s="251"/>
      <c r="B1876" s="22"/>
      <c r="C1876" s="252"/>
      <c r="D1876" s="252"/>
      <c r="E1876" s="252"/>
      <c r="F1876" s="252"/>
      <c r="G1876" s="252"/>
      <c r="H1876" s="252"/>
      <c r="I1876" s="252"/>
      <c r="J1876" s="252"/>
      <c r="K1876" s="252"/>
      <c r="L1876"/>
      <c r="M1876"/>
    </row>
    <row r="1877" spans="1:13" s="79" customFormat="1" x14ac:dyDescent="0.35">
      <c r="A1877" s="251"/>
      <c r="B1877" s="22"/>
      <c r="C1877" s="252"/>
      <c r="D1877" s="252"/>
      <c r="E1877" s="252"/>
      <c r="F1877" s="252"/>
      <c r="G1877" s="252"/>
      <c r="H1877" s="252"/>
      <c r="I1877" s="252"/>
      <c r="J1877" s="252"/>
      <c r="K1877" s="252"/>
      <c r="L1877"/>
      <c r="M1877"/>
    </row>
    <row r="1878" spans="1:13" s="79" customFormat="1" x14ac:dyDescent="0.35">
      <c r="A1878" s="251"/>
      <c r="B1878" s="22"/>
      <c r="C1878" s="252"/>
      <c r="D1878" s="252"/>
      <c r="E1878" s="252"/>
      <c r="F1878" s="252"/>
      <c r="G1878" s="252"/>
      <c r="H1878" s="252"/>
      <c r="I1878" s="252"/>
      <c r="J1878" s="252"/>
      <c r="K1878" s="252"/>
      <c r="L1878"/>
      <c r="M1878"/>
    </row>
    <row r="1879" spans="1:13" s="79" customFormat="1" x14ac:dyDescent="0.35">
      <c r="A1879" s="251"/>
      <c r="B1879" s="22"/>
      <c r="C1879" s="252"/>
      <c r="D1879" s="252"/>
      <c r="E1879" s="252"/>
      <c r="F1879" s="252"/>
      <c r="G1879" s="252"/>
      <c r="H1879" s="252"/>
      <c r="I1879" s="252"/>
      <c r="J1879" s="252"/>
      <c r="K1879" s="252"/>
      <c r="L1879"/>
      <c r="M1879"/>
    </row>
    <row r="1880" spans="1:13" s="79" customFormat="1" x14ac:dyDescent="0.35">
      <c r="A1880" s="251"/>
      <c r="B1880" s="22"/>
      <c r="C1880" s="252"/>
      <c r="D1880" s="252"/>
      <c r="E1880" s="252"/>
      <c r="F1880" s="252"/>
      <c r="G1880" s="252"/>
      <c r="H1880" s="252"/>
      <c r="I1880" s="252"/>
      <c r="J1880" s="252"/>
      <c r="K1880" s="252"/>
      <c r="L1880"/>
      <c r="M1880"/>
    </row>
    <row r="1881" spans="1:13" s="79" customFormat="1" x14ac:dyDescent="0.35">
      <c r="A1881" s="251"/>
      <c r="B1881" s="22"/>
      <c r="C1881" s="252"/>
      <c r="D1881" s="252"/>
      <c r="E1881" s="252"/>
      <c r="F1881" s="252"/>
      <c r="G1881" s="252"/>
      <c r="H1881" s="252"/>
      <c r="I1881" s="252"/>
      <c r="J1881" s="252"/>
      <c r="K1881" s="252"/>
      <c r="L1881"/>
      <c r="M1881"/>
    </row>
    <row r="1882" spans="1:13" s="79" customFormat="1" x14ac:dyDescent="0.35">
      <c r="A1882" s="251"/>
      <c r="B1882" s="22"/>
      <c r="C1882" s="252"/>
      <c r="D1882" s="252"/>
      <c r="E1882" s="252"/>
      <c r="F1882" s="252"/>
      <c r="G1882" s="252"/>
      <c r="H1882" s="252"/>
      <c r="I1882" s="252"/>
      <c r="J1882" s="252"/>
      <c r="K1882" s="252"/>
      <c r="L1882"/>
      <c r="M1882"/>
    </row>
    <row r="1883" spans="1:13" s="79" customFormat="1" x14ac:dyDescent="0.35">
      <c r="A1883" s="251"/>
      <c r="B1883" s="22"/>
      <c r="C1883" s="252"/>
      <c r="D1883" s="252"/>
      <c r="E1883" s="252"/>
      <c r="F1883" s="252"/>
      <c r="G1883" s="252"/>
      <c r="H1883" s="252"/>
      <c r="I1883" s="252"/>
      <c r="J1883" s="252"/>
      <c r="K1883" s="252"/>
      <c r="L1883"/>
      <c r="M1883"/>
    </row>
    <row r="1884" spans="1:13" s="79" customFormat="1" x14ac:dyDescent="0.35">
      <c r="A1884" s="251"/>
      <c r="B1884" s="22"/>
      <c r="C1884" s="252"/>
      <c r="D1884" s="252"/>
      <c r="E1884" s="252"/>
      <c r="F1884" s="252"/>
      <c r="G1884" s="252"/>
      <c r="H1884" s="252"/>
      <c r="I1884" s="252"/>
      <c r="J1884" s="252"/>
      <c r="K1884" s="252"/>
      <c r="L1884"/>
      <c r="M1884"/>
    </row>
    <row r="1885" spans="1:13" s="79" customFormat="1" x14ac:dyDescent="0.35">
      <c r="A1885" s="251"/>
      <c r="B1885" s="22"/>
      <c r="C1885" s="252"/>
      <c r="D1885" s="252"/>
      <c r="E1885" s="252"/>
      <c r="F1885" s="252"/>
      <c r="G1885" s="252"/>
      <c r="H1885" s="252"/>
      <c r="I1885" s="252"/>
      <c r="J1885" s="252"/>
      <c r="K1885" s="252"/>
      <c r="L1885"/>
      <c r="M1885"/>
    </row>
    <row r="1886" spans="1:13" s="79" customFormat="1" x14ac:dyDescent="0.35">
      <c r="A1886" s="251"/>
      <c r="B1886" s="22"/>
      <c r="C1886" s="252"/>
      <c r="D1886" s="252"/>
      <c r="E1886" s="252"/>
      <c r="F1886" s="252"/>
      <c r="G1886" s="252"/>
      <c r="H1886" s="252"/>
      <c r="I1886" s="252"/>
      <c r="J1886" s="252"/>
      <c r="K1886" s="252"/>
      <c r="L1886"/>
      <c r="M1886"/>
    </row>
    <row r="1887" spans="1:13" s="79" customFormat="1" x14ac:dyDescent="0.35">
      <c r="A1887" s="251"/>
      <c r="B1887" s="22"/>
      <c r="C1887" s="252"/>
      <c r="D1887" s="252"/>
      <c r="E1887" s="252"/>
      <c r="F1887" s="252"/>
      <c r="G1887" s="252"/>
      <c r="H1887" s="252"/>
      <c r="I1887" s="252"/>
      <c r="J1887" s="252"/>
      <c r="K1887" s="252"/>
      <c r="L1887"/>
      <c r="M1887"/>
    </row>
    <row r="1888" spans="1:13" s="79" customFormat="1" x14ac:dyDescent="0.35">
      <c r="A1888" s="251"/>
      <c r="B1888" s="22"/>
      <c r="C1888" s="252"/>
      <c r="D1888" s="252"/>
      <c r="E1888" s="252"/>
      <c r="F1888" s="252"/>
      <c r="G1888" s="252"/>
      <c r="H1888" s="252"/>
      <c r="I1888" s="252"/>
      <c r="J1888" s="252"/>
      <c r="K1888" s="252"/>
      <c r="L1888"/>
      <c r="M1888"/>
    </row>
    <row r="1889" spans="1:13" s="79" customFormat="1" x14ac:dyDescent="0.35">
      <c r="A1889" s="251"/>
      <c r="B1889" s="22"/>
      <c r="C1889" s="252"/>
      <c r="D1889" s="252"/>
      <c r="E1889" s="252"/>
      <c r="F1889" s="252"/>
      <c r="G1889" s="252"/>
      <c r="H1889" s="252"/>
      <c r="I1889" s="252"/>
      <c r="J1889" s="252"/>
      <c r="K1889" s="252"/>
      <c r="L1889"/>
      <c r="M1889"/>
    </row>
    <row r="1890" spans="1:13" s="79" customFormat="1" x14ac:dyDescent="0.35">
      <c r="A1890" s="251"/>
      <c r="B1890" s="22"/>
      <c r="C1890" s="252"/>
      <c r="D1890" s="252"/>
      <c r="E1890" s="252"/>
      <c r="F1890" s="252"/>
      <c r="G1890" s="252"/>
      <c r="H1890" s="252"/>
      <c r="I1890" s="252"/>
      <c r="J1890" s="252"/>
      <c r="K1890" s="252"/>
      <c r="L1890"/>
      <c r="M1890"/>
    </row>
    <row r="1891" spans="1:13" s="79" customFormat="1" x14ac:dyDescent="0.35">
      <c r="A1891" s="251"/>
      <c r="B1891" s="22"/>
      <c r="C1891" s="252"/>
      <c r="D1891" s="252"/>
      <c r="E1891" s="252"/>
      <c r="F1891" s="252"/>
      <c r="G1891" s="252"/>
      <c r="H1891" s="252"/>
      <c r="I1891" s="252"/>
      <c r="J1891" s="252"/>
      <c r="K1891" s="252"/>
      <c r="L1891"/>
      <c r="M1891"/>
    </row>
    <row r="1892" spans="1:13" s="79" customFormat="1" x14ac:dyDescent="0.35">
      <c r="A1892" s="251"/>
      <c r="B1892" s="22"/>
      <c r="C1892" s="252"/>
      <c r="D1892" s="252"/>
      <c r="E1892" s="252"/>
      <c r="F1892" s="252"/>
      <c r="G1892" s="252"/>
      <c r="H1892" s="252"/>
      <c r="I1892" s="252"/>
      <c r="J1892" s="252"/>
      <c r="K1892" s="252"/>
      <c r="L1892"/>
      <c r="M1892"/>
    </row>
    <row r="1893" spans="1:13" s="79" customFormat="1" x14ac:dyDescent="0.35">
      <c r="A1893" s="251"/>
      <c r="B1893" s="22"/>
      <c r="C1893" s="252"/>
      <c r="D1893" s="252"/>
      <c r="E1893" s="252"/>
      <c r="F1893" s="252"/>
      <c r="G1893" s="252"/>
      <c r="H1893" s="252"/>
      <c r="I1893" s="252"/>
      <c r="J1893" s="252"/>
      <c r="K1893" s="252"/>
      <c r="L1893"/>
      <c r="M1893"/>
    </row>
    <row r="1894" spans="1:13" s="79" customFormat="1" x14ac:dyDescent="0.35">
      <c r="A1894" s="251"/>
      <c r="B1894" s="22"/>
      <c r="C1894" s="252"/>
      <c r="D1894" s="252"/>
      <c r="E1894" s="252"/>
      <c r="F1894" s="252"/>
      <c r="G1894" s="252"/>
      <c r="H1894" s="252"/>
      <c r="I1894" s="252"/>
      <c r="J1894" s="252"/>
      <c r="K1894" s="252"/>
      <c r="L1894"/>
      <c r="M1894"/>
    </row>
    <row r="1895" spans="1:13" s="79" customFormat="1" x14ac:dyDescent="0.35">
      <c r="A1895" s="251"/>
      <c r="B1895" s="22"/>
      <c r="C1895" s="252"/>
      <c r="D1895" s="252"/>
      <c r="E1895" s="252"/>
      <c r="F1895" s="252"/>
      <c r="G1895" s="252"/>
      <c r="H1895" s="252"/>
      <c r="I1895" s="252"/>
      <c r="J1895" s="252"/>
      <c r="K1895" s="252"/>
      <c r="L1895"/>
      <c r="M1895"/>
    </row>
    <row r="1896" spans="1:13" s="79" customFormat="1" x14ac:dyDescent="0.35">
      <c r="A1896" s="251"/>
      <c r="B1896" s="22"/>
      <c r="C1896" s="252"/>
      <c r="D1896" s="252"/>
      <c r="E1896" s="252"/>
      <c r="F1896" s="252"/>
      <c r="G1896" s="252"/>
      <c r="H1896" s="252"/>
      <c r="I1896" s="252"/>
      <c r="J1896" s="252"/>
      <c r="K1896" s="252"/>
      <c r="L1896"/>
      <c r="M1896"/>
    </row>
    <row r="1897" spans="1:13" s="79" customFormat="1" x14ac:dyDescent="0.35">
      <c r="A1897" s="251"/>
      <c r="B1897" s="22"/>
      <c r="C1897" s="252"/>
      <c r="D1897" s="252"/>
      <c r="E1897" s="252"/>
      <c r="F1897" s="252"/>
      <c r="G1897" s="252"/>
      <c r="H1897" s="252"/>
      <c r="I1897" s="252"/>
      <c r="J1897" s="252"/>
      <c r="K1897" s="252"/>
      <c r="L1897"/>
      <c r="M1897"/>
    </row>
    <row r="1898" spans="1:13" s="79" customFormat="1" x14ac:dyDescent="0.35">
      <c r="A1898" s="251"/>
      <c r="B1898" s="22"/>
      <c r="C1898" s="252"/>
      <c r="D1898" s="252"/>
      <c r="E1898" s="252"/>
      <c r="F1898" s="252"/>
      <c r="G1898" s="252"/>
      <c r="H1898" s="252"/>
      <c r="I1898" s="252"/>
      <c r="J1898" s="252"/>
      <c r="K1898" s="252"/>
      <c r="L1898"/>
      <c r="M1898"/>
    </row>
    <row r="1899" spans="1:13" s="79" customFormat="1" x14ac:dyDescent="0.35">
      <c r="A1899" s="251"/>
      <c r="B1899" s="22"/>
      <c r="C1899" s="252"/>
      <c r="D1899" s="252"/>
      <c r="E1899" s="252"/>
      <c r="F1899" s="252"/>
      <c r="G1899" s="252"/>
      <c r="H1899" s="252"/>
      <c r="I1899" s="252"/>
      <c r="J1899" s="252"/>
      <c r="K1899" s="252"/>
      <c r="L1899"/>
      <c r="M1899"/>
    </row>
    <row r="1900" spans="1:13" s="79" customFormat="1" x14ac:dyDescent="0.35">
      <c r="A1900" s="251"/>
      <c r="B1900" s="22"/>
      <c r="C1900" s="252"/>
      <c r="D1900" s="252"/>
      <c r="E1900" s="252"/>
      <c r="F1900" s="252"/>
      <c r="G1900" s="252"/>
      <c r="H1900" s="252"/>
      <c r="I1900" s="252"/>
      <c r="J1900" s="252"/>
      <c r="K1900" s="252"/>
      <c r="L1900"/>
      <c r="M1900"/>
    </row>
    <row r="1901" spans="1:13" s="79" customFormat="1" x14ac:dyDescent="0.35">
      <c r="A1901" s="251"/>
      <c r="B1901" s="22"/>
      <c r="C1901" s="252"/>
      <c r="D1901" s="252"/>
      <c r="E1901" s="252"/>
      <c r="F1901" s="252"/>
      <c r="G1901" s="252"/>
      <c r="H1901" s="252"/>
      <c r="I1901" s="252"/>
      <c r="J1901" s="252"/>
      <c r="K1901" s="252"/>
      <c r="L1901"/>
      <c r="M1901"/>
    </row>
    <row r="1902" spans="1:13" s="79" customFormat="1" x14ac:dyDescent="0.35">
      <c r="A1902" s="251"/>
      <c r="B1902" s="22"/>
      <c r="C1902" s="252"/>
      <c r="D1902" s="252"/>
      <c r="E1902" s="252"/>
      <c r="F1902" s="252"/>
      <c r="G1902" s="252"/>
      <c r="H1902" s="252"/>
      <c r="I1902" s="252"/>
      <c r="J1902" s="252"/>
      <c r="K1902" s="252"/>
      <c r="L1902"/>
      <c r="M1902"/>
    </row>
    <row r="1903" spans="1:13" s="79" customFormat="1" x14ac:dyDescent="0.35">
      <c r="A1903" s="251"/>
      <c r="B1903" s="22"/>
      <c r="C1903" s="252"/>
      <c r="D1903" s="252"/>
      <c r="E1903" s="252"/>
      <c r="F1903" s="252"/>
      <c r="G1903" s="252"/>
      <c r="H1903" s="252"/>
      <c r="I1903" s="252"/>
      <c r="J1903" s="252"/>
      <c r="K1903" s="252"/>
      <c r="L1903"/>
      <c r="M1903"/>
    </row>
    <row r="1904" spans="1:13" s="79" customFormat="1" x14ac:dyDescent="0.35">
      <c r="A1904" s="251"/>
      <c r="B1904" s="22"/>
      <c r="C1904" s="252"/>
      <c r="D1904" s="252"/>
      <c r="E1904" s="252"/>
      <c r="F1904" s="252"/>
      <c r="G1904" s="252"/>
      <c r="H1904" s="252"/>
      <c r="I1904" s="252"/>
      <c r="J1904" s="252"/>
      <c r="K1904" s="252"/>
      <c r="L1904"/>
      <c r="M1904"/>
    </row>
    <row r="1905" spans="1:13" s="79" customFormat="1" x14ac:dyDescent="0.35">
      <c r="A1905" s="251"/>
      <c r="B1905" s="22"/>
      <c r="C1905" s="252"/>
      <c r="D1905" s="252"/>
      <c r="E1905" s="252"/>
      <c r="F1905" s="252"/>
      <c r="G1905" s="252"/>
      <c r="H1905" s="252"/>
      <c r="I1905" s="252"/>
      <c r="J1905" s="252"/>
      <c r="K1905" s="252"/>
      <c r="L1905"/>
      <c r="M1905"/>
    </row>
    <row r="1906" spans="1:13" s="79" customFormat="1" x14ac:dyDescent="0.35">
      <c r="A1906" s="251"/>
      <c r="B1906" s="22"/>
      <c r="C1906" s="252"/>
      <c r="D1906" s="252"/>
      <c r="E1906" s="252"/>
      <c r="F1906" s="252"/>
      <c r="G1906" s="252"/>
      <c r="H1906" s="252"/>
      <c r="I1906" s="252"/>
      <c r="J1906" s="252"/>
      <c r="K1906" s="252"/>
      <c r="L1906"/>
      <c r="M1906"/>
    </row>
    <row r="1907" spans="1:13" s="79" customFormat="1" x14ac:dyDescent="0.35">
      <c r="A1907" s="251"/>
      <c r="B1907" s="22"/>
      <c r="C1907" s="252"/>
      <c r="D1907" s="252"/>
      <c r="E1907" s="252"/>
      <c r="F1907" s="252"/>
      <c r="G1907" s="252"/>
      <c r="H1907" s="252"/>
      <c r="I1907" s="252"/>
      <c r="J1907" s="252"/>
      <c r="K1907" s="252"/>
      <c r="L1907"/>
      <c r="M1907"/>
    </row>
    <row r="1908" spans="1:13" s="79" customFormat="1" x14ac:dyDescent="0.35">
      <c r="A1908" s="251"/>
      <c r="B1908" s="22"/>
      <c r="C1908" s="252"/>
      <c r="D1908" s="252"/>
      <c r="E1908" s="252"/>
      <c r="F1908" s="252"/>
      <c r="G1908" s="252"/>
      <c r="H1908" s="252"/>
      <c r="I1908" s="252"/>
      <c r="J1908" s="252"/>
      <c r="K1908" s="252"/>
      <c r="L1908"/>
      <c r="M1908"/>
    </row>
    <row r="1909" spans="1:13" s="79" customFormat="1" x14ac:dyDescent="0.35">
      <c r="A1909" s="251"/>
      <c r="B1909" s="22"/>
      <c r="C1909" s="252"/>
      <c r="D1909" s="252"/>
      <c r="E1909" s="252"/>
      <c r="F1909" s="252"/>
      <c r="G1909" s="252"/>
      <c r="H1909" s="252"/>
      <c r="I1909" s="252"/>
      <c r="J1909" s="252"/>
      <c r="K1909" s="252"/>
      <c r="L1909"/>
      <c r="M1909"/>
    </row>
    <row r="1910" spans="1:13" s="79" customFormat="1" x14ac:dyDescent="0.35">
      <c r="A1910" s="251"/>
      <c r="B1910" s="22"/>
      <c r="C1910" s="252"/>
      <c r="D1910" s="252"/>
      <c r="E1910" s="252"/>
      <c r="F1910" s="252"/>
      <c r="G1910" s="252"/>
      <c r="H1910" s="252"/>
      <c r="I1910" s="252"/>
      <c r="J1910" s="252"/>
      <c r="K1910" s="252"/>
      <c r="L1910"/>
      <c r="M1910"/>
    </row>
    <row r="1911" spans="1:13" s="79" customFormat="1" x14ac:dyDescent="0.35">
      <c r="A1911" s="251"/>
      <c r="B1911" s="22"/>
      <c r="C1911" s="252"/>
      <c r="D1911" s="252"/>
      <c r="E1911" s="252"/>
      <c r="F1911" s="252"/>
      <c r="G1911" s="252"/>
      <c r="H1911" s="252"/>
      <c r="I1911" s="252"/>
      <c r="J1911" s="252"/>
      <c r="K1911" s="252"/>
      <c r="L1911"/>
      <c r="M1911"/>
    </row>
    <row r="1912" spans="1:13" s="79" customFormat="1" x14ac:dyDescent="0.35">
      <c r="A1912" s="251"/>
      <c r="B1912" s="22"/>
      <c r="C1912" s="252"/>
      <c r="D1912" s="252"/>
      <c r="E1912" s="252"/>
      <c r="F1912" s="252"/>
      <c r="G1912" s="252"/>
      <c r="H1912" s="252"/>
      <c r="I1912" s="252"/>
      <c r="J1912" s="252"/>
      <c r="K1912" s="252"/>
      <c r="L1912"/>
      <c r="M1912"/>
    </row>
    <row r="1913" spans="1:13" s="79" customFormat="1" x14ac:dyDescent="0.35">
      <c r="A1913" s="251"/>
      <c r="B1913" s="22"/>
      <c r="C1913" s="252"/>
      <c r="D1913" s="252"/>
      <c r="E1913" s="252"/>
      <c r="F1913" s="252"/>
      <c r="G1913" s="252"/>
      <c r="H1913" s="252"/>
      <c r="I1913" s="252"/>
      <c r="J1913" s="252"/>
      <c r="K1913" s="252"/>
      <c r="L1913"/>
      <c r="M1913"/>
    </row>
    <row r="1914" spans="1:13" s="79" customFormat="1" x14ac:dyDescent="0.35">
      <c r="A1914" s="251"/>
      <c r="B1914" s="22"/>
      <c r="C1914" s="252"/>
      <c r="D1914" s="252"/>
      <c r="E1914" s="252"/>
      <c r="F1914" s="252"/>
      <c r="G1914" s="252"/>
      <c r="H1914" s="252"/>
      <c r="I1914" s="252"/>
      <c r="J1914" s="252"/>
      <c r="K1914" s="252"/>
      <c r="L1914"/>
      <c r="M1914"/>
    </row>
    <row r="1915" spans="1:13" s="79" customFormat="1" x14ac:dyDescent="0.35">
      <c r="A1915" s="251"/>
      <c r="B1915" s="22"/>
      <c r="C1915" s="252"/>
      <c r="D1915" s="252"/>
      <c r="E1915" s="252"/>
      <c r="F1915" s="252"/>
      <c r="G1915" s="252"/>
      <c r="H1915" s="252"/>
      <c r="I1915" s="252"/>
      <c r="J1915" s="252"/>
      <c r="K1915" s="252"/>
      <c r="L1915"/>
      <c r="M1915"/>
    </row>
    <row r="1916" spans="1:13" s="79" customFormat="1" x14ac:dyDescent="0.35">
      <c r="A1916" s="251"/>
      <c r="B1916" s="22"/>
      <c r="C1916" s="252"/>
      <c r="D1916" s="252"/>
      <c r="E1916" s="252"/>
      <c r="F1916" s="252"/>
      <c r="G1916" s="252"/>
      <c r="H1916" s="252"/>
      <c r="I1916" s="252"/>
      <c r="J1916" s="252"/>
      <c r="K1916" s="252"/>
      <c r="L1916"/>
      <c r="M1916"/>
    </row>
    <row r="1917" spans="1:13" s="79" customFormat="1" x14ac:dyDescent="0.35">
      <c r="A1917" s="251"/>
      <c r="B1917" s="22"/>
      <c r="C1917" s="252"/>
      <c r="D1917" s="252"/>
      <c r="E1917" s="252"/>
      <c r="F1917" s="252"/>
      <c r="G1917" s="252"/>
      <c r="H1917" s="252"/>
      <c r="I1917" s="252"/>
      <c r="J1917" s="252"/>
      <c r="K1917" s="252"/>
      <c r="L1917"/>
      <c r="M1917"/>
    </row>
    <row r="1918" spans="1:13" s="79" customFormat="1" x14ac:dyDescent="0.35">
      <c r="A1918" s="251"/>
      <c r="B1918" s="22"/>
      <c r="C1918" s="252"/>
      <c r="D1918" s="252"/>
      <c r="E1918" s="252"/>
      <c r="F1918" s="252"/>
      <c r="G1918" s="252"/>
      <c r="H1918" s="252"/>
      <c r="I1918" s="252"/>
      <c r="J1918" s="252"/>
      <c r="K1918" s="252"/>
      <c r="L1918"/>
      <c r="M1918"/>
    </row>
    <row r="1919" spans="1:13" s="79" customFormat="1" x14ac:dyDescent="0.35">
      <c r="A1919" s="251"/>
      <c r="B1919" s="22"/>
      <c r="C1919" s="252"/>
      <c r="D1919" s="252"/>
      <c r="E1919" s="252"/>
      <c r="F1919" s="252"/>
      <c r="G1919" s="252"/>
      <c r="H1919" s="252"/>
      <c r="I1919" s="252"/>
      <c r="J1919" s="252"/>
      <c r="K1919" s="252"/>
      <c r="L1919"/>
      <c r="M1919"/>
    </row>
    <row r="1920" spans="1:13" s="79" customFormat="1" x14ac:dyDescent="0.35">
      <c r="A1920" s="251"/>
      <c r="B1920" s="22"/>
      <c r="C1920" s="252"/>
      <c r="D1920" s="252"/>
      <c r="E1920" s="252"/>
      <c r="F1920" s="252"/>
      <c r="G1920" s="252"/>
      <c r="H1920" s="252"/>
      <c r="I1920" s="252"/>
      <c r="J1920" s="252"/>
      <c r="K1920" s="252"/>
      <c r="L1920"/>
      <c r="M1920"/>
    </row>
    <row r="1921" spans="1:13" s="79" customFormat="1" x14ac:dyDescent="0.35">
      <c r="A1921" s="251"/>
      <c r="B1921" s="22"/>
      <c r="C1921" s="252"/>
      <c r="D1921" s="252"/>
      <c r="E1921" s="252"/>
      <c r="F1921" s="252"/>
      <c r="G1921" s="252"/>
      <c r="H1921" s="252"/>
      <c r="I1921" s="252"/>
      <c r="J1921" s="252"/>
      <c r="K1921" s="252"/>
      <c r="L1921"/>
      <c r="M1921"/>
    </row>
    <row r="1922" spans="1:13" s="79" customFormat="1" x14ac:dyDescent="0.35">
      <c r="A1922" s="251"/>
      <c r="B1922" s="22"/>
      <c r="C1922" s="252"/>
      <c r="D1922" s="252"/>
      <c r="E1922" s="252"/>
      <c r="F1922" s="252"/>
      <c r="G1922" s="252"/>
      <c r="H1922" s="252"/>
      <c r="I1922" s="252"/>
      <c r="J1922" s="252"/>
      <c r="K1922" s="252"/>
      <c r="L1922"/>
      <c r="M1922"/>
    </row>
    <row r="1923" spans="1:13" s="79" customFormat="1" x14ac:dyDescent="0.35">
      <c r="A1923" s="251"/>
      <c r="B1923" s="22"/>
      <c r="C1923" s="252"/>
      <c r="D1923" s="252"/>
      <c r="E1923" s="252"/>
      <c r="F1923" s="252"/>
      <c r="G1923" s="252"/>
      <c r="H1923" s="252"/>
      <c r="I1923" s="252"/>
      <c r="J1923" s="252"/>
      <c r="K1923" s="252"/>
      <c r="L1923"/>
      <c r="M1923"/>
    </row>
    <row r="1924" spans="1:13" s="79" customFormat="1" x14ac:dyDescent="0.35">
      <c r="A1924" s="251"/>
      <c r="B1924" s="22"/>
      <c r="C1924" s="252"/>
      <c r="D1924" s="252"/>
      <c r="E1924" s="252"/>
      <c r="F1924" s="252"/>
      <c r="G1924" s="252"/>
      <c r="H1924" s="252"/>
      <c r="I1924" s="252"/>
      <c r="J1924" s="252"/>
      <c r="K1924" s="252"/>
      <c r="L1924"/>
      <c r="M1924"/>
    </row>
    <row r="1925" spans="1:13" s="79" customFormat="1" x14ac:dyDescent="0.35">
      <c r="A1925" s="251"/>
      <c r="B1925" s="22"/>
      <c r="C1925" s="252"/>
      <c r="D1925" s="252"/>
      <c r="E1925" s="252"/>
      <c r="F1925" s="252"/>
      <c r="G1925" s="252"/>
      <c r="H1925" s="252"/>
      <c r="I1925" s="252"/>
      <c r="J1925" s="252"/>
      <c r="K1925" s="252"/>
      <c r="L1925"/>
      <c r="M1925"/>
    </row>
    <row r="1926" spans="1:13" s="79" customFormat="1" x14ac:dyDescent="0.35">
      <c r="A1926" s="251"/>
      <c r="B1926" s="22"/>
      <c r="C1926" s="252"/>
      <c r="D1926" s="252"/>
      <c r="E1926" s="252"/>
      <c r="F1926" s="252"/>
      <c r="G1926" s="252"/>
      <c r="H1926" s="252"/>
      <c r="I1926" s="252"/>
      <c r="J1926" s="252"/>
      <c r="K1926" s="252"/>
      <c r="L1926"/>
      <c r="M1926"/>
    </row>
    <row r="1927" spans="1:13" s="79" customFormat="1" x14ac:dyDescent="0.35">
      <c r="A1927" s="251"/>
      <c r="B1927" s="22"/>
      <c r="C1927" s="252"/>
      <c r="D1927" s="252"/>
      <c r="E1927" s="252"/>
      <c r="F1927" s="252"/>
      <c r="G1927" s="252"/>
      <c r="H1927" s="252"/>
      <c r="I1927" s="252"/>
      <c r="J1927" s="252"/>
      <c r="K1927" s="252"/>
      <c r="L1927"/>
      <c r="M1927"/>
    </row>
    <row r="1928" spans="1:13" s="79" customFormat="1" x14ac:dyDescent="0.35">
      <c r="A1928" s="251"/>
      <c r="B1928" s="22"/>
      <c r="C1928" s="252"/>
      <c r="D1928" s="252"/>
      <c r="E1928" s="252"/>
      <c r="F1928" s="252"/>
      <c r="G1928" s="252"/>
      <c r="H1928" s="252"/>
      <c r="I1928" s="252"/>
      <c r="J1928" s="252"/>
      <c r="K1928" s="252"/>
      <c r="L1928"/>
      <c r="M1928"/>
    </row>
    <row r="1929" spans="1:13" s="79" customFormat="1" x14ac:dyDescent="0.35">
      <c r="A1929" s="251"/>
      <c r="B1929" s="22"/>
      <c r="C1929" s="252"/>
      <c r="D1929" s="252"/>
      <c r="E1929" s="252"/>
      <c r="F1929" s="252"/>
      <c r="G1929" s="252"/>
      <c r="H1929" s="252"/>
      <c r="I1929" s="252"/>
      <c r="J1929" s="252"/>
      <c r="K1929" s="252"/>
      <c r="L1929"/>
      <c r="M1929"/>
    </row>
    <row r="1930" spans="1:13" s="79" customFormat="1" x14ac:dyDescent="0.35">
      <c r="A1930" s="251"/>
      <c r="B1930" s="22"/>
      <c r="C1930" s="252"/>
      <c r="D1930" s="252"/>
      <c r="E1930" s="252"/>
      <c r="F1930" s="252"/>
      <c r="G1930" s="252"/>
      <c r="H1930" s="252"/>
      <c r="I1930" s="252"/>
      <c r="J1930" s="252"/>
      <c r="K1930" s="252"/>
      <c r="L1930"/>
      <c r="M1930"/>
    </row>
    <row r="1931" spans="1:13" s="79" customFormat="1" x14ac:dyDescent="0.35">
      <c r="A1931" s="251"/>
      <c r="B1931" s="22"/>
      <c r="C1931" s="252"/>
      <c r="D1931" s="252"/>
      <c r="E1931" s="252"/>
      <c r="F1931" s="252"/>
      <c r="G1931" s="252"/>
      <c r="H1931" s="252"/>
      <c r="I1931" s="252"/>
      <c r="J1931" s="252"/>
      <c r="K1931" s="252"/>
      <c r="L1931"/>
      <c r="M1931"/>
    </row>
    <row r="1932" spans="1:13" s="79" customFormat="1" x14ac:dyDescent="0.35">
      <c r="A1932" s="251"/>
      <c r="B1932" s="22"/>
      <c r="C1932" s="252"/>
      <c r="D1932" s="252"/>
      <c r="E1932" s="252"/>
      <c r="F1932" s="252"/>
      <c r="G1932" s="252"/>
      <c r="H1932" s="252"/>
      <c r="I1932" s="252"/>
      <c r="J1932" s="252"/>
      <c r="K1932" s="252"/>
      <c r="L1932"/>
      <c r="M1932"/>
    </row>
    <row r="1933" spans="1:13" s="79" customFormat="1" x14ac:dyDescent="0.35">
      <c r="A1933" s="251"/>
      <c r="B1933" s="22"/>
      <c r="C1933" s="252"/>
      <c r="D1933" s="252"/>
      <c r="E1933" s="252"/>
      <c r="F1933" s="252"/>
      <c r="G1933" s="252"/>
      <c r="H1933" s="252"/>
      <c r="I1933" s="252"/>
      <c r="J1933" s="252"/>
      <c r="K1933" s="252"/>
      <c r="L1933"/>
      <c r="M1933"/>
    </row>
    <row r="1934" spans="1:13" s="79" customFormat="1" x14ac:dyDescent="0.35">
      <c r="A1934" s="251"/>
      <c r="B1934" s="22"/>
      <c r="C1934" s="252"/>
      <c r="D1934" s="252"/>
      <c r="E1934" s="252"/>
      <c r="F1934" s="252"/>
      <c r="G1934" s="252"/>
      <c r="H1934" s="252"/>
      <c r="I1934" s="252"/>
      <c r="J1934" s="252"/>
      <c r="K1934" s="252"/>
      <c r="L1934"/>
      <c r="M1934"/>
    </row>
    <row r="1935" spans="1:13" s="79" customFormat="1" x14ac:dyDescent="0.35">
      <c r="A1935" s="251"/>
      <c r="B1935" s="22"/>
      <c r="C1935" s="252"/>
      <c r="D1935" s="252"/>
      <c r="E1935" s="252"/>
      <c r="F1935" s="252"/>
      <c r="G1935" s="252"/>
      <c r="H1935" s="252"/>
      <c r="I1935" s="252"/>
      <c r="J1935" s="252"/>
      <c r="K1935" s="252"/>
      <c r="L1935"/>
      <c r="M1935"/>
    </row>
    <row r="1936" spans="1:13" s="79" customFormat="1" x14ac:dyDescent="0.35">
      <c r="A1936" s="251"/>
      <c r="B1936" s="22"/>
      <c r="C1936" s="252"/>
      <c r="D1936" s="252"/>
      <c r="E1936" s="252"/>
      <c r="F1936" s="252"/>
      <c r="G1936" s="252"/>
      <c r="H1936" s="252"/>
      <c r="I1936" s="252"/>
      <c r="J1936" s="252"/>
      <c r="K1936" s="252"/>
      <c r="L1936"/>
      <c r="M1936"/>
    </row>
    <row r="1937" spans="1:13" s="79" customFormat="1" x14ac:dyDescent="0.35">
      <c r="A1937" s="251"/>
      <c r="B1937" s="22"/>
      <c r="C1937" s="252"/>
      <c r="D1937" s="252"/>
      <c r="E1937" s="252"/>
      <c r="F1937" s="252"/>
      <c r="G1937" s="252"/>
      <c r="H1937" s="252"/>
      <c r="I1937" s="252"/>
      <c r="J1937" s="252"/>
      <c r="K1937" s="252"/>
      <c r="L1937"/>
      <c r="M1937"/>
    </row>
    <row r="1938" spans="1:13" s="79" customFormat="1" x14ac:dyDescent="0.35">
      <c r="A1938" s="251"/>
      <c r="B1938" s="22"/>
      <c r="C1938" s="252"/>
      <c r="D1938" s="252"/>
      <c r="E1938" s="252"/>
      <c r="F1938" s="252"/>
      <c r="G1938" s="252"/>
      <c r="H1938" s="252"/>
      <c r="I1938" s="252"/>
      <c r="J1938" s="252"/>
      <c r="K1938" s="252"/>
      <c r="L1938"/>
      <c r="M1938"/>
    </row>
    <row r="1939" spans="1:13" s="79" customFormat="1" x14ac:dyDescent="0.35">
      <c r="A1939" s="251"/>
      <c r="B1939" s="22"/>
      <c r="C1939" s="252"/>
      <c r="D1939" s="252"/>
      <c r="E1939" s="252"/>
      <c r="F1939" s="252"/>
      <c r="G1939" s="252"/>
      <c r="H1939" s="252"/>
      <c r="I1939" s="252"/>
      <c r="J1939" s="252"/>
      <c r="K1939" s="252"/>
      <c r="L1939"/>
      <c r="M1939"/>
    </row>
    <row r="1940" spans="1:13" s="79" customFormat="1" x14ac:dyDescent="0.35">
      <c r="A1940" s="251"/>
      <c r="B1940" s="22"/>
      <c r="C1940" s="252"/>
      <c r="D1940" s="252"/>
      <c r="E1940" s="252"/>
      <c r="F1940" s="252"/>
      <c r="G1940" s="252"/>
      <c r="H1940" s="252"/>
      <c r="I1940" s="252"/>
      <c r="J1940" s="252"/>
      <c r="K1940" s="252"/>
      <c r="L1940"/>
      <c r="M1940"/>
    </row>
    <row r="1941" spans="1:13" s="79" customFormat="1" x14ac:dyDescent="0.35">
      <c r="A1941" s="251"/>
      <c r="B1941" s="22"/>
      <c r="C1941" s="252"/>
      <c r="D1941" s="252"/>
      <c r="E1941" s="252"/>
      <c r="F1941" s="252"/>
      <c r="G1941" s="252"/>
      <c r="H1941" s="252"/>
      <c r="I1941" s="252"/>
      <c r="J1941" s="252"/>
      <c r="K1941" s="252"/>
      <c r="L1941"/>
      <c r="M1941"/>
    </row>
    <row r="1942" spans="1:13" s="79" customFormat="1" x14ac:dyDescent="0.35">
      <c r="A1942" s="251"/>
      <c r="B1942" s="22"/>
      <c r="C1942" s="252"/>
      <c r="D1942" s="252"/>
      <c r="E1942" s="252"/>
      <c r="F1942" s="252"/>
      <c r="G1942" s="252"/>
      <c r="H1942" s="252"/>
      <c r="I1942" s="252"/>
      <c r="J1942" s="252"/>
      <c r="K1942" s="252"/>
      <c r="L1942"/>
      <c r="M1942"/>
    </row>
    <row r="1943" spans="1:13" s="79" customFormat="1" x14ac:dyDescent="0.35">
      <c r="A1943" s="251"/>
      <c r="B1943" s="22"/>
      <c r="C1943" s="252"/>
      <c r="D1943" s="252"/>
      <c r="E1943" s="252"/>
      <c r="F1943" s="252"/>
      <c r="G1943" s="252"/>
      <c r="H1943" s="252"/>
      <c r="I1943" s="252"/>
      <c r="J1943" s="252"/>
      <c r="K1943" s="252"/>
      <c r="L1943"/>
      <c r="M1943"/>
    </row>
    <row r="1944" spans="1:13" s="79" customFormat="1" x14ac:dyDescent="0.35">
      <c r="A1944" s="251"/>
      <c r="B1944" s="22"/>
      <c r="C1944" s="252"/>
      <c r="D1944" s="252"/>
      <c r="E1944" s="252"/>
      <c r="F1944" s="252"/>
      <c r="G1944" s="252"/>
      <c r="H1944" s="252"/>
      <c r="I1944" s="252"/>
      <c r="J1944" s="252"/>
      <c r="K1944" s="252"/>
      <c r="L1944"/>
      <c r="M1944"/>
    </row>
    <row r="1945" spans="1:13" s="79" customFormat="1" x14ac:dyDescent="0.35">
      <c r="A1945" s="251"/>
      <c r="B1945" s="22"/>
      <c r="C1945" s="252"/>
      <c r="D1945" s="252"/>
      <c r="E1945" s="252"/>
      <c r="F1945" s="252"/>
      <c r="G1945" s="252"/>
      <c r="H1945" s="252"/>
      <c r="I1945" s="252"/>
      <c r="J1945" s="252"/>
      <c r="K1945" s="252"/>
      <c r="L1945"/>
      <c r="M1945"/>
    </row>
    <row r="1946" spans="1:13" s="79" customFormat="1" x14ac:dyDescent="0.35">
      <c r="A1946" s="251"/>
      <c r="B1946" s="22"/>
      <c r="C1946" s="252"/>
      <c r="D1946" s="252"/>
      <c r="E1946" s="252"/>
      <c r="F1946" s="252"/>
      <c r="G1946" s="252"/>
      <c r="H1946" s="252"/>
      <c r="I1946" s="252"/>
      <c r="J1946" s="252"/>
      <c r="K1946" s="252"/>
      <c r="L1946"/>
      <c r="M1946"/>
    </row>
    <row r="1947" spans="1:13" s="79" customFormat="1" x14ac:dyDescent="0.35">
      <c r="A1947" s="251"/>
      <c r="B1947" s="22"/>
      <c r="C1947" s="252"/>
      <c r="D1947" s="252"/>
      <c r="E1947" s="252"/>
      <c r="F1947" s="252"/>
      <c r="G1947" s="252"/>
      <c r="H1947" s="252"/>
      <c r="I1947" s="252"/>
      <c r="J1947" s="252"/>
      <c r="K1947" s="252"/>
      <c r="L1947"/>
      <c r="M1947"/>
    </row>
    <row r="1948" spans="1:13" s="79" customFormat="1" x14ac:dyDescent="0.35">
      <c r="A1948" s="251"/>
      <c r="B1948" s="22"/>
      <c r="C1948" s="252"/>
      <c r="D1948" s="252"/>
      <c r="E1948" s="252"/>
      <c r="F1948" s="252"/>
      <c r="G1948" s="252"/>
      <c r="H1948" s="252"/>
      <c r="I1948" s="252"/>
      <c r="J1948" s="252"/>
      <c r="K1948" s="252"/>
      <c r="L1948"/>
      <c r="M1948"/>
    </row>
    <row r="1949" spans="1:13" s="79" customFormat="1" x14ac:dyDescent="0.35">
      <c r="A1949" s="251"/>
      <c r="B1949" s="22"/>
      <c r="C1949" s="252"/>
      <c r="D1949" s="252"/>
      <c r="E1949" s="252"/>
      <c r="F1949" s="252"/>
      <c r="G1949" s="252"/>
      <c r="H1949" s="252"/>
      <c r="I1949" s="252"/>
      <c r="J1949" s="252"/>
      <c r="K1949" s="252"/>
      <c r="L1949"/>
      <c r="M1949"/>
    </row>
    <row r="1950" spans="1:13" s="79" customFormat="1" x14ac:dyDescent="0.35">
      <c r="A1950" s="251"/>
      <c r="B1950" s="22"/>
      <c r="C1950" s="252"/>
      <c r="D1950" s="252"/>
      <c r="E1950" s="252"/>
      <c r="F1950" s="252"/>
      <c r="G1950" s="252"/>
      <c r="H1950" s="252"/>
      <c r="I1950" s="252"/>
      <c r="J1950" s="252"/>
      <c r="K1950" s="252"/>
      <c r="L1950"/>
      <c r="M1950"/>
    </row>
    <row r="1951" spans="1:13" s="79" customFormat="1" x14ac:dyDescent="0.35">
      <c r="A1951" s="251"/>
      <c r="B1951" s="22"/>
      <c r="C1951" s="252"/>
      <c r="D1951" s="252"/>
      <c r="E1951" s="252"/>
      <c r="F1951" s="252"/>
      <c r="G1951" s="252"/>
      <c r="H1951" s="252"/>
      <c r="I1951" s="252"/>
      <c r="J1951" s="252"/>
      <c r="K1951" s="252"/>
      <c r="L1951"/>
      <c r="M1951"/>
    </row>
    <row r="1952" spans="1:13" s="79" customFormat="1" x14ac:dyDescent="0.35">
      <c r="A1952" s="251"/>
      <c r="B1952" s="22"/>
      <c r="C1952" s="252"/>
      <c r="D1952" s="252"/>
      <c r="E1952" s="252"/>
      <c r="F1952" s="252"/>
      <c r="G1952" s="252"/>
      <c r="H1952" s="252"/>
      <c r="I1952" s="252"/>
      <c r="J1952" s="252"/>
      <c r="K1952" s="252"/>
      <c r="L1952"/>
      <c r="M1952"/>
    </row>
    <row r="1953" spans="1:13" s="79" customFormat="1" x14ac:dyDescent="0.35">
      <c r="A1953" s="251"/>
      <c r="B1953" s="22"/>
      <c r="C1953" s="252"/>
      <c r="D1953" s="252"/>
      <c r="E1953" s="252"/>
      <c r="F1953" s="252"/>
      <c r="G1953" s="252"/>
      <c r="H1953" s="252"/>
      <c r="I1953" s="252"/>
      <c r="J1953" s="252"/>
      <c r="K1953" s="252"/>
      <c r="L1953"/>
      <c r="M1953"/>
    </row>
    <row r="1954" spans="1:13" s="79" customFormat="1" x14ac:dyDescent="0.35">
      <c r="A1954" s="251"/>
      <c r="B1954" s="22"/>
      <c r="C1954" s="252"/>
      <c r="D1954" s="252"/>
      <c r="E1954" s="252"/>
      <c r="F1954" s="252"/>
      <c r="G1954" s="252"/>
      <c r="H1954" s="252"/>
      <c r="I1954" s="252"/>
      <c r="J1954" s="252"/>
      <c r="K1954" s="252"/>
      <c r="L1954"/>
      <c r="M1954"/>
    </row>
    <row r="1955" spans="1:13" s="79" customFormat="1" x14ac:dyDescent="0.35">
      <c r="A1955" s="251"/>
      <c r="B1955" s="22"/>
      <c r="C1955" s="252"/>
      <c r="D1955" s="252"/>
      <c r="E1955" s="252"/>
      <c r="F1955" s="252"/>
      <c r="G1955" s="252"/>
      <c r="H1955" s="252"/>
      <c r="I1955" s="252"/>
      <c r="J1955" s="252"/>
      <c r="K1955" s="252"/>
      <c r="L1955"/>
      <c r="M1955"/>
    </row>
    <row r="1956" spans="1:13" s="79" customFormat="1" x14ac:dyDescent="0.35">
      <c r="A1956" s="251"/>
      <c r="B1956" s="22"/>
      <c r="C1956" s="252"/>
      <c r="D1956" s="252"/>
      <c r="E1956" s="252"/>
      <c r="F1956" s="252"/>
      <c r="G1956" s="252"/>
      <c r="H1956" s="252"/>
      <c r="I1956" s="252"/>
      <c r="J1956" s="252"/>
      <c r="K1956" s="252"/>
      <c r="L1956"/>
      <c r="M1956"/>
    </row>
    <row r="1957" spans="1:13" s="79" customFormat="1" x14ac:dyDescent="0.35">
      <c r="A1957" s="251"/>
      <c r="B1957" s="22"/>
      <c r="C1957" s="252"/>
      <c r="D1957" s="252"/>
      <c r="E1957" s="252"/>
      <c r="F1957" s="252"/>
      <c r="G1957" s="252"/>
      <c r="H1957" s="252"/>
      <c r="I1957" s="252"/>
      <c r="J1957" s="252"/>
      <c r="K1957" s="252"/>
      <c r="L1957"/>
      <c r="M1957"/>
    </row>
    <row r="1958" spans="1:13" s="79" customFormat="1" x14ac:dyDescent="0.35">
      <c r="A1958" s="251"/>
      <c r="B1958" s="22"/>
      <c r="C1958" s="252"/>
      <c r="D1958" s="252"/>
      <c r="E1958" s="252"/>
      <c r="F1958" s="252"/>
      <c r="G1958" s="252"/>
      <c r="H1958" s="252"/>
      <c r="I1958" s="252"/>
      <c r="J1958" s="252"/>
      <c r="K1958" s="252"/>
      <c r="L1958"/>
      <c r="M1958"/>
    </row>
    <row r="1959" spans="1:13" s="79" customFormat="1" x14ac:dyDescent="0.35">
      <c r="A1959" s="251"/>
      <c r="B1959" s="22"/>
      <c r="C1959" s="252"/>
      <c r="D1959" s="252"/>
      <c r="E1959" s="252"/>
      <c r="F1959" s="252"/>
      <c r="G1959" s="252"/>
      <c r="H1959" s="252"/>
      <c r="I1959" s="252"/>
      <c r="J1959" s="252"/>
      <c r="K1959" s="252"/>
      <c r="L1959"/>
      <c r="M1959"/>
    </row>
    <row r="1960" spans="1:13" s="79" customFormat="1" x14ac:dyDescent="0.35">
      <c r="A1960" s="251"/>
      <c r="B1960" s="22"/>
      <c r="C1960" s="252"/>
      <c r="D1960" s="252"/>
      <c r="E1960" s="252"/>
      <c r="F1960" s="252"/>
      <c r="G1960" s="252"/>
      <c r="H1960" s="252"/>
      <c r="I1960" s="252"/>
      <c r="J1960" s="252"/>
      <c r="K1960" s="252"/>
      <c r="L1960"/>
      <c r="M1960"/>
    </row>
    <row r="1961" spans="1:13" s="79" customFormat="1" x14ac:dyDescent="0.35">
      <c r="A1961" s="251"/>
      <c r="B1961" s="22"/>
      <c r="C1961" s="252"/>
      <c r="D1961" s="252"/>
      <c r="E1961" s="252"/>
      <c r="F1961" s="252"/>
      <c r="G1961" s="252"/>
      <c r="H1961" s="252"/>
      <c r="I1961" s="252"/>
      <c r="J1961" s="252"/>
      <c r="K1961" s="252"/>
      <c r="L1961"/>
      <c r="M1961"/>
    </row>
    <row r="1962" spans="1:13" s="79" customFormat="1" x14ac:dyDescent="0.35">
      <c r="A1962" s="251"/>
      <c r="B1962" s="22"/>
      <c r="C1962" s="252"/>
      <c r="D1962" s="252"/>
      <c r="E1962" s="252"/>
      <c r="F1962" s="252"/>
      <c r="G1962" s="252"/>
      <c r="H1962" s="252"/>
      <c r="I1962" s="252"/>
      <c r="J1962" s="252"/>
      <c r="K1962" s="252"/>
      <c r="L1962"/>
      <c r="M1962"/>
    </row>
    <row r="1963" spans="1:13" s="79" customFormat="1" x14ac:dyDescent="0.35">
      <c r="A1963" s="251"/>
      <c r="B1963" s="22"/>
      <c r="C1963" s="252"/>
      <c r="D1963" s="252"/>
      <c r="E1963" s="252"/>
      <c r="F1963" s="252"/>
      <c r="G1963" s="252"/>
      <c r="H1963" s="252"/>
      <c r="I1963" s="252"/>
      <c r="J1963" s="252"/>
      <c r="K1963" s="252"/>
      <c r="L1963"/>
      <c r="M1963"/>
    </row>
    <row r="1964" spans="1:13" s="79" customFormat="1" x14ac:dyDescent="0.35">
      <c r="A1964" s="251"/>
      <c r="B1964" s="22"/>
      <c r="C1964" s="252"/>
      <c r="D1964" s="252"/>
      <c r="E1964" s="252"/>
      <c r="F1964" s="252"/>
      <c r="G1964" s="252"/>
      <c r="H1964" s="252"/>
      <c r="I1964" s="252"/>
      <c r="J1964" s="252"/>
      <c r="K1964" s="252"/>
      <c r="L1964"/>
      <c r="M1964"/>
    </row>
    <row r="1965" spans="1:13" s="79" customFormat="1" x14ac:dyDescent="0.35">
      <c r="A1965" s="251"/>
      <c r="B1965" s="22"/>
      <c r="C1965" s="252"/>
      <c r="D1965" s="252"/>
      <c r="E1965" s="252"/>
      <c r="F1965" s="252"/>
      <c r="G1965" s="252"/>
      <c r="H1965" s="252"/>
      <c r="I1965" s="252"/>
      <c r="J1965" s="252"/>
      <c r="K1965" s="252"/>
      <c r="L1965"/>
      <c r="M1965"/>
    </row>
    <row r="1966" spans="1:13" s="79" customFormat="1" x14ac:dyDescent="0.35">
      <c r="A1966" s="251"/>
      <c r="B1966" s="22"/>
      <c r="C1966" s="252"/>
      <c r="D1966" s="252"/>
      <c r="E1966" s="252"/>
      <c r="F1966" s="252"/>
      <c r="G1966" s="252"/>
      <c r="H1966" s="252"/>
      <c r="I1966" s="252"/>
      <c r="J1966" s="252"/>
      <c r="K1966" s="252"/>
      <c r="L1966"/>
      <c r="M1966"/>
    </row>
    <row r="1967" spans="1:13" s="79" customFormat="1" x14ac:dyDescent="0.35">
      <c r="A1967" s="251"/>
      <c r="B1967" s="22"/>
      <c r="C1967" s="252"/>
      <c r="D1967" s="252"/>
      <c r="E1967" s="252"/>
      <c r="F1967" s="252"/>
      <c r="G1967" s="252"/>
      <c r="H1967" s="252"/>
      <c r="I1967" s="252"/>
      <c r="J1967" s="252"/>
      <c r="K1967" s="252"/>
      <c r="L1967"/>
      <c r="M1967"/>
    </row>
    <row r="1968" spans="1:13" s="79" customFormat="1" x14ac:dyDescent="0.35">
      <c r="A1968" s="251"/>
      <c r="B1968" s="22"/>
      <c r="C1968" s="252"/>
      <c r="D1968" s="252"/>
      <c r="E1968" s="252"/>
      <c r="F1968" s="252"/>
      <c r="G1968" s="252"/>
      <c r="H1968" s="252"/>
      <c r="I1968" s="252"/>
      <c r="J1968" s="252"/>
      <c r="K1968" s="252"/>
      <c r="L1968"/>
      <c r="M1968"/>
    </row>
    <row r="1969" spans="1:13" s="79" customFormat="1" x14ac:dyDescent="0.35">
      <c r="A1969" s="251"/>
      <c r="B1969" s="22"/>
      <c r="C1969" s="252"/>
      <c r="D1969" s="252"/>
      <c r="E1969" s="252"/>
      <c r="F1969" s="252"/>
      <c r="G1969" s="252"/>
      <c r="H1969" s="252"/>
      <c r="I1969" s="252"/>
      <c r="J1969" s="252"/>
      <c r="K1969" s="252"/>
      <c r="L1969"/>
      <c r="M1969"/>
    </row>
    <row r="1970" spans="1:13" s="79" customFormat="1" x14ac:dyDescent="0.35">
      <c r="A1970" s="251"/>
      <c r="B1970" s="22"/>
      <c r="C1970" s="252"/>
      <c r="D1970" s="252"/>
      <c r="E1970" s="252"/>
      <c r="F1970" s="252"/>
      <c r="G1970" s="252"/>
      <c r="H1970" s="252"/>
      <c r="I1970" s="252"/>
      <c r="J1970" s="252"/>
      <c r="K1970" s="252"/>
      <c r="L1970"/>
      <c r="M1970"/>
    </row>
    <row r="1971" spans="1:13" s="79" customFormat="1" x14ac:dyDescent="0.35">
      <c r="A1971" s="251"/>
      <c r="B1971" s="22"/>
      <c r="C1971" s="252"/>
      <c r="D1971" s="252"/>
      <c r="E1971" s="252"/>
      <c r="F1971" s="252"/>
      <c r="G1971" s="252"/>
      <c r="H1971" s="252"/>
      <c r="I1971" s="252"/>
      <c r="J1971" s="252"/>
      <c r="K1971" s="252"/>
      <c r="L1971"/>
      <c r="M1971"/>
    </row>
    <row r="1972" spans="1:13" s="79" customFormat="1" x14ac:dyDescent="0.35">
      <c r="A1972" s="251"/>
      <c r="B1972" s="22"/>
      <c r="C1972" s="252"/>
      <c r="D1972" s="252"/>
      <c r="E1972" s="252"/>
      <c r="F1972" s="252"/>
      <c r="G1972" s="252"/>
      <c r="H1972" s="252"/>
      <c r="I1972" s="252"/>
      <c r="J1972" s="252"/>
      <c r="K1972" s="252"/>
      <c r="L1972"/>
      <c r="M1972"/>
    </row>
    <row r="1973" spans="1:13" s="79" customFormat="1" x14ac:dyDescent="0.35">
      <c r="A1973" s="251"/>
      <c r="B1973" s="22"/>
      <c r="C1973" s="252"/>
      <c r="D1973" s="252"/>
      <c r="E1973" s="252"/>
      <c r="F1973" s="252"/>
      <c r="G1973" s="252"/>
      <c r="H1973" s="252"/>
      <c r="I1973" s="252"/>
      <c r="J1973" s="252"/>
      <c r="K1973" s="252"/>
      <c r="L1973"/>
      <c r="M1973"/>
    </row>
    <row r="1974" spans="1:13" s="79" customFormat="1" x14ac:dyDescent="0.35">
      <c r="A1974" s="251"/>
      <c r="B1974" s="22"/>
      <c r="C1974" s="252"/>
      <c r="D1974" s="252"/>
      <c r="E1974" s="252"/>
      <c r="F1974" s="252"/>
      <c r="G1974" s="252"/>
      <c r="H1974" s="252"/>
      <c r="I1974" s="252"/>
      <c r="J1974" s="252"/>
      <c r="K1974" s="252"/>
      <c r="L1974"/>
      <c r="M1974"/>
    </row>
    <row r="1975" spans="1:13" s="79" customFormat="1" x14ac:dyDescent="0.35">
      <c r="A1975" s="251"/>
      <c r="B1975" s="22"/>
      <c r="C1975" s="252"/>
      <c r="D1975" s="252"/>
      <c r="E1975" s="252"/>
      <c r="F1975" s="252"/>
      <c r="G1975" s="252"/>
      <c r="H1975" s="252"/>
      <c r="I1975" s="252"/>
      <c r="J1975" s="252"/>
      <c r="K1975" s="252"/>
      <c r="L1975"/>
      <c r="M1975"/>
    </row>
    <row r="1976" spans="1:13" s="79" customFormat="1" x14ac:dyDescent="0.35">
      <c r="A1976" s="251"/>
      <c r="B1976" s="22"/>
      <c r="C1976" s="252"/>
      <c r="D1976" s="252"/>
      <c r="E1976" s="252"/>
      <c r="F1976" s="252"/>
      <c r="G1976" s="252"/>
      <c r="H1976" s="252"/>
      <c r="I1976" s="252"/>
      <c r="J1976" s="252"/>
      <c r="K1976" s="252"/>
      <c r="L1976"/>
      <c r="M1976"/>
    </row>
    <row r="1977" spans="1:13" s="79" customFormat="1" x14ac:dyDescent="0.35">
      <c r="A1977" s="251"/>
      <c r="B1977" s="22"/>
      <c r="C1977" s="252"/>
      <c r="D1977" s="252"/>
      <c r="E1977" s="252"/>
      <c r="F1977" s="252"/>
      <c r="G1977" s="252"/>
      <c r="H1977" s="252"/>
      <c r="I1977" s="252"/>
      <c r="J1977" s="252"/>
      <c r="K1977" s="252"/>
      <c r="L1977"/>
      <c r="M1977"/>
    </row>
    <row r="1978" spans="1:13" s="79" customFormat="1" x14ac:dyDescent="0.35">
      <c r="A1978" s="251"/>
      <c r="B1978" s="22"/>
      <c r="C1978" s="252"/>
      <c r="D1978" s="252"/>
      <c r="E1978" s="252"/>
      <c r="F1978" s="252"/>
      <c r="G1978" s="252"/>
      <c r="H1978" s="252"/>
      <c r="I1978" s="252"/>
      <c r="J1978" s="252"/>
      <c r="K1978" s="252"/>
      <c r="L1978"/>
      <c r="M1978"/>
    </row>
    <row r="1979" spans="1:13" s="79" customFormat="1" x14ac:dyDescent="0.35">
      <c r="A1979" s="251"/>
      <c r="B1979" s="22"/>
      <c r="C1979" s="252"/>
      <c r="D1979" s="252"/>
      <c r="E1979" s="252"/>
      <c r="F1979" s="252"/>
      <c r="G1979" s="252"/>
      <c r="H1979" s="252"/>
      <c r="I1979" s="252"/>
      <c r="J1979" s="252"/>
      <c r="K1979" s="252"/>
      <c r="L1979"/>
      <c r="M1979"/>
    </row>
    <row r="1980" spans="1:13" s="79" customFormat="1" x14ac:dyDescent="0.35">
      <c r="A1980" s="251"/>
      <c r="B1980" s="22"/>
      <c r="C1980" s="252"/>
      <c r="D1980" s="252"/>
      <c r="E1980" s="252"/>
      <c r="F1980" s="252"/>
      <c r="G1980" s="252"/>
      <c r="H1980" s="252"/>
      <c r="I1980" s="252"/>
      <c r="J1980" s="252"/>
      <c r="K1980" s="252"/>
      <c r="L1980"/>
      <c r="M1980"/>
    </row>
    <row r="1981" spans="1:13" s="79" customFormat="1" x14ac:dyDescent="0.35">
      <c r="A1981" s="251"/>
      <c r="B1981" s="22"/>
      <c r="C1981" s="252"/>
      <c r="D1981" s="252"/>
      <c r="E1981" s="252"/>
      <c r="F1981" s="252"/>
      <c r="G1981" s="252"/>
      <c r="H1981" s="252"/>
      <c r="I1981" s="252"/>
      <c r="J1981" s="252"/>
      <c r="K1981" s="252"/>
      <c r="L1981"/>
      <c r="M1981"/>
    </row>
    <row r="1982" spans="1:13" s="79" customFormat="1" x14ac:dyDescent="0.35">
      <c r="A1982" s="251"/>
      <c r="B1982" s="22"/>
      <c r="C1982" s="252"/>
      <c r="D1982" s="252"/>
      <c r="E1982" s="252"/>
      <c r="F1982" s="252"/>
      <c r="G1982" s="252"/>
      <c r="H1982" s="252"/>
      <c r="I1982" s="252"/>
      <c r="J1982" s="252"/>
      <c r="K1982" s="252"/>
      <c r="L1982"/>
      <c r="M1982"/>
    </row>
    <row r="1983" spans="1:13" s="79" customFormat="1" x14ac:dyDescent="0.35">
      <c r="A1983" s="251"/>
      <c r="B1983" s="22"/>
      <c r="C1983" s="252"/>
      <c r="D1983" s="252"/>
      <c r="E1983" s="252"/>
      <c r="F1983" s="252"/>
      <c r="G1983" s="252"/>
      <c r="H1983" s="252"/>
      <c r="I1983" s="252"/>
      <c r="J1983" s="252"/>
      <c r="K1983" s="252"/>
      <c r="L1983"/>
      <c r="M1983"/>
    </row>
    <row r="1984" spans="1:13" s="79" customFormat="1" x14ac:dyDescent="0.35">
      <c r="A1984" s="251"/>
      <c r="B1984" s="22"/>
      <c r="C1984" s="252"/>
      <c r="D1984" s="252"/>
      <c r="E1984" s="252"/>
      <c r="F1984" s="252"/>
      <c r="G1984" s="252"/>
      <c r="H1984" s="252"/>
      <c r="I1984" s="252"/>
      <c r="J1984" s="252"/>
      <c r="K1984" s="252"/>
      <c r="L1984"/>
      <c r="M1984"/>
    </row>
    <row r="1985" spans="1:13" s="79" customFormat="1" x14ac:dyDescent="0.35">
      <c r="A1985" s="251"/>
      <c r="B1985" s="22"/>
      <c r="C1985" s="252"/>
      <c r="D1985" s="252"/>
      <c r="E1985" s="252"/>
      <c r="F1985" s="252"/>
      <c r="G1985" s="252"/>
      <c r="H1985" s="252"/>
      <c r="I1985" s="252"/>
      <c r="J1985" s="252"/>
      <c r="K1985" s="252"/>
      <c r="L1985"/>
      <c r="M1985"/>
    </row>
    <row r="1986" spans="1:13" s="79" customFormat="1" x14ac:dyDescent="0.35">
      <c r="A1986" s="251"/>
      <c r="B1986" s="22"/>
      <c r="C1986" s="252"/>
      <c r="D1986" s="252"/>
      <c r="E1986" s="252"/>
      <c r="F1986" s="252"/>
      <c r="G1986" s="252"/>
      <c r="H1986" s="252"/>
      <c r="I1986" s="252"/>
      <c r="J1986" s="252"/>
      <c r="K1986" s="252"/>
      <c r="L1986"/>
      <c r="M1986"/>
    </row>
    <row r="1987" spans="1:13" s="79" customFormat="1" x14ac:dyDescent="0.35">
      <c r="A1987" s="251"/>
      <c r="B1987" s="22"/>
      <c r="C1987" s="252"/>
      <c r="D1987" s="252"/>
      <c r="E1987" s="252"/>
      <c r="F1987" s="252"/>
      <c r="G1987" s="252"/>
      <c r="H1987" s="252"/>
      <c r="I1987" s="252"/>
      <c r="J1987" s="252"/>
      <c r="K1987" s="252"/>
      <c r="L1987"/>
      <c r="M1987"/>
    </row>
    <row r="1988" spans="1:13" s="79" customFormat="1" x14ac:dyDescent="0.35">
      <c r="A1988" s="251"/>
      <c r="B1988" s="22"/>
      <c r="C1988" s="252"/>
      <c r="D1988" s="252"/>
      <c r="E1988" s="252"/>
      <c r="F1988" s="252"/>
      <c r="G1988" s="252"/>
      <c r="H1988" s="252"/>
      <c r="I1988" s="252"/>
      <c r="J1988" s="252"/>
      <c r="K1988" s="252"/>
      <c r="L1988"/>
      <c r="M1988"/>
    </row>
    <row r="1989" spans="1:13" s="79" customFormat="1" x14ac:dyDescent="0.35">
      <c r="A1989" s="251"/>
      <c r="B1989" s="22"/>
      <c r="C1989" s="252"/>
      <c r="D1989" s="252"/>
      <c r="E1989" s="252"/>
      <c r="F1989" s="252"/>
      <c r="G1989" s="252"/>
      <c r="H1989" s="252"/>
      <c r="I1989" s="252"/>
      <c r="J1989" s="252"/>
      <c r="K1989" s="252"/>
      <c r="L1989"/>
      <c r="M1989"/>
    </row>
    <row r="1990" spans="1:13" s="79" customFormat="1" x14ac:dyDescent="0.35">
      <c r="A1990" s="251"/>
      <c r="B1990" s="22"/>
      <c r="C1990" s="252"/>
      <c r="D1990" s="252"/>
      <c r="E1990" s="252"/>
      <c r="F1990" s="252"/>
      <c r="G1990" s="252"/>
      <c r="H1990" s="252"/>
      <c r="I1990" s="252"/>
      <c r="J1990" s="252"/>
      <c r="K1990" s="252"/>
      <c r="L1990"/>
      <c r="M1990"/>
    </row>
    <row r="1991" spans="1:13" s="79" customFormat="1" x14ac:dyDescent="0.35">
      <c r="A1991" s="251"/>
      <c r="B1991" s="22"/>
      <c r="C1991" s="252"/>
      <c r="D1991" s="252"/>
      <c r="E1991" s="252"/>
      <c r="F1991" s="252"/>
      <c r="G1991" s="252"/>
      <c r="H1991" s="252"/>
      <c r="I1991" s="252"/>
      <c r="J1991" s="252"/>
      <c r="K1991" s="252"/>
      <c r="L1991"/>
      <c r="M1991"/>
    </row>
    <row r="1992" spans="1:13" s="79" customFormat="1" x14ac:dyDescent="0.35">
      <c r="A1992" s="251"/>
      <c r="B1992" s="22"/>
      <c r="C1992" s="252"/>
      <c r="D1992" s="252"/>
      <c r="E1992" s="252"/>
      <c r="F1992" s="252"/>
      <c r="G1992" s="252"/>
      <c r="H1992" s="252"/>
      <c r="I1992" s="252"/>
      <c r="J1992" s="252"/>
      <c r="K1992" s="252"/>
      <c r="L1992"/>
      <c r="M1992"/>
    </row>
    <row r="1993" spans="1:13" s="79" customFormat="1" x14ac:dyDescent="0.35">
      <c r="A1993" s="251"/>
      <c r="B1993" s="22"/>
      <c r="C1993" s="252"/>
      <c r="D1993" s="252"/>
      <c r="E1993" s="252"/>
      <c r="F1993" s="252"/>
      <c r="G1993" s="252"/>
      <c r="H1993" s="252"/>
      <c r="I1993" s="252"/>
      <c r="J1993" s="252"/>
      <c r="K1993" s="252"/>
      <c r="L1993"/>
      <c r="M1993"/>
    </row>
    <row r="1994" spans="1:13" s="79" customFormat="1" x14ac:dyDescent="0.35">
      <c r="A1994" s="251"/>
      <c r="B1994" s="22"/>
      <c r="C1994" s="252"/>
      <c r="D1994" s="252"/>
      <c r="E1994" s="252"/>
      <c r="F1994" s="252"/>
      <c r="G1994" s="252"/>
      <c r="H1994" s="252"/>
      <c r="I1994" s="252"/>
      <c r="J1994" s="252"/>
      <c r="K1994" s="252"/>
      <c r="L1994"/>
      <c r="M1994"/>
    </row>
    <row r="1995" spans="1:13" s="79" customFormat="1" x14ac:dyDescent="0.35">
      <c r="A1995" s="251"/>
      <c r="B1995" s="22"/>
      <c r="C1995" s="252"/>
      <c r="D1995" s="252"/>
      <c r="E1995" s="252"/>
      <c r="F1995" s="252"/>
      <c r="G1995" s="252"/>
      <c r="H1995" s="252"/>
      <c r="I1995" s="252"/>
      <c r="J1995" s="252"/>
      <c r="K1995" s="252"/>
      <c r="L1995"/>
      <c r="M1995"/>
    </row>
    <row r="1996" spans="1:13" s="79" customFormat="1" x14ac:dyDescent="0.35">
      <c r="A1996" s="251"/>
      <c r="B1996" s="22"/>
      <c r="C1996" s="252"/>
      <c r="D1996" s="252"/>
      <c r="E1996" s="252"/>
      <c r="F1996" s="252"/>
      <c r="G1996" s="252"/>
      <c r="H1996" s="252"/>
      <c r="I1996" s="252"/>
      <c r="J1996" s="252"/>
      <c r="K1996" s="252"/>
      <c r="L1996"/>
      <c r="M1996"/>
    </row>
    <row r="1997" spans="1:13" s="79" customFormat="1" x14ac:dyDescent="0.35">
      <c r="A1997" s="251"/>
      <c r="B1997" s="22"/>
      <c r="C1997" s="252"/>
      <c r="D1997" s="252"/>
      <c r="E1997" s="252"/>
      <c r="F1997" s="252"/>
      <c r="G1997" s="252"/>
      <c r="H1997" s="252"/>
      <c r="I1997" s="252"/>
      <c r="J1997" s="252"/>
      <c r="K1997" s="252"/>
      <c r="L1997"/>
      <c r="M1997"/>
    </row>
    <row r="1998" spans="1:13" s="79" customFormat="1" x14ac:dyDescent="0.35">
      <c r="A1998" s="251"/>
      <c r="B1998" s="22"/>
      <c r="C1998" s="252"/>
      <c r="D1998" s="252"/>
      <c r="E1998" s="252"/>
      <c r="F1998" s="252"/>
      <c r="G1998" s="252"/>
      <c r="H1998" s="252"/>
      <c r="I1998" s="252"/>
      <c r="J1998" s="252"/>
      <c r="K1998" s="252"/>
      <c r="L1998"/>
      <c r="M1998"/>
    </row>
    <row r="1999" spans="1:13" s="79" customFormat="1" x14ac:dyDescent="0.35">
      <c r="A1999" s="251"/>
      <c r="B1999" s="22"/>
      <c r="C1999" s="252"/>
      <c r="D1999" s="252"/>
      <c r="E1999" s="252"/>
      <c r="F1999" s="252"/>
      <c r="G1999" s="252"/>
      <c r="H1999" s="252"/>
      <c r="I1999" s="252"/>
      <c r="J1999" s="252"/>
      <c r="K1999" s="252"/>
      <c r="L1999"/>
      <c r="M1999"/>
    </row>
    <row r="2000" spans="1:13" s="79" customFormat="1" x14ac:dyDescent="0.35">
      <c r="A2000" s="251"/>
      <c r="B2000" s="22"/>
      <c r="C2000" s="252"/>
      <c r="D2000" s="252"/>
      <c r="E2000" s="252"/>
      <c r="F2000" s="252"/>
      <c r="G2000" s="252"/>
      <c r="H2000" s="252"/>
      <c r="I2000" s="252"/>
      <c r="J2000" s="252"/>
      <c r="K2000" s="252"/>
      <c r="L2000"/>
      <c r="M2000"/>
    </row>
    <row r="2001" spans="1:13" s="79" customFormat="1" x14ac:dyDescent="0.35">
      <c r="A2001" s="251"/>
      <c r="B2001" s="22"/>
      <c r="C2001" s="252"/>
      <c r="D2001" s="252"/>
      <c r="E2001" s="252"/>
      <c r="F2001" s="252"/>
      <c r="G2001" s="252"/>
      <c r="H2001" s="252"/>
      <c r="I2001" s="252"/>
      <c r="J2001" s="252"/>
      <c r="K2001" s="252"/>
      <c r="L2001"/>
      <c r="M2001"/>
    </row>
    <row r="2002" spans="1:13" s="79" customFormat="1" x14ac:dyDescent="0.35">
      <c r="A2002" s="251"/>
      <c r="B2002" s="22"/>
      <c r="C2002" s="252"/>
      <c r="D2002" s="252"/>
      <c r="E2002" s="252"/>
      <c r="F2002" s="252"/>
      <c r="G2002" s="252"/>
      <c r="H2002" s="252"/>
      <c r="I2002" s="252"/>
      <c r="J2002" s="252"/>
      <c r="K2002" s="252"/>
      <c r="L2002"/>
      <c r="M2002"/>
    </row>
    <row r="2003" spans="1:13" s="79" customFormat="1" x14ac:dyDescent="0.35">
      <c r="A2003" s="251"/>
      <c r="B2003" s="22"/>
      <c r="C2003" s="252"/>
      <c r="D2003" s="252"/>
      <c r="E2003" s="252"/>
      <c r="F2003" s="252"/>
      <c r="G2003" s="252"/>
      <c r="H2003" s="252"/>
      <c r="I2003" s="252"/>
      <c r="J2003" s="252"/>
      <c r="K2003" s="252"/>
      <c r="L2003"/>
      <c r="M2003"/>
    </row>
    <row r="2004" spans="1:13" s="79" customFormat="1" x14ac:dyDescent="0.35">
      <c r="A2004" s="251"/>
      <c r="B2004" s="22"/>
      <c r="C2004" s="252"/>
      <c r="D2004" s="252"/>
      <c r="E2004" s="252"/>
      <c r="F2004" s="252"/>
      <c r="G2004" s="252"/>
      <c r="H2004" s="252"/>
      <c r="I2004" s="252"/>
      <c r="J2004" s="252"/>
      <c r="K2004" s="252"/>
      <c r="L2004"/>
      <c r="M2004"/>
    </row>
    <row r="2005" spans="1:13" s="79" customFormat="1" x14ac:dyDescent="0.35">
      <c r="A2005" s="251"/>
      <c r="B2005" s="22"/>
      <c r="C2005" s="252"/>
      <c r="D2005" s="252"/>
      <c r="E2005" s="252"/>
      <c r="F2005" s="252"/>
      <c r="G2005" s="252"/>
      <c r="H2005" s="252"/>
      <c r="I2005" s="252"/>
      <c r="J2005" s="252"/>
      <c r="K2005" s="252"/>
      <c r="L2005"/>
      <c r="M2005"/>
    </row>
    <row r="2006" spans="1:13" s="79" customFormat="1" x14ac:dyDescent="0.35">
      <c r="A2006" s="251"/>
      <c r="B2006" s="22"/>
      <c r="C2006" s="252"/>
      <c r="D2006" s="252"/>
      <c r="E2006" s="252"/>
      <c r="F2006" s="252"/>
      <c r="G2006" s="252"/>
      <c r="H2006" s="252"/>
      <c r="I2006" s="252"/>
      <c r="J2006" s="252"/>
      <c r="K2006" s="252"/>
      <c r="L2006"/>
      <c r="M2006"/>
    </row>
    <row r="2007" spans="1:13" s="79" customFormat="1" x14ac:dyDescent="0.35">
      <c r="A2007" s="251"/>
      <c r="B2007" s="22"/>
      <c r="C2007" s="252"/>
      <c r="D2007" s="252"/>
      <c r="E2007" s="252"/>
      <c r="F2007" s="252"/>
      <c r="G2007" s="252"/>
      <c r="H2007" s="252"/>
      <c r="I2007" s="252"/>
      <c r="J2007" s="252"/>
      <c r="K2007" s="252"/>
      <c r="L2007"/>
      <c r="M2007"/>
    </row>
    <row r="2008" spans="1:13" s="79" customFormat="1" x14ac:dyDescent="0.35">
      <c r="A2008" s="251"/>
      <c r="B2008" s="22"/>
      <c r="C2008" s="252"/>
      <c r="D2008" s="252"/>
      <c r="E2008" s="252"/>
      <c r="F2008" s="252"/>
      <c r="G2008" s="252"/>
      <c r="H2008" s="252"/>
      <c r="I2008" s="252"/>
      <c r="J2008" s="252"/>
      <c r="K2008" s="252"/>
      <c r="L2008"/>
      <c r="M2008"/>
    </row>
    <row r="2009" spans="1:13" s="79" customFormat="1" x14ac:dyDescent="0.35">
      <c r="A2009" s="251"/>
      <c r="B2009" s="22"/>
      <c r="C2009" s="252"/>
      <c r="D2009" s="252"/>
      <c r="E2009" s="252"/>
      <c r="F2009" s="252"/>
      <c r="G2009" s="252"/>
      <c r="H2009" s="252"/>
      <c r="I2009" s="252"/>
      <c r="J2009" s="252"/>
      <c r="K2009" s="252"/>
      <c r="L2009"/>
      <c r="M2009"/>
    </row>
    <row r="2010" spans="1:13" s="79" customFormat="1" x14ac:dyDescent="0.35">
      <c r="A2010" s="251"/>
      <c r="B2010" s="22"/>
      <c r="C2010" s="252"/>
      <c r="D2010" s="252"/>
      <c r="E2010" s="252"/>
      <c r="F2010" s="252"/>
      <c r="G2010" s="252"/>
      <c r="H2010" s="252"/>
      <c r="I2010" s="252"/>
      <c r="J2010" s="252"/>
      <c r="K2010" s="252"/>
      <c r="L2010"/>
      <c r="M2010"/>
    </row>
    <row r="2011" spans="1:13" s="79" customFormat="1" x14ac:dyDescent="0.35">
      <c r="A2011" s="251"/>
      <c r="B2011" s="22"/>
      <c r="C2011" s="252"/>
      <c r="D2011" s="252"/>
      <c r="E2011" s="252"/>
      <c r="F2011" s="252"/>
      <c r="G2011" s="252"/>
      <c r="H2011" s="252"/>
      <c r="I2011" s="252"/>
      <c r="J2011" s="252"/>
      <c r="K2011" s="252"/>
      <c r="L2011"/>
      <c r="M2011"/>
    </row>
    <row r="2012" spans="1:13" s="79" customFormat="1" x14ac:dyDescent="0.35">
      <c r="A2012" s="251"/>
      <c r="B2012" s="22"/>
      <c r="C2012" s="252"/>
      <c r="D2012" s="252"/>
      <c r="E2012" s="252"/>
      <c r="F2012" s="252"/>
      <c r="G2012" s="252"/>
      <c r="H2012" s="252"/>
      <c r="I2012" s="252"/>
      <c r="J2012" s="252"/>
      <c r="K2012" s="252"/>
      <c r="L2012"/>
      <c r="M2012"/>
    </row>
    <row r="2013" spans="1:13" s="79" customFormat="1" x14ac:dyDescent="0.35">
      <c r="A2013" s="251"/>
      <c r="B2013" s="22"/>
      <c r="C2013" s="252"/>
      <c r="D2013" s="252"/>
      <c r="E2013" s="252"/>
      <c r="F2013" s="252"/>
      <c r="G2013" s="252"/>
      <c r="H2013" s="252"/>
      <c r="I2013" s="252"/>
      <c r="J2013" s="252"/>
      <c r="K2013" s="252"/>
      <c r="L2013"/>
      <c r="M2013"/>
    </row>
    <row r="2014" spans="1:13" s="79" customFormat="1" x14ac:dyDescent="0.35">
      <c r="A2014" s="251"/>
      <c r="B2014" s="22"/>
      <c r="C2014" s="252"/>
      <c r="D2014" s="252"/>
      <c r="E2014" s="252"/>
      <c r="F2014" s="252"/>
      <c r="G2014" s="252"/>
      <c r="H2014" s="252"/>
      <c r="I2014" s="252"/>
      <c r="J2014" s="252"/>
      <c r="K2014" s="252"/>
      <c r="L2014"/>
      <c r="M2014"/>
    </row>
    <row r="2015" spans="1:13" s="79" customFormat="1" x14ac:dyDescent="0.35">
      <c r="A2015" s="251"/>
      <c r="B2015" s="22"/>
      <c r="C2015" s="252"/>
      <c r="D2015" s="252"/>
      <c r="E2015" s="252"/>
      <c r="F2015" s="252"/>
      <c r="G2015" s="252"/>
      <c r="H2015" s="252"/>
      <c r="I2015" s="252"/>
      <c r="J2015" s="252"/>
      <c r="K2015" s="252"/>
      <c r="L2015"/>
      <c r="M2015"/>
    </row>
    <row r="2016" spans="1:13" s="79" customFormat="1" x14ac:dyDescent="0.35">
      <c r="A2016" s="251"/>
      <c r="B2016" s="22"/>
      <c r="C2016" s="252"/>
      <c r="D2016" s="252"/>
      <c r="E2016" s="252"/>
      <c r="F2016" s="252"/>
      <c r="G2016" s="252"/>
      <c r="H2016" s="252"/>
      <c r="I2016" s="252"/>
      <c r="J2016" s="252"/>
      <c r="K2016" s="252"/>
      <c r="L2016"/>
      <c r="M2016"/>
    </row>
    <row r="2017" spans="1:13" s="79" customFormat="1" x14ac:dyDescent="0.35">
      <c r="A2017" s="251"/>
      <c r="B2017" s="22"/>
      <c r="C2017" s="252"/>
      <c r="D2017" s="252"/>
      <c r="E2017" s="252"/>
      <c r="F2017" s="252"/>
      <c r="G2017" s="252"/>
      <c r="H2017" s="252"/>
      <c r="I2017" s="252"/>
      <c r="J2017" s="252"/>
      <c r="K2017" s="252"/>
      <c r="L2017"/>
      <c r="M2017"/>
    </row>
    <row r="2018" spans="1:13" s="79" customFormat="1" x14ac:dyDescent="0.35">
      <c r="A2018" s="251"/>
      <c r="B2018" s="22"/>
      <c r="C2018" s="252"/>
      <c r="D2018" s="252"/>
      <c r="E2018" s="252"/>
      <c r="F2018" s="252"/>
      <c r="G2018" s="252"/>
      <c r="H2018" s="252"/>
      <c r="I2018" s="252"/>
      <c r="J2018" s="252"/>
      <c r="K2018" s="252"/>
      <c r="L2018"/>
      <c r="M2018"/>
    </row>
    <row r="2019" spans="1:13" s="79" customFormat="1" x14ac:dyDescent="0.35">
      <c r="A2019" s="251"/>
      <c r="B2019" s="22"/>
      <c r="C2019" s="252"/>
      <c r="D2019" s="252"/>
      <c r="E2019" s="252"/>
      <c r="F2019" s="252"/>
      <c r="G2019" s="252"/>
      <c r="H2019" s="252"/>
      <c r="I2019" s="252"/>
      <c r="J2019" s="252"/>
      <c r="K2019" s="252"/>
      <c r="L2019"/>
      <c r="M2019"/>
    </row>
    <row r="2020" spans="1:13" s="79" customFormat="1" x14ac:dyDescent="0.35">
      <c r="A2020" s="251"/>
      <c r="B2020" s="22"/>
      <c r="C2020" s="252"/>
      <c r="D2020" s="252"/>
      <c r="E2020" s="252"/>
      <c r="F2020" s="252"/>
      <c r="G2020" s="252"/>
      <c r="H2020" s="252"/>
      <c r="I2020" s="252"/>
      <c r="J2020" s="252"/>
      <c r="K2020" s="252"/>
      <c r="L2020"/>
      <c r="M2020"/>
    </row>
    <row r="2021" spans="1:13" s="79" customFormat="1" x14ac:dyDescent="0.35">
      <c r="A2021" s="251"/>
      <c r="B2021" s="22"/>
      <c r="C2021" s="252"/>
      <c r="D2021" s="252"/>
      <c r="E2021" s="252"/>
      <c r="F2021" s="252"/>
      <c r="G2021" s="252"/>
      <c r="H2021" s="252"/>
      <c r="I2021" s="252"/>
      <c r="J2021" s="252"/>
      <c r="K2021" s="252"/>
      <c r="L2021"/>
      <c r="M2021"/>
    </row>
    <row r="2022" spans="1:13" s="79" customFormat="1" x14ac:dyDescent="0.35">
      <c r="A2022" s="251"/>
      <c r="B2022" s="22"/>
      <c r="C2022" s="252"/>
      <c r="D2022" s="252"/>
      <c r="E2022" s="252"/>
      <c r="F2022" s="252"/>
      <c r="G2022" s="252"/>
      <c r="H2022" s="252"/>
      <c r="I2022" s="252"/>
      <c r="J2022" s="252"/>
      <c r="K2022" s="252"/>
      <c r="L2022"/>
      <c r="M2022"/>
    </row>
    <row r="2023" spans="1:13" s="79" customFormat="1" x14ac:dyDescent="0.35">
      <c r="A2023" s="251"/>
      <c r="B2023" s="22"/>
      <c r="C2023" s="252"/>
      <c r="D2023" s="252"/>
      <c r="E2023" s="252"/>
      <c r="F2023" s="252"/>
      <c r="G2023" s="252"/>
      <c r="H2023" s="252"/>
      <c r="I2023" s="252"/>
      <c r="J2023" s="252"/>
      <c r="K2023" s="252"/>
      <c r="L2023"/>
      <c r="M2023"/>
    </row>
    <row r="2024" spans="1:13" s="79" customFormat="1" x14ac:dyDescent="0.35">
      <c r="A2024" s="251"/>
      <c r="B2024" s="22"/>
      <c r="C2024" s="252"/>
      <c r="D2024" s="252"/>
      <c r="E2024" s="252"/>
      <c r="F2024" s="252"/>
      <c r="G2024" s="252"/>
      <c r="H2024" s="252"/>
      <c r="I2024" s="252"/>
      <c r="J2024" s="252"/>
      <c r="K2024" s="252"/>
      <c r="L2024"/>
      <c r="M2024"/>
    </row>
    <row r="2025" spans="1:13" s="79" customFormat="1" x14ac:dyDescent="0.35">
      <c r="A2025" s="251"/>
      <c r="B2025" s="22"/>
      <c r="C2025" s="252"/>
      <c r="D2025" s="252"/>
      <c r="E2025" s="252"/>
      <c r="F2025" s="252"/>
      <c r="G2025" s="252"/>
      <c r="H2025" s="252"/>
      <c r="I2025" s="252"/>
      <c r="J2025" s="252"/>
      <c r="K2025" s="252"/>
      <c r="L2025"/>
      <c r="M2025"/>
    </row>
    <row r="2026" spans="1:13" s="79" customFormat="1" x14ac:dyDescent="0.35">
      <c r="A2026" s="251"/>
      <c r="B2026" s="22"/>
      <c r="C2026" s="252"/>
      <c r="D2026" s="252"/>
      <c r="E2026" s="252"/>
      <c r="F2026" s="252"/>
      <c r="G2026" s="252"/>
      <c r="H2026" s="252"/>
      <c r="I2026" s="252"/>
      <c r="J2026" s="252"/>
      <c r="K2026" s="252"/>
      <c r="L2026"/>
      <c r="M2026"/>
    </row>
    <row r="2027" spans="1:13" s="79" customFormat="1" x14ac:dyDescent="0.35">
      <c r="A2027" s="251"/>
      <c r="B2027" s="22"/>
      <c r="C2027" s="252"/>
      <c r="D2027" s="252"/>
      <c r="E2027" s="252"/>
      <c r="F2027" s="252"/>
      <c r="G2027" s="252"/>
      <c r="H2027" s="252"/>
      <c r="I2027" s="252"/>
      <c r="J2027" s="252"/>
      <c r="K2027" s="252"/>
      <c r="L2027"/>
      <c r="M2027"/>
    </row>
    <row r="2028" spans="1:13" s="79" customFormat="1" x14ac:dyDescent="0.35">
      <c r="A2028" s="251"/>
      <c r="B2028" s="22"/>
      <c r="C2028" s="252"/>
      <c r="D2028" s="252"/>
      <c r="E2028" s="252"/>
      <c r="F2028" s="252"/>
      <c r="G2028" s="252"/>
      <c r="H2028" s="252"/>
      <c r="I2028" s="252"/>
      <c r="J2028" s="252"/>
      <c r="K2028" s="252"/>
      <c r="L2028"/>
      <c r="M2028"/>
    </row>
    <row r="2029" spans="1:13" s="79" customFormat="1" x14ac:dyDescent="0.35">
      <c r="A2029" s="251"/>
      <c r="B2029" s="22"/>
      <c r="C2029" s="252"/>
      <c r="D2029" s="252"/>
      <c r="E2029" s="252"/>
      <c r="F2029" s="252"/>
      <c r="G2029" s="252"/>
      <c r="H2029" s="252"/>
      <c r="I2029" s="252"/>
      <c r="J2029" s="252"/>
      <c r="K2029" s="252"/>
      <c r="L2029"/>
      <c r="M2029"/>
    </row>
    <row r="2030" spans="1:13" s="79" customFormat="1" x14ac:dyDescent="0.35">
      <c r="A2030" s="251"/>
      <c r="B2030" s="22"/>
      <c r="C2030" s="252"/>
      <c r="D2030" s="252"/>
      <c r="E2030" s="252"/>
      <c r="F2030" s="252"/>
      <c r="G2030" s="252"/>
      <c r="H2030" s="252"/>
      <c r="I2030" s="252"/>
      <c r="J2030" s="252"/>
      <c r="K2030" s="252"/>
      <c r="L2030"/>
      <c r="M2030"/>
    </row>
    <row r="2031" spans="1:13" s="79" customFormat="1" x14ac:dyDescent="0.35">
      <c r="A2031" s="251"/>
      <c r="B2031" s="22"/>
      <c r="C2031" s="252"/>
      <c r="D2031" s="252"/>
      <c r="E2031" s="252"/>
      <c r="F2031" s="252"/>
      <c r="G2031" s="252"/>
      <c r="H2031" s="252"/>
      <c r="I2031" s="252"/>
      <c r="J2031" s="252"/>
      <c r="K2031" s="252"/>
      <c r="L2031"/>
      <c r="M2031"/>
    </row>
    <row r="2032" spans="1:13" s="79" customFormat="1" x14ac:dyDescent="0.35">
      <c r="A2032" s="251"/>
      <c r="B2032" s="22"/>
      <c r="C2032" s="252"/>
      <c r="D2032" s="252"/>
      <c r="E2032" s="252"/>
      <c r="F2032" s="252"/>
      <c r="G2032" s="252"/>
      <c r="H2032" s="252"/>
      <c r="I2032" s="252"/>
      <c r="J2032" s="252"/>
      <c r="K2032" s="252"/>
      <c r="L2032"/>
      <c r="M2032"/>
    </row>
    <row r="2033" spans="1:13" s="79" customFormat="1" x14ac:dyDescent="0.35">
      <c r="A2033" s="251"/>
      <c r="B2033" s="22"/>
      <c r="C2033" s="252"/>
      <c r="D2033" s="252"/>
      <c r="E2033" s="252"/>
      <c r="F2033" s="252"/>
      <c r="G2033" s="252"/>
      <c r="H2033" s="252"/>
      <c r="I2033" s="252"/>
      <c r="J2033" s="252"/>
      <c r="K2033" s="252"/>
      <c r="L2033"/>
      <c r="M2033"/>
    </row>
    <row r="2034" spans="1:13" s="79" customFormat="1" x14ac:dyDescent="0.35">
      <c r="A2034" s="251"/>
      <c r="B2034" s="22"/>
      <c r="C2034" s="252"/>
      <c r="D2034" s="252"/>
      <c r="E2034" s="252"/>
      <c r="F2034" s="252"/>
      <c r="G2034" s="252"/>
      <c r="H2034" s="252"/>
      <c r="I2034" s="252"/>
      <c r="J2034" s="252"/>
      <c r="K2034" s="252"/>
      <c r="L2034"/>
      <c r="M2034"/>
    </row>
    <row r="2035" spans="1:13" s="79" customFormat="1" x14ac:dyDescent="0.35">
      <c r="A2035" s="251"/>
      <c r="B2035" s="22"/>
      <c r="C2035" s="252"/>
      <c r="D2035" s="252"/>
      <c r="E2035" s="252"/>
      <c r="F2035" s="252"/>
      <c r="G2035" s="252"/>
      <c r="H2035" s="252"/>
      <c r="I2035" s="252"/>
      <c r="J2035" s="252"/>
      <c r="K2035" s="252"/>
      <c r="L2035"/>
      <c r="M2035"/>
    </row>
    <row r="2036" spans="1:13" s="79" customFormat="1" x14ac:dyDescent="0.35">
      <c r="A2036" s="251"/>
      <c r="B2036" s="22"/>
      <c r="C2036" s="252"/>
      <c r="D2036" s="252"/>
      <c r="E2036" s="252"/>
      <c r="F2036" s="252"/>
      <c r="G2036" s="252"/>
      <c r="H2036" s="252"/>
      <c r="I2036" s="252"/>
      <c r="J2036" s="252"/>
      <c r="K2036" s="252"/>
      <c r="L2036"/>
      <c r="M2036"/>
    </row>
    <row r="2037" spans="1:13" s="79" customFormat="1" x14ac:dyDescent="0.35">
      <c r="A2037" s="251"/>
      <c r="B2037" s="22"/>
      <c r="C2037" s="252"/>
      <c r="D2037" s="252"/>
      <c r="E2037" s="252"/>
      <c r="F2037" s="252"/>
      <c r="G2037" s="252"/>
      <c r="H2037" s="252"/>
      <c r="I2037" s="252"/>
      <c r="J2037" s="252"/>
      <c r="K2037" s="252"/>
      <c r="L2037"/>
      <c r="M2037"/>
    </row>
    <row r="2038" spans="1:13" s="79" customFormat="1" x14ac:dyDescent="0.35">
      <c r="A2038" s="251"/>
      <c r="B2038" s="22"/>
      <c r="C2038" s="252"/>
      <c r="D2038" s="252"/>
      <c r="E2038" s="252"/>
      <c r="F2038" s="252"/>
      <c r="G2038" s="252"/>
      <c r="H2038" s="252"/>
      <c r="I2038" s="252"/>
      <c r="J2038" s="252"/>
      <c r="K2038" s="252"/>
      <c r="L2038"/>
      <c r="M2038"/>
    </row>
    <row r="2039" spans="1:13" s="79" customFormat="1" x14ac:dyDescent="0.35">
      <c r="A2039" s="251"/>
      <c r="B2039" s="22"/>
      <c r="C2039" s="252"/>
      <c r="D2039" s="252"/>
      <c r="E2039" s="252"/>
      <c r="F2039" s="252"/>
      <c r="G2039" s="252"/>
      <c r="H2039" s="252"/>
      <c r="I2039" s="252"/>
      <c r="J2039" s="252"/>
      <c r="K2039" s="252"/>
      <c r="L2039"/>
      <c r="M2039"/>
    </row>
    <row r="2040" spans="1:13" s="79" customFormat="1" x14ac:dyDescent="0.35">
      <c r="A2040" s="251"/>
      <c r="B2040" s="22"/>
      <c r="C2040" s="252"/>
      <c r="D2040" s="252"/>
      <c r="E2040" s="252"/>
      <c r="F2040" s="252"/>
      <c r="G2040" s="252"/>
      <c r="H2040" s="252"/>
      <c r="I2040" s="252"/>
      <c r="J2040" s="252"/>
      <c r="K2040" s="252"/>
      <c r="L2040"/>
      <c r="M2040"/>
    </row>
    <row r="2041" spans="1:13" s="79" customFormat="1" x14ac:dyDescent="0.35">
      <c r="A2041" s="251"/>
      <c r="B2041" s="22"/>
      <c r="C2041" s="252"/>
      <c r="D2041" s="252"/>
      <c r="E2041" s="252"/>
      <c r="F2041" s="252"/>
      <c r="G2041" s="252"/>
      <c r="H2041" s="252"/>
      <c r="I2041" s="252"/>
      <c r="J2041" s="252"/>
      <c r="K2041" s="252"/>
      <c r="L2041"/>
      <c r="M2041"/>
    </row>
    <row r="2042" spans="1:13" s="79" customFormat="1" x14ac:dyDescent="0.35">
      <c r="A2042" s="251"/>
      <c r="B2042" s="22"/>
      <c r="C2042" s="252"/>
      <c r="D2042" s="252"/>
      <c r="E2042" s="252"/>
      <c r="F2042" s="252"/>
      <c r="G2042" s="252"/>
      <c r="H2042" s="252"/>
      <c r="I2042" s="252"/>
      <c r="J2042" s="252"/>
      <c r="K2042" s="252"/>
      <c r="L2042"/>
      <c r="M2042"/>
    </row>
    <row r="2043" spans="1:13" s="79" customFormat="1" x14ac:dyDescent="0.35">
      <c r="A2043" s="251"/>
      <c r="B2043" s="22"/>
      <c r="C2043" s="252"/>
      <c r="D2043" s="252"/>
      <c r="E2043" s="252"/>
      <c r="F2043" s="252"/>
      <c r="G2043" s="252"/>
      <c r="H2043" s="252"/>
      <c r="I2043" s="252"/>
      <c r="J2043" s="252"/>
      <c r="K2043" s="252"/>
      <c r="L2043"/>
      <c r="M2043"/>
    </row>
    <row r="2044" spans="1:13" s="79" customFormat="1" x14ac:dyDescent="0.35">
      <c r="A2044" s="251"/>
      <c r="B2044" s="22"/>
      <c r="C2044" s="252"/>
      <c r="D2044" s="252"/>
      <c r="E2044" s="252"/>
      <c r="F2044" s="252"/>
      <c r="G2044" s="252"/>
      <c r="H2044" s="252"/>
      <c r="I2044" s="252"/>
      <c r="J2044" s="252"/>
      <c r="K2044" s="252"/>
      <c r="L2044"/>
      <c r="M2044"/>
    </row>
    <row r="2045" spans="1:13" s="79" customFormat="1" x14ac:dyDescent="0.35">
      <c r="A2045" s="251"/>
      <c r="B2045" s="22"/>
      <c r="C2045" s="252"/>
      <c r="D2045" s="252"/>
      <c r="E2045" s="252"/>
      <c r="F2045" s="252"/>
      <c r="G2045" s="252"/>
      <c r="H2045" s="252"/>
      <c r="I2045" s="252"/>
      <c r="J2045" s="252"/>
      <c r="K2045" s="252"/>
      <c r="L2045"/>
      <c r="M2045"/>
    </row>
    <row r="2046" spans="1:13" s="79" customFormat="1" x14ac:dyDescent="0.35">
      <c r="A2046" s="251"/>
      <c r="B2046" s="22"/>
      <c r="C2046" s="252"/>
      <c r="D2046" s="252"/>
      <c r="E2046" s="252"/>
      <c r="F2046" s="252"/>
      <c r="G2046" s="252"/>
      <c r="H2046" s="252"/>
      <c r="I2046" s="252"/>
      <c r="J2046" s="252"/>
      <c r="K2046" s="252"/>
      <c r="L2046"/>
      <c r="M2046"/>
    </row>
    <row r="2047" spans="1:13" s="79" customFormat="1" x14ac:dyDescent="0.35">
      <c r="A2047" s="251"/>
      <c r="B2047" s="22"/>
      <c r="C2047" s="252"/>
      <c r="D2047" s="252"/>
      <c r="E2047" s="252"/>
      <c r="F2047" s="252"/>
      <c r="G2047" s="252"/>
      <c r="H2047" s="252"/>
      <c r="I2047" s="252"/>
      <c r="J2047" s="252"/>
      <c r="K2047" s="252"/>
      <c r="L2047"/>
      <c r="M2047"/>
    </row>
    <row r="2048" spans="1:13" s="79" customFormat="1" x14ac:dyDescent="0.35">
      <c r="A2048" s="251"/>
      <c r="B2048" s="22"/>
      <c r="C2048" s="252"/>
      <c r="D2048" s="252"/>
      <c r="E2048" s="252"/>
      <c r="F2048" s="252"/>
      <c r="G2048" s="252"/>
      <c r="H2048" s="252"/>
      <c r="I2048" s="252"/>
      <c r="J2048" s="252"/>
      <c r="K2048" s="252"/>
      <c r="L2048"/>
      <c r="M2048"/>
    </row>
    <row r="2049" spans="1:13" s="79" customFormat="1" x14ac:dyDescent="0.35">
      <c r="A2049" s="251"/>
      <c r="B2049" s="22"/>
      <c r="C2049" s="252"/>
      <c r="D2049" s="252"/>
      <c r="E2049" s="252"/>
      <c r="F2049" s="252"/>
      <c r="G2049" s="252"/>
      <c r="H2049" s="252"/>
      <c r="I2049" s="252"/>
      <c r="J2049" s="252"/>
      <c r="K2049" s="252"/>
      <c r="L2049"/>
      <c r="M2049"/>
    </row>
    <row r="2050" spans="1:13" s="79" customFormat="1" x14ac:dyDescent="0.35">
      <c r="A2050" s="251"/>
      <c r="B2050" s="22"/>
      <c r="C2050" s="252"/>
      <c r="D2050" s="252"/>
      <c r="E2050" s="252"/>
      <c r="F2050" s="252"/>
      <c r="G2050" s="252"/>
      <c r="H2050" s="252"/>
      <c r="I2050" s="252"/>
      <c r="J2050" s="252"/>
      <c r="K2050" s="252"/>
      <c r="L2050"/>
      <c r="M2050"/>
    </row>
    <row r="2051" spans="1:13" s="79" customFormat="1" x14ac:dyDescent="0.35">
      <c r="A2051" s="251"/>
      <c r="B2051" s="22"/>
      <c r="C2051" s="252"/>
      <c r="D2051" s="252"/>
      <c r="E2051" s="252"/>
      <c r="F2051" s="252"/>
      <c r="G2051" s="252"/>
      <c r="H2051" s="252"/>
      <c r="I2051" s="252"/>
      <c r="J2051" s="252"/>
      <c r="K2051" s="252"/>
      <c r="L2051"/>
      <c r="M2051"/>
    </row>
    <row r="2052" spans="1:13" s="79" customFormat="1" x14ac:dyDescent="0.35">
      <c r="A2052" s="251"/>
      <c r="B2052" s="22"/>
      <c r="C2052" s="252"/>
      <c r="D2052" s="252"/>
      <c r="E2052" s="252"/>
      <c r="F2052" s="252"/>
      <c r="G2052" s="252"/>
      <c r="H2052" s="252"/>
      <c r="I2052" s="252"/>
      <c r="J2052" s="252"/>
      <c r="K2052" s="252"/>
      <c r="L2052"/>
      <c r="M2052"/>
    </row>
    <row r="2053" spans="1:13" s="79" customFormat="1" x14ac:dyDescent="0.35">
      <c r="A2053" s="251"/>
      <c r="B2053" s="22"/>
      <c r="C2053" s="252"/>
      <c r="D2053" s="252"/>
      <c r="E2053" s="252"/>
      <c r="F2053" s="252"/>
      <c r="G2053" s="252"/>
      <c r="H2053" s="252"/>
      <c r="I2053" s="252"/>
      <c r="J2053" s="252"/>
      <c r="K2053" s="252"/>
      <c r="L2053"/>
      <c r="M2053"/>
    </row>
    <row r="2054" spans="1:13" s="79" customFormat="1" x14ac:dyDescent="0.35">
      <c r="A2054" s="251"/>
      <c r="B2054" s="22"/>
      <c r="C2054" s="252"/>
      <c r="D2054" s="252"/>
      <c r="E2054" s="252"/>
      <c r="F2054" s="252"/>
      <c r="G2054" s="252"/>
      <c r="H2054" s="252"/>
      <c r="I2054" s="252"/>
      <c r="J2054" s="252"/>
      <c r="K2054" s="252"/>
      <c r="L2054"/>
      <c r="M2054"/>
    </row>
    <row r="2055" spans="1:13" s="79" customFormat="1" x14ac:dyDescent="0.35">
      <c r="A2055" s="251"/>
      <c r="B2055" s="22"/>
      <c r="C2055" s="252"/>
      <c r="D2055" s="252"/>
      <c r="E2055" s="252"/>
      <c r="F2055" s="252"/>
      <c r="G2055" s="252"/>
      <c r="H2055" s="252"/>
      <c r="I2055" s="252"/>
      <c r="J2055" s="252"/>
      <c r="K2055" s="252"/>
      <c r="L2055"/>
      <c r="M2055"/>
    </row>
    <row r="2056" spans="1:13" s="79" customFormat="1" x14ac:dyDescent="0.35">
      <c r="A2056" s="251"/>
      <c r="B2056" s="22"/>
      <c r="C2056" s="252"/>
      <c r="D2056" s="252"/>
      <c r="E2056" s="252"/>
      <c r="F2056" s="252"/>
      <c r="G2056" s="252"/>
      <c r="H2056" s="252"/>
      <c r="I2056" s="252"/>
      <c r="J2056" s="252"/>
      <c r="K2056" s="252"/>
      <c r="L2056"/>
      <c r="M2056"/>
    </row>
    <row r="2057" spans="1:13" s="79" customFormat="1" x14ac:dyDescent="0.35">
      <c r="A2057" s="251"/>
      <c r="B2057" s="22"/>
      <c r="C2057" s="252"/>
      <c r="D2057" s="252"/>
      <c r="E2057" s="252"/>
      <c r="F2057" s="252"/>
      <c r="G2057" s="252"/>
      <c r="H2057" s="252"/>
      <c r="I2057" s="252"/>
      <c r="J2057" s="252"/>
      <c r="K2057" s="252"/>
      <c r="L2057"/>
      <c r="M2057"/>
    </row>
    <row r="2058" spans="1:13" s="79" customFormat="1" x14ac:dyDescent="0.35">
      <c r="A2058" s="251"/>
      <c r="B2058" s="22"/>
      <c r="C2058" s="252"/>
      <c r="D2058" s="252"/>
      <c r="E2058" s="252"/>
      <c r="F2058" s="252"/>
      <c r="G2058" s="252"/>
      <c r="H2058" s="252"/>
      <c r="I2058" s="252"/>
      <c r="J2058" s="252"/>
      <c r="K2058" s="252"/>
      <c r="L2058"/>
      <c r="M2058"/>
    </row>
    <row r="2059" spans="1:13" s="79" customFormat="1" x14ac:dyDescent="0.35">
      <c r="A2059" s="251"/>
      <c r="B2059" s="22"/>
      <c r="C2059" s="252"/>
      <c r="D2059" s="252"/>
      <c r="E2059" s="252"/>
      <c r="F2059" s="252"/>
      <c r="G2059" s="252"/>
      <c r="H2059" s="252"/>
      <c r="I2059" s="252"/>
      <c r="J2059" s="252"/>
      <c r="K2059" s="252"/>
      <c r="L2059"/>
      <c r="M2059"/>
    </row>
    <row r="2060" spans="1:13" s="79" customFormat="1" x14ac:dyDescent="0.35">
      <c r="A2060" s="251"/>
      <c r="B2060" s="22"/>
      <c r="C2060" s="252"/>
      <c r="D2060" s="252"/>
      <c r="E2060" s="252"/>
      <c r="F2060" s="252"/>
      <c r="G2060" s="252"/>
      <c r="H2060" s="252"/>
      <c r="I2060" s="252"/>
      <c r="J2060" s="252"/>
      <c r="K2060" s="252"/>
      <c r="L2060"/>
      <c r="M2060"/>
    </row>
    <row r="2061" spans="1:13" s="79" customFormat="1" x14ac:dyDescent="0.35">
      <c r="A2061" s="251"/>
      <c r="B2061" s="22"/>
      <c r="C2061" s="252"/>
      <c r="D2061" s="252"/>
      <c r="E2061" s="252"/>
      <c r="F2061" s="252"/>
      <c r="G2061" s="252"/>
      <c r="H2061" s="252"/>
      <c r="I2061" s="252"/>
      <c r="J2061" s="252"/>
      <c r="K2061" s="252"/>
      <c r="L2061"/>
      <c r="M2061"/>
    </row>
    <row r="2062" spans="1:13" s="79" customFormat="1" x14ac:dyDescent="0.35">
      <c r="A2062" s="251"/>
      <c r="B2062" s="22"/>
      <c r="C2062" s="252"/>
      <c r="D2062" s="252"/>
      <c r="E2062" s="252"/>
      <c r="F2062" s="252"/>
      <c r="G2062" s="252"/>
      <c r="H2062" s="252"/>
      <c r="I2062" s="252"/>
      <c r="J2062" s="252"/>
      <c r="K2062" s="252"/>
      <c r="L2062"/>
      <c r="M2062"/>
    </row>
    <row r="2063" spans="1:13" s="79" customFormat="1" x14ac:dyDescent="0.35">
      <c r="A2063" s="251"/>
      <c r="B2063" s="22"/>
      <c r="C2063" s="252"/>
      <c r="D2063" s="252"/>
      <c r="E2063" s="252"/>
      <c r="F2063" s="252"/>
      <c r="G2063" s="252"/>
      <c r="H2063" s="252"/>
      <c r="I2063" s="252"/>
      <c r="J2063" s="252"/>
      <c r="K2063" s="252"/>
      <c r="L2063"/>
      <c r="M2063"/>
    </row>
    <row r="2064" spans="1:13" s="79" customFormat="1" x14ac:dyDescent="0.35">
      <c r="A2064" s="251"/>
      <c r="B2064" s="22"/>
      <c r="C2064" s="252"/>
      <c r="D2064" s="252"/>
      <c r="E2064" s="252"/>
      <c r="F2064" s="252"/>
      <c r="G2064" s="252"/>
      <c r="H2064" s="252"/>
      <c r="I2064" s="252"/>
      <c r="J2064" s="252"/>
      <c r="K2064" s="252"/>
      <c r="L2064"/>
      <c r="M2064"/>
    </row>
    <row r="2065" spans="1:13" s="79" customFormat="1" x14ac:dyDescent="0.35">
      <c r="A2065" s="251"/>
      <c r="B2065" s="22"/>
      <c r="C2065" s="252"/>
      <c r="D2065" s="252"/>
      <c r="E2065" s="252"/>
      <c r="F2065" s="252"/>
      <c r="G2065" s="252"/>
      <c r="H2065" s="252"/>
      <c r="I2065" s="252"/>
      <c r="J2065" s="252"/>
      <c r="K2065" s="252"/>
      <c r="L2065"/>
      <c r="M2065"/>
    </row>
    <row r="2066" spans="1:13" s="79" customFormat="1" x14ac:dyDescent="0.35">
      <c r="A2066" s="251"/>
      <c r="B2066" s="22"/>
      <c r="C2066" s="252"/>
      <c r="D2066" s="252"/>
      <c r="E2066" s="252"/>
      <c r="F2066" s="252"/>
      <c r="G2066" s="252"/>
      <c r="H2066" s="252"/>
      <c r="I2066" s="252"/>
      <c r="J2066" s="252"/>
      <c r="K2066" s="252"/>
      <c r="L2066"/>
      <c r="M2066"/>
    </row>
    <row r="2067" spans="1:13" s="79" customFormat="1" x14ac:dyDescent="0.35">
      <c r="A2067" s="251"/>
      <c r="B2067" s="22"/>
      <c r="C2067" s="252"/>
      <c r="D2067" s="252"/>
      <c r="E2067" s="252"/>
      <c r="F2067" s="252"/>
      <c r="G2067" s="252"/>
      <c r="H2067" s="252"/>
      <c r="I2067" s="252"/>
      <c r="J2067" s="252"/>
      <c r="K2067" s="252"/>
      <c r="L2067"/>
      <c r="M2067"/>
    </row>
    <row r="2068" spans="1:13" s="79" customFormat="1" x14ac:dyDescent="0.35">
      <c r="A2068" s="251"/>
      <c r="B2068" s="22"/>
      <c r="C2068" s="252"/>
      <c r="D2068" s="252"/>
      <c r="E2068" s="252"/>
      <c r="F2068" s="252"/>
      <c r="G2068" s="252"/>
      <c r="H2068" s="252"/>
      <c r="I2068" s="252"/>
      <c r="J2068" s="252"/>
      <c r="K2068" s="252"/>
      <c r="L2068"/>
      <c r="M2068"/>
    </row>
    <row r="2069" spans="1:13" s="79" customFormat="1" x14ac:dyDescent="0.35">
      <c r="A2069" s="251"/>
      <c r="B2069" s="22"/>
      <c r="C2069" s="252"/>
      <c r="D2069" s="252"/>
      <c r="E2069" s="252"/>
      <c r="F2069" s="252"/>
      <c r="G2069" s="252"/>
      <c r="H2069" s="252"/>
      <c r="I2069" s="252"/>
      <c r="J2069" s="252"/>
      <c r="K2069" s="252"/>
      <c r="L2069"/>
      <c r="M2069"/>
    </row>
    <row r="2070" spans="1:13" s="79" customFormat="1" x14ac:dyDescent="0.35">
      <c r="A2070" s="251"/>
      <c r="B2070" s="22"/>
      <c r="C2070" s="252"/>
      <c r="D2070" s="252"/>
      <c r="E2070" s="252"/>
      <c r="F2070" s="252"/>
      <c r="G2070" s="252"/>
      <c r="H2070" s="252"/>
      <c r="I2070" s="252"/>
      <c r="J2070" s="252"/>
      <c r="K2070" s="252"/>
      <c r="L2070"/>
      <c r="M2070"/>
    </row>
    <row r="2071" spans="1:13" s="79" customFormat="1" x14ac:dyDescent="0.35">
      <c r="A2071" s="251"/>
      <c r="B2071" s="22"/>
      <c r="C2071" s="252"/>
      <c r="D2071" s="252"/>
      <c r="E2071" s="252"/>
      <c r="F2071" s="252"/>
      <c r="G2071" s="252"/>
      <c r="H2071" s="252"/>
      <c r="I2071" s="252"/>
      <c r="J2071" s="252"/>
      <c r="K2071" s="252"/>
      <c r="L2071"/>
      <c r="M2071"/>
    </row>
    <row r="2072" spans="1:13" s="79" customFormat="1" x14ac:dyDescent="0.35">
      <c r="A2072" s="251"/>
      <c r="B2072" s="22"/>
      <c r="C2072" s="252"/>
      <c r="D2072" s="252"/>
      <c r="E2072" s="252"/>
      <c r="F2072" s="252"/>
      <c r="G2072" s="252"/>
      <c r="H2072" s="252"/>
      <c r="I2072" s="252"/>
      <c r="J2072" s="252"/>
      <c r="K2072" s="252"/>
      <c r="L2072"/>
      <c r="M2072"/>
    </row>
    <row r="2073" spans="1:13" s="79" customFormat="1" x14ac:dyDescent="0.35">
      <c r="A2073" s="251"/>
      <c r="B2073" s="22"/>
      <c r="C2073" s="252"/>
      <c r="D2073" s="252"/>
      <c r="E2073" s="252"/>
      <c r="F2073" s="252"/>
      <c r="G2073" s="252"/>
      <c r="H2073" s="252"/>
      <c r="I2073" s="252"/>
      <c r="J2073" s="252"/>
      <c r="K2073" s="252"/>
      <c r="L2073"/>
      <c r="M2073"/>
    </row>
    <row r="2074" spans="1:13" s="79" customFormat="1" x14ac:dyDescent="0.35">
      <c r="A2074" s="251"/>
      <c r="B2074" s="22"/>
      <c r="C2074" s="252"/>
      <c r="D2074" s="252"/>
      <c r="E2074" s="252"/>
      <c r="F2074" s="252"/>
      <c r="G2074" s="252"/>
      <c r="H2074" s="252"/>
      <c r="I2074" s="252"/>
      <c r="J2074" s="252"/>
      <c r="K2074" s="252"/>
      <c r="L2074"/>
      <c r="M2074"/>
    </row>
    <row r="2075" spans="1:13" s="79" customFormat="1" x14ac:dyDescent="0.35">
      <c r="A2075" s="251"/>
      <c r="B2075" s="22"/>
      <c r="C2075" s="252"/>
      <c r="D2075" s="252"/>
      <c r="E2075" s="252"/>
      <c r="F2075" s="252"/>
      <c r="G2075" s="252"/>
      <c r="H2075" s="252"/>
      <c r="I2075" s="252"/>
      <c r="J2075" s="252"/>
      <c r="K2075" s="252"/>
      <c r="L2075"/>
      <c r="M2075"/>
    </row>
    <row r="2076" spans="1:13" s="79" customFormat="1" x14ac:dyDescent="0.35">
      <c r="A2076" s="251"/>
      <c r="B2076" s="22"/>
      <c r="C2076" s="252"/>
      <c r="D2076" s="252"/>
      <c r="E2076" s="252"/>
      <c r="F2076" s="252"/>
      <c r="G2076" s="252"/>
      <c r="H2076" s="252"/>
      <c r="I2076" s="252"/>
      <c r="J2076" s="252"/>
      <c r="K2076" s="252"/>
      <c r="L2076"/>
      <c r="M2076"/>
    </row>
    <row r="2077" spans="1:13" s="79" customFormat="1" x14ac:dyDescent="0.35">
      <c r="A2077" s="251"/>
      <c r="B2077" s="22"/>
      <c r="C2077" s="252"/>
      <c r="D2077" s="252"/>
      <c r="E2077" s="252"/>
      <c r="F2077" s="252"/>
      <c r="G2077" s="252"/>
      <c r="H2077" s="252"/>
      <c r="I2077" s="252"/>
      <c r="J2077" s="252"/>
      <c r="K2077" s="252"/>
      <c r="L2077"/>
      <c r="M2077"/>
    </row>
    <row r="2078" spans="1:13" s="79" customFormat="1" x14ac:dyDescent="0.35">
      <c r="A2078" s="251"/>
      <c r="B2078" s="22"/>
      <c r="C2078" s="252"/>
      <c r="D2078" s="252"/>
      <c r="E2078" s="252"/>
      <c r="F2078" s="252"/>
      <c r="G2078" s="252"/>
      <c r="H2078" s="252"/>
      <c r="I2078" s="252"/>
      <c r="J2078" s="252"/>
      <c r="K2078" s="252"/>
      <c r="L2078"/>
      <c r="M2078"/>
    </row>
    <row r="2079" spans="1:13" s="79" customFormat="1" x14ac:dyDescent="0.35">
      <c r="A2079" s="251"/>
      <c r="B2079" s="22"/>
      <c r="C2079" s="252"/>
      <c r="D2079" s="252"/>
      <c r="E2079" s="252"/>
      <c r="F2079" s="252"/>
      <c r="G2079" s="252"/>
      <c r="H2079" s="252"/>
      <c r="I2079" s="252"/>
      <c r="J2079" s="252"/>
      <c r="K2079" s="252"/>
      <c r="L2079"/>
      <c r="M2079"/>
    </row>
    <row r="2080" spans="1:13" s="79" customFormat="1" x14ac:dyDescent="0.35">
      <c r="A2080" s="251"/>
      <c r="B2080" s="22"/>
      <c r="C2080" s="252"/>
      <c r="D2080" s="252"/>
      <c r="E2080" s="252"/>
      <c r="F2080" s="252"/>
      <c r="G2080" s="252"/>
      <c r="H2080" s="252"/>
      <c r="I2080" s="252"/>
      <c r="J2080" s="252"/>
      <c r="K2080" s="252"/>
      <c r="L2080"/>
      <c r="M2080"/>
    </row>
    <row r="2081" spans="1:13" s="79" customFormat="1" x14ac:dyDescent="0.35">
      <c r="A2081" s="251"/>
      <c r="B2081" s="22"/>
      <c r="C2081" s="252"/>
      <c r="D2081" s="252"/>
      <c r="E2081" s="252"/>
      <c r="F2081" s="252"/>
      <c r="G2081" s="252"/>
      <c r="H2081" s="252"/>
      <c r="I2081" s="252"/>
      <c r="J2081" s="252"/>
      <c r="K2081" s="252"/>
      <c r="L2081"/>
      <c r="M2081"/>
    </row>
    <row r="2082" spans="1:13" s="79" customFormat="1" x14ac:dyDescent="0.35">
      <c r="A2082" s="251"/>
      <c r="B2082" s="22"/>
      <c r="C2082" s="252"/>
      <c r="D2082" s="252"/>
      <c r="E2082" s="252"/>
      <c r="F2082" s="252"/>
      <c r="G2082" s="252"/>
      <c r="H2082" s="252"/>
      <c r="I2082" s="252"/>
      <c r="J2082" s="252"/>
      <c r="K2082" s="252"/>
      <c r="L2082"/>
      <c r="M2082"/>
    </row>
    <row r="2083" spans="1:13" s="79" customFormat="1" x14ac:dyDescent="0.35">
      <c r="A2083" s="251"/>
      <c r="B2083" s="22"/>
      <c r="C2083" s="252"/>
      <c r="D2083" s="252"/>
      <c r="E2083" s="252"/>
      <c r="F2083" s="252"/>
      <c r="G2083" s="252"/>
      <c r="H2083" s="252"/>
      <c r="I2083" s="252"/>
      <c r="J2083" s="252"/>
      <c r="K2083" s="252"/>
      <c r="L2083"/>
      <c r="M2083"/>
    </row>
    <row r="2084" spans="1:13" s="79" customFormat="1" x14ac:dyDescent="0.35">
      <c r="A2084" s="251"/>
      <c r="B2084" s="22"/>
      <c r="C2084" s="252"/>
      <c r="D2084" s="252"/>
      <c r="E2084" s="252"/>
      <c r="F2084" s="252"/>
      <c r="G2084" s="252"/>
      <c r="H2084" s="252"/>
      <c r="I2084" s="252"/>
      <c r="J2084" s="252"/>
      <c r="K2084" s="252"/>
      <c r="L2084"/>
      <c r="M2084"/>
    </row>
    <row r="2085" spans="1:13" s="79" customFormat="1" x14ac:dyDescent="0.35">
      <c r="A2085" s="251"/>
      <c r="B2085" s="22"/>
      <c r="C2085" s="252"/>
      <c r="D2085" s="252"/>
      <c r="E2085" s="252"/>
      <c r="F2085" s="252"/>
      <c r="G2085" s="252"/>
      <c r="H2085" s="252"/>
      <c r="I2085" s="252"/>
      <c r="J2085" s="252"/>
      <c r="K2085" s="252"/>
      <c r="L2085"/>
      <c r="M2085"/>
    </row>
    <row r="2086" spans="1:13" s="79" customFormat="1" x14ac:dyDescent="0.35">
      <c r="A2086" s="251"/>
      <c r="B2086" s="22"/>
      <c r="C2086" s="252"/>
      <c r="D2086" s="252"/>
      <c r="E2086" s="252"/>
      <c r="F2086" s="252"/>
      <c r="G2086" s="252"/>
      <c r="H2086" s="252"/>
      <c r="I2086" s="252"/>
      <c r="J2086" s="252"/>
      <c r="K2086" s="252"/>
      <c r="L2086"/>
      <c r="M2086"/>
    </row>
    <row r="2087" spans="1:13" s="79" customFormat="1" x14ac:dyDescent="0.35">
      <c r="A2087" s="251"/>
      <c r="B2087" s="22"/>
      <c r="C2087" s="252"/>
      <c r="D2087" s="252"/>
      <c r="E2087" s="252"/>
      <c r="F2087" s="252"/>
      <c r="G2087" s="252"/>
      <c r="H2087" s="252"/>
      <c r="I2087" s="252"/>
      <c r="J2087" s="252"/>
      <c r="K2087" s="252"/>
      <c r="L2087"/>
      <c r="M2087"/>
    </row>
    <row r="2088" spans="1:13" s="79" customFormat="1" x14ac:dyDescent="0.35">
      <c r="A2088" s="251"/>
      <c r="B2088" s="22"/>
      <c r="C2088" s="252"/>
      <c r="D2088" s="252"/>
      <c r="E2088" s="252"/>
      <c r="F2088" s="252"/>
      <c r="G2088" s="252"/>
      <c r="H2088" s="252"/>
      <c r="I2088" s="252"/>
      <c r="J2088" s="252"/>
      <c r="K2088" s="252"/>
      <c r="L2088"/>
      <c r="M2088"/>
    </row>
    <row r="2089" spans="1:13" s="79" customFormat="1" x14ac:dyDescent="0.35">
      <c r="A2089" s="251"/>
      <c r="B2089" s="22"/>
      <c r="C2089" s="252"/>
      <c r="D2089" s="252"/>
      <c r="E2089" s="252"/>
      <c r="F2089" s="252"/>
      <c r="G2089" s="252"/>
      <c r="H2089" s="252"/>
      <c r="I2089" s="252"/>
      <c r="J2089" s="252"/>
      <c r="K2089" s="252"/>
      <c r="L2089"/>
      <c r="M2089"/>
    </row>
    <row r="2090" spans="1:13" s="79" customFormat="1" x14ac:dyDescent="0.35">
      <c r="A2090" s="251"/>
      <c r="B2090" s="22"/>
      <c r="C2090" s="252"/>
      <c r="D2090" s="252"/>
      <c r="E2090" s="252"/>
      <c r="F2090" s="252"/>
      <c r="G2090" s="252"/>
      <c r="H2090" s="252"/>
      <c r="I2090" s="252"/>
      <c r="J2090" s="252"/>
      <c r="K2090" s="252"/>
      <c r="L2090"/>
      <c r="M2090"/>
    </row>
    <row r="2091" spans="1:13" s="79" customFormat="1" x14ac:dyDescent="0.35">
      <c r="A2091" s="251"/>
      <c r="B2091" s="22"/>
      <c r="C2091" s="252"/>
      <c r="D2091" s="252"/>
      <c r="E2091" s="252"/>
      <c r="F2091" s="252"/>
      <c r="G2091" s="252"/>
      <c r="H2091" s="252"/>
      <c r="I2091" s="252"/>
      <c r="J2091" s="252"/>
      <c r="K2091" s="252"/>
      <c r="L2091"/>
      <c r="M2091"/>
    </row>
    <row r="2092" spans="1:13" s="79" customFormat="1" x14ac:dyDescent="0.35">
      <c r="A2092" s="251"/>
      <c r="B2092" s="22"/>
      <c r="C2092" s="252"/>
      <c r="D2092" s="252"/>
      <c r="E2092" s="252"/>
      <c r="F2092" s="252"/>
      <c r="G2092" s="252"/>
      <c r="H2092" s="252"/>
      <c r="I2092" s="252"/>
      <c r="J2092" s="252"/>
      <c r="K2092" s="252"/>
      <c r="L2092"/>
      <c r="M2092"/>
    </row>
    <row r="2093" spans="1:13" s="79" customFormat="1" x14ac:dyDescent="0.35">
      <c r="A2093" s="251"/>
      <c r="B2093" s="22"/>
      <c r="C2093" s="252"/>
      <c r="D2093" s="252"/>
      <c r="E2093" s="252"/>
      <c r="F2093" s="252"/>
      <c r="G2093" s="252"/>
      <c r="H2093" s="252"/>
      <c r="I2093" s="252"/>
      <c r="J2093" s="252"/>
      <c r="K2093" s="252"/>
      <c r="L2093"/>
      <c r="M2093"/>
    </row>
    <row r="2094" spans="1:13" s="79" customFormat="1" x14ac:dyDescent="0.35">
      <c r="A2094" s="251"/>
      <c r="B2094" s="22"/>
      <c r="C2094" s="252"/>
      <c r="D2094" s="252"/>
      <c r="E2094" s="252"/>
      <c r="F2094" s="252"/>
      <c r="G2094" s="252"/>
      <c r="H2094" s="252"/>
      <c r="I2094" s="252"/>
      <c r="J2094" s="252"/>
      <c r="K2094" s="252"/>
      <c r="L2094"/>
      <c r="M2094"/>
    </row>
    <row r="2095" spans="1:13" s="79" customFormat="1" x14ac:dyDescent="0.35">
      <c r="A2095" s="251"/>
      <c r="B2095" s="22"/>
      <c r="C2095" s="252"/>
      <c r="D2095" s="252"/>
      <c r="E2095" s="252"/>
      <c r="F2095" s="252"/>
      <c r="G2095" s="252"/>
      <c r="H2095" s="252"/>
      <c r="I2095" s="252"/>
      <c r="J2095" s="252"/>
      <c r="K2095" s="252"/>
      <c r="L2095"/>
      <c r="M2095"/>
    </row>
    <row r="2096" spans="1:13" s="79" customFormat="1" x14ac:dyDescent="0.35">
      <c r="A2096" s="251"/>
      <c r="B2096" s="22"/>
      <c r="C2096" s="252"/>
      <c r="D2096" s="252"/>
      <c r="E2096" s="252"/>
      <c r="F2096" s="252"/>
      <c r="G2096" s="252"/>
      <c r="H2096" s="252"/>
      <c r="I2096" s="252"/>
      <c r="J2096" s="252"/>
      <c r="K2096" s="252"/>
      <c r="L2096"/>
      <c r="M2096"/>
    </row>
    <row r="2097" spans="1:13" s="79" customFormat="1" x14ac:dyDescent="0.35">
      <c r="A2097" s="251"/>
      <c r="B2097" s="22"/>
      <c r="C2097" s="252"/>
      <c r="D2097" s="252"/>
      <c r="E2097" s="252"/>
      <c r="F2097" s="252"/>
      <c r="G2097" s="252"/>
      <c r="H2097" s="252"/>
      <c r="I2097" s="252"/>
      <c r="J2097" s="252"/>
      <c r="K2097" s="252"/>
      <c r="L2097"/>
      <c r="M2097"/>
    </row>
    <row r="2098" spans="1:13" s="79" customFormat="1" x14ac:dyDescent="0.35">
      <c r="A2098" s="251"/>
      <c r="B2098" s="22"/>
      <c r="C2098" s="252"/>
      <c r="D2098" s="252"/>
      <c r="E2098" s="252"/>
      <c r="F2098" s="252"/>
      <c r="G2098" s="252"/>
      <c r="H2098" s="252"/>
      <c r="I2098" s="252"/>
      <c r="J2098" s="252"/>
      <c r="K2098" s="252"/>
      <c r="L2098"/>
      <c r="M2098"/>
    </row>
    <row r="2099" spans="1:13" s="79" customFormat="1" x14ac:dyDescent="0.35">
      <c r="A2099" s="251"/>
      <c r="B2099" s="22"/>
      <c r="C2099" s="252"/>
      <c r="D2099" s="252"/>
      <c r="E2099" s="252"/>
      <c r="F2099" s="252"/>
      <c r="G2099" s="252"/>
      <c r="H2099" s="252"/>
      <c r="I2099" s="252"/>
      <c r="J2099" s="252"/>
      <c r="K2099" s="252"/>
      <c r="L2099"/>
      <c r="M2099"/>
    </row>
    <row r="2100" spans="1:13" s="79" customFormat="1" x14ac:dyDescent="0.35">
      <c r="A2100" s="251"/>
      <c r="B2100" s="22"/>
      <c r="C2100" s="252"/>
      <c r="D2100" s="252"/>
      <c r="E2100" s="252"/>
      <c r="F2100" s="252"/>
      <c r="G2100" s="252"/>
      <c r="H2100" s="252"/>
      <c r="I2100" s="252"/>
      <c r="J2100" s="252"/>
      <c r="K2100" s="252"/>
      <c r="L2100"/>
      <c r="M2100"/>
    </row>
    <row r="2101" spans="1:13" s="79" customFormat="1" x14ac:dyDescent="0.35">
      <c r="A2101" s="251"/>
      <c r="B2101" s="22"/>
      <c r="C2101" s="252"/>
      <c r="D2101" s="252"/>
      <c r="E2101" s="252"/>
      <c r="F2101" s="252"/>
      <c r="G2101" s="252"/>
      <c r="H2101" s="252"/>
      <c r="I2101" s="252"/>
      <c r="J2101" s="252"/>
      <c r="K2101" s="252"/>
      <c r="L2101"/>
      <c r="M2101"/>
    </row>
    <row r="2102" spans="1:13" s="79" customFormat="1" x14ac:dyDescent="0.35">
      <c r="A2102" s="251"/>
      <c r="B2102" s="22"/>
      <c r="C2102" s="252"/>
      <c r="D2102" s="252"/>
      <c r="E2102" s="252"/>
      <c r="F2102" s="252"/>
      <c r="G2102" s="252"/>
      <c r="H2102" s="252"/>
      <c r="I2102" s="252"/>
      <c r="J2102" s="252"/>
      <c r="K2102" s="252"/>
      <c r="L2102"/>
      <c r="M2102"/>
    </row>
    <row r="2103" spans="1:13" s="79" customFormat="1" x14ac:dyDescent="0.35">
      <c r="A2103" s="251"/>
      <c r="B2103" s="22"/>
      <c r="C2103" s="252"/>
      <c r="D2103" s="252"/>
      <c r="E2103" s="252"/>
      <c r="F2103" s="252"/>
      <c r="G2103" s="252"/>
      <c r="H2103" s="252"/>
      <c r="I2103" s="252"/>
      <c r="J2103" s="252"/>
      <c r="K2103" s="252"/>
      <c r="L2103"/>
      <c r="M2103"/>
    </row>
    <row r="2104" spans="1:13" s="79" customFormat="1" x14ac:dyDescent="0.35">
      <c r="A2104" s="251"/>
      <c r="B2104" s="22"/>
      <c r="C2104" s="252"/>
      <c r="D2104" s="252"/>
      <c r="E2104" s="252"/>
      <c r="F2104" s="252"/>
      <c r="G2104" s="252"/>
      <c r="H2104" s="252"/>
      <c r="I2104" s="252"/>
      <c r="J2104" s="252"/>
      <c r="K2104" s="252"/>
      <c r="L2104"/>
      <c r="M2104"/>
    </row>
    <row r="2105" spans="1:13" s="79" customFormat="1" x14ac:dyDescent="0.35">
      <c r="A2105" s="251"/>
      <c r="B2105" s="22"/>
      <c r="C2105" s="252"/>
      <c r="D2105" s="252"/>
      <c r="E2105" s="252"/>
      <c r="F2105" s="252"/>
      <c r="G2105" s="252"/>
      <c r="H2105" s="252"/>
      <c r="I2105" s="252"/>
      <c r="J2105" s="252"/>
      <c r="K2105" s="252"/>
      <c r="L2105"/>
      <c r="M2105"/>
    </row>
    <row r="2106" spans="1:13" s="79" customFormat="1" x14ac:dyDescent="0.35">
      <c r="A2106" s="251"/>
      <c r="B2106" s="22"/>
      <c r="C2106" s="252"/>
      <c r="D2106" s="252"/>
      <c r="E2106" s="252"/>
      <c r="F2106" s="252"/>
      <c r="G2106" s="252"/>
      <c r="H2106" s="252"/>
      <c r="I2106" s="252"/>
      <c r="J2106" s="252"/>
      <c r="K2106" s="252"/>
      <c r="L2106"/>
      <c r="M2106"/>
    </row>
    <row r="2107" spans="1:13" s="79" customFormat="1" x14ac:dyDescent="0.35">
      <c r="A2107" s="251"/>
      <c r="B2107" s="22"/>
      <c r="C2107" s="252"/>
      <c r="D2107" s="252"/>
      <c r="E2107" s="252"/>
      <c r="F2107" s="252"/>
      <c r="G2107" s="252"/>
      <c r="H2107" s="252"/>
      <c r="I2107" s="252"/>
      <c r="J2107" s="252"/>
      <c r="K2107" s="252"/>
      <c r="L2107"/>
      <c r="M2107"/>
    </row>
    <row r="2108" spans="1:13" s="79" customFormat="1" x14ac:dyDescent="0.35">
      <c r="A2108" s="251"/>
      <c r="B2108" s="22"/>
      <c r="C2108" s="252"/>
      <c r="D2108" s="252"/>
      <c r="E2108" s="252"/>
      <c r="F2108" s="252"/>
      <c r="G2108" s="252"/>
      <c r="H2108" s="252"/>
      <c r="I2108" s="252"/>
      <c r="J2108" s="252"/>
      <c r="K2108" s="252"/>
      <c r="L2108"/>
      <c r="M2108"/>
    </row>
    <row r="2109" spans="1:13" s="79" customFormat="1" x14ac:dyDescent="0.35">
      <c r="A2109" s="251"/>
      <c r="B2109" s="22"/>
      <c r="C2109" s="252"/>
      <c r="D2109" s="252"/>
      <c r="E2109" s="252"/>
      <c r="F2109" s="252"/>
      <c r="G2109" s="252"/>
      <c r="H2109" s="252"/>
      <c r="I2109" s="252"/>
      <c r="J2109" s="252"/>
      <c r="K2109" s="252"/>
      <c r="L2109"/>
      <c r="M2109"/>
    </row>
    <row r="2110" spans="1:13" s="79" customFormat="1" x14ac:dyDescent="0.35">
      <c r="A2110" s="251"/>
      <c r="B2110" s="22"/>
      <c r="C2110" s="252"/>
      <c r="D2110" s="252"/>
      <c r="E2110" s="252"/>
      <c r="F2110" s="252"/>
      <c r="G2110" s="252"/>
      <c r="H2110" s="252"/>
      <c r="I2110" s="252"/>
      <c r="J2110" s="252"/>
      <c r="K2110" s="252"/>
      <c r="L2110"/>
      <c r="M2110"/>
    </row>
    <row r="2111" spans="1:13" s="79" customFormat="1" x14ac:dyDescent="0.35">
      <c r="A2111" s="251"/>
      <c r="B2111" s="22"/>
      <c r="C2111" s="252"/>
      <c r="D2111" s="252"/>
      <c r="E2111" s="252"/>
      <c r="F2111" s="252"/>
      <c r="G2111" s="252"/>
      <c r="H2111" s="252"/>
      <c r="I2111" s="252"/>
      <c r="J2111" s="252"/>
      <c r="K2111" s="252"/>
      <c r="L2111"/>
      <c r="M2111"/>
    </row>
    <row r="2112" spans="1:13" s="79" customFormat="1" x14ac:dyDescent="0.35">
      <c r="A2112" s="251"/>
      <c r="B2112" s="22"/>
      <c r="C2112" s="252"/>
      <c r="D2112" s="252"/>
      <c r="E2112" s="252"/>
      <c r="F2112" s="252"/>
      <c r="G2112" s="252"/>
      <c r="H2112" s="252"/>
      <c r="I2112" s="252"/>
      <c r="J2112" s="252"/>
      <c r="K2112" s="252"/>
      <c r="L2112"/>
      <c r="M2112"/>
    </row>
    <row r="2113" spans="1:13" s="79" customFormat="1" x14ac:dyDescent="0.35">
      <c r="A2113" s="251"/>
      <c r="B2113" s="22"/>
      <c r="C2113" s="252"/>
      <c r="D2113" s="252"/>
      <c r="E2113" s="252"/>
      <c r="F2113" s="252"/>
      <c r="G2113" s="252"/>
      <c r="H2113" s="252"/>
      <c r="I2113" s="252"/>
      <c r="J2113" s="252"/>
      <c r="K2113" s="252"/>
      <c r="L2113"/>
      <c r="M2113"/>
    </row>
    <row r="2114" spans="1:13" s="79" customFormat="1" x14ac:dyDescent="0.35">
      <c r="A2114" s="251"/>
      <c r="B2114" s="22"/>
      <c r="C2114" s="252"/>
      <c r="D2114" s="252"/>
      <c r="E2114" s="252"/>
      <c r="F2114" s="252"/>
      <c r="G2114" s="252"/>
      <c r="H2114" s="252"/>
      <c r="I2114" s="252"/>
      <c r="J2114" s="252"/>
      <c r="K2114" s="252"/>
      <c r="L2114"/>
      <c r="M2114"/>
    </row>
    <row r="2115" spans="1:13" s="79" customFormat="1" x14ac:dyDescent="0.35">
      <c r="A2115" s="251"/>
      <c r="B2115" s="22"/>
      <c r="C2115" s="252"/>
      <c r="D2115" s="252"/>
      <c r="E2115" s="252"/>
      <c r="F2115" s="252"/>
      <c r="G2115" s="252"/>
      <c r="H2115" s="252"/>
      <c r="I2115" s="252"/>
      <c r="J2115" s="252"/>
      <c r="K2115" s="252"/>
      <c r="L2115"/>
      <c r="M2115"/>
    </row>
    <row r="2116" spans="1:13" s="79" customFormat="1" x14ac:dyDescent="0.35">
      <c r="A2116" s="251"/>
      <c r="B2116" s="22"/>
      <c r="C2116" s="252"/>
      <c r="D2116" s="252"/>
      <c r="E2116" s="252"/>
      <c r="F2116" s="252"/>
      <c r="G2116" s="252"/>
      <c r="H2116" s="252"/>
      <c r="I2116" s="252"/>
      <c r="J2116" s="252"/>
      <c r="K2116" s="252"/>
      <c r="L2116"/>
      <c r="M2116"/>
    </row>
    <row r="2117" spans="1:13" s="79" customFormat="1" x14ac:dyDescent="0.35">
      <c r="A2117" s="251"/>
      <c r="B2117" s="22"/>
      <c r="C2117" s="252"/>
      <c r="D2117" s="252"/>
      <c r="E2117" s="252"/>
      <c r="F2117" s="252"/>
      <c r="G2117" s="252"/>
      <c r="H2117" s="252"/>
      <c r="I2117" s="252"/>
      <c r="J2117" s="252"/>
      <c r="K2117" s="252"/>
      <c r="L2117"/>
      <c r="M2117"/>
    </row>
    <row r="2118" spans="1:13" s="79" customFormat="1" x14ac:dyDescent="0.35">
      <c r="A2118" s="251"/>
      <c r="B2118" s="22"/>
      <c r="C2118" s="252"/>
      <c r="D2118" s="252"/>
      <c r="E2118" s="252"/>
      <c r="F2118" s="252"/>
      <c r="G2118" s="252"/>
      <c r="H2118" s="252"/>
      <c r="I2118" s="252"/>
      <c r="J2118" s="252"/>
      <c r="K2118" s="252"/>
      <c r="L2118"/>
      <c r="M2118"/>
    </row>
    <row r="2119" spans="1:13" s="79" customFormat="1" x14ac:dyDescent="0.35">
      <c r="A2119" s="251"/>
      <c r="B2119" s="22"/>
      <c r="C2119" s="252"/>
      <c r="D2119" s="252"/>
      <c r="E2119" s="252"/>
      <c r="F2119" s="252"/>
      <c r="G2119" s="252"/>
      <c r="H2119" s="252"/>
      <c r="I2119" s="252"/>
      <c r="J2119" s="252"/>
      <c r="K2119" s="252"/>
      <c r="L2119"/>
      <c r="M2119"/>
    </row>
    <row r="2120" spans="1:13" s="79" customFormat="1" x14ac:dyDescent="0.35">
      <c r="A2120" s="251"/>
      <c r="B2120" s="22"/>
      <c r="C2120" s="252"/>
      <c r="D2120" s="252"/>
      <c r="E2120" s="252"/>
      <c r="F2120" s="252"/>
      <c r="G2120" s="252"/>
      <c r="H2120" s="252"/>
      <c r="I2120" s="252"/>
      <c r="J2120" s="252"/>
      <c r="K2120" s="252"/>
      <c r="L2120"/>
      <c r="M2120"/>
    </row>
    <row r="2121" spans="1:13" s="79" customFormat="1" x14ac:dyDescent="0.35">
      <c r="A2121" s="251"/>
      <c r="B2121" s="22"/>
      <c r="C2121" s="252"/>
      <c r="D2121" s="252"/>
      <c r="E2121" s="252"/>
      <c r="F2121" s="252"/>
      <c r="G2121" s="252"/>
      <c r="H2121" s="252"/>
      <c r="I2121" s="252"/>
      <c r="J2121" s="252"/>
      <c r="K2121" s="252"/>
      <c r="L2121"/>
      <c r="M2121"/>
    </row>
    <row r="2122" spans="1:13" s="79" customFormat="1" x14ac:dyDescent="0.35">
      <c r="A2122" s="251"/>
      <c r="B2122" s="22"/>
      <c r="C2122" s="252"/>
      <c r="D2122" s="252"/>
      <c r="E2122" s="252"/>
      <c r="F2122" s="252"/>
      <c r="G2122" s="252"/>
      <c r="H2122" s="252"/>
      <c r="I2122" s="252"/>
      <c r="J2122" s="252"/>
      <c r="K2122" s="252"/>
      <c r="L2122"/>
      <c r="M2122"/>
    </row>
    <row r="2123" spans="1:13" s="79" customFormat="1" x14ac:dyDescent="0.35">
      <c r="A2123" s="251"/>
      <c r="B2123" s="22"/>
      <c r="C2123" s="252"/>
      <c r="D2123" s="252"/>
      <c r="E2123" s="252"/>
      <c r="F2123" s="252"/>
      <c r="G2123" s="252"/>
      <c r="H2123" s="252"/>
      <c r="I2123" s="252"/>
      <c r="J2123" s="252"/>
      <c r="K2123" s="252"/>
      <c r="L2123"/>
      <c r="M2123"/>
    </row>
    <row r="2124" spans="1:13" s="79" customFormat="1" x14ac:dyDescent="0.35">
      <c r="A2124" s="251"/>
      <c r="B2124" s="22"/>
      <c r="C2124" s="252"/>
      <c r="D2124" s="252"/>
      <c r="E2124" s="252"/>
      <c r="F2124" s="252"/>
      <c r="G2124" s="252"/>
      <c r="H2124" s="252"/>
      <c r="I2124" s="252"/>
      <c r="J2124" s="252"/>
      <c r="K2124" s="252"/>
      <c r="L2124"/>
      <c r="M2124"/>
    </row>
    <row r="2125" spans="1:13" s="79" customFormat="1" x14ac:dyDescent="0.35">
      <c r="A2125" s="251"/>
      <c r="B2125" s="22"/>
      <c r="C2125" s="252"/>
      <c r="D2125" s="252"/>
      <c r="E2125" s="252"/>
      <c r="F2125" s="252"/>
      <c r="G2125" s="252"/>
      <c r="H2125" s="252"/>
      <c r="I2125" s="252"/>
      <c r="J2125" s="252"/>
      <c r="K2125" s="252"/>
      <c r="L2125"/>
      <c r="M2125"/>
    </row>
    <row r="2126" spans="1:13" s="79" customFormat="1" x14ac:dyDescent="0.35">
      <c r="A2126" s="251"/>
      <c r="B2126" s="22"/>
      <c r="C2126" s="252"/>
      <c r="D2126" s="252"/>
      <c r="E2126" s="252"/>
      <c r="F2126" s="252"/>
      <c r="G2126" s="252"/>
      <c r="H2126" s="252"/>
      <c r="I2126" s="252"/>
      <c r="J2126" s="252"/>
      <c r="K2126" s="252"/>
      <c r="L2126"/>
      <c r="M2126"/>
    </row>
    <row r="2127" spans="1:13" s="79" customFormat="1" x14ac:dyDescent="0.35">
      <c r="A2127" s="251"/>
      <c r="B2127" s="22"/>
      <c r="C2127" s="252"/>
      <c r="D2127" s="252"/>
      <c r="E2127" s="252"/>
      <c r="F2127" s="252"/>
      <c r="G2127" s="252"/>
      <c r="H2127" s="252"/>
      <c r="I2127" s="252"/>
      <c r="J2127" s="252"/>
      <c r="K2127" s="252"/>
      <c r="L2127"/>
      <c r="M2127"/>
    </row>
    <row r="2128" spans="1:13" s="79" customFormat="1" x14ac:dyDescent="0.35">
      <c r="A2128" s="251"/>
      <c r="B2128" s="22"/>
      <c r="C2128" s="252"/>
      <c r="D2128" s="252"/>
      <c r="E2128" s="252"/>
      <c r="F2128" s="252"/>
      <c r="G2128" s="252"/>
      <c r="H2128" s="252"/>
      <c r="I2128" s="252"/>
      <c r="J2128" s="252"/>
      <c r="K2128" s="252"/>
      <c r="L2128"/>
      <c r="M2128"/>
    </row>
    <row r="2129" spans="1:13" s="79" customFormat="1" x14ac:dyDescent="0.35">
      <c r="A2129" s="251"/>
      <c r="B2129" s="22"/>
      <c r="C2129" s="252"/>
      <c r="D2129" s="252"/>
      <c r="E2129" s="252"/>
      <c r="F2129" s="252"/>
      <c r="G2129" s="252"/>
      <c r="H2129" s="252"/>
      <c r="I2129" s="252"/>
      <c r="J2129" s="252"/>
      <c r="K2129" s="252"/>
      <c r="L2129"/>
      <c r="M2129"/>
    </row>
    <row r="2130" spans="1:13" s="79" customFormat="1" x14ac:dyDescent="0.35">
      <c r="A2130" s="251"/>
      <c r="B2130" s="22"/>
      <c r="C2130" s="252"/>
      <c r="D2130" s="252"/>
      <c r="E2130" s="252"/>
      <c r="F2130" s="252"/>
      <c r="G2130" s="252"/>
      <c r="H2130" s="252"/>
      <c r="I2130" s="252"/>
      <c r="J2130" s="252"/>
      <c r="K2130" s="252"/>
      <c r="L2130"/>
      <c r="M2130"/>
    </row>
    <row r="2131" spans="1:13" s="79" customFormat="1" x14ac:dyDescent="0.35">
      <c r="A2131" s="251"/>
      <c r="B2131" s="22"/>
      <c r="C2131" s="252"/>
      <c r="D2131" s="252"/>
      <c r="E2131" s="252"/>
      <c r="F2131" s="252"/>
      <c r="G2131" s="252"/>
      <c r="H2131" s="252"/>
      <c r="I2131" s="252"/>
      <c r="J2131" s="252"/>
      <c r="K2131" s="252"/>
      <c r="L2131"/>
      <c r="M2131"/>
    </row>
    <row r="2132" spans="1:13" s="79" customFormat="1" x14ac:dyDescent="0.35">
      <c r="A2132" s="251"/>
      <c r="B2132" s="22"/>
      <c r="C2132" s="252"/>
      <c r="D2132" s="252"/>
      <c r="E2132" s="252"/>
      <c r="F2132" s="252"/>
      <c r="G2132" s="252"/>
      <c r="H2132" s="252"/>
      <c r="I2132" s="252"/>
      <c r="J2132" s="252"/>
      <c r="K2132" s="252"/>
      <c r="L2132"/>
      <c r="M2132"/>
    </row>
    <row r="2133" spans="1:13" s="79" customFormat="1" x14ac:dyDescent="0.35">
      <c r="A2133" s="251"/>
      <c r="B2133" s="22"/>
      <c r="C2133" s="252"/>
      <c r="D2133" s="252"/>
      <c r="E2133" s="252"/>
      <c r="F2133" s="252"/>
      <c r="G2133" s="252"/>
      <c r="H2133" s="252"/>
      <c r="I2133" s="252"/>
      <c r="J2133" s="252"/>
      <c r="K2133" s="252"/>
      <c r="L2133"/>
      <c r="M2133"/>
    </row>
    <row r="2134" spans="1:13" s="79" customFormat="1" x14ac:dyDescent="0.35">
      <c r="A2134" s="251"/>
      <c r="B2134" s="22"/>
      <c r="C2134" s="252"/>
      <c r="D2134" s="252"/>
      <c r="E2134" s="252"/>
      <c r="F2134" s="252"/>
      <c r="G2134" s="252"/>
      <c r="H2134" s="252"/>
      <c r="I2134" s="252"/>
      <c r="J2134" s="252"/>
      <c r="K2134" s="252"/>
      <c r="L2134"/>
      <c r="M2134"/>
    </row>
    <row r="2135" spans="1:13" s="79" customFormat="1" x14ac:dyDescent="0.35">
      <c r="A2135" s="251"/>
      <c r="B2135" s="22"/>
      <c r="C2135" s="252"/>
      <c r="D2135" s="252"/>
      <c r="E2135" s="252"/>
      <c r="F2135" s="252"/>
      <c r="G2135" s="252"/>
      <c r="H2135" s="252"/>
      <c r="I2135" s="252"/>
      <c r="J2135" s="252"/>
      <c r="K2135" s="252"/>
      <c r="L2135"/>
      <c r="M2135"/>
    </row>
    <row r="2136" spans="1:13" s="79" customFormat="1" x14ac:dyDescent="0.35">
      <c r="A2136" s="251"/>
      <c r="B2136" s="22"/>
      <c r="C2136" s="252"/>
      <c r="D2136" s="252"/>
      <c r="E2136" s="252"/>
      <c r="F2136" s="252"/>
      <c r="G2136" s="252"/>
      <c r="H2136" s="252"/>
      <c r="I2136" s="252"/>
      <c r="J2136" s="252"/>
      <c r="K2136" s="252"/>
      <c r="L2136"/>
      <c r="M2136"/>
    </row>
    <row r="2137" spans="1:13" s="79" customFormat="1" x14ac:dyDescent="0.35">
      <c r="A2137" s="251"/>
      <c r="B2137" s="22"/>
      <c r="C2137" s="252"/>
      <c r="D2137" s="252"/>
      <c r="E2137" s="252"/>
      <c r="F2137" s="252"/>
      <c r="G2137" s="252"/>
      <c r="H2137" s="252"/>
      <c r="I2137" s="252"/>
      <c r="J2137" s="252"/>
      <c r="K2137" s="252"/>
      <c r="L2137"/>
      <c r="M2137"/>
    </row>
    <row r="2138" spans="1:13" s="79" customFormat="1" x14ac:dyDescent="0.35">
      <c r="A2138" s="251"/>
      <c r="B2138" s="22"/>
      <c r="C2138" s="252"/>
      <c r="D2138" s="252"/>
      <c r="E2138" s="252"/>
      <c r="F2138" s="252"/>
      <c r="G2138" s="252"/>
      <c r="H2138" s="252"/>
      <c r="I2138" s="252"/>
      <c r="J2138" s="252"/>
      <c r="K2138" s="252"/>
      <c r="L2138"/>
      <c r="M2138"/>
    </row>
    <row r="2139" spans="1:13" s="79" customFormat="1" x14ac:dyDescent="0.35">
      <c r="A2139" s="251"/>
      <c r="B2139" s="22"/>
      <c r="C2139" s="252"/>
      <c r="D2139" s="252"/>
      <c r="E2139" s="252"/>
      <c r="F2139" s="252"/>
      <c r="G2139" s="252"/>
      <c r="H2139" s="252"/>
      <c r="I2139" s="252"/>
      <c r="J2139" s="252"/>
      <c r="K2139" s="252"/>
      <c r="L2139"/>
      <c r="M2139"/>
    </row>
    <row r="2140" spans="1:13" s="79" customFormat="1" x14ac:dyDescent="0.35">
      <c r="A2140" s="251"/>
      <c r="B2140" s="22"/>
      <c r="C2140" s="252"/>
      <c r="D2140" s="252"/>
      <c r="E2140" s="252"/>
      <c r="F2140" s="252"/>
      <c r="G2140" s="252"/>
      <c r="H2140" s="252"/>
      <c r="I2140" s="252"/>
      <c r="J2140" s="252"/>
      <c r="K2140" s="252"/>
      <c r="L2140"/>
      <c r="M2140"/>
    </row>
    <row r="2141" spans="1:13" s="79" customFormat="1" x14ac:dyDescent="0.35">
      <c r="A2141" s="251"/>
      <c r="B2141" s="22"/>
      <c r="C2141" s="252"/>
      <c r="D2141" s="252"/>
      <c r="E2141" s="252"/>
      <c r="F2141" s="252"/>
      <c r="G2141" s="252"/>
      <c r="H2141" s="252"/>
      <c r="I2141" s="252"/>
      <c r="J2141" s="252"/>
      <c r="K2141" s="252"/>
      <c r="L2141"/>
      <c r="M2141"/>
    </row>
    <row r="2142" spans="1:13" s="79" customFormat="1" x14ac:dyDescent="0.35">
      <c r="A2142" s="251"/>
      <c r="B2142" s="22"/>
      <c r="C2142" s="252"/>
      <c r="D2142" s="252"/>
      <c r="E2142" s="252"/>
      <c r="F2142" s="252"/>
      <c r="G2142" s="252"/>
      <c r="H2142" s="252"/>
      <c r="I2142" s="252"/>
      <c r="J2142" s="252"/>
      <c r="K2142" s="252"/>
      <c r="L2142"/>
      <c r="M2142"/>
    </row>
    <row r="2143" spans="1:13" s="79" customFormat="1" x14ac:dyDescent="0.35">
      <c r="A2143" s="251"/>
      <c r="B2143" s="22"/>
      <c r="C2143" s="252"/>
      <c r="D2143" s="252"/>
      <c r="E2143" s="252"/>
      <c r="F2143" s="252"/>
      <c r="G2143" s="252"/>
      <c r="H2143" s="252"/>
      <c r="I2143" s="252"/>
      <c r="J2143" s="252"/>
      <c r="K2143" s="252"/>
      <c r="L2143"/>
      <c r="M2143"/>
    </row>
    <row r="2144" spans="1:13" s="79" customFormat="1" x14ac:dyDescent="0.35">
      <c r="A2144" s="251"/>
      <c r="B2144" s="22"/>
      <c r="C2144" s="252"/>
      <c r="D2144" s="252"/>
      <c r="E2144" s="252"/>
      <c r="F2144" s="252"/>
      <c r="G2144" s="252"/>
      <c r="H2144" s="252"/>
      <c r="I2144" s="252"/>
      <c r="J2144" s="252"/>
      <c r="K2144" s="252"/>
      <c r="L2144"/>
      <c r="M2144"/>
    </row>
    <row r="2145" spans="1:13" s="79" customFormat="1" x14ac:dyDescent="0.35">
      <c r="A2145" s="251"/>
      <c r="B2145" s="22"/>
      <c r="C2145" s="252"/>
      <c r="D2145" s="252"/>
      <c r="E2145" s="252"/>
      <c r="F2145" s="252"/>
      <c r="G2145" s="252"/>
      <c r="H2145" s="252"/>
      <c r="I2145" s="252"/>
      <c r="J2145" s="252"/>
      <c r="K2145" s="252"/>
      <c r="L2145"/>
      <c r="M2145"/>
    </row>
    <row r="2146" spans="1:13" s="79" customFormat="1" x14ac:dyDescent="0.35">
      <c r="A2146" s="251"/>
      <c r="B2146" s="22"/>
      <c r="C2146" s="252"/>
      <c r="D2146" s="252"/>
      <c r="E2146" s="252"/>
      <c r="F2146" s="252"/>
      <c r="G2146" s="252"/>
      <c r="H2146" s="252"/>
      <c r="I2146" s="252"/>
      <c r="J2146" s="252"/>
      <c r="K2146" s="252"/>
      <c r="L2146"/>
      <c r="M2146"/>
    </row>
    <row r="2147" spans="1:13" s="79" customFormat="1" x14ac:dyDescent="0.35">
      <c r="A2147" s="251"/>
      <c r="B2147" s="22"/>
      <c r="C2147" s="252"/>
      <c r="D2147" s="252"/>
      <c r="E2147" s="252"/>
      <c r="F2147" s="252"/>
      <c r="G2147" s="252"/>
      <c r="H2147" s="252"/>
      <c r="I2147" s="252"/>
      <c r="J2147" s="252"/>
      <c r="K2147" s="252"/>
      <c r="L2147"/>
      <c r="M2147"/>
    </row>
    <row r="2148" spans="1:13" s="79" customFormat="1" x14ac:dyDescent="0.35">
      <c r="A2148" s="251"/>
      <c r="B2148" s="22"/>
      <c r="C2148" s="252"/>
      <c r="D2148" s="252"/>
      <c r="E2148" s="252"/>
      <c r="F2148" s="252"/>
      <c r="G2148" s="252"/>
      <c r="H2148" s="252"/>
      <c r="I2148" s="252"/>
      <c r="J2148" s="252"/>
      <c r="K2148" s="252"/>
      <c r="L2148"/>
      <c r="M2148"/>
    </row>
    <row r="2149" spans="1:13" s="79" customFormat="1" x14ac:dyDescent="0.35">
      <c r="A2149" s="251"/>
      <c r="B2149" s="22"/>
      <c r="C2149" s="252"/>
      <c r="D2149" s="252"/>
      <c r="E2149" s="252"/>
      <c r="F2149" s="252"/>
      <c r="G2149" s="252"/>
      <c r="H2149" s="252"/>
      <c r="I2149" s="252"/>
      <c r="J2149" s="252"/>
      <c r="K2149" s="252"/>
      <c r="L2149"/>
      <c r="M2149"/>
    </row>
    <row r="2150" spans="1:13" s="79" customFormat="1" x14ac:dyDescent="0.35">
      <c r="A2150" s="251"/>
      <c r="B2150" s="22"/>
      <c r="C2150" s="252"/>
      <c r="D2150" s="252"/>
      <c r="E2150" s="252"/>
      <c r="F2150" s="252"/>
      <c r="G2150" s="252"/>
      <c r="H2150" s="252"/>
      <c r="I2150" s="252"/>
      <c r="J2150" s="252"/>
      <c r="K2150" s="252"/>
      <c r="L2150"/>
      <c r="M2150"/>
    </row>
    <row r="2151" spans="1:13" s="79" customFormat="1" x14ac:dyDescent="0.35">
      <c r="A2151" s="251"/>
      <c r="B2151" s="22"/>
      <c r="C2151" s="252"/>
      <c r="D2151" s="252"/>
      <c r="E2151" s="252"/>
      <c r="F2151" s="252"/>
      <c r="G2151" s="252"/>
      <c r="H2151" s="252"/>
      <c r="I2151" s="252"/>
      <c r="J2151" s="252"/>
      <c r="K2151" s="252"/>
      <c r="L2151"/>
      <c r="M2151"/>
    </row>
    <row r="2152" spans="1:13" s="79" customFormat="1" x14ac:dyDescent="0.35">
      <c r="A2152" s="251"/>
      <c r="B2152" s="22"/>
      <c r="C2152" s="252"/>
      <c r="D2152" s="252"/>
      <c r="E2152" s="252"/>
      <c r="F2152" s="252"/>
      <c r="G2152" s="252"/>
      <c r="H2152" s="252"/>
      <c r="I2152" s="252"/>
      <c r="J2152" s="252"/>
      <c r="K2152" s="252"/>
      <c r="L2152"/>
      <c r="M2152"/>
    </row>
    <row r="2153" spans="1:13" s="79" customFormat="1" x14ac:dyDescent="0.35">
      <c r="A2153" s="251"/>
      <c r="B2153" s="22"/>
      <c r="C2153" s="252"/>
      <c r="D2153" s="252"/>
      <c r="E2153" s="252"/>
      <c r="F2153" s="252"/>
      <c r="G2153" s="252"/>
      <c r="H2153" s="252"/>
      <c r="I2153" s="252"/>
      <c r="J2153" s="252"/>
      <c r="K2153" s="252"/>
      <c r="L2153"/>
      <c r="M2153"/>
    </row>
    <row r="2154" spans="1:13" s="79" customFormat="1" x14ac:dyDescent="0.35">
      <c r="A2154" s="251"/>
      <c r="B2154" s="22"/>
      <c r="C2154" s="252"/>
      <c r="D2154" s="252"/>
      <c r="E2154" s="252"/>
      <c r="F2154" s="252"/>
      <c r="G2154" s="252"/>
      <c r="H2154" s="252"/>
      <c r="I2154" s="252"/>
      <c r="J2154" s="252"/>
      <c r="K2154" s="252"/>
      <c r="L2154"/>
      <c r="M2154"/>
    </row>
    <row r="2155" spans="1:13" s="79" customFormat="1" x14ac:dyDescent="0.35">
      <c r="A2155" s="251"/>
      <c r="B2155" s="22"/>
      <c r="C2155" s="252"/>
      <c r="D2155" s="252"/>
      <c r="E2155" s="252"/>
      <c r="F2155" s="252"/>
      <c r="G2155" s="252"/>
      <c r="H2155" s="252"/>
      <c r="I2155" s="252"/>
      <c r="J2155" s="252"/>
      <c r="K2155" s="252"/>
      <c r="L2155"/>
      <c r="M2155"/>
    </row>
    <row r="2156" spans="1:13" s="79" customFormat="1" x14ac:dyDescent="0.35">
      <c r="A2156" s="251"/>
      <c r="B2156" s="22"/>
      <c r="C2156" s="252"/>
      <c r="D2156" s="252"/>
      <c r="E2156" s="252"/>
      <c r="F2156" s="252"/>
      <c r="G2156" s="252"/>
      <c r="H2156" s="252"/>
      <c r="I2156" s="252"/>
      <c r="J2156" s="252"/>
      <c r="K2156" s="252"/>
      <c r="L2156"/>
      <c r="M2156"/>
    </row>
    <row r="2157" spans="1:13" s="79" customFormat="1" x14ac:dyDescent="0.35">
      <c r="A2157" s="251"/>
      <c r="B2157" s="22"/>
      <c r="C2157" s="252"/>
      <c r="D2157" s="252"/>
      <c r="E2157" s="252"/>
      <c r="F2157" s="252"/>
      <c r="G2157" s="252"/>
      <c r="H2157" s="252"/>
      <c r="I2157" s="252"/>
      <c r="J2157" s="252"/>
      <c r="K2157" s="252"/>
      <c r="L2157"/>
      <c r="M2157"/>
    </row>
    <row r="2158" spans="1:13" s="79" customFormat="1" x14ac:dyDescent="0.35">
      <c r="A2158" s="251"/>
      <c r="B2158" s="22"/>
      <c r="C2158" s="252"/>
      <c r="D2158" s="252"/>
      <c r="E2158" s="252"/>
      <c r="F2158" s="252"/>
      <c r="G2158" s="252"/>
      <c r="H2158" s="252"/>
      <c r="I2158" s="252"/>
      <c r="J2158" s="252"/>
      <c r="K2158" s="252"/>
      <c r="L2158"/>
      <c r="M2158"/>
    </row>
    <row r="2159" spans="1:13" s="79" customFormat="1" x14ac:dyDescent="0.35">
      <c r="A2159" s="251"/>
      <c r="B2159" s="22"/>
      <c r="C2159" s="252"/>
      <c r="D2159" s="252"/>
      <c r="E2159" s="252"/>
      <c r="F2159" s="252"/>
      <c r="G2159" s="252"/>
      <c r="H2159" s="252"/>
      <c r="I2159" s="252"/>
      <c r="J2159" s="252"/>
      <c r="K2159" s="252"/>
      <c r="L2159"/>
      <c r="M2159"/>
    </row>
    <row r="2160" spans="1:13" s="79" customFormat="1" x14ac:dyDescent="0.35">
      <c r="A2160" s="251"/>
      <c r="B2160" s="22"/>
      <c r="C2160" s="252"/>
      <c r="D2160" s="252"/>
      <c r="E2160" s="252"/>
      <c r="F2160" s="252"/>
      <c r="G2160" s="252"/>
      <c r="H2160" s="252"/>
      <c r="I2160" s="252"/>
      <c r="J2160" s="252"/>
      <c r="K2160" s="252"/>
      <c r="L2160"/>
      <c r="M2160"/>
    </row>
    <row r="2161" spans="1:13" s="79" customFormat="1" x14ac:dyDescent="0.35">
      <c r="A2161" s="251"/>
      <c r="B2161" s="22"/>
      <c r="C2161" s="252"/>
      <c r="D2161" s="252"/>
      <c r="E2161" s="252"/>
      <c r="F2161" s="252"/>
      <c r="G2161" s="252"/>
      <c r="H2161" s="252"/>
      <c r="I2161" s="252"/>
      <c r="J2161" s="252"/>
      <c r="K2161" s="252"/>
      <c r="L2161"/>
      <c r="M2161"/>
    </row>
    <row r="2162" spans="1:13" s="79" customFormat="1" x14ac:dyDescent="0.35">
      <c r="A2162" s="251"/>
      <c r="B2162" s="22"/>
      <c r="C2162" s="252"/>
      <c r="D2162" s="252"/>
      <c r="E2162" s="252"/>
      <c r="F2162" s="252"/>
      <c r="G2162" s="252"/>
      <c r="H2162" s="252"/>
      <c r="I2162" s="252"/>
      <c r="J2162" s="252"/>
      <c r="K2162" s="252"/>
      <c r="L2162"/>
      <c r="M2162"/>
    </row>
    <row r="2163" spans="1:13" s="79" customFormat="1" x14ac:dyDescent="0.35">
      <c r="A2163" s="251"/>
      <c r="B2163" s="22"/>
      <c r="C2163" s="252"/>
      <c r="D2163" s="252"/>
      <c r="E2163" s="252"/>
      <c r="F2163" s="252"/>
      <c r="G2163" s="252"/>
      <c r="H2163" s="252"/>
      <c r="I2163" s="252"/>
      <c r="J2163" s="252"/>
      <c r="K2163" s="252"/>
      <c r="L2163"/>
      <c r="M2163"/>
    </row>
    <row r="2164" spans="1:13" s="79" customFormat="1" x14ac:dyDescent="0.35">
      <c r="A2164" s="251"/>
      <c r="B2164" s="22"/>
      <c r="C2164" s="252"/>
      <c r="D2164" s="252"/>
      <c r="E2164" s="252"/>
      <c r="F2164" s="252"/>
      <c r="G2164" s="252"/>
      <c r="H2164" s="252"/>
      <c r="I2164" s="252"/>
      <c r="J2164" s="252"/>
      <c r="K2164" s="252"/>
      <c r="L2164"/>
      <c r="M2164"/>
    </row>
    <row r="2165" spans="1:13" s="79" customFormat="1" x14ac:dyDescent="0.35">
      <c r="A2165" s="251"/>
      <c r="B2165" s="22"/>
      <c r="C2165" s="252"/>
      <c r="D2165" s="252"/>
      <c r="E2165" s="252"/>
      <c r="F2165" s="252"/>
      <c r="G2165" s="252"/>
      <c r="H2165" s="252"/>
      <c r="I2165" s="252"/>
      <c r="J2165" s="252"/>
      <c r="K2165" s="252"/>
      <c r="L2165"/>
      <c r="M2165"/>
    </row>
    <row r="2166" spans="1:13" s="79" customFormat="1" x14ac:dyDescent="0.35">
      <c r="A2166" s="251"/>
      <c r="B2166" s="22"/>
      <c r="C2166" s="252"/>
      <c r="D2166" s="252"/>
      <c r="E2166" s="252"/>
      <c r="F2166" s="252"/>
      <c r="G2166" s="252"/>
      <c r="H2166" s="252"/>
      <c r="I2166" s="252"/>
      <c r="J2166" s="252"/>
      <c r="K2166" s="252"/>
      <c r="L2166"/>
      <c r="M2166"/>
    </row>
    <row r="2167" spans="1:13" s="79" customFormat="1" x14ac:dyDescent="0.35">
      <c r="A2167" s="251"/>
      <c r="B2167" s="22"/>
      <c r="C2167" s="252"/>
      <c r="D2167" s="252"/>
      <c r="E2167" s="252"/>
      <c r="F2167" s="252"/>
      <c r="G2167" s="252"/>
      <c r="H2167" s="252"/>
      <c r="I2167" s="252"/>
      <c r="J2167" s="252"/>
      <c r="K2167" s="252"/>
      <c r="L2167"/>
      <c r="M2167"/>
    </row>
    <row r="2168" spans="1:13" s="79" customFormat="1" x14ac:dyDescent="0.35">
      <c r="A2168" s="251"/>
      <c r="B2168" s="22"/>
      <c r="C2168" s="252"/>
      <c r="D2168" s="252"/>
      <c r="E2168" s="252"/>
      <c r="F2168" s="252"/>
      <c r="G2168" s="252"/>
      <c r="H2168" s="252"/>
      <c r="I2168" s="252"/>
      <c r="J2168" s="252"/>
      <c r="K2168" s="252"/>
      <c r="L2168"/>
      <c r="M2168"/>
    </row>
    <row r="2169" spans="1:13" s="79" customFormat="1" x14ac:dyDescent="0.35">
      <c r="A2169" s="251"/>
      <c r="B2169" s="22"/>
      <c r="C2169" s="252"/>
      <c r="D2169" s="252"/>
      <c r="E2169" s="252"/>
      <c r="F2169" s="252"/>
      <c r="G2169" s="252"/>
      <c r="H2169" s="252"/>
      <c r="I2169" s="252"/>
      <c r="J2169" s="252"/>
      <c r="K2169" s="252"/>
      <c r="L2169"/>
      <c r="M2169"/>
    </row>
    <row r="2170" spans="1:13" s="79" customFormat="1" x14ac:dyDescent="0.35">
      <c r="A2170" s="251"/>
      <c r="B2170" s="22"/>
      <c r="C2170" s="252"/>
      <c r="D2170" s="252"/>
      <c r="E2170" s="252"/>
      <c r="F2170" s="252"/>
      <c r="G2170" s="252"/>
      <c r="H2170" s="252"/>
      <c r="I2170" s="252"/>
      <c r="J2170" s="252"/>
      <c r="K2170" s="252"/>
      <c r="L2170"/>
      <c r="M2170"/>
    </row>
    <row r="2171" spans="1:13" s="79" customFormat="1" x14ac:dyDescent="0.35">
      <c r="A2171" s="251"/>
      <c r="B2171" s="22"/>
      <c r="C2171" s="252"/>
      <c r="D2171" s="252"/>
      <c r="E2171" s="252"/>
      <c r="F2171" s="252"/>
      <c r="G2171" s="252"/>
      <c r="H2171" s="252"/>
      <c r="I2171" s="252"/>
      <c r="J2171" s="252"/>
      <c r="K2171" s="252"/>
      <c r="L2171"/>
      <c r="M2171"/>
    </row>
    <row r="2172" spans="1:13" s="79" customFormat="1" x14ac:dyDescent="0.35">
      <c r="A2172" s="251"/>
      <c r="B2172" s="22"/>
      <c r="C2172" s="252"/>
      <c r="D2172" s="252"/>
      <c r="E2172" s="252"/>
      <c r="F2172" s="252"/>
      <c r="G2172" s="252"/>
      <c r="H2172" s="252"/>
      <c r="I2172" s="252"/>
      <c r="J2172" s="252"/>
      <c r="K2172" s="252"/>
      <c r="L2172"/>
      <c r="M2172"/>
    </row>
    <row r="2173" spans="1:13" s="79" customFormat="1" x14ac:dyDescent="0.35">
      <c r="A2173" s="251"/>
      <c r="B2173" s="22"/>
      <c r="C2173" s="252"/>
      <c r="D2173" s="252"/>
      <c r="E2173" s="252"/>
      <c r="F2173" s="252"/>
      <c r="G2173" s="252"/>
      <c r="H2173" s="252"/>
      <c r="I2173" s="252"/>
      <c r="J2173" s="252"/>
      <c r="K2173" s="252"/>
      <c r="L2173"/>
      <c r="M2173"/>
    </row>
    <row r="2174" spans="1:13" s="79" customFormat="1" x14ac:dyDescent="0.35">
      <c r="A2174" s="251"/>
      <c r="B2174" s="22"/>
      <c r="C2174" s="252"/>
      <c r="D2174" s="252"/>
      <c r="E2174" s="252"/>
      <c r="F2174" s="252"/>
      <c r="G2174" s="252"/>
      <c r="H2174" s="252"/>
      <c r="I2174" s="252"/>
      <c r="J2174" s="252"/>
      <c r="K2174" s="252"/>
      <c r="L2174"/>
      <c r="M2174"/>
    </row>
    <row r="2175" spans="1:13" s="79" customFormat="1" x14ac:dyDescent="0.35">
      <c r="A2175" s="251"/>
      <c r="B2175" s="22"/>
      <c r="C2175" s="252"/>
      <c r="D2175" s="252"/>
      <c r="E2175" s="252"/>
      <c r="F2175" s="252"/>
      <c r="G2175" s="252"/>
      <c r="H2175" s="252"/>
      <c r="I2175" s="252"/>
      <c r="J2175" s="252"/>
      <c r="K2175" s="252"/>
      <c r="L2175"/>
      <c r="M2175"/>
    </row>
    <row r="2176" spans="1:13" s="79" customFormat="1" x14ac:dyDescent="0.35">
      <c r="A2176" s="251"/>
      <c r="B2176" s="22"/>
      <c r="C2176" s="252"/>
      <c r="D2176" s="252"/>
      <c r="E2176" s="252"/>
      <c r="F2176" s="252"/>
      <c r="G2176" s="252"/>
      <c r="H2176" s="252"/>
      <c r="I2176" s="252"/>
      <c r="J2176" s="252"/>
      <c r="K2176" s="252"/>
      <c r="L2176"/>
      <c r="M2176"/>
    </row>
    <row r="2177" spans="1:13" s="79" customFormat="1" x14ac:dyDescent="0.35">
      <c r="A2177" s="251"/>
      <c r="B2177" s="22"/>
      <c r="C2177" s="252"/>
      <c r="D2177" s="252"/>
      <c r="E2177" s="252"/>
      <c r="F2177" s="252"/>
      <c r="G2177" s="252"/>
      <c r="H2177" s="252"/>
      <c r="I2177" s="252"/>
      <c r="J2177" s="252"/>
      <c r="K2177" s="252"/>
      <c r="L2177"/>
      <c r="M2177"/>
    </row>
    <row r="2178" spans="1:13" s="79" customFormat="1" x14ac:dyDescent="0.35">
      <c r="A2178" s="251"/>
      <c r="B2178" s="22"/>
      <c r="C2178" s="252"/>
      <c r="D2178" s="252"/>
      <c r="E2178" s="252"/>
      <c r="F2178" s="252"/>
      <c r="G2178" s="252"/>
      <c r="H2178" s="252"/>
      <c r="I2178" s="252"/>
      <c r="J2178" s="252"/>
      <c r="K2178" s="252"/>
      <c r="L2178"/>
      <c r="M2178"/>
    </row>
    <row r="2179" spans="1:13" s="79" customFormat="1" x14ac:dyDescent="0.35">
      <c r="A2179" s="251"/>
      <c r="B2179" s="22"/>
      <c r="C2179" s="252"/>
      <c r="D2179" s="252"/>
      <c r="E2179" s="252"/>
      <c r="F2179" s="252"/>
      <c r="G2179" s="252"/>
      <c r="H2179" s="252"/>
      <c r="I2179" s="252"/>
      <c r="J2179" s="252"/>
      <c r="K2179" s="252"/>
      <c r="L2179"/>
      <c r="M2179"/>
    </row>
    <row r="2180" spans="1:13" s="79" customFormat="1" x14ac:dyDescent="0.35">
      <c r="A2180" s="251"/>
      <c r="B2180" s="22"/>
      <c r="C2180" s="252"/>
      <c r="D2180" s="252"/>
      <c r="E2180" s="252"/>
      <c r="F2180" s="252"/>
      <c r="G2180" s="252"/>
      <c r="H2180" s="252"/>
      <c r="I2180" s="252"/>
      <c r="J2180" s="252"/>
      <c r="K2180" s="252"/>
      <c r="L2180"/>
      <c r="M2180"/>
    </row>
    <row r="2181" spans="1:13" s="79" customFormat="1" x14ac:dyDescent="0.35">
      <c r="A2181" s="251"/>
      <c r="B2181" s="22"/>
      <c r="C2181" s="252"/>
      <c r="D2181" s="252"/>
      <c r="E2181" s="252"/>
      <c r="F2181" s="252"/>
      <c r="G2181" s="252"/>
      <c r="H2181" s="252"/>
      <c r="I2181" s="252"/>
      <c r="J2181" s="252"/>
      <c r="K2181" s="252"/>
      <c r="L2181"/>
      <c r="M2181"/>
    </row>
    <row r="2182" spans="1:13" s="79" customFormat="1" x14ac:dyDescent="0.35">
      <c r="A2182" s="251"/>
      <c r="B2182" s="22"/>
      <c r="C2182" s="252"/>
      <c r="D2182" s="252"/>
      <c r="E2182" s="252"/>
      <c r="F2182" s="252"/>
      <c r="G2182" s="252"/>
      <c r="H2182" s="252"/>
      <c r="I2182" s="252"/>
      <c r="J2182" s="252"/>
      <c r="K2182" s="252"/>
      <c r="L2182"/>
      <c r="M2182"/>
    </row>
    <row r="2183" spans="1:13" s="79" customFormat="1" x14ac:dyDescent="0.35">
      <c r="A2183" s="251"/>
      <c r="B2183" s="22"/>
      <c r="C2183" s="252"/>
      <c r="D2183" s="252"/>
      <c r="E2183" s="252"/>
      <c r="F2183" s="252"/>
      <c r="G2183" s="252"/>
      <c r="H2183" s="252"/>
      <c r="I2183" s="252"/>
      <c r="J2183" s="252"/>
      <c r="K2183" s="252"/>
      <c r="L2183"/>
      <c r="M2183"/>
    </row>
    <row r="2184" spans="1:13" s="79" customFormat="1" x14ac:dyDescent="0.35">
      <c r="A2184" s="251"/>
      <c r="B2184" s="22"/>
      <c r="C2184" s="252"/>
      <c r="D2184" s="252"/>
      <c r="E2184" s="252"/>
      <c r="F2184" s="252"/>
      <c r="G2184" s="252"/>
      <c r="H2184" s="252"/>
      <c r="I2184" s="252"/>
      <c r="J2184" s="252"/>
      <c r="K2184" s="252"/>
      <c r="L2184"/>
      <c r="M2184"/>
    </row>
    <row r="2185" spans="1:13" s="79" customFormat="1" x14ac:dyDescent="0.35">
      <c r="A2185" s="251"/>
      <c r="B2185" s="22"/>
      <c r="C2185" s="252"/>
      <c r="D2185" s="252"/>
      <c r="E2185" s="252"/>
      <c r="F2185" s="252"/>
      <c r="G2185" s="252"/>
      <c r="H2185" s="252"/>
      <c r="I2185" s="252"/>
      <c r="J2185" s="252"/>
      <c r="K2185" s="252"/>
      <c r="L2185"/>
      <c r="M2185"/>
    </row>
    <row r="2186" spans="1:13" s="79" customFormat="1" x14ac:dyDescent="0.35">
      <c r="A2186" s="251"/>
      <c r="B2186" s="22"/>
      <c r="C2186" s="252"/>
      <c r="D2186" s="252"/>
      <c r="E2186" s="252"/>
      <c r="F2186" s="252"/>
      <c r="G2186" s="252"/>
      <c r="H2186" s="252"/>
      <c r="I2186" s="252"/>
      <c r="J2186" s="252"/>
      <c r="K2186" s="252"/>
      <c r="L2186"/>
      <c r="M2186"/>
    </row>
    <row r="2187" spans="1:13" s="79" customFormat="1" x14ac:dyDescent="0.35">
      <c r="A2187" s="251"/>
      <c r="B2187" s="22"/>
      <c r="C2187" s="252"/>
      <c r="D2187" s="252"/>
      <c r="E2187" s="252"/>
      <c r="F2187" s="252"/>
      <c r="G2187" s="252"/>
      <c r="H2187" s="252"/>
      <c r="I2187" s="252"/>
      <c r="J2187" s="252"/>
      <c r="K2187" s="252"/>
      <c r="L2187"/>
      <c r="M2187"/>
    </row>
    <row r="2188" spans="1:13" s="79" customFormat="1" x14ac:dyDescent="0.35">
      <c r="A2188" s="251"/>
      <c r="B2188" s="22"/>
      <c r="C2188" s="252"/>
      <c r="D2188" s="252"/>
      <c r="E2188" s="252"/>
      <c r="F2188" s="252"/>
      <c r="G2188" s="252"/>
      <c r="H2188" s="252"/>
      <c r="I2188" s="252"/>
      <c r="J2188" s="252"/>
      <c r="K2188" s="252"/>
      <c r="L2188"/>
      <c r="M2188"/>
    </row>
    <row r="2189" spans="1:13" s="79" customFormat="1" x14ac:dyDescent="0.35">
      <c r="A2189" s="251"/>
      <c r="B2189" s="22"/>
      <c r="C2189" s="252"/>
      <c r="D2189" s="252"/>
      <c r="E2189" s="252"/>
      <c r="F2189" s="252"/>
      <c r="G2189" s="252"/>
      <c r="H2189" s="252"/>
      <c r="I2189" s="252"/>
      <c r="J2189" s="252"/>
      <c r="K2189" s="252"/>
      <c r="L2189"/>
      <c r="M2189"/>
    </row>
    <row r="2190" spans="1:13" s="79" customFormat="1" x14ac:dyDescent="0.35">
      <c r="A2190" s="251"/>
      <c r="B2190" s="22"/>
      <c r="C2190" s="252"/>
      <c r="D2190" s="252"/>
      <c r="E2190" s="252"/>
      <c r="F2190" s="252"/>
      <c r="G2190" s="252"/>
      <c r="H2190" s="252"/>
      <c r="I2190" s="252"/>
      <c r="J2190" s="252"/>
      <c r="K2190" s="252"/>
      <c r="L2190"/>
      <c r="M2190"/>
    </row>
    <row r="2191" spans="1:13" s="79" customFormat="1" x14ac:dyDescent="0.35">
      <c r="A2191" s="251"/>
      <c r="B2191" s="22"/>
      <c r="C2191" s="252"/>
      <c r="D2191" s="252"/>
      <c r="E2191" s="252"/>
      <c r="F2191" s="252"/>
      <c r="G2191" s="252"/>
      <c r="H2191" s="252"/>
      <c r="I2191" s="252"/>
      <c r="J2191" s="252"/>
      <c r="K2191" s="252"/>
      <c r="L2191"/>
      <c r="M2191"/>
    </row>
    <row r="2192" spans="1:13" s="79" customFormat="1" x14ac:dyDescent="0.35">
      <c r="A2192" s="251"/>
      <c r="B2192" s="22"/>
      <c r="C2192" s="252"/>
      <c r="D2192" s="252"/>
      <c r="E2192" s="252"/>
      <c r="F2192" s="252"/>
      <c r="G2192" s="252"/>
      <c r="H2192" s="252"/>
      <c r="I2192" s="252"/>
      <c r="J2192" s="252"/>
      <c r="K2192" s="252"/>
      <c r="L2192"/>
      <c r="M2192"/>
    </row>
    <row r="2193" spans="1:13" s="79" customFormat="1" x14ac:dyDescent="0.35">
      <c r="A2193" s="251"/>
      <c r="B2193" s="22"/>
      <c r="C2193" s="252"/>
      <c r="D2193" s="252"/>
      <c r="E2193" s="252"/>
      <c r="F2193" s="252"/>
      <c r="G2193" s="252"/>
      <c r="H2193" s="252"/>
      <c r="I2193" s="252"/>
      <c r="J2193" s="252"/>
      <c r="K2193" s="252"/>
      <c r="L2193"/>
      <c r="M2193"/>
    </row>
    <row r="2194" spans="1:13" s="79" customFormat="1" x14ac:dyDescent="0.35">
      <c r="A2194" s="251"/>
      <c r="B2194" s="22"/>
      <c r="C2194" s="252"/>
      <c r="D2194" s="252"/>
      <c r="E2194" s="252"/>
      <c r="F2194" s="252"/>
      <c r="G2194" s="252"/>
      <c r="H2194" s="252"/>
      <c r="I2194" s="252"/>
      <c r="J2194" s="252"/>
      <c r="K2194" s="252"/>
      <c r="L2194"/>
      <c r="M2194"/>
    </row>
    <row r="2195" spans="1:13" s="79" customFormat="1" x14ac:dyDescent="0.35">
      <c r="A2195" s="251"/>
      <c r="B2195" s="22"/>
      <c r="C2195" s="252"/>
      <c r="D2195" s="252"/>
      <c r="E2195" s="252"/>
      <c r="F2195" s="252"/>
      <c r="G2195" s="252"/>
      <c r="H2195" s="252"/>
      <c r="I2195" s="252"/>
      <c r="J2195" s="252"/>
      <c r="K2195" s="252"/>
      <c r="L2195"/>
      <c r="M2195"/>
    </row>
    <row r="2196" spans="1:13" s="79" customFormat="1" x14ac:dyDescent="0.35">
      <c r="A2196" s="251"/>
      <c r="B2196" s="22"/>
      <c r="C2196" s="252"/>
      <c r="D2196" s="252"/>
      <c r="E2196" s="252"/>
      <c r="F2196" s="252"/>
      <c r="G2196" s="252"/>
      <c r="H2196" s="252"/>
      <c r="I2196" s="252"/>
      <c r="J2196" s="252"/>
      <c r="K2196" s="252"/>
      <c r="L2196"/>
      <c r="M2196"/>
    </row>
    <row r="2197" spans="1:13" s="79" customFormat="1" x14ac:dyDescent="0.35">
      <c r="A2197" s="251"/>
      <c r="B2197" s="22"/>
      <c r="C2197" s="252"/>
      <c r="D2197" s="252"/>
      <c r="E2197" s="252"/>
      <c r="F2197" s="252"/>
      <c r="G2197" s="252"/>
      <c r="H2197" s="252"/>
      <c r="I2197" s="252"/>
      <c r="J2197" s="252"/>
      <c r="K2197" s="252"/>
      <c r="L2197"/>
      <c r="M2197"/>
    </row>
    <row r="2198" spans="1:13" s="79" customFormat="1" x14ac:dyDescent="0.35">
      <c r="A2198" s="251"/>
      <c r="B2198" s="22"/>
      <c r="C2198" s="252"/>
      <c r="D2198" s="252"/>
      <c r="E2198" s="252"/>
      <c r="F2198" s="252"/>
      <c r="G2198" s="252"/>
      <c r="H2198" s="252"/>
      <c r="I2198" s="252"/>
      <c r="J2198" s="252"/>
      <c r="K2198" s="252"/>
      <c r="L2198"/>
      <c r="M2198"/>
    </row>
    <row r="2199" spans="1:13" s="79" customFormat="1" x14ac:dyDescent="0.35">
      <c r="A2199" s="251"/>
      <c r="B2199" s="22"/>
      <c r="C2199" s="252"/>
      <c r="D2199" s="252"/>
      <c r="E2199" s="252"/>
      <c r="F2199" s="252"/>
      <c r="G2199" s="252"/>
      <c r="H2199" s="252"/>
      <c r="I2199" s="252"/>
      <c r="J2199" s="252"/>
      <c r="K2199" s="252"/>
      <c r="L2199"/>
      <c r="M2199"/>
    </row>
    <row r="2200" spans="1:13" s="79" customFormat="1" x14ac:dyDescent="0.35">
      <c r="A2200" s="251"/>
      <c r="B2200" s="22"/>
      <c r="C2200" s="252"/>
      <c r="D2200" s="252"/>
      <c r="E2200" s="252"/>
      <c r="F2200" s="252"/>
      <c r="G2200" s="252"/>
      <c r="H2200" s="252"/>
      <c r="I2200" s="252"/>
      <c r="J2200" s="252"/>
      <c r="K2200" s="252"/>
      <c r="L2200"/>
      <c r="M2200"/>
    </row>
    <row r="2201" spans="1:13" s="79" customFormat="1" x14ac:dyDescent="0.35">
      <c r="A2201" s="251"/>
      <c r="B2201" s="22"/>
      <c r="C2201" s="252"/>
      <c r="D2201" s="252"/>
      <c r="E2201" s="252"/>
      <c r="F2201" s="252"/>
      <c r="G2201" s="252"/>
      <c r="H2201" s="252"/>
      <c r="I2201" s="252"/>
      <c r="J2201" s="252"/>
      <c r="K2201" s="252"/>
      <c r="L2201"/>
      <c r="M2201"/>
    </row>
    <row r="2202" spans="1:13" s="79" customFormat="1" x14ac:dyDescent="0.35">
      <c r="A2202" s="251"/>
      <c r="B2202" s="22"/>
      <c r="C2202" s="252"/>
      <c r="D2202" s="252"/>
      <c r="E2202" s="252"/>
      <c r="F2202" s="252"/>
      <c r="G2202" s="252"/>
      <c r="H2202" s="252"/>
      <c r="I2202" s="252"/>
      <c r="J2202" s="252"/>
      <c r="K2202" s="252"/>
      <c r="L2202"/>
      <c r="M2202"/>
    </row>
    <row r="2203" spans="1:13" s="79" customFormat="1" x14ac:dyDescent="0.35">
      <c r="A2203" s="251"/>
      <c r="B2203" s="22"/>
      <c r="C2203" s="252"/>
      <c r="D2203" s="252"/>
      <c r="E2203" s="252"/>
      <c r="F2203" s="252"/>
      <c r="G2203" s="252"/>
      <c r="H2203" s="252"/>
      <c r="I2203" s="252"/>
      <c r="J2203" s="252"/>
      <c r="K2203" s="252"/>
      <c r="L2203"/>
      <c r="M2203"/>
    </row>
    <row r="2204" spans="1:13" s="79" customFormat="1" x14ac:dyDescent="0.35">
      <c r="A2204" s="251"/>
      <c r="B2204" s="22"/>
      <c r="C2204" s="252"/>
      <c r="D2204" s="252"/>
      <c r="E2204" s="252"/>
      <c r="F2204" s="252"/>
      <c r="G2204" s="252"/>
      <c r="H2204" s="252"/>
      <c r="I2204" s="252"/>
      <c r="J2204" s="252"/>
      <c r="K2204" s="252"/>
      <c r="L2204"/>
      <c r="M2204"/>
    </row>
    <row r="2205" spans="1:13" s="79" customFormat="1" x14ac:dyDescent="0.35">
      <c r="A2205" s="251"/>
      <c r="B2205" s="22"/>
      <c r="C2205" s="252"/>
      <c r="D2205" s="252"/>
      <c r="E2205" s="252"/>
      <c r="F2205" s="252"/>
      <c r="G2205" s="252"/>
      <c r="H2205" s="252"/>
      <c r="I2205" s="252"/>
      <c r="J2205" s="252"/>
      <c r="K2205" s="252"/>
      <c r="L2205"/>
      <c r="M2205"/>
    </row>
    <row r="2206" spans="1:13" s="79" customFormat="1" x14ac:dyDescent="0.35">
      <c r="A2206" s="251"/>
      <c r="B2206" s="22"/>
      <c r="C2206" s="252"/>
      <c r="D2206" s="252"/>
      <c r="E2206" s="252"/>
      <c r="F2206" s="252"/>
      <c r="G2206" s="252"/>
      <c r="H2206" s="252"/>
      <c r="I2206" s="252"/>
      <c r="J2206" s="252"/>
      <c r="K2206" s="252"/>
      <c r="L2206"/>
      <c r="M2206"/>
    </row>
    <row r="2207" spans="1:13" s="79" customFormat="1" x14ac:dyDescent="0.35">
      <c r="A2207" s="251"/>
      <c r="B2207" s="22"/>
      <c r="C2207" s="252"/>
      <c r="D2207" s="252"/>
      <c r="E2207" s="252"/>
      <c r="F2207" s="252"/>
      <c r="G2207" s="252"/>
      <c r="H2207" s="252"/>
      <c r="I2207" s="252"/>
      <c r="J2207" s="252"/>
      <c r="K2207" s="252"/>
      <c r="L2207"/>
      <c r="M2207"/>
    </row>
    <row r="2208" spans="1:13" s="79" customFormat="1" x14ac:dyDescent="0.35">
      <c r="A2208" s="251"/>
      <c r="B2208" s="22"/>
      <c r="C2208" s="252"/>
      <c r="D2208" s="252"/>
      <c r="E2208" s="252"/>
      <c r="F2208" s="252"/>
      <c r="G2208" s="252"/>
      <c r="H2208" s="252"/>
      <c r="I2208" s="252"/>
      <c r="J2208" s="252"/>
      <c r="K2208" s="252"/>
      <c r="L2208"/>
      <c r="M2208"/>
    </row>
    <row r="2209" spans="1:13" s="79" customFormat="1" x14ac:dyDescent="0.35">
      <c r="A2209" s="251"/>
      <c r="B2209" s="22"/>
      <c r="C2209" s="252"/>
      <c r="D2209" s="252"/>
      <c r="E2209" s="252"/>
      <c r="F2209" s="252"/>
      <c r="G2209" s="252"/>
      <c r="H2209" s="252"/>
      <c r="I2209" s="252"/>
      <c r="J2209" s="252"/>
      <c r="K2209" s="252"/>
      <c r="L2209"/>
      <c r="M2209"/>
    </row>
    <row r="2210" spans="1:13" s="79" customFormat="1" x14ac:dyDescent="0.35">
      <c r="A2210" s="251"/>
      <c r="B2210" s="22"/>
      <c r="C2210" s="252"/>
      <c r="D2210" s="252"/>
      <c r="E2210" s="252"/>
      <c r="F2210" s="252"/>
      <c r="G2210" s="252"/>
      <c r="H2210" s="252"/>
      <c r="I2210" s="252"/>
      <c r="J2210" s="252"/>
      <c r="K2210" s="252"/>
      <c r="L2210"/>
      <c r="M2210"/>
    </row>
    <row r="2211" spans="1:13" s="79" customFormat="1" x14ac:dyDescent="0.35">
      <c r="A2211" s="251"/>
      <c r="B2211" s="22"/>
      <c r="C2211" s="252"/>
      <c r="D2211" s="252"/>
      <c r="E2211" s="252"/>
      <c r="F2211" s="252"/>
      <c r="G2211" s="252"/>
      <c r="H2211" s="252"/>
      <c r="I2211" s="252"/>
      <c r="J2211" s="252"/>
      <c r="K2211" s="252"/>
      <c r="L2211"/>
      <c r="M2211"/>
    </row>
    <row r="2212" spans="1:13" s="79" customFormat="1" x14ac:dyDescent="0.35">
      <c r="A2212" s="251"/>
      <c r="B2212" s="22"/>
      <c r="C2212" s="252"/>
      <c r="D2212" s="252"/>
      <c r="E2212" s="252"/>
      <c r="F2212" s="252"/>
      <c r="G2212" s="252"/>
      <c r="H2212" s="252"/>
      <c r="I2212" s="252"/>
      <c r="J2212" s="252"/>
      <c r="K2212" s="252"/>
      <c r="L2212"/>
      <c r="M2212"/>
    </row>
    <row r="2213" spans="1:13" s="79" customFormat="1" x14ac:dyDescent="0.35">
      <c r="A2213" s="251"/>
      <c r="B2213" s="22"/>
      <c r="C2213" s="252"/>
      <c r="D2213" s="252"/>
      <c r="E2213" s="252"/>
      <c r="F2213" s="252"/>
      <c r="G2213" s="252"/>
      <c r="H2213" s="252"/>
      <c r="I2213" s="252"/>
      <c r="J2213" s="252"/>
      <c r="K2213" s="252"/>
      <c r="L2213"/>
      <c r="M2213"/>
    </row>
    <row r="2214" spans="1:13" s="79" customFormat="1" x14ac:dyDescent="0.35">
      <c r="A2214" s="251"/>
      <c r="B2214" s="22"/>
      <c r="C2214" s="252"/>
      <c r="D2214" s="252"/>
      <c r="E2214" s="252"/>
      <c r="F2214" s="252"/>
      <c r="G2214" s="252"/>
      <c r="H2214" s="252"/>
      <c r="I2214" s="252"/>
      <c r="J2214" s="252"/>
      <c r="K2214" s="252"/>
      <c r="L2214"/>
      <c r="M2214"/>
    </row>
    <row r="2215" spans="1:13" s="79" customFormat="1" x14ac:dyDescent="0.35">
      <c r="A2215" s="251"/>
      <c r="B2215" s="22"/>
      <c r="C2215" s="252"/>
      <c r="D2215" s="252"/>
      <c r="E2215" s="252"/>
      <c r="F2215" s="252"/>
      <c r="G2215" s="252"/>
      <c r="H2215" s="252"/>
      <c r="I2215" s="252"/>
      <c r="J2215" s="252"/>
      <c r="K2215" s="252"/>
      <c r="L2215"/>
      <c r="M2215"/>
    </row>
    <row r="2216" spans="1:13" s="79" customFormat="1" x14ac:dyDescent="0.35">
      <c r="A2216" s="251"/>
      <c r="B2216" s="22"/>
      <c r="C2216" s="252"/>
      <c r="D2216" s="252"/>
      <c r="E2216" s="252"/>
      <c r="F2216" s="252"/>
      <c r="G2216" s="252"/>
      <c r="H2216" s="252"/>
      <c r="I2216" s="252"/>
      <c r="J2216" s="252"/>
      <c r="K2216" s="252"/>
      <c r="L2216"/>
      <c r="M2216"/>
    </row>
    <row r="2217" spans="1:13" s="79" customFormat="1" x14ac:dyDescent="0.35">
      <c r="A2217" s="251"/>
      <c r="B2217" s="22"/>
      <c r="C2217" s="252"/>
      <c r="D2217" s="252"/>
      <c r="E2217" s="252"/>
      <c r="F2217" s="252"/>
      <c r="G2217" s="252"/>
      <c r="H2217" s="252"/>
      <c r="I2217" s="252"/>
      <c r="J2217" s="252"/>
      <c r="K2217" s="252"/>
      <c r="L2217"/>
      <c r="M2217"/>
    </row>
    <row r="2218" spans="1:13" s="79" customFormat="1" x14ac:dyDescent="0.35">
      <c r="A2218" s="251"/>
      <c r="B2218" s="22"/>
      <c r="C2218" s="252"/>
      <c r="D2218" s="252"/>
      <c r="E2218" s="252"/>
      <c r="F2218" s="252"/>
      <c r="G2218" s="252"/>
      <c r="H2218" s="252"/>
      <c r="I2218" s="252"/>
      <c r="J2218" s="252"/>
      <c r="K2218" s="252"/>
      <c r="L2218"/>
      <c r="M2218"/>
    </row>
    <row r="2219" spans="1:13" s="79" customFormat="1" x14ac:dyDescent="0.35">
      <c r="A2219" s="251"/>
      <c r="B2219" s="22"/>
      <c r="C2219" s="252"/>
      <c r="D2219" s="252"/>
      <c r="E2219" s="252"/>
      <c r="F2219" s="252"/>
      <c r="G2219" s="252"/>
      <c r="H2219" s="252"/>
      <c r="I2219" s="252"/>
      <c r="J2219" s="252"/>
      <c r="K2219" s="252"/>
      <c r="L2219"/>
      <c r="M2219"/>
    </row>
    <row r="2220" spans="1:13" s="79" customFormat="1" x14ac:dyDescent="0.35">
      <c r="A2220" s="251"/>
      <c r="B2220" s="22"/>
      <c r="C2220" s="252"/>
      <c r="D2220" s="252"/>
      <c r="E2220" s="252"/>
      <c r="F2220" s="252"/>
      <c r="G2220" s="252"/>
      <c r="H2220" s="252"/>
      <c r="I2220" s="252"/>
      <c r="J2220" s="252"/>
      <c r="K2220" s="252"/>
      <c r="L2220"/>
      <c r="M2220"/>
    </row>
    <row r="2221" spans="1:13" s="79" customFormat="1" x14ac:dyDescent="0.35">
      <c r="A2221" s="251"/>
      <c r="B2221" s="22"/>
      <c r="C2221" s="252"/>
      <c r="D2221" s="252"/>
      <c r="E2221" s="252"/>
      <c r="F2221" s="252"/>
      <c r="G2221" s="252"/>
      <c r="H2221" s="252"/>
      <c r="I2221" s="252"/>
      <c r="J2221" s="252"/>
      <c r="K2221" s="252"/>
      <c r="L2221"/>
      <c r="M2221"/>
    </row>
    <row r="2222" spans="1:13" s="79" customFormat="1" x14ac:dyDescent="0.35">
      <c r="A2222" s="251"/>
      <c r="B2222" s="22"/>
      <c r="C2222" s="252"/>
      <c r="D2222" s="252"/>
      <c r="E2222" s="252"/>
      <c r="F2222" s="252"/>
      <c r="G2222" s="252"/>
      <c r="H2222" s="252"/>
      <c r="I2222" s="252"/>
      <c r="J2222" s="252"/>
      <c r="K2222" s="252"/>
      <c r="L2222"/>
      <c r="M2222"/>
    </row>
    <row r="2223" spans="1:13" s="79" customFormat="1" x14ac:dyDescent="0.35">
      <c r="A2223" s="251"/>
      <c r="B2223" s="22"/>
      <c r="C2223" s="252"/>
      <c r="D2223" s="252"/>
      <c r="E2223" s="252"/>
      <c r="F2223" s="252"/>
      <c r="G2223" s="252"/>
      <c r="H2223" s="252"/>
      <c r="I2223" s="252"/>
      <c r="J2223" s="252"/>
      <c r="K2223" s="252"/>
      <c r="L2223"/>
      <c r="M2223"/>
    </row>
    <row r="2224" spans="1:13" s="79" customFormat="1" x14ac:dyDescent="0.35">
      <c r="A2224" s="251"/>
      <c r="B2224" s="22"/>
      <c r="C2224" s="252"/>
      <c r="D2224" s="252"/>
      <c r="E2224" s="252"/>
      <c r="F2224" s="252"/>
      <c r="G2224" s="252"/>
      <c r="H2224" s="252"/>
      <c r="I2224" s="252"/>
      <c r="J2224" s="252"/>
      <c r="K2224" s="252"/>
      <c r="L2224"/>
      <c r="M2224"/>
    </row>
    <row r="2225" spans="1:13" s="79" customFormat="1" x14ac:dyDescent="0.35">
      <c r="A2225" s="251"/>
      <c r="B2225" s="22"/>
      <c r="C2225" s="252"/>
      <c r="D2225" s="252"/>
      <c r="E2225" s="252"/>
      <c r="F2225" s="252"/>
      <c r="G2225" s="252"/>
      <c r="H2225" s="252"/>
      <c r="I2225" s="252"/>
      <c r="J2225" s="252"/>
      <c r="K2225" s="252"/>
      <c r="L2225"/>
      <c r="M2225"/>
    </row>
    <row r="2226" spans="1:13" s="79" customFormat="1" x14ac:dyDescent="0.35">
      <c r="A2226" s="251"/>
      <c r="B2226" s="22"/>
      <c r="C2226" s="252"/>
      <c r="D2226" s="252"/>
      <c r="E2226" s="252"/>
      <c r="F2226" s="252"/>
      <c r="G2226" s="252"/>
      <c r="H2226" s="252"/>
      <c r="I2226" s="252"/>
      <c r="J2226" s="252"/>
      <c r="K2226" s="252"/>
      <c r="L2226"/>
      <c r="M2226"/>
    </row>
    <row r="2227" spans="1:13" s="79" customFormat="1" x14ac:dyDescent="0.35">
      <c r="A2227" s="251"/>
      <c r="B2227" s="22"/>
      <c r="C2227" s="252"/>
      <c r="D2227" s="252"/>
      <c r="E2227" s="252"/>
      <c r="F2227" s="252"/>
      <c r="G2227" s="252"/>
      <c r="H2227" s="252"/>
      <c r="I2227" s="252"/>
      <c r="J2227" s="252"/>
      <c r="K2227" s="252"/>
      <c r="L2227"/>
      <c r="M2227"/>
    </row>
    <row r="2228" spans="1:13" s="79" customFormat="1" x14ac:dyDescent="0.35">
      <c r="A2228" s="251"/>
      <c r="B2228" s="22"/>
      <c r="C2228" s="252"/>
      <c r="D2228" s="252"/>
      <c r="E2228" s="252"/>
      <c r="F2228" s="252"/>
      <c r="G2228" s="252"/>
      <c r="H2228" s="252"/>
      <c r="I2228" s="252"/>
      <c r="J2228" s="252"/>
      <c r="K2228" s="252"/>
      <c r="L2228"/>
      <c r="M2228"/>
    </row>
    <row r="2229" spans="1:13" s="79" customFormat="1" x14ac:dyDescent="0.35">
      <c r="A2229" s="251"/>
      <c r="B2229" s="22"/>
      <c r="C2229" s="252"/>
      <c r="D2229" s="252"/>
      <c r="E2229" s="252"/>
      <c r="F2229" s="252"/>
      <c r="G2229" s="252"/>
      <c r="H2229" s="252"/>
      <c r="I2229" s="252"/>
      <c r="J2229" s="252"/>
      <c r="K2229" s="252"/>
      <c r="L2229"/>
      <c r="M2229"/>
    </row>
    <row r="2230" spans="1:13" s="79" customFormat="1" x14ac:dyDescent="0.35">
      <c r="A2230" s="251"/>
      <c r="B2230" s="22"/>
      <c r="C2230" s="252"/>
      <c r="D2230" s="252"/>
      <c r="E2230" s="252"/>
      <c r="F2230" s="252"/>
      <c r="G2230" s="252"/>
      <c r="H2230" s="252"/>
      <c r="I2230" s="252"/>
      <c r="J2230" s="252"/>
      <c r="K2230" s="252"/>
      <c r="L2230"/>
      <c r="M2230"/>
    </row>
    <row r="2231" spans="1:13" s="79" customFormat="1" x14ac:dyDescent="0.35">
      <c r="A2231" s="251"/>
      <c r="B2231" s="22"/>
      <c r="C2231" s="252"/>
      <c r="D2231" s="252"/>
      <c r="E2231" s="252"/>
      <c r="F2231" s="252"/>
      <c r="G2231" s="252"/>
      <c r="H2231" s="252"/>
      <c r="I2231" s="252"/>
      <c r="J2231" s="252"/>
      <c r="K2231" s="252"/>
      <c r="L2231"/>
      <c r="M2231"/>
    </row>
    <row r="2232" spans="1:13" s="79" customFormat="1" x14ac:dyDescent="0.35">
      <c r="A2232" s="251"/>
      <c r="B2232" s="22"/>
      <c r="C2232" s="252"/>
      <c r="D2232" s="252"/>
      <c r="E2232" s="252"/>
      <c r="F2232" s="252"/>
      <c r="G2232" s="252"/>
      <c r="H2232" s="252"/>
      <c r="I2232" s="252"/>
      <c r="J2232" s="252"/>
      <c r="K2232" s="252"/>
      <c r="L2232"/>
      <c r="M2232"/>
    </row>
    <row r="2233" spans="1:13" s="79" customFormat="1" x14ac:dyDescent="0.35">
      <c r="A2233" s="251"/>
      <c r="B2233" s="22"/>
      <c r="C2233" s="252"/>
      <c r="D2233" s="252"/>
      <c r="E2233" s="252"/>
      <c r="F2233" s="252"/>
      <c r="G2233" s="252"/>
      <c r="H2233" s="252"/>
      <c r="I2233" s="252"/>
      <c r="J2233" s="252"/>
      <c r="K2233" s="252"/>
      <c r="L2233"/>
      <c r="M2233"/>
    </row>
    <row r="2234" spans="1:13" s="79" customFormat="1" x14ac:dyDescent="0.35">
      <c r="A2234" s="251"/>
      <c r="B2234" s="22"/>
      <c r="C2234" s="252"/>
      <c r="D2234" s="252"/>
      <c r="E2234" s="252"/>
      <c r="F2234" s="252"/>
      <c r="G2234" s="252"/>
      <c r="H2234" s="252"/>
      <c r="I2234" s="252"/>
      <c r="J2234" s="252"/>
      <c r="K2234" s="252"/>
      <c r="L2234"/>
      <c r="M2234"/>
    </row>
    <row r="2235" spans="1:13" s="79" customFormat="1" x14ac:dyDescent="0.35">
      <c r="A2235" s="251"/>
      <c r="B2235" s="22"/>
      <c r="C2235" s="252"/>
      <c r="D2235" s="252"/>
      <c r="E2235" s="252"/>
      <c r="F2235" s="252"/>
      <c r="G2235" s="252"/>
      <c r="H2235" s="252"/>
      <c r="I2235" s="252"/>
      <c r="J2235" s="252"/>
      <c r="K2235" s="252"/>
      <c r="L2235"/>
      <c r="M2235"/>
    </row>
    <row r="2236" spans="1:13" s="79" customFormat="1" x14ac:dyDescent="0.35">
      <c r="A2236" s="251"/>
      <c r="B2236" s="22"/>
      <c r="C2236" s="252"/>
      <c r="D2236" s="252"/>
      <c r="E2236" s="252"/>
      <c r="F2236" s="252"/>
      <c r="G2236" s="252"/>
      <c r="H2236" s="252"/>
      <c r="I2236" s="252"/>
      <c r="J2236" s="252"/>
      <c r="K2236" s="252"/>
      <c r="L2236"/>
      <c r="M2236"/>
    </row>
    <row r="2237" spans="1:13" s="79" customFormat="1" x14ac:dyDescent="0.35">
      <c r="A2237" s="251"/>
      <c r="B2237" s="22"/>
      <c r="C2237" s="252"/>
      <c r="D2237" s="252"/>
      <c r="E2237" s="252"/>
      <c r="F2237" s="252"/>
      <c r="G2237" s="252"/>
      <c r="H2237" s="252"/>
      <c r="I2237" s="252"/>
      <c r="J2237" s="252"/>
      <c r="K2237" s="252"/>
      <c r="L2237"/>
      <c r="M2237"/>
    </row>
    <row r="2238" spans="1:13" s="79" customFormat="1" x14ac:dyDescent="0.35">
      <c r="A2238" s="251"/>
      <c r="B2238" s="22"/>
      <c r="C2238" s="252"/>
      <c r="D2238" s="252"/>
      <c r="E2238" s="252"/>
      <c r="F2238" s="252"/>
      <c r="G2238" s="252"/>
      <c r="H2238" s="252"/>
      <c r="I2238" s="252"/>
      <c r="J2238" s="252"/>
      <c r="K2238" s="252"/>
      <c r="L2238"/>
      <c r="M2238"/>
    </row>
    <row r="2239" spans="1:13" s="79" customFormat="1" x14ac:dyDescent="0.35">
      <c r="A2239" s="251"/>
      <c r="B2239" s="22"/>
      <c r="C2239" s="252"/>
      <c r="D2239" s="252"/>
      <c r="E2239" s="252"/>
      <c r="F2239" s="252"/>
      <c r="G2239" s="252"/>
      <c r="H2239" s="252"/>
      <c r="I2239" s="252"/>
      <c r="J2239" s="252"/>
      <c r="K2239" s="252"/>
      <c r="L2239"/>
      <c r="M2239"/>
    </row>
    <row r="2240" spans="1:13" s="79" customFormat="1" x14ac:dyDescent="0.35">
      <c r="A2240" s="251"/>
      <c r="B2240" s="22"/>
      <c r="C2240" s="252"/>
      <c r="D2240" s="252"/>
      <c r="E2240" s="252"/>
      <c r="F2240" s="252"/>
      <c r="G2240" s="252"/>
      <c r="H2240" s="252"/>
      <c r="I2240" s="252"/>
      <c r="J2240" s="252"/>
      <c r="K2240" s="252"/>
      <c r="L2240"/>
      <c r="M2240"/>
    </row>
    <row r="2241" spans="1:13" s="79" customFormat="1" x14ac:dyDescent="0.35">
      <c r="A2241" s="251"/>
      <c r="B2241" s="22"/>
      <c r="C2241" s="252"/>
      <c r="D2241" s="252"/>
      <c r="E2241" s="252"/>
      <c r="F2241" s="252"/>
      <c r="G2241" s="252"/>
      <c r="H2241" s="252"/>
      <c r="I2241" s="252"/>
      <c r="J2241" s="252"/>
      <c r="K2241" s="252"/>
      <c r="L2241"/>
      <c r="M2241"/>
    </row>
    <row r="2242" spans="1:13" s="79" customFormat="1" x14ac:dyDescent="0.35">
      <c r="A2242" s="251"/>
      <c r="B2242" s="22"/>
      <c r="C2242" s="252"/>
      <c r="D2242" s="252"/>
      <c r="E2242" s="252"/>
      <c r="F2242" s="252"/>
      <c r="G2242" s="252"/>
      <c r="H2242" s="252"/>
      <c r="I2242" s="252"/>
      <c r="J2242" s="252"/>
      <c r="K2242" s="252"/>
      <c r="L2242"/>
      <c r="M2242"/>
    </row>
    <row r="2243" spans="1:13" s="79" customFormat="1" x14ac:dyDescent="0.35">
      <c r="A2243" s="251"/>
      <c r="B2243" s="22"/>
      <c r="C2243" s="252"/>
      <c r="D2243" s="252"/>
      <c r="E2243" s="252"/>
      <c r="F2243" s="252"/>
      <c r="G2243" s="252"/>
      <c r="H2243" s="252"/>
      <c r="I2243" s="252"/>
      <c r="J2243" s="252"/>
      <c r="K2243" s="252"/>
      <c r="L2243"/>
      <c r="M2243"/>
    </row>
    <row r="2244" spans="1:13" s="79" customFormat="1" x14ac:dyDescent="0.35">
      <c r="A2244" s="251"/>
      <c r="B2244" s="22"/>
      <c r="C2244" s="252"/>
      <c r="D2244" s="252"/>
      <c r="E2244" s="252"/>
      <c r="F2244" s="252"/>
      <c r="G2244" s="252"/>
      <c r="H2244" s="252"/>
      <c r="I2244" s="252"/>
      <c r="J2244" s="252"/>
      <c r="K2244" s="252"/>
      <c r="L2244"/>
      <c r="M2244"/>
    </row>
    <row r="2245" spans="1:13" s="79" customFormat="1" x14ac:dyDescent="0.35">
      <c r="A2245" s="251"/>
      <c r="B2245" s="22"/>
      <c r="C2245" s="252"/>
      <c r="D2245" s="252"/>
      <c r="E2245" s="252"/>
      <c r="F2245" s="252"/>
      <c r="G2245" s="252"/>
      <c r="H2245" s="252"/>
      <c r="I2245" s="252"/>
      <c r="J2245" s="252"/>
      <c r="K2245" s="252"/>
      <c r="L2245"/>
      <c r="M2245"/>
    </row>
    <row r="2246" spans="1:13" s="79" customFormat="1" x14ac:dyDescent="0.35">
      <c r="A2246" s="251"/>
      <c r="B2246" s="22"/>
      <c r="C2246" s="252"/>
      <c r="D2246" s="252"/>
      <c r="E2246" s="252"/>
      <c r="F2246" s="252"/>
      <c r="G2246" s="252"/>
      <c r="H2246" s="252"/>
      <c r="I2246" s="252"/>
      <c r="J2246" s="252"/>
      <c r="K2246" s="252"/>
      <c r="L2246"/>
      <c r="M2246"/>
    </row>
    <row r="2247" spans="1:13" s="79" customFormat="1" x14ac:dyDescent="0.35">
      <c r="A2247" s="251"/>
      <c r="B2247" s="22"/>
      <c r="C2247" s="252"/>
      <c r="D2247" s="252"/>
      <c r="E2247" s="252"/>
      <c r="F2247" s="252"/>
      <c r="G2247" s="252"/>
      <c r="H2247" s="252"/>
      <c r="I2247" s="252"/>
      <c r="J2247" s="252"/>
      <c r="K2247" s="252"/>
      <c r="L2247"/>
      <c r="M2247"/>
    </row>
    <row r="2248" spans="1:13" s="79" customFormat="1" x14ac:dyDescent="0.35">
      <c r="A2248" s="251"/>
      <c r="B2248" s="22"/>
      <c r="C2248" s="252"/>
      <c r="D2248" s="252"/>
      <c r="E2248" s="252"/>
      <c r="F2248" s="252"/>
      <c r="G2248" s="252"/>
      <c r="H2248" s="252"/>
      <c r="I2248" s="252"/>
      <c r="J2248" s="252"/>
      <c r="K2248" s="252"/>
      <c r="L2248"/>
      <c r="M2248"/>
    </row>
    <row r="2249" spans="1:13" s="79" customFormat="1" x14ac:dyDescent="0.35">
      <c r="A2249" s="251"/>
      <c r="B2249" s="22"/>
      <c r="C2249" s="252"/>
      <c r="D2249" s="252"/>
      <c r="E2249" s="252"/>
      <c r="F2249" s="252"/>
      <c r="G2249" s="252"/>
      <c r="H2249" s="252"/>
      <c r="I2249" s="252"/>
      <c r="J2249" s="252"/>
      <c r="K2249" s="252"/>
      <c r="L2249"/>
      <c r="M2249"/>
    </row>
    <row r="2250" spans="1:13" s="79" customFormat="1" x14ac:dyDescent="0.35">
      <c r="A2250" s="251"/>
      <c r="B2250" s="22"/>
      <c r="C2250" s="252"/>
      <c r="D2250" s="252"/>
      <c r="E2250" s="252"/>
      <c r="F2250" s="252"/>
      <c r="G2250" s="252"/>
      <c r="H2250" s="252"/>
      <c r="I2250" s="252"/>
      <c r="J2250" s="252"/>
      <c r="K2250" s="252"/>
      <c r="L2250"/>
      <c r="M2250"/>
    </row>
    <row r="2251" spans="1:13" s="79" customFormat="1" x14ac:dyDescent="0.35">
      <c r="A2251" s="251"/>
      <c r="B2251" s="22"/>
      <c r="C2251" s="252"/>
      <c r="D2251" s="252"/>
      <c r="E2251" s="252"/>
      <c r="F2251" s="252"/>
      <c r="G2251" s="252"/>
      <c r="H2251" s="252"/>
      <c r="I2251" s="252"/>
      <c r="J2251" s="252"/>
      <c r="K2251" s="252"/>
      <c r="L2251"/>
      <c r="M2251"/>
    </row>
    <row r="2252" spans="1:13" s="79" customFormat="1" x14ac:dyDescent="0.35">
      <c r="A2252" s="251"/>
      <c r="B2252" s="22"/>
      <c r="C2252" s="252"/>
      <c r="D2252" s="252"/>
      <c r="E2252" s="252"/>
      <c r="F2252" s="252"/>
      <c r="G2252" s="252"/>
      <c r="H2252" s="252"/>
      <c r="I2252" s="252"/>
      <c r="J2252" s="252"/>
      <c r="K2252" s="252"/>
      <c r="L2252"/>
      <c r="M2252"/>
    </row>
    <row r="2253" spans="1:13" s="79" customFormat="1" x14ac:dyDescent="0.35">
      <c r="A2253" s="251"/>
      <c r="B2253" s="22"/>
      <c r="C2253" s="252"/>
      <c r="D2253" s="252"/>
      <c r="E2253" s="252"/>
      <c r="F2253" s="252"/>
      <c r="G2253" s="252"/>
      <c r="H2253" s="252"/>
      <c r="I2253" s="252"/>
      <c r="J2253" s="252"/>
      <c r="K2253" s="252"/>
      <c r="L2253"/>
      <c r="M2253"/>
    </row>
    <row r="2254" spans="1:13" s="79" customFormat="1" x14ac:dyDescent="0.35">
      <c r="A2254" s="251"/>
      <c r="B2254" s="22"/>
      <c r="C2254" s="252"/>
      <c r="D2254" s="252"/>
      <c r="E2254" s="252"/>
      <c r="F2254" s="252"/>
      <c r="G2254" s="252"/>
      <c r="H2254" s="252"/>
      <c r="I2254" s="252"/>
      <c r="J2254" s="252"/>
      <c r="K2254" s="252"/>
      <c r="L2254"/>
      <c r="M2254"/>
    </row>
    <row r="2255" spans="1:13" s="79" customFormat="1" x14ac:dyDescent="0.35">
      <c r="A2255" s="251"/>
      <c r="B2255" s="22"/>
      <c r="C2255" s="252"/>
      <c r="D2255" s="252"/>
      <c r="E2255" s="252"/>
      <c r="F2255" s="252"/>
      <c r="G2255" s="252"/>
      <c r="H2255" s="252"/>
      <c r="I2255" s="252"/>
      <c r="J2255" s="252"/>
      <c r="K2255" s="252"/>
      <c r="L2255"/>
      <c r="M2255"/>
    </row>
    <row r="2256" spans="1:13" s="79" customFormat="1" x14ac:dyDescent="0.35">
      <c r="A2256" s="251"/>
      <c r="B2256" s="22"/>
      <c r="C2256" s="252"/>
      <c r="D2256" s="252"/>
      <c r="E2256" s="252"/>
      <c r="F2256" s="252"/>
      <c r="G2256" s="252"/>
      <c r="H2256" s="252"/>
      <c r="I2256" s="252"/>
      <c r="J2256" s="252"/>
      <c r="K2256" s="252"/>
      <c r="L2256"/>
      <c r="M2256"/>
    </row>
    <row r="2257" spans="1:13" s="79" customFormat="1" x14ac:dyDescent="0.35">
      <c r="A2257" s="251"/>
      <c r="B2257" s="22"/>
      <c r="C2257" s="252"/>
      <c r="D2257" s="252"/>
      <c r="E2257" s="252"/>
      <c r="F2257" s="252"/>
      <c r="G2257" s="252"/>
      <c r="H2257" s="252"/>
      <c r="I2257" s="252"/>
      <c r="J2257" s="252"/>
      <c r="K2257" s="252"/>
      <c r="L2257"/>
      <c r="M2257"/>
    </row>
    <row r="2258" spans="1:13" s="79" customFormat="1" x14ac:dyDescent="0.35">
      <c r="A2258" s="251"/>
      <c r="B2258" s="22"/>
      <c r="C2258" s="252"/>
      <c r="D2258" s="252"/>
      <c r="E2258" s="252"/>
      <c r="F2258" s="252"/>
      <c r="G2258" s="252"/>
      <c r="H2258" s="252"/>
      <c r="I2258" s="252"/>
      <c r="J2258" s="252"/>
      <c r="K2258" s="252"/>
      <c r="L2258"/>
      <c r="M2258"/>
    </row>
    <row r="2259" spans="1:13" s="79" customFormat="1" x14ac:dyDescent="0.35">
      <c r="A2259" s="251"/>
      <c r="B2259" s="22"/>
      <c r="C2259" s="252"/>
      <c r="D2259" s="252"/>
      <c r="E2259" s="252"/>
      <c r="F2259" s="252"/>
      <c r="G2259" s="252"/>
      <c r="H2259" s="252"/>
      <c r="I2259" s="252"/>
      <c r="J2259" s="252"/>
      <c r="K2259" s="252"/>
      <c r="L2259"/>
      <c r="M2259"/>
    </row>
    <row r="2260" spans="1:13" s="79" customFormat="1" x14ac:dyDescent="0.35">
      <c r="A2260" s="251"/>
      <c r="B2260" s="22"/>
      <c r="C2260" s="252"/>
      <c r="D2260" s="252"/>
      <c r="E2260" s="252"/>
      <c r="F2260" s="252"/>
      <c r="G2260" s="252"/>
      <c r="H2260" s="252"/>
      <c r="I2260" s="252"/>
      <c r="J2260" s="252"/>
      <c r="K2260" s="252"/>
      <c r="L2260"/>
      <c r="M2260"/>
    </row>
    <row r="2261" spans="1:13" s="79" customFormat="1" x14ac:dyDescent="0.35">
      <c r="A2261" s="251"/>
      <c r="B2261" s="22"/>
      <c r="C2261" s="252"/>
      <c r="D2261" s="252"/>
      <c r="E2261" s="252"/>
      <c r="F2261" s="252"/>
      <c r="G2261" s="252"/>
      <c r="H2261" s="252"/>
      <c r="I2261" s="252"/>
      <c r="J2261" s="252"/>
      <c r="K2261" s="252"/>
      <c r="L2261"/>
      <c r="M2261"/>
    </row>
    <row r="2262" spans="1:13" s="79" customFormat="1" x14ac:dyDescent="0.35">
      <c r="A2262" s="251"/>
      <c r="B2262" s="22"/>
      <c r="C2262" s="252"/>
      <c r="D2262" s="252"/>
      <c r="E2262" s="252"/>
      <c r="F2262" s="252"/>
      <c r="G2262" s="252"/>
      <c r="H2262" s="252"/>
      <c r="I2262" s="252"/>
      <c r="J2262" s="252"/>
      <c r="K2262" s="252"/>
      <c r="L2262"/>
      <c r="M2262"/>
    </row>
    <row r="2263" spans="1:13" s="79" customFormat="1" x14ac:dyDescent="0.35">
      <c r="A2263" s="251"/>
      <c r="B2263" s="22"/>
      <c r="C2263" s="252"/>
      <c r="D2263" s="252"/>
      <c r="E2263" s="252"/>
      <c r="F2263" s="252"/>
      <c r="G2263" s="252"/>
      <c r="H2263" s="252"/>
      <c r="I2263" s="252"/>
      <c r="J2263" s="252"/>
      <c r="K2263" s="252"/>
      <c r="L2263"/>
      <c r="M2263"/>
    </row>
    <row r="2264" spans="1:13" s="79" customFormat="1" x14ac:dyDescent="0.35">
      <c r="A2264" s="251"/>
      <c r="B2264" s="22"/>
      <c r="C2264" s="252"/>
      <c r="D2264" s="252"/>
      <c r="E2264" s="252"/>
      <c r="F2264" s="252"/>
      <c r="G2264" s="252"/>
      <c r="H2264" s="252"/>
      <c r="I2264" s="252"/>
      <c r="J2264" s="252"/>
      <c r="K2264" s="252"/>
      <c r="L2264"/>
      <c r="M2264"/>
    </row>
    <row r="2265" spans="1:13" s="79" customFormat="1" x14ac:dyDescent="0.35">
      <c r="A2265" s="251"/>
      <c r="B2265" s="22"/>
      <c r="C2265" s="252"/>
      <c r="D2265" s="252"/>
      <c r="E2265" s="252"/>
      <c r="F2265" s="252"/>
      <c r="G2265" s="252"/>
      <c r="H2265" s="252"/>
      <c r="I2265" s="252"/>
      <c r="J2265" s="252"/>
      <c r="K2265" s="252"/>
      <c r="L2265"/>
      <c r="M2265"/>
    </row>
    <row r="2266" spans="1:13" s="79" customFormat="1" x14ac:dyDescent="0.35">
      <c r="A2266" s="251"/>
      <c r="B2266" s="22"/>
      <c r="C2266" s="252"/>
      <c r="D2266" s="252"/>
      <c r="E2266" s="252"/>
      <c r="F2266" s="252"/>
      <c r="G2266" s="252"/>
      <c r="H2266" s="252"/>
      <c r="I2266" s="252"/>
      <c r="J2266" s="252"/>
      <c r="K2266" s="252"/>
      <c r="L2266"/>
      <c r="M2266"/>
    </row>
    <row r="2267" spans="1:13" s="79" customFormat="1" x14ac:dyDescent="0.35">
      <c r="A2267" s="251"/>
      <c r="B2267" s="22"/>
      <c r="C2267" s="252"/>
      <c r="D2267" s="252"/>
      <c r="E2267" s="252"/>
      <c r="F2267" s="252"/>
      <c r="G2267" s="252"/>
      <c r="H2267" s="252"/>
      <c r="I2267" s="252"/>
      <c r="J2267" s="252"/>
      <c r="K2267" s="252"/>
      <c r="L2267"/>
      <c r="M2267"/>
    </row>
    <row r="2268" spans="1:13" s="79" customFormat="1" x14ac:dyDescent="0.35">
      <c r="A2268" s="251"/>
      <c r="B2268" s="22"/>
      <c r="C2268" s="252"/>
      <c r="D2268" s="252"/>
      <c r="E2268" s="252"/>
      <c r="F2268" s="252"/>
      <c r="G2268" s="252"/>
      <c r="H2268" s="252"/>
      <c r="I2268" s="252"/>
      <c r="J2268" s="252"/>
      <c r="K2268" s="252"/>
      <c r="L2268"/>
      <c r="M2268"/>
    </row>
    <row r="2269" spans="1:13" s="79" customFormat="1" x14ac:dyDescent="0.35">
      <c r="A2269" s="251"/>
      <c r="B2269" s="22"/>
      <c r="C2269" s="252"/>
      <c r="D2269" s="252"/>
      <c r="E2269" s="252"/>
      <c r="F2269" s="252"/>
      <c r="G2269" s="252"/>
      <c r="H2269" s="252"/>
      <c r="I2269" s="252"/>
      <c r="J2269" s="252"/>
      <c r="K2269" s="252"/>
      <c r="L2269"/>
      <c r="M2269"/>
    </row>
    <row r="2270" spans="1:13" s="79" customFormat="1" x14ac:dyDescent="0.35">
      <c r="A2270" s="251"/>
      <c r="B2270" s="22"/>
      <c r="C2270" s="252"/>
      <c r="D2270" s="252"/>
      <c r="E2270" s="252"/>
      <c r="F2270" s="252"/>
      <c r="G2270" s="252"/>
      <c r="H2270" s="252"/>
      <c r="I2270" s="252"/>
      <c r="J2270" s="252"/>
      <c r="K2270" s="252"/>
      <c r="L2270"/>
      <c r="M2270"/>
    </row>
    <row r="2271" spans="1:13" s="79" customFormat="1" x14ac:dyDescent="0.35">
      <c r="A2271" s="251"/>
      <c r="B2271" s="22"/>
      <c r="C2271" s="252"/>
      <c r="D2271" s="252"/>
      <c r="E2271" s="252"/>
      <c r="F2271" s="252"/>
      <c r="G2271" s="252"/>
      <c r="H2271" s="252"/>
      <c r="I2271" s="252"/>
      <c r="J2271" s="252"/>
      <c r="K2271" s="252"/>
      <c r="L2271"/>
      <c r="M2271"/>
    </row>
    <row r="2272" spans="1:13" s="79" customFormat="1" x14ac:dyDescent="0.35">
      <c r="A2272" s="251"/>
      <c r="B2272" s="22"/>
      <c r="C2272" s="252"/>
      <c r="D2272" s="252"/>
      <c r="E2272" s="252"/>
      <c r="F2272" s="252"/>
      <c r="G2272" s="252"/>
      <c r="H2272" s="252"/>
      <c r="I2272" s="252"/>
      <c r="J2272" s="252"/>
      <c r="K2272" s="252"/>
      <c r="L2272"/>
      <c r="M2272"/>
    </row>
    <row r="2273" spans="1:13" s="79" customFormat="1" x14ac:dyDescent="0.35">
      <c r="A2273" s="251"/>
      <c r="B2273" s="22"/>
      <c r="C2273" s="252"/>
      <c r="D2273" s="252"/>
      <c r="E2273" s="252"/>
      <c r="F2273" s="252"/>
      <c r="G2273" s="252"/>
      <c r="H2273" s="252"/>
      <c r="I2273" s="252"/>
      <c r="J2273" s="252"/>
      <c r="K2273" s="252"/>
      <c r="L2273"/>
      <c r="M2273"/>
    </row>
    <row r="2274" spans="1:13" s="79" customFormat="1" x14ac:dyDescent="0.35">
      <c r="A2274" s="251"/>
      <c r="B2274" s="22"/>
      <c r="C2274" s="252"/>
      <c r="D2274" s="252"/>
      <c r="E2274" s="252"/>
      <c r="F2274" s="252"/>
      <c r="G2274" s="252"/>
      <c r="H2274" s="252"/>
      <c r="I2274" s="252"/>
      <c r="J2274" s="252"/>
      <c r="K2274" s="252"/>
      <c r="L2274"/>
      <c r="M2274"/>
    </row>
    <row r="2275" spans="1:13" s="79" customFormat="1" x14ac:dyDescent="0.35">
      <c r="A2275" s="251"/>
      <c r="B2275" s="22"/>
      <c r="C2275" s="252"/>
      <c r="D2275" s="252"/>
      <c r="E2275" s="252"/>
      <c r="F2275" s="252"/>
      <c r="G2275" s="252"/>
      <c r="H2275" s="252"/>
      <c r="I2275" s="252"/>
      <c r="J2275" s="252"/>
      <c r="K2275" s="252"/>
      <c r="L2275"/>
      <c r="M2275"/>
    </row>
    <row r="2276" spans="1:13" s="79" customFormat="1" x14ac:dyDescent="0.35">
      <c r="A2276" s="251"/>
      <c r="B2276" s="22"/>
      <c r="C2276" s="252"/>
      <c r="D2276" s="252"/>
      <c r="E2276" s="252"/>
      <c r="F2276" s="252"/>
      <c r="G2276" s="252"/>
      <c r="H2276" s="252"/>
      <c r="I2276" s="252"/>
      <c r="J2276" s="252"/>
      <c r="K2276" s="252"/>
      <c r="L2276"/>
      <c r="M2276"/>
    </row>
    <row r="2277" spans="1:13" s="79" customFormat="1" x14ac:dyDescent="0.35">
      <c r="A2277" s="251"/>
      <c r="B2277" s="22"/>
      <c r="C2277" s="252"/>
      <c r="D2277" s="252"/>
      <c r="E2277" s="252"/>
      <c r="F2277" s="252"/>
      <c r="G2277" s="252"/>
      <c r="H2277" s="252"/>
      <c r="I2277" s="252"/>
      <c r="J2277" s="252"/>
      <c r="K2277" s="252"/>
      <c r="L2277"/>
      <c r="M2277"/>
    </row>
    <row r="2278" spans="1:13" s="79" customFormat="1" x14ac:dyDescent="0.35">
      <c r="A2278" s="251"/>
      <c r="B2278" s="22"/>
      <c r="C2278" s="252"/>
      <c r="D2278" s="252"/>
      <c r="E2278" s="252"/>
      <c r="F2278" s="252"/>
      <c r="G2278" s="252"/>
      <c r="H2278" s="252"/>
      <c r="I2278" s="252"/>
      <c r="J2278" s="252"/>
      <c r="K2278" s="252"/>
      <c r="L2278"/>
      <c r="M2278"/>
    </row>
    <row r="2279" spans="1:13" s="79" customFormat="1" x14ac:dyDescent="0.35">
      <c r="A2279" s="251"/>
      <c r="B2279" s="22"/>
      <c r="C2279" s="252"/>
      <c r="D2279" s="252"/>
      <c r="E2279" s="252"/>
      <c r="F2279" s="252"/>
      <c r="G2279" s="252"/>
      <c r="H2279" s="252"/>
      <c r="I2279" s="252"/>
      <c r="J2279" s="252"/>
      <c r="K2279" s="252"/>
      <c r="L2279"/>
      <c r="M2279"/>
    </row>
    <row r="2280" spans="1:13" s="79" customFormat="1" x14ac:dyDescent="0.35">
      <c r="A2280" s="251"/>
      <c r="B2280" s="22"/>
      <c r="C2280" s="252"/>
      <c r="D2280" s="252"/>
      <c r="E2280" s="252"/>
      <c r="F2280" s="252"/>
      <c r="G2280" s="252"/>
      <c r="H2280" s="252"/>
      <c r="I2280" s="252"/>
      <c r="J2280" s="252"/>
      <c r="K2280" s="252"/>
      <c r="L2280"/>
      <c r="M2280"/>
    </row>
    <row r="2281" spans="1:13" s="79" customFormat="1" x14ac:dyDescent="0.35">
      <c r="A2281" s="251"/>
      <c r="B2281" s="22"/>
      <c r="C2281" s="252"/>
      <c r="D2281" s="252"/>
      <c r="E2281" s="252"/>
      <c r="F2281" s="252"/>
      <c r="G2281" s="252"/>
      <c r="H2281" s="252"/>
      <c r="I2281" s="252"/>
      <c r="J2281" s="252"/>
      <c r="K2281" s="252"/>
      <c r="L2281"/>
      <c r="M2281"/>
    </row>
    <row r="2282" spans="1:13" s="79" customFormat="1" x14ac:dyDescent="0.35">
      <c r="A2282" s="251"/>
      <c r="B2282" s="22"/>
      <c r="C2282" s="252"/>
      <c r="D2282" s="252"/>
      <c r="E2282" s="252"/>
      <c r="F2282" s="252"/>
      <c r="G2282" s="252"/>
      <c r="H2282" s="252"/>
      <c r="I2282" s="252"/>
      <c r="J2282" s="252"/>
      <c r="K2282" s="252"/>
      <c r="L2282"/>
      <c r="M2282"/>
    </row>
    <row r="2283" spans="1:13" s="79" customFormat="1" x14ac:dyDescent="0.35">
      <c r="A2283" s="251"/>
      <c r="B2283" s="22"/>
      <c r="C2283" s="252"/>
      <c r="D2283" s="252"/>
      <c r="E2283" s="252"/>
      <c r="F2283" s="252"/>
      <c r="G2283" s="252"/>
      <c r="H2283" s="252"/>
      <c r="I2283" s="252"/>
      <c r="J2283" s="252"/>
      <c r="K2283" s="252"/>
      <c r="L2283"/>
      <c r="M2283"/>
    </row>
    <row r="2284" spans="1:13" s="79" customFormat="1" x14ac:dyDescent="0.35">
      <c r="A2284" s="251"/>
      <c r="B2284" s="22"/>
      <c r="C2284" s="252"/>
      <c r="D2284" s="252"/>
      <c r="E2284" s="252"/>
      <c r="F2284" s="252"/>
      <c r="G2284" s="252"/>
      <c r="H2284" s="252"/>
      <c r="I2284" s="252"/>
      <c r="J2284" s="252"/>
      <c r="K2284" s="252"/>
      <c r="L2284"/>
      <c r="M2284"/>
    </row>
    <row r="2285" spans="1:13" s="79" customFormat="1" x14ac:dyDescent="0.35">
      <c r="A2285" s="251"/>
      <c r="B2285" s="22"/>
      <c r="C2285" s="252"/>
      <c r="D2285" s="252"/>
      <c r="E2285" s="252"/>
      <c r="F2285" s="252"/>
      <c r="G2285" s="252"/>
      <c r="H2285" s="252"/>
      <c r="I2285" s="252"/>
      <c r="J2285" s="252"/>
      <c r="K2285" s="252"/>
      <c r="L2285"/>
      <c r="M2285"/>
    </row>
    <row r="2286" spans="1:13" s="79" customFormat="1" x14ac:dyDescent="0.35">
      <c r="A2286" s="251"/>
      <c r="B2286" s="22"/>
      <c r="C2286" s="252"/>
      <c r="D2286" s="252"/>
      <c r="E2286" s="252"/>
      <c r="F2286" s="252"/>
      <c r="G2286" s="252"/>
      <c r="H2286" s="252"/>
      <c r="I2286" s="252"/>
      <c r="J2286" s="252"/>
      <c r="K2286" s="252"/>
      <c r="L2286"/>
      <c r="M2286"/>
    </row>
    <row r="2287" spans="1:13" s="79" customFormat="1" x14ac:dyDescent="0.35">
      <c r="A2287" s="251"/>
      <c r="B2287" s="22"/>
      <c r="C2287" s="252"/>
      <c r="D2287" s="252"/>
      <c r="E2287" s="252"/>
      <c r="F2287" s="252"/>
      <c r="G2287" s="252"/>
      <c r="H2287" s="252"/>
      <c r="I2287" s="252"/>
      <c r="J2287" s="252"/>
      <c r="K2287" s="252"/>
      <c r="L2287"/>
      <c r="M2287"/>
    </row>
    <row r="2288" spans="1:13" s="79" customFormat="1" x14ac:dyDescent="0.35">
      <c r="A2288" s="251"/>
      <c r="B2288" s="22"/>
      <c r="C2288" s="252"/>
      <c r="D2288" s="252"/>
      <c r="E2288" s="252"/>
      <c r="F2288" s="252"/>
      <c r="G2288" s="252"/>
      <c r="H2288" s="252"/>
      <c r="I2288" s="252"/>
      <c r="J2288" s="252"/>
      <c r="K2288" s="252"/>
      <c r="L2288"/>
      <c r="M2288"/>
    </row>
    <row r="2289" spans="1:13" s="79" customFormat="1" x14ac:dyDescent="0.35">
      <c r="A2289" s="251"/>
      <c r="B2289" s="22"/>
      <c r="C2289" s="252"/>
      <c r="D2289" s="252"/>
      <c r="E2289" s="252"/>
      <c r="F2289" s="252"/>
      <c r="G2289" s="252"/>
      <c r="H2289" s="252"/>
      <c r="I2289" s="252"/>
      <c r="J2289" s="252"/>
      <c r="K2289" s="252"/>
      <c r="L2289"/>
      <c r="M2289"/>
    </row>
    <row r="2290" spans="1:13" s="79" customFormat="1" x14ac:dyDescent="0.35">
      <c r="A2290" s="251"/>
      <c r="B2290" s="22"/>
      <c r="C2290" s="252"/>
      <c r="D2290" s="252"/>
      <c r="E2290" s="252"/>
      <c r="F2290" s="252"/>
      <c r="G2290" s="252"/>
      <c r="H2290" s="252"/>
      <c r="I2290" s="252"/>
      <c r="J2290" s="252"/>
      <c r="K2290" s="252"/>
      <c r="L2290"/>
      <c r="M2290"/>
    </row>
    <row r="2291" spans="1:13" s="79" customFormat="1" x14ac:dyDescent="0.35">
      <c r="A2291" s="251"/>
      <c r="B2291" s="22"/>
      <c r="C2291" s="252"/>
      <c r="D2291" s="252"/>
      <c r="E2291" s="252"/>
      <c r="F2291" s="252"/>
      <c r="G2291" s="252"/>
      <c r="H2291" s="252"/>
      <c r="I2291" s="252"/>
      <c r="J2291" s="252"/>
      <c r="K2291" s="252"/>
      <c r="L2291"/>
      <c r="M2291"/>
    </row>
    <row r="2292" spans="1:13" s="79" customFormat="1" x14ac:dyDescent="0.35">
      <c r="A2292" s="251"/>
      <c r="B2292" s="22"/>
      <c r="C2292" s="252"/>
      <c r="D2292" s="252"/>
      <c r="E2292" s="252"/>
      <c r="F2292" s="252"/>
      <c r="G2292" s="252"/>
      <c r="H2292" s="252"/>
      <c r="I2292" s="252"/>
      <c r="J2292" s="252"/>
      <c r="K2292" s="252"/>
      <c r="L2292"/>
      <c r="M2292"/>
    </row>
    <row r="2293" spans="1:13" s="79" customFormat="1" x14ac:dyDescent="0.35">
      <c r="A2293" s="251"/>
      <c r="B2293" s="22"/>
      <c r="C2293" s="252"/>
      <c r="D2293" s="252"/>
      <c r="E2293" s="252"/>
      <c r="F2293" s="252"/>
      <c r="G2293" s="252"/>
      <c r="H2293" s="252"/>
      <c r="I2293" s="252"/>
      <c r="J2293" s="252"/>
      <c r="K2293" s="252"/>
      <c r="L2293"/>
      <c r="M2293"/>
    </row>
    <row r="2294" spans="1:13" s="79" customFormat="1" x14ac:dyDescent="0.35">
      <c r="A2294" s="251"/>
      <c r="B2294" s="22"/>
      <c r="C2294" s="252"/>
      <c r="D2294" s="252"/>
      <c r="E2294" s="252"/>
      <c r="F2294" s="252"/>
      <c r="G2294" s="252"/>
      <c r="H2294" s="252"/>
      <c r="I2294" s="252"/>
      <c r="J2294" s="252"/>
      <c r="K2294" s="252"/>
      <c r="L2294"/>
      <c r="M2294"/>
    </row>
    <row r="2295" spans="1:13" s="79" customFormat="1" x14ac:dyDescent="0.35">
      <c r="A2295" s="251"/>
      <c r="B2295" s="22"/>
      <c r="C2295" s="252"/>
      <c r="D2295" s="252"/>
      <c r="E2295" s="252"/>
      <c r="F2295" s="252"/>
      <c r="G2295" s="252"/>
      <c r="H2295" s="252"/>
      <c r="I2295" s="252"/>
      <c r="J2295" s="252"/>
      <c r="K2295" s="252"/>
      <c r="L2295"/>
      <c r="M2295"/>
    </row>
    <row r="2296" spans="1:13" s="79" customFormat="1" x14ac:dyDescent="0.35">
      <c r="A2296" s="251"/>
      <c r="B2296" s="22"/>
      <c r="C2296" s="252"/>
      <c r="D2296" s="252"/>
      <c r="E2296" s="252"/>
      <c r="F2296" s="252"/>
      <c r="G2296" s="252"/>
      <c r="H2296" s="252"/>
      <c r="I2296" s="252"/>
      <c r="J2296" s="252"/>
      <c r="K2296" s="252"/>
      <c r="L2296"/>
      <c r="M2296"/>
    </row>
    <row r="2297" spans="1:13" s="79" customFormat="1" x14ac:dyDescent="0.35">
      <c r="A2297" s="251"/>
      <c r="B2297" s="22"/>
      <c r="C2297" s="252"/>
      <c r="D2297" s="252"/>
      <c r="E2297" s="252"/>
      <c r="F2297" s="252"/>
      <c r="G2297" s="252"/>
      <c r="H2297" s="252"/>
      <c r="I2297" s="252"/>
      <c r="J2297" s="252"/>
      <c r="K2297" s="252"/>
      <c r="L2297"/>
      <c r="M2297"/>
    </row>
    <row r="2298" spans="1:13" s="79" customFormat="1" x14ac:dyDescent="0.35">
      <c r="A2298" s="251"/>
      <c r="B2298" s="22"/>
      <c r="C2298" s="252"/>
      <c r="D2298" s="252"/>
      <c r="E2298" s="252"/>
      <c r="F2298" s="252"/>
      <c r="G2298" s="252"/>
      <c r="H2298" s="252"/>
      <c r="I2298" s="252"/>
      <c r="J2298" s="252"/>
      <c r="K2298" s="252"/>
      <c r="L2298"/>
      <c r="M2298"/>
    </row>
    <row r="2299" spans="1:13" s="79" customFormat="1" x14ac:dyDescent="0.35">
      <c r="A2299" s="251"/>
      <c r="B2299" s="22"/>
      <c r="C2299" s="252"/>
      <c r="D2299" s="252"/>
      <c r="E2299" s="252"/>
      <c r="F2299" s="252"/>
      <c r="G2299" s="252"/>
      <c r="H2299" s="252"/>
      <c r="I2299" s="252"/>
      <c r="J2299" s="252"/>
      <c r="K2299" s="252"/>
      <c r="L2299"/>
      <c r="M2299"/>
    </row>
    <row r="2300" spans="1:13" s="79" customFormat="1" x14ac:dyDescent="0.35">
      <c r="A2300" s="251"/>
      <c r="B2300" s="22"/>
      <c r="C2300" s="252"/>
      <c r="D2300" s="252"/>
      <c r="E2300" s="252"/>
      <c r="F2300" s="252"/>
      <c r="G2300" s="252"/>
      <c r="H2300" s="252"/>
      <c r="I2300" s="252"/>
      <c r="J2300" s="252"/>
      <c r="K2300" s="252"/>
      <c r="L2300"/>
      <c r="M2300"/>
    </row>
    <row r="2301" spans="1:13" s="79" customFormat="1" x14ac:dyDescent="0.35">
      <c r="A2301" s="251"/>
      <c r="B2301" s="22"/>
      <c r="C2301" s="252"/>
      <c r="D2301" s="252"/>
      <c r="E2301" s="252"/>
      <c r="F2301" s="252"/>
      <c r="G2301" s="252"/>
      <c r="H2301" s="252"/>
      <c r="I2301" s="252"/>
      <c r="J2301" s="252"/>
      <c r="K2301" s="252"/>
      <c r="L2301"/>
      <c r="M2301"/>
    </row>
    <row r="2302" spans="1:13" s="79" customFormat="1" x14ac:dyDescent="0.35">
      <c r="A2302" s="251"/>
      <c r="B2302" s="22"/>
      <c r="C2302" s="252"/>
      <c r="D2302" s="252"/>
      <c r="E2302" s="252"/>
      <c r="F2302" s="252"/>
      <c r="G2302" s="252"/>
      <c r="H2302" s="252"/>
      <c r="I2302" s="252"/>
      <c r="J2302" s="252"/>
      <c r="K2302" s="252"/>
      <c r="L2302"/>
      <c r="M2302"/>
    </row>
    <row r="2303" spans="1:13" s="79" customFormat="1" x14ac:dyDescent="0.35">
      <c r="A2303" s="251"/>
      <c r="B2303" s="22"/>
      <c r="C2303" s="252"/>
      <c r="D2303" s="252"/>
      <c r="E2303" s="252"/>
      <c r="F2303" s="252"/>
      <c r="G2303" s="252"/>
      <c r="H2303" s="252"/>
      <c r="I2303" s="252"/>
      <c r="J2303" s="252"/>
      <c r="K2303" s="252"/>
      <c r="L2303"/>
      <c r="M2303"/>
    </row>
    <row r="2304" spans="1:13" s="79" customFormat="1" x14ac:dyDescent="0.35">
      <c r="A2304" s="251"/>
      <c r="B2304" s="22"/>
      <c r="C2304" s="252"/>
      <c r="D2304" s="252"/>
      <c r="E2304" s="252"/>
      <c r="F2304" s="252"/>
      <c r="G2304" s="252"/>
      <c r="H2304" s="252"/>
      <c r="I2304" s="252"/>
      <c r="J2304" s="252"/>
      <c r="K2304" s="252"/>
      <c r="L2304"/>
      <c r="M2304"/>
    </row>
    <row r="2305" spans="1:13" s="79" customFormat="1" x14ac:dyDescent="0.35">
      <c r="A2305" s="251"/>
      <c r="B2305" s="22"/>
      <c r="C2305" s="252"/>
      <c r="D2305" s="252"/>
      <c r="E2305" s="252"/>
      <c r="F2305" s="252"/>
      <c r="G2305" s="252"/>
      <c r="H2305" s="252"/>
      <c r="I2305" s="252"/>
      <c r="J2305" s="252"/>
      <c r="K2305" s="252"/>
      <c r="L2305"/>
      <c r="M2305"/>
    </row>
    <row r="2306" spans="1:13" s="79" customFormat="1" x14ac:dyDescent="0.35">
      <c r="A2306" s="251"/>
      <c r="B2306" s="22"/>
      <c r="C2306" s="252"/>
      <c r="D2306" s="252"/>
      <c r="E2306" s="252"/>
      <c r="F2306" s="252"/>
      <c r="G2306" s="252"/>
      <c r="H2306" s="252"/>
      <c r="I2306" s="252"/>
      <c r="J2306" s="252"/>
      <c r="K2306" s="252"/>
      <c r="L2306"/>
      <c r="M2306"/>
    </row>
    <row r="2307" spans="1:13" s="79" customFormat="1" x14ac:dyDescent="0.35">
      <c r="A2307" s="251"/>
      <c r="B2307" s="22"/>
      <c r="C2307" s="252"/>
      <c r="D2307" s="252"/>
      <c r="E2307" s="252"/>
      <c r="F2307" s="252"/>
      <c r="G2307" s="252"/>
      <c r="H2307" s="252"/>
      <c r="I2307" s="252"/>
      <c r="J2307" s="252"/>
      <c r="K2307" s="252"/>
      <c r="L2307"/>
      <c r="M2307"/>
    </row>
    <row r="2308" spans="1:13" s="79" customFormat="1" x14ac:dyDescent="0.35">
      <c r="A2308" s="251"/>
      <c r="B2308" s="22"/>
      <c r="C2308" s="252"/>
      <c r="D2308" s="252"/>
      <c r="E2308" s="252"/>
      <c r="F2308" s="252"/>
      <c r="G2308" s="252"/>
      <c r="H2308" s="252"/>
      <c r="I2308" s="252"/>
      <c r="J2308" s="252"/>
      <c r="K2308" s="252"/>
      <c r="L2308"/>
      <c r="M2308"/>
    </row>
    <row r="2309" spans="1:13" s="79" customFormat="1" x14ac:dyDescent="0.35">
      <c r="A2309" s="251"/>
      <c r="B2309" s="22"/>
      <c r="C2309" s="252"/>
      <c r="D2309" s="252"/>
      <c r="E2309" s="252"/>
      <c r="F2309" s="252"/>
      <c r="G2309" s="252"/>
      <c r="H2309" s="252"/>
      <c r="I2309" s="252"/>
      <c r="J2309" s="252"/>
      <c r="K2309" s="252"/>
      <c r="L2309"/>
      <c r="M2309"/>
    </row>
    <row r="2310" spans="1:13" s="79" customFormat="1" x14ac:dyDescent="0.35">
      <c r="A2310" s="251"/>
      <c r="B2310" s="22"/>
      <c r="C2310" s="252"/>
      <c r="D2310" s="252"/>
      <c r="E2310" s="252"/>
      <c r="F2310" s="252"/>
      <c r="G2310" s="252"/>
      <c r="H2310" s="252"/>
      <c r="I2310" s="252"/>
      <c r="J2310" s="252"/>
      <c r="K2310" s="252"/>
      <c r="L2310"/>
      <c r="M2310"/>
    </row>
    <row r="2311" spans="1:13" s="79" customFormat="1" x14ac:dyDescent="0.35">
      <c r="A2311" s="251"/>
      <c r="B2311" s="22"/>
      <c r="C2311" s="252"/>
      <c r="D2311" s="252"/>
      <c r="E2311" s="252"/>
      <c r="F2311" s="252"/>
      <c r="G2311" s="252"/>
      <c r="H2311" s="252"/>
      <c r="I2311" s="252"/>
      <c r="J2311" s="252"/>
      <c r="K2311" s="252"/>
      <c r="L2311"/>
      <c r="M2311"/>
    </row>
    <row r="2312" spans="1:13" s="79" customFormat="1" x14ac:dyDescent="0.35">
      <c r="A2312" s="251"/>
      <c r="B2312" s="22"/>
      <c r="C2312" s="252"/>
      <c r="D2312" s="252"/>
      <c r="E2312" s="252"/>
      <c r="F2312" s="252"/>
      <c r="G2312" s="252"/>
      <c r="H2312" s="252"/>
      <c r="I2312" s="252"/>
      <c r="J2312" s="252"/>
      <c r="K2312" s="252"/>
      <c r="L2312"/>
      <c r="M2312"/>
    </row>
    <row r="2313" spans="1:13" s="79" customFormat="1" x14ac:dyDescent="0.35">
      <c r="A2313" s="251"/>
      <c r="B2313" s="22"/>
      <c r="C2313" s="252"/>
      <c r="D2313" s="252"/>
      <c r="E2313" s="252"/>
      <c r="F2313" s="252"/>
      <c r="G2313" s="252"/>
      <c r="H2313" s="252"/>
      <c r="I2313" s="252"/>
      <c r="J2313" s="252"/>
      <c r="K2313" s="252"/>
      <c r="L2313"/>
      <c r="M2313"/>
    </row>
    <row r="2314" spans="1:13" s="79" customFormat="1" x14ac:dyDescent="0.35">
      <c r="A2314" s="251"/>
      <c r="B2314" s="22"/>
      <c r="C2314" s="252"/>
      <c r="D2314" s="252"/>
      <c r="E2314" s="252"/>
      <c r="F2314" s="252"/>
      <c r="G2314" s="252"/>
      <c r="H2314" s="252"/>
      <c r="I2314" s="252"/>
      <c r="J2314" s="252"/>
      <c r="K2314" s="252"/>
      <c r="L2314"/>
      <c r="M2314"/>
    </row>
    <row r="2315" spans="1:13" s="79" customFormat="1" x14ac:dyDescent="0.35">
      <c r="A2315" s="251"/>
      <c r="B2315" s="22"/>
      <c r="C2315" s="252"/>
      <c r="D2315" s="252"/>
      <c r="E2315" s="252"/>
      <c r="F2315" s="252"/>
      <c r="G2315" s="252"/>
      <c r="H2315" s="252"/>
      <c r="I2315" s="252"/>
      <c r="J2315" s="252"/>
      <c r="K2315" s="252"/>
      <c r="L2315"/>
      <c r="M2315"/>
    </row>
    <row r="2316" spans="1:13" s="79" customFormat="1" x14ac:dyDescent="0.35">
      <c r="A2316" s="251"/>
      <c r="B2316" s="22"/>
      <c r="C2316" s="252"/>
      <c r="D2316" s="252"/>
      <c r="E2316" s="252"/>
      <c r="F2316" s="252"/>
      <c r="G2316" s="252"/>
      <c r="H2316" s="252"/>
      <c r="I2316" s="252"/>
      <c r="J2316" s="252"/>
      <c r="K2316" s="252"/>
      <c r="L2316"/>
      <c r="M2316"/>
    </row>
    <row r="2317" spans="1:13" s="79" customFormat="1" x14ac:dyDescent="0.35">
      <c r="A2317" s="251"/>
      <c r="B2317" s="22"/>
      <c r="C2317" s="252"/>
      <c r="D2317" s="252"/>
      <c r="E2317" s="252"/>
      <c r="F2317" s="252"/>
      <c r="G2317" s="252"/>
      <c r="H2317" s="252"/>
      <c r="I2317" s="252"/>
      <c r="J2317" s="252"/>
      <c r="K2317" s="252"/>
      <c r="L2317"/>
      <c r="M2317"/>
    </row>
    <row r="2318" spans="1:13" s="79" customFormat="1" x14ac:dyDescent="0.35">
      <c r="A2318" s="251"/>
      <c r="B2318" s="22"/>
      <c r="C2318" s="252"/>
      <c r="D2318" s="252"/>
      <c r="E2318" s="252"/>
      <c r="F2318" s="252"/>
      <c r="G2318" s="252"/>
      <c r="H2318" s="252"/>
      <c r="I2318" s="252"/>
      <c r="J2318" s="252"/>
      <c r="K2318" s="252"/>
      <c r="L2318"/>
      <c r="M2318"/>
    </row>
    <row r="2319" spans="1:13" s="79" customFormat="1" x14ac:dyDescent="0.35">
      <c r="A2319" s="251"/>
      <c r="B2319" s="22"/>
      <c r="C2319" s="252"/>
      <c r="D2319" s="252"/>
      <c r="E2319" s="252"/>
      <c r="F2319" s="252"/>
      <c r="G2319" s="252"/>
      <c r="H2319" s="252"/>
      <c r="I2319" s="252"/>
      <c r="J2319" s="252"/>
      <c r="K2319" s="252"/>
      <c r="L2319"/>
      <c r="M2319"/>
    </row>
    <row r="2320" spans="1:13" s="79" customFormat="1" x14ac:dyDescent="0.35">
      <c r="A2320" s="251"/>
      <c r="B2320" s="22"/>
      <c r="C2320" s="252"/>
      <c r="D2320" s="252"/>
      <c r="E2320" s="252"/>
      <c r="F2320" s="252"/>
      <c r="G2320" s="252"/>
      <c r="H2320" s="252"/>
      <c r="I2320" s="252"/>
      <c r="J2320" s="252"/>
      <c r="K2320" s="252"/>
      <c r="L2320"/>
      <c r="M2320"/>
    </row>
    <row r="2321" spans="1:13" s="79" customFormat="1" x14ac:dyDescent="0.35">
      <c r="A2321" s="251"/>
      <c r="B2321" s="22"/>
      <c r="C2321" s="252"/>
      <c r="D2321" s="252"/>
      <c r="E2321" s="252"/>
      <c r="F2321" s="252"/>
      <c r="G2321" s="252"/>
      <c r="H2321" s="252"/>
      <c r="I2321" s="252"/>
      <c r="J2321" s="252"/>
      <c r="K2321" s="252"/>
      <c r="L2321"/>
      <c r="M2321"/>
    </row>
    <row r="2322" spans="1:13" s="79" customFormat="1" x14ac:dyDescent="0.35">
      <c r="A2322" s="251"/>
      <c r="B2322" s="22"/>
      <c r="C2322" s="252"/>
      <c r="D2322" s="252"/>
      <c r="E2322" s="252"/>
      <c r="F2322" s="252"/>
      <c r="G2322" s="252"/>
      <c r="H2322" s="252"/>
      <c r="I2322" s="252"/>
      <c r="J2322" s="252"/>
      <c r="K2322" s="252"/>
      <c r="L2322"/>
      <c r="M2322"/>
    </row>
    <row r="2323" spans="1:13" s="79" customFormat="1" x14ac:dyDescent="0.35">
      <c r="A2323" s="251"/>
      <c r="B2323" s="22"/>
      <c r="C2323" s="252"/>
      <c r="D2323" s="252"/>
      <c r="E2323" s="252"/>
      <c r="F2323" s="252"/>
      <c r="G2323" s="252"/>
      <c r="H2323" s="252"/>
      <c r="I2323" s="252"/>
      <c r="J2323" s="252"/>
      <c r="K2323" s="252"/>
      <c r="L2323"/>
      <c r="M2323"/>
    </row>
    <row r="2324" spans="1:13" s="79" customFormat="1" x14ac:dyDescent="0.35">
      <c r="A2324" s="251"/>
      <c r="B2324" s="22"/>
      <c r="C2324" s="252"/>
      <c r="D2324" s="252"/>
      <c r="E2324" s="252"/>
      <c r="F2324" s="252"/>
      <c r="G2324" s="252"/>
      <c r="H2324" s="252"/>
      <c r="I2324" s="252"/>
      <c r="J2324" s="252"/>
      <c r="K2324" s="252"/>
      <c r="L2324"/>
      <c r="M2324"/>
    </row>
    <row r="2325" spans="1:13" s="79" customFormat="1" x14ac:dyDescent="0.35">
      <c r="A2325" s="251"/>
      <c r="B2325" s="22"/>
      <c r="C2325" s="252"/>
      <c r="D2325" s="252"/>
      <c r="E2325" s="252"/>
      <c r="F2325" s="252"/>
      <c r="G2325" s="252"/>
      <c r="H2325" s="252"/>
      <c r="I2325" s="252"/>
      <c r="J2325" s="252"/>
      <c r="K2325" s="252"/>
      <c r="L2325"/>
      <c r="M2325"/>
    </row>
    <row r="2326" spans="1:13" s="79" customFormat="1" x14ac:dyDescent="0.35">
      <c r="A2326" s="251"/>
      <c r="B2326" s="22"/>
      <c r="C2326" s="252"/>
      <c r="D2326" s="252"/>
      <c r="E2326" s="252"/>
      <c r="F2326" s="252"/>
      <c r="G2326" s="252"/>
      <c r="H2326" s="252"/>
      <c r="I2326" s="252"/>
      <c r="J2326" s="252"/>
      <c r="K2326" s="252"/>
      <c r="L2326"/>
      <c r="M2326"/>
    </row>
    <row r="2327" spans="1:13" s="79" customFormat="1" x14ac:dyDescent="0.35">
      <c r="A2327" s="251"/>
      <c r="B2327" s="22"/>
      <c r="C2327" s="252"/>
      <c r="D2327" s="252"/>
      <c r="E2327" s="252"/>
      <c r="F2327" s="252"/>
      <c r="G2327" s="252"/>
      <c r="H2327" s="252"/>
      <c r="I2327" s="252"/>
      <c r="J2327" s="252"/>
      <c r="K2327" s="252"/>
      <c r="L2327"/>
      <c r="M2327"/>
    </row>
    <row r="2328" spans="1:13" s="79" customFormat="1" x14ac:dyDescent="0.35">
      <c r="A2328" s="251"/>
      <c r="B2328" s="22"/>
      <c r="C2328" s="252"/>
      <c r="D2328" s="252"/>
      <c r="E2328" s="252"/>
      <c r="F2328" s="252"/>
      <c r="G2328" s="252"/>
      <c r="H2328" s="252"/>
      <c r="I2328" s="252"/>
      <c r="J2328" s="252"/>
      <c r="K2328" s="252"/>
      <c r="L2328"/>
      <c r="M2328"/>
    </row>
    <row r="2329" spans="1:13" s="79" customFormat="1" x14ac:dyDescent="0.35">
      <c r="A2329" s="251"/>
      <c r="B2329" s="22"/>
      <c r="C2329" s="252"/>
      <c r="D2329" s="252"/>
      <c r="E2329" s="252"/>
      <c r="F2329" s="252"/>
      <c r="G2329" s="252"/>
      <c r="H2329" s="252"/>
      <c r="I2329" s="252"/>
      <c r="J2329" s="252"/>
      <c r="K2329" s="252"/>
      <c r="L2329"/>
      <c r="M2329"/>
    </row>
    <row r="2330" spans="1:13" s="79" customFormat="1" x14ac:dyDescent="0.35">
      <c r="A2330" s="251"/>
      <c r="B2330" s="22"/>
      <c r="C2330" s="252"/>
      <c r="D2330" s="252"/>
      <c r="E2330" s="252"/>
      <c r="F2330" s="252"/>
      <c r="G2330" s="252"/>
      <c r="H2330" s="252"/>
      <c r="I2330" s="252"/>
      <c r="J2330" s="252"/>
      <c r="K2330" s="252"/>
      <c r="L2330"/>
      <c r="M2330"/>
    </row>
    <row r="2331" spans="1:13" s="79" customFormat="1" x14ac:dyDescent="0.35">
      <c r="A2331" s="251"/>
      <c r="B2331" s="22"/>
      <c r="C2331" s="252"/>
      <c r="D2331" s="252"/>
      <c r="E2331" s="252"/>
      <c r="F2331" s="252"/>
      <c r="G2331" s="252"/>
      <c r="H2331" s="252"/>
      <c r="I2331" s="252"/>
      <c r="J2331" s="252"/>
      <c r="K2331" s="252"/>
      <c r="L2331"/>
      <c r="M2331"/>
    </row>
    <row r="2332" spans="1:13" s="79" customFormat="1" x14ac:dyDescent="0.35">
      <c r="A2332" s="251"/>
      <c r="B2332" s="22"/>
      <c r="C2332" s="252"/>
      <c r="D2332" s="252"/>
      <c r="E2332" s="252"/>
      <c r="F2332" s="252"/>
      <c r="G2332" s="252"/>
      <c r="H2332" s="252"/>
      <c r="I2332" s="252"/>
      <c r="J2332" s="252"/>
      <c r="K2332" s="252"/>
      <c r="L2332"/>
      <c r="M2332"/>
    </row>
    <row r="2333" spans="1:13" s="79" customFormat="1" x14ac:dyDescent="0.35">
      <c r="A2333" s="251"/>
      <c r="B2333" s="22"/>
      <c r="C2333" s="252"/>
      <c r="D2333" s="252"/>
      <c r="E2333" s="252"/>
      <c r="F2333" s="252"/>
      <c r="G2333" s="252"/>
      <c r="H2333" s="252"/>
      <c r="I2333" s="252"/>
      <c r="J2333" s="252"/>
      <c r="K2333" s="252"/>
      <c r="L2333"/>
      <c r="M2333"/>
    </row>
    <row r="2334" spans="1:13" s="79" customFormat="1" x14ac:dyDescent="0.35">
      <c r="A2334" s="251"/>
      <c r="B2334" s="22"/>
      <c r="C2334" s="252"/>
      <c r="D2334" s="252"/>
      <c r="E2334" s="252"/>
      <c r="F2334" s="252"/>
      <c r="G2334" s="252"/>
      <c r="H2334" s="252"/>
      <c r="I2334" s="252"/>
      <c r="J2334" s="252"/>
      <c r="K2334" s="252"/>
      <c r="L2334"/>
      <c r="M2334"/>
    </row>
    <row r="2335" spans="1:13" s="79" customFormat="1" x14ac:dyDescent="0.35">
      <c r="A2335" s="251"/>
      <c r="B2335" s="22"/>
      <c r="C2335" s="252"/>
      <c r="D2335" s="252"/>
      <c r="E2335" s="252"/>
      <c r="F2335" s="252"/>
      <c r="G2335" s="252"/>
      <c r="H2335" s="252"/>
      <c r="I2335" s="252"/>
      <c r="J2335" s="252"/>
      <c r="K2335" s="252"/>
      <c r="L2335"/>
      <c r="M2335"/>
    </row>
    <row r="2336" spans="1:13" s="79" customFormat="1" x14ac:dyDescent="0.35">
      <c r="A2336" s="251"/>
      <c r="B2336" s="22"/>
      <c r="C2336" s="252"/>
      <c r="D2336" s="252"/>
      <c r="E2336" s="252"/>
      <c r="F2336" s="252"/>
      <c r="G2336" s="252"/>
      <c r="H2336" s="252"/>
      <c r="I2336" s="252"/>
      <c r="J2336" s="252"/>
      <c r="K2336" s="252"/>
      <c r="L2336"/>
      <c r="M2336"/>
    </row>
    <row r="2337" spans="1:13" s="79" customFormat="1" x14ac:dyDescent="0.35">
      <c r="A2337" s="251"/>
      <c r="B2337" s="22"/>
      <c r="C2337" s="252"/>
      <c r="D2337" s="252"/>
      <c r="E2337" s="252"/>
      <c r="F2337" s="252"/>
      <c r="G2337" s="252"/>
      <c r="H2337" s="252"/>
      <c r="I2337" s="252"/>
      <c r="J2337" s="252"/>
      <c r="K2337" s="252"/>
      <c r="L2337"/>
      <c r="M2337"/>
    </row>
    <row r="2338" spans="1:13" s="79" customFormat="1" x14ac:dyDescent="0.35">
      <c r="A2338" s="251"/>
      <c r="B2338" s="22"/>
      <c r="C2338" s="252"/>
      <c r="D2338" s="252"/>
      <c r="E2338" s="252"/>
      <c r="F2338" s="252"/>
      <c r="G2338" s="252"/>
      <c r="H2338" s="252"/>
      <c r="I2338" s="252"/>
      <c r="J2338" s="252"/>
      <c r="K2338" s="252"/>
      <c r="L2338"/>
      <c r="M2338"/>
    </row>
    <row r="2339" spans="1:13" s="79" customFormat="1" x14ac:dyDescent="0.35">
      <c r="A2339" s="251"/>
      <c r="B2339" s="22"/>
      <c r="C2339" s="252"/>
      <c r="D2339" s="252"/>
      <c r="E2339" s="252"/>
      <c r="F2339" s="252"/>
      <c r="G2339" s="252"/>
      <c r="H2339" s="252"/>
      <c r="I2339" s="252"/>
      <c r="J2339" s="252"/>
      <c r="K2339" s="252"/>
      <c r="L2339"/>
      <c r="M2339"/>
    </row>
    <row r="2340" spans="1:13" s="79" customFormat="1" x14ac:dyDescent="0.35">
      <c r="A2340" s="251"/>
      <c r="B2340" s="22"/>
      <c r="C2340" s="252"/>
      <c r="D2340" s="252"/>
      <c r="E2340" s="252"/>
      <c r="F2340" s="252"/>
      <c r="G2340" s="252"/>
      <c r="H2340" s="252"/>
      <c r="I2340" s="252"/>
      <c r="J2340" s="252"/>
      <c r="K2340" s="252"/>
      <c r="L2340"/>
      <c r="M2340"/>
    </row>
    <row r="2341" spans="1:13" s="79" customFormat="1" x14ac:dyDescent="0.35">
      <c r="A2341" s="251"/>
      <c r="B2341" s="22"/>
      <c r="C2341" s="252"/>
      <c r="D2341" s="252"/>
      <c r="E2341" s="252"/>
      <c r="F2341" s="252"/>
      <c r="G2341" s="252"/>
      <c r="H2341" s="252"/>
      <c r="I2341" s="252"/>
      <c r="J2341" s="252"/>
      <c r="K2341" s="252"/>
      <c r="L2341"/>
      <c r="M2341"/>
    </row>
    <row r="2342" spans="1:13" s="79" customFormat="1" x14ac:dyDescent="0.35">
      <c r="A2342" s="251"/>
      <c r="B2342" s="22"/>
      <c r="C2342" s="252"/>
      <c r="D2342" s="252"/>
      <c r="E2342" s="252"/>
      <c r="F2342" s="252"/>
      <c r="G2342" s="252"/>
      <c r="H2342" s="252"/>
      <c r="I2342" s="252"/>
      <c r="J2342" s="252"/>
      <c r="K2342" s="252"/>
      <c r="L2342"/>
      <c r="M2342"/>
    </row>
    <row r="2343" spans="1:13" s="79" customFormat="1" x14ac:dyDescent="0.35">
      <c r="A2343" s="251"/>
      <c r="B2343" s="22"/>
      <c r="C2343" s="252"/>
      <c r="D2343" s="252"/>
      <c r="E2343" s="252"/>
      <c r="F2343" s="252"/>
      <c r="G2343" s="252"/>
      <c r="H2343" s="252"/>
      <c r="I2343" s="252"/>
      <c r="J2343" s="252"/>
      <c r="K2343" s="252"/>
      <c r="L2343"/>
      <c r="M2343"/>
    </row>
    <row r="2344" spans="1:13" s="79" customFormat="1" x14ac:dyDescent="0.35">
      <c r="A2344" s="251"/>
      <c r="B2344" s="22"/>
      <c r="C2344" s="252"/>
      <c r="D2344" s="252"/>
      <c r="E2344" s="252"/>
      <c r="F2344" s="252"/>
      <c r="G2344" s="252"/>
      <c r="H2344" s="252"/>
      <c r="I2344" s="252"/>
      <c r="J2344" s="252"/>
      <c r="K2344" s="252"/>
      <c r="L2344"/>
      <c r="M2344"/>
    </row>
    <row r="2345" spans="1:13" s="79" customFormat="1" x14ac:dyDescent="0.35">
      <c r="A2345" s="251"/>
      <c r="B2345" s="22"/>
      <c r="C2345" s="252"/>
      <c r="D2345" s="252"/>
      <c r="E2345" s="252"/>
      <c r="F2345" s="252"/>
      <c r="G2345" s="252"/>
      <c r="H2345" s="252"/>
      <c r="I2345" s="252"/>
      <c r="J2345" s="252"/>
      <c r="K2345" s="252"/>
      <c r="L2345"/>
      <c r="M2345"/>
    </row>
    <row r="2346" spans="1:13" s="79" customFormat="1" x14ac:dyDescent="0.35">
      <c r="A2346" s="251"/>
      <c r="B2346" s="22"/>
      <c r="C2346" s="252"/>
      <c r="D2346" s="252"/>
      <c r="E2346" s="252"/>
      <c r="F2346" s="252"/>
      <c r="G2346" s="252"/>
      <c r="H2346" s="252"/>
      <c r="I2346" s="252"/>
      <c r="J2346" s="252"/>
      <c r="K2346" s="252"/>
      <c r="L2346"/>
      <c r="M2346"/>
    </row>
    <row r="2347" spans="1:13" s="79" customFormat="1" x14ac:dyDescent="0.35">
      <c r="A2347" s="251"/>
      <c r="B2347" s="22"/>
      <c r="C2347" s="252"/>
      <c r="D2347" s="252"/>
      <c r="E2347" s="252"/>
      <c r="F2347" s="252"/>
      <c r="G2347" s="252"/>
      <c r="H2347" s="252"/>
      <c r="I2347" s="252"/>
      <c r="J2347" s="252"/>
      <c r="K2347" s="252"/>
      <c r="L2347"/>
      <c r="M2347"/>
    </row>
    <row r="2348" spans="1:13" s="79" customFormat="1" x14ac:dyDescent="0.35">
      <c r="A2348" s="251"/>
      <c r="B2348" s="22"/>
      <c r="C2348" s="252"/>
      <c r="D2348" s="252"/>
      <c r="E2348" s="252"/>
      <c r="F2348" s="252"/>
      <c r="G2348" s="252"/>
      <c r="H2348" s="252"/>
      <c r="I2348" s="252"/>
      <c r="J2348" s="252"/>
      <c r="K2348" s="252"/>
      <c r="L2348"/>
      <c r="M2348"/>
    </row>
    <row r="2349" spans="1:13" s="79" customFormat="1" x14ac:dyDescent="0.35">
      <c r="A2349" s="251"/>
      <c r="B2349" s="22"/>
      <c r="C2349" s="252"/>
      <c r="D2349" s="252"/>
      <c r="E2349" s="252"/>
      <c r="F2349" s="252"/>
      <c r="G2349" s="252"/>
      <c r="H2349" s="252"/>
      <c r="I2349" s="252"/>
      <c r="J2349" s="252"/>
      <c r="K2349" s="252"/>
      <c r="L2349"/>
      <c r="M2349"/>
    </row>
    <row r="2350" spans="1:13" s="79" customFormat="1" x14ac:dyDescent="0.35">
      <c r="A2350" s="251"/>
      <c r="B2350" s="22"/>
      <c r="C2350" s="252"/>
      <c r="D2350" s="252"/>
      <c r="E2350" s="252"/>
      <c r="F2350" s="252"/>
      <c r="G2350" s="252"/>
      <c r="H2350" s="252"/>
      <c r="I2350" s="252"/>
      <c r="J2350" s="252"/>
      <c r="K2350" s="252"/>
      <c r="L2350"/>
      <c r="M2350"/>
    </row>
    <row r="2351" spans="1:13" s="79" customFormat="1" x14ac:dyDescent="0.35">
      <c r="A2351" s="251"/>
      <c r="B2351" s="22"/>
      <c r="C2351" s="252"/>
      <c r="D2351" s="252"/>
      <c r="E2351" s="252"/>
      <c r="F2351" s="252"/>
      <c r="G2351" s="252"/>
      <c r="H2351" s="252"/>
      <c r="I2351" s="252"/>
      <c r="J2351" s="252"/>
      <c r="K2351" s="252"/>
      <c r="L2351"/>
      <c r="M2351"/>
    </row>
    <row r="2352" spans="1:13" s="79" customFormat="1" x14ac:dyDescent="0.35">
      <c r="A2352" s="251"/>
      <c r="B2352" s="22"/>
      <c r="C2352" s="252"/>
      <c r="D2352" s="252"/>
      <c r="E2352" s="252"/>
      <c r="F2352" s="252"/>
      <c r="G2352" s="252"/>
      <c r="H2352" s="252"/>
      <c r="I2352" s="252"/>
      <c r="J2352" s="252"/>
      <c r="K2352" s="252"/>
      <c r="L2352"/>
      <c r="M2352"/>
    </row>
    <row r="2353" spans="1:13" s="79" customFormat="1" x14ac:dyDescent="0.35">
      <c r="A2353" s="251"/>
      <c r="B2353" s="22"/>
      <c r="C2353" s="252"/>
      <c r="D2353" s="252"/>
      <c r="E2353" s="252"/>
      <c r="F2353" s="252"/>
      <c r="G2353" s="252"/>
      <c r="H2353" s="252"/>
      <c r="I2353" s="252"/>
      <c r="J2353" s="252"/>
      <c r="K2353" s="252"/>
      <c r="L2353"/>
      <c r="M2353"/>
    </row>
    <row r="2354" spans="1:13" s="79" customFormat="1" x14ac:dyDescent="0.35">
      <c r="A2354" s="251"/>
      <c r="B2354" s="22"/>
      <c r="C2354" s="252"/>
      <c r="D2354" s="252"/>
      <c r="E2354" s="252"/>
      <c r="F2354" s="252"/>
      <c r="G2354" s="252"/>
      <c r="H2354" s="252"/>
      <c r="I2354" s="252"/>
      <c r="J2354" s="252"/>
      <c r="K2354" s="252"/>
      <c r="L2354"/>
      <c r="M2354"/>
    </row>
    <row r="2355" spans="1:13" s="79" customFormat="1" x14ac:dyDescent="0.35">
      <c r="A2355" s="251"/>
      <c r="B2355" s="22"/>
      <c r="C2355" s="252"/>
      <c r="D2355" s="252"/>
      <c r="E2355" s="252"/>
      <c r="F2355" s="252"/>
      <c r="G2355" s="252"/>
      <c r="H2355" s="252"/>
      <c r="I2355" s="252"/>
      <c r="J2355" s="252"/>
      <c r="K2355" s="252"/>
      <c r="L2355"/>
      <c r="M2355"/>
    </row>
    <row r="2356" spans="1:13" s="79" customFormat="1" x14ac:dyDescent="0.35">
      <c r="A2356" s="251"/>
      <c r="B2356" s="22"/>
      <c r="C2356" s="252"/>
      <c r="D2356" s="252"/>
      <c r="E2356" s="252"/>
      <c r="F2356" s="252"/>
      <c r="G2356" s="252"/>
      <c r="H2356" s="252"/>
      <c r="I2356" s="252"/>
      <c r="J2356" s="252"/>
      <c r="K2356" s="252"/>
      <c r="L2356"/>
      <c r="M2356"/>
    </row>
    <row r="2357" spans="1:13" s="79" customFormat="1" x14ac:dyDescent="0.35">
      <c r="A2357" s="251"/>
      <c r="B2357" s="22"/>
      <c r="C2357" s="252"/>
      <c r="D2357" s="252"/>
      <c r="E2357" s="252"/>
      <c r="F2357" s="252"/>
      <c r="G2357" s="252"/>
      <c r="H2357" s="252"/>
      <c r="I2357" s="252"/>
      <c r="J2357" s="252"/>
      <c r="K2357" s="252"/>
      <c r="L2357"/>
      <c r="M2357"/>
    </row>
    <row r="2358" spans="1:13" s="79" customFormat="1" x14ac:dyDescent="0.35">
      <c r="A2358" s="251"/>
      <c r="B2358" s="22"/>
      <c r="C2358" s="252"/>
      <c r="D2358" s="252"/>
      <c r="E2358" s="252"/>
      <c r="F2358" s="252"/>
      <c r="G2358" s="252"/>
      <c r="H2358" s="252"/>
      <c r="I2358" s="252"/>
      <c r="J2358" s="252"/>
      <c r="K2358" s="252"/>
      <c r="L2358"/>
      <c r="M2358"/>
    </row>
    <row r="2359" spans="1:13" s="79" customFormat="1" x14ac:dyDescent="0.35">
      <c r="A2359" s="251"/>
      <c r="B2359" s="22"/>
      <c r="C2359" s="252"/>
      <c r="D2359" s="252"/>
      <c r="E2359" s="252"/>
      <c r="F2359" s="252"/>
      <c r="G2359" s="252"/>
      <c r="H2359" s="252"/>
      <c r="I2359" s="252"/>
      <c r="J2359" s="252"/>
      <c r="K2359" s="252"/>
      <c r="L2359"/>
      <c r="M2359"/>
    </row>
    <row r="2360" spans="1:13" s="79" customFormat="1" x14ac:dyDescent="0.35">
      <c r="A2360" s="251"/>
      <c r="B2360" s="22"/>
      <c r="C2360" s="252"/>
      <c r="D2360" s="252"/>
      <c r="E2360" s="252"/>
      <c r="F2360" s="252"/>
      <c r="G2360" s="252"/>
      <c r="H2360" s="252"/>
      <c r="I2360" s="252"/>
      <c r="J2360" s="252"/>
      <c r="K2360" s="252"/>
      <c r="L2360"/>
      <c r="M2360"/>
    </row>
    <row r="2361" spans="1:13" s="79" customFormat="1" x14ac:dyDescent="0.35">
      <c r="A2361" s="251"/>
      <c r="B2361" s="22"/>
      <c r="C2361" s="252"/>
      <c r="D2361" s="252"/>
      <c r="E2361" s="252"/>
      <c r="F2361" s="252"/>
      <c r="G2361" s="252"/>
      <c r="H2361" s="252"/>
      <c r="I2361" s="252"/>
      <c r="J2361" s="252"/>
      <c r="K2361" s="252"/>
      <c r="L2361"/>
      <c r="M2361"/>
    </row>
    <row r="2362" spans="1:13" s="79" customFormat="1" x14ac:dyDescent="0.35">
      <c r="A2362" s="251"/>
      <c r="B2362" s="22"/>
      <c r="C2362" s="252"/>
      <c r="D2362" s="252"/>
      <c r="E2362" s="252"/>
      <c r="F2362" s="252"/>
      <c r="G2362" s="252"/>
      <c r="H2362" s="252"/>
      <c r="I2362" s="252"/>
      <c r="J2362" s="252"/>
      <c r="K2362" s="252"/>
      <c r="L2362"/>
      <c r="M2362"/>
    </row>
    <row r="2363" spans="1:13" s="79" customFormat="1" x14ac:dyDescent="0.35">
      <c r="A2363" s="251"/>
      <c r="B2363" s="22"/>
      <c r="C2363" s="252"/>
      <c r="D2363" s="252"/>
      <c r="E2363" s="252"/>
      <c r="F2363" s="252"/>
      <c r="G2363" s="252"/>
      <c r="H2363" s="252"/>
      <c r="I2363" s="252"/>
      <c r="J2363" s="252"/>
      <c r="K2363" s="252"/>
      <c r="L2363"/>
      <c r="M2363"/>
    </row>
    <row r="2364" spans="1:13" s="79" customFormat="1" x14ac:dyDescent="0.35">
      <c r="A2364" s="251"/>
      <c r="B2364" s="22"/>
      <c r="C2364" s="252"/>
      <c r="D2364" s="252"/>
      <c r="E2364" s="252"/>
      <c r="F2364" s="252"/>
      <c r="G2364" s="252"/>
      <c r="H2364" s="252"/>
      <c r="I2364" s="252"/>
      <c r="J2364" s="252"/>
      <c r="K2364" s="252"/>
      <c r="L2364"/>
      <c r="M2364"/>
    </row>
    <row r="2365" spans="1:13" s="79" customFormat="1" x14ac:dyDescent="0.35">
      <c r="A2365" s="251"/>
      <c r="B2365" s="22"/>
      <c r="C2365" s="252"/>
      <c r="D2365" s="252"/>
      <c r="E2365" s="252"/>
      <c r="F2365" s="252"/>
      <c r="G2365" s="252"/>
      <c r="H2365" s="252"/>
      <c r="I2365" s="252"/>
      <c r="J2365" s="252"/>
      <c r="K2365" s="252"/>
      <c r="L2365"/>
      <c r="M2365"/>
    </row>
    <row r="2366" spans="1:13" s="79" customFormat="1" x14ac:dyDescent="0.35">
      <c r="A2366" s="251"/>
      <c r="B2366" s="22"/>
      <c r="C2366" s="252"/>
      <c r="D2366" s="252"/>
      <c r="E2366" s="252"/>
      <c r="F2366" s="252"/>
      <c r="G2366" s="252"/>
      <c r="H2366" s="252"/>
      <c r="I2366" s="252"/>
      <c r="J2366" s="252"/>
      <c r="K2366" s="252"/>
      <c r="L2366"/>
      <c r="M2366"/>
    </row>
    <row r="2367" spans="1:13" s="79" customFormat="1" x14ac:dyDescent="0.35">
      <c r="A2367" s="251"/>
      <c r="B2367" s="22"/>
      <c r="C2367" s="252"/>
      <c r="D2367" s="252"/>
      <c r="E2367" s="252"/>
      <c r="F2367" s="252"/>
      <c r="G2367" s="252"/>
      <c r="H2367" s="252"/>
      <c r="I2367" s="252"/>
      <c r="J2367" s="252"/>
      <c r="K2367" s="252"/>
      <c r="L2367"/>
      <c r="M2367"/>
    </row>
    <row r="2368" spans="1:13" s="79" customFormat="1" x14ac:dyDescent="0.35">
      <c r="A2368" s="251"/>
      <c r="B2368" s="22"/>
      <c r="C2368" s="252"/>
      <c r="D2368" s="252"/>
      <c r="E2368" s="252"/>
      <c r="F2368" s="252"/>
      <c r="G2368" s="252"/>
      <c r="H2368" s="252"/>
      <c r="I2368" s="252"/>
      <c r="J2368" s="252"/>
      <c r="K2368" s="252"/>
      <c r="L2368"/>
      <c r="M2368"/>
    </row>
    <row r="2369" spans="1:13" s="79" customFormat="1" x14ac:dyDescent="0.35">
      <c r="A2369" s="251"/>
      <c r="B2369" s="22"/>
      <c r="C2369" s="252"/>
      <c r="D2369" s="252"/>
      <c r="E2369" s="252"/>
      <c r="F2369" s="252"/>
      <c r="G2369" s="252"/>
      <c r="H2369" s="252"/>
      <c r="I2369" s="252"/>
      <c r="J2369" s="252"/>
      <c r="K2369" s="252"/>
      <c r="L2369"/>
      <c r="M2369"/>
    </row>
    <row r="2370" spans="1:13" s="79" customFormat="1" x14ac:dyDescent="0.35">
      <c r="A2370" s="251"/>
      <c r="B2370" s="22"/>
      <c r="C2370" s="252"/>
      <c r="D2370" s="252"/>
      <c r="E2370" s="252"/>
      <c r="F2370" s="252"/>
      <c r="G2370" s="252"/>
      <c r="H2370" s="252"/>
      <c r="I2370" s="252"/>
      <c r="J2370" s="252"/>
      <c r="K2370" s="252"/>
      <c r="L2370"/>
      <c r="M2370"/>
    </row>
    <row r="2371" spans="1:13" s="79" customFormat="1" x14ac:dyDescent="0.35">
      <c r="A2371" s="251"/>
      <c r="B2371" s="22"/>
      <c r="C2371" s="252"/>
      <c r="D2371" s="252"/>
      <c r="E2371" s="252"/>
      <c r="F2371" s="252"/>
      <c r="G2371" s="252"/>
      <c r="H2371" s="252"/>
      <c r="I2371" s="252"/>
      <c r="J2371" s="252"/>
      <c r="K2371" s="252"/>
      <c r="L2371"/>
      <c r="M2371"/>
    </row>
    <row r="2372" spans="1:13" s="79" customFormat="1" x14ac:dyDescent="0.35">
      <c r="A2372" s="251"/>
      <c r="B2372" s="22"/>
      <c r="C2372" s="252"/>
      <c r="D2372" s="252"/>
      <c r="E2372" s="252"/>
      <c r="F2372" s="252"/>
      <c r="G2372" s="252"/>
      <c r="H2372" s="252"/>
      <c r="I2372" s="252"/>
      <c r="J2372" s="252"/>
      <c r="K2372" s="252"/>
      <c r="L2372"/>
      <c r="M2372"/>
    </row>
    <row r="2373" spans="1:13" s="79" customFormat="1" x14ac:dyDescent="0.35">
      <c r="A2373" s="251"/>
      <c r="B2373" s="22"/>
      <c r="C2373" s="252"/>
      <c r="D2373" s="252"/>
      <c r="E2373" s="252"/>
      <c r="F2373" s="252"/>
      <c r="G2373" s="252"/>
      <c r="H2373" s="252"/>
      <c r="I2373" s="252"/>
      <c r="J2373" s="252"/>
      <c r="K2373" s="252"/>
      <c r="L2373"/>
      <c r="M2373"/>
    </row>
    <row r="2374" spans="1:13" s="79" customFormat="1" x14ac:dyDescent="0.35">
      <c r="A2374" s="251"/>
      <c r="B2374" s="22"/>
      <c r="C2374" s="252"/>
      <c r="D2374" s="252"/>
      <c r="E2374" s="252"/>
      <c r="F2374" s="252"/>
      <c r="G2374" s="252"/>
      <c r="H2374" s="252"/>
      <c r="I2374" s="252"/>
      <c r="J2374" s="252"/>
      <c r="K2374" s="252"/>
      <c r="L2374"/>
      <c r="M2374"/>
    </row>
    <row r="2375" spans="1:13" s="79" customFormat="1" x14ac:dyDescent="0.35">
      <c r="A2375" s="251"/>
      <c r="B2375" s="22"/>
      <c r="C2375" s="252"/>
      <c r="D2375" s="252"/>
      <c r="E2375" s="252"/>
      <c r="F2375" s="252"/>
      <c r="G2375" s="252"/>
      <c r="H2375" s="252"/>
      <c r="I2375" s="252"/>
      <c r="J2375" s="252"/>
      <c r="K2375" s="252"/>
      <c r="L2375"/>
      <c r="M2375"/>
    </row>
    <row r="2376" spans="1:13" s="79" customFormat="1" x14ac:dyDescent="0.35">
      <c r="A2376" s="251"/>
      <c r="B2376" s="22"/>
      <c r="C2376" s="252"/>
      <c r="D2376" s="252"/>
      <c r="E2376" s="252"/>
      <c r="F2376" s="252"/>
      <c r="G2376" s="252"/>
      <c r="H2376" s="252"/>
      <c r="I2376" s="252"/>
      <c r="J2376" s="252"/>
      <c r="K2376" s="252"/>
      <c r="L2376"/>
      <c r="M2376"/>
    </row>
    <row r="2377" spans="1:13" s="79" customFormat="1" x14ac:dyDescent="0.35">
      <c r="A2377" s="251"/>
      <c r="B2377" s="22"/>
      <c r="C2377" s="252"/>
      <c r="D2377" s="252"/>
      <c r="E2377" s="252"/>
      <c r="F2377" s="252"/>
      <c r="G2377" s="252"/>
      <c r="H2377" s="252"/>
      <c r="I2377" s="252"/>
      <c r="J2377" s="252"/>
      <c r="K2377" s="252"/>
      <c r="L2377"/>
      <c r="M2377"/>
    </row>
    <row r="2378" spans="1:13" s="79" customFormat="1" x14ac:dyDescent="0.35">
      <c r="A2378" s="251"/>
      <c r="B2378" s="22"/>
      <c r="C2378" s="252"/>
      <c r="D2378" s="252"/>
      <c r="E2378" s="252"/>
      <c r="F2378" s="252"/>
      <c r="G2378" s="252"/>
      <c r="H2378" s="252"/>
      <c r="I2378" s="252"/>
      <c r="J2378" s="252"/>
      <c r="K2378" s="252"/>
      <c r="L2378"/>
      <c r="M2378"/>
    </row>
    <row r="2379" spans="1:13" s="79" customFormat="1" x14ac:dyDescent="0.35">
      <c r="A2379" s="251"/>
      <c r="B2379" s="22"/>
      <c r="C2379" s="252"/>
      <c r="D2379" s="252"/>
      <c r="E2379" s="252"/>
      <c r="F2379" s="252"/>
      <c r="G2379" s="252"/>
      <c r="H2379" s="252"/>
      <c r="I2379" s="252"/>
      <c r="J2379" s="252"/>
      <c r="K2379" s="252"/>
      <c r="L2379"/>
      <c r="M2379"/>
    </row>
    <row r="2380" spans="1:13" s="79" customFormat="1" x14ac:dyDescent="0.35">
      <c r="A2380" s="251"/>
      <c r="B2380" s="22"/>
      <c r="C2380" s="252"/>
      <c r="D2380" s="252"/>
      <c r="E2380" s="252"/>
      <c r="F2380" s="252"/>
      <c r="G2380" s="252"/>
      <c r="H2380" s="252"/>
      <c r="I2380" s="252"/>
      <c r="J2380" s="252"/>
      <c r="K2380" s="252"/>
      <c r="L2380"/>
      <c r="M2380"/>
    </row>
    <row r="2381" spans="1:13" s="79" customFormat="1" x14ac:dyDescent="0.35">
      <c r="A2381" s="251"/>
      <c r="B2381" s="22"/>
      <c r="C2381" s="252"/>
      <c r="D2381" s="252"/>
      <c r="E2381" s="252"/>
      <c r="F2381" s="252"/>
      <c r="G2381" s="252"/>
      <c r="H2381" s="252"/>
      <c r="I2381" s="252"/>
      <c r="J2381" s="252"/>
      <c r="K2381" s="252"/>
      <c r="L2381"/>
      <c r="M2381"/>
    </row>
    <row r="2382" spans="1:13" s="79" customFormat="1" x14ac:dyDescent="0.35">
      <c r="A2382" s="251"/>
      <c r="B2382" s="22"/>
      <c r="C2382" s="252"/>
      <c r="D2382" s="252"/>
      <c r="E2382" s="252"/>
      <c r="F2382" s="252"/>
      <c r="G2382" s="252"/>
      <c r="H2382" s="252"/>
      <c r="I2382" s="252"/>
      <c r="J2382" s="252"/>
      <c r="K2382" s="252"/>
      <c r="L2382"/>
      <c r="M2382"/>
    </row>
    <row r="2383" spans="1:13" s="79" customFormat="1" x14ac:dyDescent="0.35">
      <c r="A2383" s="251"/>
      <c r="B2383" s="22"/>
      <c r="C2383" s="252"/>
      <c r="D2383" s="252"/>
      <c r="E2383" s="252"/>
      <c r="F2383" s="252"/>
      <c r="G2383" s="252"/>
      <c r="H2383" s="252"/>
      <c r="I2383" s="252"/>
      <c r="J2383" s="252"/>
      <c r="K2383" s="252"/>
      <c r="L2383"/>
      <c r="M2383"/>
    </row>
    <row r="2384" spans="1:13" s="79" customFormat="1" x14ac:dyDescent="0.35">
      <c r="A2384" s="251"/>
      <c r="B2384" s="22"/>
      <c r="C2384" s="252"/>
      <c r="D2384" s="252"/>
      <c r="E2384" s="252"/>
      <c r="F2384" s="252"/>
      <c r="G2384" s="252"/>
      <c r="H2384" s="252"/>
      <c r="I2384" s="252"/>
      <c r="J2384" s="252"/>
      <c r="K2384" s="252"/>
      <c r="L2384"/>
      <c r="M2384"/>
    </row>
    <row r="2385" spans="1:13" s="79" customFormat="1" x14ac:dyDescent="0.35">
      <c r="A2385" s="251"/>
      <c r="B2385" s="22"/>
      <c r="C2385" s="252"/>
      <c r="D2385" s="252"/>
      <c r="E2385" s="252"/>
      <c r="F2385" s="252"/>
      <c r="G2385" s="252"/>
      <c r="H2385" s="252"/>
      <c r="I2385" s="252"/>
      <c r="J2385" s="252"/>
      <c r="K2385" s="252"/>
      <c r="L2385"/>
      <c r="M2385"/>
    </row>
    <row r="2386" spans="1:13" s="79" customFormat="1" x14ac:dyDescent="0.35">
      <c r="A2386" s="251"/>
      <c r="B2386" s="22"/>
      <c r="C2386" s="252"/>
      <c r="D2386" s="252"/>
      <c r="E2386" s="252"/>
      <c r="F2386" s="252"/>
      <c r="G2386" s="252"/>
      <c r="H2386" s="252"/>
      <c r="I2386" s="252"/>
      <c r="J2386" s="252"/>
      <c r="K2386" s="252"/>
      <c r="L2386"/>
      <c r="M2386"/>
    </row>
    <row r="2387" spans="1:13" s="79" customFormat="1" x14ac:dyDescent="0.35">
      <c r="A2387" s="251"/>
      <c r="B2387" s="22"/>
      <c r="C2387" s="252"/>
      <c r="D2387" s="252"/>
      <c r="E2387" s="252"/>
      <c r="F2387" s="252"/>
      <c r="G2387" s="252"/>
      <c r="H2387" s="252"/>
      <c r="I2387" s="252"/>
      <c r="J2387" s="252"/>
      <c r="K2387" s="252"/>
      <c r="L2387"/>
      <c r="M2387"/>
    </row>
    <row r="2388" spans="1:13" s="79" customFormat="1" x14ac:dyDescent="0.35">
      <c r="A2388" s="251"/>
      <c r="B2388" s="22"/>
      <c r="C2388" s="252"/>
      <c r="D2388" s="252"/>
      <c r="E2388" s="252"/>
      <c r="F2388" s="252"/>
      <c r="G2388" s="252"/>
      <c r="H2388" s="252"/>
      <c r="I2388" s="252"/>
      <c r="J2388" s="252"/>
      <c r="K2388" s="252"/>
      <c r="L2388"/>
      <c r="M2388"/>
    </row>
    <row r="2389" spans="1:13" s="79" customFormat="1" x14ac:dyDescent="0.35">
      <c r="A2389" s="251"/>
      <c r="B2389" s="22"/>
      <c r="C2389" s="252"/>
      <c r="D2389" s="252"/>
      <c r="E2389" s="252"/>
      <c r="F2389" s="252"/>
      <c r="G2389" s="252"/>
      <c r="H2389" s="252"/>
      <c r="I2389" s="252"/>
      <c r="J2389" s="252"/>
      <c r="K2389" s="252"/>
      <c r="L2389"/>
      <c r="M2389"/>
    </row>
    <row r="2390" spans="1:13" s="79" customFormat="1" x14ac:dyDescent="0.35">
      <c r="A2390" s="251"/>
      <c r="B2390" s="22"/>
      <c r="C2390" s="252"/>
      <c r="D2390" s="252"/>
      <c r="E2390" s="252"/>
      <c r="F2390" s="252"/>
      <c r="G2390" s="252"/>
      <c r="H2390" s="252"/>
      <c r="I2390" s="252"/>
      <c r="J2390" s="252"/>
      <c r="K2390" s="252"/>
      <c r="L2390"/>
      <c r="M2390"/>
    </row>
    <row r="2391" spans="1:13" s="79" customFormat="1" x14ac:dyDescent="0.35">
      <c r="A2391" s="251"/>
      <c r="B2391" s="22"/>
      <c r="C2391" s="252"/>
      <c r="D2391" s="252"/>
      <c r="E2391" s="252"/>
      <c r="F2391" s="252"/>
      <c r="G2391" s="252"/>
      <c r="H2391" s="252"/>
      <c r="I2391" s="252"/>
      <c r="J2391" s="252"/>
      <c r="K2391" s="252"/>
      <c r="L2391"/>
      <c r="M2391"/>
    </row>
    <row r="2392" spans="1:13" s="79" customFormat="1" x14ac:dyDescent="0.35">
      <c r="A2392" s="251"/>
      <c r="B2392" s="22"/>
      <c r="C2392" s="252"/>
      <c r="D2392" s="252"/>
      <c r="E2392" s="252"/>
      <c r="F2392" s="252"/>
      <c r="G2392" s="252"/>
      <c r="H2392" s="252"/>
      <c r="I2392" s="252"/>
      <c r="J2392" s="252"/>
      <c r="K2392" s="252"/>
      <c r="L2392"/>
      <c r="M2392"/>
    </row>
    <row r="2393" spans="1:13" s="79" customFormat="1" x14ac:dyDescent="0.35">
      <c r="A2393" s="251"/>
      <c r="B2393" s="22"/>
      <c r="C2393" s="252"/>
      <c r="D2393" s="252"/>
      <c r="E2393" s="252"/>
      <c r="F2393" s="252"/>
      <c r="G2393" s="252"/>
      <c r="H2393" s="252"/>
      <c r="I2393" s="252"/>
      <c r="J2393" s="252"/>
      <c r="K2393" s="252"/>
      <c r="L2393"/>
      <c r="M2393"/>
    </row>
    <row r="2394" spans="1:13" s="79" customFormat="1" x14ac:dyDescent="0.35">
      <c r="A2394" s="251"/>
      <c r="B2394" s="22"/>
      <c r="C2394" s="252"/>
      <c r="D2394" s="252"/>
      <c r="E2394" s="252"/>
      <c r="F2394" s="252"/>
      <c r="G2394" s="252"/>
      <c r="H2394" s="252"/>
      <c r="I2394" s="252"/>
      <c r="J2394" s="252"/>
      <c r="K2394" s="252"/>
      <c r="L2394"/>
      <c r="M2394"/>
    </row>
    <row r="2395" spans="1:13" s="79" customFormat="1" x14ac:dyDescent="0.35">
      <c r="A2395" s="251"/>
      <c r="B2395" s="22"/>
      <c r="C2395" s="252"/>
      <c r="D2395" s="252"/>
      <c r="E2395" s="252"/>
      <c r="F2395" s="252"/>
      <c r="G2395" s="252"/>
      <c r="H2395" s="252"/>
      <c r="I2395" s="252"/>
      <c r="J2395" s="252"/>
      <c r="K2395" s="252"/>
      <c r="L2395"/>
      <c r="M2395"/>
    </row>
    <row r="2396" spans="1:13" s="79" customFormat="1" x14ac:dyDescent="0.35">
      <c r="A2396" s="251"/>
      <c r="B2396" s="22"/>
      <c r="C2396" s="252"/>
      <c r="D2396" s="252"/>
      <c r="E2396" s="252"/>
      <c r="F2396" s="252"/>
      <c r="G2396" s="252"/>
      <c r="H2396" s="252"/>
      <c r="I2396" s="252"/>
      <c r="J2396" s="252"/>
      <c r="K2396" s="252"/>
      <c r="L2396"/>
      <c r="M2396"/>
    </row>
    <row r="2397" spans="1:13" s="79" customFormat="1" x14ac:dyDescent="0.35">
      <c r="A2397" s="251"/>
      <c r="B2397" s="22"/>
      <c r="C2397" s="252"/>
      <c r="D2397" s="252"/>
      <c r="E2397" s="252"/>
      <c r="F2397" s="252"/>
      <c r="G2397" s="252"/>
      <c r="H2397" s="252"/>
      <c r="I2397" s="252"/>
      <c r="J2397" s="252"/>
      <c r="K2397" s="252"/>
      <c r="L2397"/>
      <c r="M2397"/>
    </row>
    <row r="2398" spans="1:13" s="79" customFormat="1" x14ac:dyDescent="0.35">
      <c r="A2398" s="251"/>
      <c r="B2398" s="22"/>
      <c r="C2398" s="252"/>
      <c r="D2398" s="252"/>
      <c r="E2398" s="252"/>
      <c r="F2398" s="252"/>
      <c r="G2398" s="252"/>
      <c r="H2398" s="252"/>
      <c r="I2398" s="252"/>
      <c r="J2398" s="252"/>
      <c r="K2398" s="252"/>
      <c r="L2398"/>
      <c r="M2398"/>
    </row>
    <row r="2399" spans="1:13" s="79" customFormat="1" x14ac:dyDescent="0.35">
      <c r="A2399" s="251"/>
      <c r="B2399" s="22"/>
      <c r="C2399" s="252"/>
      <c r="D2399" s="252"/>
      <c r="E2399" s="252"/>
      <c r="F2399" s="252"/>
      <c r="G2399" s="252"/>
      <c r="H2399" s="252"/>
      <c r="I2399" s="252"/>
      <c r="J2399" s="252"/>
      <c r="K2399" s="252"/>
      <c r="L2399"/>
      <c r="M2399"/>
    </row>
    <row r="2400" spans="1:13" s="79" customFormat="1" x14ac:dyDescent="0.35">
      <c r="A2400" s="251"/>
      <c r="B2400" s="22"/>
      <c r="C2400" s="252"/>
      <c r="D2400" s="252"/>
      <c r="E2400" s="252"/>
      <c r="F2400" s="252"/>
      <c r="G2400" s="252"/>
      <c r="H2400" s="252"/>
      <c r="I2400" s="252"/>
      <c r="J2400" s="252"/>
      <c r="K2400" s="252"/>
      <c r="L2400"/>
      <c r="M2400"/>
    </row>
    <row r="2401" spans="1:13" s="79" customFormat="1" x14ac:dyDescent="0.35">
      <c r="A2401" s="251"/>
      <c r="B2401" s="22"/>
      <c r="C2401" s="252"/>
      <c r="D2401" s="252"/>
      <c r="E2401" s="252"/>
      <c r="F2401" s="252"/>
      <c r="G2401" s="252"/>
      <c r="H2401" s="252"/>
      <c r="I2401" s="252"/>
      <c r="J2401" s="252"/>
      <c r="K2401" s="252"/>
      <c r="L2401"/>
      <c r="M2401"/>
    </row>
    <row r="2402" spans="1:13" s="79" customFormat="1" x14ac:dyDescent="0.35">
      <c r="A2402" s="251"/>
      <c r="B2402" s="22"/>
      <c r="C2402" s="252"/>
      <c r="D2402" s="252"/>
      <c r="E2402" s="252"/>
      <c r="F2402" s="252"/>
      <c r="G2402" s="252"/>
      <c r="H2402" s="252"/>
      <c r="I2402" s="252"/>
      <c r="J2402" s="252"/>
      <c r="K2402" s="252"/>
      <c r="L2402"/>
      <c r="M2402"/>
    </row>
    <row r="2403" spans="1:13" s="79" customFormat="1" x14ac:dyDescent="0.35">
      <c r="A2403" s="251"/>
      <c r="B2403" s="22"/>
      <c r="C2403" s="252"/>
      <c r="D2403" s="252"/>
      <c r="E2403" s="252"/>
      <c r="F2403" s="252"/>
      <c r="G2403" s="252"/>
      <c r="H2403" s="252"/>
      <c r="I2403" s="252"/>
      <c r="J2403" s="252"/>
      <c r="K2403" s="252"/>
      <c r="L2403"/>
      <c r="M2403"/>
    </row>
    <row r="2404" spans="1:13" s="79" customFormat="1" x14ac:dyDescent="0.35">
      <c r="A2404" s="251"/>
      <c r="B2404" s="22"/>
      <c r="C2404" s="252"/>
      <c r="D2404" s="252"/>
      <c r="E2404" s="252"/>
      <c r="F2404" s="252"/>
      <c r="G2404" s="252"/>
      <c r="H2404" s="252"/>
      <c r="I2404" s="252"/>
      <c r="J2404" s="252"/>
      <c r="K2404" s="252"/>
      <c r="L2404"/>
      <c r="M2404"/>
    </row>
    <row r="2405" spans="1:13" s="79" customFormat="1" x14ac:dyDescent="0.35">
      <c r="A2405" s="251"/>
      <c r="B2405" s="22"/>
      <c r="C2405" s="252"/>
      <c r="D2405" s="252"/>
      <c r="E2405" s="252"/>
      <c r="F2405" s="252"/>
      <c r="G2405" s="252"/>
      <c r="H2405" s="252"/>
      <c r="I2405" s="252"/>
      <c r="J2405" s="252"/>
      <c r="K2405" s="252"/>
      <c r="L2405"/>
      <c r="M2405"/>
    </row>
    <row r="2406" spans="1:13" s="79" customFormat="1" x14ac:dyDescent="0.35">
      <c r="A2406" s="251"/>
      <c r="B2406" s="22"/>
      <c r="C2406" s="252"/>
      <c r="D2406" s="252"/>
      <c r="E2406" s="252"/>
      <c r="F2406" s="252"/>
      <c r="G2406" s="252"/>
      <c r="H2406" s="252"/>
      <c r="I2406" s="252"/>
      <c r="J2406" s="252"/>
      <c r="K2406" s="252"/>
      <c r="L2406"/>
      <c r="M2406"/>
    </row>
    <row r="2407" spans="1:13" s="79" customFormat="1" x14ac:dyDescent="0.35">
      <c r="A2407" s="251"/>
      <c r="B2407" s="22"/>
      <c r="C2407" s="252"/>
      <c r="D2407" s="252"/>
      <c r="E2407" s="252"/>
      <c r="F2407" s="252"/>
      <c r="G2407" s="252"/>
      <c r="H2407" s="252"/>
      <c r="I2407" s="252"/>
      <c r="J2407" s="252"/>
      <c r="K2407" s="252"/>
      <c r="L2407"/>
      <c r="M2407"/>
    </row>
    <row r="2408" spans="1:13" s="79" customFormat="1" x14ac:dyDescent="0.35">
      <c r="A2408" s="251"/>
      <c r="B2408" s="22"/>
      <c r="C2408" s="252"/>
      <c r="D2408" s="252"/>
      <c r="E2408" s="252"/>
      <c r="F2408" s="252"/>
      <c r="G2408" s="252"/>
      <c r="H2408" s="252"/>
      <c r="I2408" s="252"/>
      <c r="J2408" s="252"/>
      <c r="K2408" s="252"/>
      <c r="L2408"/>
      <c r="M2408"/>
    </row>
    <row r="2409" spans="1:13" s="79" customFormat="1" x14ac:dyDescent="0.35">
      <c r="A2409" s="251"/>
      <c r="B2409" s="22"/>
      <c r="C2409" s="252"/>
      <c r="D2409" s="252"/>
      <c r="E2409" s="252"/>
      <c r="F2409" s="252"/>
      <c r="G2409" s="252"/>
      <c r="H2409" s="252"/>
      <c r="I2409" s="252"/>
      <c r="J2409" s="252"/>
      <c r="K2409" s="252"/>
      <c r="L2409"/>
      <c r="M2409"/>
    </row>
    <row r="2410" spans="1:13" s="79" customFormat="1" x14ac:dyDescent="0.35">
      <c r="A2410" s="251"/>
      <c r="B2410" s="22"/>
      <c r="C2410" s="252"/>
      <c r="D2410" s="252"/>
      <c r="E2410" s="252"/>
      <c r="F2410" s="252"/>
      <c r="G2410" s="252"/>
      <c r="H2410" s="252"/>
      <c r="I2410" s="252"/>
      <c r="J2410" s="252"/>
      <c r="K2410" s="252"/>
      <c r="L2410"/>
      <c r="M2410"/>
    </row>
    <row r="2411" spans="1:13" s="79" customFormat="1" x14ac:dyDescent="0.35">
      <c r="A2411" s="251"/>
      <c r="B2411" s="22"/>
      <c r="C2411" s="252"/>
      <c r="D2411" s="252"/>
      <c r="E2411" s="252"/>
      <c r="F2411" s="252"/>
      <c r="G2411" s="252"/>
      <c r="H2411" s="252"/>
      <c r="I2411" s="252"/>
      <c r="J2411" s="252"/>
      <c r="K2411" s="252"/>
      <c r="L2411"/>
      <c r="M2411"/>
    </row>
    <row r="2412" spans="1:13" s="79" customFormat="1" x14ac:dyDescent="0.35">
      <c r="A2412" s="251"/>
      <c r="B2412" s="22"/>
      <c r="C2412" s="252"/>
      <c r="D2412" s="252"/>
      <c r="E2412" s="252"/>
      <c r="F2412" s="252"/>
      <c r="G2412" s="252"/>
      <c r="H2412" s="252"/>
      <c r="I2412" s="252"/>
      <c r="J2412" s="252"/>
      <c r="K2412" s="252"/>
      <c r="L2412"/>
      <c r="M2412"/>
    </row>
    <row r="2413" spans="1:13" s="79" customFormat="1" x14ac:dyDescent="0.35">
      <c r="A2413" s="251"/>
      <c r="B2413" s="22"/>
      <c r="C2413" s="252"/>
      <c r="D2413" s="252"/>
      <c r="E2413" s="252"/>
      <c r="F2413" s="252"/>
      <c r="G2413" s="252"/>
      <c r="H2413" s="252"/>
      <c r="I2413" s="252"/>
      <c r="J2413" s="252"/>
      <c r="K2413" s="252"/>
      <c r="L2413"/>
      <c r="M2413"/>
    </row>
    <row r="2414" spans="1:13" s="79" customFormat="1" x14ac:dyDescent="0.35">
      <c r="A2414" s="251"/>
      <c r="B2414" s="22"/>
      <c r="C2414" s="252"/>
      <c r="D2414" s="252"/>
      <c r="E2414" s="252"/>
      <c r="F2414" s="252"/>
      <c r="G2414" s="252"/>
      <c r="H2414" s="252"/>
      <c r="I2414" s="252"/>
      <c r="J2414" s="252"/>
      <c r="K2414" s="252"/>
      <c r="L2414"/>
      <c r="M2414"/>
    </row>
    <row r="2415" spans="1:13" s="79" customFormat="1" x14ac:dyDescent="0.35">
      <c r="A2415" s="251"/>
      <c r="B2415" s="22"/>
      <c r="C2415" s="252"/>
      <c r="D2415" s="252"/>
      <c r="E2415" s="252"/>
      <c r="F2415" s="252"/>
      <c r="G2415" s="252"/>
      <c r="H2415" s="252"/>
      <c r="I2415" s="252"/>
      <c r="J2415" s="252"/>
      <c r="K2415" s="252"/>
      <c r="L2415"/>
      <c r="M2415"/>
    </row>
    <row r="2416" spans="1:13" s="79" customFormat="1" x14ac:dyDescent="0.35">
      <c r="A2416" s="251"/>
      <c r="B2416" s="22"/>
      <c r="C2416" s="252"/>
      <c r="D2416" s="252"/>
      <c r="E2416" s="252"/>
      <c r="F2416" s="252"/>
      <c r="G2416" s="252"/>
      <c r="H2416" s="252"/>
      <c r="I2416" s="252"/>
      <c r="J2416" s="252"/>
      <c r="K2416" s="252"/>
      <c r="L2416"/>
      <c r="M2416"/>
    </row>
    <row r="2417" spans="1:13" s="79" customFormat="1" x14ac:dyDescent="0.35">
      <c r="A2417" s="251"/>
      <c r="B2417" s="22"/>
      <c r="C2417" s="252"/>
      <c r="D2417" s="252"/>
      <c r="E2417" s="252"/>
      <c r="F2417" s="252"/>
      <c r="G2417" s="252"/>
      <c r="H2417" s="252"/>
      <c r="I2417" s="252"/>
      <c r="J2417" s="252"/>
      <c r="K2417" s="252"/>
      <c r="L2417"/>
      <c r="M2417"/>
    </row>
    <row r="2418" spans="1:13" s="79" customFormat="1" x14ac:dyDescent="0.35">
      <c r="A2418" s="251"/>
      <c r="B2418" s="22"/>
      <c r="C2418" s="252"/>
      <c r="D2418" s="252"/>
      <c r="E2418" s="252"/>
      <c r="F2418" s="252"/>
      <c r="G2418" s="252"/>
      <c r="H2418" s="252"/>
      <c r="I2418" s="252"/>
      <c r="J2418" s="252"/>
      <c r="K2418" s="252"/>
      <c r="L2418"/>
      <c r="M2418"/>
    </row>
    <row r="2419" spans="1:13" s="79" customFormat="1" x14ac:dyDescent="0.35">
      <c r="A2419" s="251"/>
      <c r="B2419" s="22"/>
      <c r="C2419" s="252"/>
      <c r="D2419" s="252"/>
      <c r="E2419" s="252"/>
      <c r="F2419" s="252"/>
      <c r="G2419" s="252"/>
      <c r="H2419" s="252"/>
      <c r="I2419" s="252"/>
      <c r="J2419" s="252"/>
      <c r="K2419" s="252"/>
      <c r="L2419"/>
      <c r="M2419"/>
    </row>
    <row r="2420" spans="1:13" s="79" customFormat="1" x14ac:dyDescent="0.35">
      <c r="A2420" s="251"/>
      <c r="B2420" s="22"/>
      <c r="C2420" s="252"/>
      <c r="D2420" s="252"/>
      <c r="E2420" s="252"/>
      <c r="F2420" s="252"/>
      <c r="G2420" s="252"/>
      <c r="H2420" s="252"/>
      <c r="I2420" s="252"/>
      <c r="J2420" s="252"/>
      <c r="K2420" s="252"/>
      <c r="L2420"/>
      <c r="M2420"/>
    </row>
    <row r="2421" spans="1:13" s="79" customFormat="1" x14ac:dyDescent="0.35">
      <c r="A2421" s="251"/>
      <c r="B2421" s="22"/>
      <c r="C2421" s="252"/>
      <c r="D2421" s="252"/>
      <c r="E2421" s="252"/>
      <c r="F2421" s="252"/>
      <c r="G2421" s="252"/>
      <c r="H2421" s="252"/>
      <c r="I2421" s="252"/>
      <c r="J2421" s="252"/>
      <c r="K2421" s="252"/>
      <c r="L2421"/>
      <c r="M2421"/>
    </row>
    <row r="2422" spans="1:13" s="79" customFormat="1" x14ac:dyDescent="0.35">
      <c r="A2422" s="251"/>
      <c r="B2422" s="22"/>
      <c r="C2422" s="252"/>
      <c r="D2422" s="252"/>
      <c r="E2422" s="252"/>
      <c r="F2422" s="252"/>
      <c r="G2422" s="252"/>
      <c r="H2422" s="252"/>
      <c r="I2422" s="252"/>
      <c r="J2422" s="252"/>
      <c r="K2422" s="252"/>
      <c r="L2422"/>
      <c r="M2422"/>
    </row>
    <row r="2423" spans="1:13" s="79" customFormat="1" x14ac:dyDescent="0.35">
      <c r="A2423" s="251"/>
      <c r="B2423" s="22"/>
      <c r="C2423" s="252"/>
      <c r="D2423" s="252"/>
      <c r="E2423" s="252"/>
      <c r="F2423" s="252"/>
      <c r="G2423" s="252"/>
      <c r="H2423" s="252"/>
      <c r="I2423" s="252"/>
      <c r="J2423" s="252"/>
      <c r="K2423" s="252"/>
      <c r="L2423"/>
      <c r="M2423"/>
    </row>
    <row r="2424" spans="1:13" s="79" customFormat="1" x14ac:dyDescent="0.35">
      <c r="A2424" s="251"/>
      <c r="B2424" s="22"/>
      <c r="C2424" s="252"/>
      <c r="D2424" s="252"/>
      <c r="E2424" s="252"/>
      <c r="F2424" s="252"/>
      <c r="G2424" s="252"/>
      <c r="H2424" s="252"/>
      <c r="I2424" s="252"/>
      <c r="J2424" s="252"/>
      <c r="K2424" s="252"/>
      <c r="L2424"/>
      <c r="M2424"/>
    </row>
    <row r="2425" spans="1:13" s="79" customFormat="1" x14ac:dyDescent="0.35">
      <c r="A2425" s="251"/>
      <c r="B2425" s="22"/>
      <c r="C2425" s="252"/>
      <c r="D2425" s="252"/>
      <c r="E2425" s="252"/>
      <c r="F2425" s="252"/>
      <c r="G2425" s="252"/>
      <c r="H2425" s="252"/>
      <c r="I2425" s="252"/>
      <c r="J2425" s="252"/>
      <c r="K2425" s="252"/>
      <c r="L2425"/>
      <c r="M2425"/>
    </row>
    <row r="2426" spans="1:13" s="79" customFormat="1" x14ac:dyDescent="0.35">
      <c r="A2426" s="251"/>
      <c r="B2426" s="22"/>
      <c r="C2426" s="252"/>
      <c r="D2426" s="252"/>
      <c r="E2426" s="252"/>
      <c r="F2426" s="252"/>
      <c r="G2426" s="252"/>
      <c r="H2426" s="252"/>
      <c r="I2426" s="252"/>
      <c r="J2426" s="252"/>
      <c r="K2426" s="252"/>
      <c r="L2426"/>
      <c r="M2426"/>
    </row>
    <row r="2427" spans="1:13" s="79" customFormat="1" x14ac:dyDescent="0.35">
      <c r="A2427" s="251"/>
      <c r="B2427" s="22"/>
      <c r="C2427" s="252"/>
      <c r="D2427" s="252"/>
      <c r="E2427" s="252"/>
      <c r="F2427" s="252"/>
      <c r="G2427" s="252"/>
      <c r="H2427" s="252"/>
      <c r="I2427" s="252"/>
      <c r="J2427" s="252"/>
      <c r="K2427" s="252"/>
      <c r="L2427"/>
      <c r="M2427"/>
    </row>
    <row r="2428" spans="1:13" s="79" customFormat="1" x14ac:dyDescent="0.35">
      <c r="A2428" s="251"/>
      <c r="B2428" s="22"/>
      <c r="C2428" s="252"/>
      <c r="D2428" s="252"/>
      <c r="E2428" s="252"/>
      <c r="F2428" s="252"/>
      <c r="G2428" s="252"/>
      <c r="H2428" s="252"/>
      <c r="I2428" s="252"/>
      <c r="J2428" s="252"/>
      <c r="K2428" s="252"/>
      <c r="L2428"/>
      <c r="M2428"/>
    </row>
    <row r="2429" spans="1:13" s="79" customFormat="1" x14ac:dyDescent="0.35">
      <c r="A2429" s="251"/>
      <c r="B2429" s="22"/>
      <c r="C2429" s="252"/>
      <c r="D2429" s="252"/>
      <c r="E2429" s="252"/>
      <c r="F2429" s="252"/>
      <c r="G2429" s="252"/>
      <c r="H2429" s="252"/>
      <c r="I2429" s="252"/>
      <c r="J2429" s="252"/>
      <c r="K2429" s="252"/>
      <c r="L2429"/>
      <c r="M2429"/>
    </row>
    <row r="2430" spans="1:13" s="79" customFormat="1" x14ac:dyDescent="0.35">
      <c r="A2430" s="251"/>
      <c r="B2430" s="22"/>
      <c r="C2430" s="252"/>
      <c r="D2430" s="252"/>
      <c r="E2430" s="252"/>
      <c r="F2430" s="252"/>
      <c r="G2430" s="252"/>
      <c r="H2430" s="252"/>
      <c r="I2430" s="252"/>
      <c r="J2430" s="252"/>
      <c r="K2430" s="252"/>
      <c r="L2430"/>
      <c r="M2430"/>
    </row>
    <row r="2431" spans="1:13" s="79" customFormat="1" x14ac:dyDescent="0.35">
      <c r="A2431" s="251"/>
      <c r="B2431" s="22"/>
      <c r="C2431" s="252"/>
      <c r="D2431" s="252"/>
      <c r="E2431" s="252"/>
      <c r="F2431" s="252"/>
      <c r="G2431" s="252"/>
      <c r="H2431" s="252"/>
      <c r="I2431" s="252"/>
      <c r="J2431" s="252"/>
      <c r="K2431" s="252"/>
      <c r="L2431"/>
      <c r="M2431"/>
    </row>
    <row r="2432" spans="1:13" s="79" customFormat="1" x14ac:dyDescent="0.35">
      <c r="A2432" s="251"/>
      <c r="B2432" s="22"/>
      <c r="C2432" s="252"/>
      <c r="D2432" s="252"/>
      <c r="E2432" s="252"/>
      <c r="F2432" s="252"/>
      <c r="G2432" s="252"/>
      <c r="H2432" s="252"/>
      <c r="I2432" s="252"/>
      <c r="J2432" s="252"/>
      <c r="K2432" s="252"/>
      <c r="L2432"/>
      <c r="M2432"/>
    </row>
    <row r="2433" spans="1:13" s="79" customFormat="1" x14ac:dyDescent="0.35">
      <c r="A2433" s="251"/>
      <c r="B2433" s="22"/>
      <c r="C2433" s="252"/>
      <c r="D2433" s="252"/>
      <c r="E2433" s="252"/>
      <c r="F2433" s="252"/>
      <c r="G2433" s="252"/>
      <c r="H2433" s="252"/>
      <c r="I2433" s="252"/>
      <c r="J2433" s="252"/>
      <c r="K2433" s="252"/>
      <c r="L2433"/>
      <c r="M2433"/>
    </row>
    <row r="2434" spans="1:13" s="79" customFormat="1" x14ac:dyDescent="0.35">
      <c r="A2434" s="251"/>
      <c r="B2434" s="22"/>
      <c r="C2434" s="252"/>
      <c r="D2434" s="252"/>
      <c r="E2434" s="252"/>
      <c r="F2434" s="252"/>
      <c r="G2434" s="252"/>
      <c r="H2434" s="252"/>
      <c r="I2434" s="252"/>
      <c r="J2434" s="252"/>
      <c r="K2434" s="252"/>
      <c r="L2434"/>
      <c r="M2434"/>
    </row>
    <row r="2435" spans="1:13" s="79" customFormat="1" x14ac:dyDescent="0.35">
      <c r="A2435" s="251"/>
      <c r="B2435" s="22"/>
      <c r="C2435" s="252"/>
      <c r="D2435" s="252"/>
      <c r="E2435" s="252"/>
      <c r="F2435" s="252"/>
      <c r="G2435" s="252"/>
      <c r="H2435" s="252"/>
      <c r="I2435" s="252"/>
      <c r="J2435" s="252"/>
      <c r="K2435" s="252"/>
      <c r="L2435"/>
      <c r="M2435"/>
    </row>
    <row r="2436" spans="1:13" s="79" customFormat="1" x14ac:dyDescent="0.35">
      <c r="A2436" s="251"/>
      <c r="B2436" s="22"/>
      <c r="C2436" s="252"/>
      <c r="D2436" s="252"/>
      <c r="E2436" s="252"/>
      <c r="F2436" s="252"/>
      <c r="G2436" s="252"/>
      <c r="H2436" s="252"/>
      <c r="I2436" s="252"/>
      <c r="J2436" s="252"/>
      <c r="K2436" s="252"/>
      <c r="L2436"/>
      <c r="M2436"/>
    </row>
    <row r="2437" spans="1:13" s="79" customFormat="1" x14ac:dyDescent="0.35">
      <c r="A2437" s="251"/>
      <c r="B2437" s="22"/>
      <c r="C2437" s="252"/>
      <c r="D2437" s="252"/>
      <c r="E2437" s="252"/>
      <c r="F2437" s="252"/>
      <c r="G2437" s="252"/>
      <c r="H2437" s="252"/>
      <c r="I2437" s="252"/>
      <c r="J2437" s="252"/>
      <c r="K2437" s="252"/>
      <c r="L2437"/>
      <c r="M2437"/>
    </row>
    <row r="2438" spans="1:13" s="79" customFormat="1" x14ac:dyDescent="0.35">
      <c r="A2438" s="251"/>
      <c r="B2438" s="22"/>
      <c r="C2438" s="252"/>
      <c r="D2438" s="252"/>
      <c r="E2438" s="252"/>
      <c r="F2438" s="252"/>
      <c r="G2438" s="252"/>
      <c r="H2438" s="252"/>
      <c r="I2438" s="252"/>
      <c r="J2438" s="252"/>
      <c r="K2438" s="252"/>
      <c r="L2438"/>
      <c r="M2438"/>
    </row>
    <row r="2439" spans="1:13" s="79" customFormat="1" x14ac:dyDescent="0.35">
      <c r="A2439" s="251"/>
      <c r="B2439" s="22"/>
      <c r="C2439" s="252"/>
      <c r="D2439" s="252"/>
      <c r="E2439" s="252"/>
      <c r="F2439" s="252"/>
      <c r="G2439" s="252"/>
      <c r="H2439" s="252"/>
      <c r="I2439" s="252"/>
      <c r="J2439" s="252"/>
      <c r="K2439" s="252"/>
      <c r="L2439"/>
      <c r="M2439"/>
    </row>
    <row r="2440" spans="1:13" s="79" customFormat="1" x14ac:dyDescent="0.35">
      <c r="A2440" s="251"/>
      <c r="B2440" s="22"/>
      <c r="C2440" s="252"/>
      <c r="D2440" s="252"/>
      <c r="E2440" s="252"/>
      <c r="F2440" s="252"/>
      <c r="G2440" s="252"/>
      <c r="H2440" s="252"/>
      <c r="I2440" s="252"/>
      <c r="J2440" s="252"/>
      <c r="K2440" s="252"/>
      <c r="L2440"/>
      <c r="M2440"/>
    </row>
    <row r="2441" spans="1:13" s="79" customFormat="1" x14ac:dyDescent="0.35">
      <c r="A2441" s="251"/>
      <c r="B2441" s="22"/>
      <c r="C2441" s="252"/>
      <c r="D2441" s="252"/>
      <c r="E2441" s="252"/>
      <c r="F2441" s="252"/>
      <c r="G2441" s="252"/>
      <c r="H2441" s="252"/>
      <c r="I2441" s="252"/>
      <c r="J2441" s="252"/>
      <c r="K2441" s="252"/>
      <c r="L2441"/>
      <c r="M2441"/>
    </row>
    <row r="2442" spans="1:13" s="79" customFormat="1" x14ac:dyDescent="0.35">
      <c r="A2442" s="251"/>
      <c r="B2442" s="22"/>
      <c r="C2442" s="252"/>
      <c r="D2442" s="252"/>
      <c r="E2442" s="252"/>
      <c r="F2442" s="252"/>
      <c r="G2442" s="252"/>
      <c r="H2442" s="252"/>
      <c r="I2442" s="252"/>
      <c r="J2442" s="252"/>
      <c r="K2442" s="252"/>
      <c r="L2442"/>
      <c r="M2442"/>
    </row>
    <row r="2443" spans="1:13" s="79" customFormat="1" x14ac:dyDescent="0.35">
      <c r="A2443" s="251"/>
      <c r="B2443" s="22"/>
      <c r="C2443" s="252"/>
      <c r="D2443" s="252"/>
      <c r="E2443" s="252"/>
      <c r="F2443" s="252"/>
      <c r="G2443" s="252"/>
      <c r="H2443" s="252"/>
      <c r="I2443" s="252"/>
      <c r="J2443" s="252"/>
      <c r="K2443" s="252"/>
      <c r="L2443"/>
      <c r="M2443"/>
    </row>
    <row r="2444" spans="1:13" s="79" customFormat="1" x14ac:dyDescent="0.35">
      <c r="A2444" s="251"/>
      <c r="B2444" s="22"/>
      <c r="C2444" s="252"/>
      <c r="D2444" s="252"/>
      <c r="E2444" s="252"/>
      <c r="F2444" s="252"/>
      <c r="G2444" s="252"/>
      <c r="H2444" s="252"/>
      <c r="I2444" s="252"/>
      <c r="J2444" s="252"/>
      <c r="K2444" s="252"/>
      <c r="L2444"/>
      <c r="M2444"/>
    </row>
    <row r="2445" spans="1:13" s="79" customFormat="1" x14ac:dyDescent="0.35">
      <c r="A2445" s="251"/>
      <c r="B2445" s="22"/>
      <c r="C2445" s="252"/>
      <c r="D2445" s="252"/>
      <c r="E2445" s="252"/>
      <c r="F2445" s="252"/>
      <c r="G2445" s="252"/>
      <c r="H2445" s="252"/>
      <c r="I2445" s="252"/>
      <c r="J2445" s="252"/>
      <c r="K2445" s="252"/>
      <c r="L2445"/>
      <c r="M2445"/>
    </row>
    <row r="2446" spans="1:13" s="79" customFormat="1" x14ac:dyDescent="0.35">
      <c r="A2446" s="251"/>
      <c r="B2446" s="22"/>
      <c r="C2446" s="252"/>
      <c r="D2446" s="252"/>
      <c r="E2446" s="252"/>
      <c r="F2446" s="252"/>
      <c r="G2446" s="252"/>
      <c r="H2446" s="252"/>
      <c r="I2446" s="252"/>
      <c r="J2446" s="252"/>
      <c r="K2446" s="252"/>
      <c r="L2446"/>
      <c r="M2446"/>
    </row>
    <row r="2447" spans="1:13" s="79" customFormat="1" x14ac:dyDescent="0.35">
      <c r="A2447" s="251"/>
      <c r="B2447" s="22"/>
      <c r="C2447" s="252"/>
      <c r="D2447" s="252"/>
      <c r="E2447" s="252"/>
      <c r="F2447" s="252"/>
      <c r="G2447" s="252"/>
      <c r="H2447" s="252"/>
      <c r="I2447" s="252"/>
      <c r="J2447" s="252"/>
      <c r="K2447" s="252"/>
      <c r="L2447"/>
      <c r="M2447"/>
    </row>
    <row r="2448" spans="1:13" s="79" customFormat="1" x14ac:dyDescent="0.35">
      <c r="A2448" s="251"/>
      <c r="B2448" s="22"/>
      <c r="C2448" s="252"/>
      <c r="D2448" s="252"/>
      <c r="E2448" s="252"/>
      <c r="F2448" s="252"/>
      <c r="G2448" s="252"/>
      <c r="H2448" s="252"/>
      <c r="I2448" s="252"/>
      <c r="J2448" s="252"/>
      <c r="K2448" s="252"/>
      <c r="L2448"/>
      <c r="M2448"/>
    </row>
    <row r="2449" spans="1:13" s="79" customFormat="1" x14ac:dyDescent="0.35">
      <c r="A2449" s="251"/>
      <c r="B2449" s="22"/>
      <c r="C2449" s="252"/>
      <c r="D2449" s="252"/>
      <c r="E2449" s="252"/>
      <c r="F2449" s="252"/>
      <c r="G2449" s="252"/>
      <c r="H2449" s="252"/>
      <c r="I2449" s="252"/>
      <c r="J2449" s="252"/>
      <c r="K2449" s="252"/>
      <c r="L2449"/>
      <c r="M2449"/>
    </row>
    <row r="2450" spans="1:13" s="79" customFormat="1" x14ac:dyDescent="0.35">
      <c r="A2450" s="251"/>
      <c r="B2450" s="22"/>
      <c r="C2450" s="252"/>
      <c r="D2450" s="252"/>
      <c r="E2450" s="252"/>
      <c r="F2450" s="252"/>
      <c r="G2450" s="252"/>
      <c r="H2450" s="252"/>
      <c r="I2450" s="252"/>
      <c r="J2450" s="252"/>
      <c r="K2450" s="252"/>
      <c r="L2450"/>
      <c r="M2450"/>
    </row>
    <row r="2451" spans="1:13" s="79" customFormat="1" x14ac:dyDescent="0.35">
      <c r="A2451" s="251"/>
      <c r="B2451" s="22"/>
      <c r="C2451" s="252"/>
      <c r="D2451" s="252"/>
      <c r="E2451" s="252"/>
      <c r="F2451" s="252"/>
      <c r="G2451" s="252"/>
      <c r="H2451" s="252"/>
      <c r="I2451" s="252"/>
      <c r="J2451" s="252"/>
      <c r="K2451" s="252"/>
      <c r="L2451"/>
      <c r="M2451"/>
    </row>
    <row r="2452" spans="1:13" s="79" customFormat="1" x14ac:dyDescent="0.35">
      <c r="A2452" s="251"/>
      <c r="B2452" s="22"/>
      <c r="C2452" s="252"/>
      <c r="D2452" s="252"/>
      <c r="E2452" s="252"/>
      <c r="F2452" s="252"/>
      <c r="G2452" s="252"/>
      <c r="H2452" s="252"/>
      <c r="I2452" s="252"/>
      <c r="J2452" s="252"/>
      <c r="K2452" s="252"/>
      <c r="L2452"/>
      <c r="M2452"/>
    </row>
    <row r="2453" spans="1:13" s="79" customFormat="1" x14ac:dyDescent="0.35">
      <c r="A2453" s="251"/>
      <c r="B2453" s="22"/>
      <c r="C2453" s="252"/>
      <c r="D2453" s="252"/>
      <c r="E2453" s="252"/>
      <c r="F2453" s="252"/>
      <c r="G2453" s="252"/>
      <c r="H2453" s="252"/>
      <c r="I2453" s="252"/>
      <c r="J2453" s="252"/>
      <c r="K2453" s="252"/>
      <c r="L2453"/>
      <c r="M2453"/>
    </row>
    <row r="2454" spans="1:13" s="79" customFormat="1" x14ac:dyDescent="0.35">
      <c r="A2454" s="251"/>
      <c r="B2454" s="22"/>
      <c r="C2454" s="252"/>
      <c r="D2454" s="252"/>
      <c r="E2454" s="252"/>
      <c r="F2454" s="252"/>
      <c r="G2454" s="252"/>
      <c r="H2454" s="252"/>
      <c r="I2454" s="252"/>
      <c r="J2454" s="252"/>
      <c r="K2454" s="252"/>
      <c r="L2454"/>
      <c r="M2454"/>
    </row>
    <row r="2455" spans="1:13" s="79" customFormat="1" x14ac:dyDescent="0.35">
      <c r="A2455" s="251"/>
      <c r="B2455" s="22"/>
      <c r="C2455" s="252"/>
      <c r="D2455" s="252"/>
      <c r="E2455" s="252"/>
      <c r="F2455" s="252"/>
      <c r="G2455" s="252"/>
      <c r="H2455" s="252"/>
      <c r="I2455" s="252"/>
      <c r="J2455" s="252"/>
      <c r="K2455" s="252"/>
      <c r="L2455"/>
      <c r="M2455"/>
    </row>
    <row r="2456" spans="1:13" s="79" customFormat="1" x14ac:dyDescent="0.35">
      <c r="A2456" s="251"/>
      <c r="B2456" s="22"/>
      <c r="C2456" s="252"/>
      <c r="D2456" s="252"/>
      <c r="E2456" s="252"/>
      <c r="F2456" s="252"/>
      <c r="G2456" s="252"/>
      <c r="H2456" s="252"/>
      <c r="I2456" s="252"/>
      <c r="J2456" s="252"/>
      <c r="K2456" s="252"/>
      <c r="L2456"/>
      <c r="M2456"/>
    </row>
    <row r="2457" spans="1:13" s="79" customFormat="1" x14ac:dyDescent="0.35">
      <c r="A2457" s="251"/>
      <c r="B2457" s="22"/>
      <c r="C2457" s="252"/>
      <c r="D2457" s="252"/>
      <c r="E2457" s="252"/>
      <c r="F2457" s="252"/>
      <c r="G2457" s="252"/>
      <c r="H2457" s="252"/>
      <c r="I2457" s="252"/>
      <c r="J2457" s="252"/>
      <c r="K2457" s="252"/>
      <c r="L2457"/>
      <c r="M2457"/>
    </row>
    <row r="2458" spans="1:13" s="79" customFormat="1" x14ac:dyDescent="0.35">
      <c r="A2458" s="251"/>
      <c r="B2458" s="22"/>
      <c r="C2458" s="252"/>
      <c r="D2458" s="252"/>
      <c r="E2458" s="252"/>
      <c r="F2458" s="252"/>
      <c r="G2458" s="252"/>
      <c r="H2458" s="252"/>
      <c r="I2458" s="252"/>
      <c r="J2458" s="252"/>
      <c r="K2458" s="252"/>
      <c r="L2458"/>
      <c r="M2458"/>
    </row>
    <row r="2459" spans="1:13" s="79" customFormat="1" x14ac:dyDescent="0.35">
      <c r="A2459" s="251"/>
      <c r="B2459" s="22"/>
      <c r="C2459" s="252"/>
      <c r="D2459" s="252"/>
      <c r="E2459" s="252"/>
      <c r="F2459" s="252"/>
      <c r="G2459" s="252"/>
      <c r="H2459" s="252"/>
      <c r="I2459" s="252"/>
      <c r="J2459" s="252"/>
      <c r="K2459" s="252"/>
      <c r="L2459"/>
      <c r="M2459"/>
    </row>
    <row r="2460" spans="1:13" s="79" customFormat="1" x14ac:dyDescent="0.35">
      <c r="A2460" s="251"/>
      <c r="B2460" s="22"/>
      <c r="C2460" s="252"/>
      <c r="D2460" s="252"/>
      <c r="E2460" s="252"/>
      <c r="F2460" s="252"/>
      <c r="G2460" s="252"/>
      <c r="H2460" s="252"/>
      <c r="I2460" s="252"/>
      <c r="J2460" s="252"/>
      <c r="K2460" s="252"/>
      <c r="L2460"/>
      <c r="M2460"/>
    </row>
    <row r="2461" spans="1:13" s="79" customFormat="1" x14ac:dyDescent="0.35">
      <c r="A2461" s="251"/>
      <c r="B2461" s="22"/>
      <c r="C2461" s="252"/>
      <c r="D2461" s="252"/>
      <c r="E2461" s="252"/>
      <c r="F2461" s="252"/>
      <c r="G2461" s="252"/>
      <c r="H2461" s="252"/>
      <c r="I2461" s="252"/>
      <c r="J2461" s="252"/>
      <c r="K2461" s="252"/>
      <c r="L2461"/>
      <c r="M2461"/>
    </row>
    <row r="2462" spans="1:13" s="79" customFormat="1" x14ac:dyDescent="0.35">
      <c r="A2462" s="251"/>
      <c r="B2462" s="22"/>
      <c r="C2462" s="252"/>
      <c r="D2462" s="252"/>
      <c r="E2462" s="252"/>
      <c r="F2462" s="252"/>
      <c r="G2462" s="252"/>
      <c r="H2462" s="252"/>
      <c r="I2462" s="252"/>
      <c r="J2462" s="252"/>
      <c r="K2462" s="252"/>
      <c r="L2462"/>
      <c r="M2462"/>
    </row>
    <row r="2463" spans="1:13" s="79" customFormat="1" x14ac:dyDescent="0.35">
      <c r="A2463" s="251"/>
      <c r="B2463" s="22"/>
      <c r="C2463" s="252"/>
      <c r="D2463" s="252"/>
      <c r="E2463" s="252"/>
      <c r="F2463" s="252"/>
      <c r="G2463" s="252"/>
      <c r="H2463" s="252"/>
      <c r="I2463" s="252"/>
      <c r="J2463" s="252"/>
      <c r="K2463" s="252"/>
      <c r="L2463"/>
      <c r="M2463"/>
    </row>
    <row r="2464" spans="1:13" s="79" customFormat="1" x14ac:dyDescent="0.35">
      <c r="A2464" s="251"/>
      <c r="B2464" s="22"/>
      <c r="C2464" s="252"/>
      <c r="D2464" s="252"/>
      <c r="E2464" s="252"/>
      <c r="F2464" s="252"/>
      <c r="G2464" s="252"/>
      <c r="H2464" s="252"/>
      <c r="I2464" s="252"/>
      <c r="J2464" s="252"/>
      <c r="K2464" s="252"/>
      <c r="L2464"/>
      <c r="M2464"/>
    </row>
    <row r="2465" spans="1:13" s="79" customFormat="1" x14ac:dyDescent="0.35">
      <c r="A2465" s="251"/>
      <c r="B2465" s="22"/>
      <c r="C2465" s="252"/>
      <c r="D2465" s="252"/>
      <c r="E2465" s="252"/>
      <c r="F2465" s="252"/>
      <c r="G2465" s="252"/>
      <c r="H2465" s="252"/>
      <c r="I2465" s="252"/>
      <c r="J2465" s="252"/>
      <c r="K2465" s="252"/>
      <c r="L2465"/>
      <c r="M2465"/>
    </row>
    <row r="2466" spans="1:13" s="79" customFormat="1" x14ac:dyDescent="0.35">
      <c r="A2466" s="251"/>
      <c r="B2466" s="22"/>
      <c r="C2466" s="252"/>
      <c r="D2466" s="252"/>
      <c r="E2466" s="252"/>
      <c r="F2466" s="252"/>
      <c r="G2466" s="252"/>
      <c r="H2466" s="252"/>
      <c r="I2466" s="252"/>
      <c r="J2466" s="252"/>
      <c r="K2466" s="252"/>
      <c r="L2466"/>
      <c r="M2466"/>
    </row>
    <row r="2467" spans="1:13" s="79" customFormat="1" x14ac:dyDescent="0.35">
      <c r="A2467" s="251"/>
      <c r="B2467" s="22"/>
      <c r="C2467" s="252"/>
      <c r="D2467" s="252"/>
      <c r="E2467" s="252"/>
      <c r="F2467" s="252"/>
      <c r="G2467" s="252"/>
      <c r="H2467" s="252"/>
      <c r="I2467" s="252"/>
      <c r="J2467" s="252"/>
      <c r="K2467" s="252"/>
      <c r="L2467"/>
      <c r="M2467"/>
    </row>
    <row r="2468" spans="1:13" s="79" customFormat="1" x14ac:dyDescent="0.35">
      <c r="A2468" s="251"/>
      <c r="B2468" s="22"/>
      <c r="C2468" s="252"/>
      <c r="D2468" s="252"/>
      <c r="E2468" s="252"/>
      <c r="F2468" s="252"/>
      <c r="G2468" s="252"/>
      <c r="H2468" s="252"/>
      <c r="I2468" s="252"/>
      <c r="J2468" s="252"/>
      <c r="K2468" s="252"/>
      <c r="L2468"/>
      <c r="M2468"/>
    </row>
    <row r="2469" spans="1:13" s="79" customFormat="1" x14ac:dyDescent="0.35">
      <c r="A2469" s="251"/>
      <c r="B2469" s="22"/>
      <c r="C2469" s="252"/>
      <c r="D2469" s="252"/>
      <c r="E2469" s="252"/>
      <c r="F2469" s="252"/>
      <c r="G2469" s="252"/>
      <c r="H2469" s="252"/>
      <c r="I2469" s="252"/>
      <c r="J2469" s="252"/>
      <c r="K2469" s="252"/>
      <c r="L2469"/>
      <c r="M2469"/>
    </row>
    <row r="2470" spans="1:13" s="79" customFormat="1" x14ac:dyDescent="0.35">
      <c r="A2470" s="251"/>
      <c r="B2470" s="22"/>
      <c r="C2470" s="252"/>
      <c r="D2470" s="252"/>
      <c r="E2470" s="252"/>
      <c r="F2470" s="252"/>
      <c r="G2470" s="252"/>
      <c r="H2470" s="252"/>
      <c r="I2470" s="252"/>
      <c r="J2470" s="252"/>
      <c r="K2470" s="252"/>
      <c r="L2470"/>
      <c r="M2470"/>
    </row>
    <row r="2471" spans="1:13" s="79" customFormat="1" x14ac:dyDescent="0.35">
      <c r="A2471" s="251"/>
      <c r="B2471" s="22"/>
      <c r="C2471" s="252"/>
      <c r="D2471" s="252"/>
      <c r="E2471" s="252"/>
      <c r="F2471" s="252"/>
      <c r="G2471" s="252"/>
      <c r="H2471" s="252"/>
      <c r="I2471" s="252"/>
      <c r="J2471" s="252"/>
      <c r="K2471" s="252"/>
      <c r="L2471"/>
      <c r="M2471"/>
    </row>
    <row r="2472" spans="1:13" s="79" customFormat="1" x14ac:dyDescent="0.35">
      <c r="A2472" s="251"/>
      <c r="B2472" s="22"/>
      <c r="C2472" s="252"/>
      <c r="D2472" s="252"/>
      <c r="E2472" s="252"/>
      <c r="F2472" s="252"/>
      <c r="G2472" s="252"/>
      <c r="H2472" s="252"/>
      <c r="I2472" s="252"/>
      <c r="J2472" s="252"/>
      <c r="K2472" s="252"/>
      <c r="L2472"/>
      <c r="M2472"/>
    </row>
    <row r="2473" spans="1:13" s="79" customFormat="1" x14ac:dyDescent="0.35">
      <c r="A2473" s="251"/>
      <c r="B2473" s="22"/>
      <c r="C2473" s="252"/>
      <c r="D2473" s="252"/>
      <c r="E2473" s="252"/>
      <c r="F2473" s="252"/>
      <c r="G2473" s="252"/>
      <c r="H2473" s="252"/>
      <c r="I2473" s="252"/>
      <c r="J2473" s="252"/>
      <c r="K2473" s="252"/>
      <c r="L2473"/>
      <c r="M2473"/>
    </row>
    <row r="2474" spans="1:13" s="79" customFormat="1" x14ac:dyDescent="0.35">
      <c r="A2474" s="251"/>
      <c r="B2474" s="22"/>
      <c r="C2474" s="252"/>
      <c r="D2474" s="252"/>
      <c r="E2474" s="252"/>
      <c r="F2474" s="252"/>
      <c r="G2474" s="252"/>
      <c r="H2474" s="252"/>
      <c r="I2474" s="252"/>
      <c r="J2474" s="252"/>
      <c r="K2474" s="252"/>
      <c r="L2474"/>
      <c r="M2474"/>
    </row>
    <row r="2475" spans="1:13" s="79" customFormat="1" x14ac:dyDescent="0.35">
      <c r="A2475" s="251"/>
      <c r="B2475" s="22"/>
      <c r="C2475" s="252"/>
      <c r="D2475" s="252"/>
      <c r="E2475" s="252"/>
      <c r="F2475" s="252"/>
      <c r="G2475" s="252"/>
      <c r="H2475" s="252"/>
      <c r="I2475" s="252"/>
      <c r="J2475" s="252"/>
      <c r="K2475" s="252"/>
      <c r="L2475"/>
      <c r="M2475"/>
    </row>
    <row r="2476" spans="1:13" s="79" customFormat="1" x14ac:dyDescent="0.35">
      <c r="A2476" s="251"/>
      <c r="B2476" s="22"/>
      <c r="C2476" s="252"/>
      <c r="D2476" s="252"/>
      <c r="E2476" s="252"/>
      <c r="F2476" s="252"/>
      <c r="G2476" s="252"/>
      <c r="H2476" s="252"/>
      <c r="I2476" s="252"/>
      <c r="J2476" s="252"/>
      <c r="K2476" s="252"/>
      <c r="L2476"/>
      <c r="M2476"/>
    </row>
    <row r="2477" spans="1:13" s="79" customFormat="1" x14ac:dyDescent="0.35">
      <c r="A2477" s="251"/>
      <c r="B2477" s="22"/>
      <c r="C2477" s="252"/>
      <c r="D2477" s="252"/>
      <c r="E2477" s="252"/>
      <c r="F2477" s="252"/>
      <c r="G2477" s="252"/>
      <c r="H2477" s="252"/>
      <c r="I2477" s="252"/>
      <c r="J2477" s="252"/>
      <c r="K2477" s="252"/>
      <c r="L2477"/>
      <c r="M2477"/>
    </row>
    <row r="2478" spans="1:13" s="79" customFormat="1" x14ac:dyDescent="0.35">
      <c r="A2478" s="251"/>
      <c r="B2478" s="22"/>
      <c r="C2478" s="252"/>
      <c r="D2478" s="252"/>
      <c r="E2478" s="252"/>
      <c r="F2478" s="252"/>
      <c r="G2478" s="252"/>
      <c r="H2478" s="252"/>
      <c r="I2478" s="252"/>
      <c r="J2478" s="252"/>
      <c r="K2478" s="252"/>
      <c r="L2478"/>
      <c r="M2478"/>
    </row>
    <row r="2479" spans="1:13" s="79" customFormat="1" x14ac:dyDescent="0.35">
      <c r="A2479" s="251"/>
      <c r="B2479" s="22"/>
      <c r="C2479" s="252"/>
      <c r="D2479" s="252"/>
      <c r="E2479" s="252"/>
      <c r="F2479" s="252"/>
      <c r="G2479" s="252"/>
      <c r="H2479" s="252"/>
      <c r="I2479" s="252"/>
      <c r="J2479" s="252"/>
      <c r="K2479" s="252"/>
      <c r="L2479"/>
      <c r="M2479"/>
    </row>
    <row r="2480" spans="1:13" s="79" customFormat="1" x14ac:dyDescent="0.35">
      <c r="A2480" s="251"/>
      <c r="B2480" s="22"/>
      <c r="C2480" s="252"/>
      <c r="D2480" s="252"/>
      <c r="E2480" s="252"/>
      <c r="F2480" s="252"/>
      <c r="G2480" s="252"/>
      <c r="H2480" s="252"/>
      <c r="I2480" s="252"/>
      <c r="J2480" s="252"/>
      <c r="K2480" s="252"/>
      <c r="L2480"/>
      <c r="M2480"/>
    </row>
    <row r="2481" spans="1:13" s="79" customFormat="1" x14ac:dyDescent="0.35">
      <c r="A2481" s="251"/>
      <c r="B2481" s="22"/>
      <c r="C2481" s="252"/>
      <c r="D2481" s="252"/>
      <c r="E2481" s="252"/>
      <c r="F2481" s="252"/>
      <c r="G2481" s="252"/>
      <c r="H2481" s="252"/>
      <c r="I2481" s="252"/>
      <c r="J2481" s="252"/>
      <c r="K2481" s="252"/>
      <c r="L2481"/>
      <c r="M2481"/>
    </row>
    <row r="2482" spans="1:13" s="79" customFormat="1" x14ac:dyDescent="0.35">
      <c r="A2482" s="251"/>
      <c r="B2482" s="22"/>
      <c r="C2482" s="252"/>
      <c r="D2482" s="252"/>
      <c r="E2482" s="252"/>
      <c r="F2482" s="252"/>
      <c r="G2482" s="252"/>
      <c r="H2482" s="252"/>
      <c r="I2482" s="252"/>
      <c r="J2482" s="252"/>
      <c r="K2482" s="252"/>
      <c r="L2482"/>
      <c r="M2482"/>
    </row>
    <row r="2483" spans="1:13" s="79" customFormat="1" x14ac:dyDescent="0.35">
      <c r="A2483" s="251"/>
      <c r="B2483" s="22"/>
      <c r="C2483" s="252"/>
      <c r="D2483" s="252"/>
      <c r="E2483" s="252"/>
      <c r="F2483" s="252"/>
      <c r="G2483" s="252"/>
      <c r="H2483" s="252"/>
      <c r="I2483" s="252"/>
      <c r="J2483" s="252"/>
      <c r="K2483" s="252"/>
      <c r="L2483"/>
      <c r="M2483"/>
    </row>
    <row r="2484" spans="1:13" s="79" customFormat="1" x14ac:dyDescent="0.35">
      <c r="A2484" s="251"/>
      <c r="B2484" s="22"/>
      <c r="C2484" s="252"/>
      <c r="D2484" s="252"/>
      <c r="E2484" s="252"/>
      <c r="F2484" s="252"/>
      <c r="G2484" s="252"/>
      <c r="H2484" s="252"/>
      <c r="I2484" s="252"/>
      <c r="J2484" s="252"/>
      <c r="K2484" s="252"/>
      <c r="L2484"/>
      <c r="M2484"/>
    </row>
    <row r="2485" spans="1:13" s="79" customFormat="1" x14ac:dyDescent="0.35">
      <c r="A2485" s="251"/>
      <c r="B2485" s="22"/>
      <c r="C2485" s="252"/>
      <c r="D2485" s="252"/>
      <c r="E2485" s="252"/>
      <c r="F2485" s="252"/>
      <c r="G2485" s="252"/>
      <c r="H2485" s="252"/>
      <c r="I2485" s="252"/>
      <c r="J2485" s="252"/>
      <c r="K2485" s="252"/>
      <c r="L2485"/>
      <c r="M2485"/>
    </row>
    <row r="2486" spans="1:13" s="79" customFormat="1" x14ac:dyDescent="0.35">
      <c r="A2486" s="251"/>
      <c r="B2486" s="22"/>
      <c r="C2486" s="252"/>
      <c r="D2486" s="252"/>
      <c r="E2486" s="252"/>
      <c r="F2486" s="252"/>
      <c r="G2486" s="252"/>
      <c r="H2486" s="252"/>
      <c r="I2486" s="252"/>
      <c r="J2486" s="252"/>
      <c r="K2486" s="252"/>
      <c r="L2486"/>
      <c r="M2486"/>
    </row>
    <row r="2487" spans="1:13" s="79" customFormat="1" x14ac:dyDescent="0.35">
      <c r="A2487" s="251"/>
      <c r="B2487" s="22"/>
      <c r="C2487" s="252"/>
      <c r="D2487" s="252"/>
      <c r="E2487" s="252"/>
      <c r="F2487" s="252"/>
      <c r="G2487" s="252"/>
      <c r="H2487" s="252"/>
      <c r="I2487" s="252"/>
      <c r="J2487" s="252"/>
      <c r="K2487" s="252"/>
      <c r="L2487"/>
      <c r="M2487"/>
    </row>
    <row r="2488" spans="1:13" s="79" customFormat="1" x14ac:dyDescent="0.35">
      <c r="A2488" s="251"/>
      <c r="B2488" s="22"/>
      <c r="C2488" s="252"/>
      <c r="D2488" s="252"/>
      <c r="E2488" s="252"/>
      <c r="F2488" s="252"/>
      <c r="G2488" s="252"/>
      <c r="H2488" s="252"/>
      <c r="I2488" s="252"/>
      <c r="J2488" s="252"/>
      <c r="K2488" s="252"/>
      <c r="L2488"/>
      <c r="M2488"/>
    </row>
    <row r="2489" spans="1:13" s="79" customFormat="1" x14ac:dyDescent="0.35">
      <c r="A2489" s="251"/>
      <c r="B2489" s="22"/>
      <c r="C2489" s="252"/>
      <c r="D2489" s="252"/>
      <c r="E2489" s="252"/>
      <c r="F2489" s="252"/>
      <c r="G2489" s="252"/>
      <c r="H2489" s="252"/>
      <c r="I2489" s="252"/>
      <c r="J2489" s="252"/>
      <c r="K2489" s="252"/>
      <c r="L2489"/>
      <c r="M2489"/>
    </row>
    <row r="2490" spans="1:13" s="79" customFormat="1" x14ac:dyDescent="0.35">
      <c r="A2490" s="251"/>
      <c r="B2490" s="22"/>
      <c r="C2490" s="252"/>
      <c r="D2490" s="252"/>
      <c r="E2490" s="252"/>
      <c r="F2490" s="252"/>
      <c r="G2490" s="252"/>
      <c r="H2490" s="252"/>
      <c r="I2490" s="252"/>
      <c r="J2490" s="252"/>
      <c r="K2490" s="252"/>
      <c r="L2490"/>
      <c r="M2490"/>
    </row>
    <row r="2491" spans="1:13" s="79" customFormat="1" x14ac:dyDescent="0.35">
      <c r="A2491" s="251"/>
      <c r="B2491" s="22"/>
      <c r="C2491" s="252"/>
      <c r="D2491" s="252"/>
      <c r="E2491" s="252"/>
      <c r="F2491" s="252"/>
      <c r="G2491" s="252"/>
      <c r="H2491" s="252"/>
      <c r="I2491" s="252"/>
      <c r="J2491" s="252"/>
      <c r="K2491" s="252"/>
      <c r="L2491"/>
      <c r="M2491"/>
    </row>
    <row r="2492" spans="1:13" s="79" customFormat="1" x14ac:dyDescent="0.35">
      <c r="A2492" s="251"/>
      <c r="B2492" s="22"/>
      <c r="C2492" s="252"/>
      <c r="D2492" s="252"/>
      <c r="E2492" s="252"/>
      <c r="F2492" s="252"/>
      <c r="G2492" s="252"/>
      <c r="H2492" s="252"/>
      <c r="I2492" s="252"/>
      <c r="J2492" s="252"/>
      <c r="K2492" s="252"/>
      <c r="L2492"/>
      <c r="M2492"/>
    </row>
    <row r="2493" spans="1:13" s="79" customFormat="1" x14ac:dyDescent="0.35">
      <c r="A2493" s="251"/>
      <c r="B2493" s="22"/>
      <c r="C2493" s="252"/>
      <c r="D2493" s="252"/>
      <c r="E2493" s="252"/>
      <c r="F2493" s="252"/>
      <c r="G2493" s="252"/>
      <c r="H2493" s="252"/>
      <c r="I2493" s="252"/>
      <c r="J2493" s="252"/>
      <c r="K2493" s="252"/>
      <c r="L2493"/>
      <c r="M2493"/>
    </row>
    <row r="2494" spans="1:13" s="79" customFormat="1" x14ac:dyDescent="0.35">
      <c r="A2494" s="251"/>
      <c r="B2494" s="22"/>
      <c r="C2494" s="252"/>
      <c r="D2494" s="252"/>
      <c r="E2494" s="252"/>
      <c r="F2494" s="252"/>
      <c r="G2494" s="252"/>
      <c r="H2494" s="252"/>
      <c r="I2494" s="252"/>
      <c r="J2494" s="252"/>
      <c r="K2494" s="252"/>
      <c r="L2494"/>
      <c r="M2494"/>
    </row>
    <row r="2495" spans="1:13" s="79" customFormat="1" x14ac:dyDescent="0.35">
      <c r="A2495" s="251"/>
      <c r="B2495" s="22"/>
      <c r="C2495" s="252"/>
      <c r="D2495" s="252"/>
      <c r="E2495" s="252"/>
      <c r="F2495" s="252"/>
      <c r="G2495" s="252"/>
      <c r="H2495" s="252"/>
      <c r="I2495" s="252"/>
      <c r="J2495" s="252"/>
      <c r="K2495" s="252"/>
      <c r="L2495"/>
      <c r="M2495"/>
    </row>
    <row r="2496" spans="1:13" s="79" customFormat="1" x14ac:dyDescent="0.35">
      <c r="A2496" s="251"/>
      <c r="B2496" s="22"/>
      <c r="C2496" s="252"/>
      <c r="D2496" s="252"/>
      <c r="E2496" s="252"/>
      <c r="F2496" s="252"/>
      <c r="G2496" s="252"/>
      <c r="H2496" s="252"/>
      <c r="I2496" s="252"/>
      <c r="J2496" s="252"/>
      <c r="K2496" s="252"/>
      <c r="L2496"/>
      <c r="M2496"/>
    </row>
    <row r="2497" spans="1:13" s="79" customFormat="1" x14ac:dyDescent="0.35">
      <c r="A2497" s="251"/>
      <c r="B2497" s="22"/>
      <c r="C2497" s="252"/>
      <c r="D2497" s="252"/>
      <c r="E2497" s="252"/>
      <c r="F2497" s="252"/>
      <c r="G2497" s="252"/>
      <c r="H2497" s="252"/>
      <c r="I2497" s="252"/>
      <c r="J2497" s="252"/>
      <c r="K2497" s="252"/>
      <c r="L2497"/>
      <c r="M2497"/>
    </row>
    <row r="2498" spans="1:13" s="79" customFormat="1" x14ac:dyDescent="0.35">
      <c r="A2498" s="251"/>
      <c r="B2498" s="22"/>
      <c r="C2498" s="252"/>
      <c r="D2498" s="252"/>
      <c r="E2498" s="252"/>
      <c r="F2498" s="252"/>
      <c r="G2498" s="252"/>
      <c r="H2498" s="252"/>
      <c r="I2498" s="252"/>
      <c r="J2498" s="252"/>
      <c r="K2498" s="252"/>
      <c r="L2498"/>
      <c r="M2498"/>
    </row>
    <row r="2499" spans="1:13" s="79" customFormat="1" x14ac:dyDescent="0.35">
      <c r="A2499" s="251"/>
      <c r="B2499" s="22"/>
      <c r="C2499" s="252"/>
      <c r="D2499" s="252"/>
      <c r="E2499" s="252"/>
      <c r="F2499" s="252"/>
      <c r="G2499" s="252"/>
      <c r="H2499" s="252"/>
      <c r="I2499" s="252"/>
      <c r="J2499" s="252"/>
      <c r="K2499" s="252"/>
      <c r="L2499"/>
      <c r="M2499"/>
    </row>
    <row r="2500" spans="1:13" s="79" customFormat="1" x14ac:dyDescent="0.35">
      <c r="A2500" s="251"/>
      <c r="B2500" s="22"/>
      <c r="C2500" s="252"/>
      <c r="D2500" s="252"/>
      <c r="E2500" s="252"/>
      <c r="F2500" s="252"/>
      <c r="G2500" s="252"/>
      <c r="H2500" s="252"/>
      <c r="I2500" s="252"/>
      <c r="J2500" s="252"/>
      <c r="K2500" s="252"/>
      <c r="L2500"/>
      <c r="M2500"/>
    </row>
    <row r="2501" spans="1:13" s="79" customFormat="1" x14ac:dyDescent="0.35">
      <c r="A2501" s="251"/>
      <c r="B2501" s="22"/>
      <c r="C2501" s="252"/>
      <c r="D2501" s="252"/>
      <c r="E2501" s="252"/>
      <c r="F2501" s="252"/>
      <c r="G2501" s="252"/>
      <c r="H2501" s="252"/>
      <c r="I2501" s="252"/>
      <c r="J2501" s="252"/>
      <c r="K2501" s="252"/>
      <c r="L2501"/>
      <c r="M2501"/>
    </row>
    <row r="2502" spans="1:13" s="79" customFormat="1" x14ac:dyDescent="0.35">
      <c r="A2502" s="251"/>
      <c r="B2502" s="22"/>
      <c r="C2502" s="252"/>
      <c r="D2502" s="252"/>
      <c r="E2502" s="252"/>
      <c r="F2502" s="252"/>
      <c r="G2502" s="252"/>
      <c r="H2502" s="252"/>
      <c r="I2502" s="252"/>
      <c r="J2502" s="252"/>
      <c r="K2502" s="252"/>
      <c r="L2502"/>
      <c r="M2502"/>
    </row>
    <row r="2503" spans="1:13" s="79" customFormat="1" x14ac:dyDescent="0.35">
      <c r="A2503" s="251"/>
      <c r="B2503" s="22"/>
      <c r="C2503" s="252"/>
      <c r="D2503" s="252"/>
      <c r="E2503" s="252"/>
      <c r="F2503" s="252"/>
      <c r="G2503" s="252"/>
      <c r="H2503" s="252"/>
      <c r="I2503" s="252"/>
      <c r="J2503" s="252"/>
      <c r="K2503" s="252"/>
      <c r="L2503"/>
      <c r="M2503"/>
    </row>
    <row r="2504" spans="1:13" s="79" customFormat="1" x14ac:dyDescent="0.35">
      <c r="A2504" s="251"/>
      <c r="B2504" s="22"/>
      <c r="C2504" s="252"/>
      <c r="D2504" s="252"/>
      <c r="E2504" s="252"/>
      <c r="F2504" s="252"/>
      <c r="G2504" s="252"/>
      <c r="H2504" s="252"/>
      <c r="I2504" s="252"/>
      <c r="J2504" s="252"/>
      <c r="K2504" s="252"/>
      <c r="L2504"/>
      <c r="M2504"/>
    </row>
    <row r="2505" spans="1:13" s="79" customFormat="1" x14ac:dyDescent="0.35">
      <c r="A2505" s="251"/>
      <c r="B2505" s="22"/>
      <c r="C2505" s="252"/>
      <c r="D2505" s="252"/>
      <c r="E2505" s="252"/>
      <c r="F2505" s="252"/>
      <c r="G2505" s="252"/>
      <c r="H2505" s="252"/>
      <c r="I2505" s="252"/>
      <c r="J2505" s="252"/>
      <c r="K2505" s="252"/>
      <c r="L2505"/>
      <c r="M2505"/>
    </row>
    <row r="2506" spans="1:13" s="79" customFormat="1" x14ac:dyDescent="0.35">
      <c r="A2506" s="251"/>
      <c r="B2506" s="22"/>
      <c r="C2506" s="252"/>
      <c r="D2506" s="252"/>
      <c r="E2506" s="252"/>
      <c r="F2506" s="252"/>
      <c r="G2506" s="252"/>
      <c r="H2506" s="252"/>
      <c r="I2506" s="252"/>
      <c r="J2506" s="252"/>
      <c r="K2506" s="252"/>
      <c r="L2506"/>
      <c r="M2506"/>
    </row>
    <row r="2507" spans="1:13" s="79" customFormat="1" x14ac:dyDescent="0.35">
      <c r="A2507" s="251"/>
      <c r="B2507" s="22"/>
      <c r="C2507" s="252"/>
      <c r="D2507" s="252"/>
      <c r="E2507" s="252"/>
      <c r="F2507" s="252"/>
      <c r="G2507" s="252"/>
      <c r="H2507" s="252"/>
      <c r="I2507" s="252"/>
      <c r="J2507" s="252"/>
      <c r="K2507" s="252"/>
      <c r="L2507"/>
      <c r="M2507"/>
    </row>
    <row r="2508" spans="1:13" s="79" customFormat="1" x14ac:dyDescent="0.35">
      <c r="A2508" s="251"/>
      <c r="B2508" s="22"/>
      <c r="C2508" s="252"/>
      <c r="D2508" s="252"/>
      <c r="E2508" s="252"/>
      <c r="F2508" s="252"/>
      <c r="G2508" s="252"/>
      <c r="H2508" s="252"/>
      <c r="I2508" s="252"/>
      <c r="J2508" s="252"/>
      <c r="K2508" s="252"/>
      <c r="L2508"/>
      <c r="M2508"/>
    </row>
    <row r="2509" spans="1:13" s="79" customFormat="1" x14ac:dyDescent="0.35">
      <c r="A2509" s="251"/>
      <c r="B2509" s="22"/>
      <c r="C2509" s="252"/>
      <c r="D2509" s="252"/>
      <c r="E2509" s="252"/>
      <c r="F2509" s="252"/>
      <c r="G2509" s="252"/>
      <c r="H2509" s="252"/>
      <c r="I2509" s="252"/>
      <c r="J2509" s="252"/>
      <c r="K2509" s="252"/>
      <c r="L2509"/>
      <c r="M2509"/>
    </row>
    <row r="2510" spans="1:13" s="79" customFormat="1" x14ac:dyDescent="0.35">
      <c r="A2510" s="251"/>
      <c r="B2510" s="22"/>
      <c r="C2510" s="252"/>
      <c r="D2510" s="252"/>
      <c r="E2510" s="252"/>
      <c r="F2510" s="252"/>
      <c r="G2510" s="252"/>
      <c r="H2510" s="252"/>
      <c r="I2510" s="252"/>
      <c r="J2510" s="252"/>
      <c r="K2510" s="252"/>
      <c r="L2510"/>
      <c r="M2510"/>
    </row>
    <row r="2511" spans="1:13" s="79" customFormat="1" x14ac:dyDescent="0.35">
      <c r="A2511" s="251"/>
      <c r="B2511" s="22"/>
      <c r="C2511" s="252"/>
      <c r="D2511" s="252"/>
      <c r="E2511" s="252"/>
      <c r="F2511" s="252"/>
      <c r="G2511" s="252"/>
      <c r="H2511" s="252"/>
      <c r="I2511" s="252"/>
      <c r="J2511" s="252"/>
      <c r="K2511" s="252"/>
      <c r="L2511"/>
      <c r="M2511"/>
    </row>
    <row r="2512" spans="1:13" s="79" customFormat="1" x14ac:dyDescent="0.35">
      <c r="A2512" s="251"/>
      <c r="B2512" s="22"/>
      <c r="C2512" s="252"/>
      <c r="D2512" s="252"/>
      <c r="E2512" s="252"/>
      <c r="F2512" s="252"/>
      <c r="G2512" s="252"/>
      <c r="H2512" s="252"/>
      <c r="I2512" s="252"/>
      <c r="J2512" s="252"/>
      <c r="K2512" s="252"/>
      <c r="L2512"/>
      <c r="M2512"/>
    </row>
    <row r="2513" spans="1:13" s="79" customFormat="1" x14ac:dyDescent="0.35">
      <c r="A2513" s="251"/>
      <c r="B2513" s="22"/>
      <c r="C2513" s="252"/>
      <c r="D2513" s="252"/>
      <c r="E2513" s="252"/>
      <c r="F2513" s="252"/>
      <c r="G2513" s="252"/>
      <c r="H2513" s="252"/>
      <c r="I2513" s="252"/>
      <c r="J2513" s="252"/>
      <c r="K2513" s="252"/>
      <c r="L2513"/>
      <c r="M2513"/>
    </row>
    <row r="2514" spans="1:13" s="79" customFormat="1" x14ac:dyDescent="0.35">
      <c r="A2514" s="251"/>
      <c r="B2514" s="22"/>
      <c r="C2514" s="252"/>
      <c r="D2514" s="252"/>
      <c r="E2514" s="252"/>
      <c r="F2514" s="252"/>
      <c r="G2514" s="252"/>
      <c r="H2514" s="252"/>
      <c r="I2514" s="252"/>
      <c r="J2514" s="252"/>
      <c r="K2514" s="252"/>
      <c r="L2514"/>
      <c r="M2514"/>
    </row>
    <row r="2515" spans="1:13" s="79" customFormat="1" x14ac:dyDescent="0.35">
      <c r="A2515" s="251"/>
      <c r="B2515" s="22"/>
      <c r="C2515" s="252"/>
      <c r="D2515" s="252"/>
      <c r="E2515" s="252"/>
      <c r="F2515" s="252"/>
      <c r="G2515" s="252"/>
      <c r="H2515" s="252"/>
      <c r="I2515" s="252"/>
      <c r="J2515" s="252"/>
      <c r="K2515" s="252"/>
      <c r="L2515"/>
      <c r="M2515"/>
    </row>
    <row r="2516" spans="1:13" s="79" customFormat="1" x14ac:dyDescent="0.35">
      <c r="A2516" s="251"/>
      <c r="B2516" s="22"/>
      <c r="C2516" s="252"/>
      <c r="D2516" s="252"/>
      <c r="E2516" s="252"/>
      <c r="F2516" s="252"/>
      <c r="G2516" s="252"/>
      <c r="H2516" s="252"/>
      <c r="I2516" s="252"/>
      <c r="J2516" s="252"/>
      <c r="K2516" s="252"/>
      <c r="L2516"/>
      <c r="M2516"/>
    </row>
    <row r="2517" spans="1:13" s="79" customFormat="1" x14ac:dyDescent="0.35">
      <c r="A2517" s="251"/>
      <c r="B2517" s="22"/>
      <c r="C2517" s="252"/>
      <c r="D2517" s="252"/>
      <c r="E2517" s="252"/>
      <c r="F2517" s="252"/>
      <c r="G2517" s="252"/>
      <c r="H2517" s="252"/>
      <c r="I2517" s="252"/>
      <c r="J2517" s="252"/>
      <c r="K2517" s="252"/>
      <c r="L2517"/>
      <c r="M2517"/>
    </row>
    <row r="2518" spans="1:13" s="79" customFormat="1" x14ac:dyDescent="0.35">
      <c r="A2518" s="251"/>
      <c r="B2518" s="22"/>
      <c r="C2518" s="252"/>
      <c r="D2518" s="252"/>
      <c r="E2518" s="252"/>
      <c r="F2518" s="252"/>
      <c r="G2518" s="252"/>
      <c r="H2518" s="252"/>
      <c r="I2518" s="252"/>
      <c r="J2518" s="252"/>
      <c r="K2518" s="252"/>
      <c r="L2518"/>
      <c r="M2518"/>
    </row>
    <row r="2519" spans="1:13" s="79" customFormat="1" x14ac:dyDescent="0.35">
      <c r="A2519" s="251"/>
      <c r="B2519" s="22"/>
      <c r="C2519" s="252"/>
      <c r="D2519" s="252"/>
      <c r="E2519" s="252"/>
      <c r="F2519" s="252"/>
      <c r="G2519" s="252"/>
      <c r="H2519" s="252"/>
      <c r="I2519" s="252"/>
      <c r="J2519" s="252"/>
      <c r="K2519" s="252"/>
      <c r="L2519"/>
      <c r="M2519"/>
    </row>
    <row r="2520" spans="1:13" s="79" customFormat="1" x14ac:dyDescent="0.35">
      <c r="A2520" s="251"/>
      <c r="B2520" s="22"/>
      <c r="C2520" s="252"/>
      <c r="D2520" s="252"/>
      <c r="E2520" s="252"/>
      <c r="F2520" s="252"/>
      <c r="G2520" s="252"/>
      <c r="H2520" s="252"/>
      <c r="I2520" s="252"/>
      <c r="J2520" s="252"/>
      <c r="K2520" s="252"/>
      <c r="L2520"/>
      <c r="M2520"/>
    </row>
    <row r="2521" spans="1:13" s="79" customFormat="1" x14ac:dyDescent="0.35">
      <c r="A2521" s="251"/>
      <c r="B2521" s="22"/>
      <c r="C2521" s="252"/>
      <c r="D2521" s="252"/>
      <c r="E2521" s="252"/>
      <c r="F2521" s="252"/>
      <c r="G2521" s="252"/>
      <c r="H2521" s="252"/>
      <c r="I2521" s="252"/>
      <c r="J2521" s="252"/>
      <c r="K2521" s="252"/>
      <c r="L2521"/>
      <c r="M2521"/>
    </row>
    <row r="2522" spans="1:13" s="79" customFormat="1" x14ac:dyDescent="0.35">
      <c r="A2522" s="251"/>
      <c r="B2522" s="22"/>
      <c r="C2522" s="252"/>
      <c r="D2522" s="252"/>
      <c r="E2522" s="252"/>
      <c r="F2522" s="252"/>
      <c r="G2522" s="252"/>
      <c r="H2522" s="252"/>
      <c r="I2522" s="252"/>
      <c r="J2522" s="252"/>
      <c r="K2522" s="252"/>
      <c r="L2522"/>
      <c r="M2522"/>
    </row>
    <row r="2523" spans="1:13" s="79" customFormat="1" x14ac:dyDescent="0.35">
      <c r="A2523" s="251"/>
      <c r="B2523" s="22"/>
      <c r="C2523" s="252"/>
      <c r="D2523" s="252"/>
      <c r="E2523" s="252"/>
      <c r="F2523" s="252"/>
      <c r="G2523" s="252"/>
      <c r="H2523" s="252"/>
      <c r="I2523" s="252"/>
      <c r="J2523" s="252"/>
      <c r="K2523" s="252"/>
      <c r="L2523"/>
      <c r="M2523"/>
    </row>
    <row r="2524" spans="1:13" s="79" customFormat="1" x14ac:dyDescent="0.35">
      <c r="A2524" s="251"/>
      <c r="B2524" s="22"/>
      <c r="C2524" s="252"/>
      <c r="D2524" s="252"/>
      <c r="E2524" s="252"/>
      <c r="F2524" s="252"/>
      <c r="G2524" s="252"/>
      <c r="H2524" s="252"/>
      <c r="I2524" s="252"/>
      <c r="J2524" s="252"/>
      <c r="K2524" s="252"/>
      <c r="L2524"/>
      <c r="M2524"/>
    </row>
    <row r="2525" spans="1:13" s="79" customFormat="1" x14ac:dyDescent="0.35">
      <c r="A2525" s="251"/>
      <c r="B2525" s="22"/>
      <c r="C2525" s="252"/>
      <c r="D2525" s="252"/>
      <c r="E2525" s="252"/>
      <c r="F2525" s="252"/>
      <c r="G2525" s="252"/>
      <c r="H2525" s="252"/>
      <c r="I2525" s="252"/>
      <c r="J2525" s="252"/>
      <c r="K2525" s="252"/>
      <c r="L2525"/>
      <c r="M2525"/>
    </row>
    <row r="2526" spans="1:13" s="79" customFormat="1" x14ac:dyDescent="0.35">
      <c r="A2526" s="251"/>
      <c r="B2526" s="22"/>
      <c r="C2526" s="252"/>
      <c r="D2526" s="252"/>
      <c r="E2526" s="252"/>
      <c r="F2526" s="252"/>
      <c r="G2526" s="252"/>
      <c r="H2526" s="252"/>
      <c r="I2526" s="252"/>
      <c r="J2526" s="252"/>
      <c r="K2526" s="252"/>
      <c r="L2526"/>
      <c r="M2526"/>
    </row>
    <row r="2527" spans="1:13" s="79" customFormat="1" x14ac:dyDescent="0.35">
      <c r="A2527" s="251"/>
      <c r="B2527" s="22"/>
      <c r="C2527" s="252"/>
      <c r="D2527" s="252"/>
      <c r="E2527" s="252"/>
      <c r="F2527" s="252"/>
      <c r="G2527" s="252"/>
      <c r="H2527" s="252"/>
      <c r="I2527" s="252"/>
      <c r="J2527" s="252"/>
      <c r="K2527" s="252"/>
      <c r="L2527"/>
      <c r="M2527"/>
    </row>
    <row r="2528" spans="1:13" s="79" customFormat="1" x14ac:dyDescent="0.35">
      <c r="A2528" s="251"/>
      <c r="B2528" s="22"/>
      <c r="C2528" s="252"/>
      <c r="D2528" s="252"/>
      <c r="E2528" s="252"/>
      <c r="F2528" s="252"/>
      <c r="G2528" s="252"/>
      <c r="H2528" s="252"/>
      <c r="I2528" s="252"/>
      <c r="J2528" s="252"/>
      <c r="K2528" s="252"/>
      <c r="L2528"/>
      <c r="M2528"/>
    </row>
    <row r="2529" spans="1:13" s="79" customFormat="1" x14ac:dyDescent="0.35">
      <c r="A2529" s="251"/>
      <c r="B2529" s="22"/>
      <c r="C2529" s="252"/>
      <c r="D2529" s="252"/>
      <c r="E2529" s="252"/>
      <c r="F2529" s="252"/>
      <c r="G2529" s="252"/>
      <c r="H2529" s="252"/>
      <c r="I2529" s="252"/>
      <c r="J2529" s="252"/>
      <c r="K2529" s="252"/>
      <c r="L2529"/>
      <c r="M2529"/>
    </row>
    <row r="2530" spans="1:13" s="79" customFormat="1" x14ac:dyDescent="0.35">
      <c r="A2530" s="251"/>
      <c r="B2530" s="22"/>
      <c r="C2530" s="252"/>
      <c r="D2530" s="252"/>
      <c r="E2530" s="252"/>
      <c r="F2530" s="252"/>
      <c r="G2530" s="252"/>
      <c r="H2530" s="252"/>
      <c r="I2530" s="252"/>
      <c r="J2530" s="252"/>
      <c r="K2530" s="252"/>
      <c r="L2530"/>
      <c r="M2530"/>
    </row>
    <row r="2531" spans="1:13" s="79" customFormat="1" x14ac:dyDescent="0.35">
      <c r="A2531" s="251"/>
      <c r="B2531" s="22"/>
      <c r="C2531" s="252"/>
      <c r="D2531" s="252"/>
      <c r="E2531" s="252"/>
      <c r="F2531" s="252"/>
      <c r="G2531" s="252"/>
      <c r="H2531" s="252"/>
      <c r="I2531" s="252"/>
      <c r="J2531" s="252"/>
      <c r="K2531" s="252"/>
      <c r="L2531"/>
      <c r="M2531"/>
    </row>
    <row r="2532" spans="1:13" s="79" customFormat="1" x14ac:dyDescent="0.35">
      <c r="A2532" s="251"/>
      <c r="B2532" s="22"/>
      <c r="C2532" s="252"/>
      <c r="D2532" s="252"/>
      <c r="E2532" s="252"/>
      <c r="F2532" s="252"/>
      <c r="G2532" s="252"/>
      <c r="H2532" s="252"/>
      <c r="I2532" s="252"/>
      <c r="J2532" s="252"/>
      <c r="K2532" s="252"/>
      <c r="L2532"/>
      <c r="M2532"/>
    </row>
    <row r="2533" spans="1:13" s="79" customFormat="1" x14ac:dyDescent="0.35">
      <c r="A2533" s="251"/>
      <c r="B2533" s="22"/>
      <c r="C2533" s="252"/>
      <c r="D2533" s="252"/>
      <c r="E2533" s="252"/>
      <c r="F2533" s="252"/>
      <c r="G2533" s="252"/>
      <c r="H2533" s="252"/>
      <c r="I2533" s="252"/>
      <c r="J2533" s="252"/>
      <c r="K2533" s="252"/>
      <c r="L2533"/>
      <c r="M2533"/>
    </row>
    <row r="2534" spans="1:13" s="79" customFormat="1" x14ac:dyDescent="0.35">
      <c r="A2534" s="251"/>
      <c r="B2534" s="22"/>
      <c r="C2534" s="252"/>
      <c r="D2534" s="252"/>
      <c r="E2534" s="252"/>
      <c r="F2534" s="252"/>
      <c r="G2534" s="252"/>
      <c r="H2534" s="252"/>
      <c r="I2534" s="252"/>
      <c r="J2534" s="252"/>
      <c r="K2534" s="252"/>
      <c r="L2534"/>
      <c r="M2534"/>
    </row>
    <row r="2535" spans="1:13" s="79" customFormat="1" x14ac:dyDescent="0.35">
      <c r="A2535" s="251"/>
      <c r="B2535" s="22"/>
      <c r="C2535" s="252"/>
      <c r="D2535" s="252"/>
      <c r="E2535" s="252"/>
      <c r="F2535" s="252"/>
      <c r="G2535" s="252"/>
      <c r="H2535" s="252"/>
      <c r="I2535" s="252"/>
      <c r="J2535" s="252"/>
      <c r="K2535" s="252"/>
      <c r="L2535"/>
      <c r="M2535"/>
    </row>
    <row r="2536" spans="1:13" s="79" customFormat="1" x14ac:dyDescent="0.35">
      <c r="A2536" s="251"/>
      <c r="B2536" s="22"/>
      <c r="C2536" s="252"/>
      <c r="D2536" s="252"/>
      <c r="E2536" s="252"/>
      <c r="F2536" s="252"/>
      <c r="G2536" s="252"/>
      <c r="H2536" s="252"/>
      <c r="I2536" s="252"/>
      <c r="J2536" s="252"/>
      <c r="K2536" s="252"/>
      <c r="L2536"/>
      <c r="M2536"/>
    </row>
    <row r="2537" spans="1:13" s="79" customFormat="1" x14ac:dyDescent="0.35">
      <c r="A2537" s="251"/>
      <c r="B2537" s="22"/>
      <c r="C2537" s="252"/>
      <c r="D2537" s="252"/>
      <c r="E2537" s="252"/>
      <c r="F2537" s="252"/>
      <c r="G2537" s="252"/>
      <c r="H2537" s="252"/>
      <c r="I2537" s="252"/>
      <c r="J2537" s="252"/>
      <c r="K2537" s="252"/>
      <c r="L2537"/>
      <c r="M2537"/>
    </row>
    <row r="2538" spans="1:13" s="79" customFormat="1" x14ac:dyDescent="0.35">
      <c r="A2538" s="251"/>
      <c r="B2538" s="22"/>
      <c r="C2538" s="252"/>
      <c r="D2538" s="252"/>
      <c r="E2538" s="252"/>
      <c r="F2538" s="252"/>
      <c r="G2538" s="252"/>
      <c r="H2538" s="252"/>
      <c r="I2538" s="252"/>
      <c r="J2538" s="252"/>
      <c r="K2538" s="252"/>
      <c r="L2538"/>
      <c r="M2538"/>
    </row>
    <row r="2539" spans="1:13" s="79" customFormat="1" x14ac:dyDescent="0.35">
      <c r="A2539" s="251"/>
      <c r="B2539" s="22"/>
      <c r="C2539" s="252"/>
      <c r="D2539" s="252"/>
      <c r="E2539" s="252"/>
      <c r="F2539" s="252"/>
      <c r="G2539" s="252"/>
      <c r="H2539" s="252"/>
      <c r="I2539" s="252"/>
      <c r="J2539" s="252"/>
      <c r="K2539" s="252"/>
      <c r="L2539"/>
      <c r="M2539"/>
    </row>
    <row r="2540" spans="1:13" s="79" customFormat="1" x14ac:dyDescent="0.35">
      <c r="A2540" s="251"/>
      <c r="B2540" s="22"/>
      <c r="C2540" s="252"/>
      <c r="D2540" s="252"/>
      <c r="E2540" s="252"/>
      <c r="F2540" s="252"/>
      <c r="G2540" s="252"/>
      <c r="H2540" s="252"/>
      <c r="I2540" s="252"/>
      <c r="J2540" s="252"/>
      <c r="K2540" s="252"/>
      <c r="L2540"/>
      <c r="M2540"/>
    </row>
    <row r="2541" spans="1:13" s="79" customFormat="1" x14ac:dyDescent="0.35">
      <c r="A2541" s="251"/>
      <c r="B2541" s="22"/>
      <c r="C2541" s="252"/>
      <c r="D2541" s="252"/>
      <c r="E2541" s="252"/>
      <c r="F2541" s="252"/>
      <c r="G2541" s="252"/>
      <c r="H2541" s="252"/>
      <c r="I2541" s="252"/>
      <c r="J2541" s="252"/>
      <c r="K2541" s="252"/>
      <c r="L2541"/>
      <c r="M2541"/>
    </row>
    <row r="2542" spans="1:13" s="79" customFormat="1" x14ac:dyDescent="0.35">
      <c r="A2542" s="251"/>
      <c r="B2542" s="22"/>
      <c r="C2542" s="252"/>
      <c r="D2542" s="252"/>
      <c r="E2542" s="252"/>
      <c r="F2542" s="252"/>
      <c r="G2542" s="252"/>
      <c r="H2542" s="252"/>
      <c r="I2542" s="252"/>
      <c r="J2542" s="252"/>
      <c r="K2542" s="252"/>
      <c r="L2542"/>
      <c r="M2542"/>
    </row>
    <row r="2543" spans="1:13" s="79" customFormat="1" x14ac:dyDescent="0.35">
      <c r="A2543" s="251"/>
      <c r="B2543" s="22"/>
      <c r="C2543" s="252"/>
      <c r="D2543" s="252"/>
      <c r="E2543" s="252"/>
      <c r="F2543" s="252"/>
      <c r="G2543" s="252"/>
      <c r="H2543" s="252"/>
      <c r="I2543" s="252"/>
      <c r="J2543" s="252"/>
      <c r="K2543" s="252"/>
      <c r="L2543"/>
      <c r="M2543"/>
    </row>
    <row r="2544" spans="1:13" s="79" customFormat="1" x14ac:dyDescent="0.35">
      <c r="A2544" s="251"/>
      <c r="B2544" s="22"/>
      <c r="C2544" s="252"/>
      <c r="D2544" s="252"/>
      <c r="E2544" s="252"/>
      <c r="F2544" s="252"/>
      <c r="G2544" s="252"/>
      <c r="H2544" s="252"/>
      <c r="I2544" s="252"/>
      <c r="J2544" s="252"/>
      <c r="K2544" s="252"/>
      <c r="L2544"/>
      <c r="M2544"/>
    </row>
    <row r="2545" spans="1:13" s="79" customFormat="1" x14ac:dyDescent="0.35">
      <c r="A2545" s="251"/>
      <c r="B2545" s="22"/>
      <c r="C2545" s="252"/>
      <c r="D2545" s="252"/>
      <c r="E2545" s="252"/>
      <c r="F2545" s="252"/>
      <c r="G2545" s="252"/>
      <c r="H2545" s="252"/>
      <c r="I2545" s="252"/>
      <c r="J2545" s="252"/>
      <c r="K2545" s="252"/>
      <c r="L2545"/>
      <c r="M2545"/>
    </row>
    <row r="2546" spans="1:13" s="79" customFormat="1" x14ac:dyDescent="0.35">
      <c r="A2546" s="251"/>
      <c r="B2546" s="22"/>
      <c r="C2546" s="252"/>
      <c r="D2546" s="252"/>
      <c r="E2546" s="252"/>
      <c r="F2546" s="252"/>
      <c r="G2546" s="252"/>
      <c r="H2546" s="252"/>
      <c r="I2546" s="252"/>
      <c r="J2546" s="252"/>
      <c r="K2546" s="252"/>
      <c r="L2546"/>
      <c r="M2546"/>
    </row>
    <row r="2547" spans="1:13" s="79" customFormat="1" x14ac:dyDescent="0.35">
      <c r="A2547" s="251"/>
      <c r="B2547" s="22"/>
      <c r="C2547" s="252"/>
      <c r="D2547" s="252"/>
      <c r="E2547" s="252"/>
      <c r="F2547" s="252"/>
      <c r="G2547" s="252"/>
      <c r="H2547" s="252"/>
      <c r="I2547" s="252"/>
      <c r="J2547" s="252"/>
      <c r="K2547" s="252"/>
      <c r="L2547"/>
      <c r="M2547"/>
    </row>
    <row r="2548" spans="1:13" s="79" customFormat="1" x14ac:dyDescent="0.35">
      <c r="A2548" s="251"/>
      <c r="B2548" s="22"/>
      <c r="C2548" s="252"/>
      <c r="D2548" s="252"/>
      <c r="E2548" s="252"/>
      <c r="F2548" s="252"/>
      <c r="G2548" s="252"/>
      <c r="H2548" s="252"/>
      <c r="I2548" s="252"/>
      <c r="J2548" s="252"/>
      <c r="K2548" s="252"/>
      <c r="L2548"/>
      <c r="M2548"/>
    </row>
    <row r="2549" spans="1:13" s="79" customFormat="1" x14ac:dyDescent="0.35">
      <c r="A2549" s="251"/>
      <c r="B2549" s="22"/>
      <c r="C2549" s="252"/>
      <c r="D2549" s="252"/>
      <c r="E2549" s="252"/>
      <c r="F2549" s="252"/>
      <c r="G2549" s="252"/>
      <c r="H2549" s="252"/>
      <c r="I2549" s="252"/>
      <c r="J2549" s="252"/>
      <c r="K2549" s="252"/>
      <c r="L2549"/>
      <c r="M2549"/>
    </row>
    <row r="2550" spans="1:13" s="79" customFormat="1" x14ac:dyDescent="0.35">
      <c r="A2550" s="251"/>
      <c r="B2550" s="22"/>
      <c r="C2550" s="252"/>
      <c r="D2550" s="252"/>
      <c r="E2550" s="252"/>
      <c r="F2550" s="252"/>
      <c r="G2550" s="252"/>
      <c r="H2550" s="252"/>
      <c r="I2550" s="252"/>
      <c r="J2550" s="252"/>
      <c r="K2550" s="252"/>
      <c r="L2550"/>
      <c r="M2550"/>
    </row>
    <row r="2551" spans="1:13" s="79" customFormat="1" x14ac:dyDescent="0.35">
      <c r="A2551" s="251"/>
      <c r="B2551" s="22"/>
      <c r="C2551" s="252"/>
      <c r="D2551" s="252"/>
      <c r="E2551" s="252"/>
      <c r="F2551" s="252"/>
      <c r="G2551" s="252"/>
      <c r="H2551" s="252"/>
      <c r="I2551" s="252"/>
      <c r="J2551" s="252"/>
      <c r="K2551" s="252"/>
      <c r="L2551"/>
      <c r="M2551"/>
    </row>
    <row r="2552" spans="1:13" s="79" customFormat="1" x14ac:dyDescent="0.35">
      <c r="A2552" s="251"/>
      <c r="B2552" s="22"/>
      <c r="C2552" s="252"/>
      <c r="D2552" s="252"/>
      <c r="E2552" s="252"/>
      <c r="F2552" s="252"/>
      <c r="G2552" s="252"/>
      <c r="H2552" s="252"/>
      <c r="I2552" s="252"/>
      <c r="J2552" s="252"/>
      <c r="K2552" s="252"/>
      <c r="L2552"/>
      <c r="M2552"/>
    </row>
    <row r="2553" spans="1:13" s="79" customFormat="1" x14ac:dyDescent="0.35">
      <c r="A2553" s="251"/>
      <c r="B2553" s="22"/>
      <c r="C2553" s="252"/>
      <c r="D2553" s="252"/>
      <c r="E2553" s="252"/>
      <c r="F2553" s="252"/>
      <c r="G2553" s="252"/>
      <c r="H2553" s="252"/>
      <c r="I2553" s="252"/>
      <c r="J2553" s="252"/>
      <c r="K2553" s="252"/>
      <c r="L2553"/>
      <c r="M2553"/>
    </row>
    <row r="2554" spans="1:13" s="79" customFormat="1" x14ac:dyDescent="0.35">
      <c r="A2554" s="251"/>
      <c r="B2554" s="22"/>
      <c r="C2554" s="252"/>
      <c r="D2554" s="252"/>
      <c r="E2554" s="252"/>
      <c r="F2554" s="252"/>
      <c r="G2554" s="252"/>
      <c r="H2554" s="252"/>
      <c r="I2554" s="252"/>
      <c r="J2554" s="252"/>
      <c r="K2554" s="252"/>
      <c r="L2554"/>
      <c r="M2554"/>
    </row>
    <row r="2555" spans="1:13" s="79" customFormat="1" x14ac:dyDescent="0.35">
      <c r="A2555" s="251"/>
      <c r="B2555" s="22"/>
      <c r="C2555" s="252"/>
      <c r="D2555" s="252"/>
      <c r="E2555" s="252"/>
      <c r="F2555" s="252"/>
      <c r="G2555" s="252"/>
      <c r="H2555" s="252"/>
      <c r="I2555" s="252"/>
      <c r="J2555" s="252"/>
      <c r="K2555" s="252"/>
      <c r="L2555"/>
      <c r="M2555"/>
    </row>
    <row r="2556" spans="1:13" s="79" customFormat="1" x14ac:dyDescent="0.35">
      <c r="A2556" s="251"/>
      <c r="B2556" s="22"/>
      <c r="C2556" s="252"/>
      <c r="D2556" s="252"/>
      <c r="E2556" s="252"/>
      <c r="F2556" s="252"/>
      <c r="G2556" s="252"/>
      <c r="H2556" s="252"/>
      <c r="I2556" s="252"/>
      <c r="J2556" s="252"/>
      <c r="K2556" s="252"/>
      <c r="L2556"/>
      <c r="M2556"/>
    </row>
    <row r="2557" spans="1:13" s="79" customFormat="1" x14ac:dyDescent="0.35">
      <c r="A2557" s="251"/>
      <c r="B2557" s="22"/>
      <c r="C2557" s="252"/>
      <c r="D2557" s="252"/>
      <c r="E2557" s="252"/>
      <c r="F2557" s="252"/>
      <c r="G2557" s="252"/>
      <c r="H2557" s="252"/>
      <c r="I2557" s="252"/>
      <c r="J2557" s="252"/>
      <c r="K2557" s="252"/>
      <c r="L2557"/>
      <c r="M2557"/>
    </row>
    <row r="2558" spans="1:13" s="79" customFormat="1" x14ac:dyDescent="0.35">
      <c r="A2558" s="251"/>
      <c r="B2558" s="22"/>
      <c r="C2558" s="252"/>
      <c r="D2558" s="252"/>
      <c r="E2558" s="252"/>
      <c r="F2558" s="252"/>
      <c r="G2558" s="252"/>
      <c r="H2558" s="252"/>
      <c r="I2558" s="252"/>
      <c r="J2558" s="252"/>
      <c r="K2558" s="252"/>
      <c r="L2558"/>
      <c r="M2558"/>
    </row>
    <row r="2559" spans="1:13" s="79" customFormat="1" x14ac:dyDescent="0.35">
      <c r="A2559" s="251"/>
      <c r="B2559" s="22"/>
      <c r="C2559" s="252"/>
      <c r="D2559" s="252"/>
      <c r="E2559" s="252"/>
      <c r="F2559" s="252"/>
      <c r="G2559" s="252"/>
      <c r="H2559" s="252"/>
      <c r="I2559" s="252"/>
      <c r="J2559" s="252"/>
      <c r="K2559" s="252"/>
      <c r="L2559"/>
      <c r="M2559"/>
    </row>
    <row r="2560" spans="1:13" s="79" customFormat="1" x14ac:dyDescent="0.35">
      <c r="A2560" s="251"/>
      <c r="B2560" s="22"/>
      <c r="C2560" s="252"/>
      <c r="D2560" s="252"/>
      <c r="E2560" s="252"/>
      <c r="F2560" s="252"/>
      <c r="G2560" s="252"/>
      <c r="H2560" s="252"/>
      <c r="I2560" s="252"/>
      <c r="J2560" s="252"/>
      <c r="K2560" s="252"/>
      <c r="L2560"/>
      <c r="M2560"/>
    </row>
    <row r="2561" spans="1:13" s="79" customFormat="1" x14ac:dyDescent="0.35">
      <c r="A2561" s="251"/>
      <c r="B2561" s="22"/>
      <c r="C2561" s="252"/>
      <c r="D2561" s="252"/>
      <c r="E2561" s="252"/>
      <c r="F2561" s="252"/>
      <c r="G2561" s="252"/>
      <c r="H2561" s="252"/>
      <c r="I2561" s="252"/>
      <c r="J2561" s="252"/>
      <c r="K2561" s="252"/>
      <c r="L2561"/>
      <c r="M2561"/>
    </row>
    <row r="2562" spans="1:13" s="79" customFormat="1" x14ac:dyDescent="0.35">
      <c r="A2562" s="251"/>
      <c r="B2562" s="22"/>
      <c r="C2562" s="252"/>
      <c r="D2562" s="252"/>
      <c r="E2562" s="252"/>
      <c r="F2562" s="252"/>
      <c r="G2562" s="252"/>
      <c r="H2562" s="252"/>
      <c r="I2562" s="252"/>
      <c r="J2562" s="252"/>
      <c r="K2562" s="252"/>
      <c r="L2562"/>
      <c r="M2562"/>
    </row>
    <row r="2563" spans="1:13" s="79" customFormat="1" x14ac:dyDescent="0.35">
      <c r="A2563" s="251"/>
      <c r="B2563" s="22"/>
      <c r="C2563" s="252"/>
      <c r="D2563" s="252"/>
      <c r="E2563" s="252"/>
      <c r="F2563" s="252"/>
      <c r="G2563" s="252"/>
      <c r="H2563" s="252"/>
      <c r="I2563" s="252"/>
      <c r="J2563" s="252"/>
      <c r="K2563" s="252"/>
      <c r="L2563"/>
      <c r="M2563"/>
    </row>
    <row r="2564" spans="1:13" s="79" customFormat="1" x14ac:dyDescent="0.35">
      <c r="A2564" s="251"/>
      <c r="B2564" s="22"/>
      <c r="C2564" s="252"/>
      <c r="D2564" s="252"/>
      <c r="E2564" s="252"/>
      <c r="F2564" s="252"/>
      <c r="G2564" s="252"/>
      <c r="H2564" s="252"/>
      <c r="I2564" s="252"/>
      <c r="J2564" s="252"/>
      <c r="K2564" s="252"/>
      <c r="L2564"/>
      <c r="M2564"/>
    </row>
    <row r="2565" spans="1:13" s="79" customFormat="1" x14ac:dyDescent="0.35">
      <c r="A2565" s="251"/>
      <c r="B2565" s="22"/>
      <c r="C2565" s="252"/>
      <c r="D2565" s="252"/>
      <c r="E2565" s="252"/>
      <c r="F2565" s="252"/>
      <c r="G2565" s="252"/>
      <c r="H2565" s="252"/>
      <c r="I2565" s="252"/>
      <c r="J2565" s="252"/>
      <c r="K2565" s="252"/>
      <c r="L2565"/>
      <c r="M2565"/>
    </row>
    <row r="2566" spans="1:13" s="79" customFormat="1" x14ac:dyDescent="0.35">
      <c r="A2566" s="251"/>
      <c r="B2566" s="22"/>
      <c r="C2566" s="252"/>
      <c r="D2566" s="252"/>
      <c r="E2566" s="252"/>
      <c r="F2566" s="252"/>
      <c r="G2566" s="252"/>
      <c r="H2566" s="252"/>
      <c r="I2566" s="252"/>
      <c r="J2566" s="252"/>
      <c r="K2566" s="252"/>
      <c r="L2566"/>
      <c r="M2566"/>
    </row>
    <row r="2567" spans="1:13" s="79" customFormat="1" x14ac:dyDescent="0.35">
      <c r="A2567" s="251"/>
      <c r="B2567" s="22"/>
      <c r="C2567" s="252"/>
      <c r="D2567" s="252"/>
      <c r="E2567" s="252"/>
      <c r="F2567" s="252"/>
      <c r="G2567" s="252"/>
      <c r="H2567" s="252"/>
      <c r="I2567" s="252"/>
      <c r="J2567" s="252"/>
      <c r="K2567" s="252"/>
      <c r="L2567"/>
      <c r="M2567"/>
    </row>
    <row r="2568" spans="1:13" s="79" customFormat="1" x14ac:dyDescent="0.35">
      <c r="A2568" s="251"/>
      <c r="B2568" s="22"/>
      <c r="C2568" s="252"/>
      <c r="D2568" s="252"/>
      <c r="E2568" s="252"/>
      <c r="F2568" s="252"/>
      <c r="G2568" s="252"/>
      <c r="H2568" s="252"/>
      <c r="I2568" s="252"/>
      <c r="J2568" s="252"/>
      <c r="K2568" s="252"/>
      <c r="L2568"/>
      <c r="M2568"/>
    </row>
    <row r="2569" spans="1:13" s="79" customFormat="1" x14ac:dyDescent="0.35">
      <c r="A2569" s="251"/>
      <c r="B2569" s="22"/>
      <c r="C2569" s="252"/>
      <c r="D2569" s="252"/>
      <c r="E2569" s="252"/>
      <c r="F2569" s="252"/>
      <c r="G2569" s="252"/>
      <c r="H2569" s="252"/>
      <c r="I2569" s="252"/>
      <c r="J2569" s="252"/>
      <c r="K2569" s="252"/>
      <c r="L2569"/>
      <c r="M2569"/>
    </row>
    <row r="2570" spans="1:13" s="79" customFormat="1" x14ac:dyDescent="0.35">
      <c r="A2570" s="251"/>
      <c r="B2570" s="22"/>
      <c r="C2570" s="252"/>
      <c r="D2570" s="252"/>
      <c r="E2570" s="252"/>
      <c r="F2570" s="252"/>
      <c r="G2570" s="252"/>
      <c r="H2570" s="252"/>
      <c r="I2570" s="252"/>
      <c r="J2570" s="252"/>
      <c r="K2570" s="252"/>
      <c r="L2570"/>
      <c r="M2570"/>
    </row>
    <row r="2571" spans="1:13" s="79" customFormat="1" x14ac:dyDescent="0.35">
      <c r="A2571" s="251"/>
      <c r="B2571" s="22"/>
      <c r="C2571" s="252"/>
      <c r="D2571" s="252"/>
      <c r="E2571" s="252"/>
      <c r="F2571" s="252"/>
      <c r="G2571" s="252"/>
      <c r="H2571" s="252"/>
      <c r="I2571" s="252"/>
      <c r="J2571" s="252"/>
      <c r="K2571" s="252"/>
      <c r="L2571"/>
      <c r="M2571"/>
    </row>
    <row r="2572" spans="1:13" s="79" customFormat="1" x14ac:dyDescent="0.35">
      <c r="A2572" s="251"/>
      <c r="B2572" s="22"/>
      <c r="C2572" s="252"/>
      <c r="D2572" s="252"/>
      <c r="E2572" s="252"/>
      <c r="F2572" s="252"/>
      <c r="G2572" s="252"/>
      <c r="H2572" s="252"/>
      <c r="I2572" s="252"/>
      <c r="J2572" s="252"/>
      <c r="K2572" s="252"/>
      <c r="L2572"/>
      <c r="M2572"/>
    </row>
    <row r="2573" spans="1:13" s="79" customFormat="1" x14ac:dyDescent="0.35">
      <c r="A2573" s="251"/>
      <c r="B2573" s="22"/>
      <c r="C2573" s="252"/>
      <c r="D2573" s="252"/>
      <c r="E2573" s="252"/>
      <c r="F2573" s="252"/>
      <c r="G2573" s="252"/>
      <c r="H2573" s="252"/>
      <c r="I2573" s="252"/>
      <c r="J2573" s="252"/>
      <c r="K2573" s="252"/>
      <c r="L2573"/>
      <c r="M2573"/>
    </row>
    <row r="2574" spans="1:13" s="79" customFormat="1" x14ac:dyDescent="0.35">
      <c r="A2574" s="251"/>
      <c r="B2574" s="22"/>
      <c r="C2574" s="252"/>
      <c r="D2574" s="252"/>
      <c r="E2574" s="252"/>
      <c r="F2574" s="252"/>
      <c r="G2574" s="252"/>
      <c r="H2574" s="252"/>
      <c r="I2574" s="252"/>
      <c r="J2574" s="252"/>
      <c r="K2574" s="252"/>
      <c r="L2574"/>
      <c r="M2574"/>
    </row>
    <row r="2575" spans="1:13" s="79" customFormat="1" x14ac:dyDescent="0.35">
      <c r="A2575" s="251"/>
      <c r="B2575" s="22"/>
      <c r="C2575" s="252"/>
      <c r="D2575" s="252"/>
      <c r="E2575" s="252"/>
      <c r="F2575" s="252"/>
      <c r="G2575" s="252"/>
      <c r="H2575" s="252"/>
      <c r="I2575" s="252"/>
      <c r="J2575" s="252"/>
      <c r="K2575" s="252"/>
      <c r="L2575"/>
      <c r="M2575"/>
    </row>
    <row r="2576" spans="1:13" s="79" customFormat="1" x14ac:dyDescent="0.35">
      <c r="A2576" s="251"/>
      <c r="B2576" s="22"/>
      <c r="C2576" s="252"/>
      <c r="D2576" s="252"/>
      <c r="E2576" s="252"/>
      <c r="F2576" s="252"/>
      <c r="G2576" s="252"/>
      <c r="H2576" s="252"/>
      <c r="I2576" s="252"/>
      <c r="J2576" s="252"/>
      <c r="K2576" s="252"/>
      <c r="L2576"/>
      <c r="M2576"/>
    </row>
    <row r="2577" spans="1:13" s="79" customFormat="1" x14ac:dyDescent="0.35">
      <c r="A2577" s="251"/>
      <c r="B2577" s="22"/>
      <c r="C2577" s="252"/>
      <c r="D2577" s="252"/>
      <c r="E2577" s="252"/>
      <c r="F2577" s="252"/>
      <c r="G2577" s="252"/>
      <c r="H2577" s="252"/>
      <c r="I2577" s="252"/>
      <c r="J2577" s="252"/>
      <c r="K2577" s="252"/>
      <c r="L2577"/>
      <c r="M2577"/>
    </row>
    <row r="2578" spans="1:13" s="79" customFormat="1" x14ac:dyDescent="0.35">
      <c r="A2578" s="251"/>
      <c r="B2578" s="22"/>
      <c r="C2578" s="252"/>
      <c r="D2578" s="252"/>
      <c r="E2578" s="252"/>
      <c r="F2578" s="252"/>
      <c r="G2578" s="252"/>
      <c r="H2578" s="252"/>
      <c r="I2578" s="252"/>
      <c r="J2578" s="252"/>
      <c r="K2578" s="252"/>
      <c r="L2578"/>
      <c r="M2578"/>
    </row>
    <row r="2579" spans="1:13" s="79" customFormat="1" x14ac:dyDescent="0.35">
      <c r="A2579" s="251"/>
      <c r="B2579" s="22"/>
      <c r="C2579" s="252"/>
      <c r="D2579" s="252"/>
      <c r="E2579" s="252"/>
      <c r="F2579" s="252"/>
      <c r="G2579" s="252"/>
      <c r="H2579" s="252"/>
      <c r="I2579" s="252"/>
      <c r="J2579" s="252"/>
      <c r="K2579" s="252"/>
      <c r="L2579"/>
      <c r="M2579"/>
    </row>
    <row r="2580" spans="1:13" s="79" customFormat="1" x14ac:dyDescent="0.35">
      <c r="A2580" s="251"/>
      <c r="B2580" s="22"/>
      <c r="C2580" s="252"/>
      <c r="D2580" s="252"/>
      <c r="E2580" s="252"/>
      <c r="F2580" s="252"/>
      <c r="G2580" s="252"/>
      <c r="H2580" s="252"/>
      <c r="I2580" s="252"/>
      <c r="J2580" s="252"/>
      <c r="K2580" s="252"/>
      <c r="L2580"/>
      <c r="M2580"/>
    </row>
    <row r="2581" spans="1:13" s="79" customFormat="1" x14ac:dyDescent="0.35">
      <c r="A2581" s="251"/>
      <c r="B2581" s="22"/>
      <c r="C2581" s="252"/>
      <c r="D2581" s="252"/>
      <c r="E2581" s="252"/>
      <c r="F2581" s="252"/>
      <c r="G2581" s="252"/>
      <c r="H2581" s="252"/>
      <c r="I2581" s="252"/>
      <c r="J2581" s="252"/>
      <c r="K2581" s="252"/>
      <c r="L2581"/>
      <c r="M2581"/>
    </row>
    <row r="2582" spans="1:13" s="79" customFormat="1" x14ac:dyDescent="0.35">
      <c r="A2582" s="251"/>
      <c r="B2582" s="22"/>
      <c r="C2582" s="252"/>
      <c r="D2582" s="252"/>
      <c r="E2582" s="252"/>
      <c r="F2582" s="252"/>
      <c r="G2582" s="252"/>
      <c r="H2582" s="252"/>
      <c r="I2582" s="252"/>
      <c r="J2582" s="252"/>
      <c r="K2582" s="252"/>
      <c r="L2582"/>
      <c r="M2582"/>
    </row>
    <row r="2583" spans="1:13" s="79" customFormat="1" x14ac:dyDescent="0.35">
      <c r="A2583" s="251"/>
      <c r="B2583" s="22"/>
      <c r="C2583" s="252"/>
      <c r="D2583" s="252"/>
      <c r="E2583" s="252"/>
      <c r="F2583" s="252"/>
      <c r="G2583" s="252"/>
      <c r="H2583" s="252"/>
      <c r="I2583" s="252"/>
      <c r="J2583" s="252"/>
      <c r="K2583" s="252"/>
      <c r="L2583"/>
      <c r="M2583"/>
    </row>
    <row r="2584" spans="1:13" s="79" customFormat="1" x14ac:dyDescent="0.35">
      <c r="A2584" s="251"/>
      <c r="B2584" s="22"/>
      <c r="C2584" s="252"/>
      <c r="D2584" s="252"/>
      <c r="E2584" s="252"/>
      <c r="F2584" s="252"/>
      <c r="G2584" s="252"/>
      <c r="H2584" s="252"/>
      <c r="I2584" s="252"/>
      <c r="J2584" s="252"/>
      <c r="K2584" s="252"/>
      <c r="L2584"/>
      <c r="M2584"/>
    </row>
    <row r="2585" spans="1:13" s="79" customFormat="1" x14ac:dyDescent="0.35">
      <c r="A2585" s="251"/>
      <c r="B2585" s="22"/>
      <c r="C2585" s="252"/>
      <c r="D2585" s="252"/>
      <c r="E2585" s="252"/>
      <c r="F2585" s="252"/>
      <c r="G2585" s="252"/>
      <c r="H2585" s="252"/>
      <c r="I2585" s="252"/>
      <c r="J2585" s="252"/>
      <c r="K2585" s="252"/>
      <c r="L2585"/>
      <c r="M2585"/>
    </row>
    <row r="2586" spans="1:13" s="79" customFormat="1" x14ac:dyDescent="0.35">
      <c r="A2586" s="251"/>
      <c r="B2586" s="22"/>
      <c r="C2586" s="252"/>
      <c r="D2586" s="252"/>
      <c r="E2586" s="252"/>
      <c r="F2586" s="252"/>
      <c r="G2586" s="252"/>
      <c r="H2586" s="252"/>
      <c r="I2586" s="252"/>
      <c r="J2586" s="252"/>
      <c r="K2586" s="252"/>
      <c r="L2586"/>
      <c r="M2586"/>
    </row>
    <row r="2587" spans="1:13" s="79" customFormat="1" x14ac:dyDescent="0.35">
      <c r="A2587" s="251"/>
      <c r="B2587" s="22"/>
      <c r="C2587" s="252"/>
      <c r="D2587" s="252"/>
      <c r="E2587" s="252"/>
      <c r="F2587" s="252"/>
      <c r="G2587" s="252"/>
      <c r="H2587" s="252"/>
      <c r="I2587" s="252"/>
      <c r="J2587" s="252"/>
      <c r="K2587" s="252"/>
      <c r="L2587"/>
      <c r="M2587"/>
    </row>
    <row r="2588" spans="1:13" s="79" customFormat="1" x14ac:dyDescent="0.35">
      <c r="A2588" s="251"/>
      <c r="B2588" s="22"/>
      <c r="C2588" s="252"/>
      <c r="D2588" s="252"/>
      <c r="E2588" s="252"/>
      <c r="F2588" s="252"/>
      <c r="G2588" s="252"/>
      <c r="H2588" s="252"/>
      <c r="I2588" s="252"/>
      <c r="J2588" s="252"/>
      <c r="K2588" s="252"/>
      <c r="L2588"/>
      <c r="M2588"/>
    </row>
    <row r="2589" spans="1:13" s="79" customFormat="1" x14ac:dyDescent="0.35">
      <c r="A2589" s="251"/>
      <c r="B2589" s="22"/>
      <c r="C2589" s="252"/>
      <c r="D2589" s="252"/>
      <c r="E2589" s="252"/>
      <c r="F2589" s="252"/>
      <c r="G2589" s="252"/>
      <c r="H2589" s="252"/>
      <c r="I2589" s="252"/>
      <c r="J2589" s="252"/>
      <c r="K2589" s="252"/>
      <c r="L2589"/>
      <c r="M2589"/>
    </row>
    <row r="2590" spans="1:13" s="79" customFormat="1" x14ac:dyDescent="0.35">
      <c r="A2590" s="251"/>
      <c r="B2590" s="22"/>
      <c r="C2590" s="252"/>
      <c r="D2590" s="252"/>
      <c r="E2590" s="252"/>
      <c r="F2590" s="252"/>
      <c r="G2590" s="252"/>
      <c r="H2590" s="252"/>
      <c r="I2590" s="252"/>
      <c r="J2590" s="252"/>
      <c r="K2590" s="252"/>
      <c r="L2590"/>
      <c r="M2590"/>
    </row>
    <row r="2591" spans="1:13" s="79" customFormat="1" x14ac:dyDescent="0.35">
      <c r="A2591" s="251"/>
      <c r="B2591" s="22"/>
      <c r="C2591" s="252"/>
      <c r="D2591" s="252"/>
      <c r="E2591" s="252"/>
      <c r="F2591" s="252"/>
      <c r="G2591" s="252"/>
      <c r="H2591" s="252"/>
      <c r="I2591" s="252"/>
      <c r="J2591" s="252"/>
      <c r="K2591" s="252"/>
      <c r="L2591"/>
      <c r="M2591"/>
    </row>
    <row r="2592" spans="1:13" s="79" customFormat="1" x14ac:dyDescent="0.35">
      <c r="A2592" s="251"/>
      <c r="B2592" s="22"/>
      <c r="C2592" s="252"/>
      <c r="D2592" s="252"/>
      <c r="E2592" s="252"/>
      <c r="F2592" s="252"/>
      <c r="G2592" s="252"/>
      <c r="H2592" s="252"/>
      <c r="I2592" s="252"/>
      <c r="J2592" s="252"/>
      <c r="K2592" s="252"/>
      <c r="L2592"/>
      <c r="M2592"/>
    </row>
    <row r="2593" spans="1:13" s="79" customFormat="1" x14ac:dyDescent="0.35">
      <c r="A2593" s="251"/>
      <c r="B2593" s="22"/>
      <c r="C2593" s="252"/>
      <c r="D2593" s="252"/>
      <c r="E2593" s="252"/>
      <c r="F2593" s="252"/>
      <c r="G2593" s="252"/>
      <c r="H2593" s="252"/>
      <c r="I2593" s="252"/>
      <c r="J2593" s="252"/>
      <c r="K2593" s="252"/>
      <c r="L2593"/>
      <c r="M2593"/>
    </row>
    <row r="2594" spans="1:13" s="79" customFormat="1" x14ac:dyDescent="0.35">
      <c r="A2594" s="251"/>
      <c r="B2594" s="22"/>
      <c r="C2594" s="252"/>
      <c r="D2594" s="252"/>
      <c r="E2594" s="252"/>
      <c r="F2594" s="252"/>
      <c r="G2594" s="252"/>
      <c r="H2594" s="252"/>
      <c r="I2594" s="252"/>
      <c r="J2594" s="252"/>
      <c r="K2594" s="252"/>
      <c r="L2594"/>
      <c r="M2594"/>
    </row>
    <row r="2595" spans="1:13" s="79" customFormat="1" x14ac:dyDescent="0.35">
      <c r="A2595" s="251"/>
      <c r="B2595" s="22"/>
      <c r="C2595" s="252"/>
      <c r="D2595" s="252"/>
      <c r="E2595" s="252"/>
      <c r="F2595" s="252"/>
      <c r="G2595" s="252"/>
      <c r="H2595" s="252"/>
      <c r="I2595" s="252"/>
      <c r="J2595" s="252"/>
      <c r="K2595" s="252"/>
      <c r="L2595"/>
      <c r="M2595"/>
    </row>
    <row r="2596" spans="1:13" s="79" customFormat="1" x14ac:dyDescent="0.35">
      <c r="A2596" s="251"/>
      <c r="B2596" s="22"/>
      <c r="C2596" s="252"/>
      <c r="D2596" s="252"/>
      <c r="E2596" s="252"/>
      <c r="F2596" s="252"/>
      <c r="G2596" s="252"/>
      <c r="H2596" s="252"/>
      <c r="I2596" s="252"/>
      <c r="J2596" s="252"/>
      <c r="K2596" s="252"/>
      <c r="L2596"/>
      <c r="M2596"/>
    </row>
    <row r="2597" spans="1:13" s="79" customFormat="1" x14ac:dyDescent="0.35">
      <c r="A2597" s="251"/>
      <c r="B2597" s="22"/>
      <c r="C2597" s="252"/>
      <c r="D2597" s="252"/>
      <c r="E2597" s="252"/>
      <c r="F2597" s="252"/>
      <c r="G2597" s="252"/>
      <c r="H2597" s="252"/>
      <c r="I2597" s="252"/>
      <c r="J2597" s="252"/>
      <c r="K2597" s="252"/>
      <c r="L2597"/>
      <c r="M2597"/>
    </row>
    <row r="2598" spans="1:13" s="79" customFormat="1" x14ac:dyDescent="0.35">
      <c r="A2598" s="251"/>
      <c r="B2598" s="22"/>
      <c r="C2598" s="252"/>
      <c r="D2598" s="252"/>
      <c r="E2598" s="252"/>
      <c r="F2598" s="252"/>
      <c r="G2598" s="252"/>
      <c r="H2598" s="252"/>
      <c r="I2598" s="252"/>
      <c r="J2598" s="252"/>
      <c r="K2598" s="252"/>
      <c r="L2598"/>
      <c r="M2598"/>
    </row>
    <row r="2599" spans="1:13" s="79" customFormat="1" x14ac:dyDescent="0.35">
      <c r="A2599" s="251"/>
      <c r="B2599" s="22"/>
      <c r="C2599" s="252"/>
      <c r="D2599" s="252"/>
      <c r="E2599" s="252"/>
      <c r="F2599" s="252"/>
      <c r="G2599" s="252"/>
      <c r="H2599" s="252"/>
      <c r="I2599" s="252"/>
      <c r="J2599" s="252"/>
      <c r="K2599" s="252"/>
      <c r="L2599"/>
      <c r="M2599"/>
    </row>
    <row r="2600" spans="1:13" s="79" customFormat="1" x14ac:dyDescent="0.35">
      <c r="A2600" s="251"/>
      <c r="B2600" s="22"/>
      <c r="C2600" s="252"/>
      <c r="D2600" s="252"/>
      <c r="E2600" s="252"/>
      <c r="F2600" s="252"/>
      <c r="G2600" s="252"/>
      <c r="H2600" s="252"/>
      <c r="I2600" s="252"/>
      <c r="J2600" s="252"/>
      <c r="K2600" s="252"/>
      <c r="L2600"/>
      <c r="M2600"/>
    </row>
    <row r="2601" spans="1:13" s="79" customFormat="1" x14ac:dyDescent="0.35">
      <c r="A2601" s="251"/>
      <c r="B2601" s="22"/>
      <c r="C2601" s="252"/>
      <c r="D2601" s="252"/>
      <c r="E2601" s="252"/>
      <c r="F2601" s="252"/>
      <c r="G2601" s="252"/>
      <c r="H2601" s="252"/>
      <c r="I2601" s="252"/>
      <c r="J2601" s="252"/>
      <c r="K2601" s="252"/>
      <c r="L2601"/>
      <c r="M2601"/>
    </row>
    <row r="2602" spans="1:13" s="79" customFormat="1" x14ac:dyDescent="0.35">
      <c r="A2602" s="251"/>
      <c r="B2602" s="22"/>
      <c r="C2602" s="252"/>
      <c r="D2602" s="252"/>
      <c r="E2602" s="252"/>
      <c r="F2602" s="252"/>
      <c r="G2602" s="252"/>
      <c r="H2602" s="252"/>
      <c r="I2602" s="252"/>
      <c r="J2602" s="252"/>
      <c r="K2602" s="252"/>
      <c r="L2602"/>
      <c r="M2602"/>
    </row>
    <row r="2603" spans="1:13" s="79" customFormat="1" x14ac:dyDescent="0.35">
      <c r="A2603" s="251"/>
      <c r="B2603" s="22"/>
      <c r="C2603" s="252"/>
      <c r="D2603" s="252"/>
      <c r="E2603" s="252"/>
      <c r="F2603" s="252"/>
      <c r="G2603" s="252"/>
      <c r="H2603" s="252"/>
      <c r="I2603" s="252"/>
      <c r="J2603" s="252"/>
      <c r="K2603" s="252"/>
      <c r="L2603"/>
      <c r="M2603"/>
    </row>
    <row r="2604" spans="1:13" s="79" customFormat="1" x14ac:dyDescent="0.35">
      <c r="A2604" s="251"/>
      <c r="B2604" s="22"/>
      <c r="C2604" s="252"/>
      <c r="D2604" s="252"/>
      <c r="E2604" s="252"/>
      <c r="F2604" s="252"/>
      <c r="G2604" s="252"/>
      <c r="H2604" s="252"/>
      <c r="I2604" s="252"/>
      <c r="J2604" s="252"/>
      <c r="K2604" s="252"/>
      <c r="L2604"/>
      <c r="M2604"/>
    </row>
    <row r="2605" spans="1:13" s="79" customFormat="1" x14ac:dyDescent="0.35">
      <c r="A2605" s="251"/>
      <c r="B2605" s="22"/>
      <c r="C2605" s="252"/>
      <c r="D2605" s="252"/>
      <c r="E2605" s="252"/>
      <c r="F2605" s="252"/>
      <c r="G2605" s="252"/>
      <c r="H2605" s="252"/>
      <c r="I2605" s="252"/>
      <c r="J2605" s="252"/>
      <c r="K2605" s="252"/>
      <c r="L2605"/>
      <c r="M2605"/>
    </row>
    <row r="2606" spans="1:13" s="79" customFormat="1" x14ac:dyDescent="0.35">
      <c r="A2606" s="251"/>
      <c r="B2606" s="22"/>
      <c r="C2606" s="252"/>
      <c r="D2606" s="252"/>
      <c r="E2606" s="252"/>
      <c r="F2606" s="252"/>
      <c r="G2606" s="252"/>
      <c r="H2606" s="252"/>
      <c r="I2606" s="252"/>
      <c r="J2606" s="252"/>
      <c r="K2606" s="252"/>
      <c r="L2606"/>
      <c r="M2606"/>
    </row>
    <row r="2607" spans="1:13" s="79" customFormat="1" x14ac:dyDescent="0.35">
      <c r="A2607" s="251"/>
      <c r="B2607" s="22"/>
      <c r="C2607" s="252"/>
      <c r="D2607" s="252"/>
      <c r="E2607" s="252"/>
      <c r="F2607" s="252"/>
      <c r="G2607" s="252"/>
      <c r="H2607" s="252"/>
      <c r="I2607" s="252"/>
      <c r="J2607" s="252"/>
      <c r="K2607" s="252"/>
      <c r="L2607"/>
      <c r="M2607"/>
    </row>
    <row r="2608" spans="1:13" s="79" customFormat="1" x14ac:dyDescent="0.35">
      <c r="A2608" s="251"/>
      <c r="B2608" s="22"/>
      <c r="C2608" s="252"/>
      <c r="D2608" s="252"/>
      <c r="E2608" s="252"/>
      <c r="F2608" s="252"/>
      <c r="G2608" s="252"/>
      <c r="H2608" s="252"/>
      <c r="I2608" s="252"/>
      <c r="J2608" s="252"/>
      <c r="K2608" s="252"/>
      <c r="L2608"/>
      <c r="M2608"/>
    </row>
    <row r="2609" spans="1:13" s="79" customFormat="1" x14ac:dyDescent="0.35">
      <c r="A2609" s="251"/>
      <c r="B2609" s="22"/>
      <c r="C2609" s="252"/>
      <c r="D2609" s="252"/>
      <c r="E2609" s="252"/>
      <c r="F2609" s="252"/>
      <c r="G2609" s="252"/>
      <c r="H2609" s="252"/>
      <c r="I2609" s="252"/>
      <c r="J2609" s="252"/>
      <c r="K2609" s="252"/>
      <c r="L2609"/>
      <c r="M2609"/>
    </row>
    <row r="2610" spans="1:13" s="79" customFormat="1" x14ac:dyDescent="0.35">
      <c r="A2610" s="251"/>
      <c r="B2610" s="22"/>
      <c r="C2610" s="252"/>
      <c r="D2610" s="252"/>
      <c r="E2610" s="252"/>
      <c r="F2610" s="252"/>
      <c r="G2610" s="252"/>
      <c r="H2610" s="252"/>
      <c r="I2610" s="252"/>
      <c r="J2610" s="252"/>
      <c r="K2610" s="252"/>
      <c r="L2610"/>
      <c r="M2610"/>
    </row>
    <row r="2611" spans="1:13" s="79" customFormat="1" x14ac:dyDescent="0.35">
      <c r="A2611" s="251"/>
      <c r="B2611" s="22"/>
      <c r="C2611" s="252"/>
      <c r="D2611" s="252"/>
      <c r="E2611" s="252"/>
      <c r="F2611" s="252"/>
      <c r="G2611" s="252"/>
      <c r="H2611" s="252"/>
      <c r="I2611" s="252"/>
      <c r="J2611" s="252"/>
      <c r="K2611" s="252"/>
      <c r="L2611"/>
      <c r="M2611"/>
    </row>
    <row r="2612" spans="1:13" s="79" customFormat="1" x14ac:dyDescent="0.35">
      <c r="A2612" s="251"/>
      <c r="B2612" s="22"/>
      <c r="C2612" s="252"/>
      <c r="D2612" s="252"/>
      <c r="E2612" s="252"/>
      <c r="F2612" s="252"/>
      <c r="G2612" s="252"/>
      <c r="H2612" s="252"/>
      <c r="I2612" s="252"/>
      <c r="J2612" s="252"/>
      <c r="K2612" s="252"/>
      <c r="L2612"/>
      <c r="M2612"/>
    </row>
    <row r="2613" spans="1:13" s="79" customFormat="1" x14ac:dyDescent="0.35">
      <c r="A2613" s="251"/>
      <c r="B2613" s="22"/>
      <c r="C2613" s="252"/>
      <c r="D2613" s="252"/>
      <c r="E2613" s="252"/>
      <c r="F2613" s="252"/>
      <c r="G2613" s="252"/>
      <c r="H2613" s="252"/>
      <c r="I2613" s="252"/>
      <c r="J2613" s="252"/>
      <c r="K2613" s="252"/>
      <c r="L2613"/>
      <c r="M2613"/>
    </row>
    <row r="2614" spans="1:13" s="79" customFormat="1" x14ac:dyDescent="0.35">
      <c r="A2614" s="251"/>
      <c r="B2614" s="22"/>
      <c r="C2614" s="252"/>
      <c r="D2614" s="252"/>
      <c r="E2614" s="252"/>
      <c r="F2614" s="252"/>
      <c r="G2614" s="252"/>
      <c r="H2614" s="252"/>
      <c r="I2614" s="252"/>
      <c r="J2614" s="252"/>
      <c r="K2614" s="252"/>
      <c r="L2614"/>
      <c r="M2614"/>
    </row>
    <row r="2615" spans="1:13" s="79" customFormat="1" x14ac:dyDescent="0.35">
      <c r="A2615" s="251"/>
      <c r="B2615" s="22"/>
      <c r="C2615" s="252"/>
      <c r="D2615" s="252"/>
      <c r="E2615" s="252"/>
      <c r="F2615" s="252"/>
      <c r="G2615" s="252"/>
      <c r="H2615" s="252"/>
      <c r="I2615" s="252"/>
      <c r="J2615" s="252"/>
      <c r="K2615" s="252"/>
      <c r="L2615"/>
      <c r="M2615"/>
    </row>
    <row r="2616" spans="1:13" s="79" customFormat="1" x14ac:dyDescent="0.35">
      <c r="A2616" s="251"/>
      <c r="B2616" s="22"/>
      <c r="C2616" s="252"/>
      <c r="D2616" s="252"/>
      <c r="E2616" s="252"/>
      <c r="F2616" s="252"/>
      <c r="G2616" s="252"/>
      <c r="H2616" s="252"/>
      <c r="I2616" s="252"/>
      <c r="J2616" s="252"/>
      <c r="K2616" s="252"/>
      <c r="L2616"/>
      <c r="M2616"/>
    </row>
    <row r="2617" spans="1:13" s="79" customFormat="1" x14ac:dyDescent="0.35">
      <c r="A2617" s="251"/>
      <c r="B2617" s="22"/>
      <c r="C2617" s="252"/>
      <c r="D2617" s="252"/>
      <c r="E2617" s="252"/>
      <c r="F2617" s="252"/>
      <c r="G2617" s="252"/>
      <c r="H2617" s="252"/>
      <c r="I2617" s="252"/>
      <c r="J2617" s="252"/>
      <c r="K2617" s="252"/>
      <c r="L2617"/>
      <c r="M2617"/>
    </row>
    <row r="2618" spans="1:13" s="79" customFormat="1" x14ac:dyDescent="0.35">
      <c r="A2618" s="251"/>
      <c r="B2618" s="22"/>
      <c r="C2618" s="252"/>
      <c r="D2618" s="252"/>
      <c r="E2618" s="252"/>
      <c r="F2618" s="252"/>
      <c r="G2618" s="252"/>
      <c r="H2618" s="252"/>
      <c r="I2618" s="252"/>
      <c r="J2618" s="252"/>
      <c r="K2618" s="252"/>
      <c r="L2618"/>
      <c r="M2618"/>
    </row>
    <row r="2619" spans="1:13" s="79" customFormat="1" x14ac:dyDescent="0.35">
      <c r="A2619" s="251"/>
      <c r="B2619" s="22"/>
      <c r="C2619" s="252"/>
      <c r="D2619" s="252"/>
      <c r="E2619" s="252"/>
      <c r="F2619" s="252"/>
      <c r="G2619" s="252"/>
      <c r="H2619" s="252"/>
      <c r="I2619" s="252"/>
      <c r="J2619" s="252"/>
      <c r="K2619" s="252"/>
      <c r="L2619"/>
      <c r="M2619"/>
    </row>
    <row r="2620" spans="1:13" s="79" customFormat="1" x14ac:dyDescent="0.35">
      <c r="A2620" s="251"/>
      <c r="B2620" s="22"/>
      <c r="C2620" s="252"/>
      <c r="D2620" s="252"/>
      <c r="E2620" s="252"/>
      <c r="F2620" s="252"/>
      <c r="G2620" s="252"/>
      <c r="H2620" s="252"/>
      <c r="I2620" s="252"/>
      <c r="J2620" s="252"/>
      <c r="K2620" s="252"/>
      <c r="L2620"/>
      <c r="M2620"/>
    </row>
    <row r="2621" spans="1:13" s="79" customFormat="1" x14ac:dyDescent="0.35">
      <c r="A2621" s="251"/>
      <c r="B2621" s="22"/>
      <c r="C2621" s="252"/>
      <c r="D2621" s="252"/>
      <c r="E2621" s="252"/>
      <c r="F2621" s="252"/>
      <c r="G2621" s="252"/>
      <c r="H2621" s="252"/>
      <c r="I2621" s="252"/>
      <c r="J2621" s="252"/>
      <c r="K2621" s="252"/>
      <c r="L2621"/>
      <c r="M2621"/>
    </row>
    <row r="2622" spans="1:13" s="79" customFormat="1" x14ac:dyDescent="0.35">
      <c r="A2622" s="251"/>
      <c r="B2622" s="22"/>
      <c r="C2622" s="252"/>
      <c r="D2622" s="252"/>
      <c r="E2622" s="252"/>
      <c r="F2622" s="252"/>
      <c r="G2622" s="252"/>
      <c r="H2622" s="252"/>
      <c r="I2622" s="252"/>
      <c r="J2622" s="252"/>
      <c r="K2622" s="252"/>
      <c r="L2622"/>
      <c r="M2622"/>
    </row>
    <row r="2623" spans="1:13" s="79" customFormat="1" x14ac:dyDescent="0.35">
      <c r="A2623" s="251"/>
      <c r="B2623" s="22"/>
      <c r="C2623" s="252"/>
      <c r="D2623" s="252"/>
      <c r="E2623" s="252"/>
      <c r="F2623" s="252"/>
      <c r="G2623" s="252"/>
      <c r="H2623" s="252"/>
      <c r="I2623" s="252"/>
      <c r="J2623" s="252"/>
      <c r="K2623" s="252"/>
      <c r="L2623"/>
      <c r="M2623"/>
    </row>
    <row r="2624" spans="1:13" s="79" customFormat="1" x14ac:dyDescent="0.35">
      <c r="A2624" s="251"/>
      <c r="B2624" s="22"/>
      <c r="C2624" s="252"/>
      <c r="D2624" s="252"/>
      <c r="E2624" s="252"/>
      <c r="F2624" s="252"/>
      <c r="G2624" s="252"/>
      <c r="H2624" s="252"/>
      <c r="I2624" s="252"/>
      <c r="J2624" s="252"/>
      <c r="K2624" s="252"/>
      <c r="L2624"/>
      <c r="M2624"/>
    </row>
    <row r="2625" spans="1:13" s="79" customFormat="1" x14ac:dyDescent="0.35">
      <c r="A2625" s="251"/>
      <c r="B2625" s="22"/>
      <c r="C2625" s="252"/>
      <c r="D2625" s="252"/>
      <c r="E2625" s="252"/>
      <c r="F2625" s="252"/>
      <c r="G2625" s="252"/>
      <c r="H2625" s="252"/>
      <c r="I2625" s="252"/>
      <c r="J2625" s="252"/>
      <c r="K2625" s="252"/>
      <c r="L2625"/>
      <c r="M2625"/>
    </row>
    <row r="2626" spans="1:13" s="79" customFormat="1" x14ac:dyDescent="0.35">
      <c r="A2626" s="251"/>
      <c r="B2626" s="22"/>
      <c r="C2626" s="252"/>
      <c r="D2626" s="252"/>
      <c r="E2626" s="252"/>
      <c r="F2626" s="252"/>
      <c r="G2626" s="252"/>
      <c r="H2626" s="252"/>
      <c r="I2626" s="252"/>
      <c r="J2626" s="252"/>
      <c r="K2626" s="252"/>
      <c r="L2626"/>
      <c r="M2626"/>
    </row>
    <row r="2627" spans="1:13" s="79" customFormat="1" x14ac:dyDescent="0.35">
      <c r="A2627" s="251"/>
      <c r="B2627" s="22"/>
      <c r="C2627" s="252"/>
      <c r="D2627" s="252"/>
      <c r="E2627" s="252"/>
      <c r="F2627" s="252"/>
      <c r="G2627" s="252"/>
      <c r="H2627" s="252"/>
      <c r="I2627" s="252"/>
      <c r="J2627" s="252"/>
      <c r="K2627" s="252"/>
      <c r="L2627"/>
      <c r="M2627"/>
    </row>
    <row r="2628" spans="1:13" s="79" customFormat="1" x14ac:dyDescent="0.35">
      <c r="A2628" s="251"/>
      <c r="B2628" s="22"/>
      <c r="C2628" s="252"/>
      <c r="D2628" s="252"/>
      <c r="E2628" s="252"/>
      <c r="F2628" s="252"/>
      <c r="G2628" s="252"/>
      <c r="H2628" s="252"/>
      <c r="I2628" s="252"/>
      <c r="J2628" s="252"/>
      <c r="K2628" s="252"/>
      <c r="L2628"/>
      <c r="M2628"/>
    </row>
    <row r="2629" spans="1:13" s="79" customFormat="1" x14ac:dyDescent="0.35">
      <c r="A2629" s="251"/>
      <c r="B2629" s="22"/>
      <c r="C2629" s="252"/>
      <c r="D2629" s="252"/>
      <c r="E2629" s="252"/>
      <c r="F2629" s="252"/>
      <c r="G2629" s="252"/>
      <c r="H2629" s="252"/>
      <c r="I2629" s="252"/>
      <c r="J2629" s="252"/>
      <c r="K2629" s="252"/>
      <c r="L2629"/>
      <c r="M2629"/>
    </row>
    <row r="2630" spans="1:13" s="79" customFormat="1" x14ac:dyDescent="0.35">
      <c r="A2630" s="251"/>
      <c r="B2630" s="22"/>
      <c r="C2630" s="252"/>
      <c r="D2630" s="252"/>
      <c r="E2630" s="252"/>
      <c r="F2630" s="252"/>
      <c r="G2630" s="252"/>
      <c r="H2630" s="252"/>
      <c r="I2630" s="252"/>
      <c r="J2630" s="252"/>
      <c r="K2630" s="252"/>
      <c r="L2630"/>
      <c r="M2630"/>
    </row>
    <row r="2631" spans="1:13" s="79" customFormat="1" x14ac:dyDescent="0.35">
      <c r="A2631" s="251"/>
      <c r="B2631" s="22"/>
      <c r="C2631" s="252"/>
      <c r="D2631" s="252"/>
      <c r="E2631" s="252"/>
      <c r="F2631" s="252"/>
      <c r="G2631" s="252"/>
      <c r="H2631" s="252"/>
      <c r="I2631" s="252"/>
      <c r="J2631" s="252"/>
      <c r="K2631" s="252"/>
      <c r="L2631"/>
      <c r="M2631"/>
    </row>
    <row r="2632" spans="1:13" s="79" customFormat="1" x14ac:dyDescent="0.35">
      <c r="A2632" s="251"/>
      <c r="B2632" s="22"/>
      <c r="C2632" s="252"/>
      <c r="D2632" s="252"/>
      <c r="E2632" s="252"/>
      <c r="F2632" s="252"/>
      <c r="G2632" s="252"/>
      <c r="H2632" s="252"/>
      <c r="I2632" s="252"/>
      <c r="J2632" s="252"/>
      <c r="K2632" s="252"/>
      <c r="L2632"/>
      <c r="M2632"/>
    </row>
    <row r="2633" spans="1:13" s="79" customFormat="1" x14ac:dyDescent="0.35">
      <c r="A2633" s="251"/>
      <c r="B2633" s="22"/>
      <c r="C2633" s="252"/>
      <c r="D2633" s="252"/>
      <c r="E2633" s="252"/>
      <c r="F2633" s="252"/>
      <c r="G2633" s="252"/>
      <c r="H2633" s="252"/>
      <c r="I2633" s="252"/>
      <c r="J2633" s="252"/>
      <c r="K2633" s="252"/>
      <c r="L2633"/>
      <c r="M2633"/>
    </row>
    <row r="2634" spans="1:13" s="79" customFormat="1" x14ac:dyDescent="0.35">
      <c r="A2634" s="251"/>
      <c r="B2634" s="22"/>
      <c r="C2634" s="252"/>
      <c r="D2634" s="252"/>
      <c r="E2634" s="252"/>
      <c r="F2634" s="252"/>
      <c r="G2634" s="252"/>
      <c r="H2634" s="252"/>
      <c r="I2634" s="252"/>
      <c r="J2634" s="252"/>
      <c r="K2634" s="252"/>
      <c r="L2634"/>
      <c r="M2634"/>
    </row>
    <row r="2635" spans="1:13" s="79" customFormat="1" x14ac:dyDescent="0.35">
      <c r="A2635" s="251"/>
      <c r="B2635" s="22"/>
      <c r="C2635" s="252"/>
      <c r="D2635" s="252"/>
      <c r="E2635" s="252"/>
      <c r="F2635" s="252"/>
      <c r="G2635" s="252"/>
      <c r="H2635" s="252"/>
      <c r="I2635" s="252"/>
      <c r="J2635" s="252"/>
      <c r="K2635" s="252"/>
      <c r="L2635"/>
      <c r="M2635"/>
    </row>
    <row r="2636" spans="1:13" s="79" customFormat="1" x14ac:dyDescent="0.35">
      <c r="A2636" s="251"/>
      <c r="B2636" s="22"/>
      <c r="C2636" s="252"/>
      <c r="D2636" s="252"/>
      <c r="E2636" s="252"/>
      <c r="F2636" s="252"/>
      <c r="G2636" s="252"/>
      <c r="H2636" s="252"/>
      <c r="I2636" s="252"/>
      <c r="J2636" s="252"/>
      <c r="K2636" s="252"/>
      <c r="L2636"/>
      <c r="M2636"/>
    </row>
    <row r="2637" spans="1:13" s="79" customFormat="1" x14ac:dyDescent="0.35">
      <c r="A2637" s="251"/>
      <c r="B2637" s="22"/>
      <c r="C2637" s="252"/>
      <c r="D2637" s="252"/>
      <c r="E2637" s="252"/>
      <c r="F2637" s="252"/>
      <c r="G2637" s="252"/>
      <c r="H2637" s="252"/>
      <c r="I2637" s="252"/>
      <c r="J2637" s="252"/>
      <c r="K2637" s="252"/>
      <c r="L2637"/>
      <c r="M2637"/>
    </row>
    <row r="2638" spans="1:13" s="79" customFormat="1" x14ac:dyDescent="0.35">
      <c r="A2638" s="251"/>
      <c r="B2638" s="22"/>
      <c r="C2638" s="252"/>
      <c r="D2638" s="252"/>
      <c r="E2638" s="252"/>
      <c r="F2638" s="252"/>
      <c r="G2638" s="252"/>
      <c r="H2638" s="252"/>
      <c r="I2638" s="252"/>
      <c r="J2638" s="252"/>
      <c r="K2638" s="252"/>
      <c r="L2638"/>
      <c r="M2638"/>
    </row>
    <row r="2639" spans="1:13" s="79" customFormat="1" x14ac:dyDescent="0.35">
      <c r="A2639" s="251"/>
      <c r="B2639" s="22"/>
      <c r="C2639" s="252"/>
      <c r="D2639" s="252"/>
      <c r="E2639" s="252"/>
      <c r="F2639" s="252"/>
      <c r="G2639" s="252"/>
      <c r="H2639" s="252"/>
      <c r="I2639" s="252"/>
      <c r="J2639" s="252"/>
      <c r="K2639" s="252"/>
      <c r="L2639"/>
      <c r="M2639"/>
    </row>
    <row r="2640" spans="1:13" s="79" customFormat="1" x14ac:dyDescent="0.35">
      <c r="A2640" s="251"/>
      <c r="B2640" s="22"/>
      <c r="C2640" s="252"/>
      <c r="D2640" s="252"/>
      <c r="E2640" s="252"/>
      <c r="F2640" s="252"/>
      <c r="G2640" s="252"/>
      <c r="H2640" s="252"/>
      <c r="I2640" s="252"/>
      <c r="J2640" s="252"/>
      <c r="K2640" s="252"/>
      <c r="L2640"/>
      <c r="M2640"/>
    </row>
    <row r="2641" spans="1:13" s="79" customFormat="1" x14ac:dyDescent="0.35">
      <c r="A2641" s="251"/>
      <c r="B2641" s="22"/>
      <c r="C2641" s="252"/>
      <c r="D2641" s="252"/>
      <c r="E2641" s="252"/>
      <c r="F2641" s="252"/>
      <c r="G2641" s="252"/>
      <c r="H2641" s="252"/>
      <c r="I2641" s="252"/>
      <c r="J2641" s="252"/>
      <c r="K2641" s="252"/>
      <c r="L2641"/>
      <c r="M2641"/>
    </row>
    <row r="2642" spans="1:13" s="79" customFormat="1" x14ac:dyDescent="0.35">
      <c r="A2642" s="251"/>
      <c r="B2642" s="22"/>
      <c r="C2642" s="252"/>
      <c r="D2642" s="252"/>
      <c r="E2642" s="252"/>
      <c r="F2642" s="252"/>
      <c r="G2642" s="252"/>
      <c r="H2642" s="252"/>
      <c r="I2642" s="252"/>
      <c r="J2642" s="252"/>
      <c r="K2642" s="252"/>
      <c r="L2642"/>
      <c r="M2642"/>
    </row>
    <row r="2643" spans="1:13" s="79" customFormat="1" x14ac:dyDescent="0.35">
      <c r="A2643" s="251"/>
      <c r="B2643" s="22"/>
      <c r="C2643" s="252"/>
      <c r="D2643" s="252"/>
      <c r="E2643" s="252"/>
      <c r="F2643" s="252"/>
      <c r="G2643" s="252"/>
      <c r="H2643" s="252"/>
      <c r="I2643" s="252"/>
      <c r="J2643" s="252"/>
      <c r="K2643" s="252"/>
      <c r="L2643"/>
      <c r="M2643"/>
    </row>
    <row r="2644" spans="1:13" s="79" customFormat="1" x14ac:dyDescent="0.35">
      <c r="A2644" s="251"/>
      <c r="B2644" s="22"/>
      <c r="C2644" s="252"/>
      <c r="D2644" s="252"/>
      <c r="E2644" s="252"/>
      <c r="F2644" s="252"/>
      <c r="G2644" s="252"/>
      <c r="H2644" s="252"/>
      <c r="I2644" s="252"/>
      <c r="J2644" s="252"/>
      <c r="K2644" s="252"/>
      <c r="L2644"/>
      <c r="M2644"/>
    </row>
    <row r="2645" spans="1:13" s="79" customFormat="1" x14ac:dyDescent="0.35">
      <c r="A2645" s="251"/>
      <c r="B2645" s="22"/>
      <c r="C2645" s="252"/>
      <c r="D2645" s="252"/>
      <c r="E2645" s="252"/>
      <c r="F2645" s="252"/>
      <c r="G2645" s="252"/>
      <c r="H2645" s="252"/>
      <c r="I2645" s="252"/>
      <c r="J2645" s="252"/>
      <c r="K2645" s="252"/>
      <c r="L2645"/>
      <c r="M2645"/>
    </row>
    <row r="2646" spans="1:13" s="79" customFormat="1" x14ac:dyDescent="0.35">
      <c r="A2646" s="251"/>
      <c r="B2646" s="22"/>
      <c r="C2646" s="252"/>
      <c r="D2646" s="252"/>
      <c r="E2646" s="252"/>
      <c r="F2646" s="252"/>
      <c r="G2646" s="252"/>
      <c r="H2646" s="252"/>
      <c r="I2646" s="252"/>
      <c r="J2646" s="252"/>
      <c r="K2646" s="252"/>
      <c r="L2646"/>
      <c r="M2646"/>
    </row>
    <row r="2647" spans="1:13" s="79" customFormat="1" x14ac:dyDescent="0.35">
      <c r="A2647" s="251"/>
      <c r="B2647" s="22"/>
      <c r="C2647" s="252"/>
      <c r="D2647" s="252"/>
      <c r="E2647" s="252"/>
      <c r="F2647" s="252"/>
      <c r="G2647" s="252"/>
      <c r="H2647" s="252"/>
      <c r="I2647" s="252"/>
      <c r="J2647" s="252"/>
      <c r="K2647" s="252"/>
      <c r="L2647"/>
      <c r="M2647"/>
    </row>
    <row r="2648" spans="1:13" s="79" customFormat="1" x14ac:dyDescent="0.35">
      <c r="A2648" s="251"/>
      <c r="B2648" s="22"/>
      <c r="C2648" s="252"/>
      <c r="D2648" s="252"/>
      <c r="E2648" s="252"/>
      <c r="F2648" s="252"/>
      <c r="G2648" s="252"/>
      <c r="H2648" s="252"/>
      <c r="I2648" s="252"/>
      <c r="J2648" s="252"/>
      <c r="K2648" s="252"/>
      <c r="L2648"/>
      <c r="M2648"/>
    </row>
    <row r="2649" spans="1:13" s="79" customFormat="1" x14ac:dyDescent="0.35">
      <c r="A2649" s="251"/>
      <c r="B2649" s="22"/>
      <c r="C2649" s="252"/>
      <c r="D2649" s="252"/>
      <c r="E2649" s="252"/>
      <c r="F2649" s="252"/>
      <c r="G2649" s="252"/>
      <c r="H2649" s="252"/>
      <c r="I2649" s="252"/>
      <c r="J2649" s="252"/>
      <c r="K2649" s="252"/>
      <c r="L2649"/>
      <c r="M2649"/>
    </row>
    <row r="2650" spans="1:13" s="79" customFormat="1" x14ac:dyDescent="0.35">
      <c r="A2650" s="251"/>
      <c r="B2650" s="22"/>
      <c r="C2650" s="252"/>
      <c r="D2650" s="252"/>
      <c r="E2650" s="252"/>
      <c r="F2650" s="252"/>
      <c r="G2650" s="252"/>
      <c r="H2650" s="252"/>
      <c r="I2650" s="252"/>
      <c r="J2650" s="252"/>
      <c r="K2650" s="252"/>
      <c r="L2650"/>
      <c r="M2650"/>
    </row>
    <row r="2651" spans="1:13" s="79" customFormat="1" x14ac:dyDescent="0.35">
      <c r="A2651" s="251"/>
      <c r="B2651" s="22"/>
      <c r="C2651" s="252"/>
      <c r="D2651" s="252"/>
      <c r="E2651" s="252"/>
      <c r="F2651" s="252"/>
      <c r="G2651" s="252"/>
      <c r="H2651" s="252"/>
      <c r="I2651" s="252"/>
      <c r="J2651" s="252"/>
      <c r="K2651" s="252"/>
      <c r="L2651"/>
      <c r="M2651"/>
    </row>
    <row r="2652" spans="1:13" s="79" customFormat="1" x14ac:dyDescent="0.35">
      <c r="A2652" s="251"/>
      <c r="B2652" s="22"/>
      <c r="C2652" s="252"/>
      <c r="D2652" s="252"/>
      <c r="E2652" s="252"/>
      <c r="F2652" s="252"/>
      <c r="G2652" s="252"/>
      <c r="H2652" s="252"/>
      <c r="I2652" s="252"/>
      <c r="J2652" s="252"/>
      <c r="K2652" s="252"/>
      <c r="L2652"/>
      <c r="M2652"/>
    </row>
    <row r="2653" spans="1:13" s="79" customFormat="1" x14ac:dyDescent="0.35">
      <c r="A2653" s="251"/>
      <c r="B2653" s="22"/>
      <c r="C2653" s="252"/>
      <c r="D2653" s="252"/>
      <c r="E2653" s="252"/>
      <c r="F2653" s="252"/>
      <c r="G2653" s="252"/>
      <c r="H2653" s="252"/>
      <c r="I2653" s="252"/>
      <c r="J2653" s="252"/>
      <c r="K2653" s="252"/>
      <c r="L2653"/>
      <c r="M2653"/>
    </row>
    <row r="2654" spans="1:13" s="79" customFormat="1" x14ac:dyDescent="0.35">
      <c r="A2654" s="251"/>
      <c r="B2654" s="22"/>
      <c r="C2654" s="252"/>
      <c r="D2654" s="252"/>
      <c r="E2654" s="252"/>
      <c r="F2654" s="252"/>
      <c r="G2654" s="252"/>
      <c r="H2654" s="252"/>
      <c r="I2654" s="252"/>
      <c r="J2654" s="252"/>
      <c r="K2654" s="252"/>
      <c r="L2654"/>
      <c r="M2654"/>
    </row>
    <row r="2655" spans="1:13" s="79" customFormat="1" x14ac:dyDescent="0.35">
      <c r="A2655" s="251"/>
      <c r="B2655" s="22"/>
      <c r="C2655" s="252"/>
      <c r="D2655" s="252"/>
      <c r="E2655" s="252"/>
      <c r="F2655" s="252"/>
      <c r="G2655" s="252"/>
      <c r="H2655" s="252"/>
      <c r="I2655" s="252"/>
      <c r="J2655" s="252"/>
      <c r="K2655" s="252"/>
      <c r="L2655"/>
      <c r="M2655"/>
    </row>
    <row r="2656" spans="1:13" s="79" customFormat="1" x14ac:dyDescent="0.35">
      <c r="A2656" s="251"/>
      <c r="B2656" s="22"/>
      <c r="C2656" s="252"/>
      <c r="D2656" s="252"/>
      <c r="E2656" s="252"/>
      <c r="F2656" s="252"/>
      <c r="G2656" s="252"/>
      <c r="H2656" s="252"/>
      <c r="I2656" s="252"/>
      <c r="J2656" s="252"/>
      <c r="K2656" s="252"/>
      <c r="L2656"/>
      <c r="M2656"/>
    </row>
    <row r="2657" spans="1:13" s="79" customFormat="1" x14ac:dyDescent="0.35">
      <c r="A2657" s="251"/>
      <c r="B2657" s="22"/>
      <c r="C2657" s="252"/>
      <c r="D2657" s="252"/>
      <c r="E2657" s="252"/>
      <c r="F2657" s="252"/>
      <c r="G2657" s="252"/>
      <c r="H2657" s="252"/>
      <c r="I2657" s="252"/>
      <c r="J2657" s="252"/>
      <c r="K2657" s="252"/>
      <c r="L2657"/>
      <c r="M2657"/>
    </row>
    <row r="2658" spans="1:13" s="79" customFormat="1" x14ac:dyDescent="0.35">
      <c r="A2658" s="251"/>
      <c r="B2658" s="22"/>
      <c r="C2658" s="252"/>
      <c r="D2658" s="252"/>
      <c r="E2658" s="252"/>
      <c r="F2658" s="252"/>
      <c r="G2658" s="252"/>
      <c r="H2658" s="252"/>
      <c r="I2658" s="252"/>
      <c r="J2658" s="252"/>
      <c r="K2658" s="252"/>
      <c r="L2658"/>
      <c r="M2658"/>
    </row>
    <row r="2659" spans="1:13" s="79" customFormat="1" x14ac:dyDescent="0.35">
      <c r="A2659" s="251"/>
      <c r="B2659" s="22"/>
      <c r="C2659" s="252"/>
      <c r="D2659" s="252"/>
      <c r="E2659" s="252"/>
      <c r="F2659" s="252"/>
      <c r="G2659" s="252"/>
      <c r="H2659" s="252"/>
      <c r="I2659" s="252"/>
      <c r="J2659" s="252"/>
      <c r="K2659" s="252"/>
      <c r="L2659"/>
      <c r="M2659"/>
    </row>
    <row r="2660" spans="1:13" s="79" customFormat="1" x14ac:dyDescent="0.35">
      <c r="A2660" s="251"/>
      <c r="B2660" s="22"/>
      <c r="C2660" s="252"/>
      <c r="D2660" s="252"/>
      <c r="E2660" s="252"/>
      <c r="F2660" s="252"/>
      <c r="G2660" s="252"/>
      <c r="H2660" s="252"/>
      <c r="I2660" s="252"/>
      <c r="J2660" s="252"/>
      <c r="K2660" s="252"/>
      <c r="L2660"/>
      <c r="M2660"/>
    </row>
    <row r="2661" spans="1:13" s="79" customFormat="1" x14ac:dyDescent="0.35">
      <c r="A2661" s="251"/>
      <c r="B2661" s="22"/>
      <c r="C2661" s="252"/>
      <c r="D2661" s="252"/>
      <c r="E2661" s="252"/>
      <c r="F2661" s="252"/>
      <c r="G2661" s="252"/>
      <c r="H2661" s="252"/>
      <c r="I2661" s="252"/>
      <c r="J2661" s="252"/>
      <c r="K2661" s="252"/>
      <c r="L2661"/>
      <c r="M2661"/>
    </row>
    <row r="2662" spans="1:13" s="79" customFormat="1" x14ac:dyDescent="0.35">
      <c r="A2662" s="251"/>
      <c r="B2662" s="22"/>
      <c r="C2662" s="252"/>
      <c r="D2662" s="252"/>
      <c r="E2662" s="252"/>
      <c r="F2662" s="252"/>
      <c r="G2662" s="252"/>
      <c r="H2662" s="252"/>
      <c r="I2662" s="252"/>
      <c r="J2662" s="252"/>
      <c r="K2662" s="252"/>
      <c r="L2662"/>
      <c r="M2662"/>
    </row>
    <row r="2663" spans="1:13" s="79" customFormat="1" x14ac:dyDescent="0.35">
      <c r="A2663" s="251"/>
      <c r="B2663" s="22"/>
      <c r="C2663" s="252"/>
      <c r="D2663" s="252"/>
      <c r="E2663" s="252"/>
      <c r="F2663" s="252"/>
      <c r="G2663" s="252"/>
      <c r="H2663" s="252"/>
      <c r="I2663" s="252"/>
      <c r="J2663" s="252"/>
      <c r="K2663" s="252"/>
      <c r="L2663"/>
      <c r="M2663"/>
    </row>
    <row r="2664" spans="1:13" s="79" customFormat="1" x14ac:dyDescent="0.35">
      <c r="A2664" s="251"/>
      <c r="B2664" s="22"/>
      <c r="C2664" s="252"/>
      <c r="D2664" s="252"/>
      <c r="E2664" s="252"/>
      <c r="F2664" s="252"/>
      <c r="G2664" s="252"/>
      <c r="H2664" s="252"/>
      <c r="I2664" s="252"/>
      <c r="J2664" s="252"/>
      <c r="K2664" s="252"/>
      <c r="L2664"/>
      <c r="M2664"/>
    </row>
    <row r="2665" spans="1:13" s="79" customFormat="1" x14ac:dyDescent="0.35">
      <c r="A2665" s="251"/>
      <c r="B2665" s="22"/>
      <c r="C2665" s="252"/>
      <c r="D2665" s="252"/>
      <c r="E2665" s="252"/>
      <c r="F2665" s="252"/>
      <c r="G2665" s="252"/>
      <c r="H2665" s="252"/>
      <c r="I2665" s="252"/>
      <c r="J2665" s="252"/>
      <c r="K2665" s="252"/>
      <c r="L2665"/>
      <c r="M2665"/>
    </row>
    <row r="2666" spans="1:13" s="79" customFormat="1" x14ac:dyDescent="0.35">
      <c r="A2666" s="251"/>
      <c r="B2666" s="22"/>
      <c r="C2666" s="252"/>
      <c r="D2666" s="252"/>
      <c r="E2666" s="252"/>
      <c r="F2666" s="252"/>
      <c r="G2666" s="252"/>
      <c r="H2666" s="252"/>
      <c r="I2666" s="252"/>
      <c r="J2666" s="252"/>
      <c r="K2666" s="252"/>
      <c r="L2666"/>
      <c r="M2666"/>
    </row>
    <row r="2667" spans="1:13" s="79" customFormat="1" x14ac:dyDescent="0.35">
      <c r="A2667" s="251"/>
      <c r="B2667" s="22"/>
      <c r="C2667" s="252"/>
      <c r="D2667" s="252"/>
      <c r="E2667" s="252"/>
      <c r="F2667" s="252"/>
      <c r="G2667" s="252"/>
      <c r="H2667" s="252"/>
      <c r="I2667" s="252"/>
      <c r="J2667" s="252"/>
      <c r="K2667" s="252"/>
      <c r="L2667"/>
      <c r="M2667"/>
    </row>
    <row r="2668" spans="1:13" s="79" customFormat="1" x14ac:dyDescent="0.35">
      <c r="A2668" s="251"/>
      <c r="B2668" s="22"/>
      <c r="C2668" s="252"/>
      <c r="D2668" s="252"/>
      <c r="E2668" s="252"/>
      <c r="F2668" s="252"/>
      <c r="G2668" s="252"/>
      <c r="H2668" s="252"/>
      <c r="I2668" s="252"/>
      <c r="J2668" s="252"/>
      <c r="K2668" s="252"/>
      <c r="L2668"/>
      <c r="M2668"/>
    </row>
    <row r="2669" spans="1:13" s="79" customFormat="1" x14ac:dyDescent="0.35">
      <c r="A2669" s="251"/>
      <c r="B2669" s="22"/>
      <c r="C2669" s="252"/>
      <c r="D2669" s="252"/>
      <c r="E2669" s="252"/>
      <c r="F2669" s="252"/>
      <c r="G2669" s="252"/>
      <c r="H2669" s="252"/>
      <c r="I2669" s="252"/>
      <c r="J2669" s="252"/>
      <c r="K2669" s="252"/>
      <c r="L2669"/>
      <c r="M2669"/>
    </row>
    <row r="2670" spans="1:13" s="79" customFormat="1" x14ac:dyDescent="0.35">
      <c r="A2670" s="251"/>
      <c r="B2670" s="22"/>
      <c r="C2670" s="252"/>
      <c r="D2670" s="252"/>
      <c r="E2670" s="252"/>
      <c r="F2670" s="252"/>
      <c r="G2670" s="252"/>
      <c r="H2670" s="252"/>
      <c r="I2670" s="252"/>
      <c r="J2670" s="252"/>
      <c r="K2670" s="252"/>
      <c r="L2670"/>
      <c r="M2670"/>
    </row>
    <row r="2671" spans="1:13" s="79" customFormat="1" x14ac:dyDescent="0.35">
      <c r="A2671" s="251"/>
      <c r="B2671" s="22"/>
      <c r="C2671" s="252"/>
      <c r="D2671" s="252"/>
      <c r="E2671" s="252"/>
      <c r="F2671" s="252"/>
      <c r="G2671" s="252"/>
      <c r="H2671" s="252"/>
      <c r="I2671" s="252"/>
      <c r="J2671" s="252"/>
      <c r="K2671" s="252"/>
      <c r="L2671"/>
      <c r="M2671"/>
    </row>
    <row r="2672" spans="1:13" s="79" customFormat="1" x14ac:dyDescent="0.35">
      <c r="A2672" s="251"/>
      <c r="B2672" s="22"/>
      <c r="C2672" s="252"/>
      <c r="D2672" s="252"/>
      <c r="E2672" s="252"/>
      <c r="F2672" s="252"/>
      <c r="G2672" s="252"/>
      <c r="H2672" s="252"/>
      <c r="I2672" s="252"/>
      <c r="J2672" s="252"/>
      <c r="K2672" s="252"/>
      <c r="L2672"/>
      <c r="M2672"/>
    </row>
    <row r="2673" spans="1:13" s="79" customFormat="1" x14ac:dyDescent="0.35">
      <c r="A2673" s="251"/>
      <c r="B2673" s="22"/>
      <c r="C2673" s="252"/>
      <c r="D2673" s="252"/>
      <c r="E2673" s="252"/>
      <c r="F2673" s="252"/>
      <c r="G2673" s="252"/>
      <c r="H2673" s="252"/>
      <c r="I2673" s="252"/>
      <c r="J2673" s="252"/>
      <c r="K2673" s="252"/>
      <c r="L2673"/>
      <c r="M2673"/>
    </row>
    <row r="2674" spans="1:13" s="79" customFormat="1" x14ac:dyDescent="0.35">
      <c r="A2674" s="251"/>
      <c r="B2674" s="22"/>
      <c r="C2674" s="252"/>
      <c r="D2674" s="252"/>
      <c r="E2674" s="252"/>
      <c r="F2674" s="252"/>
      <c r="G2674" s="252"/>
      <c r="H2674" s="252"/>
      <c r="I2674" s="252"/>
      <c r="J2674" s="252"/>
      <c r="K2674" s="252"/>
      <c r="L2674"/>
      <c r="M2674"/>
    </row>
    <row r="2675" spans="1:13" s="79" customFormat="1" x14ac:dyDescent="0.35">
      <c r="A2675" s="251"/>
      <c r="B2675" s="22"/>
      <c r="C2675" s="252"/>
      <c r="D2675" s="252"/>
      <c r="E2675" s="252"/>
      <c r="F2675" s="252"/>
      <c r="G2675" s="252"/>
      <c r="H2675" s="252"/>
      <c r="I2675" s="252"/>
      <c r="J2675" s="252"/>
      <c r="K2675" s="252"/>
      <c r="L2675"/>
      <c r="M2675"/>
    </row>
    <row r="2676" spans="1:13" s="79" customFormat="1" x14ac:dyDescent="0.35">
      <c r="A2676" s="251"/>
      <c r="B2676" s="22"/>
      <c r="C2676" s="252"/>
      <c r="D2676" s="252"/>
      <c r="E2676" s="252"/>
      <c r="F2676" s="252"/>
      <c r="G2676" s="252"/>
      <c r="H2676" s="252"/>
      <c r="I2676" s="252"/>
      <c r="J2676" s="252"/>
      <c r="K2676" s="252"/>
      <c r="L2676"/>
      <c r="M2676"/>
    </row>
    <row r="2677" spans="1:13" s="79" customFormat="1" x14ac:dyDescent="0.35">
      <c r="A2677" s="251"/>
      <c r="B2677" s="22"/>
      <c r="C2677" s="252"/>
      <c r="D2677" s="252"/>
      <c r="E2677" s="252"/>
      <c r="F2677" s="252"/>
      <c r="G2677" s="252"/>
      <c r="H2677" s="252"/>
      <c r="I2677" s="252"/>
      <c r="J2677" s="252"/>
      <c r="K2677" s="252"/>
      <c r="L2677"/>
      <c r="M2677"/>
    </row>
    <row r="2678" spans="1:13" s="79" customFormat="1" x14ac:dyDescent="0.35">
      <c r="A2678" s="251"/>
      <c r="B2678" s="22"/>
      <c r="C2678" s="252"/>
      <c r="D2678" s="252"/>
      <c r="E2678" s="252"/>
      <c r="F2678" s="252"/>
      <c r="G2678" s="252"/>
      <c r="H2678" s="252"/>
      <c r="I2678" s="252"/>
      <c r="J2678" s="252"/>
      <c r="K2678" s="252"/>
      <c r="L2678"/>
      <c r="M2678"/>
    </row>
    <row r="2679" spans="1:13" s="79" customFormat="1" x14ac:dyDescent="0.35">
      <c r="A2679" s="251"/>
      <c r="B2679" s="22"/>
      <c r="C2679" s="252"/>
      <c r="D2679" s="252"/>
      <c r="E2679" s="252"/>
      <c r="F2679" s="252"/>
      <c r="G2679" s="252"/>
      <c r="H2679" s="252"/>
      <c r="I2679" s="252"/>
      <c r="J2679" s="252"/>
      <c r="K2679" s="252"/>
      <c r="L2679"/>
      <c r="M2679"/>
    </row>
    <row r="2680" spans="1:13" s="79" customFormat="1" x14ac:dyDescent="0.35">
      <c r="A2680" s="251"/>
      <c r="B2680" s="22"/>
      <c r="C2680" s="252"/>
      <c r="D2680" s="252"/>
      <c r="E2680" s="252"/>
      <c r="F2680" s="252"/>
      <c r="G2680" s="252"/>
      <c r="H2680" s="252"/>
      <c r="I2680" s="252"/>
      <c r="J2680" s="252"/>
      <c r="K2680" s="252"/>
      <c r="L2680"/>
      <c r="M2680"/>
    </row>
    <row r="2681" spans="1:13" s="79" customFormat="1" x14ac:dyDescent="0.35">
      <c r="A2681" s="251"/>
      <c r="B2681" s="22"/>
      <c r="C2681" s="252"/>
      <c r="D2681" s="252"/>
      <c r="E2681" s="252"/>
      <c r="F2681" s="252"/>
      <c r="G2681" s="252"/>
      <c r="H2681" s="252"/>
      <c r="I2681" s="252"/>
      <c r="J2681" s="252"/>
      <c r="K2681" s="252"/>
      <c r="L2681"/>
      <c r="M2681"/>
    </row>
    <row r="2682" spans="1:13" s="79" customFormat="1" x14ac:dyDescent="0.35">
      <c r="A2682" s="251"/>
      <c r="B2682" s="22"/>
      <c r="C2682" s="252"/>
      <c r="D2682" s="252"/>
      <c r="E2682" s="252"/>
      <c r="F2682" s="252"/>
      <c r="G2682" s="252"/>
      <c r="H2682" s="252"/>
      <c r="I2682" s="252"/>
      <c r="J2682" s="252"/>
      <c r="K2682" s="252"/>
      <c r="L2682"/>
      <c r="M2682"/>
    </row>
    <row r="2683" spans="1:13" s="79" customFormat="1" x14ac:dyDescent="0.35">
      <c r="A2683" s="251"/>
      <c r="B2683" s="22"/>
      <c r="C2683" s="252"/>
      <c r="D2683" s="252"/>
      <c r="E2683" s="252"/>
      <c r="F2683" s="252"/>
      <c r="G2683" s="252"/>
      <c r="H2683" s="252"/>
      <c r="I2683" s="252"/>
      <c r="J2683" s="252"/>
      <c r="K2683" s="252"/>
      <c r="L2683"/>
      <c r="M2683"/>
    </row>
    <row r="2684" spans="1:13" s="79" customFormat="1" x14ac:dyDescent="0.35">
      <c r="A2684" s="251"/>
      <c r="B2684" s="22"/>
      <c r="C2684" s="252"/>
      <c r="D2684" s="252"/>
      <c r="E2684" s="252"/>
      <c r="F2684" s="252"/>
      <c r="G2684" s="252"/>
      <c r="H2684" s="252"/>
      <c r="I2684" s="252"/>
      <c r="J2684" s="252"/>
      <c r="K2684" s="252"/>
      <c r="L2684"/>
      <c r="M2684"/>
    </row>
    <row r="2685" spans="1:13" s="79" customFormat="1" x14ac:dyDescent="0.35">
      <c r="A2685" s="251"/>
      <c r="B2685" s="22"/>
      <c r="C2685" s="252"/>
      <c r="D2685" s="252"/>
      <c r="E2685" s="252"/>
      <c r="F2685" s="252"/>
      <c r="G2685" s="252"/>
      <c r="H2685" s="252"/>
      <c r="I2685" s="252"/>
      <c r="J2685" s="252"/>
      <c r="K2685" s="252"/>
      <c r="L2685"/>
      <c r="M2685"/>
    </row>
    <row r="2686" spans="1:13" s="79" customFormat="1" x14ac:dyDescent="0.35">
      <c r="A2686" s="251"/>
      <c r="B2686" s="22"/>
      <c r="C2686" s="252"/>
      <c r="D2686" s="252"/>
      <c r="E2686" s="252"/>
      <c r="F2686" s="252"/>
      <c r="G2686" s="252"/>
      <c r="H2686" s="252"/>
      <c r="I2686" s="252"/>
      <c r="J2686" s="252"/>
      <c r="K2686" s="252"/>
      <c r="L2686"/>
      <c r="M2686"/>
    </row>
    <row r="2687" spans="1:13" s="79" customFormat="1" x14ac:dyDescent="0.35">
      <c r="A2687" s="251"/>
      <c r="B2687" s="22"/>
      <c r="C2687" s="252"/>
      <c r="D2687" s="252"/>
      <c r="E2687" s="252"/>
      <c r="F2687" s="252"/>
      <c r="G2687" s="252"/>
      <c r="H2687" s="252"/>
      <c r="I2687" s="252"/>
      <c r="J2687" s="252"/>
      <c r="K2687" s="252"/>
      <c r="L2687"/>
      <c r="M2687"/>
    </row>
    <row r="2688" spans="1:13" s="79" customFormat="1" x14ac:dyDescent="0.35">
      <c r="A2688" s="251"/>
      <c r="B2688" s="22"/>
      <c r="C2688" s="252"/>
      <c r="D2688" s="252"/>
      <c r="E2688" s="252"/>
      <c r="F2688" s="252"/>
      <c r="G2688" s="252"/>
      <c r="H2688" s="252"/>
      <c r="I2688" s="252"/>
      <c r="J2688" s="252"/>
      <c r="K2688" s="252"/>
      <c r="L2688"/>
      <c r="M2688"/>
    </row>
    <row r="2689" spans="1:13" s="79" customFormat="1" x14ac:dyDescent="0.35">
      <c r="A2689" s="251"/>
      <c r="B2689" s="22"/>
      <c r="C2689" s="252"/>
      <c r="D2689" s="252"/>
      <c r="E2689" s="252"/>
      <c r="F2689" s="252"/>
      <c r="G2689" s="252"/>
      <c r="H2689" s="252"/>
      <c r="I2689" s="252"/>
      <c r="J2689" s="252"/>
      <c r="K2689" s="252"/>
      <c r="L2689"/>
      <c r="M2689"/>
    </row>
    <row r="2690" spans="1:13" s="79" customFormat="1" x14ac:dyDescent="0.35">
      <c r="A2690" s="251"/>
      <c r="B2690" s="22"/>
      <c r="C2690" s="252"/>
      <c r="D2690" s="252"/>
      <c r="E2690" s="252"/>
      <c r="F2690" s="252"/>
      <c r="G2690" s="252"/>
      <c r="H2690" s="252"/>
      <c r="I2690" s="252"/>
      <c r="J2690" s="252"/>
      <c r="K2690" s="252"/>
      <c r="L2690"/>
      <c r="M2690"/>
    </row>
    <row r="2691" spans="1:13" s="79" customFormat="1" x14ac:dyDescent="0.35">
      <c r="A2691" s="251"/>
      <c r="B2691" s="22"/>
      <c r="C2691" s="252"/>
      <c r="D2691" s="252"/>
      <c r="E2691" s="252"/>
      <c r="F2691" s="252"/>
      <c r="G2691" s="252"/>
      <c r="H2691" s="252"/>
      <c r="I2691" s="252"/>
      <c r="J2691" s="252"/>
      <c r="K2691" s="252"/>
      <c r="L2691"/>
      <c r="M2691"/>
    </row>
    <row r="2692" spans="1:13" s="79" customFormat="1" x14ac:dyDescent="0.35">
      <c r="A2692" s="251"/>
      <c r="B2692" s="22"/>
      <c r="C2692" s="252"/>
      <c r="D2692" s="252"/>
      <c r="E2692" s="252"/>
      <c r="F2692" s="252"/>
      <c r="G2692" s="252"/>
      <c r="H2692" s="252"/>
      <c r="I2692" s="252"/>
      <c r="J2692" s="252"/>
      <c r="K2692" s="252"/>
      <c r="L2692"/>
      <c r="M2692"/>
    </row>
    <row r="2693" spans="1:13" s="79" customFormat="1" x14ac:dyDescent="0.35">
      <c r="A2693" s="251"/>
      <c r="B2693" s="22"/>
      <c r="C2693" s="252"/>
      <c r="D2693" s="252"/>
      <c r="E2693" s="252"/>
      <c r="F2693" s="252"/>
      <c r="G2693" s="252"/>
      <c r="H2693" s="252"/>
      <c r="I2693" s="252"/>
      <c r="J2693" s="252"/>
      <c r="K2693" s="252"/>
      <c r="L2693"/>
      <c r="M2693"/>
    </row>
    <row r="2694" spans="1:13" s="79" customFormat="1" x14ac:dyDescent="0.35">
      <c r="A2694" s="251"/>
      <c r="B2694" s="22"/>
      <c r="C2694" s="252"/>
      <c r="D2694" s="252"/>
      <c r="E2694" s="252"/>
      <c r="F2694" s="252"/>
      <c r="G2694" s="252"/>
      <c r="H2694" s="252"/>
      <c r="I2694" s="252"/>
      <c r="J2694" s="252"/>
      <c r="K2694" s="252"/>
      <c r="L2694"/>
      <c r="M2694"/>
    </row>
    <row r="2695" spans="1:13" s="79" customFormat="1" x14ac:dyDescent="0.35">
      <c r="A2695" s="251"/>
      <c r="B2695" s="22"/>
      <c r="C2695" s="252"/>
      <c r="D2695" s="252"/>
      <c r="E2695" s="252"/>
      <c r="F2695" s="252"/>
      <c r="G2695" s="252"/>
      <c r="H2695" s="252"/>
      <c r="I2695" s="252"/>
      <c r="J2695" s="252"/>
      <c r="K2695" s="252"/>
      <c r="L2695"/>
      <c r="M2695"/>
    </row>
    <row r="2696" spans="1:13" s="79" customFormat="1" x14ac:dyDescent="0.35">
      <c r="A2696" s="251"/>
      <c r="B2696" s="22"/>
      <c r="C2696" s="252"/>
      <c r="D2696" s="252"/>
      <c r="E2696" s="252"/>
      <c r="F2696" s="252"/>
      <c r="G2696" s="252"/>
      <c r="H2696" s="252"/>
      <c r="I2696" s="252"/>
      <c r="J2696" s="252"/>
      <c r="K2696" s="252"/>
      <c r="L2696"/>
      <c r="M2696"/>
    </row>
    <row r="2697" spans="1:13" s="79" customFormat="1" x14ac:dyDescent="0.35">
      <c r="A2697" s="251"/>
      <c r="B2697" s="22"/>
      <c r="C2697" s="252"/>
      <c r="D2697" s="252"/>
      <c r="E2697" s="252"/>
      <c r="F2697" s="252"/>
      <c r="G2697" s="252"/>
      <c r="H2697" s="252"/>
      <c r="I2697" s="252"/>
      <c r="J2697" s="252"/>
      <c r="K2697" s="252"/>
      <c r="L2697"/>
      <c r="M2697"/>
    </row>
    <row r="2698" spans="1:13" s="79" customFormat="1" x14ac:dyDescent="0.35">
      <c r="A2698" s="251"/>
      <c r="B2698" s="22"/>
      <c r="C2698" s="252"/>
      <c r="D2698" s="252"/>
      <c r="E2698" s="252"/>
      <c r="F2698" s="252"/>
      <c r="G2698" s="252"/>
      <c r="H2698" s="252"/>
      <c r="I2698" s="252"/>
      <c r="J2698" s="252"/>
      <c r="K2698" s="252"/>
      <c r="L2698"/>
      <c r="M2698"/>
    </row>
    <row r="2699" spans="1:13" s="79" customFormat="1" x14ac:dyDescent="0.35">
      <c r="A2699" s="251"/>
      <c r="B2699" s="22"/>
      <c r="C2699" s="252"/>
      <c r="D2699" s="252"/>
      <c r="E2699" s="252"/>
      <c r="F2699" s="252"/>
      <c r="G2699" s="252"/>
      <c r="H2699" s="252"/>
      <c r="I2699" s="252"/>
      <c r="J2699" s="252"/>
      <c r="K2699" s="252"/>
      <c r="L2699"/>
      <c r="M2699"/>
    </row>
    <row r="2700" spans="1:13" s="79" customFormat="1" x14ac:dyDescent="0.35">
      <c r="A2700" s="251"/>
      <c r="B2700" s="22"/>
      <c r="C2700" s="252"/>
      <c r="D2700" s="252"/>
      <c r="E2700" s="252"/>
      <c r="F2700" s="252"/>
      <c r="G2700" s="252"/>
      <c r="H2700" s="252"/>
      <c r="I2700" s="252"/>
      <c r="J2700" s="252"/>
      <c r="K2700" s="252"/>
      <c r="L2700"/>
      <c r="M2700"/>
    </row>
    <row r="2701" spans="1:13" s="79" customFormat="1" x14ac:dyDescent="0.35">
      <c r="A2701" s="251"/>
      <c r="B2701" s="22"/>
      <c r="C2701" s="252"/>
      <c r="D2701" s="252"/>
      <c r="E2701" s="252"/>
      <c r="F2701" s="252"/>
      <c r="G2701" s="252"/>
      <c r="H2701" s="252"/>
      <c r="I2701" s="252"/>
      <c r="J2701" s="252"/>
      <c r="K2701" s="252"/>
      <c r="L2701"/>
      <c r="M2701"/>
    </row>
    <row r="2702" spans="1:13" s="79" customFormat="1" x14ac:dyDescent="0.35">
      <c r="A2702" s="251"/>
      <c r="B2702" s="22"/>
      <c r="C2702" s="252"/>
      <c r="D2702" s="252"/>
      <c r="E2702" s="252"/>
      <c r="F2702" s="252"/>
      <c r="G2702" s="252"/>
      <c r="H2702" s="252"/>
      <c r="I2702" s="252"/>
      <c r="J2702" s="252"/>
      <c r="K2702" s="252"/>
      <c r="L2702"/>
      <c r="M2702"/>
    </row>
    <row r="2703" spans="1:13" s="79" customFormat="1" x14ac:dyDescent="0.35">
      <c r="A2703" s="251"/>
      <c r="B2703" s="22"/>
      <c r="C2703" s="252"/>
      <c r="D2703" s="252"/>
      <c r="E2703" s="252"/>
      <c r="F2703" s="252"/>
      <c r="G2703" s="252"/>
      <c r="H2703" s="252"/>
      <c r="I2703" s="252"/>
      <c r="J2703" s="252"/>
      <c r="K2703" s="252"/>
      <c r="L2703"/>
      <c r="M2703"/>
    </row>
    <row r="2704" spans="1:13" s="79" customFormat="1" x14ac:dyDescent="0.35">
      <c r="A2704" s="251"/>
      <c r="B2704" s="22"/>
      <c r="C2704" s="252"/>
      <c r="D2704" s="252"/>
      <c r="E2704" s="252"/>
      <c r="F2704" s="252"/>
      <c r="G2704" s="252"/>
      <c r="H2704" s="252"/>
      <c r="I2704" s="252"/>
      <c r="J2704" s="252"/>
      <c r="K2704" s="252"/>
      <c r="L2704"/>
      <c r="M2704"/>
    </row>
    <row r="2705" spans="1:13" s="79" customFormat="1" x14ac:dyDescent="0.35">
      <c r="A2705" s="251"/>
      <c r="B2705" s="22"/>
      <c r="C2705" s="252"/>
      <c r="D2705" s="252"/>
      <c r="E2705" s="252"/>
      <c r="F2705" s="252"/>
      <c r="G2705" s="252"/>
      <c r="H2705" s="252"/>
      <c r="I2705" s="252"/>
      <c r="J2705" s="252"/>
      <c r="K2705" s="252"/>
      <c r="L2705"/>
      <c r="M2705"/>
    </row>
    <row r="2706" spans="1:13" s="79" customFormat="1" x14ac:dyDescent="0.35">
      <c r="A2706" s="251"/>
      <c r="B2706" s="22"/>
      <c r="C2706" s="252"/>
      <c r="D2706" s="252"/>
      <c r="E2706" s="252"/>
      <c r="F2706" s="252"/>
      <c r="G2706" s="252"/>
      <c r="H2706" s="252"/>
      <c r="I2706" s="252"/>
      <c r="J2706" s="252"/>
      <c r="K2706" s="252"/>
      <c r="L2706"/>
      <c r="M2706"/>
    </row>
    <row r="2707" spans="1:13" s="79" customFormat="1" x14ac:dyDescent="0.35">
      <c r="A2707" s="251"/>
      <c r="B2707" s="22"/>
      <c r="C2707" s="252"/>
      <c r="D2707" s="252"/>
      <c r="E2707" s="252"/>
      <c r="F2707" s="252"/>
      <c r="G2707" s="252"/>
      <c r="H2707" s="252"/>
      <c r="I2707" s="252"/>
      <c r="J2707" s="252"/>
      <c r="K2707" s="252"/>
      <c r="L2707"/>
      <c r="M2707"/>
    </row>
    <row r="2708" spans="1:13" s="79" customFormat="1" x14ac:dyDescent="0.35">
      <c r="A2708" s="251"/>
      <c r="B2708" s="22"/>
      <c r="C2708" s="252"/>
      <c r="D2708" s="252"/>
      <c r="E2708" s="252"/>
      <c r="F2708" s="252"/>
      <c r="G2708" s="252"/>
      <c r="H2708" s="252"/>
      <c r="I2708" s="252"/>
      <c r="J2708" s="252"/>
      <c r="K2708" s="252"/>
      <c r="L2708"/>
      <c r="M2708"/>
    </row>
    <row r="2709" spans="1:13" s="79" customFormat="1" x14ac:dyDescent="0.35">
      <c r="A2709" s="251"/>
      <c r="B2709" s="22"/>
      <c r="C2709" s="252"/>
      <c r="D2709" s="252"/>
      <c r="E2709" s="252"/>
      <c r="F2709" s="252"/>
      <c r="G2709" s="252"/>
      <c r="H2709" s="252"/>
      <c r="I2709" s="252"/>
      <c r="J2709" s="252"/>
      <c r="K2709" s="252"/>
      <c r="L2709"/>
      <c r="M2709"/>
    </row>
    <row r="2710" spans="1:13" s="79" customFormat="1" x14ac:dyDescent="0.35">
      <c r="A2710" s="251"/>
      <c r="B2710" s="22"/>
      <c r="C2710" s="252"/>
      <c r="D2710" s="252"/>
      <c r="E2710" s="252"/>
      <c r="F2710" s="252"/>
      <c r="G2710" s="252"/>
      <c r="H2710" s="252"/>
      <c r="I2710" s="252"/>
      <c r="J2710" s="252"/>
      <c r="K2710" s="252"/>
      <c r="L2710"/>
      <c r="M2710"/>
    </row>
    <row r="2711" spans="1:13" s="79" customFormat="1" x14ac:dyDescent="0.35">
      <c r="A2711" s="251"/>
      <c r="B2711" s="22"/>
      <c r="C2711" s="252"/>
      <c r="D2711" s="252"/>
      <c r="E2711" s="252"/>
      <c r="F2711" s="252"/>
      <c r="G2711" s="252"/>
      <c r="H2711" s="252"/>
      <c r="I2711" s="252"/>
      <c r="J2711" s="252"/>
      <c r="K2711" s="252"/>
      <c r="L2711"/>
      <c r="M2711"/>
    </row>
    <row r="2712" spans="1:13" s="79" customFormat="1" x14ac:dyDescent="0.35">
      <c r="A2712" s="251"/>
      <c r="B2712" s="22"/>
      <c r="C2712" s="252"/>
      <c r="D2712" s="252"/>
      <c r="E2712" s="252"/>
      <c r="F2712" s="252"/>
      <c r="G2712" s="252"/>
      <c r="H2712" s="252"/>
      <c r="I2712" s="252"/>
      <c r="J2712" s="252"/>
      <c r="K2712" s="252"/>
      <c r="L2712"/>
      <c r="M2712"/>
    </row>
    <row r="2713" spans="1:13" s="79" customFormat="1" x14ac:dyDescent="0.35">
      <c r="A2713" s="251"/>
      <c r="B2713" s="22"/>
      <c r="C2713" s="252"/>
      <c r="D2713" s="252"/>
      <c r="E2713" s="252"/>
      <c r="F2713" s="252"/>
      <c r="G2713" s="252"/>
      <c r="H2713" s="252"/>
      <c r="I2713" s="252"/>
      <c r="J2713" s="252"/>
      <c r="K2713" s="252"/>
      <c r="L2713"/>
      <c r="M2713"/>
    </row>
    <row r="2714" spans="1:13" s="79" customFormat="1" x14ac:dyDescent="0.35">
      <c r="A2714" s="251"/>
      <c r="B2714" s="22"/>
      <c r="C2714" s="252"/>
      <c r="D2714" s="252"/>
      <c r="E2714" s="252"/>
      <c r="F2714" s="252"/>
      <c r="G2714" s="252"/>
      <c r="H2714" s="252"/>
      <c r="I2714" s="252"/>
      <c r="J2714" s="252"/>
      <c r="K2714" s="252"/>
      <c r="L2714"/>
      <c r="M2714"/>
    </row>
    <row r="2715" spans="1:13" s="79" customFormat="1" x14ac:dyDescent="0.35">
      <c r="A2715" s="251"/>
      <c r="B2715" s="22"/>
      <c r="C2715" s="252"/>
      <c r="D2715" s="252"/>
      <c r="E2715" s="252"/>
      <c r="F2715" s="252"/>
      <c r="G2715" s="252"/>
      <c r="H2715" s="252"/>
      <c r="I2715" s="252"/>
      <c r="J2715" s="252"/>
      <c r="K2715" s="252"/>
      <c r="L2715"/>
      <c r="M2715"/>
    </row>
    <row r="2716" spans="1:13" s="79" customFormat="1" x14ac:dyDescent="0.35">
      <c r="A2716" s="251"/>
      <c r="B2716" s="22"/>
      <c r="C2716" s="252"/>
      <c r="D2716" s="252"/>
      <c r="E2716" s="252"/>
      <c r="F2716" s="252"/>
      <c r="G2716" s="252"/>
      <c r="H2716" s="252"/>
      <c r="I2716" s="252"/>
      <c r="J2716" s="252"/>
      <c r="K2716" s="252"/>
      <c r="L2716"/>
      <c r="M2716"/>
    </row>
    <row r="2717" spans="1:13" s="79" customFormat="1" x14ac:dyDescent="0.35">
      <c r="A2717" s="251"/>
      <c r="B2717" s="22"/>
      <c r="C2717" s="252"/>
      <c r="D2717" s="252"/>
      <c r="E2717" s="252"/>
      <c r="F2717" s="252"/>
      <c r="G2717" s="252"/>
      <c r="H2717" s="252"/>
      <c r="I2717" s="252"/>
      <c r="J2717" s="252"/>
      <c r="K2717" s="252"/>
      <c r="L2717"/>
      <c r="M2717"/>
    </row>
    <row r="2718" spans="1:13" s="79" customFormat="1" x14ac:dyDescent="0.35">
      <c r="A2718" s="251"/>
      <c r="B2718" s="22"/>
      <c r="C2718" s="252"/>
      <c r="D2718" s="252"/>
      <c r="E2718" s="252"/>
      <c r="F2718" s="252"/>
      <c r="G2718" s="252"/>
      <c r="H2718" s="252"/>
      <c r="I2718" s="252"/>
      <c r="J2718" s="252"/>
      <c r="K2718" s="252"/>
      <c r="L2718"/>
      <c r="M2718"/>
    </row>
    <row r="2719" spans="1:13" s="79" customFormat="1" x14ac:dyDescent="0.35">
      <c r="A2719" s="251"/>
      <c r="B2719" s="22"/>
      <c r="C2719" s="252"/>
      <c r="D2719" s="252"/>
      <c r="E2719" s="252"/>
      <c r="F2719" s="252"/>
      <c r="G2719" s="252"/>
      <c r="H2719" s="252"/>
      <c r="I2719" s="252"/>
      <c r="J2719" s="252"/>
      <c r="K2719" s="252"/>
      <c r="L2719"/>
      <c r="M2719"/>
    </row>
    <row r="2720" spans="1:13" s="79" customFormat="1" x14ac:dyDescent="0.35">
      <c r="A2720" s="251"/>
      <c r="B2720" s="22"/>
      <c r="C2720" s="252"/>
      <c r="D2720" s="252"/>
      <c r="E2720" s="252"/>
      <c r="F2720" s="252"/>
      <c r="G2720" s="252"/>
      <c r="H2720" s="252"/>
      <c r="I2720" s="252"/>
      <c r="J2720" s="252"/>
      <c r="K2720" s="252"/>
      <c r="L2720"/>
      <c r="M2720"/>
    </row>
    <row r="2721" spans="1:13" s="79" customFormat="1" x14ac:dyDescent="0.35">
      <c r="A2721" s="251"/>
      <c r="B2721" s="22"/>
      <c r="C2721" s="252"/>
      <c r="D2721" s="252"/>
      <c r="E2721" s="252"/>
      <c r="F2721" s="252"/>
      <c r="G2721" s="252"/>
      <c r="H2721" s="252"/>
      <c r="I2721" s="252"/>
      <c r="J2721" s="252"/>
      <c r="K2721" s="252"/>
      <c r="L2721"/>
      <c r="M2721"/>
    </row>
    <row r="2722" spans="1:13" s="79" customFormat="1" x14ac:dyDescent="0.35">
      <c r="A2722" s="251"/>
      <c r="B2722" s="22"/>
      <c r="C2722" s="252"/>
      <c r="D2722" s="252"/>
      <c r="E2722" s="252"/>
      <c r="F2722" s="252"/>
      <c r="G2722" s="252"/>
      <c r="H2722" s="252"/>
      <c r="I2722" s="252"/>
      <c r="J2722" s="252"/>
      <c r="K2722" s="252"/>
      <c r="L2722"/>
      <c r="M2722"/>
    </row>
    <row r="2723" spans="1:13" s="79" customFormat="1" x14ac:dyDescent="0.35">
      <c r="A2723" s="251"/>
      <c r="B2723" s="22"/>
      <c r="C2723" s="252"/>
      <c r="D2723" s="252"/>
      <c r="E2723" s="252"/>
      <c r="F2723" s="252"/>
      <c r="G2723" s="252"/>
      <c r="H2723" s="252"/>
      <c r="I2723" s="252"/>
      <c r="J2723" s="252"/>
      <c r="K2723" s="252"/>
      <c r="L2723"/>
      <c r="M2723"/>
    </row>
    <row r="2724" spans="1:13" s="79" customFormat="1" x14ac:dyDescent="0.35">
      <c r="A2724" s="251"/>
      <c r="B2724" s="22"/>
      <c r="C2724" s="252"/>
      <c r="D2724" s="252"/>
      <c r="E2724" s="252"/>
      <c r="F2724" s="252"/>
      <c r="G2724" s="252"/>
      <c r="H2724" s="252"/>
      <c r="I2724" s="252"/>
      <c r="J2724" s="252"/>
      <c r="K2724" s="252"/>
      <c r="L2724"/>
      <c r="M2724"/>
    </row>
    <row r="2725" spans="1:13" s="79" customFormat="1" x14ac:dyDescent="0.35">
      <c r="A2725" s="251"/>
      <c r="B2725" s="22"/>
      <c r="C2725" s="252"/>
      <c r="D2725" s="252"/>
      <c r="E2725" s="252"/>
      <c r="F2725" s="252"/>
      <c r="G2725" s="252"/>
      <c r="H2725" s="252"/>
      <c r="I2725" s="252"/>
      <c r="J2725" s="252"/>
      <c r="K2725" s="252"/>
      <c r="L2725"/>
      <c r="M2725"/>
    </row>
    <row r="2726" spans="1:13" s="79" customFormat="1" x14ac:dyDescent="0.35">
      <c r="A2726" s="251"/>
      <c r="B2726" s="22"/>
      <c r="C2726" s="252"/>
      <c r="D2726" s="252"/>
      <c r="E2726" s="252"/>
      <c r="F2726" s="252"/>
      <c r="G2726" s="252"/>
      <c r="H2726" s="252"/>
      <c r="I2726" s="252"/>
      <c r="J2726" s="252"/>
      <c r="K2726" s="252"/>
      <c r="L2726"/>
      <c r="M2726"/>
    </row>
    <row r="2727" spans="1:13" s="79" customFormat="1" x14ac:dyDescent="0.35">
      <c r="A2727" s="251"/>
      <c r="B2727" s="22"/>
      <c r="C2727" s="252"/>
      <c r="D2727" s="252"/>
      <c r="E2727" s="252"/>
      <c r="F2727" s="252"/>
      <c r="G2727" s="252"/>
      <c r="H2727" s="252"/>
      <c r="I2727" s="252"/>
      <c r="J2727" s="252"/>
      <c r="K2727" s="252"/>
      <c r="L2727"/>
      <c r="M2727"/>
    </row>
    <row r="2728" spans="1:13" s="79" customFormat="1" x14ac:dyDescent="0.35">
      <c r="A2728" s="251"/>
      <c r="B2728" s="22"/>
      <c r="C2728" s="252"/>
      <c r="D2728" s="252"/>
      <c r="E2728" s="252"/>
      <c r="F2728" s="252"/>
      <c r="G2728" s="252"/>
      <c r="H2728" s="252"/>
      <c r="I2728" s="252"/>
      <c r="J2728" s="252"/>
      <c r="K2728" s="252"/>
      <c r="L2728"/>
      <c r="M2728"/>
    </row>
    <row r="2729" spans="1:13" s="79" customFormat="1" x14ac:dyDescent="0.35">
      <c r="A2729" s="251"/>
      <c r="B2729" s="22"/>
      <c r="C2729" s="252"/>
      <c r="D2729" s="252"/>
      <c r="E2729" s="252"/>
      <c r="F2729" s="252"/>
      <c r="G2729" s="252"/>
      <c r="H2729" s="252"/>
      <c r="I2729" s="252"/>
      <c r="J2729" s="252"/>
      <c r="K2729" s="252"/>
      <c r="L2729"/>
      <c r="M2729"/>
    </row>
    <row r="2730" spans="1:13" s="79" customFormat="1" x14ac:dyDescent="0.35">
      <c r="A2730" s="251"/>
      <c r="B2730" s="22"/>
      <c r="C2730" s="252"/>
      <c r="D2730" s="252"/>
      <c r="E2730" s="252"/>
      <c r="F2730" s="252"/>
      <c r="G2730" s="252"/>
      <c r="H2730" s="252"/>
      <c r="I2730" s="252"/>
      <c r="J2730" s="252"/>
      <c r="K2730" s="252"/>
      <c r="L2730"/>
      <c r="M2730"/>
    </row>
    <row r="2731" spans="1:13" s="79" customFormat="1" x14ac:dyDescent="0.35">
      <c r="A2731" s="251"/>
      <c r="B2731" s="22"/>
      <c r="C2731" s="252"/>
      <c r="D2731" s="252"/>
      <c r="E2731" s="252"/>
      <c r="F2731" s="252"/>
      <c r="G2731" s="252"/>
      <c r="H2731" s="252"/>
      <c r="I2731" s="252"/>
      <c r="J2731" s="252"/>
      <c r="K2731" s="252"/>
      <c r="L2731"/>
      <c r="M2731"/>
    </row>
    <row r="2732" spans="1:13" s="79" customFormat="1" x14ac:dyDescent="0.35">
      <c r="A2732" s="251"/>
      <c r="B2732" s="22"/>
      <c r="C2732" s="252"/>
      <c r="D2732" s="252"/>
      <c r="E2732" s="252"/>
      <c r="F2732" s="252"/>
      <c r="G2732" s="252"/>
      <c r="H2732" s="252"/>
      <c r="I2732" s="252"/>
      <c r="J2732" s="252"/>
      <c r="K2732" s="252"/>
      <c r="L2732"/>
      <c r="M2732"/>
    </row>
    <row r="2733" spans="1:13" s="79" customFormat="1" x14ac:dyDescent="0.35">
      <c r="A2733" s="251"/>
      <c r="B2733" s="22"/>
      <c r="C2733" s="252"/>
      <c r="D2733" s="252"/>
      <c r="E2733" s="252"/>
      <c r="F2733" s="252"/>
      <c r="G2733" s="252"/>
      <c r="H2733" s="252"/>
      <c r="I2733" s="252"/>
      <c r="J2733" s="252"/>
      <c r="K2733" s="252"/>
      <c r="L2733"/>
      <c r="M2733"/>
    </row>
    <row r="2734" spans="1:13" s="79" customFormat="1" x14ac:dyDescent="0.35">
      <c r="A2734" s="251"/>
      <c r="B2734" s="22"/>
      <c r="C2734" s="252"/>
      <c r="D2734" s="252"/>
      <c r="E2734" s="252"/>
      <c r="F2734" s="252"/>
      <c r="G2734" s="252"/>
      <c r="H2734" s="252"/>
      <c r="I2734" s="252"/>
      <c r="J2734" s="252"/>
      <c r="K2734" s="252"/>
      <c r="L2734"/>
      <c r="M2734"/>
    </row>
    <row r="2735" spans="1:13" s="79" customFormat="1" x14ac:dyDescent="0.35">
      <c r="A2735" s="251"/>
      <c r="B2735" s="22"/>
      <c r="C2735" s="252"/>
      <c r="D2735" s="252"/>
      <c r="E2735" s="252"/>
      <c r="F2735" s="252"/>
      <c r="G2735" s="252"/>
      <c r="H2735" s="252"/>
      <c r="I2735" s="252"/>
      <c r="J2735" s="252"/>
      <c r="K2735" s="252"/>
      <c r="L2735"/>
      <c r="M2735"/>
    </row>
    <row r="2736" spans="1:13" s="79" customFormat="1" x14ac:dyDescent="0.35">
      <c r="A2736" s="251"/>
      <c r="B2736" s="22"/>
      <c r="C2736" s="252"/>
      <c r="D2736" s="252"/>
      <c r="E2736" s="252"/>
      <c r="F2736" s="252"/>
      <c r="G2736" s="252"/>
      <c r="H2736" s="252"/>
      <c r="I2736" s="252"/>
      <c r="J2736" s="252"/>
      <c r="K2736" s="252"/>
      <c r="L2736"/>
      <c r="M2736"/>
    </row>
    <row r="2737" spans="1:13" s="79" customFormat="1" x14ac:dyDescent="0.35">
      <c r="A2737" s="251"/>
      <c r="B2737" s="22"/>
      <c r="C2737" s="252"/>
      <c r="D2737" s="252"/>
      <c r="E2737" s="252"/>
      <c r="F2737" s="252"/>
      <c r="G2737" s="252"/>
      <c r="H2737" s="252"/>
      <c r="I2737" s="252"/>
      <c r="J2737" s="252"/>
      <c r="K2737" s="252"/>
      <c r="L2737"/>
      <c r="M2737"/>
    </row>
    <row r="2738" spans="1:13" s="79" customFormat="1" x14ac:dyDescent="0.35">
      <c r="A2738" s="251"/>
      <c r="B2738" s="22"/>
      <c r="C2738" s="252"/>
      <c r="D2738" s="252"/>
      <c r="E2738" s="252"/>
      <c r="F2738" s="252"/>
      <c r="G2738" s="252"/>
      <c r="H2738" s="252"/>
      <c r="I2738" s="252"/>
      <c r="J2738" s="252"/>
      <c r="K2738" s="252"/>
      <c r="L2738"/>
      <c r="M2738"/>
    </row>
    <row r="2739" spans="1:13" s="79" customFormat="1" x14ac:dyDescent="0.35">
      <c r="A2739" s="251"/>
      <c r="B2739" s="22"/>
      <c r="C2739" s="252"/>
      <c r="D2739" s="252"/>
      <c r="E2739" s="252"/>
      <c r="F2739" s="252"/>
      <c r="G2739" s="252"/>
      <c r="H2739" s="252"/>
      <c r="I2739" s="252"/>
      <c r="J2739" s="252"/>
      <c r="K2739" s="252"/>
      <c r="L2739"/>
      <c r="M2739"/>
    </row>
    <row r="2740" spans="1:13" s="79" customFormat="1" x14ac:dyDescent="0.35">
      <c r="A2740" s="251"/>
      <c r="B2740" s="22"/>
      <c r="C2740" s="252"/>
      <c r="D2740" s="252"/>
      <c r="E2740" s="252"/>
      <c r="F2740" s="252"/>
      <c r="G2740" s="252"/>
      <c r="H2740" s="252"/>
      <c r="I2740" s="252"/>
      <c r="J2740" s="252"/>
      <c r="K2740" s="252"/>
      <c r="L2740"/>
      <c r="M2740"/>
    </row>
    <row r="2741" spans="1:13" s="79" customFormat="1" x14ac:dyDescent="0.35">
      <c r="A2741" s="251"/>
      <c r="B2741" s="22"/>
      <c r="C2741" s="252"/>
      <c r="D2741" s="252"/>
      <c r="E2741" s="252"/>
      <c r="F2741" s="252"/>
      <c r="G2741" s="252"/>
      <c r="H2741" s="252"/>
      <c r="I2741" s="252"/>
      <c r="J2741" s="252"/>
      <c r="K2741" s="252"/>
      <c r="L2741"/>
      <c r="M2741"/>
    </row>
    <row r="2742" spans="1:13" s="79" customFormat="1" x14ac:dyDescent="0.35">
      <c r="A2742" s="251"/>
      <c r="B2742" s="22"/>
      <c r="C2742" s="252"/>
      <c r="D2742" s="252"/>
      <c r="E2742" s="252"/>
      <c r="F2742" s="252"/>
      <c r="G2742" s="252"/>
      <c r="H2742" s="252"/>
      <c r="I2742" s="252"/>
      <c r="J2742" s="252"/>
      <c r="K2742" s="252"/>
      <c r="L2742"/>
      <c r="M2742"/>
    </row>
    <row r="2743" spans="1:13" s="79" customFormat="1" x14ac:dyDescent="0.35">
      <c r="A2743" s="251"/>
      <c r="B2743" s="22"/>
      <c r="C2743" s="252"/>
      <c r="D2743" s="252"/>
      <c r="E2743" s="252"/>
      <c r="F2743" s="252"/>
      <c r="G2743" s="252"/>
      <c r="H2743" s="252"/>
      <c r="I2743" s="252"/>
      <c r="J2743" s="252"/>
      <c r="K2743" s="252"/>
      <c r="L2743"/>
      <c r="M2743"/>
    </row>
    <row r="2744" spans="1:13" s="79" customFormat="1" x14ac:dyDescent="0.35">
      <c r="A2744" s="251"/>
      <c r="B2744" s="22"/>
      <c r="C2744" s="252"/>
      <c r="D2744" s="252"/>
      <c r="E2744" s="252"/>
      <c r="F2744" s="252"/>
      <c r="G2744" s="252"/>
      <c r="H2744" s="252"/>
      <c r="I2744" s="252"/>
      <c r="J2744" s="252"/>
      <c r="K2744" s="252"/>
      <c r="L2744"/>
      <c r="M2744"/>
    </row>
    <row r="2745" spans="1:13" s="79" customFormat="1" x14ac:dyDescent="0.35">
      <c r="A2745" s="251"/>
      <c r="B2745" s="22"/>
      <c r="C2745" s="252"/>
      <c r="D2745" s="252"/>
      <c r="E2745" s="252"/>
      <c r="F2745" s="252"/>
      <c r="G2745" s="252"/>
      <c r="H2745" s="252"/>
      <c r="I2745" s="252"/>
      <c r="J2745" s="252"/>
      <c r="K2745" s="252"/>
      <c r="L2745"/>
      <c r="M2745"/>
    </row>
    <row r="2746" spans="1:13" s="79" customFormat="1" x14ac:dyDescent="0.35">
      <c r="A2746" s="251"/>
      <c r="B2746" s="22"/>
      <c r="C2746" s="252"/>
      <c r="D2746" s="252"/>
      <c r="E2746" s="252"/>
      <c r="F2746" s="252"/>
      <c r="G2746" s="252"/>
      <c r="H2746" s="252"/>
      <c r="I2746" s="252"/>
      <c r="J2746" s="252"/>
      <c r="K2746" s="252"/>
      <c r="L2746"/>
      <c r="M2746"/>
    </row>
    <row r="2747" spans="1:13" s="79" customFormat="1" x14ac:dyDescent="0.35">
      <c r="A2747" s="251"/>
      <c r="B2747" s="22"/>
      <c r="C2747" s="252"/>
      <c r="D2747" s="252"/>
      <c r="E2747" s="252"/>
      <c r="F2747" s="252"/>
      <c r="G2747" s="252"/>
      <c r="H2747" s="252"/>
      <c r="I2747" s="252"/>
      <c r="J2747" s="252"/>
      <c r="K2747" s="252"/>
      <c r="L2747"/>
      <c r="M2747"/>
    </row>
    <row r="2748" spans="1:13" s="79" customFormat="1" x14ac:dyDescent="0.35">
      <c r="A2748" s="251"/>
      <c r="B2748" s="22"/>
      <c r="C2748" s="252"/>
      <c r="D2748" s="252"/>
      <c r="E2748" s="252"/>
      <c r="F2748" s="252"/>
      <c r="G2748" s="252"/>
      <c r="H2748" s="252"/>
      <c r="I2748" s="252"/>
      <c r="J2748" s="252"/>
      <c r="K2748" s="252"/>
      <c r="L2748"/>
      <c r="M2748"/>
    </row>
    <row r="2749" spans="1:13" s="79" customFormat="1" x14ac:dyDescent="0.35">
      <c r="A2749" s="251"/>
      <c r="B2749" s="22"/>
      <c r="C2749" s="252"/>
      <c r="D2749" s="252"/>
      <c r="E2749" s="252"/>
      <c r="F2749" s="252"/>
      <c r="G2749" s="252"/>
      <c r="H2749" s="252"/>
      <c r="I2749" s="252"/>
      <c r="J2749" s="252"/>
      <c r="K2749" s="252"/>
      <c r="L2749"/>
      <c r="M2749"/>
    </row>
    <row r="2750" spans="1:13" s="79" customFormat="1" x14ac:dyDescent="0.35">
      <c r="A2750" s="251"/>
      <c r="B2750" s="22"/>
      <c r="C2750" s="252"/>
      <c r="D2750" s="252"/>
      <c r="E2750" s="252"/>
      <c r="F2750" s="252"/>
      <c r="G2750" s="252"/>
      <c r="H2750" s="252"/>
      <c r="I2750" s="252"/>
      <c r="J2750" s="252"/>
      <c r="K2750" s="252"/>
      <c r="L2750"/>
      <c r="M2750"/>
    </row>
    <row r="2751" spans="1:13" s="79" customFormat="1" x14ac:dyDescent="0.35">
      <c r="A2751" s="251"/>
      <c r="B2751" s="22"/>
      <c r="C2751" s="252"/>
      <c r="D2751" s="252"/>
      <c r="E2751" s="252"/>
      <c r="F2751" s="252"/>
      <c r="G2751" s="252"/>
      <c r="H2751" s="252"/>
      <c r="I2751" s="252"/>
      <c r="J2751" s="252"/>
      <c r="K2751" s="252"/>
      <c r="L2751"/>
      <c r="M2751"/>
    </row>
    <row r="2752" spans="1:13" s="79" customFormat="1" x14ac:dyDescent="0.35">
      <c r="A2752" s="251"/>
      <c r="B2752" s="22"/>
      <c r="C2752" s="252"/>
      <c r="D2752" s="252"/>
      <c r="E2752" s="252"/>
      <c r="F2752" s="252"/>
      <c r="G2752" s="252"/>
      <c r="H2752" s="252"/>
      <c r="I2752" s="252"/>
      <c r="J2752" s="252"/>
      <c r="K2752" s="252"/>
      <c r="L2752"/>
      <c r="M2752"/>
    </row>
    <row r="2753" spans="1:13" s="79" customFormat="1" x14ac:dyDescent="0.35">
      <c r="A2753" s="251"/>
      <c r="B2753" s="22"/>
      <c r="C2753" s="252"/>
      <c r="D2753" s="252"/>
      <c r="E2753" s="252"/>
      <c r="F2753" s="252"/>
      <c r="G2753" s="252"/>
      <c r="H2753" s="252"/>
      <c r="I2753" s="252"/>
      <c r="J2753" s="252"/>
      <c r="K2753" s="252"/>
      <c r="L2753"/>
      <c r="M2753"/>
    </row>
    <row r="2754" spans="1:13" s="79" customFormat="1" x14ac:dyDescent="0.35">
      <c r="A2754" s="251"/>
      <c r="B2754" s="22"/>
      <c r="C2754" s="252"/>
      <c r="D2754" s="252"/>
      <c r="E2754" s="252"/>
      <c r="F2754" s="252"/>
      <c r="G2754" s="252"/>
      <c r="H2754" s="252"/>
      <c r="I2754" s="252"/>
      <c r="J2754" s="252"/>
      <c r="K2754" s="252"/>
      <c r="L2754"/>
      <c r="M2754"/>
    </row>
    <row r="2755" spans="1:13" s="79" customFormat="1" x14ac:dyDescent="0.35">
      <c r="A2755" s="251"/>
      <c r="B2755" s="22"/>
      <c r="C2755" s="252"/>
      <c r="D2755" s="252"/>
      <c r="E2755" s="252"/>
      <c r="F2755" s="252"/>
      <c r="G2755" s="252"/>
      <c r="H2755" s="252"/>
      <c r="I2755" s="252"/>
      <c r="J2755" s="252"/>
      <c r="K2755" s="252"/>
      <c r="L2755"/>
      <c r="M2755"/>
    </row>
    <row r="2756" spans="1:13" s="79" customFormat="1" x14ac:dyDescent="0.35">
      <c r="A2756" s="251"/>
      <c r="B2756" s="22"/>
      <c r="C2756" s="252"/>
      <c r="D2756" s="252"/>
      <c r="E2756" s="252"/>
      <c r="F2756" s="252"/>
      <c r="G2756" s="252"/>
      <c r="H2756" s="252"/>
      <c r="I2756" s="252"/>
      <c r="J2756" s="252"/>
      <c r="K2756" s="252"/>
      <c r="L2756"/>
      <c r="M2756"/>
    </row>
    <row r="2757" spans="1:13" s="79" customFormat="1" x14ac:dyDescent="0.35">
      <c r="A2757" s="251"/>
      <c r="B2757" s="22"/>
      <c r="C2757" s="252"/>
      <c r="D2757" s="252"/>
      <c r="E2757" s="252"/>
      <c r="F2757" s="252"/>
      <c r="G2757" s="252"/>
      <c r="H2757" s="252"/>
      <c r="I2757" s="252"/>
      <c r="J2757" s="252"/>
      <c r="K2757" s="252"/>
      <c r="L2757"/>
      <c r="M2757"/>
    </row>
    <row r="2758" spans="1:13" s="79" customFormat="1" x14ac:dyDescent="0.35">
      <c r="A2758" s="251"/>
      <c r="B2758" s="22"/>
      <c r="C2758" s="252"/>
      <c r="D2758" s="252"/>
      <c r="E2758" s="252"/>
      <c r="F2758" s="252"/>
      <c r="G2758" s="252"/>
      <c r="H2758" s="252"/>
      <c r="I2758" s="252"/>
      <c r="J2758" s="252"/>
      <c r="K2758" s="252"/>
      <c r="L2758"/>
      <c r="M2758"/>
    </row>
    <row r="2759" spans="1:13" s="79" customFormat="1" x14ac:dyDescent="0.35">
      <c r="A2759" s="251"/>
      <c r="B2759" s="22"/>
      <c r="C2759" s="252"/>
      <c r="D2759" s="252"/>
      <c r="E2759" s="252"/>
      <c r="F2759" s="252"/>
      <c r="G2759" s="252"/>
      <c r="H2759" s="252"/>
      <c r="I2759" s="252"/>
      <c r="J2759" s="252"/>
      <c r="K2759" s="252"/>
      <c r="L2759"/>
      <c r="M2759"/>
    </row>
    <row r="2760" spans="1:13" s="79" customFormat="1" x14ac:dyDescent="0.35">
      <c r="A2760" s="251"/>
      <c r="B2760" s="22"/>
      <c r="C2760" s="252"/>
      <c r="D2760" s="252"/>
      <c r="E2760" s="252"/>
      <c r="F2760" s="252"/>
      <c r="G2760" s="252"/>
      <c r="H2760" s="252"/>
      <c r="I2760" s="252"/>
      <c r="J2760" s="252"/>
      <c r="K2760" s="252"/>
      <c r="L2760"/>
      <c r="M2760"/>
    </row>
    <row r="2761" spans="1:13" s="79" customFormat="1" x14ac:dyDescent="0.35">
      <c r="A2761" s="251"/>
      <c r="B2761" s="22"/>
      <c r="C2761" s="252"/>
      <c r="D2761" s="252"/>
      <c r="E2761" s="252"/>
      <c r="F2761" s="252"/>
      <c r="G2761" s="252"/>
      <c r="H2761" s="252"/>
      <c r="I2761" s="252"/>
      <c r="J2761" s="252"/>
      <c r="K2761" s="252"/>
      <c r="L2761"/>
      <c r="M2761"/>
    </row>
    <row r="2762" spans="1:13" s="79" customFormat="1" x14ac:dyDescent="0.35">
      <c r="A2762" s="251"/>
      <c r="B2762" s="22"/>
      <c r="C2762" s="252"/>
      <c r="D2762" s="252"/>
      <c r="E2762" s="252"/>
      <c r="F2762" s="252"/>
      <c r="G2762" s="252"/>
      <c r="H2762" s="252"/>
      <c r="I2762" s="252"/>
      <c r="J2762" s="252"/>
      <c r="K2762" s="252"/>
      <c r="L2762"/>
      <c r="M2762"/>
    </row>
    <row r="2763" spans="1:13" s="79" customFormat="1" x14ac:dyDescent="0.35">
      <c r="A2763" s="251"/>
      <c r="B2763" s="22"/>
      <c r="C2763" s="252"/>
      <c r="D2763" s="252"/>
      <c r="E2763" s="252"/>
      <c r="F2763" s="252"/>
      <c r="G2763" s="252"/>
      <c r="H2763" s="252"/>
      <c r="I2763" s="252"/>
      <c r="J2763" s="252"/>
      <c r="K2763" s="252"/>
      <c r="L2763"/>
      <c r="M2763"/>
    </row>
    <row r="2764" spans="1:13" s="79" customFormat="1" x14ac:dyDescent="0.35">
      <c r="A2764" s="251"/>
      <c r="B2764" s="22"/>
      <c r="C2764" s="252"/>
      <c r="D2764" s="252"/>
      <c r="E2764" s="252"/>
      <c r="F2764" s="252"/>
      <c r="G2764" s="252"/>
      <c r="H2764" s="252"/>
      <c r="I2764" s="252"/>
      <c r="J2764" s="252"/>
      <c r="K2764" s="252"/>
      <c r="L2764"/>
      <c r="M2764"/>
    </row>
    <row r="2765" spans="1:13" s="79" customFormat="1" x14ac:dyDescent="0.35">
      <c r="A2765" s="251"/>
      <c r="B2765" s="22"/>
      <c r="C2765" s="252"/>
      <c r="D2765" s="252"/>
      <c r="E2765" s="252"/>
      <c r="F2765" s="252"/>
      <c r="G2765" s="252"/>
      <c r="H2765" s="252"/>
      <c r="I2765" s="252"/>
      <c r="J2765" s="252"/>
      <c r="K2765" s="252"/>
      <c r="L2765"/>
      <c r="M2765"/>
    </row>
    <row r="2766" spans="1:13" s="79" customFormat="1" x14ac:dyDescent="0.35">
      <c r="A2766" s="251"/>
      <c r="B2766" s="22"/>
      <c r="C2766" s="252"/>
      <c r="D2766" s="252"/>
      <c r="E2766" s="252"/>
      <c r="F2766" s="252"/>
      <c r="G2766" s="252"/>
      <c r="H2766" s="252"/>
      <c r="I2766" s="252"/>
      <c r="J2766" s="252"/>
      <c r="K2766" s="252"/>
      <c r="L2766"/>
      <c r="M2766"/>
    </row>
    <row r="2767" spans="1:13" s="79" customFormat="1" x14ac:dyDescent="0.35">
      <c r="A2767" s="251"/>
      <c r="B2767" s="22"/>
      <c r="C2767" s="252"/>
      <c r="D2767" s="252"/>
      <c r="E2767" s="252"/>
      <c r="F2767" s="252"/>
      <c r="G2767" s="252"/>
      <c r="H2767" s="252"/>
      <c r="I2767" s="252"/>
      <c r="J2767" s="252"/>
      <c r="K2767" s="252"/>
      <c r="L2767"/>
      <c r="M2767"/>
    </row>
    <row r="2768" spans="1:13" s="79" customFormat="1" x14ac:dyDescent="0.35">
      <c r="A2768" s="251"/>
      <c r="B2768" s="22"/>
      <c r="C2768" s="252"/>
      <c r="D2768" s="252"/>
      <c r="E2768" s="252"/>
      <c r="F2768" s="252"/>
      <c r="G2768" s="252"/>
      <c r="H2768" s="252"/>
      <c r="I2768" s="252"/>
      <c r="J2768" s="252"/>
      <c r="K2768" s="252"/>
      <c r="L2768"/>
      <c r="M2768"/>
    </row>
    <row r="2769" spans="1:13" s="79" customFormat="1" x14ac:dyDescent="0.35">
      <c r="A2769" s="251"/>
      <c r="B2769" s="22"/>
      <c r="C2769" s="252"/>
      <c r="D2769" s="252"/>
      <c r="E2769" s="252"/>
      <c r="F2769" s="252"/>
      <c r="G2769" s="252"/>
      <c r="H2769" s="252"/>
      <c r="I2769" s="252"/>
      <c r="J2769" s="252"/>
      <c r="K2769" s="252"/>
      <c r="L2769"/>
      <c r="M2769"/>
    </row>
    <row r="2770" spans="1:13" s="79" customFormat="1" x14ac:dyDescent="0.35">
      <c r="A2770" s="251"/>
      <c r="B2770" s="22"/>
      <c r="C2770" s="252"/>
      <c r="D2770" s="252"/>
      <c r="E2770" s="252"/>
      <c r="F2770" s="252"/>
      <c r="G2770" s="252"/>
      <c r="H2770" s="252"/>
      <c r="I2770" s="252"/>
      <c r="J2770" s="252"/>
      <c r="K2770" s="252"/>
      <c r="L2770"/>
      <c r="M2770"/>
    </row>
    <row r="2771" spans="1:13" s="79" customFormat="1" x14ac:dyDescent="0.35">
      <c r="A2771" s="251"/>
      <c r="B2771" s="22"/>
      <c r="C2771" s="252"/>
      <c r="D2771" s="252"/>
      <c r="E2771" s="252"/>
      <c r="F2771" s="252"/>
      <c r="G2771" s="252"/>
      <c r="H2771" s="252"/>
      <c r="I2771" s="252"/>
      <c r="J2771" s="252"/>
      <c r="K2771" s="252"/>
      <c r="L2771"/>
      <c r="M2771"/>
    </row>
    <row r="2772" spans="1:13" s="79" customFormat="1" x14ac:dyDescent="0.35">
      <c r="A2772" s="251"/>
      <c r="B2772" s="22"/>
      <c r="C2772" s="252"/>
      <c r="D2772" s="252"/>
      <c r="E2772" s="252"/>
      <c r="F2772" s="252"/>
      <c r="G2772" s="252"/>
      <c r="H2772" s="252"/>
      <c r="I2772" s="252"/>
      <c r="J2772" s="252"/>
      <c r="K2772" s="252"/>
      <c r="L2772"/>
      <c r="M2772"/>
    </row>
    <row r="2773" spans="1:13" s="79" customFormat="1" x14ac:dyDescent="0.35">
      <c r="A2773" s="251"/>
      <c r="B2773" s="22"/>
      <c r="C2773" s="252"/>
      <c r="D2773" s="252"/>
      <c r="E2773" s="252"/>
      <c r="F2773" s="252"/>
      <c r="G2773" s="252"/>
      <c r="H2773" s="252"/>
      <c r="I2773" s="252"/>
      <c r="J2773" s="252"/>
      <c r="K2773" s="252"/>
      <c r="L2773"/>
      <c r="M2773"/>
    </row>
    <row r="2774" spans="1:13" s="79" customFormat="1" x14ac:dyDescent="0.35">
      <c r="A2774" s="251"/>
      <c r="B2774" s="22"/>
      <c r="C2774" s="252"/>
      <c r="D2774" s="252"/>
      <c r="E2774" s="252"/>
      <c r="F2774" s="252"/>
      <c r="G2774" s="252"/>
      <c r="H2774" s="252"/>
      <c r="I2774" s="252"/>
      <c r="J2774" s="252"/>
      <c r="K2774" s="252"/>
      <c r="L2774"/>
      <c r="M2774"/>
    </row>
    <row r="2775" spans="1:13" s="79" customFormat="1" x14ac:dyDescent="0.35">
      <c r="A2775" s="251"/>
      <c r="B2775" s="22"/>
      <c r="C2775" s="252"/>
      <c r="D2775" s="252"/>
      <c r="E2775" s="252"/>
      <c r="F2775" s="252"/>
      <c r="G2775" s="252"/>
      <c r="H2775" s="252"/>
      <c r="I2775" s="252"/>
      <c r="J2775" s="252"/>
      <c r="K2775" s="252"/>
      <c r="L2775"/>
      <c r="M2775"/>
    </row>
    <row r="2776" spans="1:13" s="79" customFormat="1" x14ac:dyDescent="0.35">
      <c r="A2776" s="251"/>
      <c r="B2776" s="22"/>
      <c r="C2776" s="252"/>
      <c r="D2776" s="252"/>
      <c r="E2776" s="252"/>
      <c r="F2776" s="252"/>
      <c r="G2776" s="252"/>
      <c r="H2776" s="252"/>
      <c r="I2776" s="252"/>
      <c r="J2776" s="252"/>
      <c r="K2776" s="252"/>
      <c r="L2776"/>
      <c r="M2776"/>
    </row>
    <row r="2777" spans="1:13" s="79" customFormat="1" x14ac:dyDescent="0.35">
      <c r="A2777" s="251"/>
      <c r="B2777" s="22"/>
      <c r="C2777" s="252"/>
      <c r="D2777" s="252"/>
      <c r="E2777" s="252"/>
      <c r="F2777" s="252"/>
      <c r="G2777" s="252"/>
      <c r="H2777" s="252"/>
      <c r="I2777" s="252"/>
      <c r="J2777" s="252"/>
      <c r="K2777" s="252"/>
      <c r="L2777"/>
      <c r="M2777"/>
    </row>
    <row r="2778" spans="1:13" s="79" customFormat="1" x14ac:dyDescent="0.35">
      <c r="A2778" s="251"/>
      <c r="B2778" s="22"/>
      <c r="C2778" s="252"/>
      <c r="D2778" s="252"/>
      <c r="E2778" s="252"/>
      <c r="F2778" s="252"/>
      <c r="G2778" s="252"/>
      <c r="H2778" s="252"/>
      <c r="I2778" s="252"/>
      <c r="J2778" s="252"/>
      <c r="K2778" s="252"/>
      <c r="L2778"/>
      <c r="M2778"/>
    </row>
    <row r="2779" spans="1:13" s="79" customFormat="1" x14ac:dyDescent="0.35">
      <c r="A2779" s="251"/>
      <c r="B2779" s="22"/>
      <c r="C2779" s="252"/>
      <c r="D2779" s="252"/>
      <c r="E2779" s="252"/>
      <c r="F2779" s="252"/>
      <c r="G2779" s="252"/>
      <c r="H2779" s="252"/>
      <c r="I2779" s="252"/>
      <c r="J2779" s="252"/>
      <c r="K2779" s="252"/>
      <c r="L2779"/>
      <c r="M2779"/>
    </row>
    <row r="2780" spans="1:13" s="79" customFormat="1" x14ac:dyDescent="0.35">
      <c r="A2780" s="251"/>
      <c r="B2780" s="22"/>
      <c r="C2780" s="252"/>
      <c r="D2780" s="252"/>
      <c r="E2780" s="252"/>
      <c r="F2780" s="252"/>
      <c r="G2780" s="252"/>
      <c r="H2780" s="252"/>
      <c r="I2780" s="252"/>
      <c r="J2780" s="252"/>
      <c r="K2780" s="252"/>
      <c r="L2780"/>
      <c r="M2780"/>
    </row>
    <row r="2781" spans="1:13" s="79" customFormat="1" x14ac:dyDescent="0.35">
      <c r="A2781" s="251"/>
      <c r="B2781" s="22"/>
      <c r="C2781" s="252"/>
      <c r="D2781" s="252"/>
      <c r="E2781" s="252"/>
      <c r="F2781" s="252"/>
      <c r="G2781" s="252"/>
      <c r="H2781" s="252"/>
      <c r="I2781" s="252"/>
      <c r="J2781" s="252"/>
      <c r="K2781" s="252"/>
      <c r="L2781"/>
      <c r="M2781"/>
    </row>
    <row r="2782" spans="1:13" s="79" customFormat="1" x14ac:dyDescent="0.35">
      <c r="A2782" s="251"/>
      <c r="B2782" s="22"/>
      <c r="C2782" s="252"/>
      <c r="D2782" s="252"/>
      <c r="E2782" s="252"/>
      <c r="F2782" s="252"/>
      <c r="G2782" s="252"/>
      <c r="H2782" s="252"/>
      <c r="I2782" s="252"/>
      <c r="J2782" s="252"/>
      <c r="K2782" s="252"/>
      <c r="L2782"/>
      <c r="M2782"/>
    </row>
    <row r="2783" spans="1:13" s="79" customFormat="1" x14ac:dyDescent="0.35">
      <c r="A2783" s="251"/>
      <c r="B2783" s="22"/>
      <c r="C2783" s="252"/>
      <c r="D2783" s="252"/>
      <c r="E2783" s="252"/>
      <c r="F2783" s="252"/>
      <c r="G2783" s="252"/>
      <c r="H2783" s="252"/>
      <c r="I2783" s="252"/>
      <c r="J2783" s="252"/>
      <c r="K2783" s="252"/>
      <c r="L2783"/>
      <c r="M2783"/>
    </row>
    <row r="2784" spans="1:13" s="79" customFormat="1" x14ac:dyDescent="0.35">
      <c r="A2784" s="251"/>
      <c r="B2784" s="22"/>
      <c r="C2784" s="252"/>
      <c r="D2784" s="252"/>
      <c r="E2784" s="252"/>
      <c r="F2784" s="252"/>
      <c r="G2784" s="252"/>
      <c r="H2784" s="252"/>
      <c r="I2784" s="252"/>
      <c r="J2784" s="252"/>
      <c r="K2784" s="252"/>
      <c r="L2784"/>
      <c r="M2784"/>
    </row>
    <row r="2785" spans="1:13" s="79" customFormat="1" x14ac:dyDescent="0.35">
      <c r="A2785" s="251"/>
      <c r="B2785" s="22"/>
      <c r="C2785" s="252"/>
      <c r="D2785" s="252"/>
      <c r="E2785" s="252"/>
      <c r="F2785" s="252"/>
      <c r="G2785" s="252"/>
      <c r="H2785" s="252"/>
      <c r="I2785" s="252"/>
      <c r="J2785" s="252"/>
      <c r="K2785" s="252"/>
      <c r="L2785"/>
      <c r="M2785"/>
    </row>
    <row r="2786" spans="1:13" s="79" customFormat="1" x14ac:dyDescent="0.35">
      <c r="A2786" s="251"/>
      <c r="B2786" s="22"/>
      <c r="C2786" s="252"/>
      <c r="D2786" s="252"/>
      <c r="E2786" s="252"/>
      <c r="F2786" s="252"/>
      <c r="G2786" s="252"/>
      <c r="H2786" s="252"/>
      <c r="I2786" s="252"/>
      <c r="J2786" s="252"/>
      <c r="K2786" s="252"/>
      <c r="L2786"/>
      <c r="M2786"/>
    </row>
    <row r="2787" spans="1:13" s="79" customFormat="1" x14ac:dyDescent="0.35">
      <c r="A2787" s="251"/>
      <c r="B2787" s="22"/>
      <c r="C2787" s="252"/>
      <c r="D2787" s="252"/>
      <c r="E2787" s="252"/>
      <c r="F2787" s="252"/>
      <c r="G2787" s="252"/>
      <c r="H2787" s="252"/>
      <c r="I2787" s="252"/>
      <c r="J2787" s="252"/>
      <c r="K2787" s="252"/>
      <c r="L2787"/>
      <c r="M2787"/>
    </row>
    <row r="2788" spans="1:13" s="79" customFormat="1" x14ac:dyDescent="0.35">
      <c r="A2788" s="251"/>
      <c r="B2788" s="22"/>
      <c r="C2788" s="252"/>
      <c r="D2788" s="252"/>
      <c r="E2788" s="252"/>
      <c r="F2788" s="252"/>
      <c r="G2788" s="252"/>
      <c r="H2788" s="252"/>
      <c r="I2788" s="252"/>
      <c r="J2788" s="252"/>
      <c r="K2788" s="252"/>
      <c r="L2788"/>
      <c r="M2788"/>
    </row>
    <row r="2789" spans="1:13" s="79" customFormat="1" x14ac:dyDescent="0.35">
      <c r="A2789" s="251"/>
      <c r="B2789" s="22"/>
      <c r="C2789" s="252"/>
      <c r="D2789" s="252"/>
      <c r="E2789" s="252"/>
      <c r="F2789" s="252"/>
      <c r="G2789" s="252"/>
      <c r="H2789" s="252"/>
      <c r="I2789" s="252"/>
      <c r="J2789" s="252"/>
      <c r="K2789" s="252"/>
      <c r="L2789"/>
      <c r="M2789"/>
    </row>
    <row r="2790" spans="1:13" s="79" customFormat="1" x14ac:dyDescent="0.35">
      <c r="A2790" s="251"/>
      <c r="B2790" s="22"/>
      <c r="C2790" s="252"/>
      <c r="D2790" s="252"/>
      <c r="E2790" s="252"/>
      <c r="F2790" s="252"/>
      <c r="G2790" s="252"/>
      <c r="H2790" s="252"/>
      <c r="I2790" s="252"/>
      <c r="J2790" s="252"/>
      <c r="K2790" s="252"/>
      <c r="L2790"/>
      <c r="M2790"/>
    </row>
    <row r="2791" spans="1:13" s="79" customFormat="1" x14ac:dyDescent="0.35">
      <c r="A2791" s="251"/>
      <c r="B2791" s="22"/>
      <c r="C2791" s="252"/>
      <c r="D2791" s="252"/>
      <c r="E2791" s="252"/>
      <c r="F2791" s="252"/>
      <c r="G2791" s="252"/>
      <c r="H2791" s="252"/>
      <c r="I2791" s="252"/>
      <c r="J2791" s="252"/>
      <c r="K2791" s="252"/>
      <c r="L2791"/>
      <c r="M2791"/>
    </row>
    <row r="2792" spans="1:13" s="79" customFormat="1" x14ac:dyDescent="0.35">
      <c r="A2792" s="251"/>
      <c r="B2792" s="22"/>
      <c r="C2792" s="252"/>
      <c r="D2792" s="252"/>
      <c r="E2792" s="252"/>
      <c r="F2792" s="252"/>
      <c r="G2792" s="252"/>
      <c r="H2792" s="252"/>
      <c r="I2792" s="252"/>
      <c r="J2792" s="252"/>
      <c r="K2792" s="252"/>
      <c r="L2792"/>
      <c r="M2792"/>
    </row>
    <row r="2793" spans="1:13" s="79" customFormat="1" x14ac:dyDescent="0.35">
      <c r="A2793" s="251"/>
      <c r="B2793" s="22"/>
      <c r="C2793" s="252"/>
      <c r="D2793" s="252"/>
      <c r="E2793" s="252"/>
      <c r="F2793" s="252"/>
      <c r="G2793" s="252"/>
      <c r="H2793" s="252"/>
      <c r="I2793" s="252"/>
      <c r="J2793" s="252"/>
      <c r="K2793" s="252"/>
      <c r="L2793"/>
      <c r="M2793"/>
    </row>
    <row r="2794" spans="1:13" s="79" customFormat="1" x14ac:dyDescent="0.35">
      <c r="A2794" s="251"/>
      <c r="B2794" s="22"/>
      <c r="C2794" s="252"/>
      <c r="D2794" s="252"/>
      <c r="E2794" s="252"/>
      <c r="F2794" s="252"/>
      <c r="G2794" s="252"/>
      <c r="H2794" s="252"/>
      <c r="I2794" s="252"/>
      <c r="J2794" s="252"/>
      <c r="K2794" s="252"/>
      <c r="L2794"/>
      <c r="M2794"/>
    </row>
    <row r="2795" spans="1:13" s="79" customFormat="1" x14ac:dyDescent="0.35">
      <c r="A2795" s="251"/>
      <c r="B2795" s="22"/>
      <c r="C2795" s="252"/>
      <c r="D2795" s="252"/>
      <c r="E2795" s="252"/>
      <c r="F2795" s="252"/>
      <c r="G2795" s="252"/>
      <c r="H2795" s="252"/>
      <c r="I2795" s="252"/>
      <c r="J2795" s="252"/>
      <c r="K2795" s="252"/>
      <c r="L2795"/>
      <c r="M2795"/>
    </row>
    <row r="2796" spans="1:13" s="79" customFormat="1" x14ac:dyDescent="0.35">
      <c r="A2796" s="251"/>
      <c r="B2796" s="22"/>
      <c r="C2796" s="252"/>
      <c r="D2796" s="252"/>
      <c r="E2796" s="252"/>
      <c r="F2796" s="252"/>
      <c r="G2796" s="252"/>
      <c r="H2796" s="252"/>
      <c r="I2796" s="252"/>
      <c r="J2796" s="252"/>
      <c r="K2796" s="252"/>
      <c r="L2796"/>
      <c r="M2796"/>
    </row>
    <row r="2797" spans="1:13" s="79" customFormat="1" x14ac:dyDescent="0.35">
      <c r="A2797" s="251"/>
      <c r="B2797" s="22"/>
      <c r="C2797" s="252"/>
      <c r="D2797" s="252"/>
      <c r="E2797" s="252"/>
      <c r="F2797" s="252"/>
      <c r="G2797" s="252"/>
      <c r="H2797" s="252"/>
      <c r="I2797" s="252"/>
      <c r="J2797" s="252"/>
      <c r="K2797" s="252"/>
      <c r="L2797"/>
      <c r="M2797"/>
    </row>
    <row r="2798" spans="1:13" s="79" customFormat="1" x14ac:dyDescent="0.35">
      <c r="A2798" s="251"/>
      <c r="B2798" s="22"/>
      <c r="C2798" s="252"/>
      <c r="D2798" s="252"/>
      <c r="E2798" s="252"/>
      <c r="F2798" s="252"/>
      <c r="G2798" s="252"/>
      <c r="H2798" s="252"/>
      <c r="I2798" s="252"/>
      <c r="J2798" s="252"/>
      <c r="K2798" s="252"/>
      <c r="L2798"/>
      <c r="M2798"/>
    </row>
    <row r="2799" spans="1:13" s="79" customFormat="1" x14ac:dyDescent="0.35">
      <c r="A2799" s="251"/>
      <c r="B2799" s="22"/>
      <c r="C2799" s="252"/>
      <c r="D2799" s="252"/>
      <c r="E2799" s="252"/>
      <c r="F2799" s="252"/>
      <c r="G2799" s="252"/>
      <c r="H2799" s="252"/>
      <c r="I2799" s="252"/>
      <c r="J2799" s="252"/>
      <c r="K2799" s="252"/>
      <c r="L2799"/>
      <c r="M2799"/>
    </row>
    <row r="2800" spans="1:13" s="79" customFormat="1" x14ac:dyDescent="0.35">
      <c r="A2800" s="251"/>
      <c r="B2800" s="22"/>
      <c r="C2800" s="252"/>
      <c r="D2800" s="252"/>
      <c r="E2800" s="252"/>
      <c r="F2800" s="252"/>
      <c r="G2800" s="252"/>
      <c r="H2800" s="252"/>
      <c r="I2800" s="252"/>
      <c r="J2800" s="252"/>
      <c r="K2800" s="252"/>
      <c r="L2800"/>
      <c r="M2800"/>
    </row>
    <row r="2801" spans="1:13" s="79" customFormat="1" x14ac:dyDescent="0.35">
      <c r="A2801" s="251"/>
      <c r="B2801" s="22"/>
      <c r="C2801" s="252"/>
      <c r="D2801" s="252"/>
      <c r="E2801" s="252"/>
      <c r="F2801" s="252"/>
      <c r="G2801" s="252"/>
      <c r="H2801" s="252"/>
      <c r="I2801" s="252"/>
      <c r="J2801" s="252"/>
      <c r="K2801" s="252"/>
      <c r="L2801"/>
      <c r="M2801"/>
    </row>
    <row r="2802" spans="1:13" s="79" customFormat="1" x14ac:dyDescent="0.35">
      <c r="A2802" s="251"/>
      <c r="B2802" s="22"/>
      <c r="C2802" s="252"/>
      <c r="D2802" s="252"/>
      <c r="E2802" s="252"/>
      <c r="F2802" s="252"/>
      <c r="G2802" s="252"/>
      <c r="H2802" s="252"/>
      <c r="I2802" s="252"/>
      <c r="J2802" s="252"/>
      <c r="K2802" s="252"/>
      <c r="L2802"/>
      <c r="M2802"/>
    </row>
    <row r="2803" spans="1:13" s="79" customFormat="1" x14ac:dyDescent="0.35">
      <c r="A2803" s="251"/>
      <c r="B2803" s="22"/>
      <c r="C2803" s="252"/>
      <c r="D2803" s="252"/>
      <c r="E2803" s="252"/>
      <c r="F2803" s="252"/>
      <c r="G2803" s="252"/>
      <c r="H2803" s="252"/>
      <c r="I2803" s="252"/>
      <c r="J2803" s="252"/>
      <c r="K2803" s="252"/>
      <c r="L2803"/>
      <c r="M2803"/>
    </row>
    <row r="2804" spans="1:13" s="79" customFormat="1" x14ac:dyDescent="0.35">
      <c r="A2804" s="251"/>
      <c r="B2804" s="22"/>
      <c r="C2804" s="252"/>
      <c r="D2804" s="252"/>
      <c r="E2804" s="252"/>
      <c r="F2804" s="252"/>
      <c r="G2804" s="252"/>
      <c r="H2804" s="252"/>
      <c r="I2804" s="252"/>
      <c r="J2804" s="252"/>
      <c r="K2804" s="252"/>
      <c r="L2804"/>
      <c r="M2804"/>
    </row>
    <row r="2805" spans="1:13" s="79" customFormat="1" x14ac:dyDescent="0.35">
      <c r="A2805" s="251"/>
      <c r="B2805" s="22"/>
      <c r="C2805" s="252"/>
      <c r="D2805" s="252"/>
      <c r="E2805" s="252"/>
      <c r="F2805" s="252"/>
      <c r="G2805" s="252"/>
      <c r="H2805" s="252"/>
      <c r="I2805" s="252"/>
      <c r="J2805" s="252"/>
      <c r="K2805" s="252"/>
      <c r="L2805"/>
      <c r="M2805"/>
    </row>
    <row r="2806" spans="1:13" s="79" customFormat="1" x14ac:dyDescent="0.35">
      <c r="A2806" s="251"/>
      <c r="B2806" s="22"/>
      <c r="C2806" s="252"/>
      <c r="D2806" s="252"/>
      <c r="E2806" s="252"/>
      <c r="F2806" s="252"/>
      <c r="G2806" s="252"/>
      <c r="H2806" s="252"/>
      <c r="I2806" s="252"/>
      <c r="J2806" s="252"/>
      <c r="K2806" s="252"/>
      <c r="L2806"/>
      <c r="M2806"/>
    </row>
    <row r="2807" spans="1:13" s="79" customFormat="1" x14ac:dyDescent="0.35">
      <c r="A2807" s="251"/>
      <c r="B2807" s="22"/>
      <c r="C2807" s="252"/>
      <c r="D2807" s="252"/>
      <c r="E2807" s="252"/>
      <c r="F2807" s="252"/>
      <c r="G2807" s="252"/>
      <c r="H2807" s="252"/>
      <c r="I2807" s="252"/>
      <c r="J2807" s="252"/>
      <c r="K2807" s="252"/>
      <c r="L2807"/>
      <c r="M2807"/>
    </row>
    <row r="2808" spans="1:13" s="79" customFormat="1" x14ac:dyDescent="0.35">
      <c r="A2808" s="251"/>
      <c r="B2808" s="22"/>
      <c r="C2808" s="252"/>
      <c r="D2808" s="252"/>
      <c r="E2808" s="252"/>
      <c r="F2808" s="252"/>
      <c r="G2808" s="252"/>
      <c r="H2808" s="252"/>
      <c r="I2808" s="252"/>
      <c r="J2808" s="252"/>
      <c r="K2808" s="252"/>
      <c r="L2808"/>
      <c r="M2808"/>
    </row>
    <row r="2809" spans="1:13" s="79" customFormat="1" x14ac:dyDescent="0.35">
      <c r="A2809" s="251"/>
      <c r="B2809" s="22"/>
      <c r="C2809" s="252"/>
      <c r="D2809" s="252"/>
      <c r="E2809" s="252"/>
      <c r="F2809" s="252"/>
      <c r="G2809" s="252"/>
      <c r="H2809" s="252"/>
      <c r="I2809" s="252"/>
      <c r="J2809" s="252"/>
      <c r="K2809" s="252"/>
      <c r="L2809"/>
      <c r="M2809"/>
    </row>
    <row r="2810" spans="1:13" s="79" customFormat="1" x14ac:dyDescent="0.35">
      <c r="A2810" s="251"/>
      <c r="B2810" s="22"/>
      <c r="C2810" s="252"/>
      <c r="D2810" s="252"/>
      <c r="E2810" s="252"/>
      <c r="F2810" s="252"/>
      <c r="G2810" s="252"/>
      <c r="H2810" s="252"/>
      <c r="I2810" s="252"/>
      <c r="J2810" s="252"/>
      <c r="K2810" s="252"/>
      <c r="L2810"/>
      <c r="M2810"/>
    </row>
    <row r="2811" spans="1:13" s="79" customFormat="1" x14ac:dyDescent="0.35">
      <c r="A2811" s="251"/>
      <c r="B2811" s="22"/>
      <c r="C2811" s="252"/>
      <c r="D2811" s="252"/>
      <c r="E2811" s="252"/>
      <c r="F2811" s="252"/>
      <c r="G2811" s="252"/>
      <c r="H2811" s="252"/>
      <c r="I2811" s="252"/>
      <c r="J2811" s="252"/>
      <c r="K2811" s="252"/>
      <c r="L2811"/>
      <c r="M2811"/>
    </row>
    <row r="2812" spans="1:13" s="79" customFormat="1" x14ac:dyDescent="0.35">
      <c r="A2812" s="251"/>
      <c r="B2812" s="22"/>
      <c r="C2812" s="252"/>
      <c r="D2812" s="252"/>
      <c r="E2812" s="252"/>
      <c r="F2812" s="252"/>
      <c r="G2812" s="252"/>
      <c r="H2812" s="252"/>
      <c r="I2812" s="252"/>
      <c r="J2812" s="252"/>
      <c r="K2812" s="252"/>
      <c r="L2812"/>
      <c r="M2812"/>
    </row>
    <row r="2813" spans="1:13" s="79" customFormat="1" x14ac:dyDescent="0.35">
      <c r="A2813" s="251"/>
      <c r="B2813" s="22"/>
      <c r="C2813" s="252"/>
      <c r="D2813" s="252"/>
      <c r="E2813" s="252"/>
      <c r="F2813" s="252"/>
      <c r="G2813" s="252"/>
      <c r="H2813" s="252"/>
      <c r="I2813" s="252"/>
      <c r="J2813" s="252"/>
      <c r="K2813" s="252"/>
      <c r="L2813"/>
      <c r="M2813"/>
    </row>
    <row r="2814" spans="1:13" s="79" customFormat="1" x14ac:dyDescent="0.35">
      <c r="A2814" s="251"/>
      <c r="B2814" s="22"/>
      <c r="C2814" s="252"/>
      <c r="D2814" s="252"/>
      <c r="E2814" s="252"/>
      <c r="F2814" s="252"/>
      <c r="G2814" s="252"/>
      <c r="H2814" s="252"/>
      <c r="I2814" s="252"/>
      <c r="J2814" s="252"/>
      <c r="K2814" s="252"/>
      <c r="L2814"/>
      <c r="M2814"/>
    </row>
    <row r="2815" spans="1:13" s="79" customFormat="1" x14ac:dyDescent="0.35">
      <c r="A2815" s="251"/>
      <c r="B2815" s="22"/>
      <c r="C2815" s="252"/>
      <c r="D2815" s="252"/>
      <c r="E2815" s="252"/>
      <c r="F2815" s="252"/>
      <c r="G2815" s="252"/>
      <c r="H2815" s="252"/>
      <c r="I2815" s="252"/>
      <c r="J2815" s="252"/>
      <c r="K2815" s="252"/>
      <c r="L2815"/>
      <c r="M2815"/>
    </row>
    <row r="2816" spans="1:13" s="79" customFormat="1" x14ac:dyDescent="0.35">
      <c r="A2816" s="251"/>
      <c r="B2816" s="22"/>
      <c r="C2816" s="252"/>
      <c r="D2816" s="252"/>
      <c r="E2816" s="252"/>
      <c r="F2816" s="252"/>
      <c r="G2816" s="252"/>
      <c r="H2816" s="252"/>
      <c r="I2816" s="252"/>
      <c r="J2816" s="252"/>
      <c r="K2816" s="252"/>
      <c r="L2816"/>
      <c r="M2816"/>
    </row>
    <row r="2817" spans="1:13" s="79" customFormat="1" x14ac:dyDescent="0.35">
      <c r="A2817" s="251"/>
      <c r="B2817" s="22"/>
      <c r="C2817" s="252"/>
      <c r="D2817" s="252"/>
      <c r="E2817" s="252"/>
      <c r="F2817" s="252"/>
      <c r="G2817" s="252"/>
      <c r="H2817" s="252"/>
      <c r="I2817" s="252"/>
      <c r="J2817" s="252"/>
      <c r="K2817" s="252"/>
      <c r="L2817"/>
      <c r="M2817"/>
    </row>
    <row r="2818" spans="1:13" s="79" customFormat="1" x14ac:dyDescent="0.35">
      <c r="A2818" s="251"/>
      <c r="B2818" s="22"/>
      <c r="C2818" s="252"/>
      <c r="D2818" s="252"/>
      <c r="E2818" s="252"/>
      <c r="F2818" s="252"/>
      <c r="G2818" s="252"/>
      <c r="H2818" s="252"/>
      <c r="I2818" s="252"/>
      <c r="J2818" s="252"/>
      <c r="K2818" s="252"/>
      <c r="L2818"/>
      <c r="M2818"/>
    </row>
    <row r="2819" spans="1:13" s="79" customFormat="1" x14ac:dyDescent="0.35">
      <c r="A2819" s="251"/>
      <c r="B2819" s="22"/>
      <c r="C2819" s="252"/>
      <c r="D2819" s="252"/>
      <c r="E2819" s="252"/>
      <c r="F2819" s="252"/>
      <c r="G2819" s="252"/>
      <c r="H2819" s="252"/>
      <c r="I2819" s="252"/>
      <c r="J2819" s="252"/>
      <c r="K2819" s="252"/>
      <c r="L2819"/>
      <c r="M2819"/>
    </row>
    <row r="2820" spans="1:13" s="79" customFormat="1" x14ac:dyDescent="0.35">
      <c r="A2820" s="251"/>
      <c r="B2820" s="22"/>
      <c r="C2820" s="252"/>
      <c r="D2820" s="252"/>
      <c r="E2820" s="252"/>
      <c r="F2820" s="252"/>
      <c r="G2820" s="252"/>
      <c r="H2820" s="252"/>
      <c r="I2820" s="252"/>
      <c r="J2820" s="252"/>
      <c r="K2820" s="252"/>
      <c r="L2820"/>
      <c r="M2820"/>
    </row>
    <row r="2821" spans="1:13" s="79" customFormat="1" x14ac:dyDescent="0.35">
      <c r="A2821" s="251"/>
      <c r="B2821" s="22"/>
      <c r="C2821" s="252"/>
      <c r="D2821" s="252"/>
      <c r="E2821" s="252"/>
      <c r="F2821" s="252"/>
      <c r="G2821" s="252"/>
      <c r="H2821" s="252"/>
      <c r="I2821" s="252"/>
      <c r="J2821" s="252"/>
      <c r="K2821" s="252"/>
      <c r="L2821"/>
      <c r="M2821"/>
    </row>
    <row r="2822" spans="1:13" s="79" customFormat="1" x14ac:dyDescent="0.35">
      <c r="A2822" s="251"/>
      <c r="B2822" s="22"/>
      <c r="C2822" s="252"/>
      <c r="D2822" s="252"/>
      <c r="E2822" s="252"/>
      <c r="F2822" s="252"/>
      <c r="G2822" s="252"/>
      <c r="H2822" s="252"/>
      <c r="I2822" s="252"/>
      <c r="J2822" s="252"/>
      <c r="K2822" s="252"/>
      <c r="L2822"/>
      <c r="M2822"/>
    </row>
    <row r="2823" spans="1:13" s="79" customFormat="1" x14ac:dyDescent="0.35">
      <c r="A2823" s="251"/>
      <c r="B2823" s="22"/>
      <c r="C2823" s="252"/>
      <c r="D2823" s="252"/>
      <c r="E2823" s="252"/>
      <c r="F2823" s="252"/>
      <c r="G2823" s="252"/>
      <c r="H2823" s="252"/>
      <c r="I2823" s="252"/>
      <c r="J2823" s="252"/>
      <c r="K2823" s="252"/>
      <c r="L2823"/>
      <c r="M2823"/>
    </row>
    <row r="2824" spans="1:13" s="79" customFormat="1" x14ac:dyDescent="0.35">
      <c r="A2824" s="251"/>
      <c r="B2824" s="22"/>
      <c r="C2824" s="252"/>
      <c r="D2824" s="252"/>
      <c r="E2824" s="252"/>
      <c r="F2824" s="252"/>
      <c r="G2824" s="252"/>
      <c r="H2824" s="252"/>
      <c r="I2824" s="252"/>
      <c r="J2824" s="252"/>
      <c r="K2824" s="252"/>
      <c r="L2824"/>
      <c r="M2824"/>
    </row>
    <row r="2825" spans="1:13" s="79" customFormat="1" x14ac:dyDescent="0.35">
      <c r="A2825" s="251"/>
      <c r="B2825" s="22"/>
      <c r="C2825" s="252"/>
      <c r="D2825" s="252"/>
      <c r="E2825" s="252"/>
      <c r="F2825" s="252"/>
      <c r="G2825" s="252"/>
      <c r="H2825" s="252"/>
      <c r="I2825" s="252"/>
      <c r="J2825" s="252"/>
      <c r="K2825" s="252"/>
      <c r="L2825"/>
      <c r="M2825"/>
    </row>
    <row r="2826" spans="1:13" s="79" customFormat="1" x14ac:dyDescent="0.35">
      <c r="A2826" s="251"/>
      <c r="B2826" s="22"/>
      <c r="C2826" s="252"/>
      <c r="D2826" s="252"/>
      <c r="E2826" s="252"/>
      <c r="F2826" s="252"/>
      <c r="G2826" s="252"/>
      <c r="H2826" s="252"/>
      <c r="I2826" s="252"/>
      <c r="J2826" s="252"/>
      <c r="K2826" s="252"/>
      <c r="L2826"/>
      <c r="M2826"/>
    </row>
    <row r="2827" spans="1:13" s="79" customFormat="1" x14ac:dyDescent="0.35">
      <c r="A2827" s="251"/>
      <c r="B2827" s="22"/>
      <c r="C2827" s="252"/>
      <c r="D2827" s="252"/>
      <c r="E2827" s="252"/>
      <c r="F2827" s="252"/>
      <c r="G2827" s="252"/>
      <c r="H2827" s="252"/>
      <c r="I2827" s="252"/>
      <c r="J2827" s="252"/>
      <c r="K2827" s="252"/>
      <c r="L2827"/>
      <c r="M2827"/>
    </row>
    <row r="2828" spans="1:13" s="79" customFormat="1" x14ac:dyDescent="0.35">
      <c r="A2828" s="251"/>
      <c r="B2828" s="22"/>
      <c r="C2828" s="252"/>
      <c r="D2828" s="252"/>
      <c r="E2828" s="252"/>
      <c r="F2828" s="252"/>
      <c r="G2828" s="252"/>
      <c r="H2828" s="252"/>
      <c r="I2828" s="252"/>
      <c r="J2828" s="252"/>
      <c r="K2828" s="252"/>
      <c r="L2828"/>
      <c r="M2828"/>
    </row>
    <row r="2829" spans="1:13" s="79" customFormat="1" x14ac:dyDescent="0.35">
      <c r="A2829" s="251"/>
      <c r="B2829" s="22"/>
      <c r="C2829" s="252"/>
      <c r="D2829" s="252"/>
      <c r="E2829" s="252"/>
      <c r="F2829" s="252"/>
      <c r="G2829" s="252"/>
      <c r="H2829" s="252"/>
      <c r="I2829" s="252"/>
      <c r="J2829" s="252"/>
      <c r="K2829" s="252"/>
      <c r="L2829"/>
      <c r="M2829"/>
    </row>
    <row r="2830" spans="1:13" s="79" customFormat="1" x14ac:dyDescent="0.35">
      <c r="A2830" s="251"/>
      <c r="B2830" s="22"/>
      <c r="C2830" s="252"/>
      <c r="D2830" s="252"/>
      <c r="E2830" s="252"/>
      <c r="F2830" s="252"/>
      <c r="G2830" s="252"/>
      <c r="H2830" s="252"/>
      <c r="I2830" s="252"/>
      <c r="J2830" s="252"/>
      <c r="K2830" s="252"/>
      <c r="L2830"/>
      <c r="M2830"/>
    </row>
    <row r="2831" spans="1:13" s="79" customFormat="1" x14ac:dyDescent="0.35">
      <c r="A2831" s="251"/>
      <c r="B2831" s="22"/>
      <c r="C2831" s="252"/>
      <c r="D2831" s="252"/>
      <c r="E2831" s="252"/>
      <c r="F2831" s="252"/>
      <c r="G2831" s="252"/>
      <c r="H2831" s="252"/>
      <c r="I2831" s="252"/>
      <c r="J2831" s="252"/>
      <c r="K2831" s="252"/>
      <c r="L2831"/>
      <c r="M2831"/>
    </row>
    <row r="2832" spans="1:13" s="79" customFormat="1" x14ac:dyDescent="0.35">
      <c r="A2832" s="251"/>
      <c r="B2832" s="22"/>
      <c r="C2832" s="252"/>
      <c r="D2832" s="252"/>
      <c r="E2832" s="252"/>
      <c r="F2832" s="252"/>
      <c r="G2832" s="252"/>
      <c r="H2832" s="252"/>
      <c r="I2832" s="252"/>
      <c r="J2832" s="252"/>
      <c r="K2832" s="252"/>
      <c r="L2832"/>
      <c r="M2832"/>
    </row>
    <row r="2833" spans="1:13" s="79" customFormat="1" x14ac:dyDescent="0.35">
      <c r="A2833" s="251"/>
      <c r="B2833" s="22"/>
      <c r="C2833" s="252"/>
      <c r="D2833" s="252"/>
      <c r="E2833" s="252"/>
      <c r="F2833" s="252"/>
      <c r="G2833" s="252"/>
      <c r="H2833" s="252"/>
      <c r="I2833" s="252"/>
      <c r="J2833" s="252"/>
      <c r="K2833" s="252"/>
      <c r="L2833"/>
      <c r="M2833"/>
    </row>
    <row r="2834" spans="1:13" s="79" customFormat="1" x14ac:dyDescent="0.35">
      <c r="A2834" s="251"/>
      <c r="B2834" s="22"/>
      <c r="C2834" s="252"/>
      <c r="D2834" s="252"/>
      <c r="E2834" s="252"/>
      <c r="F2834" s="252"/>
      <c r="G2834" s="252"/>
      <c r="H2834" s="252"/>
      <c r="I2834" s="252"/>
      <c r="J2834" s="252"/>
      <c r="K2834" s="252"/>
      <c r="L2834"/>
      <c r="M2834"/>
    </row>
    <row r="2835" spans="1:13" s="79" customFormat="1" x14ac:dyDescent="0.35">
      <c r="A2835" s="251"/>
      <c r="B2835" s="22"/>
      <c r="C2835" s="252"/>
      <c r="D2835" s="252"/>
      <c r="E2835" s="252"/>
      <c r="F2835" s="252"/>
      <c r="G2835" s="252"/>
      <c r="H2835" s="252"/>
      <c r="I2835" s="252"/>
      <c r="J2835" s="252"/>
      <c r="K2835" s="252"/>
      <c r="L2835"/>
      <c r="M2835"/>
    </row>
    <row r="2836" spans="1:13" s="79" customFormat="1" x14ac:dyDescent="0.35">
      <c r="A2836" s="251"/>
      <c r="B2836" s="22"/>
      <c r="C2836" s="252"/>
      <c r="D2836" s="252"/>
      <c r="E2836" s="252"/>
      <c r="F2836" s="252"/>
      <c r="G2836" s="252"/>
      <c r="H2836" s="252"/>
      <c r="I2836" s="252"/>
      <c r="J2836" s="252"/>
      <c r="K2836" s="252"/>
      <c r="L2836"/>
      <c r="M2836"/>
    </row>
    <row r="2837" spans="1:13" s="79" customFormat="1" x14ac:dyDescent="0.35">
      <c r="A2837" s="251"/>
      <c r="B2837" s="22"/>
      <c r="C2837" s="252"/>
      <c r="D2837" s="252"/>
      <c r="E2837" s="252"/>
      <c r="F2837" s="252"/>
      <c r="G2837" s="252"/>
      <c r="H2837" s="252"/>
      <c r="I2837" s="252"/>
      <c r="J2837" s="252"/>
      <c r="K2837" s="252"/>
      <c r="L2837"/>
      <c r="M2837"/>
    </row>
    <row r="2838" spans="1:13" s="79" customFormat="1" x14ac:dyDescent="0.35">
      <c r="A2838" s="251"/>
      <c r="B2838" s="22"/>
      <c r="C2838" s="252"/>
      <c r="D2838" s="252"/>
      <c r="E2838" s="252"/>
      <c r="F2838" s="252"/>
      <c r="G2838" s="252"/>
      <c r="H2838" s="252"/>
      <c r="I2838" s="252"/>
      <c r="J2838" s="252"/>
      <c r="K2838" s="252"/>
      <c r="L2838"/>
      <c r="M2838"/>
    </row>
    <row r="2839" spans="1:13" s="79" customFormat="1" x14ac:dyDescent="0.35">
      <c r="A2839" s="251"/>
      <c r="B2839" s="22"/>
      <c r="C2839" s="252"/>
      <c r="D2839" s="252"/>
      <c r="E2839" s="252"/>
      <c r="F2839" s="252"/>
      <c r="G2839" s="252"/>
      <c r="H2839" s="252"/>
      <c r="I2839" s="252"/>
      <c r="J2839" s="252"/>
      <c r="K2839" s="252"/>
      <c r="L2839"/>
      <c r="M2839"/>
    </row>
    <row r="2840" spans="1:13" s="79" customFormat="1" x14ac:dyDescent="0.35">
      <c r="A2840" s="251"/>
      <c r="B2840" s="22"/>
      <c r="C2840" s="252"/>
      <c r="D2840" s="252"/>
      <c r="E2840" s="252"/>
      <c r="F2840" s="252"/>
      <c r="G2840" s="252"/>
      <c r="H2840" s="252"/>
      <c r="I2840" s="252"/>
      <c r="J2840" s="252"/>
      <c r="K2840" s="252"/>
      <c r="L2840"/>
      <c r="M2840"/>
    </row>
    <row r="2841" spans="1:13" s="79" customFormat="1" x14ac:dyDescent="0.35">
      <c r="A2841" s="251"/>
      <c r="B2841" s="22"/>
      <c r="C2841" s="252"/>
      <c r="D2841" s="252"/>
      <c r="E2841" s="252"/>
      <c r="F2841" s="252"/>
      <c r="G2841" s="252"/>
      <c r="H2841" s="252"/>
      <c r="I2841" s="252"/>
      <c r="J2841" s="252"/>
      <c r="K2841" s="252"/>
      <c r="L2841"/>
      <c r="M2841"/>
    </row>
    <row r="2842" spans="1:13" s="79" customFormat="1" x14ac:dyDescent="0.35">
      <c r="A2842" s="251"/>
      <c r="B2842" s="22"/>
      <c r="C2842" s="252"/>
      <c r="D2842" s="252"/>
      <c r="E2842" s="252"/>
      <c r="F2842" s="252"/>
      <c r="G2842" s="252"/>
      <c r="H2842" s="252"/>
      <c r="I2842" s="252"/>
      <c r="J2842" s="252"/>
      <c r="K2842" s="252"/>
      <c r="L2842"/>
      <c r="M2842"/>
    </row>
    <row r="2843" spans="1:13" s="79" customFormat="1" x14ac:dyDescent="0.35">
      <c r="A2843" s="251"/>
      <c r="B2843" s="22"/>
      <c r="C2843" s="252"/>
      <c r="D2843" s="252"/>
      <c r="E2843" s="252"/>
      <c r="F2843" s="252"/>
      <c r="G2843" s="252"/>
      <c r="H2843" s="252"/>
      <c r="I2843" s="252"/>
      <c r="J2843" s="252"/>
      <c r="K2843" s="252"/>
      <c r="L2843"/>
      <c r="M2843"/>
    </row>
    <row r="2844" spans="1:13" s="79" customFormat="1" x14ac:dyDescent="0.35">
      <c r="A2844" s="251"/>
      <c r="B2844" s="22"/>
      <c r="C2844" s="252"/>
      <c r="D2844" s="252"/>
      <c r="E2844" s="252"/>
      <c r="F2844" s="252"/>
      <c r="G2844" s="252"/>
      <c r="H2844" s="252"/>
      <c r="I2844" s="252"/>
      <c r="J2844" s="252"/>
      <c r="K2844" s="252"/>
      <c r="L2844"/>
      <c r="M2844"/>
    </row>
    <row r="2845" spans="1:13" s="79" customFormat="1" x14ac:dyDescent="0.35">
      <c r="A2845" s="251"/>
      <c r="B2845" s="22"/>
      <c r="C2845" s="252"/>
      <c r="D2845" s="252"/>
      <c r="E2845" s="252"/>
      <c r="F2845" s="252"/>
      <c r="G2845" s="252"/>
      <c r="H2845" s="252"/>
      <c r="I2845" s="252"/>
      <c r="J2845" s="252"/>
      <c r="K2845" s="252"/>
      <c r="L2845"/>
      <c r="M2845"/>
    </row>
    <row r="2846" spans="1:13" s="79" customFormat="1" x14ac:dyDescent="0.35">
      <c r="A2846" s="251"/>
      <c r="B2846" s="22"/>
      <c r="C2846" s="252"/>
      <c r="D2846" s="252"/>
      <c r="E2846" s="252"/>
      <c r="F2846" s="252"/>
      <c r="G2846" s="252"/>
      <c r="H2846" s="252"/>
      <c r="I2846" s="252"/>
      <c r="J2846" s="252"/>
      <c r="K2846" s="252"/>
      <c r="L2846"/>
      <c r="M2846"/>
    </row>
    <row r="2847" spans="1:13" s="79" customFormat="1" x14ac:dyDescent="0.35">
      <c r="A2847" s="251"/>
      <c r="B2847" s="22"/>
      <c r="C2847" s="252"/>
      <c r="D2847" s="252"/>
      <c r="E2847" s="252"/>
      <c r="F2847" s="252"/>
      <c r="G2847" s="252"/>
      <c r="H2847" s="252"/>
      <c r="I2847" s="252"/>
      <c r="J2847" s="252"/>
      <c r="K2847" s="252"/>
      <c r="L2847"/>
      <c r="M2847"/>
    </row>
    <row r="2848" spans="1:13" s="79" customFormat="1" x14ac:dyDescent="0.35">
      <c r="A2848" s="251"/>
      <c r="B2848" s="22"/>
      <c r="C2848" s="252"/>
      <c r="D2848" s="252"/>
      <c r="E2848" s="252"/>
      <c r="F2848" s="252"/>
      <c r="G2848" s="252"/>
      <c r="H2848" s="252"/>
      <c r="I2848" s="252"/>
      <c r="J2848" s="252"/>
      <c r="K2848" s="252"/>
      <c r="L2848"/>
      <c r="M2848"/>
    </row>
    <row r="2849" spans="1:13" s="79" customFormat="1" x14ac:dyDescent="0.35">
      <c r="A2849" s="251"/>
      <c r="B2849" s="22"/>
      <c r="C2849" s="252"/>
      <c r="D2849" s="252"/>
      <c r="E2849" s="252"/>
      <c r="F2849" s="252"/>
      <c r="G2849" s="252"/>
      <c r="H2849" s="252"/>
      <c r="I2849" s="252"/>
      <c r="J2849" s="252"/>
      <c r="K2849" s="252"/>
      <c r="L2849"/>
      <c r="M2849"/>
    </row>
    <row r="2850" spans="1:13" s="79" customFormat="1" x14ac:dyDescent="0.35">
      <c r="A2850" s="251"/>
      <c r="B2850" s="22"/>
      <c r="C2850" s="252"/>
      <c r="D2850" s="252"/>
      <c r="E2850" s="252"/>
      <c r="F2850" s="252"/>
      <c r="G2850" s="252"/>
      <c r="H2850" s="252"/>
      <c r="I2850" s="252"/>
      <c r="J2850" s="252"/>
      <c r="K2850" s="252"/>
      <c r="L2850"/>
      <c r="M2850"/>
    </row>
    <row r="2851" spans="1:13" s="79" customFormat="1" x14ac:dyDescent="0.35">
      <c r="A2851" s="251"/>
      <c r="B2851" s="22"/>
      <c r="C2851" s="252"/>
      <c r="D2851" s="252"/>
      <c r="E2851" s="252"/>
      <c r="F2851" s="252"/>
      <c r="G2851" s="252"/>
      <c r="H2851" s="252"/>
      <c r="I2851" s="252"/>
      <c r="J2851" s="252"/>
      <c r="K2851" s="252"/>
      <c r="L2851"/>
      <c r="M2851"/>
    </row>
    <row r="2852" spans="1:13" s="79" customFormat="1" x14ac:dyDescent="0.35">
      <c r="A2852" s="251"/>
      <c r="B2852" s="22"/>
      <c r="C2852" s="252"/>
      <c r="D2852" s="252"/>
      <c r="E2852" s="252"/>
      <c r="F2852" s="252"/>
      <c r="G2852" s="252"/>
      <c r="H2852" s="252"/>
      <c r="I2852" s="252"/>
      <c r="J2852" s="252"/>
      <c r="K2852" s="252"/>
      <c r="L2852"/>
      <c r="M2852"/>
    </row>
    <row r="2853" spans="1:13" s="79" customFormat="1" x14ac:dyDescent="0.35">
      <c r="A2853" s="251"/>
      <c r="B2853" s="22"/>
      <c r="C2853" s="252"/>
      <c r="D2853" s="252"/>
      <c r="E2853" s="252"/>
      <c r="F2853" s="252"/>
      <c r="G2853" s="252"/>
      <c r="H2853" s="252"/>
      <c r="I2853" s="252"/>
      <c r="J2853" s="252"/>
      <c r="K2853" s="252"/>
      <c r="L2853"/>
      <c r="M2853"/>
    </row>
    <row r="2854" spans="1:13" s="79" customFormat="1" x14ac:dyDescent="0.35">
      <c r="A2854" s="251"/>
      <c r="B2854" s="22"/>
      <c r="C2854" s="252"/>
      <c r="D2854" s="252"/>
      <c r="E2854" s="252"/>
      <c r="F2854" s="252"/>
      <c r="G2854" s="252"/>
      <c r="H2854" s="252"/>
      <c r="I2854" s="252"/>
      <c r="J2854" s="252"/>
      <c r="K2854" s="252"/>
      <c r="L2854"/>
      <c r="M2854"/>
    </row>
    <row r="2855" spans="1:13" s="79" customFormat="1" x14ac:dyDescent="0.35">
      <c r="A2855" s="251"/>
      <c r="B2855" s="22"/>
      <c r="C2855" s="252"/>
      <c r="D2855" s="252"/>
      <c r="E2855" s="252"/>
      <c r="F2855" s="252"/>
      <c r="G2855" s="252"/>
      <c r="H2855" s="252"/>
      <c r="I2855" s="252"/>
      <c r="J2855" s="252"/>
      <c r="K2855" s="252"/>
      <c r="L2855"/>
      <c r="M2855"/>
    </row>
    <row r="2856" spans="1:13" s="79" customFormat="1" x14ac:dyDescent="0.35">
      <c r="A2856" s="251"/>
      <c r="B2856" s="22"/>
      <c r="C2856" s="252"/>
      <c r="D2856" s="252"/>
      <c r="E2856" s="252"/>
      <c r="F2856" s="252"/>
      <c r="G2856" s="252"/>
      <c r="H2856" s="252"/>
      <c r="I2856" s="252"/>
      <c r="J2856" s="252"/>
      <c r="K2856" s="252"/>
      <c r="L2856"/>
      <c r="M2856"/>
    </row>
    <row r="2857" spans="1:13" s="79" customFormat="1" x14ac:dyDescent="0.35">
      <c r="A2857" s="251"/>
      <c r="B2857" s="22"/>
      <c r="C2857" s="252"/>
      <c r="D2857" s="252"/>
      <c r="E2857" s="252"/>
      <c r="F2857" s="252"/>
      <c r="G2857" s="252"/>
      <c r="H2857" s="252"/>
      <c r="I2857" s="252"/>
      <c r="J2857" s="252"/>
      <c r="K2857" s="252"/>
      <c r="L2857"/>
      <c r="M2857"/>
    </row>
    <row r="2858" spans="1:13" s="79" customFormat="1" x14ac:dyDescent="0.35">
      <c r="A2858" s="251"/>
      <c r="B2858" s="22"/>
      <c r="C2858" s="252"/>
      <c r="D2858" s="252"/>
      <c r="E2858" s="252"/>
      <c r="F2858" s="252"/>
      <c r="G2858" s="252"/>
      <c r="H2858" s="252"/>
      <c r="I2858" s="252"/>
      <c r="J2858" s="252"/>
      <c r="K2858" s="252"/>
      <c r="L2858"/>
      <c r="M2858"/>
    </row>
    <row r="2859" spans="1:13" s="79" customFormat="1" x14ac:dyDescent="0.35">
      <c r="A2859" s="251"/>
      <c r="B2859" s="22"/>
      <c r="C2859" s="252"/>
      <c r="D2859" s="252"/>
      <c r="E2859" s="252"/>
      <c r="F2859" s="252"/>
      <c r="G2859" s="252"/>
      <c r="H2859" s="252"/>
      <c r="I2859" s="252"/>
      <c r="J2859" s="252"/>
      <c r="K2859" s="252"/>
      <c r="L2859"/>
      <c r="M2859"/>
    </row>
    <row r="2860" spans="1:13" s="79" customFormat="1" x14ac:dyDescent="0.35">
      <c r="A2860" s="251"/>
      <c r="B2860" s="22"/>
      <c r="C2860" s="252"/>
      <c r="D2860" s="252"/>
      <c r="E2860" s="252"/>
      <c r="F2860" s="252"/>
      <c r="G2860" s="252"/>
      <c r="H2860" s="252"/>
      <c r="I2860" s="252"/>
      <c r="J2860" s="252"/>
      <c r="K2860" s="252"/>
      <c r="L2860"/>
      <c r="M2860"/>
    </row>
    <row r="2861" spans="1:13" s="79" customFormat="1" x14ac:dyDescent="0.35">
      <c r="A2861" s="251"/>
      <c r="B2861" s="22"/>
      <c r="C2861" s="252"/>
      <c r="D2861" s="252"/>
      <c r="E2861" s="252"/>
      <c r="F2861" s="252"/>
      <c r="G2861" s="252"/>
      <c r="H2861" s="252"/>
      <c r="I2861" s="252"/>
      <c r="J2861" s="252"/>
      <c r="K2861" s="252"/>
      <c r="L2861"/>
      <c r="M2861"/>
    </row>
    <row r="2862" spans="1:13" s="79" customFormat="1" x14ac:dyDescent="0.35">
      <c r="A2862" s="251"/>
      <c r="B2862" s="22"/>
      <c r="C2862" s="252"/>
      <c r="D2862" s="252"/>
      <c r="E2862" s="252"/>
      <c r="F2862" s="252"/>
      <c r="G2862" s="252"/>
      <c r="H2862" s="252"/>
      <c r="I2862" s="252"/>
      <c r="J2862" s="252"/>
      <c r="K2862" s="252"/>
      <c r="L2862"/>
      <c r="M2862"/>
    </row>
    <row r="2863" spans="1:13" s="79" customFormat="1" x14ac:dyDescent="0.35">
      <c r="A2863" s="251"/>
      <c r="B2863" s="22"/>
      <c r="C2863" s="252"/>
      <c r="D2863" s="252"/>
      <c r="E2863" s="252"/>
      <c r="F2863" s="252"/>
      <c r="G2863" s="252"/>
      <c r="H2863" s="252"/>
      <c r="I2863" s="252"/>
      <c r="J2863" s="252"/>
      <c r="K2863" s="252"/>
      <c r="L2863"/>
      <c r="M2863"/>
    </row>
    <row r="2864" spans="1:13" s="79" customFormat="1" x14ac:dyDescent="0.35">
      <c r="A2864" s="251"/>
      <c r="B2864" s="22"/>
      <c r="C2864" s="252"/>
      <c r="D2864" s="252"/>
      <c r="E2864" s="252"/>
      <c r="F2864" s="252"/>
      <c r="G2864" s="252"/>
      <c r="H2864" s="252"/>
      <c r="I2864" s="252"/>
      <c r="J2864" s="252"/>
      <c r="K2864" s="252"/>
      <c r="L2864"/>
      <c r="M2864"/>
    </row>
    <row r="2865" spans="1:13" s="79" customFormat="1" x14ac:dyDescent="0.35">
      <c r="A2865" s="251"/>
      <c r="B2865" s="22"/>
      <c r="C2865" s="252"/>
      <c r="D2865" s="252"/>
      <c r="E2865" s="252"/>
      <c r="F2865" s="252"/>
      <c r="G2865" s="252"/>
      <c r="H2865" s="252"/>
      <c r="I2865" s="252"/>
      <c r="J2865" s="252"/>
      <c r="K2865" s="252"/>
      <c r="L2865"/>
      <c r="M2865"/>
    </row>
    <row r="2866" spans="1:13" s="79" customFormat="1" x14ac:dyDescent="0.35">
      <c r="A2866" s="251"/>
      <c r="B2866" s="22"/>
      <c r="C2866" s="252"/>
      <c r="D2866" s="252"/>
      <c r="E2866" s="252"/>
      <c r="F2866" s="252"/>
      <c r="G2866" s="252"/>
      <c r="H2866" s="252"/>
      <c r="I2866" s="252"/>
      <c r="J2866" s="252"/>
      <c r="K2866" s="252"/>
      <c r="L2866"/>
      <c r="M2866"/>
    </row>
    <row r="2867" spans="1:13" s="79" customFormat="1" x14ac:dyDescent="0.35">
      <c r="A2867" s="251"/>
      <c r="B2867" s="22"/>
      <c r="C2867" s="252"/>
      <c r="D2867" s="252"/>
      <c r="E2867" s="252"/>
      <c r="F2867" s="252"/>
      <c r="G2867" s="252"/>
      <c r="H2867" s="252"/>
      <c r="I2867" s="252"/>
      <c r="J2867" s="252"/>
      <c r="K2867" s="252"/>
      <c r="L2867"/>
      <c r="M2867"/>
    </row>
    <row r="2868" spans="1:13" s="79" customFormat="1" x14ac:dyDescent="0.35">
      <c r="A2868" s="251"/>
      <c r="B2868" s="22"/>
      <c r="C2868" s="252"/>
      <c r="D2868" s="252"/>
      <c r="E2868" s="252"/>
      <c r="F2868" s="252"/>
      <c r="G2868" s="252"/>
      <c r="H2868" s="252"/>
      <c r="I2868" s="252"/>
      <c r="J2868" s="252"/>
      <c r="K2868" s="252"/>
      <c r="L2868"/>
      <c r="M2868"/>
    </row>
    <row r="2869" spans="1:13" s="79" customFormat="1" x14ac:dyDescent="0.35">
      <c r="A2869" s="251"/>
      <c r="B2869" s="22"/>
      <c r="C2869" s="252"/>
      <c r="D2869" s="252"/>
      <c r="E2869" s="252"/>
      <c r="F2869" s="252"/>
      <c r="G2869" s="252"/>
      <c r="H2869" s="252"/>
      <c r="I2869" s="252"/>
      <c r="J2869" s="252"/>
      <c r="K2869" s="252"/>
      <c r="L2869"/>
      <c r="M2869"/>
    </row>
    <row r="2870" spans="1:13" s="79" customFormat="1" x14ac:dyDescent="0.35">
      <c r="A2870" s="251"/>
      <c r="B2870" s="22"/>
      <c r="C2870" s="252"/>
      <c r="D2870" s="252"/>
      <c r="E2870" s="252"/>
      <c r="F2870" s="252"/>
      <c r="G2870" s="252"/>
      <c r="H2870" s="252"/>
      <c r="I2870" s="252"/>
      <c r="J2870" s="252"/>
      <c r="K2870" s="252"/>
      <c r="L2870"/>
      <c r="M2870"/>
    </row>
    <row r="2871" spans="1:13" s="79" customFormat="1" x14ac:dyDescent="0.35">
      <c r="A2871" s="251"/>
      <c r="B2871" s="22"/>
      <c r="C2871" s="252"/>
      <c r="D2871" s="252"/>
      <c r="E2871" s="252"/>
      <c r="F2871" s="252"/>
      <c r="G2871" s="252"/>
      <c r="H2871" s="252"/>
      <c r="I2871" s="252"/>
      <c r="J2871" s="252"/>
      <c r="K2871" s="252"/>
      <c r="L2871"/>
      <c r="M2871"/>
    </row>
    <row r="2872" spans="1:13" s="79" customFormat="1" x14ac:dyDescent="0.35">
      <c r="A2872" s="251"/>
      <c r="B2872" s="22"/>
      <c r="C2872" s="252"/>
      <c r="D2872" s="252"/>
      <c r="E2872" s="252"/>
      <c r="F2872" s="252"/>
      <c r="G2872" s="252"/>
      <c r="H2872" s="252"/>
      <c r="I2872" s="252"/>
      <c r="J2872" s="252"/>
      <c r="K2872" s="252"/>
      <c r="L2872"/>
      <c r="M2872"/>
    </row>
    <row r="2873" spans="1:13" s="79" customFormat="1" x14ac:dyDescent="0.35">
      <c r="A2873" s="251"/>
      <c r="B2873" s="22"/>
      <c r="C2873" s="252"/>
      <c r="D2873" s="252"/>
      <c r="E2873" s="252"/>
      <c r="F2873" s="252"/>
      <c r="G2873" s="252"/>
      <c r="H2873" s="252"/>
      <c r="I2873" s="252"/>
      <c r="J2873" s="252"/>
      <c r="K2873" s="252"/>
      <c r="L2873"/>
      <c r="M2873"/>
    </row>
    <row r="2874" spans="1:13" s="79" customFormat="1" x14ac:dyDescent="0.35">
      <c r="A2874" s="251"/>
      <c r="B2874" s="22"/>
      <c r="C2874" s="252"/>
      <c r="D2874" s="252"/>
      <c r="E2874" s="252"/>
      <c r="F2874" s="252"/>
      <c r="G2874" s="252"/>
      <c r="H2874" s="252"/>
      <c r="I2874" s="252"/>
      <c r="J2874" s="252"/>
      <c r="K2874" s="252"/>
      <c r="L2874"/>
      <c r="M2874"/>
    </row>
    <row r="2875" spans="1:13" s="79" customFormat="1" x14ac:dyDescent="0.35">
      <c r="A2875" s="251"/>
      <c r="B2875" s="22"/>
      <c r="C2875" s="252"/>
      <c r="D2875" s="252"/>
      <c r="E2875" s="252"/>
      <c r="F2875" s="252"/>
      <c r="G2875" s="252"/>
      <c r="H2875" s="252"/>
      <c r="I2875" s="252"/>
      <c r="J2875" s="252"/>
      <c r="K2875" s="252"/>
      <c r="L2875"/>
      <c r="M2875"/>
    </row>
    <row r="2876" spans="1:13" s="79" customFormat="1" x14ac:dyDescent="0.35">
      <c r="A2876" s="251"/>
      <c r="B2876" s="22"/>
      <c r="C2876" s="252"/>
      <c r="D2876" s="252"/>
      <c r="E2876" s="252"/>
      <c r="F2876" s="252"/>
      <c r="G2876" s="252"/>
      <c r="H2876" s="252"/>
      <c r="I2876" s="252"/>
      <c r="J2876" s="252"/>
      <c r="K2876" s="252"/>
      <c r="L2876"/>
      <c r="M2876"/>
    </row>
    <row r="2877" spans="1:13" s="79" customFormat="1" x14ac:dyDescent="0.35">
      <c r="A2877" s="251"/>
      <c r="B2877" s="22"/>
      <c r="C2877" s="252"/>
      <c r="D2877" s="252"/>
      <c r="E2877" s="252"/>
      <c r="F2877" s="252"/>
      <c r="G2877" s="252"/>
      <c r="H2877" s="252"/>
      <c r="I2877" s="252"/>
      <c r="J2877" s="252"/>
      <c r="K2877" s="252"/>
      <c r="L2877"/>
      <c r="M2877"/>
    </row>
    <row r="2878" spans="1:13" s="79" customFormat="1" x14ac:dyDescent="0.35">
      <c r="A2878" s="251"/>
      <c r="B2878" s="22"/>
      <c r="C2878" s="252"/>
      <c r="D2878" s="252"/>
      <c r="E2878" s="252"/>
      <c r="F2878" s="252"/>
      <c r="G2878" s="252"/>
      <c r="H2878" s="252"/>
      <c r="I2878" s="252"/>
      <c r="J2878" s="252"/>
      <c r="K2878" s="252"/>
      <c r="L2878"/>
      <c r="M2878"/>
    </row>
    <row r="2879" spans="1:13" s="79" customFormat="1" x14ac:dyDescent="0.35">
      <c r="A2879" s="251"/>
      <c r="B2879" s="22"/>
      <c r="C2879" s="252"/>
      <c r="D2879" s="252"/>
      <c r="E2879" s="252"/>
      <c r="F2879" s="252"/>
      <c r="G2879" s="252"/>
      <c r="H2879" s="252"/>
      <c r="I2879" s="252"/>
      <c r="J2879" s="252"/>
      <c r="K2879" s="252"/>
      <c r="L2879"/>
      <c r="M2879"/>
    </row>
    <row r="2880" spans="1:13" s="79" customFormat="1" x14ac:dyDescent="0.35">
      <c r="A2880" s="251"/>
      <c r="B2880" s="22"/>
      <c r="C2880" s="252"/>
      <c r="D2880" s="252"/>
      <c r="E2880" s="252"/>
      <c r="F2880" s="252"/>
      <c r="G2880" s="252"/>
      <c r="H2880" s="252"/>
      <c r="I2880" s="252"/>
      <c r="J2880" s="252"/>
      <c r="K2880" s="252"/>
      <c r="L2880"/>
      <c r="M2880"/>
    </row>
    <row r="2881" spans="1:13" s="79" customFormat="1" x14ac:dyDescent="0.35">
      <c r="A2881" s="251"/>
      <c r="B2881" s="22"/>
      <c r="C2881" s="252"/>
      <c r="D2881" s="252"/>
      <c r="E2881" s="252"/>
      <c r="F2881" s="252"/>
      <c r="G2881" s="252"/>
      <c r="H2881" s="252"/>
      <c r="I2881" s="252"/>
      <c r="J2881" s="252"/>
      <c r="K2881" s="252"/>
      <c r="L2881"/>
      <c r="M2881"/>
    </row>
    <row r="2882" spans="1:13" s="79" customFormat="1" x14ac:dyDescent="0.35">
      <c r="A2882" s="251"/>
      <c r="B2882" s="22"/>
      <c r="C2882" s="252"/>
      <c r="D2882" s="252"/>
      <c r="E2882" s="252"/>
      <c r="F2882" s="252"/>
      <c r="G2882" s="252"/>
      <c r="H2882" s="252"/>
      <c r="I2882" s="252"/>
      <c r="J2882" s="252"/>
      <c r="K2882" s="252"/>
      <c r="L2882"/>
      <c r="M2882"/>
    </row>
    <row r="2883" spans="1:13" s="79" customFormat="1" x14ac:dyDescent="0.35">
      <c r="A2883" s="251"/>
      <c r="B2883" s="22"/>
      <c r="C2883" s="252"/>
      <c r="D2883" s="252"/>
      <c r="E2883" s="252"/>
      <c r="F2883" s="252"/>
      <c r="G2883" s="252"/>
      <c r="H2883" s="252"/>
      <c r="I2883" s="252"/>
      <c r="J2883" s="252"/>
      <c r="K2883" s="252"/>
      <c r="L2883"/>
      <c r="M2883"/>
    </row>
    <row r="2884" spans="1:13" s="79" customFormat="1" x14ac:dyDescent="0.35">
      <c r="A2884" s="251"/>
      <c r="B2884" s="22"/>
      <c r="C2884" s="252"/>
      <c r="D2884" s="252"/>
      <c r="E2884" s="252"/>
      <c r="F2884" s="252"/>
      <c r="G2884" s="252"/>
      <c r="H2884" s="252"/>
      <c r="I2884" s="252"/>
      <c r="J2884" s="252"/>
      <c r="K2884" s="252"/>
      <c r="L2884"/>
      <c r="M2884"/>
    </row>
    <row r="2885" spans="1:13" s="79" customFormat="1" x14ac:dyDescent="0.35">
      <c r="A2885" s="251"/>
      <c r="B2885" s="22"/>
      <c r="C2885" s="252"/>
      <c r="D2885" s="252"/>
      <c r="E2885" s="252"/>
      <c r="F2885" s="252"/>
      <c r="G2885" s="252"/>
      <c r="H2885" s="252"/>
      <c r="I2885" s="252"/>
      <c r="J2885" s="252"/>
      <c r="K2885" s="252"/>
      <c r="L2885"/>
      <c r="M2885"/>
    </row>
    <row r="2886" spans="1:13" s="79" customFormat="1" x14ac:dyDescent="0.35">
      <c r="A2886" s="251"/>
      <c r="B2886" s="22"/>
      <c r="C2886" s="252"/>
      <c r="D2886" s="252"/>
      <c r="E2886" s="252"/>
      <c r="F2886" s="252"/>
      <c r="G2886" s="252"/>
      <c r="H2886" s="252"/>
      <c r="I2886" s="252"/>
      <c r="J2886" s="252"/>
      <c r="K2886" s="252"/>
      <c r="L2886"/>
      <c r="M2886"/>
    </row>
    <row r="2887" spans="1:13" s="79" customFormat="1" x14ac:dyDescent="0.35">
      <c r="A2887" s="251"/>
      <c r="B2887" s="22"/>
      <c r="C2887" s="252"/>
      <c r="D2887" s="252"/>
      <c r="E2887" s="252"/>
      <c r="F2887" s="252"/>
      <c r="G2887" s="252"/>
      <c r="H2887" s="252"/>
      <c r="I2887" s="252"/>
      <c r="J2887" s="252"/>
      <c r="K2887" s="252"/>
      <c r="L2887"/>
      <c r="M2887"/>
    </row>
    <row r="2888" spans="1:13" s="79" customFormat="1" x14ac:dyDescent="0.35">
      <c r="A2888" s="251"/>
      <c r="B2888" s="22"/>
      <c r="C2888" s="252"/>
      <c r="D2888" s="252"/>
      <c r="E2888" s="252"/>
      <c r="F2888" s="252"/>
      <c r="G2888" s="252"/>
      <c r="H2888" s="252"/>
      <c r="I2888" s="252"/>
      <c r="J2888" s="252"/>
      <c r="K2888" s="252"/>
      <c r="L2888"/>
      <c r="M2888"/>
    </row>
    <row r="2889" spans="1:13" s="79" customFormat="1" x14ac:dyDescent="0.35">
      <c r="A2889" s="251"/>
      <c r="B2889" s="22"/>
      <c r="C2889" s="252"/>
      <c r="D2889" s="252"/>
      <c r="E2889" s="252"/>
      <c r="F2889" s="252"/>
      <c r="G2889" s="252"/>
      <c r="H2889" s="252"/>
      <c r="I2889" s="252"/>
      <c r="J2889" s="252"/>
      <c r="K2889" s="252"/>
      <c r="L2889"/>
      <c r="M2889"/>
    </row>
    <row r="2890" spans="1:13" s="79" customFormat="1" x14ac:dyDescent="0.35">
      <c r="A2890" s="251"/>
      <c r="B2890" s="22"/>
      <c r="C2890" s="252"/>
      <c r="D2890" s="252"/>
      <c r="E2890" s="252"/>
      <c r="F2890" s="252"/>
      <c r="G2890" s="252"/>
      <c r="H2890" s="252"/>
      <c r="I2890" s="252"/>
      <c r="J2890" s="252"/>
      <c r="K2890" s="252"/>
      <c r="L2890"/>
      <c r="M2890"/>
    </row>
    <row r="2891" spans="1:13" s="79" customFormat="1" x14ac:dyDescent="0.35">
      <c r="A2891" s="251"/>
      <c r="B2891" s="22"/>
      <c r="C2891" s="252"/>
      <c r="D2891" s="252"/>
      <c r="E2891" s="252"/>
      <c r="F2891" s="252"/>
      <c r="G2891" s="252"/>
      <c r="H2891" s="252"/>
      <c r="I2891" s="252"/>
      <c r="J2891" s="252"/>
      <c r="K2891" s="252"/>
      <c r="L2891"/>
      <c r="M2891"/>
    </row>
    <row r="2892" spans="1:13" s="79" customFormat="1" x14ac:dyDescent="0.35">
      <c r="A2892" s="251"/>
      <c r="B2892" s="22"/>
      <c r="C2892" s="252"/>
      <c r="D2892" s="252"/>
      <c r="E2892" s="252"/>
      <c r="F2892" s="252"/>
      <c r="G2892" s="252"/>
      <c r="H2892" s="252"/>
      <c r="I2892" s="252"/>
      <c r="J2892" s="252"/>
      <c r="K2892" s="252"/>
      <c r="L2892"/>
      <c r="M2892"/>
    </row>
    <row r="2893" spans="1:13" s="79" customFormat="1" x14ac:dyDescent="0.35">
      <c r="A2893" s="251"/>
      <c r="B2893" s="22"/>
      <c r="C2893" s="252"/>
      <c r="D2893" s="252"/>
      <c r="E2893" s="252"/>
      <c r="F2893" s="252"/>
      <c r="G2893" s="252"/>
      <c r="H2893" s="252"/>
      <c r="I2893" s="252"/>
      <c r="J2893" s="252"/>
      <c r="K2893" s="252"/>
      <c r="L2893"/>
      <c r="M2893"/>
    </row>
    <row r="2894" spans="1:13" s="79" customFormat="1" x14ac:dyDescent="0.35">
      <c r="A2894" s="251"/>
      <c r="B2894" s="22"/>
      <c r="C2894" s="252"/>
      <c r="D2894" s="252"/>
      <c r="E2894" s="252"/>
      <c r="F2894" s="252"/>
      <c r="G2894" s="252"/>
      <c r="H2894" s="252"/>
      <c r="I2894" s="252"/>
      <c r="J2894" s="252"/>
      <c r="K2894" s="252"/>
      <c r="L2894"/>
      <c r="M2894"/>
    </row>
    <row r="2895" spans="1:13" s="79" customFormat="1" x14ac:dyDescent="0.35">
      <c r="A2895" s="251"/>
      <c r="B2895" s="22"/>
      <c r="C2895" s="252"/>
      <c r="D2895" s="252"/>
      <c r="E2895" s="252"/>
      <c r="F2895" s="252"/>
      <c r="G2895" s="252"/>
      <c r="H2895" s="252"/>
      <c r="I2895" s="252"/>
      <c r="J2895" s="252"/>
      <c r="K2895" s="252"/>
      <c r="L2895"/>
      <c r="M2895"/>
    </row>
    <row r="2896" spans="1:13" s="79" customFormat="1" x14ac:dyDescent="0.35">
      <c r="A2896" s="251"/>
      <c r="B2896" s="22"/>
      <c r="C2896" s="252"/>
      <c r="D2896" s="252"/>
      <c r="E2896" s="252"/>
      <c r="F2896" s="252"/>
      <c r="G2896" s="252"/>
      <c r="H2896" s="252"/>
      <c r="I2896" s="252"/>
      <c r="J2896" s="252"/>
      <c r="K2896" s="252"/>
      <c r="L2896"/>
      <c r="M2896"/>
    </row>
    <row r="2897" spans="1:13" s="79" customFormat="1" x14ac:dyDescent="0.35">
      <c r="A2897" s="251"/>
      <c r="B2897" s="22"/>
      <c r="C2897" s="252"/>
      <c r="D2897" s="252"/>
      <c r="E2897" s="252"/>
      <c r="F2897" s="252"/>
      <c r="G2897" s="252"/>
      <c r="H2897" s="252"/>
      <c r="I2897" s="252"/>
      <c r="J2897" s="252"/>
      <c r="K2897" s="252"/>
      <c r="L2897"/>
      <c r="M2897"/>
    </row>
    <row r="2898" spans="1:13" s="79" customFormat="1" x14ac:dyDescent="0.35">
      <c r="A2898" s="251"/>
      <c r="B2898" s="22"/>
      <c r="C2898" s="252"/>
      <c r="D2898" s="252"/>
      <c r="E2898" s="252"/>
      <c r="F2898" s="252"/>
      <c r="G2898" s="252"/>
      <c r="H2898" s="252"/>
      <c r="I2898" s="252"/>
      <c r="J2898" s="252"/>
      <c r="K2898" s="252"/>
      <c r="L2898"/>
      <c r="M2898"/>
    </row>
    <row r="2899" spans="1:13" s="79" customFormat="1" x14ac:dyDescent="0.35">
      <c r="A2899" s="251"/>
      <c r="B2899" s="22"/>
      <c r="C2899" s="252"/>
      <c r="D2899" s="252"/>
      <c r="E2899" s="252"/>
      <c r="F2899" s="252"/>
      <c r="G2899" s="252"/>
      <c r="H2899" s="252"/>
      <c r="I2899" s="252"/>
      <c r="J2899" s="252"/>
      <c r="K2899" s="252"/>
      <c r="L2899"/>
      <c r="M2899"/>
    </row>
    <row r="2900" spans="1:13" s="79" customFormat="1" x14ac:dyDescent="0.35">
      <c r="A2900" s="251"/>
      <c r="B2900" s="22"/>
      <c r="C2900" s="252"/>
      <c r="D2900" s="252"/>
      <c r="E2900" s="252"/>
      <c r="F2900" s="252"/>
      <c r="G2900" s="252"/>
      <c r="H2900" s="252"/>
      <c r="I2900" s="252"/>
      <c r="J2900" s="252"/>
      <c r="K2900" s="252"/>
      <c r="L2900"/>
      <c r="M2900"/>
    </row>
    <row r="2901" spans="1:13" s="79" customFormat="1" x14ac:dyDescent="0.35">
      <c r="A2901" s="251"/>
      <c r="B2901" s="22"/>
      <c r="C2901" s="252"/>
      <c r="D2901" s="252"/>
      <c r="E2901" s="252"/>
      <c r="F2901" s="252"/>
      <c r="G2901" s="252"/>
      <c r="H2901" s="252"/>
      <c r="I2901" s="252"/>
      <c r="J2901" s="252"/>
      <c r="K2901" s="252"/>
      <c r="L2901"/>
      <c r="M2901"/>
    </row>
    <row r="2902" spans="1:13" s="79" customFormat="1" x14ac:dyDescent="0.35">
      <c r="A2902" s="251"/>
      <c r="B2902" s="22"/>
      <c r="C2902" s="252"/>
      <c r="D2902" s="252"/>
      <c r="E2902" s="252"/>
      <c r="F2902" s="252"/>
      <c r="G2902" s="252"/>
      <c r="H2902" s="252"/>
      <c r="I2902" s="252"/>
      <c r="J2902" s="252"/>
      <c r="K2902" s="252"/>
      <c r="L2902"/>
      <c r="M2902"/>
    </row>
    <row r="2903" spans="1:13" s="79" customFormat="1" x14ac:dyDescent="0.35">
      <c r="A2903" s="251"/>
      <c r="B2903" s="22"/>
      <c r="C2903" s="252"/>
      <c r="D2903" s="252"/>
      <c r="E2903" s="252"/>
      <c r="F2903" s="252"/>
      <c r="G2903" s="252"/>
      <c r="H2903" s="252"/>
      <c r="I2903" s="252"/>
      <c r="J2903" s="252"/>
      <c r="K2903" s="252"/>
      <c r="L2903"/>
      <c r="M2903"/>
    </row>
    <row r="2904" spans="1:13" s="79" customFormat="1" x14ac:dyDescent="0.35">
      <c r="A2904" s="251"/>
      <c r="B2904" s="22"/>
      <c r="C2904" s="252"/>
      <c r="D2904" s="252"/>
      <c r="E2904" s="252"/>
      <c r="F2904" s="252"/>
      <c r="G2904" s="252"/>
      <c r="H2904" s="252"/>
      <c r="I2904" s="252"/>
      <c r="J2904" s="252"/>
      <c r="K2904" s="252"/>
      <c r="L2904"/>
      <c r="M2904"/>
    </row>
    <row r="2905" spans="1:13" s="79" customFormat="1" x14ac:dyDescent="0.35">
      <c r="A2905" s="251"/>
      <c r="B2905" s="22"/>
      <c r="C2905" s="252"/>
      <c r="D2905" s="252"/>
      <c r="E2905" s="252"/>
      <c r="F2905" s="252"/>
      <c r="G2905" s="252"/>
      <c r="H2905" s="252"/>
      <c r="I2905" s="252"/>
      <c r="J2905" s="252"/>
      <c r="K2905" s="252"/>
      <c r="L2905"/>
      <c r="M2905"/>
    </row>
    <row r="2906" spans="1:13" s="79" customFormat="1" x14ac:dyDescent="0.35">
      <c r="A2906" s="251"/>
      <c r="B2906" s="22"/>
      <c r="C2906" s="252"/>
      <c r="D2906" s="252"/>
      <c r="E2906" s="252"/>
      <c r="F2906" s="252"/>
      <c r="G2906" s="252"/>
      <c r="H2906" s="252"/>
      <c r="I2906" s="252"/>
      <c r="J2906" s="252"/>
      <c r="K2906" s="252"/>
      <c r="L2906"/>
      <c r="M2906"/>
    </row>
    <row r="2907" spans="1:13" s="79" customFormat="1" x14ac:dyDescent="0.35">
      <c r="A2907" s="251"/>
      <c r="B2907" s="22"/>
      <c r="C2907" s="252"/>
      <c r="D2907" s="252"/>
      <c r="E2907" s="252"/>
      <c r="F2907" s="252"/>
      <c r="G2907" s="252"/>
      <c r="H2907" s="252"/>
      <c r="I2907" s="252"/>
      <c r="J2907" s="252"/>
      <c r="K2907" s="252"/>
      <c r="L2907"/>
      <c r="M2907"/>
    </row>
    <row r="2908" spans="1:13" s="79" customFormat="1" x14ac:dyDescent="0.35">
      <c r="A2908" s="251"/>
      <c r="B2908" s="22"/>
      <c r="C2908" s="252"/>
      <c r="D2908" s="252"/>
      <c r="E2908" s="252"/>
      <c r="F2908" s="252"/>
      <c r="G2908" s="252"/>
      <c r="H2908" s="252"/>
      <c r="I2908" s="252"/>
      <c r="J2908" s="252"/>
      <c r="K2908" s="252"/>
      <c r="L2908"/>
      <c r="M2908"/>
    </row>
    <row r="2909" spans="1:13" s="79" customFormat="1" x14ac:dyDescent="0.35">
      <c r="A2909" s="251"/>
      <c r="B2909" s="22"/>
      <c r="C2909" s="252"/>
      <c r="D2909" s="252"/>
      <c r="E2909" s="252"/>
      <c r="F2909" s="252"/>
      <c r="G2909" s="252"/>
      <c r="H2909" s="252"/>
      <c r="I2909" s="252"/>
      <c r="J2909" s="252"/>
      <c r="K2909" s="252"/>
      <c r="L2909"/>
      <c r="M2909"/>
    </row>
    <row r="2910" spans="1:13" s="79" customFormat="1" x14ac:dyDescent="0.35">
      <c r="A2910" s="251"/>
      <c r="B2910" s="22"/>
      <c r="C2910" s="252"/>
      <c r="D2910" s="252"/>
      <c r="E2910" s="252"/>
      <c r="F2910" s="252"/>
      <c r="G2910" s="252"/>
      <c r="H2910" s="252"/>
      <c r="I2910" s="252"/>
      <c r="J2910" s="252"/>
      <c r="K2910" s="252"/>
      <c r="L2910"/>
      <c r="M2910"/>
    </row>
    <row r="2911" spans="1:13" s="79" customFormat="1" x14ac:dyDescent="0.35">
      <c r="A2911" s="251"/>
      <c r="B2911" s="22"/>
      <c r="C2911" s="252"/>
      <c r="D2911" s="252"/>
      <c r="E2911" s="252"/>
      <c r="F2911" s="252"/>
      <c r="G2911" s="252"/>
      <c r="H2911" s="252"/>
      <c r="I2911" s="252"/>
      <c r="J2911" s="252"/>
      <c r="K2911" s="252"/>
      <c r="L2911"/>
      <c r="M2911"/>
    </row>
    <row r="2912" spans="1:13" s="79" customFormat="1" x14ac:dyDescent="0.35">
      <c r="A2912" s="251"/>
      <c r="B2912" s="22"/>
      <c r="C2912" s="252"/>
      <c r="D2912" s="252"/>
      <c r="E2912" s="252"/>
      <c r="F2912" s="252"/>
      <c r="G2912" s="252"/>
      <c r="H2912" s="252"/>
      <c r="I2912" s="252"/>
      <c r="J2912" s="252"/>
      <c r="K2912" s="252"/>
      <c r="L2912"/>
      <c r="M2912"/>
    </row>
    <row r="2913" spans="1:13" s="79" customFormat="1" x14ac:dyDescent="0.35">
      <c r="A2913" s="251"/>
      <c r="B2913" s="22"/>
      <c r="C2913" s="252"/>
      <c r="D2913" s="252"/>
      <c r="E2913" s="252"/>
      <c r="F2913" s="252"/>
      <c r="G2913" s="252"/>
      <c r="H2913" s="252"/>
      <c r="I2913" s="252"/>
      <c r="J2913" s="252"/>
      <c r="K2913" s="252"/>
      <c r="L2913"/>
      <c r="M2913"/>
    </row>
    <row r="2914" spans="1:13" s="79" customFormat="1" x14ac:dyDescent="0.35">
      <c r="A2914" s="251"/>
      <c r="B2914" s="22"/>
      <c r="C2914" s="252"/>
      <c r="D2914" s="252"/>
      <c r="E2914" s="252"/>
      <c r="F2914" s="252"/>
      <c r="G2914" s="252"/>
      <c r="H2914" s="252"/>
      <c r="I2914" s="252"/>
      <c r="J2914" s="252"/>
      <c r="K2914" s="252"/>
      <c r="L2914"/>
      <c r="M2914"/>
    </row>
    <row r="2915" spans="1:13" s="79" customFormat="1" x14ac:dyDescent="0.35">
      <c r="A2915" s="251"/>
      <c r="B2915" s="22"/>
      <c r="C2915" s="252"/>
      <c r="D2915" s="252"/>
      <c r="E2915" s="252"/>
      <c r="F2915" s="252"/>
      <c r="G2915" s="252"/>
      <c r="H2915" s="252"/>
      <c r="I2915" s="252"/>
      <c r="J2915" s="252"/>
      <c r="K2915" s="252"/>
      <c r="L2915"/>
      <c r="M2915"/>
    </row>
    <row r="2916" spans="1:13" s="79" customFormat="1" x14ac:dyDescent="0.35">
      <c r="A2916" s="251"/>
      <c r="B2916" s="22"/>
      <c r="C2916" s="252"/>
      <c r="D2916" s="252"/>
      <c r="E2916" s="252"/>
      <c r="F2916" s="252"/>
      <c r="G2916" s="252"/>
      <c r="H2916" s="252"/>
      <c r="I2916" s="252"/>
      <c r="J2916" s="252"/>
      <c r="K2916" s="252"/>
      <c r="L2916"/>
      <c r="M2916"/>
    </row>
    <row r="2917" spans="1:13" s="79" customFormat="1" x14ac:dyDescent="0.35">
      <c r="A2917" s="251"/>
      <c r="B2917" s="22"/>
      <c r="C2917" s="252"/>
      <c r="D2917" s="252"/>
      <c r="E2917" s="252"/>
      <c r="F2917" s="252"/>
      <c r="G2917" s="252"/>
      <c r="H2917" s="252"/>
      <c r="I2917" s="252"/>
      <c r="J2917" s="252"/>
      <c r="K2917" s="252"/>
      <c r="L2917"/>
      <c r="M2917"/>
    </row>
    <row r="2918" spans="1:13" s="79" customFormat="1" x14ac:dyDescent="0.35">
      <c r="A2918" s="251"/>
      <c r="B2918" s="22"/>
      <c r="C2918" s="252"/>
      <c r="D2918" s="252"/>
      <c r="E2918" s="252"/>
      <c r="F2918" s="252"/>
      <c r="G2918" s="252"/>
      <c r="H2918" s="252"/>
      <c r="I2918" s="252"/>
      <c r="J2918" s="252"/>
      <c r="K2918" s="252"/>
      <c r="L2918"/>
      <c r="M2918"/>
    </row>
    <row r="2919" spans="1:13" s="79" customFormat="1" x14ac:dyDescent="0.35">
      <c r="A2919" s="251"/>
      <c r="B2919" s="22"/>
      <c r="C2919" s="252"/>
      <c r="D2919" s="252"/>
      <c r="E2919" s="252"/>
      <c r="F2919" s="252"/>
      <c r="G2919" s="252"/>
      <c r="H2919" s="252"/>
      <c r="I2919" s="252"/>
      <c r="J2919" s="252"/>
      <c r="K2919" s="252"/>
      <c r="L2919"/>
      <c r="M2919"/>
    </row>
    <row r="2920" spans="1:13" s="79" customFormat="1" x14ac:dyDescent="0.35">
      <c r="A2920" s="251"/>
      <c r="B2920" s="22"/>
      <c r="C2920" s="252"/>
      <c r="D2920" s="252"/>
      <c r="E2920" s="252"/>
      <c r="F2920" s="252"/>
      <c r="G2920" s="252"/>
      <c r="H2920" s="252"/>
      <c r="I2920" s="252"/>
      <c r="J2920" s="252"/>
      <c r="K2920" s="252"/>
      <c r="L2920"/>
      <c r="M2920"/>
    </row>
    <row r="2921" spans="1:13" s="79" customFormat="1" x14ac:dyDescent="0.35">
      <c r="A2921" s="251"/>
      <c r="B2921" s="22"/>
      <c r="C2921" s="252"/>
      <c r="D2921" s="252"/>
      <c r="E2921" s="252"/>
      <c r="F2921" s="252"/>
      <c r="G2921" s="252"/>
      <c r="H2921" s="252"/>
      <c r="I2921" s="252"/>
      <c r="J2921" s="252"/>
      <c r="K2921" s="252"/>
      <c r="L2921"/>
      <c r="M2921"/>
    </row>
    <row r="2922" spans="1:13" s="79" customFormat="1" x14ac:dyDescent="0.35">
      <c r="A2922" s="251"/>
      <c r="B2922" s="22"/>
      <c r="C2922" s="252"/>
      <c r="D2922" s="252"/>
      <c r="E2922" s="252"/>
      <c r="F2922" s="252"/>
      <c r="G2922" s="252"/>
      <c r="H2922" s="252"/>
      <c r="I2922" s="252"/>
      <c r="J2922" s="252"/>
      <c r="K2922" s="252"/>
      <c r="L2922"/>
      <c r="M2922"/>
    </row>
    <row r="2923" spans="1:13" s="79" customFormat="1" x14ac:dyDescent="0.35">
      <c r="A2923" s="251"/>
      <c r="B2923" s="22"/>
      <c r="C2923" s="252"/>
      <c r="D2923" s="252"/>
      <c r="E2923" s="252"/>
      <c r="F2923" s="252"/>
      <c r="G2923" s="252"/>
      <c r="H2923" s="252"/>
      <c r="I2923" s="252"/>
      <c r="J2923" s="252"/>
      <c r="K2923" s="252"/>
      <c r="L2923"/>
      <c r="M2923"/>
    </row>
    <row r="2924" spans="1:13" s="79" customFormat="1" x14ac:dyDescent="0.35">
      <c r="A2924" s="251"/>
      <c r="B2924" s="22"/>
      <c r="C2924" s="252"/>
      <c r="D2924" s="252"/>
      <c r="E2924" s="252"/>
      <c r="F2924" s="252"/>
      <c r="G2924" s="252"/>
      <c r="H2924" s="252"/>
      <c r="I2924" s="252"/>
      <c r="J2924" s="252"/>
      <c r="K2924" s="252"/>
      <c r="L2924"/>
      <c r="M2924"/>
    </row>
    <row r="2925" spans="1:13" s="79" customFormat="1" x14ac:dyDescent="0.35">
      <c r="A2925" s="251"/>
      <c r="B2925" s="22"/>
      <c r="C2925" s="252"/>
      <c r="D2925" s="252"/>
      <c r="E2925" s="252"/>
      <c r="F2925" s="252"/>
      <c r="G2925" s="252"/>
      <c r="H2925" s="252"/>
      <c r="I2925" s="252"/>
      <c r="J2925" s="252"/>
      <c r="K2925" s="252"/>
      <c r="L2925"/>
      <c r="M2925"/>
    </row>
    <row r="2926" spans="1:13" s="79" customFormat="1" x14ac:dyDescent="0.35">
      <c r="A2926" s="251"/>
      <c r="B2926" s="22"/>
      <c r="C2926" s="252"/>
      <c r="D2926" s="252"/>
      <c r="E2926" s="252"/>
      <c r="F2926" s="252"/>
      <c r="G2926" s="252"/>
      <c r="H2926" s="252"/>
      <c r="I2926" s="252"/>
      <c r="J2926" s="252"/>
      <c r="K2926" s="252"/>
      <c r="L2926"/>
      <c r="M2926"/>
    </row>
    <row r="2927" spans="1:13" s="79" customFormat="1" x14ac:dyDescent="0.35">
      <c r="A2927" s="251"/>
      <c r="B2927" s="22"/>
      <c r="C2927" s="252"/>
      <c r="D2927" s="252"/>
      <c r="E2927" s="252"/>
      <c r="F2927" s="252"/>
      <c r="G2927" s="252"/>
      <c r="H2927" s="252"/>
      <c r="I2927" s="252"/>
      <c r="J2927" s="252"/>
      <c r="K2927" s="252"/>
      <c r="L2927"/>
      <c r="M2927"/>
    </row>
    <row r="2928" spans="1:13" s="79" customFormat="1" x14ac:dyDescent="0.35">
      <c r="A2928" s="251"/>
      <c r="B2928" s="22"/>
      <c r="C2928" s="252"/>
      <c r="D2928" s="252"/>
      <c r="E2928" s="252"/>
      <c r="F2928" s="252"/>
      <c r="G2928" s="252"/>
      <c r="H2928" s="252"/>
      <c r="I2928" s="252"/>
      <c r="J2928" s="252"/>
      <c r="K2928" s="252"/>
      <c r="L2928"/>
      <c r="M2928"/>
    </row>
    <row r="2929" spans="1:13" s="79" customFormat="1" x14ac:dyDescent="0.35">
      <c r="A2929" s="251"/>
      <c r="B2929" s="22"/>
      <c r="C2929" s="252"/>
      <c r="D2929" s="252"/>
      <c r="E2929" s="252"/>
      <c r="F2929" s="252"/>
      <c r="G2929" s="252"/>
      <c r="H2929" s="252"/>
      <c r="I2929" s="252"/>
      <c r="J2929" s="252"/>
      <c r="K2929" s="252"/>
      <c r="L2929"/>
      <c r="M2929"/>
    </row>
    <row r="2930" spans="1:13" s="79" customFormat="1" x14ac:dyDescent="0.35">
      <c r="A2930" s="251"/>
      <c r="B2930" s="22"/>
      <c r="C2930" s="252"/>
      <c r="D2930" s="252"/>
      <c r="E2930" s="252"/>
      <c r="F2930" s="252"/>
      <c r="G2930" s="252"/>
      <c r="H2930" s="252"/>
      <c r="I2930" s="252"/>
      <c r="J2930" s="252"/>
      <c r="K2930" s="252"/>
      <c r="L2930"/>
      <c r="M2930"/>
    </row>
    <row r="2931" spans="1:13" s="79" customFormat="1" x14ac:dyDescent="0.35">
      <c r="A2931" s="251"/>
      <c r="B2931" s="22"/>
      <c r="C2931" s="252"/>
      <c r="D2931" s="252"/>
      <c r="E2931" s="252"/>
      <c r="F2931" s="252"/>
      <c r="G2931" s="252"/>
      <c r="H2931" s="252"/>
      <c r="I2931" s="252"/>
      <c r="J2931" s="252"/>
      <c r="K2931" s="252"/>
      <c r="L2931"/>
      <c r="M2931"/>
    </row>
    <row r="2932" spans="1:13" s="79" customFormat="1" x14ac:dyDescent="0.35">
      <c r="A2932" s="251"/>
      <c r="B2932" s="22"/>
      <c r="C2932" s="252"/>
      <c r="D2932" s="252"/>
      <c r="E2932" s="252"/>
      <c r="F2932" s="252"/>
      <c r="G2932" s="252"/>
      <c r="H2932" s="252"/>
      <c r="I2932" s="252"/>
      <c r="J2932" s="252"/>
      <c r="K2932" s="252"/>
      <c r="L2932"/>
      <c r="M2932"/>
    </row>
    <row r="2933" spans="1:13" s="79" customFormat="1" x14ac:dyDescent="0.35">
      <c r="A2933" s="251"/>
      <c r="B2933" s="22"/>
      <c r="C2933" s="252"/>
      <c r="D2933" s="252"/>
      <c r="E2933" s="252"/>
      <c r="F2933" s="252"/>
      <c r="G2933" s="252"/>
      <c r="H2933" s="252"/>
      <c r="I2933" s="252"/>
      <c r="J2933" s="252"/>
      <c r="K2933" s="252"/>
      <c r="L2933"/>
      <c r="M2933"/>
    </row>
    <row r="2934" spans="1:13" s="79" customFormat="1" x14ac:dyDescent="0.35">
      <c r="A2934" s="251"/>
      <c r="B2934" s="22"/>
      <c r="C2934" s="252"/>
      <c r="D2934" s="252"/>
      <c r="E2934" s="252"/>
      <c r="F2934" s="252"/>
      <c r="G2934" s="252"/>
      <c r="H2934" s="252"/>
      <c r="I2934" s="252"/>
      <c r="J2934" s="252"/>
      <c r="K2934" s="252"/>
      <c r="L2934"/>
      <c r="M2934"/>
    </row>
    <row r="2935" spans="1:13" s="79" customFormat="1" x14ac:dyDescent="0.35">
      <c r="A2935" s="251"/>
      <c r="B2935" s="22"/>
      <c r="C2935" s="252"/>
      <c r="D2935" s="252"/>
      <c r="E2935" s="252"/>
      <c r="F2935" s="252"/>
      <c r="G2935" s="252"/>
      <c r="H2935" s="252"/>
      <c r="I2935" s="252"/>
      <c r="J2935" s="252"/>
      <c r="K2935" s="252"/>
      <c r="L2935"/>
      <c r="M2935"/>
    </row>
    <row r="2936" spans="1:13" s="79" customFormat="1" x14ac:dyDescent="0.35">
      <c r="A2936" s="251"/>
      <c r="B2936" s="22"/>
      <c r="C2936" s="252"/>
      <c r="D2936" s="252"/>
      <c r="E2936" s="252"/>
      <c r="F2936" s="252"/>
      <c r="G2936" s="252"/>
      <c r="H2936" s="252"/>
      <c r="I2936" s="252"/>
      <c r="J2936" s="252"/>
      <c r="K2936" s="252"/>
      <c r="L2936"/>
      <c r="M2936"/>
    </row>
    <row r="2937" spans="1:13" s="79" customFormat="1" x14ac:dyDescent="0.35">
      <c r="A2937" s="251"/>
      <c r="B2937" s="22"/>
      <c r="C2937" s="252"/>
      <c r="D2937" s="252"/>
      <c r="E2937" s="252"/>
      <c r="F2937" s="252"/>
      <c r="G2937" s="252"/>
      <c r="H2937" s="252"/>
      <c r="I2937" s="252"/>
      <c r="J2937" s="252"/>
      <c r="K2937" s="252"/>
      <c r="L2937"/>
      <c r="M2937"/>
    </row>
    <row r="2938" spans="1:13" s="79" customFormat="1" x14ac:dyDescent="0.35">
      <c r="A2938" s="251"/>
      <c r="B2938" s="22"/>
      <c r="C2938" s="252"/>
      <c r="D2938" s="252"/>
      <c r="E2938" s="252"/>
      <c r="F2938" s="252"/>
      <c r="G2938" s="252"/>
      <c r="H2938" s="252"/>
      <c r="I2938" s="252"/>
      <c r="J2938" s="252"/>
      <c r="K2938" s="252"/>
      <c r="L2938"/>
      <c r="M2938"/>
    </row>
    <row r="2939" spans="1:13" s="79" customFormat="1" x14ac:dyDescent="0.35">
      <c r="A2939" s="251"/>
      <c r="B2939" s="22"/>
      <c r="C2939" s="252"/>
      <c r="D2939" s="252"/>
      <c r="E2939" s="252"/>
      <c r="F2939" s="252"/>
      <c r="G2939" s="252"/>
      <c r="H2939" s="252"/>
      <c r="I2939" s="252"/>
      <c r="J2939" s="252"/>
      <c r="K2939" s="252"/>
      <c r="L2939"/>
      <c r="M2939"/>
    </row>
    <row r="2940" spans="1:13" s="79" customFormat="1" x14ac:dyDescent="0.35">
      <c r="A2940" s="251"/>
      <c r="B2940" s="22"/>
      <c r="C2940" s="252"/>
      <c r="D2940" s="252"/>
      <c r="E2940" s="252"/>
      <c r="F2940" s="252"/>
      <c r="G2940" s="252"/>
      <c r="H2940" s="252"/>
      <c r="I2940" s="252"/>
      <c r="J2940" s="252"/>
      <c r="K2940" s="252"/>
      <c r="L2940"/>
      <c r="M2940"/>
    </row>
    <row r="2941" spans="1:13" s="79" customFormat="1" x14ac:dyDescent="0.35">
      <c r="A2941" s="251"/>
      <c r="B2941" s="22"/>
      <c r="C2941" s="252"/>
      <c r="D2941" s="252"/>
      <c r="E2941" s="252"/>
      <c r="F2941" s="252"/>
      <c r="G2941" s="252"/>
      <c r="H2941" s="252"/>
      <c r="I2941" s="252"/>
      <c r="J2941" s="252"/>
      <c r="K2941" s="252"/>
      <c r="L2941"/>
      <c r="M2941"/>
    </row>
    <row r="2942" spans="1:13" s="79" customFormat="1" x14ac:dyDescent="0.35">
      <c r="A2942" s="251"/>
      <c r="B2942" s="22"/>
      <c r="C2942" s="252"/>
      <c r="D2942" s="252"/>
      <c r="E2942" s="252"/>
      <c r="F2942" s="252"/>
      <c r="G2942" s="252"/>
      <c r="H2942" s="252"/>
      <c r="I2942" s="252"/>
      <c r="J2942" s="252"/>
      <c r="K2942" s="252"/>
      <c r="L2942"/>
      <c r="M2942"/>
    </row>
    <row r="2943" spans="1:13" s="79" customFormat="1" x14ac:dyDescent="0.35">
      <c r="A2943" s="251"/>
      <c r="B2943" s="22"/>
      <c r="C2943" s="252"/>
      <c r="D2943" s="252"/>
      <c r="E2943" s="252"/>
      <c r="F2943" s="252"/>
      <c r="G2943" s="252"/>
      <c r="H2943" s="252"/>
      <c r="I2943" s="252"/>
      <c r="J2943" s="252"/>
      <c r="K2943" s="252"/>
      <c r="L2943"/>
      <c r="M2943"/>
    </row>
    <row r="2944" spans="1:13" s="79" customFormat="1" x14ac:dyDescent="0.35">
      <c r="A2944" s="251"/>
      <c r="B2944" s="22"/>
      <c r="C2944" s="252"/>
      <c r="D2944" s="252"/>
      <c r="E2944" s="252"/>
      <c r="F2944" s="252"/>
      <c r="G2944" s="252"/>
      <c r="H2944" s="252"/>
      <c r="I2944" s="252"/>
      <c r="J2944" s="252"/>
      <c r="K2944" s="252"/>
      <c r="L2944"/>
      <c r="M2944"/>
    </row>
    <row r="2945" spans="1:13" s="79" customFormat="1" x14ac:dyDescent="0.35">
      <c r="A2945" s="251"/>
      <c r="B2945" s="22"/>
      <c r="C2945" s="252"/>
      <c r="D2945" s="252"/>
      <c r="E2945" s="252"/>
      <c r="F2945" s="252"/>
      <c r="G2945" s="252"/>
      <c r="H2945" s="252"/>
      <c r="I2945" s="252"/>
      <c r="J2945" s="252"/>
      <c r="K2945" s="252"/>
      <c r="L2945"/>
      <c r="M2945"/>
    </row>
    <row r="2946" spans="1:13" s="79" customFormat="1" x14ac:dyDescent="0.35">
      <c r="A2946" s="251"/>
      <c r="B2946" s="22"/>
      <c r="C2946" s="252"/>
      <c r="D2946" s="252"/>
      <c r="E2946" s="252"/>
      <c r="F2946" s="252"/>
      <c r="G2946" s="252"/>
      <c r="H2946" s="252"/>
      <c r="I2946" s="252"/>
      <c r="J2946" s="252"/>
      <c r="K2946" s="252"/>
      <c r="L2946"/>
      <c r="M2946"/>
    </row>
    <row r="2947" spans="1:13" s="79" customFormat="1" x14ac:dyDescent="0.35">
      <c r="A2947" s="251"/>
      <c r="B2947" s="22"/>
      <c r="C2947" s="252"/>
      <c r="D2947" s="252"/>
      <c r="E2947" s="252"/>
      <c r="F2947" s="252"/>
      <c r="G2947" s="252"/>
      <c r="H2947" s="252"/>
      <c r="I2947" s="252"/>
      <c r="J2947" s="252"/>
      <c r="K2947" s="252"/>
      <c r="L2947"/>
      <c r="M2947"/>
    </row>
    <row r="2948" spans="1:13" s="79" customFormat="1" x14ac:dyDescent="0.35">
      <c r="A2948" s="251"/>
      <c r="B2948" s="22"/>
      <c r="C2948" s="252"/>
      <c r="D2948" s="252"/>
      <c r="E2948" s="252"/>
      <c r="F2948" s="252"/>
      <c r="G2948" s="252"/>
      <c r="H2948" s="252"/>
      <c r="I2948" s="252"/>
      <c r="J2948" s="252"/>
      <c r="K2948" s="252"/>
      <c r="L2948"/>
      <c r="M2948"/>
    </row>
    <row r="2949" spans="1:13" s="79" customFormat="1" x14ac:dyDescent="0.35">
      <c r="A2949" s="251"/>
      <c r="B2949" s="22"/>
      <c r="C2949" s="252"/>
      <c r="D2949" s="252"/>
      <c r="E2949" s="252"/>
      <c r="F2949" s="252"/>
      <c r="G2949" s="252"/>
      <c r="H2949" s="252"/>
      <c r="I2949" s="252"/>
      <c r="J2949" s="252"/>
      <c r="K2949" s="252"/>
      <c r="L2949"/>
      <c r="M2949"/>
    </row>
    <row r="2950" spans="1:13" s="79" customFormat="1" x14ac:dyDescent="0.35">
      <c r="A2950" s="251"/>
      <c r="B2950" s="22"/>
      <c r="C2950" s="252"/>
      <c r="D2950" s="252"/>
      <c r="E2950" s="252"/>
      <c r="F2950" s="252"/>
      <c r="G2950" s="252"/>
      <c r="H2950" s="252"/>
      <c r="I2950" s="252"/>
      <c r="J2950" s="252"/>
      <c r="K2950" s="252"/>
      <c r="L2950"/>
      <c r="M2950"/>
    </row>
    <row r="2951" spans="1:13" s="79" customFormat="1" x14ac:dyDescent="0.35">
      <c r="A2951" s="251"/>
      <c r="B2951" s="22"/>
      <c r="C2951" s="252"/>
      <c r="D2951" s="252"/>
      <c r="E2951" s="252"/>
      <c r="F2951" s="252"/>
      <c r="G2951" s="252"/>
      <c r="H2951" s="252"/>
      <c r="I2951" s="252"/>
      <c r="J2951" s="252"/>
      <c r="K2951" s="252"/>
      <c r="L2951"/>
      <c r="M2951"/>
    </row>
    <row r="2952" spans="1:13" s="79" customFormat="1" x14ac:dyDescent="0.35">
      <c r="A2952" s="251"/>
      <c r="B2952" s="22"/>
      <c r="C2952" s="252"/>
      <c r="D2952" s="252"/>
      <c r="E2952" s="252"/>
      <c r="F2952" s="252"/>
      <c r="G2952" s="252"/>
      <c r="H2952" s="252"/>
      <c r="I2952" s="252"/>
      <c r="J2952" s="252"/>
      <c r="K2952" s="252"/>
      <c r="L2952"/>
      <c r="M2952"/>
    </row>
    <row r="2953" spans="1:13" s="79" customFormat="1" x14ac:dyDescent="0.35">
      <c r="A2953" s="251"/>
      <c r="B2953" s="22"/>
      <c r="C2953" s="252"/>
      <c r="D2953" s="252"/>
      <c r="E2953" s="252"/>
      <c r="F2953" s="252"/>
      <c r="G2953" s="252"/>
      <c r="H2953" s="252"/>
      <c r="I2953" s="252"/>
      <c r="J2953" s="252"/>
      <c r="K2953" s="252"/>
      <c r="L2953"/>
      <c r="M2953"/>
    </row>
    <row r="2954" spans="1:13" s="79" customFormat="1" x14ac:dyDescent="0.35">
      <c r="A2954" s="251"/>
      <c r="B2954" s="22"/>
      <c r="C2954" s="252"/>
      <c r="D2954" s="252"/>
      <c r="E2954" s="252"/>
      <c r="F2954" s="252"/>
      <c r="G2954" s="252"/>
      <c r="H2954" s="252"/>
      <c r="I2954" s="252"/>
      <c r="J2954" s="252"/>
      <c r="K2954" s="252"/>
      <c r="L2954"/>
      <c r="M2954"/>
    </row>
    <row r="2955" spans="1:13" s="79" customFormat="1" x14ac:dyDescent="0.35">
      <c r="A2955" s="251"/>
      <c r="B2955" s="22"/>
      <c r="C2955" s="252"/>
      <c r="D2955" s="252"/>
      <c r="E2955" s="252"/>
      <c r="F2955" s="252"/>
      <c r="G2955" s="252"/>
      <c r="H2955" s="252"/>
      <c r="I2955" s="252"/>
      <c r="J2955" s="252"/>
      <c r="K2955" s="252"/>
      <c r="L2955"/>
      <c r="M2955"/>
    </row>
    <row r="2956" spans="1:13" s="79" customFormat="1" x14ac:dyDescent="0.35">
      <c r="A2956" s="251"/>
      <c r="B2956" s="22"/>
      <c r="C2956" s="252"/>
      <c r="D2956" s="252"/>
      <c r="E2956" s="252"/>
      <c r="F2956" s="252"/>
      <c r="G2956" s="252"/>
      <c r="H2956" s="252"/>
      <c r="I2956" s="252"/>
      <c r="J2956" s="252"/>
      <c r="K2956" s="252"/>
      <c r="L2956"/>
      <c r="M2956"/>
    </row>
    <row r="2957" spans="1:13" s="79" customFormat="1" x14ac:dyDescent="0.35">
      <c r="A2957" s="251"/>
      <c r="B2957" s="22"/>
      <c r="C2957" s="252"/>
      <c r="D2957" s="252"/>
      <c r="E2957" s="252"/>
      <c r="F2957" s="252"/>
      <c r="G2957" s="252"/>
      <c r="H2957" s="252"/>
      <c r="I2957" s="252"/>
      <c r="J2957" s="252"/>
      <c r="K2957" s="252"/>
      <c r="L2957"/>
      <c r="M2957"/>
    </row>
    <row r="2958" spans="1:13" s="79" customFormat="1" x14ac:dyDescent="0.35">
      <c r="A2958" s="251"/>
      <c r="B2958" s="22"/>
      <c r="C2958" s="252"/>
      <c r="D2958" s="252"/>
      <c r="E2958" s="252"/>
      <c r="F2958" s="252"/>
      <c r="G2958" s="252"/>
      <c r="H2958" s="252"/>
      <c r="I2958" s="252"/>
      <c r="J2958" s="252"/>
      <c r="K2958" s="252"/>
      <c r="L2958"/>
      <c r="M2958"/>
    </row>
    <row r="2959" spans="1:13" s="79" customFormat="1" x14ac:dyDescent="0.35">
      <c r="A2959" s="251"/>
      <c r="B2959" s="22"/>
      <c r="C2959" s="252"/>
      <c r="D2959" s="252"/>
      <c r="E2959" s="252"/>
      <c r="F2959" s="252"/>
      <c r="G2959" s="252"/>
      <c r="H2959" s="252"/>
      <c r="I2959" s="252"/>
      <c r="J2959" s="252"/>
      <c r="K2959" s="252"/>
      <c r="L2959"/>
      <c r="M2959"/>
    </row>
    <row r="2960" spans="1:13" s="79" customFormat="1" x14ac:dyDescent="0.35">
      <c r="A2960" s="251"/>
      <c r="B2960" s="22"/>
      <c r="C2960" s="252"/>
      <c r="D2960" s="252"/>
      <c r="E2960" s="252"/>
      <c r="F2960" s="252"/>
      <c r="G2960" s="252"/>
      <c r="H2960" s="252"/>
      <c r="I2960" s="252"/>
      <c r="J2960" s="252"/>
      <c r="K2960" s="252"/>
      <c r="L2960"/>
      <c r="M2960"/>
    </row>
    <row r="2961" spans="1:13" s="79" customFormat="1" x14ac:dyDescent="0.35">
      <c r="A2961" s="251"/>
      <c r="B2961" s="22"/>
      <c r="C2961" s="252"/>
      <c r="D2961" s="252"/>
      <c r="E2961" s="252"/>
      <c r="F2961" s="252"/>
      <c r="G2961" s="252"/>
      <c r="H2961" s="252"/>
      <c r="I2961" s="252"/>
      <c r="J2961" s="252"/>
      <c r="K2961" s="252"/>
      <c r="L2961"/>
      <c r="M2961"/>
    </row>
    <row r="2962" spans="1:13" s="79" customFormat="1" x14ac:dyDescent="0.35">
      <c r="A2962" s="251"/>
      <c r="B2962" s="22"/>
      <c r="C2962" s="252"/>
      <c r="D2962" s="252"/>
      <c r="E2962" s="252"/>
      <c r="F2962" s="252"/>
      <c r="G2962" s="252"/>
      <c r="H2962" s="252"/>
      <c r="I2962" s="252"/>
      <c r="J2962" s="252"/>
      <c r="K2962" s="252"/>
      <c r="L2962"/>
      <c r="M2962"/>
    </row>
    <row r="2963" spans="1:13" s="79" customFormat="1" x14ac:dyDescent="0.35">
      <c r="A2963" s="251"/>
      <c r="B2963" s="22"/>
      <c r="C2963" s="252"/>
      <c r="D2963" s="252"/>
      <c r="E2963" s="252"/>
      <c r="F2963" s="252"/>
      <c r="G2963" s="252"/>
      <c r="H2963" s="252"/>
      <c r="I2963" s="252"/>
      <c r="J2963" s="252"/>
      <c r="K2963" s="252"/>
      <c r="L2963"/>
      <c r="M2963"/>
    </row>
    <row r="2964" spans="1:13" s="79" customFormat="1" x14ac:dyDescent="0.35">
      <c r="A2964" s="251"/>
      <c r="B2964" s="22"/>
      <c r="C2964" s="252"/>
      <c r="D2964" s="252"/>
      <c r="E2964" s="252"/>
      <c r="F2964" s="252"/>
      <c r="G2964" s="252"/>
      <c r="H2964" s="252"/>
      <c r="I2964" s="252"/>
      <c r="J2964" s="252"/>
      <c r="K2964" s="252"/>
      <c r="L2964"/>
      <c r="M2964"/>
    </row>
    <row r="2965" spans="1:13" s="79" customFormat="1" x14ac:dyDescent="0.35">
      <c r="A2965" s="251"/>
      <c r="B2965" s="22"/>
      <c r="C2965" s="252"/>
      <c r="D2965" s="252"/>
      <c r="E2965" s="252"/>
      <c r="F2965" s="252"/>
      <c r="G2965" s="252"/>
      <c r="H2965" s="252"/>
      <c r="I2965" s="252"/>
      <c r="J2965" s="252"/>
      <c r="K2965" s="252"/>
      <c r="L2965"/>
      <c r="M2965"/>
    </row>
    <row r="2966" spans="1:13" s="79" customFormat="1" x14ac:dyDescent="0.35">
      <c r="A2966" s="251"/>
      <c r="B2966" s="22"/>
      <c r="C2966" s="252"/>
      <c r="D2966" s="252"/>
      <c r="E2966" s="252"/>
      <c r="F2966" s="252"/>
      <c r="G2966" s="252"/>
      <c r="H2966" s="252"/>
      <c r="I2966" s="252"/>
      <c r="J2966" s="252"/>
      <c r="K2966" s="252"/>
      <c r="L2966"/>
      <c r="M2966"/>
    </row>
    <row r="2967" spans="1:13" s="79" customFormat="1" x14ac:dyDescent="0.35">
      <c r="A2967" s="251"/>
      <c r="B2967" s="22"/>
      <c r="C2967" s="252"/>
      <c r="D2967" s="252"/>
      <c r="E2967" s="252"/>
      <c r="F2967" s="252"/>
      <c r="G2967" s="252"/>
      <c r="H2967" s="252"/>
      <c r="I2967" s="252"/>
      <c r="J2967" s="252"/>
      <c r="K2967" s="252"/>
      <c r="L2967"/>
      <c r="M2967"/>
    </row>
    <row r="2968" spans="1:13" s="79" customFormat="1" x14ac:dyDescent="0.35">
      <c r="A2968" s="251"/>
      <c r="B2968" s="22"/>
      <c r="C2968" s="252"/>
      <c r="D2968" s="252"/>
      <c r="E2968" s="252"/>
      <c r="F2968" s="252"/>
      <c r="G2968" s="252"/>
      <c r="H2968" s="252"/>
      <c r="I2968" s="252"/>
      <c r="J2968" s="252"/>
      <c r="K2968" s="252"/>
      <c r="L2968"/>
      <c r="M2968"/>
    </row>
    <row r="2969" spans="1:13" s="79" customFormat="1" x14ac:dyDescent="0.35">
      <c r="A2969" s="251"/>
      <c r="B2969" s="22"/>
      <c r="C2969" s="252"/>
      <c r="D2969" s="252"/>
      <c r="E2969" s="252"/>
      <c r="F2969" s="252"/>
      <c r="G2969" s="252"/>
      <c r="H2969" s="252"/>
      <c r="I2969" s="252"/>
      <c r="J2969" s="252"/>
      <c r="K2969" s="252"/>
      <c r="L2969"/>
      <c r="M2969"/>
    </row>
    <row r="2970" spans="1:13" s="79" customFormat="1" x14ac:dyDescent="0.35">
      <c r="A2970" s="251"/>
      <c r="B2970" s="22"/>
      <c r="C2970" s="252"/>
      <c r="D2970" s="252"/>
      <c r="E2970" s="252"/>
      <c r="F2970" s="252"/>
      <c r="G2970" s="252"/>
      <c r="H2970" s="252"/>
      <c r="I2970" s="252"/>
      <c r="J2970" s="252"/>
      <c r="K2970" s="252"/>
      <c r="L2970"/>
      <c r="M2970"/>
    </row>
    <row r="2971" spans="1:13" s="79" customFormat="1" x14ac:dyDescent="0.35">
      <c r="A2971" s="251"/>
      <c r="B2971" s="22"/>
      <c r="C2971" s="252"/>
      <c r="D2971" s="252"/>
      <c r="E2971" s="252"/>
      <c r="F2971" s="252"/>
      <c r="G2971" s="252"/>
      <c r="H2971" s="252"/>
      <c r="I2971" s="252"/>
      <c r="J2971" s="252"/>
      <c r="K2971" s="252"/>
      <c r="L2971"/>
      <c r="M2971"/>
    </row>
    <row r="2972" spans="1:13" s="79" customFormat="1" x14ac:dyDescent="0.35">
      <c r="A2972" s="251"/>
      <c r="B2972" s="22"/>
      <c r="C2972" s="252"/>
      <c r="D2972" s="252"/>
      <c r="E2972" s="252"/>
      <c r="F2972" s="252"/>
      <c r="G2972" s="252"/>
      <c r="H2972" s="252"/>
      <c r="I2972" s="252"/>
      <c r="J2972" s="252"/>
      <c r="K2972" s="252"/>
      <c r="L2972"/>
      <c r="M2972"/>
    </row>
    <row r="2973" spans="1:13" s="79" customFormat="1" x14ac:dyDescent="0.35">
      <c r="A2973" s="251"/>
      <c r="B2973" s="22"/>
      <c r="C2973" s="252"/>
      <c r="D2973" s="252"/>
      <c r="E2973" s="252"/>
      <c r="F2973" s="252"/>
      <c r="G2973" s="252"/>
      <c r="H2973" s="252"/>
      <c r="I2973" s="252"/>
      <c r="J2973" s="252"/>
      <c r="K2973" s="252"/>
      <c r="L2973"/>
      <c r="M2973"/>
    </row>
    <row r="2974" spans="1:13" s="79" customFormat="1" x14ac:dyDescent="0.35">
      <c r="A2974" s="251"/>
      <c r="B2974" s="22"/>
      <c r="C2974" s="252"/>
      <c r="D2974" s="252"/>
      <c r="E2974" s="252"/>
      <c r="F2974" s="252"/>
      <c r="G2974" s="252"/>
      <c r="H2974" s="252"/>
      <c r="I2974" s="252"/>
      <c r="J2974" s="252"/>
      <c r="K2974" s="252"/>
      <c r="L2974"/>
      <c r="M2974"/>
    </row>
    <row r="2975" spans="1:13" s="79" customFormat="1" x14ac:dyDescent="0.35">
      <c r="A2975" s="251"/>
      <c r="B2975" s="22"/>
      <c r="C2975" s="252"/>
      <c r="D2975" s="252"/>
      <c r="E2975" s="252"/>
      <c r="F2975" s="252"/>
      <c r="G2975" s="252"/>
      <c r="H2975" s="252"/>
      <c r="I2975" s="252"/>
      <c r="J2975" s="252"/>
      <c r="K2975" s="252"/>
      <c r="L2975"/>
      <c r="M2975"/>
    </row>
    <row r="2976" spans="1:13" s="79" customFormat="1" x14ac:dyDescent="0.35">
      <c r="A2976" s="251"/>
      <c r="B2976" s="22"/>
      <c r="C2976" s="252"/>
      <c r="D2976" s="252"/>
      <c r="E2976" s="252"/>
      <c r="F2976" s="252"/>
      <c r="G2976" s="252"/>
      <c r="H2976" s="252"/>
      <c r="I2976" s="252"/>
      <c r="J2976" s="252"/>
      <c r="K2976" s="252"/>
      <c r="L2976"/>
      <c r="M2976"/>
    </row>
    <row r="2977" spans="1:13" s="79" customFormat="1" x14ac:dyDescent="0.35">
      <c r="A2977" s="251"/>
      <c r="B2977" s="22"/>
      <c r="C2977" s="252"/>
      <c r="D2977" s="252"/>
      <c r="E2977" s="252"/>
      <c r="F2977" s="252"/>
      <c r="G2977" s="252"/>
      <c r="H2977" s="252"/>
      <c r="I2977" s="252"/>
      <c r="J2977" s="252"/>
      <c r="K2977" s="252"/>
      <c r="L2977"/>
      <c r="M2977"/>
    </row>
    <row r="2978" spans="1:13" s="79" customFormat="1" x14ac:dyDescent="0.35">
      <c r="A2978" s="251"/>
      <c r="B2978" s="22"/>
      <c r="C2978" s="252"/>
      <c r="D2978" s="252"/>
      <c r="E2978" s="252"/>
      <c r="F2978" s="252"/>
      <c r="G2978" s="252"/>
      <c r="H2978" s="252"/>
      <c r="I2978" s="252"/>
      <c r="J2978" s="252"/>
      <c r="K2978" s="252"/>
      <c r="L2978"/>
      <c r="M2978"/>
    </row>
    <row r="2979" spans="1:13" s="79" customFormat="1" x14ac:dyDescent="0.35">
      <c r="A2979" s="251"/>
      <c r="B2979" s="22"/>
      <c r="C2979" s="252"/>
      <c r="D2979" s="252"/>
      <c r="E2979" s="252"/>
      <c r="F2979" s="252"/>
      <c r="G2979" s="252"/>
      <c r="H2979" s="252"/>
      <c r="I2979" s="252"/>
      <c r="J2979" s="252"/>
      <c r="K2979" s="252"/>
      <c r="L2979"/>
      <c r="M2979"/>
    </row>
    <row r="2980" spans="1:13" s="79" customFormat="1" x14ac:dyDescent="0.35">
      <c r="A2980" s="251"/>
      <c r="B2980" s="22"/>
      <c r="C2980" s="252"/>
      <c r="D2980" s="252"/>
      <c r="E2980" s="252"/>
      <c r="F2980" s="252"/>
      <c r="G2980" s="252"/>
      <c r="H2980" s="252"/>
      <c r="I2980" s="252"/>
      <c r="J2980" s="252"/>
      <c r="K2980" s="252"/>
      <c r="L2980"/>
      <c r="M2980"/>
    </row>
    <row r="2981" spans="1:13" s="79" customFormat="1" x14ac:dyDescent="0.35">
      <c r="A2981" s="251"/>
      <c r="B2981" s="22"/>
      <c r="C2981" s="252"/>
      <c r="D2981" s="252"/>
      <c r="E2981" s="252"/>
      <c r="F2981" s="252"/>
      <c r="G2981" s="252"/>
      <c r="H2981" s="252"/>
      <c r="I2981" s="252"/>
      <c r="J2981" s="252"/>
      <c r="K2981" s="252"/>
      <c r="L2981"/>
      <c r="M2981"/>
    </row>
    <row r="2982" spans="1:13" s="79" customFormat="1" x14ac:dyDescent="0.35">
      <c r="A2982" s="251"/>
      <c r="B2982" s="22"/>
      <c r="C2982" s="252"/>
      <c r="D2982" s="252"/>
      <c r="E2982" s="252"/>
      <c r="F2982" s="252"/>
      <c r="G2982" s="252"/>
      <c r="H2982" s="252"/>
      <c r="I2982" s="252"/>
      <c r="J2982" s="252"/>
      <c r="K2982" s="252"/>
      <c r="L2982"/>
      <c r="M2982"/>
    </row>
    <row r="2983" spans="1:13" s="79" customFormat="1" x14ac:dyDescent="0.35">
      <c r="A2983" s="251"/>
      <c r="B2983" s="22"/>
      <c r="C2983" s="252"/>
      <c r="D2983" s="252"/>
      <c r="E2983" s="252"/>
      <c r="F2983" s="252"/>
      <c r="G2983" s="252"/>
      <c r="H2983" s="252"/>
      <c r="I2983" s="252"/>
      <c r="J2983" s="252"/>
      <c r="K2983" s="252"/>
      <c r="L2983"/>
      <c r="M2983"/>
    </row>
    <row r="2984" spans="1:13" s="79" customFormat="1" x14ac:dyDescent="0.35">
      <c r="A2984" s="251"/>
      <c r="B2984" s="22"/>
      <c r="C2984" s="252"/>
      <c r="D2984" s="252"/>
      <c r="E2984" s="252"/>
      <c r="F2984" s="252"/>
      <c r="G2984" s="252"/>
      <c r="H2984" s="252"/>
      <c r="I2984" s="252"/>
      <c r="J2984" s="252"/>
      <c r="K2984" s="252"/>
      <c r="L2984"/>
      <c r="M2984"/>
    </row>
    <row r="2985" spans="1:13" s="79" customFormat="1" x14ac:dyDescent="0.35">
      <c r="A2985" s="251"/>
      <c r="B2985" s="22"/>
      <c r="C2985" s="252"/>
      <c r="D2985" s="252"/>
      <c r="E2985" s="252"/>
      <c r="F2985" s="252"/>
      <c r="G2985" s="252"/>
      <c r="H2985" s="252"/>
      <c r="I2985" s="252"/>
      <c r="J2985" s="252"/>
      <c r="K2985" s="252"/>
      <c r="L2985"/>
      <c r="M2985"/>
    </row>
    <row r="2986" spans="1:13" s="79" customFormat="1" x14ac:dyDescent="0.35">
      <c r="A2986" s="251"/>
      <c r="B2986" s="22"/>
      <c r="C2986" s="252"/>
      <c r="D2986" s="252"/>
      <c r="E2986" s="252"/>
      <c r="F2986" s="252"/>
      <c r="G2986" s="252"/>
      <c r="H2986" s="252"/>
      <c r="I2986" s="252"/>
      <c r="J2986" s="252"/>
      <c r="K2986" s="252"/>
      <c r="L2986"/>
      <c r="M2986"/>
    </row>
    <row r="2987" spans="1:13" s="79" customFormat="1" x14ac:dyDescent="0.35">
      <c r="A2987" s="251"/>
      <c r="B2987" s="22"/>
      <c r="C2987" s="252"/>
      <c r="D2987" s="252"/>
      <c r="E2987" s="252"/>
      <c r="F2987" s="252"/>
      <c r="G2987" s="252"/>
      <c r="H2987" s="252"/>
      <c r="I2987" s="252"/>
      <c r="J2987" s="252"/>
      <c r="K2987" s="252"/>
      <c r="L2987"/>
      <c r="M2987"/>
    </row>
    <row r="2988" spans="1:13" s="79" customFormat="1" x14ac:dyDescent="0.35">
      <c r="A2988" s="251"/>
      <c r="B2988" s="22"/>
      <c r="C2988" s="252"/>
      <c r="D2988" s="252"/>
      <c r="E2988" s="252"/>
      <c r="F2988" s="252"/>
      <c r="G2988" s="252"/>
      <c r="H2988" s="252"/>
      <c r="I2988" s="252"/>
      <c r="J2988" s="252"/>
      <c r="K2988" s="252"/>
      <c r="L2988"/>
      <c r="M2988"/>
    </row>
    <row r="2989" spans="1:13" s="79" customFormat="1" x14ac:dyDescent="0.35">
      <c r="A2989" s="251"/>
      <c r="B2989" s="22"/>
      <c r="C2989" s="252"/>
      <c r="D2989" s="252"/>
      <c r="E2989" s="252"/>
      <c r="F2989" s="252"/>
      <c r="G2989" s="252"/>
      <c r="H2989" s="252"/>
      <c r="I2989" s="252"/>
      <c r="J2989" s="252"/>
      <c r="K2989" s="252"/>
      <c r="L2989"/>
      <c r="M2989"/>
    </row>
    <row r="2990" spans="1:13" s="79" customFormat="1" x14ac:dyDescent="0.35">
      <c r="A2990" s="251"/>
      <c r="B2990" s="22"/>
      <c r="C2990" s="252"/>
      <c r="D2990" s="252"/>
      <c r="E2990" s="252"/>
      <c r="F2990" s="252"/>
      <c r="G2990" s="252"/>
      <c r="H2990" s="252"/>
      <c r="I2990" s="252"/>
      <c r="J2990" s="252"/>
      <c r="K2990" s="252"/>
      <c r="L2990"/>
      <c r="M2990"/>
    </row>
    <row r="2991" spans="1:13" s="79" customFormat="1" x14ac:dyDescent="0.35">
      <c r="A2991" s="251"/>
      <c r="B2991" s="22"/>
      <c r="C2991" s="252"/>
      <c r="D2991" s="252"/>
      <c r="E2991" s="252"/>
      <c r="F2991" s="252"/>
      <c r="G2991" s="252"/>
      <c r="H2991" s="252"/>
      <c r="I2991" s="252"/>
      <c r="J2991" s="252"/>
      <c r="K2991" s="252"/>
      <c r="L2991"/>
      <c r="M2991"/>
    </row>
    <row r="2992" spans="1:13" s="79" customFormat="1" x14ac:dyDescent="0.35">
      <c r="A2992" s="251"/>
      <c r="B2992" s="22"/>
      <c r="C2992" s="252"/>
      <c r="D2992" s="252"/>
      <c r="E2992" s="252"/>
      <c r="F2992" s="252"/>
      <c r="G2992" s="252"/>
      <c r="H2992" s="252"/>
      <c r="I2992" s="252"/>
      <c r="J2992" s="252"/>
      <c r="K2992" s="252"/>
      <c r="L2992"/>
      <c r="M2992"/>
    </row>
    <row r="2993" spans="1:13" s="79" customFormat="1" x14ac:dyDescent="0.35">
      <c r="A2993" s="251"/>
      <c r="B2993" s="22"/>
      <c r="C2993" s="252"/>
      <c r="D2993" s="252"/>
      <c r="E2993" s="252"/>
      <c r="F2993" s="252"/>
      <c r="G2993" s="252"/>
      <c r="H2993" s="252"/>
      <c r="I2993" s="252"/>
      <c r="J2993" s="252"/>
      <c r="K2993" s="252"/>
      <c r="L2993"/>
      <c r="M2993"/>
    </row>
    <row r="2994" spans="1:13" s="79" customFormat="1" x14ac:dyDescent="0.35">
      <c r="A2994" s="251"/>
      <c r="B2994" s="22"/>
      <c r="C2994" s="252"/>
      <c r="D2994" s="252"/>
      <c r="E2994" s="252"/>
      <c r="F2994" s="252"/>
      <c r="G2994" s="252"/>
      <c r="H2994" s="252"/>
      <c r="I2994" s="252"/>
      <c r="J2994" s="252"/>
      <c r="K2994" s="252"/>
      <c r="L2994"/>
      <c r="M2994"/>
    </row>
    <row r="2995" spans="1:13" s="79" customFormat="1" x14ac:dyDescent="0.35">
      <c r="A2995" s="251"/>
      <c r="B2995" s="22"/>
      <c r="C2995" s="252"/>
      <c r="D2995" s="252"/>
      <c r="E2995" s="252"/>
      <c r="F2995" s="252"/>
      <c r="G2995" s="252"/>
      <c r="H2995" s="252"/>
      <c r="I2995" s="252"/>
      <c r="J2995" s="252"/>
      <c r="K2995" s="252"/>
      <c r="L2995"/>
      <c r="M2995"/>
    </row>
    <row r="2996" spans="1:13" s="79" customFormat="1" x14ac:dyDescent="0.35">
      <c r="A2996" s="251"/>
      <c r="B2996" s="22"/>
      <c r="C2996" s="252"/>
      <c r="D2996" s="252"/>
      <c r="E2996" s="252"/>
      <c r="F2996" s="252"/>
      <c r="G2996" s="252"/>
      <c r="H2996" s="252"/>
      <c r="I2996" s="252"/>
      <c r="J2996" s="252"/>
      <c r="K2996" s="252"/>
      <c r="L2996"/>
      <c r="M2996"/>
    </row>
    <row r="2997" spans="1:13" s="79" customFormat="1" x14ac:dyDescent="0.35">
      <c r="A2997" s="251"/>
      <c r="B2997" s="22"/>
      <c r="C2997" s="252"/>
      <c r="D2997" s="252"/>
      <c r="E2997" s="252"/>
      <c r="F2997" s="252"/>
      <c r="G2997" s="252"/>
      <c r="H2997" s="252"/>
      <c r="I2997" s="252"/>
      <c r="J2997" s="252"/>
      <c r="K2997" s="252"/>
      <c r="L2997"/>
      <c r="M2997"/>
    </row>
    <row r="2998" spans="1:13" s="79" customFormat="1" x14ac:dyDescent="0.35">
      <c r="A2998" s="251"/>
      <c r="B2998" s="22"/>
      <c r="C2998" s="252"/>
      <c r="D2998" s="252"/>
      <c r="E2998" s="252"/>
      <c r="F2998" s="252"/>
      <c r="G2998" s="252"/>
      <c r="H2998" s="252"/>
      <c r="I2998" s="252"/>
      <c r="J2998" s="252"/>
      <c r="K2998" s="252"/>
      <c r="L2998"/>
      <c r="M2998"/>
    </row>
    <row r="2999" spans="1:13" s="79" customFormat="1" x14ac:dyDescent="0.35">
      <c r="A2999" s="251"/>
      <c r="B2999" s="22"/>
      <c r="C2999" s="252"/>
      <c r="D2999" s="252"/>
      <c r="E2999" s="252"/>
      <c r="F2999" s="252"/>
      <c r="G2999" s="252"/>
      <c r="H2999" s="252"/>
      <c r="I2999" s="252"/>
      <c r="J2999" s="252"/>
      <c r="K2999" s="252"/>
      <c r="L2999"/>
      <c r="M2999"/>
    </row>
    <row r="3000" spans="1:13" s="79" customFormat="1" x14ac:dyDescent="0.35">
      <c r="A3000" s="251"/>
      <c r="B3000" s="22"/>
      <c r="C3000" s="252"/>
      <c r="D3000" s="252"/>
      <c r="E3000" s="252"/>
      <c r="F3000" s="252"/>
      <c r="G3000" s="252"/>
      <c r="H3000" s="252"/>
      <c r="I3000" s="252"/>
      <c r="J3000" s="252"/>
      <c r="K3000" s="252"/>
      <c r="L3000"/>
      <c r="M3000"/>
    </row>
    <row r="3001" spans="1:13" s="79" customFormat="1" x14ac:dyDescent="0.35">
      <c r="A3001" s="251"/>
      <c r="B3001" s="22"/>
      <c r="C3001" s="252"/>
      <c r="D3001" s="252"/>
      <c r="E3001" s="252"/>
      <c r="F3001" s="252"/>
      <c r="G3001" s="252"/>
      <c r="H3001" s="252"/>
      <c r="I3001" s="252"/>
      <c r="J3001" s="252"/>
      <c r="K3001" s="252"/>
      <c r="L3001"/>
      <c r="M3001"/>
    </row>
    <row r="3002" spans="1:13" s="79" customFormat="1" x14ac:dyDescent="0.35">
      <c r="A3002" s="251"/>
      <c r="B3002" s="22"/>
      <c r="C3002" s="252"/>
      <c r="D3002" s="252"/>
      <c r="E3002" s="252"/>
      <c r="F3002" s="252"/>
      <c r="G3002" s="252"/>
      <c r="H3002" s="252"/>
      <c r="I3002" s="252"/>
      <c r="J3002" s="252"/>
      <c r="K3002" s="252"/>
      <c r="L3002"/>
      <c r="M3002"/>
    </row>
    <row r="3003" spans="1:13" s="79" customFormat="1" x14ac:dyDescent="0.35">
      <c r="A3003" s="251"/>
      <c r="B3003" s="22"/>
      <c r="C3003" s="252"/>
      <c r="D3003" s="252"/>
      <c r="E3003" s="252"/>
      <c r="F3003" s="252"/>
      <c r="G3003" s="252"/>
      <c r="H3003" s="252"/>
      <c r="I3003" s="252"/>
      <c r="J3003" s="252"/>
      <c r="K3003" s="252"/>
      <c r="L3003"/>
      <c r="M3003"/>
    </row>
    <row r="3004" spans="1:13" s="79" customFormat="1" x14ac:dyDescent="0.35">
      <c r="A3004" s="251"/>
      <c r="B3004" s="22"/>
      <c r="C3004" s="252"/>
      <c r="D3004" s="252"/>
      <c r="E3004" s="252"/>
      <c r="F3004" s="252"/>
      <c r="G3004" s="252"/>
      <c r="H3004" s="252"/>
      <c r="I3004" s="252"/>
      <c r="J3004" s="252"/>
      <c r="K3004" s="252"/>
      <c r="L3004"/>
      <c r="M3004"/>
    </row>
    <row r="3005" spans="1:13" s="79" customFormat="1" x14ac:dyDescent="0.35">
      <c r="A3005" s="251"/>
      <c r="B3005" s="22"/>
      <c r="C3005" s="252"/>
      <c r="D3005" s="252"/>
      <c r="E3005" s="252"/>
      <c r="F3005" s="252"/>
      <c r="G3005" s="252"/>
      <c r="H3005" s="252"/>
      <c r="I3005" s="252"/>
      <c r="J3005" s="252"/>
      <c r="K3005" s="252"/>
      <c r="L3005"/>
      <c r="M3005"/>
    </row>
    <row r="3006" spans="1:13" s="79" customFormat="1" x14ac:dyDescent="0.35">
      <c r="A3006" s="251"/>
      <c r="B3006" s="22"/>
      <c r="C3006" s="252"/>
      <c r="D3006" s="252"/>
      <c r="E3006" s="252"/>
      <c r="F3006" s="252"/>
      <c r="G3006" s="252"/>
      <c r="H3006" s="252"/>
      <c r="I3006" s="252"/>
      <c r="J3006" s="252"/>
      <c r="K3006" s="252"/>
      <c r="L3006"/>
      <c r="M3006"/>
    </row>
    <row r="3007" spans="1:13" s="79" customFormat="1" x14ac:dyDescent="0.35">
      <c r="A3007" s="251"/>
      <c r="B3007" s="22"/>
      <c r="C3007" s="252"/>
      <c r="D3007" s="252"/>
      <c r="E3007" s="252"/>
      <c r="F3007" s="252"/>
      <c r="G3007" s="252"/>
      <c r="H3007" s="252"/>
      <c r="I3007" s="252"/>
      <c r="J3007" s="252"/>
      <c r="K3007" s="252"/>
      <c r="L3007"/>
      <c r="M3007"/>
    </row>
    <row r="3008" spans="1:13" s="79" customFormat="1" x14ac:dyDescent="0.35">
      <c r="A3008" s="251"/>
      <c r="B3008" s="22"/>
      <c r="C3008" s="252"/>
      <c r="D3008" s="252"/>
      <c r="E3008" s="252"/>
      <c r="F3008" s="252"/>
      <c r="G3008" s="252"/>
      <c r="H3008" s="252"/>
      <c r="I3008" s="252"/>
      <c r="J3008" s="252"/>
      <c r="K3008" s="252"/>
      <c r="L3008"/>
      <c r="M3008"/>
    </row>
    <row r="3009" spans="1:13" s="79" customFormat="1" x14ac:dyDescent="0.35">
      <c r="A3009" s="251"/>
      <c r="B3009" s="22"/>
      <c r="C3009" s="252"/>
      <c r="D3009" s="252"/>
      <c r="E3009" s="252"/>
      <c r="F3009" s="252"/>
      <c r="G3009" s="252"/>
      <c r="H3009" s="252"/>
      <c r="I3009" s="252"/>
      <c r="J3009" s="252"/>
      <c r="K3009" s="252"/>
      <c r="L3009"/>
      <c r="M3009"/>
    </row>
    <row r="3010" spans="1:13" s="79" customFormat="1" x14ac:dyDescent="0.35">
      <c r="A3010" s="251"/>
      <c r="B3010" s="22"/>
      <c r="C3010" s="252"/>
      <c r="D3010" s="252"/>
      <c r="E3010" s="252"/>
      <c r="F3010" s="252"/>
      <c r="G3010" s="252"/>
      <c r="H3010" s="252"/>
      <c r="I3010" s="252"/>
      <c r="J3010" s="252"/>
      <c r="K3010" s="252"/>
      <c r="L3010"/>
      <c r="M3010"/>
    </row>
    <row r="3011" spans="1:13" s="79" customFormat="1" x14ac:dyDescent="0.35">
      <c r="A3011" s="251"/>
      <c r="B3011" s="22"/>
      <c r="C3011" s="252"/>
      <c r="D3011" s="252"/>
      <c r="E3011" s="252"/>
      <c r="F3011" s="252"/>
      <c r="G3011" s="252"/>
      <c r="H3011" s="252"/>
      <c r="I3011" s="252"/>
      <c r="J3011" s="252"/>
      <c r="K3011" s="252"/>
      <c r="L3011"/>
      <c r="M3011"/>
    </row>
    <row r="3012" spans="1:13" s="79" customFormat="1" x14ac:dyDescent="0.35">
      <c r="A3012" s="251"/>
      <c r="B3012" s="22"/>
      <c r="C3012" s="252"/>
      <c r="D3012" s="252"/>
      <c r="E3012" s="252"/>
      <c r="F3012" s="252"/>
      <c r="G3012" s="252"/>
      <c r="H3012" s="252"/>
      <c r="I3012" s="252"/>
      <c r="J3012" s="252"/>
      <c r="K3012" s="252"/>
      <c r="L3012"/>
      <c r="M3012"/>
    </row>
    <row r="3013" spans="1:13" s="79" customFormat="1" x14ac:dyDescent="0.35">
      <c r="A3013" s="251"/>
      <c r="B3013" s="22"/>
      <c r="C3013" s="252"/>
      <c r="D3013" s="252"/>
      <c r="E3013" s="252"/>
      <c r="F3013" s="252"/>
      <c r="G3013" s="252"/>
      <c r="H3013" s="252"/>
      <c r="I3013" s="252"/>
      <c r="J3013" s="252"/>
      <c r="K3013" s="252"/>
      <c r="L3013"/>
      <c r="M3013"/>
    </row>
    <row r="3014" spans="1:13" s="79" customFormat="1" x14ac:dyDescent="0.35">
      <c r="A3014" s="251"/>
      <c r="B3014" s="22"/>
      <c r="C3014" s="252"/>
      <c r="D3014" s="252"/>
      <c r="E3014" s="252"/>
      <c r="F3014" s="252"/>
      <c r="G3014" s="252"/>
      <c r="H3014" s="252"/>
      <c r="I3014" s="252"/>
      <c r="J3014" s="252"/>
      <c r="K3014" s="252"/>
      <c r="L3014"/>
      <c r="M3014"/>
    </row>
    <row r="3015" spans="1:13" s="79" customFormat="1" x14ac:dyDescent="0.35">
      <c r="A3015" s="251"/>
      <c r="B3015" s="22"/>
      <c r="C3015" s="252"/>
      <c r="D3015" s="252"/>
      <c r="E3015" s="252"/>
      <c r="F3015" s="252"/>
      <c r="G3015" s="252"/>
      <c r="H3015" s="252"/>
      <c r="I3015" s="252"/>
      <c r="J3015" s="252"/>
      <c r="K3015" s="252"/>
      <c r="L3015"/>
      <c r="M3015"/>
    </row>
    <row r="3016" spans="1:13" s="79" customFormat="1" x14ac:dyDescent="0.35">
      <c r="A3016" s="251"/>
      <c r="B3016" s="22"/>
      <c r="C3016" s="252"/>
      <c r="D3016" s="252"/>
      <c r="E3016" s="252"/>
      <c r="F3016" s="252"/>
      <c r="G3016" s="252"/>
      <c r="H3016" s="252"/>
      <c r="I3016" s="252"/>
      <c r="J3016" s="252"/>
      <c r="K3016" s="252"/>
      <c r="L3016"/>
      <c r="M3016"/>
    </row>
    <row r="3017" spans="1:13" s="79" customFormat="1" x14ac:dyDescent="0.35">
      <c r="A3017" s="251"/>
      <c r="B3017" s="22"/>
      <c r="C3017" s="252"/>
      <c r="D3017" s="252"/>
      <c r="E3017" s="252"/>
      <c r="F3017" s="252"/>
      <c r="G3017" s="252"/>
      <c r="H3017" s="252"/>
      <c r="I3017" s="252"/>
      <c r="J3017" s="252"/>
      <c r="K3017" s="252"/>
      <c r="L3017"/>
      <c r="M3017"/>
    </row>
    <row r="3018" spans="1:13" s="79" customFormat="1" x14ac:dyDescent="0.35">
      <c r="A3018" s="251"/>
      <c r="B3018" s="22"/>
      <c r="C3018" s="252"/>
      <c r="D3018" s="252"/>
      <c r="E3018" s="252"/>
      <c r="F3018" s="252"/>
      <c r="G3018" s="252"/>
      <c r="H3018" s="252"/>
      <c r="I3018" s="252"/>
      <c r="J3018" s="252"/>
      <c r="K3018" s="252"/>
      <c r="L3018"/>
      <c r="M3018"/>
    </row>
    <row r="3019" spans="1:13" s="79" customFormat="1" x14ac:dyDescent="0.35">
      <c r="A3019" s="251"/>
      <c r="B3019" s="22"/>
      <c r="C3019" s="252"/>
      <c r="D3019" s="252"/>
      <c r="E3019" s="252"/>
      <c r="F3019" s="252"/>
      <c r="G3019" s="252"/>
      <c r="H3019" s="252"/>
      <c r="I3019" s="252"/>
      <c r="J3019" s="252"/>
      <c r="K3019" s="252"/>
      <c r="L3019"/>
      <c r="M3019"/>
    </row>
    <row r="3020" spans="1:13" s="79" customFormat="1" x14ac:dyDescent="0.35">
      <c r="A3020" s="251"/>
      <c r="B3020" s="22"/>
      <c r="C3020" s="252"/>
      <c r="D3020" s="252"/>
      <c r="E3020" s="252"/>
      <c r="F3020" s="252"/>
      <c r="G3020" s="252"/>
      <c r="H3020" s="252"/>
      <c r="I3020" s="252"/>
      <c r="J3020" s="252"/>
      <c r="K3020" s="252"/>
      <c r="L3020"/>
      <c r="M3020"/>
    </row>
    <row r="3021" spans="1:13" s="79" customFormat="1" x14ac:dyDescent="0.35">
      <c r="A3021" s="251"/>
      <c r="B3021" s="22"/>
      <c r="C3021" s="252"/>
      <c r="D3021" s="252"/>
      <c r="E3021" s="252"/>
      <c r="F3021" s="252"/>
      <c r="G3021" s="252"/>
      <c r="H3021" s="252"/>
      <c r="I3021" s="252"/>
      <c r="J3021" s="252"/>
      <c r="K3021" s="252"/>
      <c r="L3021"/>
      <c r="M3021"/>
    </row>
    <row r="3022" spans="1:13" s="79" customFormat="1" x14ac:dyDescent="0.35">
      <c r="A3022" s="251"/>
      <c r="B3022" s="22"/>
      <c r="C3022" s="252"/>
      <c r="D3022" s="252"/>
      <c r="E3022" s="252"/>
      <c r="F3022" s="252"/>
      <c r="G3022" s="252"/>
      <c r="H3022" s="252"/>
      <c r="I3022" s="252"/>
      <c r="J3022" s="252"/>
      <c r="K3022" s="252"/>
      <c r="L3022"/>
      <c r="M3022"/>
    </row>
    <row r="3023" spans="1:13" s="79" customFormat="1" x14ac:dyDescent="0.35">
      <c r="A3023" s="251"/>
      <c r="B3023" s="22"/>
      <c r="C3023" s="252"/>
      <c r="D3023" s="252"/>
      <c r="E3023" s="252"/>
      <c r="F3023" s="252"/>
      <c r="G3023" s="252"/>
      <c r="H3023" s="252"/>
      <c r="I3023" s="252"/>
      <c r="J3023" s="252"/>
      <c r="K3023" s="252"/>
      <c r="L3023"/>
      <c r="M3023"/>
    </row>
    <row r="3024" spans="1:13" s="79" customFormat="1" x14ac:dyDescent="0.35">
      <c r="A3024" s="251"/>
      <c r="B3024" s="22"/>
      <c r="C3024" s="252"/>
      <c r="D3024" s="252"/>
      <c r="E3024" s="252"/>
      <c r="F3024" s="252"/>
      <c r="G3024" s="252"/>
      <c r="H3024" s="252"/>
      <c r="I3024" s="252"/>
      <c r="J3024" s="252"/>
      <c r="K3024" s="252"/>
      <c r="L3024"/>
      <c r="M3024"/>
    </row>
    <row r="3025" spans="1:13" s="79" customFormat="1" x14ac:dyDescent="0.35">
      <c r="A3025" s="251"/>
      <c r="B3025" s="22"/>
      <c r="C3025" s="252"/>
      <c r="D3025" s="252"/>
      <c r="E3025" s="252"/>
      <c r="F3025" s="252"/>
      <c r="G3025" s="252"/>
      <c r="H3025" s="252"/>
      <c r="I3025" s="252"/>
      <c r="J3025" s="252"/>
      <c r="K3025" s="252"/>
      <c r="L3025"/>
      <c r="M3025"/>
    </row>
    <row r="3026" spans="1:13" s="79" customFormat="1" x14ac:dyDescent="0.35">
      <c r="A3026" s="251"/>
      <c r="B3026" s="22"/>
      <c r="C3026" s="252"/>
      <c r="D3026" s="252"/>
      <c r="E3026" s="252"/>
      <c r="F3026" s="252"/>
      <c r="G3026" s="252"/>
      <c r="H3026" s="252"/>
      <c r="I3026" s="252"/>
      <c r="J3026" s="252"/>
      <c r="K3026" s="252"/>
      <c r="L3026"/>
      <c r="M3026"/>
    </row>
    <row r="3027" spans="1:13" s="79" customFormat="1" x14ac:dyDescent="0.35">
      <c r="A3027" s="251"/>
      <c r="B3027" s="22"/>
      <c r="C3027" s="252"/>
      <c r="D3027" s="252"/>
      <c r="E3027" s="252"/>
      <c r="F3027" s="252"/>
      <c r="G3027" s="252"/>
      <c r="H3027" s="252"/>
      <c r="I3027" s="252"/>
      <c r="J3027" s="252"/>
      <c r="K3027" s="252"/>
      <c r="L3027"/>
      <c r="M3027"/>
    </row>
    <row r="3028" spans="1:13" s="79" customFormat="1" x14ac:dyDescent="0.35">
      <c r="A3028" s="251"/>
      <c r="B3028" s="22"/>
      <c r="C3028" s="252"/>
      <c r="D3028" s="252"/>
      <c r="E3028" s="252"/>
      <c r="F3028" s="252"/>
      <c r="G3028" s="252"/>
      <c r="H3028" s="252"/>
      <c r="I3028" s="252"/>
      <c r="J3028" s="252"/>
      <c r="K3028" s="252"/>
      <c r="L3028"/>
      <c r="M3028"/>
    </row>
    <row r="3029" spans="1:13" s="79" customFormat="1" x14ac:dyDescent="0.35">
      <c r="A3029" s="251"/>
      <c r="B3029" s="22"/>
      <c r="C3029" s="252"/>
      <c r="D3029" s="252"/>
      <c r="E3029" s="252"/>
      <c r="F3029" s="252"/>
      <c r="G3029" s="252"/>
      <c r="H3029" s="252"/>
      <c r="I3029" s="252"/>
      <c r="J3029" s="252"/>
      <c r="K3029" s="252"/>
      <c r="L3029"/>
      <c r="M3029"/>
    </row>
    <row r="3030" spans="1:13" s="79" customFormat="1" x14ac:dyDescent="0.35">
      <c r="A3030" s="251"/>
      <c r="B3030" s="22"/>
      <c r="C3030" s="252"/>
      <c r="D3030" s="252"/>
      <c r="E3030" s="252"/>
      <c r="F3030" s="252"/>
      <c r="G3030" s="252"/>
      <c r="H3030" s="252"/>
      <c r="I3030" s="252"/>
      <c r="J3030" s="252"/>
      <c r="K3030" s="252"/>
      <c r="L3030"/>
      <c r="M3030"/>
    </row>
    <row r="3031" spans="1:13" s="79" customFormat="1" x14ac:dyDescent="0.35">
      <c r="A3031" s="251"/>
      <c r="B3031" s="22"/>
      <c r="C3031" s="252"/>
      <c r="D3031" s="252"/>
      <c r="E3031" s="252"/>
      <c r="F3031" s="252"/>
      <c r="G3031" s="252"/>
      <c r="H3031" s="252"/>
      <c r="I3031" s="252"/>
      <c r="J3031" s="252"/>
      <c r="K3031" s="252"/>
      <c r="L3031"/>
      <c r="M3031"/>
    </row>
    <row r="3032" spans="1:13" s="79" customFormat="1" x14ac:dyDescent="0.35">
      <c r="A3032" s="251"/>
      <c r="B3032" s="22"/>
      <c r="C3032" s="252"/>
      <c r="D3032" s="252"/>
      <c r="E3032" s="252"/>
      <c r="F3032" s="252"/>
      <c r="G3032" s="252"/>
      <c r="H3032" s="252"/>
      <c r="I3032" s="252"/>
      <c r="J3032" s="252"/>
      <c r="K3032" s="252"/>
      <c r="L3032"/>
      <c r="M3032"/>
    </row>
    <row r="3033" spans="1:13" s="79" customFormat="1" x14ac:dyDescent="0.35">
      <c r="A3033" s="251"/>
      <c r="B3033" s="22"/>
      <c r="C3033" s="252"/>
      <c r="D3033" s="252"/>
      <c r="E3033" s="252"/>
      <c r="F3033" s="252"/>
      <c r="G3033" s="252"/>
      <c r="H3033" s="252"/>
      <c r="I3033" s="252"/>
      <c r="J3033" s="252"/>
      <c r="K3033" s="252"/>
      <c r="L3033"/>
      <c r="M3033"/>
    </row>
    <row r="3034" spans="1:13" s="79" customFormat="1" x14ac:dyDescent="0.35">
      <c r="A3034" s="251"/>
      <c r="B3034" s="22"/>
      <c r="C3034" s="252"/>
      <c r="D3034" s="252"/>
      <c r="E3034" s="252"/>
      <c r="F3034" s="252"/>
      <c r="G3034" s="252"/>
      <c r="H3034" s="252"/>
      <c r="I3034" s="252"/>
      <c r="J3034" s="252"/>
      <c r="K3034" s="252"/>
      <c r="L3034"/>
      <c r="M3034"/>
    </row>
    <row r="3035" spans="1:13" s="79" customFormat="1" x14ac:dyDescent="0.35">
      <c r="A3035" s="251"/>
      <c r="B3035" s="22"/>
      <c r="C3035" s="252"/>
      <c r="D3035" s="252"/>
      <c r="E3035" s="252"/>
      <c r="F3035" s="252"/>
      <c r="G3035" s="252"/>
      <c r="H3035" s="252"/>
      <c r="I3035" s="252"/>
      <c r="J3035" s="252"/>
      <c r="K3035" s="252"/>
      <c r="L3035"/>
      <c r="M3035"/>
    </row>
    <row r="3036" spans="1:13" s="79" customFormat="1" x14ac:dyDescent="0.35">
      <c r="A3036" s="251"/>
      <c r="B3036" s="22"/>
      <c r="C3036" s="252"/>
      <c r="D3036" s="252"/>
      <c r="E3036" s="252"/>
      <c r="F3036" s="252"/>
      <c r="G3036" s="252"/>
      <c r="H3036" s="252"/>
      <c r="I3036" s="252"/>
      <c r="J3036" s="252"/>
      <c r="K3036" s="252"/>
      <c r="L3036"/>
      <c r="M3036"/>
    </row>
    <row r="3037" spans="1:13" s="79" customFormat="1" x14ac:dyDescent="0.35">
      <c r="A3037" s="251"/>
      <c r="B3037" s="22"/>
      <c r="C3037" s="252"/>
      <c r="D3037" s="252"/>
      <c r="E3037" s="252"/>
      <c r="F3037" s="252"/>
      <c r="G3037" s="252"/>
      <c r="H3037" s="252"/>
      <c r="I3037" s="252"/>
      <c r="J3037" s="252"/>
      <c r="K3037" s="252"/>
      <c r="L3037"/>
      <c r="M3037"/>
    </row>
    <row r="3038" spans="1:13" s="79" customFormat="1" x14ac:dyDescent="0.35">
      <c r="A3038" s="251"/>
      <c r="B3038" s="22"/>
      <c r="C3038" s="252"/>
      <c r="D3038" s="252"/>
      <c r="E3038" s="252"/>
      <c r="F3038" s="252"/>
      <c r="G3038" s="252"/>
      <c r="H3038" s="252"/>
      <c r="I3038" s="252"/>
      <c r="J3038" s="252"/>
      <c r="K3038" s="252"/>
      <c r="L3038"/>
      <c r="M3038"/>
    </row>
    <row r="3039" spans="1:13" s="79" customFormat="1" x14ac:dyDescent="0.35">
      <c r="A3039" s="251"/>
      <c r="B3039" s="22"/>
      <c r="C3039" s="252"/>
      <c r="D3039" s="252"/>
      <c r="E3039" s="252"/>
      <c r="F3039" s="252"/>
      <c r="G3039" s="252"/>
      <c r="H3039" s="252"/>
      <c r="I3039" s="252"/>
      <c r="J3039" s="252"/>
      <c r="K3039" s="252"/>
      <c r="L3039"/>
      <c r="M3039"/>
    </row>
    <row r="3040" spans="1:13" s="79" customFormat="1" x14ac:dyDescent="0.35">
      <c r="A3040" s="251"/>
      <c r="B3040" s="22"/>
      <c r="C3040" s="252"/>
      <c r="D3040" s="252"/>
      <c r="E3040" s="252"/>
      <c r="F3040" s="252"/>
      <c r="G3040" s="252"/>
      <c r="H3040" s="252"/>
      <c r="I3040" s="252"/>
      <c r="J3040" s="252"/>
      <c r="K3040" s="252"/>
      <c r="L3040"/>
      <c r="M3040"/>
    </row>
    <row r="3041" spans="1:13" s="79" customFormat="1" x14ac:dyDescent="0.35">
      <c r="A3041" s="251"/>
      <c r="B3041" s="22"/>
      <c r="C3041" s="252"/>
      <c r="D3041" s="252"/>
      <c r="E3041" s="252"/>
      <c r="F3041" s="252"/>
      <c r="G3041" s="252"/>
      <c r="H3041" s="252"/>
      <c r="I3041" s="252"/>
      <c r="J3041" s="252"/>
      <c r="K3041" s="252"/>
      <c r="L3041"/>
      <c r="M3041"/>
    </row>
    <row r="3042" spans="1:13" s="79" customFormat="1" x14ac:dyDescent="0.35">
      <c r="A3042" s="251"/>
      <c r="B3042" s="22"/>
      <c r="C3042" s="252"/>
      <c r="D3042" s="252"/>
      <c r="E3042" s="252"/>
      <c r="F3042" s="252"/>
      <c r="G3042" s="252"/>
      <c r="H3042" s="252"/>
      <c r="I3042" s="252"/>
      <c r="J3042" s="252"/>
      <c r="K3042" s="252"/>
      <c r="L3042"/>
      <c r="M3042"/>
    </row>
    <row r="3043" spans="1:13" s="79" customFormat="1" x14ac:dyDescent="0.35">
      <c r="A3043" s="251"/>
      <c r="B3043" s="22"/>
      <c r="C3043" s="252"/>
      <c r="D3043" s="252"/>
      <c r="E3043" s="252"/>
      <c r="F3043" s="252"/>
      <c r="G3043" s="252"/>
      <c r="H3043" s="252"/>
      <c r="I3043" s="252"/>
      <c r="J3043" s="252"/>
      <c r="K3043" s="252"/>
      <c r="L3043"/>
      <c r="M3043"/>
    </row>
    <row r="3044" spans="1:13" s="79" customFormat="1" x14ac:dyDescent="0.35">
      <c r="A3044" s="251"/>
      <c r="B3044" s="22"/>
      <c r="C3044" s="252"/>
      <c r="D3044" s="252"/>
      <c r="E3044" s="252"/>
      <c r="F3044" s="252"/>
      <c r="G3044" s="252"/>
      <c r="H3044" s="252"/>
      <c r="I3044" s="252"/>
      <c r="J3044" s="252"/>
      <c r="K3044" s="252"/>
      <c r="L3044"/>
      <c r="M3044"/>
    </row>
    <row r="3045" spans="1:13" s="79" customFormat="1" x14ac:dyDescent="0.35">
      <c r="A3045" s="251"/>
      <c r="B3045" s="22"/>
      <c r="C3045" s="252"/>
      <c r="D3045" s="252"/>
      <c r="E3045" s="252"/>
      <c r="F3045" s="252"/>
      <c r="G3045" s="252"/>
      <c r="H3045" s="252"/>
      <c r="I3045" s="252"/>
      <c r="J3045" s="252"/>
      <c r="K3045" s="252"/>
      <c r="L3045"/>
      <c r="M3045"/>
    </row>
    <row r="3046" spans="1:13" s="79" customFormat="1" x14ac:dyDescent="0.35">
      <c r="A3046" s="251"/>
      <c r="B3046" s="22"/>
      <c r="C3046" s="252"/>
      <c r="D3046" s="252"/>
      <c r="E3046" s="252"/>
      <c r="F3046" s="252"/>
      <c r="G3046" s="252"/>
      <c r="H3046" s="252"/>
      <c r="I3046" s="252"/>
      <c r="J3046" s="252"/>
      <c r="K3046" s="252"/>
      <c r="L3046"/>
      <c r="M3046"/>
    </row>
    <row r="3047" spans="1:13" s="79" customFormat="1" x14ac:dyDescent="0.35">
      <c r="A3047" s="251"/>
      <c r="B3047" s="22"/>
      <c r="C3047" s="252"/>
      <c r="D3047" s="252"/>
      <c r="E3047" s="252"/>
      <c r="F3047" s="252"/>
      <c r="G3047" s="252"/>
      <c r="H3047" s="252"/>
      <c r="I3047" s="252"/>
      <c r="J3047" s="252"/>
      <c r="K3047" s="252"/>
      <c r="L3047"/>
      <c r="M3047"/>
    </row>
    <row r="3048" spans="1:13" s="79" customFormat="1" x14ac:dyDescent="0.35">
      <c r="A3048" s="251"/>
      <c r="B3048" s="22"/>
      <c r="C3048" s="252"/>
      <c r="D3048" s="252"/>
      <c r="E3048" s="252"/>
      <c r="F3048" s="252"/>
      <c r="G3048" s="252"/>
      <c r="H3048" s="252"/>
      <c r="I3048" s="252"/>
      <c r="J3048" s="252"/>
      <c r="K3048" s="252"/>
      <c r="L3048"/>
      <c r="M3048"/>
    </row>
    <row r="3049" spans="1:13" s="79" customFormat="1" x14ac:dyDescent="0.35">
      <c r="A3049" s="251"/>
      <c r="B3049" s="22"/>
      <c r="C3049" s="252"/>
      <c r="D3049" s="252"/>
      <c r="E3049" s="252"/>
      <c r="F3049" s="252"/>
      <c r="G3049" s="252"/>
      <c r="H3049" s="252"/>
      <c r="I3049" s="252"/>
      <c r="J3049" s="252"/>
      <c r="K3049" s="252"/>
      <c r="L3049"/>
      <c r="M3049"/>
    </row>
    <row r="3050" spans="1:13" s="79" customFormat="1" x14ac:dyDescent="0.35">
      <c r="A3050" s="251"/>
      <c r="B3050" s="22"/>
      <c r="C3050" s="252"/>
      <c r="D3050" s="252"/>
      <c r="E3050" s="252"/>
      <c r="F3050" s="252"/>
      <c r="G3050" s="252"/>
      <c r="H3050" s="252"/>
      <c r="I3050" s="252"/>
      <c r="J3050" s="252"/>
      <c r="K3050" s="252"/>
      <c r="L3050"/>
      <c r="M3050"/>
    </row>
    <row r="3051" spans="1:13" s="79" customFormat="1" x14ac:dyDescent="0.35">
      <c r="A3051" s="251"/>
      <c r="B3051" s="22"/>
      <c r="C3051" s="252"/>
      <c r="D3051" s="252"/>
      <c r="E3051" s="252"/>
      <c r="F3051" s="252"/>
      <c r="G3051" s="252"/>
      <c r="H3051" s="252"/>
      <c r="I3051" s="252"/>
      <c r="J3051" s="252"/>
      <c r="K3051" s="252"/>
      <c r="L3051"/>
      <c r="M3051"/>
    </row>
    <row r="3052" spans="1:13" s="79" customFormat="1" x14ac:dyDescent="0.35">
      <c r="A3052" s="251"/>
      <c r="B3052" s="22"/>
      <c r="C3052" s="252"/>
      <c r="D3052" s="252"/>
      <c r="E3052" s="252"/>
      <c r="F3052" s="252"/>
      <c r="G3052" s="252"/>
      <c r="H3052" s="252"/>
      <c r="I3052" s="252"/>
      <c r="J3052" s="252"/>
      <c r="K3052" s="252"/>
      <c r="L3052"/>
      <c r="M3052"/>
    </row>
    <row r="3053" spans="1:13" s="79" customFormat="1" x14ac:dyDescent="0.35">
      <c r="A3053" s="251"/>
      <c r="B3053" s="22"/>
      <c r="C3053" s="252"/>
      <c r="D3053" s="252"/>
      <c r="E3053" s="252"/>
      <c r="F3053" s="252"/>
      <c r="G3053" s="252"/>
      <c r="H3053" s="252"/>
      <c r="I3053" s="252"/>
      <c r="J3053" s="252"/>
      <c r="K3053" s="252"/>
      <c r="L3053"/>
      <c r="M3053"/>
    </row>
    <row r="3054" spans="1:13" s="79" customFormat="1" x14ac:dyDescent="0.35">
      <c r="A3054" s="251"/>
      <c r="B3054" s="22"/>
      <c r="C3054" s="252"/>
      <c r="D3054" s="252"/>
      <c r="E3054" s="252"/>
      <c r="F3054" s="252"/>
      <c r="G3054" s="252"/>
      <c r="H3054" s="252"/>
      <c r="I3054" s="252"/>
      <c r="J3054" s="252"/>
      <c r="K3054" s="252"/>
      <c r="L3054"/>
      <c r="M3054"/>
    </row>
    <row r="3055" spans="1:13" s="79" customFormat="1" x14ac:dyDescent="0.35">
      <c r="A3055" s="251"/>
      <c r="B3055" s="22"/>
      <c r="C3055" s="252"/>
      <c r="D3055" s="252"/>
      <c r="E3055" s="252"/>
      <c r="F3055" s="252"/>
      <c r="G3055" s="252"/>
      <c r="H3055" s="252"/>
      <c r="I3055" s="252"/>
      <c r="J3055" s="252"/>
      <c r="K3055" s="252"/>
      <c r="L3055"/>
      <c r="M3055"/>
    </row>
    <row r="3056" spans="1:13" s="79" customFormat="1" x14ac:dyDescent="0.35">
      <c r="A3056" s="251"/>
      <c r="B3056" s="22"/>
      <c r="C3056" s="252"/>
      <c r="D3056" s="252"/>
      <c r="E3056" s="252"/>
      <c r="F3056" s="252"/>
      <c r="G3056" s="252"/>
      <c r="H3056" s="252"/>
      <c r="I3056" s="252"/>
      <c r="J3056" s="252"/>
      <c r="K3056" s="252"/>
      <c r="L3056"/>
      <c r="M3056"/>
    </row>
    <row r="3057" spans="1:13" s="79" customFormat="1" x14ac:dyDescent="0.35">
      <c r="A3057" s="251"/>
      <c r="B3057" s="22"/>
      <c r="C3057" s="252"/>
      <c r="D3057" s="252"/>
      <c r="E3057" s="252"/>
      <c r="F3057" s="252"/>
      <c r="G3057" s="252"/>
      <c r="H3057" s="252"/>
      <c r="I3057" s="252"/>
      <c r="J3057" s="252"/>
      <c r="K3057" s="252"/>
      <c r="L3057"/>
      <c r="M3057"/>
    </row>
    <row r="3058" spans="1:13" s="79" customFormat="1" x14ac:dyDescent="0.35">
      <c r="A3058" s="251"/>
      <c r="B3058" s="22"/>
      <c r="C3058" s="252"/>
      <c r="D3058" s="252"/>
      <c r="E3058" s="252"/>
      <c r="F3058" s="252"/>
      <c r="G3058" s="252"/>
      <c r="H3058" s="252"/>
      <c r="I3058" s="252"/>
      <c r="J3058" s="252"/>
      <c r="K3058" s="252"/>
      <c r="L3058"/>
      <c r="M3058"/>
    </row>
    <row r="3059" spans="1:13" s="79" customFormat="1" x14ac:dyDescent="0.35">
      <c r="A3059" s="251"/>
      <c r="B3059" s="22"/>
      <c r="C3059" s="252"/>
      <c r="D3059" s="252"/>
      <c r="E3059" s="252"/>
      <c r="F3059" s="252"/>
      <c r="G3059" s="252"/>
      <c r="H3059" s="252"/>
      <c r="I3059" s="252"/>
      <c r="J3059" s="252"/>
      <c r="K3059" s="252"/>
      <c r="L3059"/>
      <c r="M3059"/>
    </row>
    <row r="3060" spans="1:13" s="79" customFormat="1" x14ac:dyDescent="0.35">
      <c r="A3060" s="251"/>
      <c r="B3060" s="22"/>
      <c r="C3060" s="252"/>
      <c r="D3060" s="252"/>
      <c r="E3060" s="252"/>
      <c r="F3060" s="252"/>
      <c r="G3060" s="252"/>
      <c r="H3060" s="252"/>
      <c r="I3060" s="252"/>
      <c r="J3060" s="252"/>
      <c r="K3060" s="252"/>
      <c r="L3060"/>
      <c r="M3060"/>
    </row>
    <row r="3061" spans="1:13" s="79" customFormat="1" x14ac:dyDescent="0.35">
      <c r="A3061" s="251"/>
      <c r="B3061" s="22"/>
      <c r="C3061" s="252"/>
      <c r="D3061" s="252"/>
      <c r="E3061" s="252"/>
      <c r="F3061" s="252"/>
      <c r="G3061" s="252"/>
      <c r="H3061" s="252"/>
      <c r="I3061" s="252"/>
      <c r="J3061" s="252"/>
      <c r="K3061" s="252"/>
      <c r="L3061"/>
      <c r="M3061"/>
    </row>
    <row r="3062" spans="1:13" s="79" customFormat="1" x14ac:dyDescent="0.35">
      <c r="A3062" s="251"/>
      <c r="B3062" s="22"/>
      <c r="C3062" s="252"/>
      <c r="D3062" s="252"/>
      <c r="E3062" s="252"/>
      <c r="F3062" s="252"/>
      <c r="G3062" s="252"/>
      <c r="H3062" s="252"/>
      <c r="I3062" s="252"/>
      <c r="J3062" s="252"/>
      <c r="K3062" s="252"/>
      <c r="L3062"/>
      <c r="M3062"/>
    </row>
    <row r="3063" spans="1:13" s="79" customFormat="1" x14ac:dyDescent="0.35">
      <c r="A3063" s="251"/>
      <c r="B3063" s="22"/>
      <c r="C3063" s="252"/>
      <c r="D3063" s="252"/>
      <c r="E3063" s="252"/>
      <c r="F3063" s="252"/>
      <c r="G3063" s="252"/>
      <c r="H3063" s="252"/>
      <c r="I3063" s="252"/>
      <c r="J3063" s="252"/>
      <c r="K3063" s="252"/>
      <c r="L3063"/>
      <c r="M3063"/>
    </row>
    <row r="3064" spans="1:13" s="79" customFormat="1" x14ac:dyDescent="0.35">
      <c r="A3064" s="251"/>
      <c r="B3064" s="22"/>
      <c r="C3064" s="252"/>
      <c r="D3064" s="252"/>
      <c r="E3064" s="252"/>
      <c r="F3064" s="252"/>
      <c r="G3064" s="252"/>
      <c r="H3064" s="252"/>
      <c r="I3064" s="252"/>
      <c r="J3064" s="252"/>
      <c r="K3064" s="252"/>
      <c r="L3064"/>
      <c r="M3064"/>
    </row>
    <row r="3065" spans="1:13" s="79" customFormat="1" x14ac:dyDescent="0.35">
      <c r="A3065" s="251"/>
      <c r="B3065" s="22"/>
      <c r="C3065" s="252"/>
      <c r="D3065" s="252"/>
      <c r="E3065" s="252"/>
      <c r="F3065" s="252"/>
      <c r="G3065" s="252"/>
      <c r="H3065" s="252"/>
      <c r="I3065" s="252"/>
      <c r="J3065" s="252"/>
      <c r="K3065" s="252"/>
      <c r="L3065"/>
      <c r="M3065"/>
    </row>
    <row r="3066" spans="1:13" s="79" customFormat="1" x14ac:dyDescent="0.35">
      <c r="A3066" s="251"/>
      <c r="B3066" s="22"/>
      <c r="C3066" s="252"/>
      <c r="D3066" s="252"/>
      <c r="E3066" s="252"/>
      <c r="F3066" s="252"/>
      <c r="G3066" s="252"/>
      <c r="H3066" s="252"/>
      <c r="I3066" s="252"/>
      <c r="J3066" s="252"/>
      <c r="K3066" s="252"/>
      <c r="L3066"/>
      <c r="M3066"/>
    </row>
    <row r="3067" spans="1:13" s="79" customFormat="1" x14ac:dyDescent="0.35">
      <c r="A3067" s="251"/>
      <c r="B3067" s="22"/>
      <c r="C3067" s="252"/>
      <c r="D3067" s="252"/>
      <c r="E3067" s="252"/>
      <c r="F3067" s="252"/>
      <c r="G3067" s="252"/>
      <c r="H3067" s="252"/>
      <c r="I3067" s="252"/>
      <c r="J3067" s="252"/>
      <c r="K3067" s="252"/>
      <c r="L3067"/>
      <c r="M3067"/>
    </row>
    <row r="3068" spans="1:13" s="79" customFormat="1" x14ac:dyDescent="0.35">
      <c r="A3068" s="251"/>
      <c r="B3068" s="22"/>
      <c r="C3068" s="252"/>
      <c r="D3068" s="252"/>
      <c r="E3068" s="252"/>
      <c r="F3068" s="252"/>
      <c r="G3068" s="252"/>
      <c r="H3068" s="252"/>
      <c r="I3068" s="252"/>
      <c r="J3068" s="252"/>
      <c r="K3068" s="252"/>
      <c r="L3068"/>
      <c r="M3068"/>
    </row>
    <row r="3069" spans="1:13" s="79" customFormat="1" x14ac:dyDescent="0.35">
      <c r="A3069" s="251"/>
      <c r="B3069" s="22"/>
      <c r="C3069" s="252"/>
      <c r="D3069" s="252"/>
      <c r="E3069" s="252"/>
      <c r="F3069" s="252"/>
      <c r="G3069" s="252"/>
      <c r="H3069" s="252"/>
      <c r="I3069" s="252"/>
      <c r="J3069" s="252"/>
      <c r="K3069" s="252"/>
      <c r="L3069"/>
      <c r="M3069"/>
    </row>
    <row r="3070" spans="1:13" s="79" customFormat="1" x14ac:dyDescent="0.35">
      <c r="A3070" s="251"/>
      <c r="B3070" s="22"/>
      <c r="C3070" s="252"/>
      <c r="D3070" s="252"/>
      <c r="E3070" s="252"/>
      <c r="F3070" s="252"/>
      <c r="G3070" s="252"/>
      <c r="H3070" s="252"/>
      <c r="I3070" s="252"/>
      <c r="J3070" s="252"/>
      <c r="K3070" s="252"/>
      <c r="L3070"/>
      <c r="M3070"/>
    </row>
    <row r="3071" spans="1:13" s="79" customFormat="1" x14ac:dyDescent="0.35">
      <c r="A3071" s="251"/>
      <c r="B3071" s="22"/>
      <c r="C3071" s="252"/>
      <c r="D3071" s="252"/>
      <c r="E3071" s="252"/>
      <c r="F3071" s="252"/>
      <c r="G3071" s="252"/>
      <c r="H3071" s="252"/>
      <c r="I3071" s="252"/>
      <c r="J3071" s="252"/>
      <c r="K3071" s="252"/>
      <c r="L3071"/>
      <c r="M3071"/>
    </row>
    <row r="3072" spans="1:13" s="79" customFormat="1" x14ac:dyDescent="0.35">
      <c r="A3072" s="251"/>
      <c r="B3072" s="22"/>
      <c r="C3072" s="252"/>
      <c r="D3072" s="252"/>
      <c r="E3072" s="252"/>
      <c r="F3072" s="252"/>
      <c r="G3072" s="252"/>
      <c r="H3072" s="252"/>
      <c r="I3072" s="252"/>
      <c r="J3072" s="252"/>
      <c r="K3072" s="252"/>
      <c r="L3072"/>
      <c r="M3072"/>
    </row>
    <row r="3073" spans="1:13" s="79" customFormat="1" x14ac:dyDescent="0.35">
      <c r="A3073" s="251"/>
      <c r="B3073" s="22"/>
      <c r="C3073" s="252"/>
      <c r="D3073" s="252"/>
      <c r="E3073" s="252"/>
      <c r="F3073" s="252"/>
      <c r="G3073" s="252"/>
      <c r="H3073" s="252"/>
      <c r="I3073" s="252"/>
      <c r="J3073" s="252"/>
      <c r="K3073" s="252"/>
      <c r="L3073"/>
      <c r="M3073"/>
    </row>
    <row r="3074" spans="1:13" s="79" customFormat="1" x14ac:dyDescent="0.35">
      <c r="A3074" s="251"/>
      <c r="B3074" s="22"/>
      <c r="C3074" s="252"/>
      <c r="D3074" s="252"/>
      <c r="E3074" s="252"/>
      <c r="F3074" s="252"/>
      <c r="G3074" s="252"/>
      <c r="H3074" s="252"/>
      <c r="I3074" s="252"/>
      <c r="J3074" s="252"/>
      <c r="K3074" s="252"/>
      <c r="L3074"/>
      <c r="M3074"/>
    </row>
    <row r="3075" spans="1:13" s="79" customFormat="1" x14ac:dyDescent="0.35">
      <c r="A3075" s="251"/>
      <c r="B3075" s="22"/>
      <c r="C3075" s="252"/>
      <c r="D3075" s="252"/>
      <c r="E3075" s="252"/>
      <c r="F3075" s="252"/>
      <c r="G3075" s="252"/>
      <c r="H3075" s="252"/>
      <c r="I3075" s="252"/>
      <c r="J3075" s="252"/>
      <c r="K3075" s="252"/>
      <c r="L3075"/>
      <c r="M3075"/>
    </row>
    <row r="3076" spans="1:13" s="79" customFormat="1" x14ac:dyDescent="0.35">
      <c r="A3076" s="251"/>
      <c r="B3076" s="22"/>
      <c r="C3076" s="252"/>
      <c r="D3076" s="252"/>
      <c r="E3076" s="252"/>
      <c r="F3076" s="252"/>
      <c r="G3076" s="252"/>
      <c r="H3076" s="252"/>
      <c r="I3076" s="252"/>
      <c r="J3076" s="252"/>
      <c r="K3076" s="252"/>
      <c r="L3076"/>
      <c r="M3076"/>
    </row>
    <row r="3077" spans="1:13" s="79" customFormat="1" x14ac:dyDescent="0.35">
      <c r="A3077" s="251"/>
      <c r="B3077" s="22"/>
      <c r="C3077" s="252"/>
      <c r="D3077" s="252"/>
      <c r="E3077" s="252"/>
      <c r="F3077" s="252"/>
      <c r="G3077" s="252"/>
      <c r="H3077" s="252"/>
      <c r="I3077" s="252"/>
      <c r="J3077" s="252"/>
      <c r="K3077" s="252"/>
      <c r="L3077"/>
      <c r="M3077"/>
    </row>
    <row r="3078" spans="1:13" s="79" customFormat="1" x14ac:dyDescent="0.35">
      <c r="A3078" s="251"/>
      <c r="B3078" s="22"/>
      <c r="C3078" s="252"/>
      <c r="D3078" s="252"/>
      <c r="E3078" s="252"/>
      <c r="F3078" s="252"/>
      <c r="G3078" s="252"/>
      <c r="H3078" s="252"/>
      <c r="I3078" s="252"/>
      <c r="J3078" s="252"/>
      <c r="K3078" s="252"/>
      <c r="L3078"/>
      <c r="M3078"/>
    </row>
    <row r="3079" spans="1:13" s="79" customFormat="1" x14ac:dyDescent="0.35">
      <c r="A3079" s="251"/>
      <c r="B3079" s="22"/>
      <c r="C3079" s="252"/>
      <c r="D3079" s="252"/>
      <c r="E3079" s="252"/>
      <c r="F3079" s="252"/>
      <c r="G3079" s="252"/>
      <c r="H3079" s="252"/>
      <c r="I3079" s="252"/>
      <c r="J3079" s="252"/>
      <c r="K3079" s="252"/>
      <c r="L3079"/>
      <c r="M3079"/>
    </row>
    <row r="3080" spans="1:13" s="79" customFormat="1" x14ac:dyDescent="0.35">
      <c r="A3080" s="251"/>
      <c r="B3080" s="22"/>
      <c r="C3080" s="252"/>
      <c r="D3080" s="252"/>
      <c r="E3080" s="252"/>
      <c r="F3080" s="252"/>
      <c r="G3080" s="252"/>
      <c r="H3080" s="252"/>
      <c r="I3080" s="252"/>
      <c r="J3080" s="252"/>
      <c r="K3080" s="252"/>
      <c r="L3080"/>
      <c r="M3080"/>
    </row>
    <row r="3081" spans="1:13" s="79" customFormat="1" x14ac:dyDescent="0.35">
      <c r="A3081" s="251"/>
      <c r="B3081" s="22"/>
      <c r="C3081" s="252"/>
      <c r="D3081" s="252"/>
      <c r="E3081" s="252"/>
      <c r="F3081" s="252"/>
      <c r="G3081" s="252"/>
      <c r="H3081" s="252"/>
      <c r="I3081" s="252"/>
      <c r="J3081" s="252"/>
      <c r="K3081" s="252"/>
      <c r="L3081"/>
      <c r="M3081"/>
    </row>
    <row r="3082" spans="1:13" s="79" customFormat="1" x14ac:dyDescent="0.35">
      <c r="A3082" s="251"/>
      <c r="B3082" s="22"/>
      <c r="C3082" s="252"/>
      <c r="D3082" s="252"/>
      <c r="E3082" s="252"/>
      <c r="F3082" s="252"/>
      <c r="G3082" s="252"/>
      <c r="H3082" s="252"/>
      <c r="I3082" s="252"/>
      <c r="J3082" s="252"/>
      <c r="K3082" s="252"/>
      <c r="L3082"/>
      <c r="M3082"/>
    </row>
    <row r="3083" spans="1:13" s="79" customFormat="1" x14ac:dyDescent="0.35">
      <c r="A3083" s="251"/>
      <c r="B3083" s="22"/>
      <c r="C3083" s="252"/>
      <c r="D3083" s="252"/>
      <c r="E3083" s="252"/>
      <c r="F3083" s="252"/>
      <c r="G3083" s="252"/>
      <c r="H3083" s="252"/>
      <c r="I3083" s="252"/>
      <c r="J3083" s="252"/>
      <c r="K3083" s="252"/>
      <c r="L3083"/>
      <c r="M3083"/>
    </row>
    <row r="3084" spans="1:13" s="79" customFormat="1" x14ac:dyDescent="0.35">
      <c r="A3084" s="251"/>
      <c r="B3084" s="22"/>
      <c r="C3084" s="252"/>
      <c r="D3084" s="252"/>
      <c r="E3084" s="252"/>
      <c r="F3084" s="252"/>
      <c r="G3084" s="252"/>
      <c r="H3084" s="252"/>
      <c r="I3084" s="252"/>
      <c r="J3084" s="252"/>
      <c r="K3084" s="252"/>
      <c r="L3084"/>
      <c r="M3084"/>
    </row>
    <row r="3085" spans="1:13" s="79" customFormat="1" x14ac:dyDescent="0.35">
      <c r="A3085" s="251"/>
      <c r="B3085" s="22"/>
      <c r="C3085" s="252"/>
      <c r="D3085" s="252"/>
      <c r="E3085" s="252"/>
      <c r="F3085" s="252"/>
      <c r="G3085" s="252"/>
      <c r="H3085" s="252"/>
      <c r="I3085" s="252"/>
      <c r="J3085" s="252"/>
      <c r="K3085" s="252"/>
      <c r="L3085"/>
      <c r="M3085"/>
    </row>
    <row r="3086" spans="1:13" s="79" customFormat="1" x14ac:dyDescent="0.35">
      <c r="A3086" s="251"/>
      <c r="B3086" s="22"/>
      <c r="C3086" s="252"/>
      <c r="D3086" s="252"/>
      <c r="E3086" s="252"/>
      <c r="F3086" s="252"/>
      <c r="G3086" s="252"/>
      <c r="H3086" s="252"/>
      <c r="I3086" s="252"/>
      <c r="J3086" s="252"/>
      <c r="K3086" s="252"/>
      <c r="L3086"/>
      <c r="M3086"/>
    </row>
    <row r="3087" spans="1:13" s="79" customFormat="1" x14ac:dyDescent="0.35">
      <c r="A3087" s="251"/>
      <c r="B3087" s="22"/>
      <c r="C3087" s="252"/>
      <c r="D3087" s="252"/>
      <c r="E3087" s="252"/>
      <c r="F3087" s="252"/>
      <c r="G3087" s="252"/>
      <c r="H3087" s="252"/>
      <c r="I3087" s="252"/>
      <c r="J3087" s="252"/>
      <c r="K3087" s="252"/>
      <c r="L3087"/>
      <c r="M3087"/>
    </row>
    <row r="3088" spans="1:13" s="79" customFormat="1" x14ac:dyDescent="0.35">
      <c r="A3088" s="251"/>
      <c r="B3088" s="22"/>
      <c r="C3088" s="252"/>
      <c r="D3088" s="252"/>
      <c r="E3088" s="252"/>
      <c r="F3088" s="252"/>
      <c r="G3088" s="252"/>
      <c r="H3088" s="252"/>
      <c r="I3088" s="252"/>
      <c r="J3088" s="252"/>
      <c r="K3088" s="252"/>
      <c r="L3088"/>
      <c r="M3088"/>
    </row>
    <row r="3089" spans="1:13" s="79" customFormat="1" x14ac:dyDescent="0.35">
      <c r="A3089" s="251"/>
      <c r="B3089" s="22"/>
      <c r="C3089" s="252"/>
      <c r="D3089" s="252"/>
      <c r="E3089" s="252"/>
      <c r="F3089" s="252"/>
      <c r="G3089" s="252"/>
      <c r="H3089" s="252"/>
      <c r="I3089" s="252"/>
      <c r="J3089" s="252"/>
      <c r="K3089" s="252"/>
      <c r="L3089"/>
      <c r="M3089"/>
    </row>
    <row r="3090" spans="1:13" s="79" customFormat="1" x14ac:dyDescent="0.35">
      <c r="A3090" s="251"/>
      <c r="B3090" s="22"/>
      <c r="C3090" s="252"/>
      <c r="D3090" s="252"/>
      <c r="E3090" s="252"/>
      <c r="F3090" s="252"/>
      <c r="G3090" s="252"/>
      <c r="H3090" s="252"/>
      <c r="I3090" s="252"/>
      <c r="J3090" s="252"/>
      <c r="K3090" s="252"/>
      <c r="L3090"/>
      <c r="M3090"/>
    </row>
    <row r="3091" spans="1:13" s="79" customFormat="1" x14ac:dyDescent="0.35">
      <c r="A3091" s="251"/>
      <c r="B3091" s="22"/>
      <c r="C3091" s="252"/>
      <c r="D3091" s="252"/>
      <c r="E3091" s="252"/>
      <c r="F3091" s="252"/>
      <c r="G3091" s="252"/>
      <c r="H3091" s="252"/>
      <c r="I3091" s="252"/>
      <c r="J3091" s="252"/>
      <c r="K3091" s="252"/>
      <c r="L3091"/>
      <c r="M3091"/>
    </row>
    <row r="3092" spans="1:13" s="79" customFormat="1" x14ac:dyDescent="0.35">
      <c r="A3092" s="251"/>
      <c r="B3092" s="22"/>
      <c r="C3092" s="252"/>
      <c r="D3092" s="252"/>
      <c r="E3092" s="252"/>
      <c r="F3092" s="252"/>
      <c r="G3092" s="252"/>
      <c r="H3092" s="252"/>
      <c r="I3092" s="252"/>
      <c r="J3092" s="252"/>
      <c r="K3092" s="252"/>
      <c r="L3092"/>
      <c r="M3092"/>
    </row>
    <row r="3093" spans="1:13" s="79" customFormat="1" x14ac:dyDescent="0.35">
      <c r="A3093" s="251"/>
      <c r="B3093" s="22"/>
      <c r="C3093" s="252"/>
      <c r="D3093" s="252"/>
      <c r="E3093" s="252"/>
      <c r="F3093" s="252"/>
      <c r="G3093" s="252"/>
      <c r="H3093" s="252"/>
      <c r="I3093" s="252"/>
      <c r="J3093" s="252"/>
      <c r="K3093" s="252"/>
      <c r="L3093"/>
      <c r="M3093"/>
    </row>
    <row r="3094" spans="1:13" s="79" customFormat="1" x14ac:dyDescent="0.35">
      <c r="A3094" s="251"/>
      <c r="B3094" s="22"/>
      <c r="C3094" s="252"/>
      <c r="D3094" s="252"/>
      <c r="E3094" s="252"/>
      <c r="F3094" s="252"/>
      <c r="G3094" s="252"/>
      <c r="H3094" s="252"/>
      <c r="I3094" s="252"/>
      <c r="J3094" s="252"/>
      <c r="K3094" s="252"/>
      <c r="L3094"/>
      <c r="M3094"/>
    </row>
    <row r="3095" spans="1:13" s="79" customFormat="1" x14ac:dyDescent="0.35">
      <c r="A3095" s="251"/>
      <c r="B3095" s="22"/>
      <c r="C3095" s="252"/>
      <c r="D3095" s="252"/>
      <c r="E3095" s="252"/>
      <c r="F3095" s="252"/>
      <c r="G3095" s="252"/>
      <c r="H3095" s="252"/>
      <c r="I3095" s="252"/>
      <c r="J3095" s="252"/>
      <c r="K3095" s="252"/>
      <c r="L3095"/>
      <c r="M3095"/>
    </row>
    <row r="3096" spans="1:13" s="79" customFormat="1" x14ac:dyDescent="0.35">
      <c r="A3096" s="251"/>
      <c r="B3096" s="22"/>
      <c r="C3096" s="252"/>
      <c r="D3096" s="252"/>
      <c r="E3096" s="252"/>
      <c r="F3096" s="252"/>
      <c r="G3096" s="252"/>
      <c r="H3096" s="252"/>
      <c r="I3096" s="252"/>
      <c r="J3096" s="252"/>
      <c r="K3096" s="252"/>
      <c r="L3096"/>
      <c r="M3096"/>
    </row>
    <row r="3097" spans="1:13" s="79" customFormat="1" x14ac:dyDescent="0.35">
      <c r="A3097" s="251"/>
      <c r="B3097" s="22"/>
      <c r="C3097" s="252"/>
      <c r="D3097" s="252"/>
      <c r="E3097" s="252"/>
      <c r="F3097" s="252"/>
      <c r="G3097" s="252"/>
      <c r="H3097" s="252"/>
      <c r="I3097" s="252"/>
      <c r="J3097" s="252"/>
      <c r="K3097" s="252"/>
      <c r="L3097"/>
      <c r="M3097"/>
    </row>
    <row r="3098" spans="1:13" s="79" customFormat="1" x14ac:dyDescent="0.35">
      <c r="A3098" s="251"/>
      <c r="B3098" s="22"/>
      <c r="C3098" s="252"/>
      <c r="D3098" s="252"/>
      <c r="E3098" s="252"/>
      <c r="F3098" s="252"/>
      <c r="G3098" s="252"/>
      <c r="H3098" s="252"/>
      <c r="I3098" s="252"/>
      <c r="J3098" s="252"/>
      <c r="K3098" s="252"/>
      <c r="L3098"/>
      <c r="M3098"/>
    </row>
    <row r="3099" spans="1:13" s="79" customFormat="1" x14ac:dyDescent="0.35">
      <c r="A3099" s="251"/>
      <c r="B3099" s="22"/>
      <c r="C3099" s="252"/>
      <c r="D3099" s="252"/>
      <c r="E3099" s="252"/>
      <c r="F3099" s="252"/>
      <c r="G3099" s="252"/>
      <c r="H3099" s="252"/>
      <c r="I3099" s="252"/>
      <c r="J3099" s="252"/>
      <c r="K3099" s="252"/>
      <c r="L3099"/>
      <c r="M3099"/>
    </row>
    <row r="3100" spans="1:13" s="79" customFormat="1" x14ac:dyDescent="0.35">
      <c r="A3100" s="251"/>
      <c r="B3100" s="22"/>
      <c r="C3100" s="252"/>
      <c r="D3100" s="252"/>
      <c r="E3100" s="252"/>
      <c r="F3100" s="252"/>
      <c r="G3100" s="252"/>
      <c r="H3100" s="252"/>
      <c r="I3100" s="252"/>
      <c r="J3100" s="252"/>
      <c r="K3100" s="252"/>
      <c r="L3100"/>
      <c r="M3100"/>
    </row>
    <row r="3101" spans="1:13" s="79" customFormat="1" x14ac:dyDescent="0.35">
      <c r="A3101" s="251"/>
      <c r="B3101" s="22"/>
      <c r="C3101" s="252"/>
      <c r="D3101" s="252"/>
      <c r="E3101" s="252"/>
      <c r="F3101" s="252"/>
      <c r="G3101" s="252"/>
      <c r="H3101" s="252"/>
      <c r="I3101" s="252"/>
      <c r="J3101" s="252"/>
      <c r="K3101" s="252"/>
      <c r="L3101"/>
      <c r="M3101"/>
    </row>
    <row r="3102" spans="1:13" s="79" customFormat="1" x14ac:dyDescent="0.35">
      <c r="A3102" s="251"/>
      <c r="B3102" s="22"/>
      <c r="C3102" s="252"/>
      <c r="D3102" s="252"/>
      <c r="E3102" s="252"/>
      <c r="F3102" s="252"/>
      <c r="G3102" s="252"/>
      <c r="H3102" s="252"/>
      <c r="I3102" s="252"/>
      <c r="J3102" s="252"/>
      <c r="K3102" s="252"/>
      <c r="L3102"/>
      <c r="M3102"/>
    </row>
    <row r="3103" spans="1:13" s="79" customFormat="1" x14ac:dyDescent="0.35">
      <c r="A3103" s="251"/>
      <c r="B3103" s="22"/>
      <c r="C3103" s="252"/>
      <c r="D3103" s="252"/>
      <c r="E3103" s="252"/>
      <c r="F3103" s="252"/>
      <c r="G3103" s="252"/>
      <c r="H3103" s="252"/>
      <c r="I3103" s="252"/>
      <c r="J3103" s="252"/>
      <c r="K3103" s="252"/>
      <c r="L3103"/>
      <c r="M3103"/>
    </row>
    <row r="3104" spans="1:13" s="79" customFormat="1" x14ac:dyDescent="0.35">
      <c r="A3104" s="251"/>
      <c r="B3104" s="22"/>
      <c r="C3104" s="252"/>
      <c r="D3104" s="252"/>
      <c r="E3104" s="252"/>
      <c r="F3104" s="252"/>
      <c r="G3104" s="252"/>
      <c r="H3104" s="252"/>
      <c r="I3104" s="252"/>
      <c r="J3104" s="252"/>
      <c r="K3104" s="252"/>
      <c r="L3104"/>
      <c r="M3104"/>
    </row>
    <row r="3105" spans="1:13" s="79" customFormat="1" x14ac:dyDescent="0.35">
      <c r="A3105" s="251"/>
      <c r="B3105" s="22"/>
      <c r="C3105" s="252"/>
      <c r="D3105" s="252"/>
      <c r="E3105" s="252"/>
      <c r="F3105" s="252"/>
      <c r="G3105" s="252"/>
      <c r="H3105" s="252"/>
      <c r="I3105" s="252"/>
      <c r="J3105" s="252"/>
      <c r="K3105" s="252"/>
      <c r="L3105"/>
      <c r="M3105"/>
    </row>
    <row r="3106" spans="1:13" s="79" customFormat="1" x14ac:dyDescent="0.35">
      <c r="A3106" s="251"/>
      <c r="B3106" s="22"/>
      <c r="C3106" s="252"/>
      <c r="D3106" s="252"/>
      <c r="E3106" s="252"/>
      <c r="F3106" s="252"/>
      <c r="G3106" s="252"/>
      <c r="H3106" s="252"/>
      <c r="I3106" s="252"/>
      <c r="J3106" s="252"/>
      <c r="K3106" s="252"/>
      <c r="L3106"/>
      <c r="M3106"/>
    </row>
    <row r="3107" spans="1:13" s="79" customFormat="1" x14ac:dyDescent="0.35">
      <c r="A3107" s="251"/>
      <c r="B3107" s="22"/>
      <c r="C3107" s="252"/>
      <c r="D3107" s="252"/>
      <c r="E3107" s="252"/>
      <c r="F3107" s="252"/>
      <c r="G3107" s="252"/>
      <c r="H3107" s="252"/>
      <c r="I3107" s="252"/>
      <c r="J3107" s="252"/>
      <c r="K3107" s="252"/>
      <c r="L3107"/>
      <c r="M3107"/>
    </row>
    <row r="3108" spans="1:13" s="79" customFormat="1" x14ac:dyDescent="0.35">
      <c r="A3108" s="251"/>
      <c r="B3108" s="22"/>
      <c r="C3108" s="252"/>
      <c r="D3108" s="252"/>
      <c r="E3108" s="252"/>
      <c r="F3108" s="252"/>
      <c r="G3108" s="252"/>
      <c r="H3108" s="252"/>
      <c r="I3108" s="252"/>
      <c r="J3108" s="252"/>
      <c r="K3108" s="252"/>
      <c r="L3108"/>
      <c r="M3108"/>
    </row>
    <row r="3109" spans="1:13" s="79" customFormat="1" x14ac:dyDescent="0.35">
      <c r="A3109" s="251"/>
      <c r="B3109" s="22"/>
      <c r="C3109" s="252"/>
      <c r="D3109" s="252"/>
      <c r="E3109" s="252"/>
      <c r="F3109" s="252"/>
      <c r="G3109" s="252"/>
      <c r="H3109" s="252"/>
      <c r="I3109" s="252"/>
      <c r="J3109" s="252"/>
      <c r="K3109" s="252"/>
      <c r="L3109"/>
      <c r="M3109"/>
    </row>
    <row r="3110" spans="1:13" s="79" customFormat="1" x14ac:dyDescent="0.35">
      <c r="A3110" s="251"/>
      <c r="B3110" s="22"/>
      <c r="C3110" s="252"/>
      <c r="D3110" s="252"/>
      <c r="E3110" s="252"/>
      <c r="F3110" s="252"/>
      <c r="G3110" s="252"/>
      <c r="H3110" s="252"/>
      <c r="I3110" s="252"/>
      <c r="J3110" s="252"/>
      <c r="K3110" s="252"/>
      <c r="L3110"/>
      <c r="M3110"/>
    </row>
    <row r="3111" spans="1:13" s="79" customFormat="1" x14ac:dyDescent="0.35">
      <c r="A3111" s="251"/>
      <c r="B3111" s="22"/>
      <c r="C3111" s="252"/>
      <c r="D3111" s="252"/>
      <c r="E3111" s="252"/>
      <c r="F3111" s="252"/>
      <c r="G3111" s="252"/>
      <c r="H3111" s="252"/>
      <c r="I3111" s="252"/>
      <c r="J3111" s="252"/>
      <c r="K3111" s="252"/>
      <c r="L3111"/>
      <c r="M3111"/>
    </row>
    <row r="3112" spans="1:13" s="79" customFormat="1" x14ac:dyDescent="0.35">
      <c r="A3112" s="251"/>
      <c r="B3112" s="22"/>
      <c r="C3112" s="252"/>
      <c r="D3112" s="252"/>
      <c r="E3112" s="252"/>
      <c r="F3112" s="252"/>
      <c r="G3112" s="252"/>
      <c r="H3112" s="252"/>
      <c r="I3112" s="252"/>
      <c r="J3112" s="252"/>
      <c r="K3112" s="252"/>
      <c r="L3112"/>
      <c r="M3112"/>
    </row>
    <row r="3113" spans="1:13" s="79" customFormat="1" x14ac:dyDescent="0.35">
      <c r="A3113" s="251"/>
      <c r="B3113" s="22"/>
      <c r="C3113" s="252"/>
      <c r="D3113" s="252"/>
      <c r="E3113" s="252"/>
      <c r="F3113" s="252"/>
      <c r="G3113" s="252"/>
      <c r="H3113" s="252"/>
      <c r="I3113" s="252"/>
      <c r="J3113" s="252"/>
      <c r="K3113" s="252"/>
      <c r="L3113"/>
      <c r="M3113"/>
    </row>
    <row r="3114" spans="1:13" s="79" customFormat="1" x14ac:dyDescent="0.35">
      <c r="A3114" s="251"/>
      <c r="B3114" s="22"/>
      <c r="C3114" s="252"/>
      <c r="D3114" s="252"/>
      <c r="E3114" s="252"/>
      <c r="F3114" s="252"/>
      <c r="G3114" s="252"/>
      <c r="H3114" s="252"/>
      <c r="I3114" s="252"/>
      <c r="J3114" s="252"/>
      <c r="K3114" s="252"/>
      <c r="L3114"/>
      <c r="M3114"/>
    </row>
    <row r="3115" spans="1:13" s="79" customFormat="1" x14ac:dyDescent="0.35">
      <c r="A3115" s="251"/>
      <c r="B3115" s="22"/>
      <c r="C3115" s="252"/>
      <c r="D3115" s="252"/>
      <c r="E3115" s="252"/>
      <c r="F3115" s="252"/>
      <c r="G3115" s="252"/>
      <c r="H3115" s="252"/>
      <c r="I3115" s="252"/>
      <c r="J3115" s="252"/>
      <c r="K3115" s="252"/>
      <c r="L3115"/>
      <c r="M3115"/>
    </row>
    <row r="3116" spans="1:13" s="79" customFormat="1" x14ac:dyDescent="0.35">
      <c r="A3116" s="251"/>
      <c r="B3116" s="22"/>
      <c r="C3116" s="252"/>
      <c r="D3116" s="252"/>
      <c r="E3116" s="252"/>
      <c r="F3116" s="252"/>
      <c r="G3116" s="252"/>
      <c r="H3116" s="252"/>
      <c r="I3116" s="252"/>
      <c r="J3116" s="252"/>
      <c r="K3116" s="252"/>
      <c r="L3116"/>
      <c r="M3116"/>
    </row>
    <row r="3117" spans="1:13" s="79" customFormat="1" x14ac:dyDescent="0.35">
      <c r="A3117" s="251"/>
      <c r="B3117" s="22"/>
      <c r="C3117" s="252"/>
      <c r="D3117" s="252"/>
      <c r="E3117" s="252"/>
      <c r="F3117" s="252"/>
      <c r="G3117" s="252"/>
      <c r="H3117" s="252"/>
      <c r="I3117" s="252"/>
      <c r="J3117" s="252"/>
      <c r="K3117" s="252"/>
      <c r="L3117"/>
      <c r="M3117"/>
    </row>
    <row r="3118" spans="1:13" s="79" customFormat="1" x14ac:dyDescent="0.35">
      <c r="A3118" s="251"/>
      <c r="B3118" s="22"/>
      <c r="C3118" s="252"/>
      <c r="D3118" s="252"/>
      <c r="E3118" s="252"/>
      <c r="F3118" s="252"/>
      <c r="G3118" s="252"/>
      <c r="H3118" s="252"/>
      <c r="I3118" s="252"/>
      <c r="J3118" s="252"/>
      <c r="K3118" s="252"/>
      <c r="L3118"/>
      <c r="M3118"/>
    </row>
    <row r="3119" spans="1:13" s="79" customFormat="1" x14ac:dyDescent="0.35">
      <c r="A3119" s="251"/>
      <c r="B3119" s="22"/>
      <c r="C3119" s="252"/>
      <c r="D3119" s="252"/>
      <c r="E3119" s="252"/>
      <c r="F3119" s="252"/>
      <c r="G3119" s="252"/>
      <c r="H3119" s="252"/>
      <c r="I3119" s="252"/>
      <c r="J3119" s="252"/>
      <c r="K3119" s="252"/>
      <c r="L3119"/>
      <c r="M3119"/>
    </row>
    <row r="3120" spans="1:13" s="79" customFormat="1" x14ac:dyDescent="0.35">
      <c r="A3120" s="251"/>
      <c r="B3120" s="22"/>
      <c r="C3120" s="252"/>
      <c r="D3120" s="252"/>
      <c r="E3120" s="252"/>
      <c r="F3120" s="252"/>
      <c r="G3120" s="252"/>
      <c r="H3120" s="252"/>
      <c r="I3120" s="252"/>
      <c r="J3120" s="252"/>
      <c r="K3120" s="252"/>
      <c r="L3120"/>
      <c r="M3120"/>
    </row>
    <row r="3121" spans="1:13" s="79" customFormat="1" x14ac:dyDescent="0.35">
      <c r="A3121" s="251"/>
      <c r="B3121" s="22"/>
      <c r="C3121" s="252"/>
      <c r="D3121" s="252"/>
      <c r="E3121" s="252"/>
      <c r="F3121" s="252"/>
      <c r="G3121" s="252"/>
      <c r="H3121" s="252"/>
      <c r="I3121" s="252"/>
      <c r="J3121" s="252"/>
      <c r="K3121" s="252"/>
      <c r="L3121"/>
      <c r="M3121"/>
    </row>
    <row r="3122" spans="1:13" s="79" customFormat="1" x14ac:dyDescent="0.35">
      <c r="A3122" s="251"/>
      <c r="B3122" s="22"/>
      <c r="C3122" s="252"/>
      <c r="D3122" s="252"/>
      <c r="E3122" s="252"/>
      <c r="F3122" s="252"/>
      <c r="G3122" s="252"/>
      <c r="H3122" s="252"/>
      <c r="I3122" s="252"/>
      <c r="J3122" s="252"/>
      <c r="K3122" s="252"/>
      <c r="L3122"/>
      <c r="M3122"/>
    </row>
    <row r="3123" spans="1:13" s="79" customFormat="1" x14ac:dyDescent="0.35">
      <c r="A3123" s="251"/>
      <c r="B3123" s="22"/>
      <c r="C3123" s="252"/>
      <c r="D3123" s="252"/>
      <c r="E3123" s="252"/>
      <c r="F3123" s="252"/>
      <c r="G3123" s="252"/>
      <c r="H3123" s="252"/>
      <c r="I3123" s="252"/>
      <c r="J3123" s="252"/>
      <c r="K3123" s="252"/>
      <c r="L3123"/>
      <c r="M3123"/>
    </row>
    <row r="3124" spans="1:13" s="79" customFormat="1" x14ac:dyDescent="0.35">
      <c r="A3124" s="251"/>
      <c r="B3124" s="22"/>
      <c r="C3124" s="252"/>
      <c r="D3124" s="252"/>
      <c r="E3124" s="252"/>
      <c r="F3124" s="252"/>
      <c r="G3124" s="252"/>
      <c r="H3124" s="252"/>
      <c r="I3124" s="252"/>
      <c r="J3124" s="252"/>
      <c r="K3124" s="252"/>
      <c r="L3124"/>
      <c r="M3124"/>
    </row>
    <row r="3125" spans="1:13" s="79" customFormat="1" x14ac:dyDescent="0.35">
      <c r="A3125" s="251"/>
      <c r="B3125" s="22"/>
      <c r="C3125" s="252"/>
      <c r="D3125" s="252"/>
      <c r="E3125" s="252"/>
      <c r="F3125" s="252"/>
      <c r="G3125" s="252"/>
      <c r="H3125" s="252"/>
      <c r="I3125" s="252"/>
      <c r="J3125" s="252"/>
      <c r="K3125" s="252"/>
      <c r="L3125"/>
      <c r="M3125"/>
    </row>
    <row r="3126" spans="1:13" s="79" customFormat="1" x14ac:dyDescent="0.35">
      <c r="A3126" s="251"/>
      <c r="B3126" s="22"/>
      <c r="C3126" s="252"/>
      <c r="D3126" s="252"/>
      <c r="E3126" s="252"/>
      <c r="F3126" s="252"/>
      <c r="G3126" s="252"/>
      <c r="H3126" s="252"/>
      <c r="I3126" s="252"/>
      <c r="J3126" s="252"/>
      <c r="K3126" s="252"/>
      <c r="L3126"/>
      <c r="M3126"/>
    </row>
    <row r="3127" spans="1:13" s="79" customFormat="1" x14ac:dyDescent="0.35">
      <c r="A3127" s="251"/>
      <c r="B3127" s="22"/>
      <c r="C3127" s="252"/>
      <c r="D3127" s="252"/>
      <c r="E3127" s="252"/>
      <c r="F3127" s="252"/>
      <c r="G3127" s="252"/>
      <c r="H3127" s="252"/>
      <c r="I3127" s="252"/>
      <c r="J3127" s="252"/>
      <c r="K3127" s="252"/>
      <c r="L3127"/>
      <c r="M3127"/>
    </row>
    <row r="3128" spans="1:13" s="79" customFormat="1" x14ac:dyDescent="0.35">
      <c r="A3128" s="251"/>
      <c r="B3128" s="22"/>
      <c r="C3128" s="252"/>
      <c r="D3128" s="252"/>
      <c r="E3128" s="252"/>
      <c r="F3128" s="252"/>
      <c r="G3128" s="252"/>
      <c r="H3128" s="252"/>
      <c r="I3128" s="252"/>
      <c r="J3128" s="252"/>
      <c r="K3128" s="252"/>
      <c r="L3128"/>
      <c r="M3128"/>
    </row>
    <row r="3129" spans="1:13" s="79" customFormat="1" x14ac:dyDescent="0.35">
      <c r="A3129" s="251"/>
      <c r="B3129" s="22"/>
      <c r="C3129" s="252"/>
      <c r="D3129" s="252"/>
      <c r="E3129" s="252"/>
      <c r="F3129" s="252"/>
      <c r="G3129" s="252"/>
      <c r="H3129" s="252"/>
      <c r="I3129" s="252"/>
      <c r="J3129" s="252"/>
      <c r="K3129" s="252"/>
      <c r="L3129"/>
      <c r="M3129"/>
    </row>
    <row r="3130" spans="1:13" s="79" customFormat="1" x14ac:dyDescent="0.35">
      <c r="A3130" s="251"/>
      <c r="B3130" s="22"/>
      <c r="C3130" s="252"/>
      <c r="D3130" s="252"/>
      <c r="E3130" s="252"/>
      <c r="F3130" s="252"/>
      <c r="G3130" s="252"/>
      <c r="H3130" s="252"/>
      <c r="I3130" s="252"/>
      <c r="J3130" s="252"/>
      <c r="K3130" s="252"/>
      <c r="L3130"/>
      <c r="M3130"/>
    </row>
    <row r="3131" spans="1:13" s="79" customFormat="1" x14ac:dyDescent="0.35">
      <c r="A3131" s="251"/>
      <c r="B3131" s="22"/>
      <c r="C3131" s="252"/>
      <c r="D3131" s="252"/>
      <c r="E3131" s="252"/>
      <c r="F3131" s="252"/>
      <c r="G3131" s="252"/>
      <c r="H3131" s="252"/>
      <c r="I3131" s="252"/>
      <c r="J3131" s="252"/>
      <c r="K3131" s="252"/>
      <c r="L3131"/>
      <c r="M3131"/>
    </row>
    <row r="3132" spans="1:13" s="79" customFormat="1" x14ac:dyDescent="0.35">
      <c r="A3132" s="251"/>
      <c r="B3132" s="22"/>
      <c r="C3132" s="252"/>
      <c r="D3132" s="252"/>
      <c r="E3132" s="252"/>
      <c r="F3132" s="252"/>
      <c r="G3132" s="252"/>
      <c r="H3132" s="252"/>
      <c r="I3132" s="252"/>
      <c r="J3132" s="252"/>
      <c r="K3132" s="252"/>
      <c r="L3132"/>
      <c r="M3132"/>
    </row>
    <row r="3133" spans="1:13" s="79" customFormat="1" x14ac:dyDescent="0.35">
      <c r="A3133" s="251"/>
      <c r="B3133" s="22"/>
      <c r="C3133" s="252"/>
      <c r="D3133" s="252"/>
      <c r="E3133" s="252"/>
      <c r="F3133" s="252"/>
      <c r="G3133" s="252"/>
      <c r="H3133" s="252"/>
      <c r="I3133" s="252"/>
      <c r="J3133" s="252"/>
      <c r="K3133" s="252"/>
      <c r="L3133"/>
      <c r="M3133"/>
    </row>
    <row r="3134" spans="1:13" s="79" customFormat="1" x14ac:dyDescent="0.35">
      <c r="A3134" s="251"/>
      <c r="B3134" s="22"/>
      <c r="C3134" s="252"/>
      <c r="D3134" s="252"/>
      <c r="E3134" s="252"/>
      <c r="F3134" s="252"/>
      <c r="G3134" s="252"/>
      <c r="H3134" s="252"/>
      <c r="I3134" s="252"/>
      <c r="J3134" s="252"/>
      <c r="K3134" s="252"/>
      <c r="L3134"/>
      <c r="M3134"/>
    </row>
    <row r="3135" spans="1:13" s="79" customFormat="1" x14ac:dyDescent="0.35">
      <c r="A3135" s="251"/>
      <c r="B3135" s="22"/>
      <c r="C3135" s="252"/>
      <c r="D3135" s="252"/>
      <c r="E3135" s="252"/>
      <c r="F3135" s="252"/>
      <c r="G3135" s="252"/>
      <c r="H3135" s="252"/>
      <c r="I3135" s="252"/>
      <c r="J3135" s="252"/>
      <c r="K3135" s="252"/>
      <c r="L3135"/>
      <c r="M3135"/>
    </row>
    <row r="3136" spans="1:13" s="79" customFormat="1" x14ac:dyDescent="0.35">
      <c r="A3136" s="251"/>
      <c r="B3136" s="22"/>
      <c r="C3136" s="252"/>
      <c r="D3136" s="252"/>
      <c r="E3136" s="252"/>
      <c r="F3136" s="252"/>
      <c r="G3136" s="252"/>
      <c r="H3136" s="252"/>
      <c r="I3136" s="252"/>
      <c r="J3136" s="252"/>
      <c r="K3136" s="252"/>
      <c r="L3136"/>
      <c r="M3136"/>
    </row>
    <row r="3137" spans="1:13" s="79" customFormat="1" x14ac:dyDescent="0.35">
      <c r="A3137" s="251"/>
      <c r="B3137" s="22"/>
      <c r="C3137" s="252"/>
      <c r="D3137" s="252"/>
      <c r="E3137" s="252"/>
      <c r="F3137" s="252"/>
      <c r="G3137" s="252"/>
      <c r="H3137" s="252"/>
      <c r="I3137" s="252"/>
      <c r="J3137" s="252"/>
      <c r="K3137" s="252"/>
      <c r="L3137"/>
      <c r="M3137"/>
    </row>
    <row r="3138" spans="1:13" s="79" customFormat="1" x14ac:dyDescent="0.35">
      <c r="A3138" s="251"/>
      <c r="B3138" s="22"/>
      <c r="C3138" s="252"/>
      <c r="D3138" s="252"/>
      <c r="E3138" s="252"/>
      <c r="F3138" s="252"/>
      <c r="G3138" s="252"/>
      <c r="H3138" s="252"/>
      <c r="I3138" s="252"/>
      <c r="J3138" s="252"/>
      <c r="K3138" s="252"/>
      <c r="L3138"/>
      <c r="M3138"/>
    </row>
    <row r="3139" spans="1:13" s="79" customFormat="1" x14ac:dyDescent="0.35">
      <c r="A3139" s="251"/>
      <c r="B3139" s="22"/>
      <c r="C3139" s="252"/>
      <c r="D3139" s="252"/>
      <c r="E3139" s="252"/>
      <c r="F3139" s="252"/>
      <c r="G3139" s="252"/>
      <c r="H3139" s="252"/>
      <c r="I3139" s="252"/>
      <c r="J3139" s="252"/>
      <c r="K3139" s="252"/>
      <c r="L3139"/>
      <c r="M3139"/>
    </row>
    <row r="3140" spans="1:13" s="79" customFormat="1" x14ac:dyDescent="0.35">
      <c r="A3140" s="251"/>
      <c r="B3140" s="22"/>
      <c r="C3140" s="252"/>
      <c r="D3140" s="252"/>
      <c r="E3140" s="252"/>
      <c r="F3140" s="252"/>
      <c r="G3140" s="252"/>
      <c r="H3140" s="252"/>
      <c r="I3140" s="252"/>
      <c r="J3140" s="252"/>
      <c r="K3140" s="252"/>
      <c r="L3140"/>
      <c r="M3140"/>
    </row>
    <row r="3141" spans="1:13" s="79" customFormat="1" x14ac:dyDescent="0.35">
      <c r="A3141" s="251"/>
      <c r="B3141" s="22"/>
      <c r="C3141" s="252"/>
      <c r="D3141" s="252"/>
      <c r="E3141" s="252"/>
      <c r="F3141" s="252"/>
      <c r="G3141" s="252"/>
      <c r="H3141" s="252"/>
      <c r="I3141" s="252"/>
      <c r="J3141" s="252"/>
      <c r="K3141" s="252"/>
      <c r="L3141"/>
      <c r="M3141"/>
    </row>
    <row r="3142" spans="1:13" s="79" customFormat="1" x14ac:dyDescent="0.35">
      <c r="A3142" s="251"/>
      <c r="B3142" s="22"/>
      <c r="C3142" s="252"/>
      <c r="D3142" s="252"/>
      <c r="E3142" s="252"/>
      <c r="F3142" s="252"/>
      <c r="G3142" s="252"/>
      <c r="H3142" s="252"/>
      <c r="I3142" s="252"/>
      <c r="J3142" s="252"/>
      <c r="K3142" s="252"/>
      <c r="L3142"/>
      <c r="M3142"/>
    </row>
    <row r="3143" spans="1:13" s="79" customFormat="1" x14ac:dyDescent="0.35">
      <c r="A3143" s="251"/>
      <c r="B3143" s="22"/>
      <c r="C3143" s="252"/>
      <c r="D3143" s="252"/>
      <c r="E3143" s="252"/>
      <c r="F3143" s="252"/>
      <c r="G3143" s="252"/>
      <c r="H3143" s="252"/>
      <c r="I3143" s="252"/>
      <c r="J3143" s="252"/>
      <c r="K3143" s="252"/>
      <c r="L3143"/>
      <c r="M3143"/>
    </row>
    <row r="3144" spans="1:13" s="79" customFormat="1" x14ac:dyDescent="0.35">
      <c r="A3144" s="251"/>
      <c r="B3144" s="22"/>
      <c r="C3144" s="252"/>
      <c r="D3144" s="252"/>
      <c r="E3144" s="252"/>
      <c r="F3144" s="252"/>
      <c r="G3144" s="252"/>
      <c r="H3144" s="252"/>
      <c r="I3144" s="252"/>
      <c r="J3144" s="252"/>
      <c r="K3144" s="252"/>
      <c r="L3144"/>
      <c r="M3144"/>
    </row>
    <row r="3145" spans="1:13" s="79" customFormat="1" x14ac:dyDescent="0.35">
      <c r="A3145" s="251"/>
      <c r="B3145" s="22"/>
      <c r="C3145" s="252"/>
      <c r="D3145" s="252"/>
      <c r="E3145" s="252"/>
      <c r="F3145" s="252"/>
      <c r="G3145" s="252"/>
      <c r="H3145" s="252"/>
      <c r="I3145" s="252"/>
      <c r="J3145" s="252"/>
      <c r="K3145" s="252"/>
      <c r="L3145"/>
      <c r="M3145"/>
    </row>
    <row r="3146" spans="1:13" s="79" customFormat="1" x14ac:dyDescent="0.35">
      <c r="A3146" s="251"/>
      <c r="B3146" s="22"/>
      <c r="C3146" s="252"/>
      <c r="D3146" s="252"/>
      <c r="E3146" s="252"/>
      <c r="F3146" s="252"/>
      <c r="G3146" s="252"/>
      <c r="H3146" s="252"/>
      <c r="I3146" s="252"/>
      <c r="J3146" s="252"/>
      <c r="K3146" s="252"/>
      <c r="L3146"/>
      <c r="M3146"/>
    </row>
    <row r="3147" spans="1:13" s="79" customFormat="1" x14ac:dyDescent="0.35">
      <c r="A3147" s="251"/>
      <c r="B3147" s="22"/>
      <c r="C3147" s="252"/>
      <c r="D3147" s="252"/>
      <c r="E3147" s="252"/>
      <c r="F3147" s="252"/>
      <c r="G3147" s="252"/>
      <c r="H3147" s="252"/>
      <c r="I3147" s="252"/>
      <c r="J3147" s="252"/>
      <c r="K3147" s="252"/>
      <c r="L3147"/>
      <c r="M3147"/>
    </row>
    <row r="3148" spans="1:13" s="79" customFormat="1" x14ac:dyDescent="0.35">
      <c r="A3148" s="251"/>
      <c r="B3148" s="22"/>
      <c r="C3148" s="252"/>
      <c r="D3148" s="252"/>
      <c r="E3148" s="252"/>
      <c r="F3148" s="252"/>
      <c r="G3148" s="252"/>
      <c r="H3148" s="252"/>
      <c r="I3148" s="252"/>
      <c r="J3148" s="252"/>
      <c r="K3148" s="252"/>
      <c r="L3148"/>
      <c r="M3148"/>
    </row>
    <row r="3149" spans="1:13" s="79" customFormat="1" x14ac:dyDescent="0.35">
      <c r="A3149" s="251"/>
      <c r="B3149" s="22"/>
      <c r="C3149" s="252"/>
      <c r="D3149" s="252"/>
      <c r="E3149" s="252"/>
      <c r="F3149" s="252"/>
      <c r="G3149" s="252"/>
      <c r="H3149" s="252"/>
      <c r="I3149" s="252"/>
      <c r="J3149" s="252"/>
      <c r="K3149" s="252"/>
      <c r="L3149"/>
      <c r="M3149"/>
    </row>
    <row r="3150" spans="1:13" s="79" customFormat="1" x14ac:dyDescent="0.35">
      <c r="A3150" s="251"/>
      <c r="B3150" s="22"/>
      <c r="C3150" s="252"/>
      <c r="D3150" s="252"/>
      <c r="E3150" s="252"/>
      <c r="F3150" s="252"/>
      <c r="G3150" s="252"/>
      <c r="H3150" s="252"/>
      <c r="I3150" s="252"/>
      <c r="J3150" s="252"/>
      <c r="K3150" s="252"/>
      <c r="L3150"/>
      <c r="M3150"/>
    </row>
    <row r="3151" spans="1:13" s="79" customFormat="1" x14ac:dyDescent="0.35">
      <c r="A3151" s="251"/>
      <c r="B3151" s="22"/>
      <c r="C3151" s="252"/>
      <c r="D3151" s="252"/>
      <c r="E3151" s="252"/>
      <c r="F3151" s="252"/>
      <c r="G3151" s="252"/>
      <c r="H3151" s="252"/>
      <c r="I3151" s="252"/>
      <c r="J3151" s="252"/>
      <c r="K3151" s="252"/>
      <c r="L3151"/>
      <c r="M3151"/>
    </row>
    <row r="3152" spans="1:13" s="79" customFormat="1" x14ac:dyDescent="0.35">
      <c r="A3152" s="251"/>
      <c r="B3152" s="22"/>
      <c r="C3152" s="252"/>
      <c r="D3152" s="252"/>
      <c r="E3152" s="252"/>
      <c r="F3152" s="252"/>
      <c r="G3152" s="252"/>
      <c r="H3152" s="252"/>
      <c r="I3152" s="252"/>
      <c r="J3152" s="252"/>
      <c r="K3152" s="252"/>
      <c r="L3152"/>
      <c r="M3152"/>
    </row>
    <row r="3153" spans="1:13" s="79" customFormat="1" x14ac:dyDescent="0.35">
      <c r="A3153" s="251"/>
      <c r="B3153" s="22"/>
      <c r="C3153" s="252"/>
      <c r="D3153" s="252"/>
      <c r="E3153" s="252"/>
      <c r="F3153" s="252"/>
      <c r="G3153" s="252"/>
      <c r="H3153" s="252"/>
      <c r="I3153" s="252"/>
      <c r="J3153" s="252"/>
      <c r="K3153" s="252"/>
      <c r="L3153"/>
      <c r="M3153"/>
    </row>
    <row r="3154" spans="1:13" s="79" customFormat="1" x14ac:dyDescent="0.35">
      <c r="A3154" s="251"/>
      <c r="B3154" s="22"/>
      <c r="C3154" s="252"/>
      <c r="D3154" s="252"/>
      <c r="E3154" s="252"/>
      <c r="F3154" s="252"/>
      <c r="G3154" s="252"/>
      <c r="H3154" s="252"/>
      <c r="I3154" s="252"/>
      <c r="J3154" s="252"/>
      <c r="K3154" s="252"/>
      <c r="L3154"/>
      <c r="M3154"/>
    </row>
    <row r="3155" spans="1:13" s="79" customFormat="1" x14ac:dyDescent="0.35">
      <c r="A3155" s="251"/>
      <c r="B3155" s="22"/>
      <c r="C3155" s="252"/>
      <c r="D3155" s="252"/>
      <c r="E3155" s="252"/>
      <c r="F3155" s="252"/>
      <c r="G3155" s="252"/>
      <c r="H3155" s="252"/>
      <c r="I3155" s="252"/>
      <c r="J3155" s="252"/>
      <c r="K3155" s="252"/>
      <c r="L3155"/>
      <c r="M3155"/>
    </row>
    <row r="3156" spans="1:13" s="79" customFormat="1" x14ac:dyDescent="0.35">
      <c r="A3156" s="251"/>
      <c r="B3156" s="22"/>
      <c r="C3156" s="252"/>
      <c r="D3156" s="252"/>
      <c r="E3156" s="252"/>
      <c r="F3156" s="252"/>
      <c r="G3156" s="252"/>
      <c r="H3156" s="252"/>
      <c r="I3156" s="252"/>
      <c r="J3156" s="252"/>
      <c r="K3156" s="252"/>
      <c r="L3156"/>
      <c r="M3156"/>
    </row>
    <row r="3157" spans="1:13" s="79" customFormat="1" x14ac:dyDescent="0.35">
      <c r="A3157" s="251"/>
      <c r="B3157" s="22"/>
      <c r="C3157" s="252"/>
      <c r="D3157" s="252"/>
      <c r="E3157" s="252"/>
      <c r="F3157" s="252"/>
      <c r="G3157" s="252"/>
      <c r="H3157" s="252"/>
      <c r="I3157" s="252"/>
      <c r="J3157" s="252"/>
      <c r="K3157" s="252"/>
      <c r="L3157"/>
      <c r="M3157"/>
    </row>
    <row r="3158" spans="1:13" s="79" customFormat="1" x14ac:dyDescent="0.35">
      <c r="A3158" s="251"/>
      <c r="B3158" s="22"/>
      <c r="C3158" s="252"/>
      <c r="D3158" s="252"/>
      <c r="E3158" s="252"/>
      <c r="F3158" s="252"/>
      <c r="G3158" s="252"/>
      <c r="H3158" s="252"/>
      <c r="I3158" s="252"/>
      <c r="J3158" s="252"/>
      <c r="K3158" s="252"/>
      <c r="L3158"/>
      <c r="M3158"/>
    </row>
    <row r="3159" spans="1:13" s="79" customFormat="1" x14ac:dyDescent="0.35">
      <c r="A3159" s="251"/>
      <c r="B3159" s="22"/>
      <c r="C3159" s="252"/>
      <c r="D3159" s="252"/>
      <c r="E3159" s="252"/>
      <c r="F3159" s="252"/>
      <c r="G3159" s="252"/>
      <c r="H3159" s="252"/>
      <c r="I3159" s="252"/>
      <c r="J3159" s="252"/>
      <c r="K3159" s="252"/>
      <c r="L3159"/>
      <c r="M3159"/>
    </row>
    <row r="3160" spans="1:13" s="79" customFormat="1" x14ac:dyDescent="0.35">
      <c r="A3160" s="251"/>
      <c r="B3160" s="22"/>
      <c r="C3160" s="252"/>
      <c r="D3160" s="252"/>
      <c r="E3160" s="252"/>
      <c r="F3160" s="252"/>
      <c r="G3160" s="252"/>
      <c r="H3160" s="252"/>
      <c r="I3160" s="252"/>
      <c r="J3160" s="252"/>
      <c r="K3160" s="252"/>
      <c r="L3160"/>
      <c r="M3160"/>
    </row>
    <row r="3161" spans="1:13" s="79" customFormat="1" x14ac:dyDescent="0.35">
      <c r="A3161" s="251"/>
      <c r="B3161" s="22"/>
      <c r="C3161" s="252"/>
      <c r="D3161" s="252"/>
      <c r="E3161" s="252"/>
      <c r="F3161" s="252"/>
      <c r="G3161" s="252"/>
      <c r="H3161" s="252"/>
      <c r="I3161" s="252"/>
      <c r="J3161" s="252"/>
      <c r="K3161" s="252"/>
      <c r="L3161"/>
      <c r="M3161"/>
    </row>
    <row r="3162" spans="1:13" s="79" customFormat="1" x14ac:dyDescent="0.35">
      <c r="A3162" s="251"/>
      <c r="B3162" s="22"/>
      <c r="C3162" s="252"/>
      <c r="D3162" s="252"/>
      <c r="E3162" s="252"/>
      <c r="F3162" s="252"/>
      <c r="G3162" s="252"/>
      <c r="H3162" s="252"/>
      <c r="I3162" s="252"/>
      <c r="J3162" s="252"/>
      <c r="K3162" s="252"/>
      <c r="L3162"/>
      <c r="M3162"/>
    </row>
    <row r="3163" spans="1:13" s="79" customFormat="1" x14ac:dyDescent="0.35">
      <c r="A3163" s="251"/>
      <c r="B3163" s="22"/>
      <c r="C3163" s="252"/>
      <c r="D3163" s="252"/>
      <c r="E3163" s="252"/>
      <c r="F3163" s="252"/>
      <c r="G3163" s="252"/>
      <c r="H3163" s="252"/>
      <c r="I3163" s="252"/>
      <c r="J3163" s="252"/>
      <c r="K3163" s="252"/>
      <c r="L3163"/>
      <c r="M3163"/>
    </row>
    <row r="3164" spans="1:13" s="79" customFormat="1" x14ac:dyDescent="0.35">
      <c r="A3164" s="251"/>
      <c r="B3164" s="22"/>
      <c r="C3164" s="252"/>
      <c r="D3164" s="252"/>
      <c r="E3164" s="252"/>
      <c r="F3164" s="252"/>
      <c r="G3164" s="252"/>
      <c r="H3164" s="252"/>
      <c r="I3164" s="252"/>
      <c r="J3164" s="252"/>
      <c r="K3164" s="252"/>
      <c r="L3164"/>
      <c r="M3164"/>
    </row>
    <row r="3165" spans="1:13" s="79" customFormat="1" x14ac:dyDescent="0.35">
      <c r="A3165" s="251"/>
      <c r="B3165" s="22"/>
      <c r="C3165" s="252"/>
      <c r="D3165" s="252"/>
      <c r="E3165" s="252"/>
      <c r="F3165" s="252"/>
      <c r="G3165" s="252"/>
      <c r="H3165" s="252"/>
      <c r="I3165" s="252"/>
      <c r="J3165" s="252"/>
      <c r="K3165" s="252"/>
      <c r="L3165"/>
      <c r="M3165"/>
    </row>
    <row r="3166" spans="1:13" s="79" customFormat="1" x14ac:dyDescent="0.35">
      <c r="A3166" s="251"/>
      <c r="B3166" s="22"/>
      <c r="C3166" s="252"/>
      <c r="D3166" s="252"/>
      <c r="E3166" s="252"/>
      <c r="F3166" s="252"/>
      <c r="G3166" s="252"/>
      <c r="H3166" s="252"/>
      <c r="I3166" s="252"/>
      <c r="J3166" s="252"/>
      <c r="K3166" s="252"/>
      <c r="L3166"/>
      <c r="M3166"/>
    </row>
    <row r="3167" spans="1:13" s="79" customFormat="1" x14ac:dyDescent="0.35">
      <c r="A3167" s="251"/>
      <c r="B3167" s="22"/>
      <c r="C3167" s="252"/>
      <c r="D3167" s="252"/>
      <c r="E3167" s="252"/>
      <c r="F3167" s="252"/>
      <c r="G3167" s="252"/>
      <c r="H3167" s="252"/>
      <c r="I3167" s="252"/>
      <c r="J3167" s="252"/>
      <c r="K3167" s="252"/>
      <c r="L3167"/>
      <c r="M3167"/>
    </row>
    <row r="3168" spans="1:13" s="79" customFormat="1" x14ac:dyDescent="0.35">
      <c r="A3168" s="251"/>
      <c r="B3168" s="22"/>
      <c r="C3168" s="252"/>
      <c r="D3168" s="252"/>
      <c r="E3168" s="252"/>
      <c r="F3168" s="252"/>
      <c r="G3168" s="252"/>
      <c r="H3168" s="252"/>
      <c r="I3168" s="252"/>
      <c r="J3168" s="252"/>
      <c r="K3168" s="252"/>
      <c r="L3168"/>
      <c r="M3168"/>
    </row>
    <row r="3169" spans="1:13" s="79" customFormat="1" x14ac:dyDescent="0.35">
      <c r="A3169" s="251"/>
      <c r="B3169" s="22"/>
      <c r="C3169" s="252"/>
      <c r="D3169" s="252"/>
      <c r="E3169" s="252"/>
      <c r="F3169" s="252"/>
      <c r="G3169" s="252"/>
      <c r="H3169" s="252"/>
      <c r="I3169" s="252"/>
      <c r="J3169" s="252"/>
      <c r="K3169" s="252"/>
      <c r="L3169"/>
      <c r="M3169"/>
    </row>
    <row r="3170" spans="1:13" s="79" customFormat="1" x14ac:dyDescent="0.35">
      <c r="A3170" s="251"/>
      <c r="B3170" s="22"/>
      <c r="C3170" s="252"/>
      <c r="D3170" s="252"/>
      <c r="E3170" s="252"/>
      <c r="F3170" s="252"/>
      <c r="G3170" s="252"/>
      <c r="H3170" s="252"/>
      <c r="I3170" s="252"/>
      <c r="J3170" s="252"/>
      <c r="K3170" s="252"/>
      <c r="L3170"/>
      <c r="M3170"/>
    </row>
    <row r="3171" spans="1:13" s="79" customFormat="1" x14ac:dyDescent="0.35">
      <c r="A3171" s="251"/>
      <c r="B3171" s="22"/>
      <c r="C3171" s="252"/>
      <c r="D3171" s="252"/>
      <c r="E3171" s="252"/>
      <c r="F3171" s="252"/>
      <c r="G3171" s="252"/>
      <c r="H3171" s="252"/>
      <c r="I3171" s="252"/>
      <c r="J3171" s="252"/>
      <c r="K3171" s="252"/>
      <c r="L3171"/>
      <c r="M3171"/>
    </row>
    <row r="3172" spans="1:13" s="79" customFormat="1" x14ac:dyDescent="0.35">
      <c r="A3172" s="251"/>
      <c r="B3172" s="22"/>
      <c r="C3172" s="252"/>
      <c r="D3172" s="252"/>
      <c r="E3172" s="252"/>
      <c r="F3172" s="252"/>
      <c r="G3172" s="252"/>
      <c r="H3172" s="252"/>
      <c r="I3172" s="252"/>
      <c r="J3172" s="252"/>
      <c r="K3172" s="252"/>
      <c r="L3172"/>
      <c r="M3172"/>
    </row>
    <row r="3173" spans="1:13" s="79" customFormat="1" x14ac:dyDescent="0.35">
      <c r="A3173" s="251"/>
      <c r="B3173" s="22"/>
      <c r="C3173" s="252"/>
      <c r="D3173" s="252"/>
      <c r="E3173" s="252"/>
      <c r="F3173" s="252"/>
      <c r="G3173" s="252"/>
      <c r="H3173" s="252"/>
      <c r="I3173" s="252"/>
      <c r="J3173" s="252"/>
      <c r="K3173" s="252"/>
      <c r="L3173"/>
      <c r="M3173"/>
    </row>
    <row r="3174" spans="1:13" s="79" customFormat="1" x14ac:dyDescent="0.35">
      <c r="A3174" s="251"/>
      <c r="B3174" s="22"/>
      <c r="C3174" s="252"/>
      <c r="D3174" s="252"/>
      <c r="E3174" s="252"/>
      <c r="F3174" s="252"/>
      <c r="G3174" s="252"/>
      <c r="H3174" s="252"/>
      <c r="I3174" s="252"/>
      <c r="J3174" s="252"/>
      <c r="K3174" s="252"/>
      <c r="L3174"/>
      <c r="M3174"/>
    </row>
    <row r="3175" spans="1:13" s="79" customFormat="1" x14ac:dyDescent="0.35">
      <c r="A3175" s="251"/>
      <c r="B3175" s="22"/>
      <c r="C3175" s="252"/>
      <c r="D3175" s="252"/>
      <c r="E3175" s="252"/>
      <c r="F3175" s="252"/>
      <c r="G3175" s="252"/>
      <c r="H3175" s="252"/>
      <c r="I3175" s="252"/>
      <c r="J3175" s="252"/>
      <c r="K3175" s="252"/>
      <c r="L3175"/>
      <c r="M3175"/>
    </row>
    <row r="3176" spans="1:13" s="79" customFormat="1" x14ac:dyDescent="0.35">
      <c r="A3176" s="251"/>
      <c r="B3176" s="22"/>
      <c r="C3176" s="252"/>
      <c r="D3176" s="252"/>
      <c r="E3176" s="252"/>
      <c r="F3176" s="252"/>
      <c r="G3176" s="252"/>
      <c r="H3176" s="252"/>
      <c r="I3176" s="252"/>
      <c r="J3176" s="252"/>
      <c r="K3176" s="252"/>
      <c r="L3176"/>
      <c r="M3176"/>
    </row>
    <row r="3177" spans="1:13" s="79" customFormat="1" x14ac:dyDescent="0.35">
      <c r="A3177" s="251"/>
      <c r="B3177" s="22"/>
      <c r="C3177" s="252"/>
      <c r="D3177" s="252"/>
      <c r="E3177" s="252"/>
      <c r="F3177" s="252"/>
      <c r="G3177" s="252"/>
      <c r="H3177" s="252"/>
      <c r="I3177" s="252"/>
      <c r="J3177" s="252"/>
      <c r="K3177" s="252"/>
      <c r="L3177"/>
      <c r="M3177"/>
    </row>
    <row r="3178" spans="1:13" s="79" customFormat="1" x14ac:dyDescent="0.35">
      <c r="A3178" s="251"/>
      <c r="B3178" s="22"/>
      <c r="C3178" s="252"/>
      <c r="D3178" s="252"/>
      <c r="E3178" s="252"/>
      <c r="F3178" s="252"/>
      <c r="G3178" s="252"/>
      <c r="H3178" s="252"/>
      <c r="I3178" s="252"/>
      <c r="J3178" s="252"/>
      <c r="K3178" s="252"/>
      <c r="L3178"/>
      <c r="M3178"/>
    </row>
    <row r="3179" spans="1:13" s="79" customFormat="1" x14ac:dyDescent="0.35">
      <c r="A3179" s="251"/>
      <c r="B3179" s="22"/>
      <c r="C3179" s="252"/>
      <c r="D3179" s="252"/>
      <c r="E3179" s="252"/>
      <c r="F3179" s="252"/>
      <c r="G3179" s="252"/>
      <c r="H3179" s="252"/>
      <c r="I3179" s="252"/>
      <c r="J3179" s="252"/>
      <c r="K3179" s="252"/>
      <c r="L3179"/>
      <c r="M3179"/>
    </row>
    <row r="3180" spans="1:13" s="79" customFormat="1" x14ac:dyDescent="0.35">
      <c r="A3180" s="251"/>
      <c r="B3180" s="22"/>
      <c r="C3180" s="252"/>
      <c r="D3180" s="252"/>
      <c r="E3180" s="252"/>
      <c r="F3180" s="252"/>
      <c r="G3180" s="252"/>
      <c r="H3180" s="252"/>
      <c r="I3180" s="252"/>
      <c r="J3180" s="252"/>
      <c r="K3180" s="252"/>
      <c r="L3180"/>
      <c r="M3180"/>
    </row>
    <row r="3181" spans="1:13" s="79" customFormat="1" x14ac:dyDescent="0.35">
      <c r="A3181" s="251"/>
      <c r="B3181" s="22"/>
      <c r="C3181" s="252"/>
      <c r="D3181" s="252"/>
      <c r="E3181" s="252"/>
      <c r="F3181" s="252"/>
      <c r="G3181" s="252"/>
      <c r="H3181" s="252"/>
      <c r="I3181" s="252"/>
      <c r="J3181" s="252"/>
      <c r="K3181" s="252"/>
      <c r="L3181"/>
      <c r="M3181"/>
    </row>
    <row r="3182" spans="1:13" s="79" customFormat="1" x14ac:dyDescent="0.35">
      <c r="A3182" s="251"/>
      <c r="B3182" s="22"/>
      <c r="C3182" s="252"/>
      <c r="D3182" s="252"/>
      <c r="E3182" s="252"/>
      <c r="F3182" s="252"/>
      <c r="G3182" s="252"/>
      <c r="H3182" s="252"/>
      <c r="I3182" s="252"/>
      <c r="J3182" s="252"/>
      <c r="K3182" s="252"/>
      <c r="L3182"/>
      <c r="M3182"/>
    </row>
    <row r="3183" spans="1:13" s="79" customFormat="1" x14ac:dyDescent="0.35">
      <c r="A3183" s="251"/>
      <c r="B3183" s="22"/>
      <c r="C3183" s="252"/>
      <c r="D3183" s="252"/>
      <c r="E3183" s="252"/>
      <c r="F3183" s="252"/>
      <c r="G3183" s="252"/>
      <c r="H3183" s="252"/>
      <c r="I3183" s="252"/>
      <c r="J3183" s="252"/>
      <c r="K3183" s="252"/>
      <c r="L3183"/>
      <c r="M3183"/>
    </row>
    <row r="3184" spans="1:13" s="79" customFormat="1" x14ac:dyDescent="0.35">
      <c r="A3184" s="251"/>
      <c r="B3184" s="22"/>
      <c r="C3184" s="252"/>
      <c r="D3184" s="252"/>
      <c r="E3184" s="252"/>
      <c r="F3184" s="252"/>
      <c r="G3184" s="252"/>
      <c r="H3184" s="252"/>
      <c r="I3184" s="252"/>
      <c r="J3184" s="252"/>
      <c r="K3184" s="252"/>
      <c r="L3184"/>
      <c r="M3184"/>
    </row>
    <row r="3185" spans="1:13" s="79" customFormat="1" x14ac:dyDescent="0.35">
      <c r="A3185" s="251"/>
      <c r="B3185" s="22"/>
      <c r="C3185" s="252"/>
      <c r="D3185" s="252"/>
      <c r="E3185" s="252"/>
      <c r="F3185" s="252"/>
      <c r="G3185" s="252"/>
      <c r="H3185" s="252"/>
      <c r="I3185" s="252"/>
      <c r="J3185" s="252"/>
      <c r="K3185" s="252"/>
      <c r="L3185"/>
      <c r="M3185"/>
    </row>
    <row r="3186" spans="1:13" s="79" customFormat="1" x14ac:dyDescent="0.35">
      <c r="A3186" s="251"/>
      <c r="B3186" s="22"/>
      <c r="C3186" s="252"/>
      <c r="D3186" s="252"/>
      <c r="E3186" s="252"/>
      <c r="F3186" s="252"/>
      <c r="G3186" s="252"/>
      <c r="H3186" s="252"/>
      <c r="I3186" s="252"/>
      <c r="J3186" s="252"/>
      <c r="K3186" s="252"/>
      <c r="L3186"/>
      <c r="M3186"/>
    </row>
    <row r="3187" spans="1:13" s="79" customFormat="1" x14ac:dyDescent="0.35">
      <c r="A3187" s="251"/>
      <c r="B3187" s="22"/>
      <c r="C3187" s="252"/>
      <c r="D3187" s="252"/>
      <c r="E3187" s="252"/>
      <c r="F3187" s="252"/>
      <c r="G3187" s="252"/>
      <c r="H3187" s="252"/>
      <c r="I3187" s="252"/>
      <c r="J3187" s="252"/>
      <c r="K3187" s="252"/>
      <c r="L3187"/>
      <c r="M3187"/>
    </row>
    <row r="3188" spans="1:13" s="79" customFormat="1" x14ac:dyDescent="0.35">
      <c r="A3188" s="251"/>
      <c r="B3188" s="22"/>
      <c r="C3188" s="252"/>
      <c r="D3188" s="252"/>
      <c r="E3188" s="252"/>
      <c r="F3188" s="252"/>
      <c r="G3188" s="252"/>
      <c r="H3188" s="252"/>
      <c r="I3188" s="252"/>
      <c r="J3188" s="252"/>
      <c r="K3188" s="252"/>
      <c r="L3188"/>
      <c r="M3188"/>
    </row>
    <row r="3189" spans="1:13" s="79" customFormat="1" x14ac:dyDescent="0.35">
      <c r="A3189" s="251"/>
      <c r="B3189" s="22"/>
      <c r="C3189" s="252"/>
      <c r="D3189" s="252"/>
      <c r="E3189" s="252"/>
      <c r="F3189" s="252"/>
      <c r="G3189" s="252"/>
      <c r="H3189" s="252"/>
      <c r="I3189" s="252"/>
      <c r="J3189" s="252"/>
      <c r="K3189" s="252"/>
      <c r="L3189"/>
      <c r="M3189"/>
    </row>
    <row r="3190" spans="1:13" s="79" customFormat="1" x14ac:dyDescent="0.35">
      <c r="A3190" s="251"/>
      <c r="B3190" s="22"/>
      <c r="C3190" s="252"/>
      <c r="D3190" s="252"/>
      <c r="E3190" s="252"/>
      <c r="F3190" s="252"/>
      <c r="G3190" s="252"/>
      <c r="H3190" s="252"/>
      <c r="I3190" s="252"/>
      <c r="J3190" s="252"/>
      <c r="K3190" s="252"/>
      <c r="L3190"/>
      <c r="M3190"/>
    </row>
    <row r="3191" spans="1:13" s="79" customFormat="1" x14ac:dyDescent="0.35">
      <c r="A3191" s="251"/>
      <c r="B3191" s="22"/>
      <c r="C3191" s="252"/>
      <c r="D3191" s="252"/>
      <c r="E3191" s="252"/>
      <c r="F3191" s="252"/>
      <c r="G3191" s="252"/>
      <c r="H3191" s="252"/>
      <c r="I3191" s="252"/>
      <c r="J3191" s="252"/>
      <c r="K3191" s="252"/>
      <c r="L3191"/>
      <c r="M3191"/>
    </row>
    <row r="3192" spans="1:13" s="79" customFormat="1" x14ac:dyDescent="0.35">
      <c r="A3192" s="251"/>
      <c r="B3192" s="22"/>
      <c r="C3192" s="252"/>
      <c r="D3192" s="252"/>
      <c r="E3192" s="252"/>
      <c r="F3192" s="252"/>
      <c r="G3192" s="252"/>
      <c r="H3192" s="252"/>
      <c r="I3192" s="252"/>
      <c r="J3192" s="252"/>
      <c r="K3192" s="252"/>
      <c r="L3192"/>
      <c r="M3192"/>
    </row>
    <row r="3193" spans="1:13" s="79" customFormat="1" x14ac:dyDescent="0.35">
      <c r="A3193" s="251"/>
      <c r="B3193" s="22"/>
      <c r="C3193" s="252"/>
      <c r="D3193" s="252"/>
      <c r="E3193" s="252"/>
      <c r="F3193" s="252"/>
      <c r="G3193" s="252"/>
      <c r="H3193" s="252"/>
      <c r="I3193" s="252"/>
      <c r="J3193" s="252"/>
      <c r="K3193" s="252"/>
      <c r="L3193"/>
      <c r="M3193"/>
    </row>
    <row r="3194" spans="1:13" s="79" customFormat="1" x14ac:dyDescent="0.35">
      <c r="A3194" s="251"/>
      <c r="B3194" s="22"/>
      <c r="C3194" s="252"/>
      <c r="D3194" s="252"/>
      <c r="E3194" s="252"/>
      <c r="F3194" s="252"/>
      <c r="G3194" s="252"/>
      <c r="H3194" s="252"/>
      <c r="I3194" s="252"/>
      <c r="J3194" s="252"/>
      <c r="K3194" s="252"/>
      <c r="L3194"/>
      <c r="M3194"/>
    </row>
    <row r="3195" spans="1:13" s="79" customFormat="1" x14ac:dyDescent="0.35">
      <c r="A3195" s="251"/>
      <c r="B3195" s="22"/>
      <c r="C3195" s="252"/>
      <c r="D3195" s="252"/>
      <c r="E3195" s="252"/>
      <c r="F3195" s="252"/>
      <c r="G3195" s="252"/>
      <c r="H3195" s="252"/>
      <c r="I3195" s="252"/>
      <c r="J3195" s="252"/>
      <c r="K3195" s="252"/>
      <c r="L3195"/>
      <c r="M3195"/>
    </row>
    <row r="3196" spans="1:13" s="79" customFormat="1" x14ac:dyDescent="0.35">
      <c r="A3196" s="251"/>
      <c r="B3196" s="22"/>
      <c r="C3196" s="252"/>
      <c r="D3196" s="252"/>
      <c r="E3196" s="252"/>
      <c r="F3196" s="252"/>
      <c r="G3196" s="252"/>
      <c r="H3196" s="252"/>
      <c r="I3196" s="252"/>
      <c r="J3196" s="252"/>
      <c r="K3196" s="252"/>
      <c r="L3196"/>
      <c r="M3196"/>
    </row>
    <row r="3197" spans="1:13" s="79" customFormat="1" x14ac:dyDescent="0.35">
      <c r="A3197" s="251"/>
      <c r="B3197" s="22"/>
      <c r="C3197" s="252"/>
      <c r="D3197" s="252"/>
      <c r="E3197" s="252"/>
      <c r="F3197" s="252"/>
      <c r="G3197" s="252"/>
      <c r="H3197" s="252"/>
      <c r="I3197" s="252"/>
      <c r="J3197" s="252"/>
      <c r="K3197" s="252"/>
      <c r="L3197"/>
      <c r="M3197"/>
    </row>
    <row r="3198" spans="1:13" s="79" customFormat="1" x14ac:dyDescent="0.35">
      <c r="A3198" s="251"/>
      <c r="B3198" s="22"/>
      <c r="C3198" s="252"/>
      <c r="D3198" s="252"/>
      <c r="E3198" s="252"/>
      <c r="F3198" s="252"/>
      <c r="G3198" s="252"/>
      <c r="H3198" s="252"/>
      <c r="I3198" s="252"/>
      <c r="J3198" s="252"/>
      <c r="K3198" s="252"/>
      <c r="L3198"/>
      <c r="M3198"/>
    </row>
    <row r="3199" spans="1:13" s="79" customFormat="1" x14ac:dyDescent="0.35">
      <c r="A3199" s="251"/>
      <c r="B3199" s="22"/>
      <c r="C3199" s="252"/>
      <c r="D3199" s="252"/>
      <c r="E3199" s="252"/>
      <c r="F3199" s="252"/>
      <c r="G3199" s="252"/>
      <c r="H3199" s="252"/>
      <c r="I3199" s="252"/>
      <c r="J3199" s="252"/>
      <c r="K3199" s="252"/>
      <c r="L3199"/>
      <c r="M3199"/>
    </row>
    <row r="3200" spans="1:13" s="79" customFormat="1" x14ac:dyDescent="0.35">
      <c r="A3200" s="251"/>
      <c r="B3200" s="22"/>
      <c r="C3200" s="252"/>
      <c r="D3200" s="252"/>
      <c r="E3200" s="252"/>
      <c r="F3200" s="252"/>
      <c r="G3200" s="252"/>
      <c r="H3200" s="252"/>
      <c r="I3200" s="252"/>
      <c r="J3200" s="252"/>
      <c r="K3200" s="252"/>
      <c r="L3200"/>
      <c r="M3200"/>
    </row>
    <row r="3201" spans="1:13" s="79" customFormat="1" x14ac:dyDescent="0.35">
      <c r="A3201" s="251"/>
      <c r="B3201" s="22"/>
      <c r="C3201" s="252"/>
      <c r="D3201" s="252"/>
      <c r="E3201" s="252"/>
      <c r="F3201" s="252"/>
      <c r="G3201" s="252"/>
      <c r="H3201" s="252"/>
      <c r="I3201" s="252"/>
      <c r="J3201" s="252"/>
      <c r="K3201" s="252"/>
      <c r="L3201"/>
      <c r="M3201"/>
    </row>
    <row r="3202" spans="1:13" s="79" customFormat="1" x14ac:dyDescent="0.35">
      <c r="A3202" s="251"/>
      <c r="B3202" s="22"/>
      <c r="C3202" s="252"/>
      <c r="D3202" s="252"/>
      <c r="E3202" s="252"/>
      <c r="F3202" s="252"/>
      <c r="G3202" s="252"/>
      <c r="H3202" s="252"/>
      <c r="I3202" s="252"/>
      <c r="J3202" s="252"/>
      <c r="K3202" s="252"/>
      <c r="L3202"/>
      <c r="M3202"/>
    </row>
    <row r="3203" spans="1:13" s="79" customFormat="1" x14ac:dyDescent="0.35">
      <c r="A3203" s="251"/>
      <c r="B3203" s="22"/>
      <c r="C3203" s="252"/>
      <c r="D3203" s="252"/>
      <c r="E3203" s="252"/>
      <c r="F3203" s="252"/>
      <c r="G3203" s="252"/>
      <c r="H3203" s="252"/>
      <c r="I3203" s="252"/>
      <c r="J3203" s="252"/>
      <c r="K3203" s="252"/>
      <c r="L3203"/>
      <c r="M3203"/>
    </row>
    <row r="3204" spans="1:13" s="79" customFormat="1" x14ac:dyDescent="0.35">
      <c r="A3204" s="251"/>
      <c r="B3204" s="22"/>
      <c r="C3204" s="252"/>
      <c r="D3204" s="252"/>
      <c r="E3204" s="252"/>
      <c r="F3204" s="252"/>
      <c r="G3204" s="252"/>
      <c r="H3204" s="252"/>
      <c r="I3204" s="252"/>
      <c r="J3204" s="252"/>
      <c r="K3204" s="252"/>
      <c r="L3204"/>
      <c r="M3204"/>
    </row>
    <row r="3205" spans="1:13" s="79" customFormat="1" x14ac:dyDescent="0.35">
      <c r="A3205" s="251"/>
      <c r="B3205" s="22"/>
      <c r="C3205" s="252"/>
      <c r="D3205" s="252"/>
      <c r="E3205" s="252"/>
      <c r="F3205" s="252"/>
      <c r="G3205" s="252"/>
      <c r="H3205" s="252"/>
      <c r="I3205" s="252"/>
      <c r="J3205" s="252"/>
      <c r="K3205" s="252"/>
      <c r="L3205"/>
      <c r="M3205"/>
    </row>
    <row r="3206" spans="1:13" s="79" customFormat="1" x14ac:dyDescent="0.35">
      <c r="A3206" s="251"/>
      <c r="B3206" s="22"/>
      <c r="C3206" s="252"/>
      <c r="D3206" s="252"/>
      <c r="E3206" s="252"/>
      <c r="F3206" s="252"/>
      <c r="G3206" s="252"/>
      <c r="H3206" s="252"/>
      <c r="I3206" s="252"/>
      <c r="J3206" s="252"/>
      <c r="K3206" s="252"/>
      <c r="L3206"/>
      <c r="M3206"/>
    </row>
    <row r="3207" spans="1:13" s="79" customFormat="1" x14ac:dyDescent="0.35">
      <c r="A3207" s="251"/>
      <c r="B3207" s="22"/>
      <c r="C3207" s="252"/>
      <c r="D3207" s="252"/>
      <c r="E3207" s="252"/>
      <c r="F3207" s="252"/>
      <c r="G3207" s="252"/>
      <c r="H3207" s="252"/>
      <c r="I3207" s="252"/>
      <c r="J3207" s="252"/>
      <c r="K3207" s="252"/>
      <c r="L3207"/>
      <c r="M3207"/>
    </row>
    <row r="3208" spans="1:13" s="79" customFormat="1" x14ac:dyDescent="0.35">
      <c r="A3208" s="251"/>
      <c r="B3208" s="22"/>
      <c r="C3208" s="252"/>
      <c r="D3208" s="252"/>
      <c r="E3208" s="252"/>
      <c r="F3208" s="252"/>
      <c r="G3208" s="252"/>
      <c r="H3208" s="252"/>
      <c r="I3208" s="252"/>
      <c r="J3208" s="252"/>
      <c r="K3208" s="252"/>
      <c r="L3208"/>
      <c r="M3208"/>
    </row>
    <row r="3209" spans="1:13" s="79" customFormat="1" x14ac:dyDescent="0.35">
      <c r="A3209" s="251"/>
      <c r="B3209" s="22"/>
      <c r="C3209" s="252"/>
      <c r="D3209" s="252"/>
      <c r="E3209" s="252"/>
      <c r="F3209" s="252"/>
      <c r="G3209" s="252"/>
      <c r="H3209" s="252"/>
      <c r="I3209" s="252"/>
      <c r="J3209" s="252"/>
      <c r="K3209" s="252"/>
      <c r="L3209"/>
      <c r="M3209"/>
    </row>
    <row r="3210" spans="1:13" s="79" customFormat="1" x14ac:dyDescent="0.35">
      <c r="A3210" s="251"/>
      <c r="B3210" s="22"/>
      <c r="C3210" s="252"/>
      <c r="D3210" s="252"/>
      <c r="E3210" s="252"/>
      <c r="F3210" s="252"/>
      <c r="G3210" s="252"/>
      <c r="H3210" s="252"/>
      <c r="I3210" s="252"/>
      <c r="J3210" s="252"/>
      <c r="K3210" s="252"/>
      <c r="L3210"/>
      <c r="M3210"/>
    </row>
    <row r="3211" spans="1:13" s="79" customFormat="1" x14ac:dyDescent="0.35">
      <c r="A3211" s="251"/>
      <c r="B3211" s="22"/>
      <c r="C3211" s="252"/>
      <c r="D3211" s="252"/>
      <c r="E3211" s="252"/>
      <c r="F3211" s="252"/>
      <c r="G3211" s="252"/>
      <c r="H3211" s="252"/>
      <c r="I3211" s="252"/>
      <c r="J3211" s="252"/>
      <c r="K3211" s="252"/>
      <c r="L3211"/>
      <c r="M3211"/>
    </row>
    <row r="3212" spans="1:13" s="79" customFormat="1" x14ac:dyDescent="0.35">
      <c r="A3212" s="251"/>
      <c r="B3212" s="22"/>
      <c r="C3212" s="252"/>
      <c r="D3212" s="252"/>
      <c r="E3212" s="252"/>
      <c r="F3212" s="252"/>
      <c r="G3212" s="252"/>
      <c r="H3212" s="252"/>
      <c r="I3212" s="252"/>
      <c r="J3212" s="252"/>
      <c r="K3212" s="252"/>
      <c r="L3212"/>
      <c r="M3212"/>
    </row>
    <row r="3213" spans="1:13" s="79" customFormat="1" x14ac:dyDescent="0.35">
      <c r="A3213" s="251"/>
      <c r="B3213" s="22"/>
      <c r="C3213" s="252"/>
      <c r="D3213" s="252"/>
      <c r="E3213" s="252"/>
      <c r="F3213" s="252"/>
      <c r="G3213" s="252"/>
      <c r="H3213" s="252"/>
      <c r="I3213" s="252"/>
      <c r="J3213" s="252"/>
      <c r="K3213" s="252"/>
      <c r="L3213"/>
      <c r="M3213"/>
    </row>
    <row r="3214" spans="1:13" s="79" customFormat="1" x14ac:dyDescent="0.35">
      <c r="A3214" s="251"/>
      <c r="B3214" s="22"/>
      <c r="C3214" s="252"/>
      <c r="D3214" s="252"/>
      <c r="E3214" s="252"/>
      <c r="F3214" s="252"/>
      <c r="G3214" s="252"/>
      <c r="H3214" s="252"/>
      <c r="I3214" s="252"/>
      <c r="J3214" s="252"/>
      <c r="K3214" s="252"/>
      <c r="L3214"/>
      <c r="M3214"/>
    </row>
    <row r="3215" spans="1:13" s="79" customFormat="1" x14ac:dyDescent="0.35">
      <c r="A3215" s="251"/>
      <c r="B3215" s="22"/>
      <c r="C3215" s="252"/>
      <c r="D3215" s="252"/>
      <c r="E3215" s="252"/>
      <c r="F3215" s="252"/>
      <c r="G3215" s="252"/>
      <c r="H3215" s="252"/>
      <c r="I3215" s="252"/>
      <c r="J3215" s="252"/>
      <c r="K3215" s="252"/>
      <c r="L3215"/>
      <c r="M3215"/>
    </row>
    <row r="3216" spans="1:13" s="79" customFormat="1" x14ac:dyDescent="0.35">
      <c r="A3216" s="251"/>
      <c r="B3216" s="22"/>
      <c r="C3216" s="252"/>
      <c r="D3216" s="252"/>
      <c r="E3216" s="252"/>
      <c r="F3216" s="252"/>
      <c r="G3216" s="252"/>
      <c r="H3216" s="252"/>
      <c r="I3216" s="252"/>
      <c r="J3216" s="252"/>
      <c r="K3216" s="252"/>
      <c r="L3216"/>
      <c r="M3216"/>
    </row>
    <row r="3217" spans="1:13" s="79" customFormat="1" x14ac:dyDescent="0.35">
      <c r="A3217" s="251"/>
      <c r="B3217" s="22"/>
      <c r="C3217" s="252"/>
      <c r="D3217" s="252"/>
      <c r="E3217" s="252"/>
      <c r="F3217" s="252"/>
      <c r="G3217" s="252"/>
      <c r="H3217" s="252"/>
      <c r="I3217" s="252"/>
      <c r="J3217" s="252"/>
      <c r="K3217" s="252"/>
      <c r="L3217"/>
      <c r="M3217"/>
    </row>
    <row r="3218" spans="1:13" s="79" customFormat="1" x14ac:dyDescent="0.35">
      <c r="A3218" s="251"/>
      <c r="B3218" s="22"/>
      <c r="C3218" s="252"/>
      <c r="D3218" s="252"/>
      <c r="E3218" s="252"/>
      <c r="F3218" s="252"/>
      <c r="G3218" s="252"/>
      <c r="H3218" s="252"/>
      <c r="I3218" s="252"/>
      <c r="J3218" s="252"/>
      <c r="K3218" s="252"/>
      <c r="L3218"/>
      <c r="M3218"/>
    </row>
    <row r="3219" spans="1:13" s="79" customFormat="1" x14ac:dyDescent="0.35">
      <c r="A3219" s="251"/>
      <c r="B3219" s="22"/>
      <c r="C3219" s="252"/>
      <c r="D3219" s="252"/>
      <c r="E3219" s="252"/>
      <c r="F3219" s="252"/>
      <c r="G3219" s="252"/>
      <c r="H3219" s="252"/>
      <c r="I3219" s="252"/>
      <c r="J3219" s="252"/>
      <c r="K3219" s="252"/>
      <c r="L3219"/>
      <c r="M3219"/>
    </row>
    <row r="3220" spans="1:13" s="79" customFormat="1" x14ac:dyDescent="0.35">
      <c r="A3220" s="251"/>
      <c r="B3220" s="22"/>
      <c r="C3220" s="252"/>
      <c r="D3220" s="252"/>
      <c r="E3220" s="252"/>
      <c r="F3220" s="252"/>
      <c r="G3220" s="252"/>
      <c r="H3220" s="252"/>
      <c r="I3220" s="252"/>
      <c r="J3220" s="252"/>
      <c r="K3220" s="252"/>
      <c r="L3220"/>
      <c r="M3220"/>
    </row>
    <row r="3221" spans="1:13" s="79" customFormat="1" x14ac:dyDescent="0.35">
      <c r="A3221" s="251"/>
      <c r="B3221" s="22"/>
      <c r="C3221" s="252"/>
      <c r="D3221" s="252"/>
      <c r="E3221" s="252"/>
      <c r="F3221" s="252"/>
      <c r="G3221" s="252"/>
      <c r="H3221" s="252"/>
      <c r="I3221" s="252"/>
      <c r="J3221" s="252"/>
      <c r="K3221" s="252"/>
      <c r="L3221"/>
      <c r="M3221"/>
    </row>
    <row r="3222" spans="1:13" s="79" customFormat="1" x14ac:dyDescent="0.35">
      <c r="A3222" s="251"/>
      <c r="B3222" s="22"/>
      <c r="C3222" s="252"/>
      <c r="D3222" s="252"/>
      <c r="E3222" s="252"/>
      <c r="F3222" s="252"/>
      <c r="G3222" s="252"/>
      <c r="H3222" s="252"/>
      <c r="I3222" s="252"/>
      <c r="J3222" s="252"/>
      <c r="K3222" s="252"/>
      <c r="L3222"/>
      <c r="M3222"/>
    </row>
    <row r="3223" spans="1:13" s="79" customFormat="1" x14ac:dyDescent="0.35">
      <c r="A3223" s="251"/>
      <c r="B3223" s="22"/>
      <c r="C3223" s="252"/>
      <c r="D3223" s="252"/>
      <c r="E3223" s="252"/>
      <c r="F3223" s="252"/>
      <c r="G3223" s="252"/>
      <c r="H3223" s="252"/>
      <c r="I3223" s="252"/>
      <c r="J3223" s="252"/>
      <c r="K3223" s="252"/>
      <c r="L3223"/>
      <c r="M3223"/>
    </row>
    <row r="3224" spans="1:13" s="79" customFormat="1" x14ac:dyDescent="0.35">
      <c r="A3224" s="251"/>
      <c r="B3224" s="22"/>
      <c r="C3224" s="252"/>
      <c r="D3224" s="252"/>
      <c r="E3224" s="252"/>
      <c r="F3224" s="252"/>
      <c r="G3224" s="252"/>
      <c r="H3224" s="252"/>
      <c r="I3224" s="252"/>
      <c r="J3224" s="252"/>
      <c r="K3224" s="252"/>
      <c r="L3224"/>
      <c r="M3224"/>
    </row>
    <row r="3225" spans="1:13" s="79" customFormat="1" x14ac:dyDescent="0.35">
      <c r="A3225" s="251"/>
      <c r="B3225" s="22"/>
      <c r="C3225" s="252"/>
      <c r="D3225" s="252"/>
      <c r="E3225" s="252"/>
      <c r="F3225" s="252"/>
      <c r="G3225" s="252"/>
      <c r="H3225" s="252"/>
      <c r="I3225" s="252"/>
      <c r="J3225" s="252"/>
      <c r="K3225" s="252"/>
      <c r="L3225"/>
      <c r="M3225"/>
    </row>
    <row r="3226" spans="1:13" s="79" customFormat="1" x14ac:dyDescent="0.35">
      <c r="A3226" s="251"/>
      <c r="B3226" s="22"/>
      <c r="C3226" s="252"/>
      <c r="D3226" s="252"/>
      <c r="E3226" s="252"/>
      <c r="F3226" s="252"/>
      <c r="G3226" s="252"/>
      <c r="H3226" s="252"/>
      <c r="I3226" s="252"/>
      <c r="J3226" s="252"/>
      <c r="K3226" s="252"/>
      <c r="L3226"/>
      <c r="M3226"/>
    </row>
    <row r="3227" spans="1:13" s="79" customFormat="1" x14ac:dyDescent="0.35">
      <c r="A3227" s="251"/>
      <c r="B3227" s="22"/>
      <c r="C3227" s="252"/>
      <c r="D3227" s="252"/>
      <c r="E3227" s="252"/>
      <c r="F3227" s="252"/>
      <c r="G3227" s="252"/>
      <c r="H3227" s="252"/>
      <c r="I3227" s="252"/>
      <c r="J3227" s="252"/>
      <c r="K3227" s="252"/>
      <c r="L3227"/>
      <c r="M3227"/>
    </row>
    <row r="3228" spans="1:13" s="79" customFormat="1" x14ac:dyDescent="0.35">
      <c r="A3228" s="251"/>
      <c r="B3228" s="22"/>
      <c r="C3228" s="252"/>
      <c r="D3228" s="252"/>
      <c r="E3228" s="252"/>
      <c r="F3228" s="252"/>
      <c r="G3228" s="252"/>
      <c r="H3228" s="252"/>
      <c r="I3228" s="252"/>
      <c r="J3228" s="252"/>
      <c r="K3228" s="252"/>
      <c r="L3228"/>
      <c r="M3228"/>
    </row>
    <row r="3229" spans="1:13" s="79" customFormat="1" x14ac:dyDescent="0.35">
      <c r="A3229" s="251"/>
      <c r="B3229" s="22"/>
      <c r="C3229" s="252"/>
      <c r="D3229" s="252"/>
      <c r="E3229" s="252"/>
      <c r="F3229" s="252"/>
      <c r="G3229" s="252"/>
      <c r="H3229" s="252"/>
      <c r="I3229" s="252"/>
      <c r="J3229" s="252"/>
      <c r="K3229" s="252"/>
      <c r="L3229"/>
      <c r="M3229"/>
    </row>
    <row r="3230" spans="1:13" s="79" customFormat="1" x14ac:dyDescent="0.35">
      <c r="A3230" s="251"/>
      <c r="B3230" s="22"/>
      <c r="C3230" s="252"/>
      <c r="D3230" s="252"/>
      <c r="E3230" s="252"/>
      <c r="F3230" s="252"/>
      <c r="G3230" s="252"/>
      <c r="H3230" s="252"/>
      <c r="I3230" s="252"/>
      <c r="J3230" s="252"/>
      <c r="K3230" s="252"/>
      <c r="L3230"/>
      <c r="M3230"/>
    </row>
    <row r="3231" spans="1:13" s="79" customFormat="1" x14ac:dyDescent="0.35">
      <c r="A3231" s="251"/>
      <c r="B3231" s="22"/>
      <c r="C3231" s="252"/>
      <c r="D3231" s="252"/>
      <c r="E3231" s="252"/>
      <c r="F3231" s="252"/>
      <c r="G3231" s="252"/>
      <c r="H3231" s="252"/>
      <c r="I3231" s="252"/>
      <c r="J3231" s="252"/>
      <c r="K3231" s="252"/>
      <c r="L3231"/>
      <c r="M3231"/>
    </row>
    <row r="3232" spans="1:13" s="79" customFormat="1" x14ac:dyDescent="0.35">
      <c r="A3232" s="251"/>
      <c r="B3232" s="22"/>
      <c r="C3232" s="252"/>
      <c r="D3232" s="252"/>
      <c r="E3232" s="252"/>
      <c r="F3232" s="252"/>
      <c r="G3232" s="252"/>
      <c r="H3232" s="252"/>
      <c r="I3232" s="252"/>
      <c r="J3232" s="252"/>
      <c r="K3232" s="252"/>
      <c r="L3232"/>
      <c r="M3232"/>
    </row>
    <row r="3233" spans="1:13" s="79" customFormat="1" x14ac:dyDescent="0.35">
      <c r="A3233" s="251"/>
      <c r="B3233" s="22"/>
      <c r="C3233" s="252"/>
      <c r="D3233" s="252"/>
      <c r="E3233" s="252"/>
      <c r="F3233" s="252"/>
      <c r="G3233" s="252"/>
      <c r="H3233" s="252"/>
      <c r="I3233" s="252"/>
      <c r="J3233" s="252"/>
      <c r="K3233" s="252"/>
      <c r="L3233"/>
      <c r="M3233"/>
    </row>
    <row r="3234" spans="1:13" s="79" customFormat="1" x14ac:dyDescent="0.35">
      <c r="A3234" s="251"/>
      <c r="B3234" s="22"/>
      <c r="C3234" s="252"/>
      <c r="D3234" s="252"/>
      <c r="E3234" s="252"/>
      <c r="F3234" s="252"/>
      <c r="G3234" s="252"/>
      <c r="H3234" s="252"/>
      <c r="I3234" s="252"/>
      <c r="J3234" s="252"/>
      <c r="K3234" s="252"/>
      <c r="L3234"/>
      <c r="M3234"/>
    </row>
    <row r="3235" spans="1:13" s="79" customFormat="1" x14ac:dyDescent="0.35">
      <c r="A3235" s="251"/>
      <c r="B3235" s="22"/>
      <c r="C3235" s="252"/>
      <c r="D3235" s="252"/>
      <c r="E3235" s="252"/>
      <c r="F3235" s="252"/>
      <c r="G3235" s="252"/>
      <c r="H3235" s="252"/>
      <c r="I3235" s="252"/>
      <c r="J3235" s="252"/>
      <c r="K3235" s="252"/>
      <c r="L3235"/>
      <c r="M3235"/>
    </row>
    <row r="3236" spans="1:13" s="79" customFormat="1" x14ac:dyDescent="0.35">
      <c r="A3236" s="251"/>
      <c r="B3236" s="22"/>
      <c r="C3236" s="252"/>
      <c r="D3236" s="252"/>
      <c r="E3236" s="252"/>
      <c r="F3236" s="252"/>
      <c r="G3236" s="252"/>
      <c r="H3236" s="252"/>
      <c r="I3236" s="252"/>
      <c r="J3236" s="252"/>
      <c r="K3236" s="252"/>
      <c r="L3236"/>
      <c r="M3236"/>
    </row>
    <row r="3237" spans="1:13" s="79" customFormat="1" x14ac:dyDescent="0.35">
      <c r="A3237" s="251"/>
      <c r="B3237" s="22"/>
      <c r="C3237" s="252"/>
      <c r="D3237" s="252"/>
      <c r="E3237" s="252"/>
      <c r="F3237" s="252"/>
      <c r="G3237" s="252"/>
      <c r="H3237" s="252"/>
      <c r="I3237" s="252"/>
      <c r="J3237" s="252"/>
      <c r="K3237" s="252"/>
      <c r="L3237"/>
      <c r="M3237"/>
    </row>
    <row r="3238" spans="1:13" s="79" customFormat="1" x14ac:dyDescent="0.35">
      <c r="A3238" s="251"/>
      <c r="B3238" s="22"/>
      <c r="C3238" s="252"/>
      <c r="D3238" s="252"/>
      <c r="E3238" s="252"/>
      <c r="F3238" s="252"/>
      <c r="G3238" s="252"/>
      <c r="H3238" s="252"/>
      <c r="I3238" s="252"/>
      <c r="J3238" s="252"/>
      <c r="K3238" s="252"/>
      <c r="L3238"/>
      <c r="M3238"/>
    </row>
    <row r="3239" spans="1:13" s="79" customFormat="1" x14ac:dyDescent="0.35">
      <c r="A3239" s="251"/>
      <c r="B3239" s="22"/>
      <c r="C3239" s="252"/>
      <c r="D3239" s="252"/>
      <c r="E3239" s="252"/>
      <c r="F3239" s="252"/>
      <c r="G3239" s="252"/>
      <c r="H3239" s="252"/>
      <c r="I3239" s="252"/>
      <c r="J3239" s="252"/>
      <c r="K3239" s="252"/>
      <c r="L3239"/>
      <c r="M3239"/>
    </row>
    <row r="3240" spans="1:13" s="79" customFormat="1" x14ac:dyDescent="0.35">
      <c r="A3240" s="251"/>
      <c r="B3240" s="22"/>
      <c r="C3240" s="252"/>
      <c r="D3240" s="252"/>
      <c r="E3240" s="252"/>
      <c r="F3240" s="252"/>
      <c r="G3240" s="252"/>
      <c r="H3240" s="252"/>
      <c r="I3240" s="252"/>
      <c r="J3240" s="252"/>
      <c r="K3240" s="252"/>
      <c r="L3240"/>
      <c r="M3240"/>
    </row>
    <row r="3241" spans="1:13" s="79" customFormat="1" x14ac:dyDescent="0.35">
      <c r="A3241" s="251"/>
      <c r="B3241" s="22"/>
      <c r="C3241" s="252"/>
      <c r="D3241" s="252"/>
      <c r="E3241" s="252"/>
      <c r="F3241" s="252"/>
      <c r="G3241" s="252"/>
      <c r="H3241" s="252"/>
      <c r="I3241" s="252"/>
      <c r="J3241" s="252"/>
      <c r="K3241" s="252"/>
      <c r="L3241"/>
      <c r="M3241"/>
    </row>
    <row r="3242" spans="1:13" s="79" customFormat="1" x14ac:dyDescent="0.35">
      <c r="A3242" s="251"/>
      <c r="B3242" s="22"/>
      <c r="C3242" s="252"/>
      <c r="D3242" s="252"/>
      <c r="E3242" s="252"/>
      <c r="F3242" s="252"/>
      <c r="G3242" s="252"/>
      <c r="H3242" s="252"/>
      <c r="I3242" s="252"/>
      <c r="J3242" s="252"/>
      <c r="K3242" s="252"/>
      <c r="L3242"/>
      <c r="M3242"/>
    </row>
    <row r="3243" spans="1:13" s="79" customFormat="1" x14ac:dyDescent="0.35">
      <c r="A3243" s="251"/>
      <c r="B3243" s="22"/>
      <c r="C3243" s="252"/>
      <c r="D3243" s="252"/>
      <c r="E3243" s="252"/>
      <c r="F3243" s="252"/>
      <c r="G3243" s="252"/>
      <c r="H3243" s="252"/>
      <c r="I3243" s="252"/>
      <c r="J3243" s="252"/>
      <c r="K3243" s="252"/>
      <c r="L3243"/>
      <c r="M3243"/>
    </row>
    <row r="3244" spans="1:13" s="79" customFormat="1" x14ac:dyDescent="0.35">
      <c r="A3244" s="251"/>
      <c r="B3244" s="22"/>
      <c r="C3244" s="252"/>
      <c r="D3244" s="252"/>
      <c r="E3244" s="252"/>
      <c r="F3244" s="252"/>
      <c r="G3244" s="252"/>
      <c r="H3244" s="252"/>
      <c r="I3244" s="252"/>
      <c r="J3244" s="252"/>
      <c r="K3244" s="252"/>
      <c r="L3244"/>
      <c r="M3244"/>
    </row>
    <row r="3245" spans="1:13" s="79" customFormat="1" x14ac:dyDescent="0.35">
      <c r="A3245" s="251"/>
      <c r="B3245" s="22"/>
      <c r="C3245" s="252"/>
      <c r="D3245" s="252"/>
      <c r="E3245" s="252"/>
      <c r="F3245" s="252"/>
      <c r="G3245" s="252"/>
      <c r="H3245" s="252"/>
      <c r="I3245" s="252"/>
      <c r="J3245" s="252"/>
      <c r="K3245" s="252"/>
      <c r="L3245"/>
      <c r="M3245"/>
    </row>
    <row r="3246" spans="1:13" s="79" customFormat="1" x14ac:dyDescent="0.35">
      <c r="A3246" s="251"/>
      <c r="B3246" s="22"/>
      <c r="C3246" s="252"/>
      <c r="D3246" s="252"/>
      <c r="E3246" s="252"/>
      <c r="F3246" s="252"/>
      <c r="G3246" s="252"/>
      <c r="H3246" s="252"/>
      <c r="I3246" s="252"/>
      <c r="J3246" s="252"/>
      <c r="K3246" s="252"/>
      <c r="L3246"/>
      <c r="M3246"/>
    </row>
    <row r="3247" spans="1:13" s="79" customFormat="1" x14ac:dyDescent="0.35">
      <c r="A3247" s="251"/>
      <c r="B3247" s="22"/>
      <c r="C3247" s="252"/>
      <c r="D3247" s="252"/>
      <c r="E3247" s="252"/>
      <c r="F3247" s="252"/>
      <c r="G3247" s="252"/>
      <c r="H3247" s="252"/>
      <c r="I3247" s="252"/>
      <c r="J3247" s="252"/>
      <c r="K3247" s="252"/>
      <c r="L3247"/>
      <c r="M3247"/>
    </row>
    <row r="3248" spans="1:13" s="79" customFormat="1" x14ac:dyDescent="0.35">
      <c r="A3248" s="251"/>
      <c r="B3248" s="22"/>
      <c r="C3248" s="252"/>
      <c r="D3248" s="252"/>
      <c r="E3248" s="252"/>
      <c r="F3248" s="252"/>
      <c r="G3248" s="252"/>
      <c r="H3248" s="252"/>
      <c r="I3248" s="252"/>
      <c r="J3248" s="252"/>
      <c r="K3248" s="252"/>
      <c r="L3248"/>
      <c r="M3248"/>
    </row>
    <row r="3249" spans="1:13" s="79" customFormat="1" x14ac:dyDescent="0.35">
      <c r="A3249" s="251"/>
      <c r="B3249" s="22"/>
      <c r="C3249" s="252"/>
      <c r="D3249" s="252"/>
      <c r="E3249" s="252"/>
      <c r="F3249" s="252"/>
      <c r="G3249" s="252"/>
      <c r="H3249" s="252"/>
      <c r="I3249" s="252"/>
      <c r="J3249" s="252"/>
      <c r="K3249" s="252"/>
      <c r="L3249"/>
      <c r="M3249"/>
    </row>
    <row r="3250" spans="1:13" s="79" customFormat="1" x14ac:dyDescent="0.35">
      <c r="A3250" s="251"/>
      <c r="B3250" s="22"/>
      <c r="C3250" s="252"/>
      <c r="D3250" s="252"/>
      <c r="E3250" s="252"/>
      <c r="F3250" s="252"/>
      <c r="G3250" s="252"/>
      <c r="H3250" s="252"/>
      <c r="I3250" s="252"/>
      <c r="J3250" s="252"/>
      <c r="K3250" s="252"/>
      <c r="L3250"/>
      <c r="M3250"/>
    </row>
    <row r="3251" spans="1:13" s="79" customFormat="1" x14ac:dyDescent="0.35">
      <c r="A3251" s="251"/>
      <c r="B3251" s="22"/>
      <c r="C3251" s="252"/>
      <c r="D3251" s="252"/>
      <c r="E3251" s="252"/>
      <c r="F3251" s="252"/>
      <c r="G3251" s="252"/>
      <c r="H3251" s="252"/>
      <c r="I3251" s="252"/>
      <c r="J3251" s="252"/>
      <c r="K3251" s="252"/>
      <c r="L3251"/>
      <c r="M3251"/>
    </row>
    <row r="3252" spans="1:13" s="79" customFormat="1" x14ac:dyDescent="0.35">
      <c r="A3252" s="251"/>
      <c r="B3252" s="22"/>
      <c r="C3252" s="252"/>
      <c r="D3252" s="252"/>
      <c r="E3252" s="252"/>
      <c r="F3252" s="252"/>
      <c r="G3252" s="252"/>
      <c r="H3252" s="252"/>
      <c r="I3252" s="252"/>
      <c r="J3252" s="252"/>
      <c r="K3252" s="252"/>
      <c r="L3252"/>
      <c r="M3252"/>
    </row>
    <row r="3253" spans="1:13" s="79" customFormat="1" x14ac:dyDescent="0.35">
      <c r="A3253" s="251"/>
      <c r="B3253" s="22"/>
      <c r="C3253" s="252"/>
      <c r="D3253" s="252"/>
      <c r="E3253" s="252"/>
      <c r="F3253" s="252"/>
      <c r="G3253" s="252"/>
      <c r="H3253" s="252"/>
      <c r="I3253" s="252"/>
      <c r="J3253" s="252"/>
      <c r="K3253" s="252"/>
      <c r="L3253"/>
      <c r="M3253"/>
    </row>
    <row r="3254" spans="1:13" s="79" customFormat="1" x14ac:dyDescent="0.35">
      <c r="A3254" s="251"/>
      <c r="B3254" s="22"/>
      <c r="C3254" s="252"/>
      <c r="D3254" s="252"/>
      <c r="E3254" s="252"/>
      <c r="F3254" s="252"/>
      <c r="G3254" s="252"/>
      <c r="H3254" s="252"/>
      <c r="I3254" s="252"/>
      <c r="J3254" s="252"/>
      <c r="K3254" s="252"/>
      <c r="L3254"/>
      <c r="M3254"/>
    </row>
    <row r="3255" spans="1:13" s="79" customFormat="1" x14ac:dyDescent="0.35">
      <c r="A3255" s="251"/>
      <c r="B3255" s="22"/>
      <c r="C3255" s="252"/>
      <c r="D3255" s="252"/>
      <c r="E3255" s="252"/>
      <c r="F3255" s="252"/>
      <c r="G3255" s="252"/>
      <c r="H3255" s="252"/>
      <c r="I3255" s="252"/>
      <c r="J3255" s="252"/>
      <c r="K3255" s="252"/>
      <c r="L3255"/>
      <c r="M3255"/>
    </row>
    <row r="3256" spans="1:13" s="79" customFormat="1" x14ac:dyDescent="0.35">
      <c r="A3256" s="251"/>
      <c r="B3256" s="22"/>
      <c r="C3256" s="252"/>
      <c r="D3256" s="252"/>
      <c r="E3256" s="252"/>
      <c r="F3256" s="252"/>
      <c r="G3256" s="252"/>
      <c r="H3256" s="252"/>
      <c r="I3256" s="252"/>
      <c r="J3256" s="252"/>
      <c r="K3256" s="252"/>
      <c r="L3256"/>
      <c r="M3256"/>
    </row>
    <row r="3257" spans="1:13" s="79" customFormat="1" x14ac:dyDescent="0.35">
      <c r="A3257" s="251"/>
      <c r="B3257" s="22"/>
      <c r="C3257" s="252"/>
      <c r="D3257" s="252"/>
      <c r="E3257" s="252"/>
      <c r="F3257" s="252"/>
      <c r="G3257" s="252"/>
      <c r="H3257" s="252"/>
      <c r="I3257" s="252"/>
      <c r="J3257" s="252"/>
      <c r="K3257" s="252"/>
      <c r="L3257"/>
      <c r="M3257"/>
    </row>
    <row r="3258" spans="1:13" s="79" customFormat="1" x14ac:dyDescent="0.35">
      <c r="A3258" s="251"/>
      <c r="B3258" s="22"/>
      <c r="C3258" s="252"/>
      <c r="D3258" s="252"/>
      <c r="E3258" s="252"/>
      <c r="F3258" s="252"/>
      <c r="G3258" s="252"/>
      <c r="H3258" s="252"/>
      <c r="I3258" s="252"/>
      <c r="J3258" s="252"/>
      <c r="K3258" s="252"/>
      <c r="L3258"/>
      <c r="M3258"/>
    </row>
    <row r="3259" spans="1:13" s="79" customFormat="1" x14ac:dyDescent="0.35">
      <c r="A3259" s="251"/>
      <c r="B3259" s="22"/>
      <c r="C3259" s="252"/>
      <c r="D3259" s="252"/>
      <c r="E3259" s="252"/>
      <c r="F3259" s="252"/>
      <c r="G3259" s="252"/>
      <c r="H3259" s="252"/>
      <c r="I3259" s="252"/>
      <c r="J3259" s="252"/>
      <c r="K3259" s="252"/>
      <c r="L3259"/>
      <c r="M3259"/>
    </row>
    <row r="3260" spans="1:13" s="79" customFormat="1" x14ac:dyDescent="0.35">
      <c r="A3260" s="251"/>
      <c r="B3260" s="22"/>
      <c r="C3260" s="252"/>
      <c r="D3260" s="252"/>
      <c r="E3260" s="252"/>
      <c r="F3260" s="252"/>
      <c r="G3260" s="252"/>
      <c r="H3260" s="252"/>
      <c r="I3260" s="252"/>
      <c r="J3260" s="252"/>
      <c r="K3260" s="252"/>
      <c r="L3260"/>
      <c r="M3260"/>
    </row>
    <row r="3261" spans="1:13" s="79" customFormat="1" x14ac:dyDescent="0.35">
      <c r="A3261" s="251"/>
      <c r="B3261" s="22"/>
      <c r="C3261" s="252"/>
      <c r="D3261" s="252"/>
      <c r="E3261" s="252"/>
      <c r="F3261" s="252"/>
      <c r="G3261" s="252"/>
      <c r="H3261" s="252"/>
      <c r="I3261" s="252"/>
      <c r="J3261" s="252"/>
      <c r="K3261" s="252"/>
      <c r="L3261"/>
      <c r="M3261"/>
    </row>
    <row r="3262" spans="1:13" s="79" customFormat="1" x14ac:dyDescent="0.35">
      <c r="A3262" s="251"/>
      <c r="B3262" s="22"/>
      <c r="C3262" s="252"/>
      <c r="D3262" s="252"/>
      <c r="E3262" s="252"/>
      <c r="F3262" s="252"/>
      <c r="G3262" s="252"/>
      <c r="H3262" s="252"/>
      <c r="I3262" s="252"/>
      <c r="J3262" s="252"/>
      <c r="K3262" s="252"/>
      <c r="L3262"/>
      <c r="M3262"/>
    </row>
    <row r="3263" spans="1:13" s="79" customFormat="1" x14ac:dyDescent="0.35">
      <c r="A3263" s="251"/>
      <c r="B3263" s="22"/>
      <c r="C3263" s="252"/>
      <c r="D3263" s="252"/>
      <c r="E3263" s="252"/>
      <c r="F3263" s="252"/>
      <c r="G3263" s="252"/>
      <c r="H3263" s="252"/>
      <c r="I3263" s="252"/>
      <c r="J3263" s="252"/>
      <c r="K3263" s="252"/>
      <c r="L3263"/>
      <c r="M3263"/>
    </row>
    <row r="3264" spans="1:13" s="79" customFormat="1" x14ac:dyDescent="0.35">
      <c r="A3264" s="251"/>
      <c r="B3264" s="22"/>
      <c r="C3264" s="252"/>
      <c r="D3264" s="252"/>
      <c r="E3264" s="252"/>
      <c r="F3264" s="252"/>
      <c r="G3264" s="252"/>
      <c r="H3264" s="252"/>
      <c r="I3264" s="252"/>
      <c r="J3264" s="252"/>
      <c r="K3264" s="252"/>
      <c r="L3264"/>
      <c r="M3264"/>
    </row>
    <row r="3265" spans="1:13" s="79" customFormat="1" x14ac:dyDescent="0.35">
      <c r="A3265" s="251"/>
      <c r="B3265" s="22"/>
      <c r="C3265" s="252"/>
      <c r="D3265" s="252"/>
      <c r="E3265" s="252"/>
      <c r="F3265" s="252"/>
      <c r="G3265" s="252"/>
      <c r="H3265" s="252"/>
      <c r="I3265" s="252"/>
      <c r="J3265" s="252"/>
      <c r="K3265" s="252"/>
      <c r="L3265"/>
      <c r="M3265"/>
    </row>
    <row r="3266" spans="1:13" s="79" customFormat="1" x14ac:dyDescent="0.35">
      <c r="A3266" s="251"/>
      <c r="B3266" s="22"/>
      <c r="C3266" s="252"/>
      <c r="D3266" s="252"/>
      <c r="E3266" s="252"/>
      <c r="F3266" s="252"/>
      <c r="G3266" s="252"/>
      <c r="H3266" s="252"/>
      <c r="I3266" s="252"/>
      <c r="J3266" s="252"/>
      <c r="K3266" s="252"/>
      <c r="L3266"/>
      <c r="M3266"/>
    </row>
    <row r="3267" spans="1:13" s="79" customFormat="1" x14ac:dyDescent="0.35">
      <c r="A3267" s="251"/>
      <c r="B3267" s="22"/>
      <c r="C3267" s="252"/>
      <c r="D3267" s="252"/>
      <c r="E3267" s="252"/>
      <c r="F3267" s="252"/>
      <c r="G3267" s="252"/>
      <c r="H3267" s="252"/>
      <c r="I3267" s="252"/>
      <c r="J3267" s="252"/>
      <c r="K3267" s="252"/>
      <c r="L3267"/>
      <c r="M3267"/>
    </row>
    <row r="3268" spans="1:13" s="79" customFormat="1" x14ac:dyDescent="0.35">
      <c r="A3268" s="251"/>
      <c r="B3268" s="22"/>
      <c r="C3268" s="252"/>
      <c r="D3268" s="252"/>
      <c r="E3268" s="252"/>
      <c r="F3268" s="252"/>
      <c r="G3268" s="252"/>
      <c r="H3268" s="252"/>
      <c r="I3268" s="252"/>
      <c r="J3268" s="252"/>
      <c r="K3268" s="252"/>
      <c r="L3268"/>
      <c r="M3268"/>
    </row>
    <row r="3269" spans="1:13" s="79" customFormat="1" x14ac:dyDescent="0.35">
      <c r="A3269" s="251"/>
      <c r="B3269" s="22"/>
      <c r="C3269" s="252"/>
      <c r="D3269" s="252"/>
      <c r="E3269" s="252"/>
      <c r="F3269" s="252"/>
      <c r="G3269" s="252"/>
      <c r="H3269" s="252"/>
      <c r="I3269" s="252"/>
      <c r="J3269" s="252"/>
      <c r="K3269" s="252"/>
      <c r="L3269"/>
      <c r="M3269"/>
    </row>
    <row r="3270" spans="1:13" s="79" customFormat="1" x14ac:dyDescent="0.35">
      <c r="A3270" s="251"/>
      <c r="B3270" s="22"/>
      <c r="C3270" s="252"/>
      <c r="D3270" s="252"/>
      <c r="E3270" s="252"/>
      <c r="F3270" s="252"/>
      <c r="G3270" s="252"/>
      <c r="H3270" s="252"/>
      <c r="I3270" s="252"/>
      <c r="J3270" s="252"/>
      <c r="K3270" s="252"/>
      <c r="L3270"/>
      <c r="M3270"/>
    </row>
    <row r="3271" spans="1:13" s="79" customFormat="1" x14ac:dyDescent="0.35">
      <c r="A3271" s="251"/>
      <c r="B3271" s="22"/>
      <c r="C3271" s="252"/>
      <c r="D3271" s="252"/>
      <c r="E3271" s="252"/>
      <c r="F3271" s="252"/>
      <c r="G3271" s="252"/>
      <c r="H3271" s="252"/>
      <c r="I3271" s="252"/>
      <c r="J3271" s="252"/>
      <c r="K3271" s="252"/>
      <c r="L3271"/>
      <c r="M3271"/>
    </row>
    <row r="3272" spans="1:13" s="79" customFormat="1" x14ac:dyDescent="0.35">
      <c r="A3272" s="251"/>
      <c r="B3272" s="22"/>
      <c r="C3272" s="252"/>
      <c r="D3272" s="252"/>
      <c r="E3272" s="252"/>
      <c r="F3272" s="252"/>
      <c r="G3272" s="252"/>
      <c r="H3272" s="252"/>
      <c r="I3272" s="252"/>
      <c r="J3272" s="252"/>
      <c r="K3272" s="252"/>
      <c r="L3272"/>
      <c r="M3272"/>
    </row>
    <row r="3273" spans="1:13" s="79" customFormat="1" x14ac:dyDescent="0.35">
      <c r="A3273" s="251"/>
      <c r="B3273" s="22"/>
      <c r="C3273" s="252"/>
      <c r="D3273" s="252"/>
      <c r="E3273" s="252"/>
      <c r="F3273" s="252"/>
      <c r="G3273" s="252"/>
      <c r="H3273" s="252"/>
      <c r="I3273" s="252"/>
      <c r="J3273" s="252"/>
      <c r="K3273" s="252"/>
      <c r="L3273"/>
      <c r="M3273"/>
    </row>
    <row r="3274" spans="1:13" s="79" customFormat="1" x14ac:dyDescent="0.35">
      <c r="A3274" s="251"/>
      <c r="B3274" s="22"/>
      <c r="C3274" s="252"/>
      <c r="D3274" s="252"/>
      <c r="E3274" s="252"/>
      <c r="F3274" s="252"/>
      <c r="G3274" s="252"/>
      <c r="H3274" s="252"/>
      <c r="I3274" s="252"/>
      <c r="J3274" s="252"/>
      <c r="K3274" s="252"/>
      <c r="L3274"/>
      <c r="M3274"/>
    </row>
    <row r="3275" spans="1:13" s="79" customFormat="1" x14ac:dyDescent="0.35">
      <c r="A3275" s="251"/>
      <c r="B3275" s="22"/>
      <c r="C3275" s="252"/>
      <c r="D3275" s="252"/>
      <c r="E3275" s="252"/>
      <c r="F3275" s="252"/>
      <c r="G3275" s="252"/>
      <c r="H3275" s="252"/>
      <c r="I3275" s="252"/>
      <c r="J3275" s="252"/>
      <c r="K3275" s="252"/>
      <c r="L3275"/>
      <c r="M3275"/>
    </row>
    <row r="3276" spans="1:13" s="79" customFormat="1" x14ac:dyDescent="0.35">
      <c r="A3276" s="251"/>
      <c r="B3276" s="22"/>
      <c r="C3276" s="252"/>
      <c r="D3276" s="252"/>
      <c r="E3276" s="252"/>
      <c r="F3276" s="252"/>
      <c r="G3276" s="252"/>
      <c r="H3276" s="252"/>
      <c r="I3276" s="252"/>
      <c r="J3276" s="252"/>
      <c r="K3276" s="252"/>
      <c r="L3276"/>
      <c r="M3276"/>
    </row>
    <row r="3277" spans="1:13" s="79" customFormat="1" x14ac:dyDescent="0.35">
      <c r="A3277" s="251"/>
      <c r="B3277" s="22"/>
      <c r="C3277" s="252"/>
      <c r="D3277" s="252"/>
      <c r="E3277" s="252"/>
      <c r="F3277" s="252"/>
      <c r="G3277" s="252"/>
      <c r="H3277" s="252"/>
      <c r="I3277" s="252"/>
      <c r="J3277" s="252"/>
      <c r="K3277" s="252"/>
      <c r="L3277"/>
      <c r="M3277"/>
    </row>
    <row r="3278" spans="1:13" s="79" customFormat="1" x14ac:dyDescent="0.35">
      <c r="A3278" s="251"/>
      <c r="B3278" s="22"/>
      <c r="C3278" s="252"/>
      <c r="D3278" s="252"/>
      <c r="E3278" s="252"/>
      <c r="F3278" s="252"/>
      <c r="G3278" s="252"/>
      <c r="H3278" s="252"/>
      <c r="I3278" s="252"/>
      <c r="J3278" s="252"/>
      <c r="K3278" s="252"/>
      <c r="L3278"/>
      <c r="M3278"/>
    </row>
    <row r="3279" spans="1:13" s="79" customFormat="1" x14ac:dyDescent="0.35">
      <c r="A3279" s="251"/>
      <c r="B3279" s="22"/>
      <c r="C3279" s="252"/>
      <c r="D3279" s="252"/>
      <c r="E3279" s="252"/>
      <c r="F3279" s="252"/>
      <c r="G3279" s="252"/>
      <c r="H3279" s="252"/>
      <c r="I3279" s="252"/>
      <c r="J3279" s="252"/>
      <c r="K3279" s="252"/>
      <c r="L3279"/>
      <c r="M3279"/>
    </row>
    <row r="3280" spans="1:13" s="79" customFormat="1" x14ac:dyDescent="0.35">
      <c r="A3280" s="251"/>
      <c r="B3280" s="22"/>
      <c r="C3280" s="252"/>
      <c r="D3280" s="252"/>
      <c r="E3280" s="252"/>
      <c r="F3280" s="252"/>
      <c r="G3280" s="252"/>
      <c r="H3280" s="252"/>
      <c r="I3280" s="252"/>
      <c r="J3280" s="252"/>
      <c r="K3280" s="252"/>
      <c r="L3280"/>
      <c r="M3280"/>
    </row>
    <row r="3281" spans="1:13" s="79" customFormat="1" x14ac:dyDescent="0.35">
      <c r="A3281" s="251"/>
      <c r="B3281" s="22"/>
      <c r="C3281" s="252"/>
      <c r="D3281" s="252"/>
      <c r="E3281" s="252"/>
      <c r="F3281" s="252"/>
      <c r="G3281" s="252"/>
      <c r="H3281" s="252"/>
      <c r="I3281" s="252"/>
      <c r="J3281" s="252"/>
      <c r="K3281" s="252"/>
      <c r="L3281"/>
      <c r="M3281"/>
    </row>
    <row r="3282" spans="1:13" s="79" customFormat="1" x14ac:dyDescent="0.35">
      <c r="A3282" s="251"/>
      <c r="B3282" s="22"/>
      <c r="C3282" s="252"/>
      <c r="D3282" s="252"/>
      <c r="E3282" s="252"/>
      <c r="F3282" s="252"/>
      <c r="G3282" s="252"/>
      <c r="H3282" s="252"/>
      <c r="I3282" s="252"/>
      <c r="J3282" s="252"/>
      <c r="K3282" s="252"/>
      <c r="L3282"/>
      <c r="M3282"/>
    </row>
    <row r="3283" spans="1:13" s="79" customFormat="1" x14ac:dyDescent="0.35">
      <c r="A3283" s="251"/>
      <c r="B3283" s="22"/>
      <c r="C3283" s="252"/>
      <c r="D3283" s="252"/>
      <c r="E3283" s="252"/>
      <c r="F3283" s="252"/>
      <c r="G3283" s="252"/>
      <c r="H3283" s="252"/>
      <c r="I3283" s="252"/>
      <c r="J3283" s="252"/>
      <c r="K3283" s="252"/>
      <c r="L3283"/>
      <c r="M3283"/>
    </row>
    <row r="3284" spans="1:13" s="79" customFormat="1" x14ac:dyDescent="0.35">
      <c r="A3284" s="251"/>
      <c r="B3284" s="22"/>
      <c r="C3284" s="252"/>
      <c r="D3284" s="252"/>
      <c r="E3284" s="252"/>
      <c r="F3284" s="252"/>
      <c r="G3284" s="252"/>
      <c r="H3284" s="252"/>
      <c r="I3284" s="252"/>
      <c r="J3284" s="252"/>
      <c r="K3284" s="252"/>
      <c r="L3284"/>
      <c r="M3284"/>
    </row>
    <row r="3285" spans="1:13" s="79" customFormat="1" x14ac:dyDescent="0.35">
      <c r="A3285" s="251"/>
      <c r="B3285" s="22"/>
      <c r="C3285" s="252"/>
      <c r="D3285" s="252"/>
      <c r="E3285" s="252"/>
      <c r="F3285" s="252"/>
      <c r="G3285" s="252"/>
      <c r="H3285" s="252"/>
      <c r="I3285" s="252"/>
      <c r="J3285" s="252"/>
      <c r="K3285" s="252"/>
      <c r="L3285"/>
      <c r="M3285"/>
    </row>
    <row r="3286" spans="1:13" s="79" customFormat="1" x14ac:dyDescent="0.35">
      <c r="A3286" s="251"/>
      <c r="B3286" s="22"/>
      <c r="C3286" s="252"/>
      <c r="D3286" s="252"/>
      <c r="E3286" s="252"/>
      <c r="F3286" s="252"/>
      <c r="G3286" s="252"/>
      <c r="H3286" s="252"/>
      <c r="I3286" s="252"/>
      <c r="J3286" s="252"/>
      <c r="K3286" s="252"/>
      <c r="L3286"/>
      <c r="M3286"/>
    </row>
    <row r="3287" spans="1:13" s="79" customFormat="1" x14ac:dyDescent="0.35">
      <c r="A3287" s="251"/>
      <c r="B3287" s="22"/>
      <c r="C3287" s="252"/>
      <c r="D3287" s="252"/>
      <c r="E3287" s="252"/>
      <c r="F3287" s="252"/>
      <c r="G3287" s="252"/>
      <c r="H3287" s="252"/>
      <c r="I3287" s="252"/>
      <c r="J3287" s="252"/>
      <c r="K3287" s="252"/>
      <c r="L3287"/>
      <c r="M3287"/>
    </row>
    <row r="3288" spans="1:13" s="79" customFormat="1" x14ac:dyDescent="0.35">
      <c r="A3288" s="251"/>
      <c r="B3288" s="22"/>
      <c r="C3288" s="252"/>
      <c r="D3288" s="252"/>
      <c r="E3288" s="252"/>
      <c r="F3288" s="252"/>
      <c r="G3288" s="252"/>
      <c r="H3288" s="252"/>
      <c r="I3288" s="252"/>
      <c r="J3288" s="252"/>
      <c r="K3288" s="252"/>
      <c r="L3288"/>
      <c r="M3288"/>
    </row>
    <row r="3289" spans="1:13" s="79" customFormat="1" x14ac:dyDescent="0.35">
      <c r="A3289" s="251"/>
      <c r="B3289" s="22"/>
      <c r="C3289" s="252"/>
      <c r="D3289" s="252"/>
      <c r="E3289" s="252"/>
      <c r="F3289" s="252"/>
      <c r="G3289" s="252"/>
      <c r="H3289" s="252"/>
      <c r="I3289" s="252"/>
      <c r="J3289" s="252"/>
      <c r="K3289" s="252"/>
      <c r="L3289"/>
      <c r="M3289"/>
    </row>
    <row r="3290" spans="1:13" s="79" customFormat="1" x14ac:dyDescent="0.35">
      <c r="A3290" s="251"/>
      <c r="B3290" s="22"/>
      <c r="C3290" s="252"/>
      <c r="D3290" s="252"/>
      <c r="E3290" s="252"/>
      <c r="F3290" s="252"/>
      <c r="G3290" s="252"/>
      <c r="H3290" s="252"/>
      <c r="I3290" s="252"/>
      <c r="J3290" s="252"/>
      <c r="K3290" s="252"/>
      <c r="L3290"/>
      <c r="M3290"/>
    </row>
    <row r="3291" spans="1:13" s="79" customFormat="1" x14ac:dyDescent="0.35">
      <c r="A3291" s="251"/>
      <c r="B3291" s="22"/>
      <c r="C3291" s="252"/>
      <c r="D3291" s="252"/>
      <c r="E3291" s="252"/>
      <c r="F3291" s="252"/>
      <c r="G3291" s="252"/>
      <c r="H3291" s="252"/>
      <c r="I3291" s="252"/>
      <c r="J3291" s="252"/>
      <c r="K3291" s="252"/>
      <c r="L3291"/>
      <c r="M3291"/>
    </row>
    <row r="3292" spans="1:13" s="79" customFormat="1" x14ac:dyDescent="0.35">
      <c r="A3292" s="251"/>
      <c r="B3292" s="22"/>
      <c r="C3292" s="252"/>
      <c r="D3292" s="252"/>
      <c r="E3292" s="252"/>
      <c r="F3292" s="252"/>
      <c r="G3292" s="252"/>
      <c r="H3292" s="252"/>
      <c r="I3292" s="252"/>
      <c r="J3292" s="252"/>
      <c r="K3292" s="252"/>
      <c r="L3292"/>
      <c r="M3292"/>
    </row>
    <row r="3293" spans="1:13" s="79" customFormat="1" x14ac:dyDescent="0.35">
      <c r="A3293" s="251"/>
      <c r="B3293" s="22"/>
      <c r="C3293" s="252"/>
      <c r="D3293" s="252"/>
      <c r="E3293" s="252"/>
      <c r="F3293" s="252"/>
      <c r="G3293" s="252"/>
      <c r="H3293" s="252"/>
      <c r="I3293" s="252"/>
      <c r="J3293" s="252"/>
      <c r="K3293" s="252"/>
      <c r="L3293"/>
      <c r="M3293"/>
    </row>
    <row r="3294" spans="1:13" s="79" customFormat="1" x14ac:dyDescent="0.35">
      <c r="A3294" s="251"/>
      <c r="B3294" s="22"/>
      <c r="C3294" s="252"/>
      <c r="D3294" s="252"/>
      <c r="E3294" s="252"/>
      <c r="F3294" s="252"/>
      <c r="G3294" s="252"/>
      <c r="H3294" s="252"/>
      <c r="I3294" s="252"/>
      <c r="J3294" s="252"/>
      <c r="K3294" s="252"/>
      <c r="L3294"/>
      <c r="M3294"/>
    </row>
    <row r="3295" spans="1:13" s="79" customFormat="1" x14ac:dyDescent="0.35">
      <c r="A3295" s="251"/>
      <c r="B3295" s="22"/>
      <c r="C3295" s="252"/>
      <c r="D3295" s="252"/>
      <c r="E3295" s="252"/>
      <c r="F3295" s="252"/>
      <c r="G3295" s="252"/>
      <c r="H3295" s="252"/>
      <c r="I3295" s="252"/>
      <c r="J3295" s="252"/>
      <c r="K3295" s="252"/>
      <c r="L3295"/>
      <c r="M3295"/>
    </row>
    <row r="3296" spans="1:13" s="79" customFormat="1" x14ac:dyDescent="0.35">
      <c r="A3296" s="251"/>
      <c r="B3296" s="22"/>
      <c r="C3296" s="252"/>
      <c r="D3296" s="252"/>
      <c r="E3296" s="252"/>
      <c r="F3296" s="252"/>
      <c r="G3296" s="252"/>
      <c r="H3296" s="252"/>
      <c r="I3296" s="252"/>
      <c r="J3296" s="252"/>
      <c r="K3296" s="252"/>
      <c r="L3296"/>
      <c r="M3296"/>
    </row>
    <row r="3297" spans="1:13" s="79" customFormat="1" x14ac:dyDescent="0.35">
      <c r="A3297" s="251"/>
      <c r="B3297" s="22"/>
      <c r="C3297" s="252"/>
      <c r="D3297" s="252"/>
      <c r="E3297" s="252"/>
      <c r="F3297" s="252"/>
      <c r="G3297" s="252"/>
      <c r="H3297" s="252"/>
      <c r="I3297" s="252"/>
      <c r="J3297" s="252"/>
      <c r="K3297" s="252"/>
      <c r="L3297"/>
      <c r="M3297"/>
    </row>
    <row r="3298" spans="1:13" s="79" customFormat="1" x14ac:dyDescent="0.35">
      <c r="A3298" s="251"/>
      <c r="B3298" s="22"/>
      <c r="C3298" s="252"/>
      <c r="D3298" s="252"/>
      <c r="E3298" s="252"/>
      <c r="F3298" s="252"/>
      <c r="G3298" s="252"/>
      <c r="H3298" s="252"/>
      <c r="I3298" s="252"/>
      <c r="J3298" s="252"/>
      <c r="K3298" s="252"/>
      <c r="L3298"/>
      <c r="M3298"/>
    </row>
    <row r="3299" spans="1:13" s="79" customFormat="1" x14ac:dyDescent="0.35">
      <c r="A3299" s="251"/>
      <c r="B3299" s="22"/>
      <c r="C3299" s="252"/>
      <c r="D3299" s="252"/>
      <c r="E3299" s="252"/>
      <c r="F3299" s="252"/>
      <c r="G3299" s="252"/>
      <c r="H3299" s="252"/>
      <c r="I3299" s="252"/>
      <c r="J3299" s="252"/>
      <c r="K3299" s="252"/>
      <c r="L3299"/>
      <c r="M3299"/>
    </row>
    <row r="3300" spans="1:13" s="79" customFormat="1" x14ac:dyDescent="0.35">
      <c r="A3300" s="251"/>
      <c r="B3300" s="22"/>
      <c r="C3300" s="252"/>
      <c r="D3300" s="252"/>
      <c r="E3300" s="252"/>
      <c r="F3300" s="252"/>
      <c r="G3300" s="252"/>
      <c r="H3300" s="252"/>
      <c r="I3300" s="252"/>
      <c r="J3300" s="252"/>
      <c r="K3300" s="252"/>
      <c r="L3300"/>
      <c r="M3300"/>
    </row>
    <row r="3301" spans="1:13" s="79" customFormat="1" x14ac:dyDescent="0.35">
      <c r="A3301" s="251"/>
      <c r="B3301" s="22"/>
      <c r="C3301" s="252"/>
      <c r="D3301" s="252"/>
      <c r="E3301" s="252"/>
      <c r="F3301" s="252"/>
      <c r="G3301" s="252"/>
      <c r="H3301" s="252"/>
      <c r="I3301" s="252"/>
      <c r="J3301" s="252"/>
      <c r="K3301" s="252"/>
      <c r="L3301"/>
      <c r="M3301"/>
    </row>
    <row r="3302" spans="1:13" s="79" customFormat="1" x14ac:dyDescent="0.35">
      <c r="A3302" s="251"/>
      <c r="B3302" s="22"/>
      <c r="C3302" s="252"/>
      <c r="D3302" s="252"/>
      <c r="E3302" s="252"/>
      <c r="F3302" s="252"/>
      <c r="G3302" s="252"/>
      <c r="H3302" s="252"/>
      <c r="I3302" s="252"/>
      <c r="J3302" s="252"/>
      <c r="K3302" s="252"/>
      <c r="L3302"/>
      <c r="M3302"/>
    </row>
    <row r="3303" spans="1:13" s="79" customFormat="1" x14ac:dyDescent="0.35">
      <c r="A3303" s="251"/>
      <c r="B3303" s="22"/>
      <c r="C3303" s="252"/>
      <c r="D3303" s="252"/>
      <c r="E3303" s="252"/>
      <c r="F3303" s="252"/>
      <c r="G3303" s="252"/>
      <c r="H3303" s="252"/>
      <c r="I3303" s="252"/>
      <c r="J3303" s="252"/>
      <c r="K3303" s="252"/>
      <c r="L3303"/>
      <c r="M3303"/>
    </row>
    <row r="3304" spans="1:13" s="79" customFormat="1" x14ac:dyDescent="0.35">
      <c r="A3304" s="251"/>
      <c r="B3304" s="22"/>
      <c r="C3304" s="252"/>
      <c r="D3304" s="252"/>
      <c r="E3304" s="252"/>
      <c r="F3304" s="252"/>
      <c r="G3304" s="252"/>
      <c r="H3304" s="252"/>
      <c r="I3304" s="252"/>
      <c r="J3304" s="252"/>
      <c r="K3304" s="252"/>
      <c r="L3304"/>
      <c r="M3304"/>
    </row>
    <row r="3305" spans="1:13" s="79" customFormat="1" x14ac:dyDescent="0.35">
      <c r="A3305" s="251"/>
      <c r="B3305" s="22"/>
      <c r="C3305" s="252"/>
      <c r="D3305" s="252"/>
      <c r="E3305" s="252"/>
      <c r="F3305" s="252"/>
      <c r="G3305" s="252"/>
      <c r="H3305" s="252"/>
      <c r="I3305" s="252"/>
      <c r="J3305" s="252"/>
      <c r="K3305" s="252"/>
      <c r="L3305"/>
      <c r="M3305"/>
    </row>
    <row r="3306" spans="1:13" s="79" customFormat="1" x14ac:dyDescent="0.35">
      <c r="A3306" s="251"/>
      <c r="B3306" s="22"/>
      <c r="C3306" s="252"/>
      <c r="D3306" s="252"/>
      <c r="E3306" s="252"/>
      <c r="F3306" s="252"/>
      <c r="G3306" s="252"/>
      <c r="H3306" s="252"/>
      <c r="I3306" s="252"/>
      <c r="J3306" s="252"/>
      <c r="K3306" s="252"/>
      <c r="L3306"/>
      <c r="M3306"/>
    </row>
    <row r="3307" spans="1:13" s="79" customFormat="1" x14ac:dyDescent="0.35">
      <c r="A3307" s="251"/>
      <c r="B3307" s="22"/>
      <c r="C3307" s="252"/>
      <c r="D3307" s="252"/>
      <c r="E3307" s="252"/>
      <c r="F3307" s="252"/>
      <c r="G3307" s="252"/>
      <c r="H3307" s="252"/>
      <c r="I3307" s="252"/>
      <c r="J3307" s="252"/>
      <c r="K3307" s="252"/>
      <c r="L3307"/>
      <c r="M3307"/>
    </row>
    <row r="3308" spans="1:13" s="79" customFormat="1" x14ac:dyDescent="0.35">
      <c r="A3308" s="251"/>
      <c r="B3308" s="22"/>
      <c r="C3308" s="252"/>
      <c r="D3308" s="252"/>
      <c r="E3308" s="252"/>
      <c r="F3308" s="252"/>
      <c r="G3308" s="252"/>
      <c r="H3308" s="252"/>
      <c r="I3308" s="252"/>
      <c r="J3308" s="252"/>
      <c r="K3308" s="252"/>
      <c r="L3308"/>
      <c r="M3308"/>
    </row>
    <row r="3309" spans="1:13" s="79" customFormat="1" x14ac:dyDescent="0.35">
      <c r="A3309" s="251"/>
      <c r="B3309" s="22"/>
      <c r="C3309" s="252"/>
      <c r="D3309" s="252"/>
      <c r="E3309" s="252"/>
      <c r="F3309" s="252"/>
      <c r="G3309" s="252"/>
      <c r="H3309" s="252"/>
      <c r="I3309" s="252"/>
      <c r="J3309" s="252"/>
      <c r="K3309" s="252"/>
      <c r="L3309"/>
      <c r="M3309"/>
    </row>
    <row r="3310" spans="1:13" s="79" customFormat="1" x14ac:dyDescent="0.35">
      <c r="A3310" s="251"/>
      <c r="B3310" s="22"/>
      <c r="C3310" s="252"/>
      <c r="D3310" s="252"/>
      <c r="E3310" s="252"/>
      <c r="F3310" s="252"/>
      <c r="G3310" s="252"/>
      <c r="H3310" s="252"/>
      <c r="I3310" s="252"/>
      <c r="J3310" s="252"/>
      <c r="K3310" s="252"/>
      <c r="L3310"/>
      <c r="M3310"/>
    </row>
    <row r="3311" spans="1:13" s="79" customFormat="1" x14ac:dyDescent="0.35">
      <c r="A3311" s="251"/>
      <c r="B3311" s="22"/>
      <c r="C3311" s="252"/>
      <c r="D3311" s="252"/>
      <c r="E3311" s="252"/>
      <c r="F3311" s="252"/>
      <c r="G3311" s="252"/>
      <c r="H3311" s="252"/>
      <c r="I3311" s="252"/>
      <c r="J3311" s="252"/>
      <c r="K3311" s="252"/>
      <c r="L3311"/>
      <c r="M3311"/>
    </row>
    <row r="3312" spans="1:13" s="79" customFormat="1" x14ac:dyDescent="0.35">
      <c r="A3312" s="251"/>
      <c r="B3312" s="22"/>
      <c r="C3312" s="252"/>
      <c r="D3312" s="252"/>
      <c r="E3312" s="252"/>
      <c r="F3312" s="252"/>
      <c r="G3312" s="252"/>
      <c r="H3312" s="252"/>
      <c r="I3312" s="252"/>
      <c r="J3312" s="252"/>
      <c r="K3312" s="252"/>
      <c r="L3312"/>
      <c r="M3312"/>
    </row>
    <row r="3313" spans="1:13" s="79" customFormat="1" x14ac:dyDescent="0.35">
      <c r="A3313" s="251"/>
      <c r="B3313" s="22"/>
      <c r="C3313" s="252"/>
      <c r="D3313" s="252"/>
      <c r="E3313" s="252"/>
      <c r="F3313" s="252"/>
      <c r="G3313" s="252"/>
      <c r="H3313" s="252"/>
      <c r="I3313" s="252"/>
      <c r="J3313" s="252"/>
      <c r="K3313" s="252"/>
      <c r="L3313"/>
      <c r="M3313"/>
    </row>
    <row r="3314" spans="1:13" s="79" customFormat="1" x14ac:dyDescent="0.35">
      <c r="A3314" s="251"/>
      <c r="B3314" s="22"/>
      <c r="C3314" s="252"/>
      <c r="D3314" s="252"/>
      <c r="E3314" s="252"/>
      <c r="F3314" s="252"/>
      <c r="G3314" s="252"/>
      <c r="H3314" s="252"/>
      <c r="I3314" s="252"/>
      <c r="J3314" s="252"/>
      <c r="K3314" s="252"/>
      <c r="L3314"/>
      <c r="M3314"/>
    </row>
    <row r="3315" spans="1:13" s="79" customFormat="1" x14ac:dyDescent="0.35">
      <c r="A3315" s="251"/>
      <c r="B3315" s="22"/>
      <c r="C3315" s="252"/>
      <c r="D3315" s="252"/>
      <c r="E3315" s="252"/>
      <c r="F3315" s="252"/>
      <c r="G3315" s="252"/>
      <c r="H3315" s="252"/>
      <c r="I3315" s="252"/>
      <c r="J3315" s="252"/>
      <c r="K3315" s="252"/>
      <c r="L3315"/>
      <c r="M3315"/>
    </row>
    <row r="3316" spans="1:13" s="79" customFormat="1" x14ac:dyDescent="0.35">
      <c r="A3316" s="251"/>
      <c r="B3316" s="22"/>
      <c r="C3316" s="252"/>
      <c r="D3316" s="252"/>
      <c r="E3316" s="252"/>
      <c r="F3316" s="252"/>
      <c r="G3316" s="252"/>
      <c r="H3316" s="252"/>
      <c r="I3316" s="252"/>
      <c r="J3316" s="252"/>
      <c r="K3316" s="252"/>
      <c r="L3316"/>
      <c r="M3316"/>
    </row>
    <row r="3317" spans="1:13" s="79" customFormat="1" x14ac:dyDescent="0.35">
      <c r="A3317" s="251"/>
      <c r="B3317" s="22"/>
      <c r="C3317" s="252"/>
      <c r="D3317" s="252"/>
      <c r="E3317" s="252"/>
      <c r="F3317" s="252"/>
      <c r="G3317" s="252"/>
      <c r="H3317" s="252"/>
      <c r="I3317" s="252"/>
      <c r="J3317" s="252"/>
      <c r="K3317" s="252"/>
      <c r="L3317"/>
      <c r="M3317"/>
    </row>
    <row r="3318" spans="1:13" s="79" customFormat="1" x14ac:dyDescent="0.35">
      <c r="A3318" s="251"/>
      <c r="B3318" s="22"/>
      <c r="C3318" s="252"/>
      <c r="D3318" s="252"/>
      <c r="E3318" s="252"/>
      <c r="F3318" s="252"/>
      <c r="G3318" s="252"/>
      <c r="H3318" s="252"/>
      <c r="I3318" s="252"/>
      <c r="J3318" s="252"/>
      <c r="K3318" s="252"/>
      <c r="L3318"/>
      <c r="M3318"/>
    </row>
    <row r="3319" spans="1:13" s="79" customFormat="1" x14ac:dyDescent="0.35">
      <c r="A3319" s="251"/>
      <c r="B3319" s="22"/>
      <c r="C3319" s="252"/>
      <c r="D3319" s="252"/>
      <c r="E3319" s="252"/>
      <c r="F3319" s="252"/>
      <c r="G3319" s="252"/>
      <c r="H3319" s="252"/>
      <c r="I3319" s="252"/>
      <c r="J3319" s="252"/>
      <c r="K3319" s="252"/>
      <c r="L3319"/>
      <c r="M3319"/>
    </row>
    <row r="3320" spans="1:13" s="79" customFormat="1" x14ac:dyDescent="0.35">
      <c r="A3320" s="251"/>
      <c r="B3320" s="22"/>
      <c r="C3320" s="252"/>
      <c r="D3320" s="252"/>
      <c r="E3320" s="252"/>
      <c r="F3320" s="252"/>
      <c r="G3320" s="252"/>
      <c r="H3320" s="252"/>
      <c r="I3320" s="252"/>
      <c r="J3320" s="252"/>
      <c r="K3320" s="252"/>
      <c r="L3320"/>
      <c r="M3320"/>
    </row>
    <row r="3321" spans="1:13" s="79" customFormat="1" x14ac:dyDescent="0.35">
      <c r="A3321" s="251"/>
      <c r="B3321" s="22"/>
      <c r="C3321" s="252"/>
      <c r="D3321" s="252"/>
      <c r="E3321" s="252"/>
      <c r="F3321" s="252"/>
      <c r="G3321" s="252"/>
      <c r="H3321" s="252"/>
      <c r="I3321" s="252"/>
      <c r="J3321" s="252"/>
      <c r="K3321" s="252"/>
      <c r="L3321"/>
      <c r="M3321"/>
    </row>
    <row r="3322" spans="1:13" s="79" customFormat="1" x14ac:dyDescent="0.35">
      <c r="A3322" s="251"/>
      <c r="B3322" s="22"/>
      <c r="C3322" s="252"/>
      <c r="D3322" s="252"/>
      <c r="E3322" s="252"/>
      <c r="F3322" s="252"/>
      <c r="G3322" s="252"/>
      <c r="H3322" s="252"/>
      <c r="I3322" s="252"/>
      <c r="J3322" s="252"/>
      <c r="K3322" s="252"/>
      <c r="L3322"/>
      <c r="M3322"/>
    </row>
    <row r="3323" spans="1:13" s="79" customFormat="1" x14ac:dyDescent="0.35">
      <c r="A3323" s="251"/>
      <c r="B3323" s="22"/>
      <c r="C3323" s="252"/>
      <c r="D3323" s="252"/>
      <c r="E3323" s="252"/>
      <c r="F3323" s="252"/>
      <c r="G3323" s="252"/>
      <c r="H3323" s="252"/>
      <c r="I3323" s="252"/>
      <c r="J3323" s="252"/>
      <c r="K3323" s="252"/>
      <c r="L3323"/>
      <c r="M3323"/>
    </row>
    <row r="3324" spans="1:13" s="79" customFormat="1" x14ac:dyDescent="0.35">
      <c r="A3324" s="251"/>
      <c r="B3324" s="22"/>
      <c r="C3324" s="252"/>
      <c r="D3324" s="252"/>
      <c r="E3324" s="252"/>
      <c r="F3324" s="252"/>
      <c r="G3324" s="252"/>
      <c r="H3324" s="252"/>
      <c r="I3324" s="252"/>
      <c r="J3324" s="252"/>
      <c r="K3324" s="252"/>
      <c r="L3324"/>
      <c r="M3324"/>
    </row>
    <row r="3325" spans="1:13" s="79" customFormat="1" x14ac:dyDescent="0.35">
      <c r="A3325" s="251"/>
      <c r="B3325" s="22"/>
      <c r="C3325" s="252"/>
      <c r="D3325" s="252"/>
      <c r="E3325" s="252"/>
      <c r="F3325" s="252"/>
      <c r="G3325" s="252"/>
      <c r="H3325" s="252"/>
      <c r="I3325" s="252"/>
      <c r="J3325" s="252"/>
      <c r="K3325" s="252"/>
      <c r="L3325"/>
      <c r="M3325"/>
    </row>
    <row r="3326" spans="1:13" s="79" customFormat="1" x14ac:dyDescent="0.35">
      <c r="A3326" s="251"/>
      <c r="B3326" s="22"/>
      <c r="C3326" s="252"/>
      <c r="D3326" s="252"/>
      <c r="E3326" s="252"/>
      <c r="F3326" s="252"/>
      <c r="G3326" s="252"/>
      <c r="H3326" s="252"/>
      <c r="I3326" s="252"/>
      <c r="J3326" s="252"/>
      <c r="K3326" s="252"/>
      <c r="L3326"/>
      <c r="M3326"/>
    </row>
    <row r="3327" spans="1:13" s="79" customFormat="1" x14ac:dyDescent="0.35">
      <c r="A3327" s="251"/>
      <c r="B3327" s="22"/>
      <c r="C3327" s="252"/>
      <c r="D3327" s="252"/>
      <c r="E3327" s="252"/>
      <c r="F3327" s="252"/>
      <c r="G3327" s="252"/>
      <c r="H3327" s="252"/>
      <c r="I3327" s="252"/>
      <c r="J3327" s="252"/>
      <c r="K3327" s="252"/>
      <c r="L3327"/>
      <c r="M3327"/>
    </row>
    <row r="3328" spans="1:13" s="79" customFormat="1" x14ac:dyDescent="0.35">
      <c r="A3328" s="251"/>
      <c r="B3328" s="22"/>
      <c r="C3328" s="252"/>
      <c r="D3328" s="252"/>
      <c r="E3328" s="252"/>
      <c r="F3328" s="252"/>
      <c r="G3328" s="252"/>
      <c r="H3328" s="252"/>
      <c r="I3328" s="252"/>
      <c r="J3328" s="252"/>
      <c r="K3328" s="252"/>
      <c r="L3328"/>
      <c r="M3328"/>
    </row>
    <row r="3329" spans="1:13" s="79" customFormat="1" x14ac:dyDescent="0.35">
      <c r="A3329" s="251"/>
      <c r="B3329" s="22"/>
      <c r="C3329" s="252"/>
      <c r="D3329" s="252"/>
      <c r="E3329" s="252"/>
      <c r="F3329" s="252"/>
      <c r="G3329" s="252"/>
      <c r="H3329" s="252"/>
      <c r="I3329" s="252"/>
      <c r="J3329" s="252"/>
      <c r="K3329" s="252"/>
      <c r="L3329"/>
      <c r="M3329"/>
    </row>
    <row r="3330" spans="1:13" s="79" customFormat="1" x14ac:dyDescent="0.35">
      <c r="A3330" s="251"/>
      <c r="B3330" s="22"/>
      <c r="C3330" s="252"/>
      <c r="D3330" s="252"/>
      <c r="E3330" s="252"/>
      <c r="F3330" s="252"/>
      <c r="G3330" s="252"/>
      <c r="H3330" s="252"/>
      <c r="I3330" s="252"/>
      <c r="J3330" s="252"/>
      <c r="K3330" s="252"/>
      <c r="L3330"/>
      <c r="M3330"/>
    </row>
    <row r="3331" spans="1:13" s="79" customFormat="1" x14ac:dyDescent="0.35">
      <c r="A3331" s="251"/>
      <c r="B3331" s="22"/>
      <c r="C3331" s="252"/>
      <c r="D3331" s="252"/>
      <c r="E3331" s="252"/>
      <c r="F3331" s="252"/>
      <c r="G3331" s="252"/>
      <c r="H3331" s="252"/>
      <c r="I3331" s="252"/>
      <c r="J3331" s="252"/>
      <c r="K3331" s="252"/>
      <c r="L3331"/>
      <c r="M3331"/>
    </row>
    <row r="3332" spans="1:13" s="79" customFormat="1" x14ac:dyDescent="0.35">
      <c r="A3332" s="251"/>
      <c r="B3332" s="22"/>
      <c r="C3332" s="252"/>
      <c r="D3332" s="252"/>
      <c r="E3332" s="252"/>
      <c r="F3332" s="252"/>
      <c r="G3332" s="252"/>
      <c r="H3332" s="252"/>
      <c r="I3332" s="252"/>
      <c r="J3332" s="252"/>
      <c r="K3332" s="252"/>
      <c r="L3332"/>
      <c r="M3332"/>
    </row>
    <row r="3333" spans="1:13" s="79" customFormat="1" x14ac:dyDescent="0.35">
      <c r="A3333" s="251"/>
      <c r="B3333" s="22"/>
      <c r="C3333" s="252"/>
      <c r="D3333" s="252"/>
      <c r="E3333" s="252"/>
      <c r="F3333" s="252"/>
      <c r="G3333" s="252"/>
      <c r="H3333" s="252"/>
      <c r="I3333" s="252"/>
      <c r="J3333" s="252"/>
      <c r="K3333" s="252"/>
      <c r="L3333"/>
      <c r="M3333"/>
    </row>
    <row r="3334" spans="1:13" s="79" customFormat="1" x14ac:dyDescent="0.35">
      <c r="A3334" s="251"/>
      <c r="B3334" s="22"/>
      <c r="C3334" s="252"/>
      <c r="D3334" s="252"/>
      <c r="E3334" s="252"/>
      <c r="F3334" s="252"/>
      <c r="G3334" s="252"/>
      <c r="H3334" s="252"/>
      <c r="I3334" s="252"/>
      <c r="J3334" s="252"/>
      <c r="K3334" s="252"/>
      <c r="L3334"/>
      <c r="M3334"/>
    </row>
    <row r="3335" spans="1:13" s="79" customFormat="1" x14ac:dyDescent="0.35">
      <c r="A3335" s="251"/>
      <c r="B3335" s="22"/>
      <c r="C3335" s="252"/>
      <c r="D3335" s="252"/>
      <c r="E3335" s="252"/>
      <c r="F3335" s="252"/>
      <c r="G3335" s="252"/>
      <c r="H3335" s="252"/>
      <c r="I3335" s="252"/>
      <c r="J3335" s="252"/>
      <c r="K3335" s="252"/>
      <c r="L3335"/>
      <c r="M3335"/>
    </row>
    <row r="3336" spans="1:13" s="79" customFormat="1" x14ac:dyDescent="0.35">
      <c r="A3336" s="251"/>
      <c r="B3336" s="22"/>
      <c r="C3336" s="252"/>
      <c r="D3336" s="252"/>
      <c r="E3336" s="252"/>
      <c r="F3336" s="252"/>
      <c r="G3336" s="252"/>
      <c r="H3336" s="252"/>
      <c r="I3336" s="252"/>
      <c r="J3336" s="252"/>
      <c r="K3336" s="252"/>
      <c r="L3336"/>
      <c r="M3336"/>
    </row>
    <row r="3337" spans="1:13" s="79" customFormat="1" x14ac:dyDescent="0.35">
      <c r="A3337" s="251"/>
      <c r="B3337" s="22"/>
      <c r="C3337" s="252"/>
      <c r="D3337" s="252"/>
      <c r="E3337" s="252"/>
      <c r="F3337" s="252"/>
      <c r="G3337" s="252"/>
      <c r="H3337" s="252"/>
      <c r="I3337" s="252"/>
      <c r="J3337" s="252"/>
      <c r="K3337" s="252"/>
      <c r="L3337"/>
      <c r="M3337"/>
    </row>
    <row r="3338" spans="1:13" s="79" customFormat="1" x14ac:dyDescent="0.35">
      <c r="A3338" s="251"/>
      <c r="B3338" s="22"/>
      <c r="C3338" s="252"/>
      <c r="D3338" s="252"/>
      <c r="E3338" s="252"/>
      <c r="F3338" s="252"/>
      <c r="G3338" s="252"/>
      <c r="H3338" s="252"/>
      <c r="I3338" s="252"/>
      <c r="J3338" s="252"/>
      <c r="K3338" s="252"/>
      <c r="L3338"/>
      <c r="M3338"/>
    </row>
    <row r="3339" spans="1:13" s="79" customFormat="1" x14ac:dyDescent="0.35">
      <c r="A3339" s="251"/>
      <c r="B3339" s="22"/>
      <c r="C3339" s="252"/>
      <c r="D3339" s="252"/>
      <c r="E3339" s="252"/>
      <c r="F3339" s="252"/>
      <c r="G3339" s="252"/>
      <c r="H3339" s="252"/>
      <c r="I3339" s="252"/>
      <c r="J3339" s="252"/>
      <c r="K3339" s="252"/>
      <c r="L3339"/>
      <c r="M3339"/>
    </row>
    <row r="3340" spans="1:13" s="79" customFormat="1" x14ac:dyDescent="0.35">
      <c r="A3340" s="251"/>
      <c r="B3340" s="22"/>
      <c r="C3340" s="252"/>
      <c r="D3340" s="252"/>
      <c r="E3340" s="252"/>
      <c r="F3340" s="252"/>
      <c r="G3340" s="252"/>
      <c r="H3340" s="252"/>
      <c r="I3340" s="252"/>
      <c r="J3340" s="252"/>
      <c r="K3340" s="252"/>
      <c r="L3340"/>
      <c r="M3340"/>
    </row>
    <row r="3341" spans="1:13" s="79" customFormat="1" x14ac:dyDescent="0.35">
      <c r="A3341" s="251"/>
      <c r="B3341" s="22"/>
      <c r="C3341" s="252"/>
      <c r="D3341" s="252"/>
      <c r="E3341" s="252"/>
      <c r="F3341" s="252"/>
      <c r="G3341" s="252"/>
      <c r="H3341" s="252"/>
      <c r="I3341" s="252"/>
      <c r="J3341" s="252"/>
      <c r="K3341" s="252"/>
      <c r="L3341"/>
      <c r="M3341"/>
    </row>
    <row r="3342" spans="1:13" s="79" customFormat="1" x14ac:dyDescent="0.35">
      <c r="A3342" s="251"/>
      <c r="B3342" s="22"/>
      <c r="C3342" s="252"/>
      <c r="D3342" s="252"/>
      <c r="E3342" s="252"/>
      <c r="F3342" s="252"/>
      <c r="G3342" s="252"/>
      <c r="H3342" s="252"/>
      <c r="I3342" s="252"/>
      <c r="J3342" s="252"/>
      <c r="K3342" s="252"/>
      <c r="L3342"/>
      <c r="M3342"/>
    </row>
    <row r="3343" spans="1:13" s="79" customFormat="1" x14ac:dyDescent="0.35">
      <c r="A3343" s="251"/>
      <c r="B3343" s="22"/>
      <c r="C3343" s="252"/>
      <c r="D3343" s="252"/>
      <c r="E3343" s="252"/>
      <c r="F3343" s="252"/>
      <c r="G3343" s="252"/>
      <c r="H3343" s="252"/>
      <c r="I3343" s="252"/>
      <c r="J3343" s="252"/>
      <c r="K3343" s="252"/>
      <c r="L3343"/>
      <c r="M3343"/>
    </row>
    <row r="3344" spans="1:13" s="79" customFormat="1" x14ac:dyDescent="0.35">
      <c r="A3344" s="251"/>
      <c r="B3344" s="22"/>
      <c r="C3344" s="252"/>
      <c r="D3344" s="252"/>
      <c r="E3344" s="252"/>
      <c r="F3344" s="252"/>
      <c r="G3344" s="252"/>
      <c r="H3344" s="252"/>
      <c r="I3344" s="252"/>
      <c r="J3344" s="252"/>
      <c r="K3344" s="252"/>
      <c r="L3344"/>
      <c r="M3344"/>
    </row>
    <row r="3345" spans="1:13" s="79" customFormat="1" x14ac:dyDescent="0.35">
      <c r="A3345" s="251"/>
      <c r="B3345" s="22"/>
      <c r="C3345" s="252"/>
      <c r="D3345" s="252"/>
      <c r="E3345" s="252"/>
      <c r="F3345" s="252"/>
      <c r="G3345" s="252"/>
      <c r="H3345" s="252"/>
      <c r="I3345" s="252"/>
      <c r="J3345" s="252"/>
      <c r="K3345" s="252"/>
      <c r="L3345"/>
      <c r="M3345"/>
    </row>
    <row r="3346" spans="1:13" s="79" customFormat="1" x14ac:dyDescent="0.35">
      <c r="A3346" s="251"/>
      <c r="B3346" s="22"/>
      <c r="C3346" s="252"/>
      <c r="D3346" s="252"/>
      <c r="E3346" s="252"/>
      <c r="F3346" s="252"/>
      <c r="G3346" s="252"/>
      <c r="H3346" s="252"/>
      <c r="I3346" s="252"/>
      <c r="J3346" s="252"/>
      <c r="K3346" s="252"/>
      <c r="L3346"/>
      <c r="M3346"/>
    </row>
    <row r="3347" spans="1:13" s="79" customFormat="1" x14ac:dyDescent="0.35">
      <c r="A3347" s="251"/>
      <c r="B3347" s="22"/>
      <c r="C3347" s="252"/>
      <c r="D3347" s="252"/>
      <c r="E3347" s="252"/>
      <c r="F3347" s="252"/>
      <c r="G3347" s="252"/>
      <c r="H3347" s="252"/>
      <c r="I3347" s="252"/>
      <c r="J3347" s="252"/>
      <c r="K3347" s="252"/>
      <c r="L3347"/>
      <c r="M3347"/>
    </row>
    <row r="3348" spans="1:13" s="79" customFormat="1" x14ac:dyDescent="0.35">
      <c r="A3348" s="251"/>
      <c r="B3348" s="22"/>
      <c r="C3348" s="252"/>
      <c r="D3348" s="252"/>
      <c r="E3348" s="252"/>
      <c r="F3348" s="252"/>
      <c r="G3348" s="252"/>
      <c r="H3348" s="252"/>
      <c r="I3348" s="252"/>
      <c r="J3348" s="252"/>
      <c r="K3348" s="252"/>
      <c r="L3348"/>
      <c r="M3348"/>
    </row>
    <row r="3349" spans="1:13" s="79" customFormat="1" x14ac:dyDescent="0.35">
      <c r="A3349" s="251"/>
      <c r="B3349" s="22"/>
      <c r="C3349" s="252"/>
      <c r="D3349" s="252"/>
      <c r="E3349" s="252"/>
      <c r="F3349" s="252"/>
      <c r="G3349" s="252"/>
      <c r="H3349" s="252"/>
      <c r="I3349" s="252"/>
      <c r="J3349" s="252"/>
      <c r="K3349" s="252"/>
      <c r="L3349"/>
      <c r="M3349"/>
    </row>
    <row r="3350" spans="1:13" s="79" customFormat="1" x14ac:dyDescent="0.35">
      <c r="A3350" s="251"/>
      <c r="B3350" s="22"/>
      <c r="C3350" s="252"/>
      <c r="D3350" s="252"/>
      <c r="E3350" s="252"/>
      <c r="F3350" s="252"/>
      <c r="G3350" s="252"/>
      <c r="H3350" s="252"/>
      <c r="I3350" s="252"/>
      <c r="J3350" s="252"/>
      <c r="K3350" s="252"/>
      <c r="L3350"/>
      <c r="M3350"/>
    </row>
    <row r="3351" spans="1:13" s="79" customFormat="1" x14ac:dyDescent="0.35">
      <c r="A3351" s="251"/>
      <c r="B3351" s="22"/>
      <c r="C3351" s="252"/>
      <c r="D3351" s="252"/>
      <c r="E3351" s="252"/>
      <c r="F3351" s="252"/>
      <c r="G3351" s="252"/>
      <c r="H3351" s="252"/>
      <c r="I3351" s="252"/>
      <c r="J3351" s="252"/>
      <c r="K3351" s="252"/>
      <c r="L3351"/>
      <c r="M3351"/>
    </row>
    <row r="3352" spans="1:13" s="79" customFormat="1" x14ac:dyDescent="0.35">
      <c r="A3352" s="251"/>
      <c r="B3352" s="22"/>
      <c r="C3352" s="252"/>
      <c r="D3352" s="252"/>
      <c r="E3352" s="252"/>
      <c r="F3352" s="252"/>
      <c r="G3352" s="252"/>
      <c r="H3352" s="252"/>
      <c r="I3352" s="252"/>
      <c r="J3352" s="252"/>
      <c r="K3352" s="252"/>
      <c r="L3352"/>
      <c r="M3352"/>
    </row>
    <row r="3353" spans="1:13" s="79" customFormat="1" x14ac:dyDescent="0.35">
      <c r="A3353" s="251"/>
      <c r="B3353" s="22"/>
      <c r="C3353" s="252"/>
      <c r="D3353" s="252"/>
      <c r="E3353" s="252"/>
      <c r="F3353" s="252"/>
      <c r="G3353" s="252"/>
      <c r="H3353" s="252"/>
      <c r="I3353" s="252"/>
      <c r="J3353" s="252"/>
      <c r="K3353" s="252"/>
      <c r="L3353"/>
      <c r="M3353"/>
    </row>
    <row r="3354" spans="1:13" s="79" customFormat="1" x14ac:dyDescent="0.35">
      <c r="A3354" s="251"/>
      <c r="B3354" s="22"/>
      <c r="C3354" s="252"/>
      <c r="D3354" s="252"/>
      <c r="E3354" s="252"/>
      <c r="F3354" s="252"/>
      <c r="G3354" s="252"/>
      <c r="H3354" s="252"/>
      <c r="I3354" s="252"/>
      <c r="J3354" s="252"/>
      <c r="K3354" s="252"/>
      <c r="L3354"/>
      <c r="M3354"/>
    </row>
    <row r="3355" spans="1:13" s="79" customFormat="1" x14ac:dyDescent="0.35">
      <c r="A3355" s="251"/>
      <c r="B3355" s="22"/>
      <c r="C3355" s="252"/>
      <c r="D3355" s="252"/>
      <c r="E3355" s="252"/>
      <c r="F3355" s="252"/>
      <c r="G3355" s="252"/>
      <c r="H3355" s="252"/>
      <c r="I3355" s="252"/>
      <c r="J3355" s="252"/>
      <c r="K3355" s="252"/>
      <c r="L3355"/>
      <c r="M3355"/>
    </row>
    <row r="3356" spans="1:13" s="79" customFormat="1" x14ac:dyDescent="0.35">
      <c r="A3356" s="251"/>
      <c r="B3356" s="22"/>
      <c r="C3356" s="252"/>
      <c r="D3356" s="252"/>
      <c r="E3356" s="252"/>
      <c r="F3356" s="252"/>
      <c r="G3356" s="252"/>
      <c r="H3356" s="252"/>
      <c r="I3356" s="252"/>
      <c r="J3356" s="252"/>
      <c r="K3356" s="252"/>
      <c r="L3356"/>
      <c r="M3356"/>
    </row>
    <row r="3357" spans="1:13" s="79" customFormat="1" x14ac:dyDescent="0.35">
      <c r="A3357" s="251"/>
      <c r="B3357" s="22"/>
      <c r="C3357" s="252"/>
      <c r="D3357" s="252"/>
      <c r="E3357" s="252"/>
      <c r="F3357" s="252"/>
      <c r="G3357" s="252"/>
      <c r="H3357" s="252"/>
      <c r="I3357" s="252"/>
      <c r="J3357" s="252"/>
      <c r="K3357" s="252"/>
      <c r="L3357"/>
      <c r="M3357"/>
    </row>
    <row r="3358" spans="1:13" s="79" customFormat="1" x14ac:dyDescent="0.35">
      <c r="A3358" s="251"/>
      <c r="B3358" s="22"/>
      <c r="C3358" s="252"/>
      <c r="D3358" s="252"/>
      <c r="E3358" s="252"/>
      <c r="F3358" s="252"/>
      <c r="G3358" s="252"/>
      <c r="H3358" s="252"/>
      <c r="I3358" s="252"/>
      <c r="J3358" s="252"/>
      <c r="K3358" s="252"/>
      <c r="L3358"/>
      <c r="M3358"/>
    </row>
    <row r="3359" spans="1:13" s="79" customFormat="1" x14ac:dyDescent="0.35">
      <c r="A3359" s="251"/>
      <c r="B3359" s="22"/>
      <c r="C3359" s="252"/>
      <c r="D3359" s="252"/>
      <c r="E3359" s="252"/>
      <c r="F3359" s="252"/>
      <c r="G3359" s="252"/>
      <c r="H3359" s="252"/>
      <c r="I3359" s="252"/>
      <c r="J3359" s="252"/>
      <c r="K3359" s="252"/>
      <c r="L3359"/>
      <c r="M3359"/>
    </row>
    <row r="3360" spans="1:13" s="79" customFormat="1" x14ac:dyDescent="0.35">
      <c r="A3360" s="251"/>
      <c r="B3360" s="22"/>
      <c r="C3360" s="252"/>
      <c r="D3360" s="252"/>
      <c r="E3360" s="252"/>
      <c r="F3360" s="252"/>
      <c r="G3360" s="252"/>
      <c r="H3360" s="252"/>
      <c r="I3360" s="252"/>
      <c r="J3360" s="252"/>
      <c r="K3360" s="252"/>
      <c r="L3360"/>
      <c r="M3360"/>
    </row>
    <row r="3361" spans="1:13" s="79" customFormat="1" x14ac:dyDescent="0.35">
      <c r="A3361" s="251"/>
      <c r="B3361" s="22"/>
      <c r="C3361" s="252"/>
      <c r="D3361" s="252"/>
      <c r="E3361" s="252"/>
      <c r="F3361" s="252"/>
      <c r="G3361" s="252"/>
      <c r="H3361" s="252"/>
      <c r="I3361" s="252"/>
      <c r="J3361" s="252"/>
      <c r="K3361" s="252"/>
      <c r="L3361"/>
      <c r="M3361"/>
    </row>
    <row r="3362" spans="1:13" s="79" customFormat="1" x14ac:dyDescent="0.35">
      <c r="A3362" s="251"/>
      <c r="B3362" s="22"/>
      <c r="C3362" s="252"/>
      <c r="D3362" s="252"/>
      <c r="E3362" s="252"/>
      <c r="F3362" s="252"/>
      <c r="G3362" s="252"/>
      <c r="H3362" s="252"/>
      <c r="I3362" s="252"/>
      <c r="J3362" s="252"/>
      <c r="K3362" s="252"/>
      <c r="L3362"/>
      <c r="M3362"/>
    </row>
    <row r="3363" spans="1:13" s="79" customFormat="1" x14ac:dyDescent="0.35">
      <c r="A3363" s="251"/>
      <c r="B3363" s="22"/>
      <c r="C3363" s="252"/>
      <c r="D3363" s="252"/>
      <c r="E3363" s="252"/>
      <c r="F3363" s="252"/>
      <c r="G3363" s="252"/>
      <c r="H3363" s="252"/>
      <c r="I3363" s="252"/>
      <c r="J3363" s="252"/>
      <c r="K3363" s="252"/>
      <c r="L3363"/>
      <c r="M3363"/>
    </row>
    <row r="3364" spans="1:13" s="79" customFormat="1" x14ac:dyDescent="0.35">
      <c r="A3364" s="251"/>
      <c r="B3364" s="22"/>
      <c r="C3364" s="252"/>
      <c r="D3364" s="252"/>
      <c r="E3364" s="252"/>
      <c r="F3364" s="252"/>
      <c r="G3364" s="252"/>
      <c r="H3364" s="252"/>
      <c r="I3364" s="252"/>
      <c r="J3364" s="252"/>
      <c r="K3364" s="252"/>
      <c r="L3364"/>
      <c r="M3364"/>
    </row>
    <row r="3365" spans="1:13" s="79" customFormat="1" x14ac:dyDescent="0.35">
      <c r="A3365" s="251"/>
      <c r="B3365" s="22"/>
      <c r="C3365" s="252"/>
      <c r="D3365" s="252"/>
      <c r="E3365" s="252"/>
      <c r="F3365" s="252"/>
      <c r="G3365" s="252"/>
      <c r="H3365" s="252"/>
      <c r="I3365" s="252"/>
      <c r="J3365" s="252"/>
      <c r="K3365" s="252"/>
      <c r="L3365"/>
      <c r="M3365"/>
    </row>
    <row r="3366" spans="1:13" s="79" customFormat="1" x14ac:dyDescent="0.35">
      <c r="A3366" s="251"/>
      <c r="B3366" s="22"/>
      <c r="C3366" s="252"/>
      <c r="D3366" s="252"/>
      <c r="E3366" s="252"/>
      <c r="F3366" s="252"/>
      <c r="G3366" s="252"/>
      <c r="H3366" s="252"/>
      <c r="I3366" s="252"/>
      <c r="J3366" s="252"/>
      <c r="K3366" s="252"/>
      <c r="L3366"/>
      <c r="M3366"/>
    </row>
    <row r="3367" spans="1:13" s="79" customFormat="1" x14ac:dyDescent="0.35">
      <c r="A3367" s="251"/>
      <c r="B3367" s="22"/>
      <c r="C3367" s="252"/>
      <c r="D3367" s="252"/>
      <c r="E3367" s="252"/>
      <c r="F3367" s="252"/>
      <c r="G3367" s="252"/>
      <c r="H3367" s="252"/>
      <c r="I3367" s="252"/>
      <c r="J3367" s="252"/>
      <c r="K3367" s="252"/>
      <c r="L3367"/>
      <c r="M3367"/>
    </row>
    <row r="3368" spans="1:13" s="79" customFormat="1" x14ac:dyDescent="0.35">
      <c r="A3368" s="251"/>
      <c r="B3368" s="22"/>
      <c r="C3368" s="252"/>
      <c r="D3368" s="252"/>
      <c r="E3368" s="252"/>
      <c r="F3368" s="252"/>
      <c r="G3368" s="252"/>
      <c r="H3368" s="252"/>
      <c r="I3368" s="252"/>
      <c r="J3368" s="252"/>
      <c r="K3368" s="252"/>
      <c r="L3368"/>
      <c r="M3368"/>
    </row>
    <row r="3369" spans="1:13" s="79" customFormat="1" x14ac:dyDescent="0.35">
      <c r="A3369" s="251"/>
      <c r="B3369" s="22"/>
      <c r="C3369" s="252"/>
      <c r="D3369" s="252"/>
      <c r="E3369" s="252"/>
      <c r="F3369" s="252"/>
      <c r="G3369" s="252"/>
      <c r="H3369" s="252"/>
      <c r="I3369" s="252"/>
      <c r="J3369" s="252"/>
      <c r="K3369" s="252"/>
      <c r="L3369"/>
      <c r="M3369"/>
    </row>
    <row r="3370" spans="1:13" s="79" customFormat="1" x14ac:dyDescent="0.35">
      <c r="A3370" s="251"/>
      <c r="B3370" s="22"/>
      <c r="C3370" s="252"/>
      <c r="D3370" s="252"/>
      <c r="E3370" s="252"/>
      <c r="F3370" s="252"/>
      <c r="G3370" s="252"/>
      <c r="H3370" s="252"/>
      <c r="I3370" s="252"/>
      <c r="J3370" s="252"/>
      <c r="K3370" s="252"/>
      <c r="L3370"/>
      <c r="M3370"/>
    </row>
    <row r="3371" spans="1:13" s="79" customFormat="1" x14ac:dyDescent="0.35">
      <c r="A3371" s="251"/>
      <c r="B3371" s="22"/>
      <c r="C3371" s="252"/>
      <c r="D3371" s="252"/>
      <c r="E3371" s="252"/>
      <c r="F3371" s="252"/>
      <c r="G3371" s="252"/>
      <c r="H3371" s="252"/>
      <c r="I3371" s="252"/>
      <c r="J3371" s="252"/>
      <c r="K3371" s="252"/>
      <c r="L3371"/>
      <c r="M3371"/>
    </row>
    <row r="3372" spans="1:13" s="79" customFormat="1" x14ac:dyDescent="0.35">
      <c r="A3372" s="251"/>
      <c r="B3372" s="22"/>
      <c r="C3372" s="252"/>
      <c r="D3372" s="252"/>
      <c r="E3372" s="252"/>
      <c r="F3372" s="252"/>
      <c r="G3372" s="252"/>
      <c r="H3372" s="252"/>
      <c r="I3372" s="252"/>
      <c r="J3372" s="252"/>
      <c r="K3372" s="252"/>
      <c r="L3372"/>
      <c r="M3372"/>
    </row>
    <row r="3373" spans="1:13" s="79" customFormat="1" x14ac:dyDescent="0.35">
      <c r="A3373" s="251"/>
      <c r="B3373" s="22"/>
      <c r="C3373" s="252"/>
      <c r="D3373" s="252"/>
      <c r="E3373" s="252"/>
      <c r="F3373" s="252"/>
      <c r="G3373" s="252"/>
      <c r="H3373" s="252"/>
      <c r="I3373" s="252"/>
      <c r="J3373" s="252"/>
      <c r="K3373" s="252"/>
      <c r="L3373"/>
      <c r="M3373"/>
    </row>
    <row r="3374" spans="1:13" s="79" customFormat="1" x14ac:dyDescent="0.35">
      <c r="A3374" s="251"/>
      <c r="B3374" s="22"/>
      <c r="C3374" s="252"/>
      <c r="D3374" s="252"/>
      <c r="E3374" s="252"/>
      <c r="F3374" s="252"/>
      <c r="G3374" s="252"/>
      <c r="H3374" s="252"/>
      <c r="I3374" s="252"/>
      <c r="J3374" s="252"/>
      <c r="K3374" s="252"/>
      <c r="L3374"/>
      <c r="M3374"/>
    </row>
    <row r="3375" spans="1:13" s="79" customFormat="1" x14ac:dyDescent="0.35">
      <c r="A3375" s="251"/>
      <c r="B3375" s="22"/>
      <c r="C3375" s="252"/>
      <c r="D3375" s="252"/>
      <c r="E3375" s="252"/>
      <c r="F3375" s="252"/>
      <c r="G3375" s="252"/>
      <c r="H3375" s="252"/>
      <c r="I3375" s="252"/>
      <c r="J3375" s="252"/>
      <c r="K3375" s="252"/>
      <c r="L3375"/>
      <c r="M3375"/>
    </row>
    <row r="3376" spans="1:13" s="79" customFormat="1" x14ac:dyDescent="0.35">
      <c r="A3376" s="251"/>
      <c r="B3376" s="22"/>
      <c r="C3376" s="252"/>
      <c r="D3376" s="252"/>
      <c r="E3376" s="252"/>
      <c r="F3376" s="252"/>
      <c r="G3376" s="252"/>
      <c r="H3376" s="252"/>
      <c r="I3376" s="252"/>
      <c r="J3376" s="252"/>
      <c r="K3376" s="252"/>
      <c r="L3376"/>
      <c r="M3376"/>
    </row>
    <row r="3377" spans="1:13" s="79" customFormat="1" x14ac:dyDescent="0.35">
      <c r="A3377" s="251"/>
      <c r="B3377" s="22"/>
      <c r="C3377" s="252"/>
      <c r="D3377" s="252"/>
      <c r="E3377" s="252"/>
      <c r="F3377" s="252"/>
      <c r="G3377" s="252"/>
      <c r="H3377" s="252"/>
      <c r="I3377" s="252"/>
      <c r="J3377" s="252"/>
      <c r="K3377" s="252"/>
      <c r="L3377"/>
      <c r="M3377"/>
    </row>
    <row r="3378" spans="1:13" s="79" customFormat="1" x14ac:dyDescent="0.35">
      <c r="A3378" s="251"/>
      <c r="B3378" s="22"/>
      <c r="C3378" s="252"/>
      <c r="D3378" s="252"/>
      <c r="E3378" s="252"/>
      <c r="F3378" s="252"/>
      <c r="G3378" s="252"/>
      <c r="H3378" s="252"/>
      <c r="I3378" s="252"/>
      <c r="J3378" s="252"/>
      <c r="K3378" s="252"/>
      <c r="L3378"/>
      <c r="M3378"/>
    </row>
    <row r="3379" spans="1:13" s="79" customFormat="1" x14ac:dyDescent="0.35">
      <c r="A3379" s="251"/>
      <c r="B3379" s="22"/>
      <c r="C3379" s="252"/>
      <c r="D3379" s="252"/>
      <c r="E3379" s="252"/>
      <c r="F3379" s="252"/>
      <c r="G3379" s="252"/>
      <c r="H3379" s="252"/>
      <c r="I3379" s="252"/>
      <c r="J3379" s="252"/>
      <c r="K3379" s="252"/>
      <c r="L3379"/>
      <c r="M3379"/>
    </row>
    <row r="3380" spans="1:13" s="79" customFormat="1" x14ac:dyDescent="0.35">
      <c r="A3380" s="251"/>
      <c r="B3380" s="22"/>
      <c r="C3380" s="252"/>
      <c r="D3380" s="252"/>
      <c r="E3380" s="252"/>
      <c r="F3380" s="252"/>
      <c r="G3380" s="252"/>
      <c r="H3380" s="252"/>
      <c r="I3380" s="252"/>
      <c r="J3380" s="252"/>
      <c r="K3380" s="252"/>
      <c r="L3380"/>
      <c r="M3380"/>
    </row>
    <row r="3381" spans="1:13" s="79" customFormat="1" x14ac:dyDescent="0.35">
      <c r="A3381" s="251"/>
      <c r="B3381" s="22"/>
      <c r="C3381" s="252"/>
      <c r="D3381" s="252"/>
      <c r="E3381" s="252"/>
      <c r="F3381" s="252"/>
      <c r="G3381" s="252"/>
      <c r="H3381" s="252"/>
      <c r="I3381" s="252"/>
      <c r="J3381" s="252"/>
      <c r="K3381" s="252"/>
      <c r="L3381"/>
      <c r="M3381"/>
    </row>
    <row r="3382" spans="1:13" s="79" customFormat="1" x14ac:dyDescent="0.35">
      <c r="A3382" s="251"/>
      <c r="B3382" s="22"/>
      <c r="C3382" s="252"/>
      <c r="D3382" s="252"/>
      <c r="E3382" s="252"/>
      <c r="F3382" s="252"/>
      <c r="G3382" s="252"/>
      <c r="H3382" s="252"/>
      <c r="I3382" s="252"/>
      <c r="J3382" s="252"/>
      <c r="K3382" s="252"/>
      <c r="L3382"/>
      <c r="M3382"/>
    </row>
    <row r="3383" spans="1:13" s="79" customFormat="1" x14ac:dyDescent="0.35">
      <c r="A3383" s="251"/>
      <c r="B3383" s="22"/>
      <c r="C3383" s="252"/>
      <c r="D3383" s="252"/>
      <c r="E3383" s="252"/>
      <c r="F3383" s="252"/>
      <c r="G3383" s="252"/>
      <c r="H3383" s="252"/>
      <c r="I3383" s="252"/>
      <c r="J3383" s="252"/>
      <c r="K3383" s="252"/>
      <c r="L3383"/>
      <c r="M3383"/>
    </row>
    <row r="3384" spans="1:13" s="79" customFormat="1" x14ac:dyDescent="0.35">
      <c r="A3384" s="251"/>
      <c r="B3384" s="22"/>
      <c r="C3384" s="252"/>
      <c r="D3384" s="252"/>
      <c r="E3384" s="252"/>
      <c r="F3384" s="252"/>
      <c r="G3384" s="252"/>
      <c r="H3384" s="252"/>
      <c r="I3384" s="252"/>
      <c r="J3384" s="252"/>
      <c r="K3384" s="252"/>
      <c r="L3384"/>
      <c r="M3384"/>
    </row>
    <row r="3385" spans="1:13" s="79" customFormat="1" x14ac:dyDescent="0.35">
      <c r="A3385" s="251"/>
      <c r="B3385" s="22"/>
      <c r="C3385" s="252"/>
      <c r="D3385" s="252"/>
      <c r="E3385" s="252"/>
      <c r="F3385" s="252"/>
      <c r="G3385" s="252"/>
      <c r="H3385" s="252"/>
      <c r="I3385" s="252"/>
      <c r="J3385" s="252"/>
      <c r="K3385" s="252"/>
      <c r="L3385"/>
      <c r="M3385"/>
    </row>
    <row r="3386" spans="1:13" s="79" customFormat="1" x14ac:dyDescent="0.35">
      <c r="A3386" s="251"/>
      <c r="B3386" s="22"/>
      <c r="C3386" s="252"/>
      <c r="D3386" s="252"/>
      <c r="E3386" s="252"/>
      <c r="F3386" s="252"/>
      <c r="G3386" s="252"/>
      <c r="H3386" s="252"/>
      <c r="I3386" s="252"/>
      <c r="J3386" s="252"/>
      <c r="K3386" s="252"/>
      <c r="L3386"/>
      <c r="M3386"/>
    </row>
    <row r="3387" spans="1:13" s="79" customFormat="1" x14ac:dyDescent="0.35">
      <c r="A3387" s="251"/>
      <c r="B3387" s="22"/>
      <c r="C3387" s="252"/>
      <c r="D3387" s="252"/>
      <c r="E3387" s="252"/>
      <c r="F3387" s="252"/>
      <c r="G3387" s="252"/>
      <c r="H3387" s="252"/>
      <c r="I3387" s="252"/>
      <c r="J3387" s="252"/>
      <c r="K3387" s="252"/>
      <c r="L3387"/>
      <c r="M3387"/>
    </row>
    <row r="3388" spans="1:13" s="79" customFormat="1" x14ac:dyDescent="0.35">
      <c r="A3388" s="251"/>
      <c r="B3388" s="22"/>
      <c r="C3388" s="252"/>
      <c r="D3388" s="252"/>
      <c r="E3388" s="252"/>
      <c r="F3388" s="252"/>
      <c r="G3388" s="252"/>
      <c r="H3388" s="252"/>
      <c r="I3388" s="252"/>
      <c r="J3388" s="252"/>
      <c r="K3388" s="252"/>
      <c r="L3388"/>
      <c r="M3388"/>
    </row>
    <row r="3389" spans="1:13" s="79" customFormat="1" x14ac:dyDescent="0.35">
      <c r="A3389" s="251"/>
      <c r="B3389" s="22"/>
      <c r="C3389" s="252"/>
      <c r="D3389" s="252"/>
      <c r="E3389" s="252"/>
      <c r="F3389" s="252"/>
      <c r="G3389" s="252"/>
      <c r="H3389" s="252"/>
      <c r="I3389" s="252"/>
      <c r="J3389" s="252"/>
      <c r="K3389" s="252"/>
      <c r="L3389"/>
      <c r="M3389"/>
    </row>
    <row r="3390" spans="1:13" s="79" customFormat="1" x14ac:dyDescent="0.35">
      <c r="A3390" s="251"/>
      <c r="B3390" s="22"/>
      <c r="C3390" s="252"/>
      <c r="D3390" s="252"/>
      <c r="E3390" s="252"/>
      <c r="F3390" s="252"/>
      <c r="G3390" s="252"/>
      <c r="H3390" s="252"/>
      <c r="I3390" s="252"/>
      <c r="J3390" s="252"/>
      <c r="K3390" s="252"/>
      <c r="L3390"/>
      <c r="M3390"/>
    </row>
    <row r="3391" spans="1:13" s="79" customFormat="1" x14ac:dyDescent="0.35">
      <c r="A3391" s="251"/>
      <c r="B3391" s="22"/>
      <c r="C3391" s="252"/>
      <c r="D3391" s="252"/>
      <c r="E3391" s="252"/>
      <c r="F3391" s="252"/>
      <c r="G3391" s="252"/>
      <c r="H3391" s="252"/>
      <c r="I3391" s="252"/>
      <c r="J3391" s="252"/>
      <c r="K3391" s="252"/>
      <c r="L3391"/>
      <c r="M3391"/>
    </row>
    <row r="3392" spans="1:13" s="79" customFormat="1" x14ac:dyDescent="0.35">
      <c r="A3392" s="251"/>
      <c r="B3392" s="22"/>
      <c r="C3392" s="252"/>
      <c r="D3392" s="252"/>
      <c r="E3392" s="252"/>
      <c r="F3392" s="252"/>
      <c r="G3392" s="252"/>
      <c r="H3392" s="252"/>
      <c r="I3392" s="252"/>
      <c r="J3392" s="252"/>
      <c r="K3392" s="252"/>
      <c r="L3392"/>
      <c r="M3392"/>
    </row>
    <row r="3393" spans="1:13" s="79" customFormat="1" x14ac:dyDescent="0.35">
      <c r="A3393" s="251"/>
      <c r="B3393" s="22"/>
      <c r="C3393" s="252"/>
      <c r="D3393" s="252"/>
      <c r="E3393" s="252"/>
      <c r="F3393" s="252"/>
      <c r="G3393" s="252"/>
      <c r="H3393" s="252"/>
      <c r="I3393" s="252"/>
      <c r="J3393" s="252"/>
      <c r="K3393" s="252"/>
      <c r="L3393"/>
      <c r="M3393"/>
    </row>
    <row r="3394" spans="1:13" s="79" customFormat="1" x14ac:dyDescent="0.35">
      <c r="A3394" s="251"/>
      <c r="B3394" s="22"/>
      <c r="C3394" s="252"/>
      <c r="D3394" s="252"/>
      <c r="E3394" s="252"/>
      <c r="F3394" s="252"/>
      <c r="G3394" s="252"/>
      <c r="H3394" s="252"/>
      <c r="I3394" s="252"/>
      <c r="J3394" s="252"/>
      <c r="K3394" s="252"/>
      <c r="L3394"/>
      <c r="M3394"/>
    </row>
    <row r="3395" spans="1:13" s="79" customFormat="1" x14ac:dyDescent="0.35">
      <c r="A3395" s="251"/>
      <c r="B3395" s="22"/>
      <c r="C3395" s="252"/>
      <c r="D3395" s="252"/>
      <c r="E3395" s="252"/>
      <c r="F3395" s="252"/>
      <c r="G3395" s="252"/>
      <c r="H3395" s="252"/>
      <c r="I3395" s="252"/>
      <c r="J3395" s="252"/>
      <c r="K3395" s="252"/>
      <c r="L3395"/>
      <c r="M3395"/>
    </row>
    <row r="3396" spans="1:13" s="79" customFormat="1" x14ac:dyDescent="0.35">
      <c r="A3396" s="251"/>
      <c r="B3396" s="22"/>
      <c r="C3396" s="252"/>
      <c r="D3396" s="252"/>
      <c r="E3396" s="252"/>
      <c r="F3396" s="252"/>
      <c r="G3396" s="252"/>
      <c r="H3396" s="252"/>
      <c r="I3396" s="252"/>
      <c r="J3396" s="252"/>
      <c r="K3396" s="252"/>
      <c r="L3396"/>
      <c r="M3396"/>
    </row>
    <row r="3397" spans="1:13" s="79" customFormat="1" x14ac:dyDescent="0.35">
      <c r="A3397" s="251"/>
      <c r="B3397" s="22"/>
      <c r="C3397" s="252"/>
      <c r="D3397" s="252"/>
      <c r="E3397" s="252"/>
      <c r="F3397" s="252"/>
      <c r="G3397" s="252"/>
      <c r="H3397" s="252"/>
      <c r="I3397" s="252"/>
      <c r="J3397" s="252"/>
      <c r="K3397" s="252"/>
      <c r="L3397"/>
      <c r="M3397"/>
    </row>
    <row r="3398" spans="1:13" s="79" customFormat="1" x14ac:dyDescent="0.35">
      <c r="A3398" s="251"/>
      <c r="B3398" s="22"/>
      <c r="C3398" s="252"/>
      <c r="D3398" s="252"/>
      <c r="E3398" s="252"/>
      <c r="F3398" s="252"/>
      <c r="G3398" s="252"/>
      <c r="H3398" s="252"/>
      <c r="I3398" s="252"/>
      <c r="J3398" s="252"/>
      <c r="K3398" s="252"/>
      <c r="L3398"/>
      <c r="M3398"/>
    </row>
    <row r="3399" spans="1:13" s="79" customFormat="1" x14ac:dyDescent="0.35">
      <c r="A3399" s="251"/>
      <c r="B3399" s="22"/>
      <c r="C3399" s="252"/>
      <c r="D3399" s="252"/>
      <c r="E3399" s="252"/>
      <c r="F3399" s="252"/>
      <c r="G3399" s="252"/>
      <c r="H3399" s="252"/>
      <c r="I3399" s="252"/>
      <c r="J3399" s="252"/>
      <c r="K3399" s="252"/>
      <c r="L3399"/>
      <c r="M3399"/>
    </row>
    <row r="3400" spans="1:13" s="79" customFormat="1" x14ac:dyDescent="0.35">
      <c r="A3400" s="251"/>
      <c r="B3400" s="22"/>
      <c r="C3400" s="252"/>
      <c r="D3400" s="252"/>
      <c r="E3400" s="252"/>
      <c r="F3400" s="252"/>
      <c r="G3400" s="252"/>
      <c r="H3400" s="252"/>
      <c r="I3400" s="252"/>
      <c r="J3400" s="252"/>
      <c r="K3400" s="252"/>
      <c r="L3400"/>
      <c r="M3400"/>
    </row>
    <row r="3401" spans="1:13" s="79" customFormat="1" x14ac:dyDescent="0.35">
      <c r="A3401" s="251"/>
      <c r="B3401" s="22"/>
      <c r="C3401" s="252"/>
      <c r="D3401" s="252"/>
      <c r="E3401" s="252"/>
      <c r="F3401" s="252"/>
      <c r="G3401" s="252"/>
      <c r="H3401" s="252"/>
      <c r="I3401" s="252"/>
      <c r="J3401" s="252"/>
      <c r="K3401" s="252"/>
      <c r="L3401"/>
      <c r="M3401"/>
    </row>
    <row r="3402" spans="1:13" s="79" customFormat="1" x14ac:dyDescent="0.35">
      <c r="A3402" s="251"/>
      <c r="B3402" s="22"/>
      <c r="C3402" s="252"/>
      <c r="D3402" s="252"/>
      <c r="E3402" s="252"/>
      <c r="F3402" s="252"/>
      <c r="G3402" s="252"/>
      <c r="H3402" s="252"/>
      <c r="I3402" s="252"/>
      <c r="J3402" s="252"/>
      <c r="K3402" s="252"/>
      <c r="L3402"/>
      <c r="M3402"/>
    </row>
    <row r="3403" spans="1:13" s="79" customFormat="1" x14ac:dyDescent="0.35">
      <c r="A3403" s="251"/>
      <c r="B3403" s="22"/>
      <c r="C3403" s="252"/>
      <c r="D3403" s="252"/>
      <c r="E3403" s="252"/>
      <c r="F3403" s="252"/>
      <c r="G3403" s="252"/>
      <c r="H3403" s="252"/>
      <c r="I3403" s="252"/>
      <c r="J3403" s="252"/>
      <c r="K3403" s="252"/>
      <c r="L3403"/>
      <c r="M3403"/>
    </row>
    <row r="3404" spans="1:13" s="79" customFormat="1" x14ac:dyDescent="0.35">
      <c r="A3404" s="251"/>
      <c r="B3404" s="22"/>
      <c r="C3404" s="252"/>
      <c r="D3404" s="252"/>
      <c r="E3404" s="252"/>
      <c r="F3404" s="252"/>
      <c r="G3404" s="252"/>
      <c r="H3404" s="252"/>
      <c r="I3404" s="252"/>
      <c r="J3404" s="252"/>
      <c r="K3404" s="252"/>
      <c r="L3404"/>
      <c r="M3404"/>
    </row>
    <row r="3405" spans="1:13" s="79" customFormat="1" x14ac:dyDescent="0.35">
      <c r="A3405" s="251"/>
      <c r="B3405" s="22"/>
      <c r="C3405" s="252"/>
      <c r="D3405" s="252"/>
      <c r="E3405" s="252"/>
      <c r="F3405" s="252"/>
      <c r="G3405" s="252"/>
      <c r="H3405" s="252"/>
      <c r="I3405" s="252"/>
      <c r="J3405" s="252"/>
      <c r="K3405" s="252"/>
      <c r="L3405"/>
      <c r="M3405"/>
    </row>
    <row r="3406" spans="1:13" s="79" customFormat="1" x14ac:dyDescent="0.35">
      <c r="A3406" s="251"/>
      <c r="B3406" s="22"/>
      <c r="C3406" s="252"/>
      <c r="D3406" s="252"/>
      <c r="E3406" s="252"/>
      <c r="F3406" s="252"/>
      <c r="G3406" s="252"/>
      <c r="H3406" s="252"/>
      <c r="I3406" s="252"/>
      <c r="J3406" s="252"/>
      <c r="K3406" s="252"/>
      <c r="L3406"/>
      <c r="M3406"/>
    </row>
    <row r="3407" spans="1:13" s="79" customFormat="1" x14ac:dyDescent="0.35">
      <c r="A3407" s="251"/>
      <c r="B3407" s="22"/>
      <c r="C3407" s="252"/>
      <c r="D3407" s="252"/>
      <c r="E3407" s="252"/>
      <c r="F3407" s="252"/>
      <c r="G3407" s="252"/>
      <c r="H3407" s="252"/>
      <c r="I3407" s="252"/>
      <c r="J3407" s="252"/>
      <c r="K3407" s="252"/>
      <c r="L3407"/>
      <c r="M3407"/>
    </row>
    <row r="3408" spans="1:13" s="79" customFormat="1" x14ac:dyDescent="0.35">
      <c r="A3408" s="251"/>
      <c r="B3408" s="22"/>
      <c r="C3408" s="252"/>
      <c r="D3408" s="252"/>
      <c r="E3408" s="252"/>
      <c r="F3408" s="252"/>
      <c r="G3408" s="252"/>
      <c r="H3408" s="252"/>
      <c r="I3408" s="252"/>
      <c r="J3408" s="252"/>
      <c r="K3408" s="252"/>
      <c r="L3408"/>
      <c r="M3408"/>
    </row>
    <row r="3409" spans="1:13" s="79" customFormat="1" x14ac:dyDescent="0.35">
      <c r="A3409" s="251"/>
      <c r="B3409" s="22"/>
      <c r="C3409" s="252"/>
      <c r="D3409" s="252"/>
      <c r="E3409" s="252"/>
      <c r="F3409" s="252"/>
      <c r="G3409" s="252"/>
      <c r="H3409" s="252"/>
      <c r="I3409" s="252"/>
      <c r="J3409" s="252"/>
      <c r="K3409" s="252"/>
      <c r="L3409"/>
      <c r="M3409"/>
    </row>
    <row r="3410" spans="1:13" s="79" customFormat="1" x14ac:dyDescent="0.35">
      <c r="A3410" s="251"/>
      <c r="B3410" s="22"/>
      <c r="C3410" s="252"/>
      <c r="D3410" s="252"/>
      <c r="E3410" s="252"/>
      <c r="F3410" s="252"/>
      <c r="G3410" s="252"/>
      <c r="H3410" s="252"/>
      <c r="I3410" s="252"/>
      <c r="J3410" s="252"/>
      <c r="K3410" s="252"/>
      <c r="L3410"/>
      <c r="M3410"/>
    </row>
    <row r="3411" spans="1:13" s="79" customFormat="1" x14ac:dyDescent="0.35">
      <c r="A3411" s="251"/>
      <c r="B3411" s="22"/>
      <c r="C3411" s="252"/>
      <c r="D3411" s="252"/>
      <c r="E3411" s="252"/>
      <c r="F3411" s="252"/>
      <c r="G3411" s="252"/>
      <c r="H3411" s="252"/>
      <c r="I3411" s="252"/>
      <c r="J3411" s="252"/>
      <c r="K3411" s="252"/>
      <c r="L3411"/>
      <c r="M3411"/>
    </row>
    <row r="3412" spans="1:13" s="79" customFormat="1" x14ac:dyDescent="0.35">
      <c r="A3412" s="251"/>
      <c r="B3412" s="22"/>
      <c r="C3412" s="252"/>
      <c r="D3412" s="252"/>
      <c r="E3412" s="252"/>
      <c r="F3412" s="252"/>
      <c r="G3412" s="252"/>
      <c r="H3412" s="252"/>
      <c r="I3412" s="252"/>
      <c r="J3412" s="252"/>
      <c r="K3412" s="252"/>
      <c r="L3412"/>
      <c r="M3412"/>
    </row>
    <row r="3413" spans="1:13" s="79" customFormat="1" x14ac:dyDescent="0.35">
      <c r="A3413" s="251"/>
      <c r="B3413" s="22"/>
      <c r="C3413" s="252"/>
      <c r="D3413" s="252"/>
      <c r="E3413" s="252"/>
      <c r="F3413" s="252"/>
      <c r="G3413" s="252"/>
      <c r="H3413" s="252"/>
      <c r="I3413" s="252"/>
      <c r="J3413" s="252"/>
      <c r="K3413" s="252"/>
      <c r="L3413"/>
      <c r="M3413"/>
    </row>
    <row r="3414" spans="1:13" s="79" customFormat="1" x14ac:dyDescent="0.35">
      <c r="A3414" s="251"/>
      <c r="B3414" s="22"/>
      <c r="C3414" s="252"/>
      <c r="D3414" s="252"/>
      <c r="E3414" s="252"/>
      <c r="F3414" s="252"/>
      <c r="G3414" s="252"/>
      <c r="H3414" s="252"/>
      <c r="I3414" s="252"/>
      <c r="J3414" s="252"/>
      <c r="K3414" s="252"/>
      <c r="L3414"/>
      <c r="M3414"/>
    </row>
    <row r="3415" spans="1:13" s="79" customFormat="1" x14ac:dyDescent="0.35">
      <c r="A3415" s="251"/>
      <c r="B3415" s="22"/>
      <c r="C3415" s="252"/>
      <c r="D3415" s="252"/>
      <c r="E3415" s="252"/>
      <c r="F3415" s="252"/>
      <c r="G3415" s="252"/>
      <c r="H3415" s="252"/>
      <c r="I3415" s="252"/>
      <c r="J3415" s="252"/>
      <c r="K3415" s="252"/>
      <c r="L3415"/>
      <c r="M3415"/>
    </row>
    <row r="3416" spans="1:13" s="79" customFormat="1" x14ac:dyDescent="0.35">
      <c r="A3416" s="251"/>
      <c r="B3416" s="22"/>
      <c r="C3416" s="252"/>
      <c r="D3416" s="252"/>
      <c r="E3416" s="252"/>
      <c r="F3416" s="252"/>
      <c r="G3416" s="252"/>
      <c r="H3416" s="252"/>
      <c r="I3416" s="252"/>
      <c r="J3416" s="252"/>
      <c r="K3416" s="252"/>
      <c r="L3416"/>
      <c r="M3416"/>
    </row>
    <row r="3417" spans="1:13" s="79" customFormat="1" x14ac:dyDescent="0.35">
      <c r="A3417" s="251"/>
      <c r="B3417" s="22"/>
      <c r="C3417" s="252"/>
      <c r="D3417" s="252"/>
      <c r="E3417" s="252"/>
      <c r="F3417" s="252"/>
      <c r="G3417" s="252"/>
      <c r="H3417" s="252"/>
      <c r="I3417" s="252"/>
      <c r="J3417" s="252"/>
      <c r="K3417" s="252"/>
      <c r="L3417"/>
      <c r="M3417"/>
    </row>
    <row r="3418" spans="1:13" s="79" customFormat="1" x14ac:dyDescent="0.35">
      <c r="A3418" s="251"/>
      <c r="B3418" s="22"/>
      <c r="C3418" s="252"/>
      <c r="D3418" s="252"/>
      <c r="E3418" s="252"/>
      <c r="F3418" s="252"/>
      <c r="G3418" s="252"/>
      <c r="H3418" s="252"/>
      <c r="I3418" s="252"/>
      <c r="J3418" s="252"/>
      <c r="K3418" s="252"/>
      <c r="L3418"/>
      <c r="M3418"/>
    </row>
    <row r="3419" spans="1:13" s="79" customFormat="1" x14ac:dyDescent="0.35">
      <c r="A3419" s="251"/>
      <c r="B3419" s="22"/>
      <c r="C3419" s="252"/>
      <c r="D3419" s="252"/>
      <c r="E3419" s="252"/>
      <c r="F3419" s="252"/>
      <c r="G3419" s="252"/>
      <c r="H3419" s="252"/>
      <c r="I3419" s="252"/>
      <c r="J3419" s="252"/>
      <c r="K3419" s="252"/>
      <c r="L3419"/>
      <c r="M3419"/>
    </row>
    <row r="3420" spans="1:13" s="79" customFormat="1" x14ac:dyDescent="0.35">
      <c r="A3420" s="251"/>
      <c r="B3420" s="22"/>
      <c r="C3420" s="252"/>
      <c r="D3420" s="252"/>
      <c r="E3420" s="252"/>
      <c r="F3420" s="252"/>
      <c r="G3420" s="252"/>
      <c r="H3420" s="252"/>
      <c r="I3420" s="252"/>
      <c r="J3420" s="252"/>
      <c r="K3420" s="252"/>
      <c r="L3420"/>
      <c r="M3420"/>
    </row>
    <row r="3421" spans="1:13" s="79" customFormat="1" x14ac:dyDescent="0.35">
      <c r="A3421" s="251"/>
      <c r="B3421" s="22"/>
      <c r="C3421" s="252"/>
      <c r="D3421" s="252"/>
      <c r="E3421" s="252"/>
      <c r="F3421" s="252"/>
      <c r="G3421" s="252"/>
      <c r="H3421" s="252"/>
      <c r="I3421" s="252"/>
      <c r="J3421" s="252"/>
      <c r="K3421" s="252"/>
      <c r="L3421"/>
      <c r="M3421"/>
    </row>
    <row r="3422" spans="1:13" s="79" customFormat="1" x14ac:dyDescent="0.35">
      <c r="A3422" s="251"/>
      <c r="B3422" s="22"/>
      <c r="C3422" s="252"/>
      <c r="D3422" s="252"/>
      <c r="E3422" s="252"/>
      <c r="F3422" s="252"/>
      <c r="G3422" s="252"/>
      <c r="H3422" s="252"/>
      <c r="I3422" s="252"/>
      <c r="J3422" s="252"/>
      <c r="K3422" s="252"/>
      <c r="L3422"/>
      <c r="M3422"/>
    </row>
    <row r="3423" spans="1:13" s="79" customFormat="1" x14ac:dyDescent="0.35">
      <c r="A3423" s="251"/>
      <c r="B3423" s="22"/>
      <c r="C3423" s="252"/>
      <c r="D3423" s="252"/>
      <c r="E3423" s="252"/>
      <c r="F3423" s="252"/>
      <c r="G3423" s="252"/>
      <c r="H3423" s="252"/>
      <c r="I3423" s="252"/>
      <c r="J3423" s="252"/>
      <c r="K3423" s="252"/>
      <c r="L3423"/>
      <c r="M3423"/>
    </row>
    <row r="3424" spans="1:13" s="79" customFormat="1" x14ac:dyDescent="0.35">
      <c r="A3424" s="251"/>
      <c r="B3424" s="22"/>
      <c r="C3424" s="252"/>
      <c r="D3424" s="252"/>
      <c r="E3424" s="252"/>
      <c r="F3424" s="252"/>
      <c r="G3424" s="252"/>
      <c r="H3424" s="252"/>
      <c r="I3424" s="252"/>
      <c r="J3424" s="252"/>
      <c r="K3424" s="252"/>
      <c r="L3424"/>
      <c r="M3424"/>
    </row>
    <row r="3425" spans="1:13" s="79" customFormat="1" x14ac:dyDescent="0.35">
      <c r="A3425" s="251"/>
      <c r="B3425" s="22"/>
      <c r="C3425" s="252"/>
      <c r="D3425" s="252"/>
      <c r="E3425" s="252"/>
      <c r="F3425" s="252"/>
      <c r="G3425" s="252"/>
      <c r="H3425" s="252"/>
      <c r="I3425" s="252"/>
      <c r="J3425" s="252"/>
      <c r="K3425" s="252"/>
      <c r="L3425"/>
      <c r="M3425"/>
    </row>
    <row r="3426" spans="1:13" s="79" customFormat="1" x14ac:dyDescent="0.35">
      <c r="A3426" s="251"/>
      <c r="B3426" s="22"/>
      <c r="C3426" s="252"/>
      <c r="D3426" s="252"/>
      <c r="E3426" s="252"/>
      <c r="F3426" s="252"/>
      <c r="G3426" s="252"/>
      <c r="H3426" s="252"/>
      <c r="I3426" s="252"/>
      <c r="J3426" s="252"/>
      <c r="K3426" s="252"/>
      <c r="L3426"/>
      <c r="M3426"/>
    </row>
    <row r="3427" spans="1:13" s="79" customFormat="1" x14ac:dyDescent="0.35">
      <c r="A3427" s="251"/>
      <c r="B3427" s="22"/>
      <c r="C3427" s="252"/>
      <c r="D3427" s="252"/>
      <c r="E3427" s="252"/>
      <c r="F3427" s="252"/>
      <c r="G3427" s="252"/>
      <c r="H3427" s="252"/>
      <c r="I3427" s="252"/>
      <c r="J3427" s="252"/>
      <c r="K3427" s="252"/>
      <c r="L3427"/>
      <c r="M3427"/>
    </row>
    <row r="3428" spans="1:13" s="79" customFormat="1" x14ac:dyDescent="0.35">
      <c r="A3428" s="251"/>
      <c r="B3428" s="22"/>
      <c r="C3428" s="252"/>
      <c r="D3428" s="252"/>
      <c r="E3428" s="252"/>
      <c r="F3428" s="252"/>
      <c r="G3428" s="252"/>
      <c r="H3428" s="252"/>
      <c r="I3428" s="252"/>
      <c r="J3428" s="252"/>
      <c r="K3428" s="252"/>
      <c r="L3428"/>
      <c r="M3428"/>
    </row>
    <row r="3429" spans="1:13" s="79" customFormat="1" x14ac:dyDescent="0.35">
      <c r="A3429" s="251"/>
      <c r="B3429" s="22"/>
      <c r="C3429" s="252"/>
      <c r="D3429" s="252"/>
      <c r="E3429" s="252"/>
      <c r="F3429" s="252"/>
      <c r="G3429" s="252"/>
      <c r="H3429" s="252"/>
      <c r="I3429" s="252"/>
      <c r="J3429" s="252"/>
      <c r="K3429" s="252"/>
      <c r="L3429"/>
      <c r="M3429"/>
    </row>
    <row r="3430" spans="1:13" s="79" customFormat="1" x14ac:dyDescent="0.35">
      <c r="A3430" s="251"/>
      <c r="B3430" s="22"/>
      <c r="C3430" s="252"/>
      <c r="D3430" s="252"/>
      <c r="E3430" s="252"/>
      <c r="F3430" s="252"/>
      <c r="G3430" s="252"/>
      <c r="H3430" s="252"/>
      <c r="I3430" s="252"/>
      <c r="J3430" s="252"/>
      <c r="K3430" s="252"/>
      <c r="L3430"/>
      <c r="M3430"/>
    </row>
    <row r="3431" spans="1:13" s="79" customFormat="1" x14ac:dyDescent="0.35">
      <c r="A3431" s="251"/>
      <c r="B3431" s="22"/>
      <c r="C3431" s="252"/>
      <c r="D3431" s="252"/>
      <c r="E3431" s="252"/>
      <c r="F3431" s="252"/>
      <c r="G3431" s="252"/>
      <c r="H3431" s="252"/>
      <c r="I3431" s="252"/>
      <c r="J3431" s="252"/>
      <c r="K3431" s="252"/>
      <c r="L3431"/>
      <c r="M3431"/>
    </row>
    <row r="3432" spans="1:13" s="79" customFormat="1" x14ac:dyDescent="0.35">
      <c r="A3432" s="251"/>
      <c r="B3432" s="22"/>
      <c r="C3432" s="252"/>
      <c r="D3432" s="252"/>
      <c r="E3432" s="252"/>
      <c r="F3432" s="252"/>
      <c r="G3432" s="252"/>
      <c r="H3432" s="252"/>
      <c r="I3432" s="252"/>
      <c r="J3432" s="252"/>
      <c r="K3432" s="252"/>
      <c r="L3432"/>
      <c r="M3432"/>
    </row>
    <row r="3433" spans="1:13" s="79" customFormat="1" x14ac:dyDescent="0.35">
      <c r="A3433" s="251"/>
      <c r="B3433" s="22"/>
      <c r="C3433" s="252"/>
      <c r="D3433" s="252"/>
      <c r="E3433" s="252"/>
      <c r="F3433" s="252"/>
      <c r="G3433" s="252"/>
      <c r="H3433" s="252"/>
      <c r="I3433" s="252"/>
      <c r="J3433" s="252"/>
      <c r="K3433" s="252"/>
      <c r="L3433"/>
      <c r="M3433"/>
    </row>
    <row r="3434" spans="1:13" s="79" customFormat="1" x14ac:dyDescent="0.35">
      <c r="A3434" s="251"/>
      <c r="B3434" s="22"/>
      <c r="C3434" s="252"/>
      <c r="D3434" s="252"/>
      <c r="E3434" s="252"/>
      <c r="F3434" s="252"/>
      <c r="G3434" s="252"/>
      <c r="H3434" s="252"/>
      <c r="I3434" s="252"/>
      <c r="J3434" s="252"/>
      <c r="K3434" s="252"/>
      <c r="L3434"/>
      <c r="M3434"/>
    </row>
    <row r="3435" spans="1:13" s="79" customFormat="1" x14ac:dyDescent="0.35">
      <c r="A3435" s="251"/>
      <c r="B3435" s="22"/>
      <c r="C3435" s="252"/>
      <c r="D3435" s="252"/>
      <c r="E3435" s="252"/>
      <c r="F3435" s="252"/>
      <c r="G3435" s="252"/>
      <c r="H3435" s="252"/>
      <c r="I3435" s="252"/>
      <c r="J3435" s="252"/>
      <c r="K3435" s="252"/>
      <c r="L3435"/>
      <c r="M3435"/>
    </row>
    <row r="3436" spans="1:13" s="79" customFormat="1" x14ac:dyDescent="0.35">
      <c r="A3436" s="251"/>
      <c r="B3436" s="22"/>
      <c r="C3436" s="252"/>
      <c r="D3436" s="252"/>
      <c r="E3436" s="252"/>
      <c r="F3436" s="252"/>
      <c r="G3436" s="252"/>
      <c r="H3436" s="252"/>
      <c r="I3436" s="252"/>
      <c r="J3436" s="252"/>
      <c r="K3436" s="252"/>
      <c r="L3436"/>
      <c r="M3436"/>
    </row>
    <row r="3437" spans="1:13" s="79" customFormat="1" x14ac:dyDescent="0.35">
      <c r="A3437" s="251"/>
      <c r="B3437" s="22"/>
      <c r="C3437" s="252"/>
      <c r="D3437" s="252"/>
      <c r="E3437" s="252"/>
      <c r="F3437" s="252"/>
      <c r="G3437" s="252"/>
      <c r="H3437" s="252"/>
      <c r="I3437" s="252"/>
      <c r="J3437" s="252"/>
      <c r="K3437" s="252"/>
      <c r="L3437"/>
      <c r="M3437"/>
    </row>
    <row r="3438" spans="1:13" s="79" customFormat="1" x14ac:dyDescent="0.35">
      <c r="A3438" s="251"/>
      <c r="B3438" s="22"/>
      <c r="C3438" s="252"/>
      <c r="D3438" s="252"/>
      <c r="E3438" s="252"/>
      <c r="F3438" s="252"/>
      <c r="G3438" s="252"/>
      <c r="H3438" s="252"/>
      <c r="I3438" s="252"/>
      <c r="J3438" s="252"/>
      <c r="K3438" s="252"/>
      <c r="L3438"/>
      <c r="M3438"/>
    </row>
    <row r="3439" spans="1:13" s="79" customFormat="1" x14ac:dyDescent="0.35">
      <c r="A3439" s="251"/>
      <c r="B3439" s="22"/>
      <c r="C3439" s="252"/>
      <c r="D3439" s="252"/>
      <c r="E3439" s="252"/>
      <c r="F3439" s="252"/>
      <c r="G3439" s="252"/>
      <c r="H3439" s="252"/>
      <c r="I3439" s="252"/>
      <c r="J3439" s="252"/>
      <c r="K3439" s="252"/>
      <c r="L3439"/>
      <c r="M3439"/>
    </row>
    <row r="3440" spans="1:13" s="79" customFormat="1" x14ac:dyDescent="0.35">
      <c r="A3440" s="251"/>
      <c r="B3440" s="22"/>
      <c r="C3440" s="252"/>
      <c r="D3440" s="252"/>
      <c r="E3440" s="252"/>
      <c r="F3440" s="252"/>
      <c r="G3440" s="252"/>
      <c r="H3440" s="252"/>
      <c r="I3440" s="252"/>
      <c r="J3440" s="252"/>
      <c r="K3440" s="252"/>
      <c r="L3440"/>
      <c r="M3440"/>
    </row>
    <row r="3441" spans="1:13" s="79" customFormat="1" x14ac:dyDescent="0.35">
      <c r="A3441" s="251"/>
      <c r="B3441" s="22"/>
      <c r="C3441" s="252"/>
      <c r="D3441" s="252"/>
      <c r="E3441" s="252"/>
      <c r="F3441" s="252"/>
      <c r="G3441" s="252"/>
      <c r="H3441" s="252"/>
      <c r="I3441" s="252"/>
      <c r="J3441" s="252"/>
      <c r="K3441" s="252"/>
      <c r="L3441"/>
      <c r="M3441"/>
    </row>
    <row r="3442" spans="1:13" s="79" customFormat="1" x14ac:dyDescent="0.35">
      <c r="A3442" s="251"/>
      <c r="B3442" s="22"/>
      <c r="C3442" s="252"/>
      <c r="D3442" s="252"/>
      <c r="E3442" s="252"/>
      <c r="F3442" s="252"/>
      <c r="G3442" s="252"/>
      <c r="H3442" s="252"/>
      <c r="I3442" s="252"/>
      <c r="J3442" s="252"/>
      <c r="K3442" s="252"/>
      <c r="L3442"/>
      <c r="M3442"/>
    </row>
    <row r="3443" spans="1:13" s="79" customFormat="1" x14ac:dyDescent="0.35">
      <c r="A3443" s="251"/>
      <c r="B3443" s="22"/>
      <c r="C3443" s="252"/>
      <c r="D3443" s="252"/>
      <c r="E3443" s="252"/>
      <c r="F3443" s="252"/>
      <c r="G3443" s="252"/>
      <c r="H3443" s="252"/>
      <c r="I3443" s="252"/>
      <c r="J3443" s="252"/>
      <c r="K3443" s="252"/>
      <c r="L3443"/>
      <c r="M3443"/>
    </row>
    <row r="3444" spans="1:13" s="79" customFormat="1" x14ac:dyDescent="0.35">
      <c r="A3444" s="251"/>
      <c r="B3444" s="22"/>
      <c r="C3444" s="252"/>
      <c r="D3444" s="252"/>
      <c r="E3444" s="252"/>
      <c r="F3444" s="252"/>
      <c r="G3444" s="252"/>
      <c r="H3444" s="252"/>
      <c r="I3444" s="252"/>
      <c r="J3444" s="252"/>
      <c r="K3444" s="252"/>
      <c r="L3444"/>
      <c r="M3444"/>
    </row>
    <row r="3445" spans="1:13" s="79" customFormat="1" x14ac:dyDescent="0.35">
      <c r="A3445" s="251"/>
      <c r="B3445" s="22"/>
      <c r="C3445" s="252"/>
      <c r="D3445" s="252"/>
      <c r="E3445" s="252"/>
      <c r="F3445" s="252"/>
      <c r="G3445" s="252"/>
      <c r="H3445" s="252"/>
      <c r="I3445" s="252"/>
      <c r="J3445" s="252"/>
      <c r="K3445" s="252"/>
      <c r="L3445"/>
      <c r="M3445"/>
    </row>
    <row r="3446" spans="1:13" s="79" customFormat="1" x14ac:dyDescent="0.35">
      <c r="A3446" s="251"/>
      <c r="B3446" s="22"/>
      <c r="C3446" s="252"/>
      <c r="D3446" s="252"/>
      <c r="E3446" s="252"/>
      <c r="F3446" s="252"/>
      <c r="G3446" s="252"/>
      <c r="H3446" s="252"/>
      <c r="I3446" s="252"/>
      <c r="J3446" s="252"/>
      <c r="K3446" s="252"/>
      <c r="L3446"/>
      <c r="M3446"/>
    </row>
    <row r="3447" spans="1:13" s="79" customFormat="1" x14ac:dyDescent="0.35">
      <c r="A3447" s="251"/>
      <c r="B3447" s="22"/>
      <c r="C3447" s="252"/>
      <c r="D3447" s="252"/>
      <c r="E3447" s="252"/>
      <c r="F3447" s="252"/>
      <c r="G3447" s="252"/>
      <c r="H3447" s="252"/>
      <c r="I3447" s="252"/>
      <c r="J3447" s="252"/>
      <c r="K3447" s="252"/>
      <c r="L3447"/>
      <c r="M3447"/>
    </row>
    <row r="3448" spans="1:13" s="79" customFormat="1" x14ac:dyDescent="0.35">
      <c r="A3448" s="251"/>
      <c r="B3448" s="22"/>
      <c r="C3448" s="252"/>
      <c r="D3448" s="252"/>
      <c r="E3448" s="252"/>
      <c r="F3448" s="252"/>
      <c r="G3448" s="252"/>
      <c r="H3448" s="252"/>
      <c r="I3448" s="252"/>
      <c r="J3448" s="252"/>
      <c r="K3448" s="252"/>
      <c r="L3448"/>
      <c r="M3448"/>
    </row>
    <row r="3449" spans="1:13" s="79" customFormat="1" x14ac:dyDescent="0.35">
      <c r="A3449" s="251"/>
      <c r="B3449" s="22"/>
      <c r="C3449" s="252"/>
      <c r="D3449" s="252"/>
      <c r="E3449" s="252"/>
      <c r="F3449" s="252"/>
      <c r="G3449" s="252"/>
      <c r="H3449" s="252"/>
      <c r="I3449" s="252"/>
      <c r="J3449" s="252"/>
      <c r="K3449" s="252"/>
      <c r="L3449"/>
      <c r="M3449"/>
    </row>
    <row r="3450" spans="1:13" s="79" customFormat="1" x14ac:dyDescent="0.35">
      <c r="A3450" s="251"/>
      <c r="B3450" s="22"/>
      <c r="C3450" s="252"/>
      <c r="D3450" s="252"/>
      <c r="E3450" s="252"/>
      <c r="F3450" s="252"/>
      <c r="G3450" s="252"/>
      <c r="H3450" s="252"/>
      <c r="I3450" s="252"/>
      <c r="J3450" s="252"/>
      <c r="K3450" s="252"/>
      <c r="L3450"/>
      <c r="M3450"/>
    </row>
    <row r="3451" spans="1:13" s="79" customFormat="1" x14ac:dyDescent="0.35">
      <c r="A3451" s="251"/>
      <c r="B3451" s="22"/>
      <c r="C3451" s="252"/>
      <c r="D3451" s="252"/>
      <c r="E3451" s="252"/>
      <c r="F3451" s="252"/>
      <c r="G3451" s="252"/>
      <c r="H3451" s="252"/>
      <c r="I3451" s="252"/>
      <c r="J3451" s="252"/>
      <c r="K3451" s="252"/>
      <c r="L3451"/>
      <c r="M3451"/>
    </row>
    <row r="3452" spans="1:13" s="79" customFormat="1" x14ac:dyDescent="0.35">
      <c r="A3452" s="251"/>
      <c r="B3452" s="22"/>
      <c r="C3452" s="252"/>
      <c r="D3452" s="252"/>
      <c r="E3452" s="252"/>
      <c r="F3452" s="252"/>
      <c r="G3452" s="252"/>
      <c r="H3452" s="252"/>
      <c r="I3452" s="252"/>
      <c r="J3452" s="252"/>
      <c r="K3452" s="252"/>
      <c r="L3452"/>
      <c r="M3452"/>
    </row>
    <row r="3453" spans="1:13" s="79" customFormat="1" x14ac:dyDescent="0.35">
      <c r="A3453" s="251"/>
      <c r="B3453" s="22"/>
      <c r="C3453" s="252"/>
      <c r="D3453" s="252"/>
      <c r="E3453" s="252"/>
      <c r="F3453" s="252"/>
      <c r="G3453" s="252"/>
      <c r="H3453" s="252"/>
      <c r="I3453" s="252"/>
      <c r="J3453" s="252"/>
      <c r="K3453" s="252"/>
      <c r="L3453"/>
      <c r="M3453"/>
    </row>
    <row r="3454" spans="1:13" s="79" customFormat="1" x14ac:dyDescent="0.35">
      <c r="A3454" s="251"/>
      <c r="B3454" s="22"/>
      <c r="C3454" s="252"/>
      <c r="D3454" s="252"/>
      <c r="E3454" s="252"/>
      <c r="F3454" s="252"/>
      <c r="G3454" s="252"/>
      <c r="H3454" s="252"/>
      <c r="I3454" s="252"/>
      <c r="J3454" s="252"/>
      <c r="K3454" s="252"/>
      <c r="L3454"/>
      <c r="M3454"/>
    </row>
    <row r="3455" spans="1:13" s="79" customFormat="1" x14ac:dyDescent="0.35">
      <c r="A3455" s="251"/>
      <c r="B3455" s="22"/>
      <c r="C3455" s="252"/>
      <c r="D3455" s="252"/>
      <c r="E3455" s="252"/>
      <c r="F3455" s="252"/>
      <c r="G3455" s="252"/>
      <c r="H3455" s="252"/>
      <c r="I3455" s="252"/>
      <c r="J3455" s="252"/>
      <c r="K3455" s="252"/>
      <c r="L3455"/>
      <c r="M3455"/>
    </row>
    <row r="3456" spans="1:13" s="79" customFormat="1" x14ac:dyDescent="0.35">
      <c r="A3456" s="251"/>
      <c r="B3456" s="22"/>
      <c r="C3456" s="252"/>
      <c r="D3456" s="252"/>
      <c r="E3456" s="252"/>
      <c r="F3456" s="252"/>
      <c r="G3456" s="252"/>
      <c r="H3456" s="252"/>
      <c r="I3456" s="252"/>
      <c r="J3456" s="252"/>
      <c r="K3456" s="252"/>
      <c r="L3456"/>
      <c r="M3456"/>
    </row>
    <row r="3457" spans="1:13" s="79" customFormat="1" x14ac:dyDescent="0.35">
      <c r="A3457" s="251"/>
      <c r="B3457" s="22"/>
      <c r="C3457" s="252"/>
      <c r="D3457" s="252"/>
      <c r="E3457" s="252"/>
      <c r="F3457" s="252"/>
      <c r="G3457" s="252"/>
      <c r="H3457" s="252"/>
      <c r="I3457" s="252"/>
      <c r="J3457" s="252"/>
      <c r="K3457" s="252"/>
      <c r="L3457"/>
      <c r="M3457"/>
    </row>
    <row r="3458" spans="1:13" s="79" customFormat="1" x14ac:dyDescent="0.35">
      <c r="A3458" s="251"/>
      <c r="B3458" s="22"/>
      <c r="C3458" s="252"/>
      <c r="D3458" s="252"/>
      <c r="E3458" s="252"/>
      <c r="F3458" s="252"/>
      <c r="G3458" s="252"/>
      <c r="H3458" s="252"/>
      <c r="I3458" s="252"/>
      <c r="J3458" s="252"/>
      <c r="K3458" s="252"/>
      <c r="L3458"/>
      <c r="M3458"/>
    </row>
    <row r="3459" spans="1:13" s="79" customFormat="1" x14ac:dyDescent="0.35">
      <c r="A3459" s="251"/>
      <c r="B3459" s="22"/>
      <c r="C3459" s="252"/>
      <c r="D3459" s="252"/>
      <c r="E3459" s="252"/>
      <c r="F3459" s="252"/>
      <c r="G3459" s="252"/>
      <c r="H3459" s="252"/>
      <c r="I3459" s="252"/>
      <c r="J3459" s="252"/>
      <c r="K3459" s="252"/>
      <c r="L3459"/>
      <c r="M3459"/>
    </row>
    <row r="3460" spans="1:13" s="79" customFormat="1" x14ac:dyDescent="0.35">
      <c r="A3460" s="251"/>
      <c r="B3460" s="22"/>
      <c r="C3460" s="252"/>
      <c r="D3460" s="252"/>
      <c r="E3460" s="252"/>
      <c r="F3460" s="252"/>
      <c r="G3460" s="252"/>
      <c r="H3460" s="252"/>
      <c r="I3460" s="252"/>
      <c r="J3460" s="252"/>
      <c r="K3460" s="252"/>
      <c r="L3460"/>
      <c r="M3460"/>
    </row>
    <row r="3461" spans="1:13" s="79" customFormat="1" x14ac:dyDescent="0.35">
      <c r="A3461" s="251"/>
      <c r="B3461" s="22"/>
      <c r="C3461" s="252"/>
      <c r="D3461" s="252"/>
      <c r="E3461" s="252"/>
      <c r="F3461" s="252"/>
      <c r="G3461" s="252"/>
      <c r="H3461" s="252"/>
      <c r="I3461" s="252"/>
      <c r="J3461" s="252"/>
      <c r="K3461" s="252"/>
      <c r="L3461"/>
      <c r="M3461"/>
    </row>
    <row r="3462" spans="1:13" s="79" customFormat="1" x14ac:dyDescent="0.35">
      <c r="A3462" s="251"/>
      <c r="B3462" s="22"/>
      <c r="C3462" s="252"/>
      <c r="D3462" s="252"/>
      <c r="E3462" s="252"/>
      <c r="F3462" s="252"/>
      <c r="G3462" s="252"/>
      <c r="H3462" s="252"/>
      <c r="I3462" s="252"/>
      <c r="J3462" s="252"/>
      <c r="K3462" s="252"/>
      <c r="L3462"/>
      <c r="M3462"/>
    </row>
    <row r="3463" spans="1:13" s="79" customFormat="1" x14ac:dyDescent="0.35">
      <c r="A3463" s="251"/>
      <c r="B3463" s="22"/>
      <c r="C3463" s="252"/>
      <c r="D3463" s="252"/>
      <c r="E3463" s="252"/>
      <c r="F3463" s="252"/>
      <c r="G3463" s="252"/>
      <c r="H3463" s="252"/>
      <c r="I3463" s="252"/>
      <c r="J3463" s="252"/>
      <c r="K3463" s="252"/>
      <c r="L3463"/>
      <c r="M3463"/>
    </row>
    <row r="3464" spans="1:13" s="79" customFormat="1" x14ac:dyDescent="0.35">
      <c r="A3464" s="251"/>
      <c r="B3464" s="22"/>
      <c r="C3464" s="252"/>
      <c r="D3464" s="252"/>
      <c r="E3464" s="252"/>
      <c r="F3464" s="252"/>
      <c r="G3464" s="252"/>
      <c r="H3464" s="252"/>
      <c r="I3464" s="252"/>
      <c r="J3464" s="252"/>
      <c r="K3464" s="252"/>
      <c r="L3464"/>
      <c r="M3464"/>
    </row>
    <row r="3465" spans="1:13" s="79" customFormat="1" x14ac:dyDescent="0.35">
      <c r="A3465" s="251"/>
      <c r="B3465" s="22"/>
      <c r="C3465" s="252"/>
      <c r="D3465" s="252"/>
      <c r="E3465" s="252"/>
      <c r="F3465" s="252"/>
      <c r="G3465" s="252"/>
      <c r="H3465" s="252"/>
      <c r="I3465" s="252"/>
      <c r="J3465" s="252"/>
      <c r="K3465" s="252"/>
      <c r="L3465"/>
      <c r="M3465"/>
    </row>
    <row r="3466" spans="1:13" s="79" customFormat="1" x14ac:dyDescent="0.35">
      <c r="A3466" s="251"/>
      <c r="B3466" s="22"/>
      <c r="C3466" s="252"/>
      <c r="D3466" s="252"/>
      <c r="E3466" s="252"/>
      <c r="F3466" s="252"/>
      <c r="G3466" s="252"/>
      <c r="H3466" s="252"/>
      <c r="I3466" s="252"/>
      <c r="J3466" s="252"/>
      <c r="K3466" s="252"/>
      <c r="L3466"/>
      <c r="M3466"/>
    </row>
    <row r="3467" spans="1:13" s="79" customFormat="1" x14ac:dyDescent="0.35">
      <c r="A3467" s="251"/>
      <c r="B3467" s="22"/>
      <c r="C3467" s="252"/>
      <c r="D3467" s="252"/>
      <c r="E3467" s="252"/>
      <c r="F3467" s="252"/>
      <c r="G3467" s="252"/>
      <c r="H3467" s="252"/>
      <c r="I3467" s="252"/>
      <c r="J3467" s="252"/>
      <c r="K3467" s="252"/>
      <c r="L3467"/>
      <c r="M3467"/>
    </row>
    <row r="3468" spans="1:13" s="79" customFormat="1" x14ac:dyDescent="0.35">
      <c r="A3468" s="251"/>
      <c r="B3468" s="22"/>
      <c r="C3468" s="252"/>
      <c r="D3468" s="252"/>
      <c r="E3468" s="252"/>
      <c r="F3468" s="252"/>
      <c r="G3468" s="252"/>
      <c r="H3468" s="252"/>
      <c r="I3468" s="252"/>
      <c r="J3468" s="252"/>
      <c r="K3468" s="252"/>
      <c r="L3468"/>
      <c r="M3468"/>
    </row>
    <row r="3469" spans="1:13" s="79" customFormat="1" x14ac:dyDescent="0.35">
      <c r="A3469" s="251"/>
      <c r="B3469" s="22"/>
      <c r="C3469" s="252"/>
      <c r="D3469" s="252"/>
      <c r="E3469" s="252"/>
      <c r="F3469" s="252"/>
      <c r="G3469" s="252"/>
      <c r="H3469" s="252"/>
      <c r="I3469" s="252"/>
      <c r="J3469" s="252"/>
      <c r="K3469" s="252"/>
      <c r="L3469"/>
      <c r="M3469"/>
    </row>
    <row r="3470" spans="1:13" s="79" customFormat="1" x14ac:dyDescent="0.35">
      <c r="A3470" s="251"/>
      <c r="B3470" s="22"/>
      <c r="C3470" s="252"/>
      <c r="D3470" s="252"/>
      <c r="E3470" s="252"/>
      <c r="F3470" s="252"/>
      <c r="G3470" s="252"/>
      <c r="H3470" s="252"/>
      <c r="I3470" s="252"/>
      <c r="J3470" s="252"/>
      <c r="K3470" s="252"/>
      <c r="L3470"/>
      <c r="M3470"/>
    </row>
    <row r="3471" spans="1:13" s="79" customFormat="1" x14ac:dyDescent="0.35">
      <c r="A3471" s="251"/>
      <c r="B3471" s="22"/>
      <c r="C3471" s="252"/>
      <c r="D3471" s="252"/>
      <c r="E3471" s="252"/>
      <c r="F3471" s="252"/>
      <c r="G3471" s="252"/>
      <c r="H3471" s="252"/>
      <c r="I3471" s="252"/>
      <c r="J3471" s="252"/>
      <c r="K3471" s="252"/>
      <c r="L3471"/>
      <c r="M3471"/>
    </row>
    <row r="3472" spans="1:13" s="79" customFormat="1" x14ac:dyDescent="0.35">
      <c r="A3472" s="251"/>
      <c r="B3472" s="22"/>
      <c r="C3472" s="252"/>
      <c r="D3472" s="252"/>
      <c r="E3472" s="252"/>
      <c r="F3472" s="252"/>
      <c r="G3472" s="252"/>
      <c r="H3472" s="252"/>
      <c r="I3472" s="252"/>
      <c r="J3472" s="252"/>
      <c r="K3472" s="252"/>
      <c r="L3472"/>
      <c r="M3472"/>
    </row>
    <row r="3473" spans="1:13" s="79" customFormat="1" x14ac:dyDescent="0.35">
      <c r="A3473" s="251"/>
      <c r="B3473" s="22"/>
      <c r="C3473" s="252"/>
      <c r="D3473" s="252"/>
      <c r="E3473" s="252"/>
      <c r="F3473" s="252"/>
      <c r="G3473" s="252"/>
      <c r="H3473" s="252"/>
      <c r="I3473" s="252"/>
      <c r="J3473" s="252"/>
      <c r="K3473" s="252"/>
      <c r="L3473"/>
      <c r="M3473"/>
    </row>
    <row r="3474" spans="1:13" s="79" customFormat="1" x14ac:dyDescent="0.35">
      <c r="A3474" s="251"/>
      <c r="B3474" s="22"/>
      <c r="C3474" s="252"/>
      <c r="D3474" s="252"/>
      <c r="E3474" s="252"/>
      <c r="F3474" s="252"/>
      <c r="G3474" s="252"/>
      <c r="H3474" s="252"/>
      <c r="I3474" s="252"/>
      <c r="J3474" s="252"/>
      <c r="K3474" s="252"/>
      <c r="L3474"/>
      <c r="M3474"/>
    </row>
    <row r="3475" spans="1:13" s="79" customFormat="1" x14ac:dyDescent="0.35">
      <c r="A3475" s="251"/>
      <c r="B3475" s="22"/>
      <c r="C3475" s="252"/>
      <c r="D3475" s="252"/>
      <c r="E3475" s="252"/>
      <c r="F3475" s="252"/>
      <c r="G3475" s="252"/>
      <c r="H3475" s="252"/>
      <c r="I3475" s="252"/>
      <c r="J3475" s="252"/>
      <c r="K3475" s="252"/>
      <c r="L3475"/>
      <c r="M3475"/>
    </row>
    <row r="3476" spans="1:13" s="79" customFormat="1" x14ac:dyDescent="0.35">
      <c r="A3476" s="251"/>
      <c r="B3476" s="22"/>
      <c r="C3476" s="252"/>
      <c r="D3476" s="252"/>
      <c r="E3476" s="252"/>
      <c r="F3476" s="252"/>
      <c r="G3476" s="252"/>
      <c r="H3476" s="252"/>
      <c r="I3476" s="252"/>
      <c r="J3476" s="252"/>
      <c r="K3476" s="252"/>
      <c r="L3476"/>
      <c r="M3476"/>
    </row>
    <row r="3477" spans="1:13" s="79" customFormat="1" x14ac:dyDescent="0.35">
      <c r="A3477" s="251"/>
      <c r="B3477" s="22"/>
      <c r="C3477" s="252"/>
      <c r="D3477" s="252"/>
      <c r="E3477" s="252"/>
      <c r="F3477" s="252"/>
      <c r="G3477" s="252"/>
      <c r="H3477" s="252"/>
      <c r="I3477" s="252"/>
      <c r="J3477" s="252"/>
      <c r="K3477" s="252"/>
      <c r="L3477"/>
      <c r="M3477"/>
    </row>
    <row r="3478" spans="1:13" s="79" customFormat="1" x14ac:dyDescent="0.35">
      <c r="A3478" s="251"/>
      <c r="B3478" s="22"/>
      <c r="C3478" s="252"/>
      <c r="D3478" s="252"/>
      <c r="E3478" s="252"/>
      <c r="F3478" s="252"/>
      <c r="G3478" s="252"/>
      <c r="H3478" s="252"/>
      <c r="I3478" s="252"/>
      <c r="J3478" s="252"/>
      <c r="K3478" s="252"/>
      <c r="L3478"/>
      <c r="M3478"/>
    </row>
    <row r="3479" spans="1:13" s="79" customFormat="1" x14ac:dyDescent="0.35">
      <c r="A3479" s="251"/>
      <c r="B3479" s="22"/>
      <c r="C3479" s="252"/>
      <c r="D3479" s="252"/>
      <c r="E3479" s="252"/>
      <c r="F3479" s="252"/>
      <c r="G3479" s="252"/>
      <c r="H3479" s="252"/>
      <c r="I3479" s="252"/>
      <c r="J3479" s="252"/>
      <c r="K3479" s="252"/>
      <c r="L3479"/>
      <c r="M3479"/>
    </row>
    <row r="3480" spans="1:13" s="79" customFormat="1" x14ac:dyDescent="0.35">
      <c r="A3480" s="251"/>
      <c r="B3480" s="22"/>
      <c r="C3480" s="252"/>
      <c r="D3480" s="252"/>
      <c r="E3480" s="252"/>
      <c r="F3480" s="252"/>
      <c r="G3480" s="252"/>
      <c r="H3480" s="252"/>
      <c r="I3480" s="252"/>
      <c r="J3480" s="252"/>
      <c r="K3480" s="252"/>
      <c r="L3480"/>
      <c r="M3480"/>
    </row>
    <row r="3481" spans="1:13" s="79" customFormat="1" x14ac:dyDescent="0.35">
      <c r="A3481" s="251"/>
      <c r="B3481" s="22"/>
      <c r="C3481" s="252"/>
      <c r="D3481" s="252"/>
      <c r="E3481" s="252"/>
      <c r="F3481" s="252"/>
      <c r="G3481" s="252"/>
      <c r="H3481" s="252"/>
      <c r="I3481" s="252"/>
      <c r="J3481" s="252"/>
      <c r="K3481" s="252"/>
      <c r="L3481"/>
      <c r="M3481"/>
    </row>
    <row r="3482" spans="1:13" s="79" customFormat="1" x14ac:dyDescent="0.35">
      <c r="A3482" s="251"/>
      <c r="B3482" s="22"/>
      <c r="C3482" s="252"/>
      <c r="D3482" s="252"/>
      <c r="E3482" s="252"/>
      <c r="F3482" s="252"/>
      <c r="G3482" s="252"/>
      <c r="H3482" s="252"/>
      <c r="I3482" s="252"/>
      <c r="J3482" s="252"/>
      <c r="K3482" s="252"/>
      <c r="L3482"/>
      <c r="M3482"/>
    </row>
    <row r="3483" spans="1:13" s="79" customFormat="1" x14ac:dyDescent="0.35">
      <c r="A3483" s="251"/>
      <c r="B3483" s="22"/>
      <c r="C3483" s="252"/>
      <c r="D3483" s="252"/>
      <c r="E3483" s="252"/>
      <c r="F3483" s="252"/>
      <c r="G3483" s="252"/>
      <c r="H3483" s="252"/>
      <c r="I3483" s="252"/>
      <c r="J3483" s="252"/>
      <c r="K3483" s="252"/>
      <c r="L3483"/>
      <c r="M3483"/>
    </row>
    <row r="3484" spans="1:13" s="79" customFormat="1" x14ac:dyDescent="0.35">
      <c r="A3484" s="251"/>
      <c r="B3484" s="22"/>
      <c r="C3484" s="252"/>
      <c r="D3484" s="252"/>
      <c r="E3484" s="252"/>
      <c r="F3484" s="252"/>
      <c r="G3484" s="252"/>
      <c r="H3484" s="252"/>
      <c r="I3484" s="252"/>
      <c r="J3484" s="252"/>
      <c r="K3484" s="252"/>
      <c r="L3484"/>
      <c r="M3484"/>
    </row>
    <row r="3485" spans="1:13" s="79" customFormat="1" x14ac:dyDescent="0.35">
      <c r="A3485" s="251"/>
      <c r="B3485" s="22"/>
      <c r="C3485" s="252"/>
      <c r="D3485" s="252"/>
      <c r="E3485" s="252"/>
      <c r="F3485" s="252"/>
      <c r="G3485" s="252"/>
      <c r="H3485" s="252"/>
      <c r="I3485" s="252"/>
      <c r="J3485" s="252"/>
      <c r="K3485" s="252"/>
      <c r="L3485"/>
      <c r="M3485"/>
    </row>
    <row r="3486" spans="1:13" s="79" customFormat="1" x14ac:dyDescent="0.35">
      <c r="A3486" s="251"/>
      <c r="B3486" s="22"/>
      <c r="C3486" s="252"/>
      <c r="D3486" s="252"/>
      <c r="E3486" s="252"/>
      <c r="F3486" s="252"/>
      <c r="G3486" s="252"/>
      <c r="H3486" s="252"/>
      <c r="I3486" s="252"/>
      <c r="J3486" s="252"/>
      <c r="K3486" s="252"/>
      <c r="L3486"/>
      <c r="M3486"/>
    </row>
    <row r="3487" spans="1:13" s="79" customFormat="1" x14ac:dyDescent="0.35">
      <c r="A3487" s="251"/>
      <c r="B3487" s="22"/>
      <c r="C3487" s="252"/>
      <c r="D3487" s="252"/>
      <c r="E3487" s="252"/>
      <c r="F3487" s="252"/>
      <c r="G3487" s="252"/>
      <c r="H3487" s="252"/>
      <c r="I3487" s="252"/>
      <c r="J3487" s="252"/>
      <c r="K3487" s="252"/>
      <c r="L3487"/>
      <c r="M3487"/>
    </row>
    <row r="3488" spans="1:13" s="79" customFormat="1" x14ac:dyDescent="0.35">
      <c r="A3488" s="251"/>
      <c r="B3488" s="22"/>
      <c r="C3488" s="252"/>
      <c r="D3488" s="252"/>
      <c r="E3488" s="252"/>
      <c r="F3488" s="252"/>
      <c r="G3488" s="252"/>
      <c r="H3488" s="252"/>
      <c r="I3488" s="252"/>
      <c r="J3488" s="252"/>
      <c r="K3488" s="252"/>
      <c r="L3488"/>
      <c r="M3488"/>
    </row>
    <row r="3489" spans="1:13" s="79" customFormat="1" x14ac:dyDescent="0.35">
      <c r="A3489" s="251"/>
      <c r="B3489" s="22"/>
      <c r="C3489" s="252"/>
      <c r="D3489" s="252"/>
      <c r="E3489" s="252"/>
      <c r="F3489" s="252"/>
      <c r="G3489" s="252"/>
      <c r="H3489" s="252"/>
      <c r="I3489" s="252"/>
      <c r="J3489" s="252"/>
      <c r="K3489" s="252"/>
      <c r="L3489"/>
      <c r="M3489"/>
    </row>
    <row r="3490" spans="1:13" s="79" customFormat="1" x14ac:dyDescent="0.35">
      <c r="A3490" s="251"/>
      <c r="B3490" s="22"/>
      <c r="C3490" s="252"/>
      <c r="D3490" s="252"/>
      <c r="E3490" s="252"/>
      <c r="F3490" s="252"/>
      <c r="G3490" s="252"/>
      <c r="H3490" s="252"/>
      <c r="I3490" s="252"/>
      <c r="J3490" s="252"/>
      <c r="K3490" s="252"/>
      <c r="L3490"/>
      <c r="M3490"/>
    </row>
    <row r="3491" spans="1:13" s="79" customFormat="1" x14ac:dyDescent="0.35">
      <c r="A3491" s="251"/>
      <c r="B3491" s="22"/>
      <c r="C3491" s="252"/>
      <c r="D3491" s="252"/>
      <c r="E3491" s="252"/>
      <c r="F3491" s="252"/>
      <c r="G3491" s="252"/>
      <c r="H3491" s="252"/>
      <c r="I3491" s="252"/>
      <c r="J3491" s="252"/>
      <c r="K3491" s="252"/>
      <c r="L3491"/>
      <c r="M3491"/>
    </row>
    <row r="3492" spans="1:13" s="79" customFormat="1" x14ac:dyDescent="0.35">
      <c r="A3492" s="251"/>
      <c r="B3492" s="22"/>
      <c r="C3492" s="252"/>
      <c r="D3492" s="252"/>
      <c r="E3492" s="252"/>
      <c r="F3492" s="252"/>
      <c r="G3492" s="252"/>
      <c r="H3492" s="252"/>
      <c r="I3492" s="252"/>
      <c r="J3492" s="252"/>
      <c r="K3492" s="252"/>
      <c r="L3492"/>
      <c r="M3492"/>
    </row>
    <row r="3493" spans="1:13" s="79" customFormat="1" x14ac:dyDescent="0.35">
      <c r="A3493" s="251"/>
      <c r="B3493" s="22"/>
      <c r="C3493" s="252"/>
      <c r="D3493" s="252"/>
      <c r="E3493" s="252"/>
      <c r="F3493" s="252"/>
      <c r="G3493" s="252"/>
      <c r="H3493" s="252"/>
      <c r="I3493" s="252"/>
      <c r="J3493" s="252"/>
      <c r="K3493" s="252"/>
      <c r="L3493"/>
      <c r="M3493"/>
    </row>
    <row r="3494" spans="1:13" s="79" customFormat="1" x14ac:dyDescent="0.35">
      <c r="A3494" s="251"/>
      <c r="B3494" s="22"/>
      <c r="C3494" s="252"/>
      <c r="D3494" s="252"/>
      <c r="E3494" s="252"/>
      <c r="F3494" s="252"/>
      <c r="G3494" s="252"/>
      <c r="H3494" s="252"/>
      <c r="I3494" s="252"/>
      <c r="J3494" s="252"/>
      <c r="K3494" s="252"/>
      <c r="L3494"/>
      <c r="M3494"/>
    </row>
    <row r="3495" spans="1:13" s="79" customFormat="1" x14ac:dyDescent="0.35">
      <c r="A3495" s="251"/>
      <c r="B3495" s="22"/>
      <c r="C3495" s="252"/>
      <c r="D3495" s="252"/>
      <c r="E3495" s="252"/>
      <c r="F3495" s="252"/>
      <c r="G3495" s="252"/>
      <c r="H3495" s="252"/>
      <c r="I3495" s="252"/>
      <c r="J3495" s="252"/>
      <c r="K3495" s="252"/>
      <c r="L3495"/>
      <c r="M3495"/>
    </row>
    <row r="3496" spans="1:13" s="79" customFormat="1" x14ac:dyDescent="0.35">
      <c r="A3496" s="251"/>
      <c r="B3496" s="22"/>
      <c r="C3496" s="252"/>
      <c r="D3496" s="252"/>
      <c r="E3496" s="252"/>
      <c r="F3496" s="252"/>
      <c r="G3496" s="252"/>
      <c r="H3496" s="252"/>
      <c r="I3496" s="252"/>
      <c r="J3496" s="252"/>
      <c r="K3496" s="252"/>
      <c r="L3496"/>
      <c r="M3496"/>
    </row>
    <row r="3497" spans="1:13" s="79" customFormat="1" x14ac:dyDescent="0.35">
      <c r="A3497" s="251"/>
      <c r="B3497" s="22"/>
      <c r="C3497" s="252"/>
      <c r="D3497" s="252"/>
      <c r="E3497" s="252"/>
      <c r="F3497" s="252"/>
      <c r="G3497" s="252"/>
      <c r="H3497" s="252"/>
      <c r="I3497" s="252"/>
      <c r="J3497" s="252"/>
      <c r="K3497" s="252"/>
      <c r="L3497"/>
      <c r="M3497"/>
    </row>
    <row r="3498" spans="1:13" s="79" customFormat="1" x14ac:dyDescent="0.35">
      <c r="A3498" s="251"/>
      <c r="B3498" s="22"/>
      <c r="C3498" s="252"/>
      <c r="D3498" s="252"/>
      <c r="E3498" s="252"/>
      <c r="F3498" s="252"/>
      <c r="G3498" s="252"/>
      <c r="H3498" s="252"/>
      <c r="I3498" s="252"/>
      <c r="J3498" s="252"/>
      <c r="K3498" s="252"/>
      <c r="L3498"/>
      <c r="M3498"/>
    </row>
    <row r="3499" spans="1:13" s="79" customFormat="1" x14ac:dyDescent="0.35">
      <c r="A3499" s="251"/>
      <c r="B3499" s="22"/>
      <c r="C3499" s="252"/>
      <c r="D3499" s="252"/>
      <c r="E3499" s="252"/>
      <c r="F3499" s="252"/>
      <c r="G3499" s="252"/>
      <c r="H3499" s="252"/>
      <c r="I3499" s="252"/>
      <c r="J3499" s="252"/>
      <c r="K3499" s="252"/>
      <c r="L3499"/>
      <c r="M3499"/>
    </row>
    <row r="3500" spans="1:13" s="79" customFormat="1" x14ac:dyDescent="0.35">
      <c r="A3500" s="251"/>
      <c r="B3500" s="22"/>
      <c r="C3500" s="252"/>
      <c r="D3500" s="252"/>
      <c r="E3500" s="252"/>
      <c r="F3500" s="252"/>
      <c r="G3500" s="252"/>
      <c r="H3500" s="252"/>
      <c r="I3500" s="252"/>
      <c r="J3500" s="252"/>
      <c r="K3500" s="252"/>
      <c r="L3500"/>
      <c r="M3500"/>
    </row>
    <row r="3501" spans="1:13" s="79" customFormat="1" x14ac:dyDescent="0.35">
      <c r="A3501" s="251"/>
      <c r="B3501" s="22"/>
      <c r="C3501" s="252"/>
      <c r="D3501" s="252"/>
      <c r="E3501" s="252"/>
      <c r="F3501" s="252"/>
      <c r="G3501" s="252"/>
      <c r="H3501" s="252"/>
      <c r="I3501" s="252"/>
      <c r="J3501" s="252"/>
      <c r="K3501" s="252"/>
      <c r="L3501"/>
      <c r="M3501"/>
    </row>
    <row r="3502" spans="1:13" s="79" customFormat="1" x14ac:dyDescent="0.35">
      <c r="A3502" s="251"/>
      <c r="B3502" s="22"/>
      <c r="C3502" s="252"/>
      <c r="D3502" s="252"/>
      <c r="E3502" s="252"/>
      <c r="F3502" s="252"/>
      <c r="G3502" s="252"/>
      <c r="H3502" s="252"/>
      <c r="I3502" s="252"/>
      <c r="J3502" s="252"/>
      <c r="K3502" s="252"/>
      <c r="L3502"/>
      <c r="M3502"/>
    </row>
    <row r="3503" spans="1:13" s="79" customFormat="1" x14ac:dyDescent="0.35">
      <c r="A3503" s="251"/>
      <c r="B3503" s="22"/>
      <c r="C3503" s="252"/>
      <c r="D3503" s="252"/>
      <c r="E3503" s="252"/>
      <c r="F3503" s="252"/>
      <c r="G3503" s="252"/>
      <c r="H3503" s="252"/>
      <c r="I3503" s="252"/>
      <c r="J3503" s="252"/>
      <c r="K3503" s="252"/>
      <c r="L3503"/>
      <c r="M3503"/>
    </row>
    <row r="3504" spans="1:13" s="79" customFormat="1" x14ac:dyDescent="0.35">
      <c r="A3504" s="251"/>
      <c r="B3504" s="22"/>
      <c r="C3504" s="252"/>
      <c r="D3504" s="252"/>
      <c r="E3504" s="252"/>
      <c r="F3504" s="252"/>
      <c r="G3504" s="252"/>
      <c r="H3504" s="252"/>
      <c r="I3504" s="252"/>
      <c r="J3504" s="252"/>
      <c r="K3504" s="252"/>
      <c r="L3504"/>
      <c r="M3504"/>
    </row>
    <row r="3505" spans="1:13" s="79" customFormat="1" x14ac:dyDescent="0.35">
      <c r="A3505" s="251"/>
      <c r="B3505" s="22"/>
      <c r="C3505" s="252"/>
      <c r="D3505" s="252"/>
      <c r="E3505" s="252"/>
      <c r="F3505" s="252"/>
      <c r="G3505" s="252"/>
      <c r="H3505" s="252"/>
      <c r="I3505" s="252"/>
      <c r="J3505" s="252"/>
      <c r="K3505" s="252"/>
      <c r="L3505"/>
      <c r="M3505"/>
    </row>
    <row r="3506" spans="1:13" s="79" customFormat="1" x14ac:dyDescent="0.35">
      <c r="A3506" s="251"/>
      <c r="B3506" s="22"/>
      <c r="C3506" s="252"/>
      <c r="D3506" s="252"/>
      <c r="E3506" s="252"/>
      <c r="F3506" s="252"/>
      <c r="G3506" s="252"/>
      <c r="H3506" s="252"/>
      <c r="I3506" s="252"/>
      <c r="J3506" s="252"/>
      <c r="K3506" s="252"/>
      <c r="L3506"/>
      <c r="M3506"/>
    </row>
    <row r="3507" spans="1:13" s="79" customFormat="1" x14ac:dyDescent="0.35">
      <c r="A3507" s="251"/>
      <c r="B3507" s="22"/>
      <c r="C3507" s="252"/>
      <c r="D3507" s="252"/>
      <c r="E3507" s="252"/>
      <c r="F3507" s="252"/>
      <c r="G3507" s="252"/>
      <c r="H3507" s="252"/>
      <c r="I3507" s="252"/>
      <c r="J3507" s="252"/>
      <c r="K3507" s="252"/>
      <c r="L3507"/>
      <c r="M3507"/>
    </row>
    <row r="3508" spans="1:13" s="79" customFormat="1" x14ac:dyDescent="0.35">
      <c r="A3508" s="251"/>
      <c r="B3508" s="22"/>
      <c r="C3508" s="252"/>
      <c r="D3508" s="252"/>
      <c r="E3508" s="252"/>
      <c r="F3508" s="252"/>
      <c r="G3508" s="252"/>
      <c r="H3508" s="252"/>
      <c r="I3508" s="252"/>
      <c r="J3508" s="252"/>
      <c r="K3508" s="252"/>
      <c r="L3508"/>
      <c r="M3508"/>
    </row>
    <row r="3509" spans="1:13" s="79" customFormat="1" x14ac:dyDescent="0.35">
      <c r="A3509" s="251"/>
      <c r="B3509" s="22"/>
      <c r="C3509" s="252"/>
      <c r="D3509" s="252"/>
      <c r="E3509" s="252"/>
      <c r="F3509" s="252"/>
      <c r="G3509" s="252"/>
      <c r="H3509" s="252"/>
      <c r="I3509" s="252"/>
      <c r="J3509" s="252"/>
      <c r="K3509" s="252"/>
      <c r="L3509"/>
      <c r="M3509"/>
    </row>
    <row r="3510" spans="1:13" s="79" customFormat="1" x14ac:dyDescent="0.35">
      <c r="A3510" s="251"/>
      <c r="B3510" s="22"/>
      <c r="C3510" s="252"/>
      <c r="D3510" s="252"/>
      <c r="E3510" s="252"/>
      <c r="F3510" s="252"/>
      <c r="G3510" s="252"/>
      <c r="H3510" s="252"/>
      <c r="I3510" s="252"/>
      <c r="J3510" s="252"/>
      <c r="K3510" s="252"/>
      <c r="L3510"/>
      <c r="M3510"/>
    </row>
    <row r="3511" spans="1:13" s="79" customFormat="1" x14ac:dyDescent="0.35">
      <c r="A3511" s="251"/>
      <c r="B3511" s="22"/>
      <c r="C3511" s="252"/>
      <c r="D3511" s="252"/>
      <c r="E3511" s="252"/>
      <c r="F3511" s="252"/>
      <c r="G3511" s="252"/>
      <c r="H3511" s="252"/>
      <c r="I3511" s="252"/>
      <c r="J3511" s="252"/>
      <c r="K3511" s="252"/>
      <c r="L3511"/>
      <c r="M3511"/>
    </row>
    <row r="3512" spans="1:13" s="79" customFormat="1" x14ac:dyDescent="0.35">
      <c r="A3512" s="251"/>
      <c r="B3512" s="22"/>
      <c r="C3512" s="252"/>
      <c r="D3512" s="252"/>
      <c r="E3512" s="252"/>
      <c r="F3512" s="252"/>
      <c r="G3512" s="252"/>
      <c r="H3512" s="252"/>
      <c r="I3512" s="252"/>
      <c r="J3512" s="252"/>
      <c r="K3512" s="252"/>
      <c r="L3512"/>
      <c r="M3512"/>
    </row>
    <row r="3513" spans="1:13" s="79" customFormat="1" x14ac:dyDescent="0.35">
      <c r="A3513" s="251"/>
      <c r="B3513" s="22"/>
      <c r="C3513" s="252"/>
      <c r="D3513" s="252"/>
      <c r="E3513" s="252"/>
      <c r="F3513" s="252"/>
      <c r="G3513" s="252"/>
      <c r="H3513" s="252"/>
      <c r="I3513" s="252"/>
      <c r="J3513" s="252"/>
      <c r="K3513" s="252"/>
      <c r="L3513"/>
      <c r="M3513"/>
    </row>
    <row r="3514" spans="1:13" s="79" customFormat="1" x14ac:dyDescent="0.35">
      <c r="A3514" s="251"/>
      <c r="B3514" s="22"/>
      <c r="C3514" s="252"/>
      <c r="D3514" s="252"/>
      <c r="E3514" s="252"/>
      <c r="F3514" s="252"/>
      <c r="G3514" s="252"/>
      <c r="H3514" s="252"/>
      <c r="I3514" s="252"/>
      <c r="J3514" s="252"/>
      <c r="K3514" s="252"/>
      <c r="L3514"/>
      <c r="M3514"/>
    </row>
    <row r="3515" spans="1:13" s="79" customFormat="1" x14ac:dyDescent="0.35">
      <c r="A3515" s="251"/>
      <c r="B3515" s="22"/>
      <c r="C3515" s="252"/>
      <c r="D3515" s="252"/>
      <c r="E3515" s="252"/>
      <c r="F3515" s="252"/>
      <c r="G3515" s="252"/>
      <c r="H3515" s="252"/>
      <c r="I3515" s="252"/>
      <c r="J3515" s="252"/>
      <c r="K3515" s="252"/>
      <c r="L3515"/>
      <c r="M3515"/>
    </row>
    <row r="3516" spans="1:13" s="79" customFormat="1" x14ac:dyDescent="0.35">
      <c r="A3516" s="251"/>
      <c r="B3516" s="22"/>
      <c r="C3516" s="252"/>
      <c r="D3516" s="252"/>
      <c r="E3516" s="252"/>
      <c r="F3516" s="252"/>
      <c r="G3516" s="252"/>
      <c r="H3516" s="252"/>
      <c r="I3516" s="252"/>
      <c r="J3516" s="252"/>
      <c r="K3516" s="252"/>
      <c r="L3516"/>
      <c r="M3516"/>
    </row>
    <row r="3517" spans="1:13" s="79" customFormat="1" x14ac:dyDescent="0.35">
      <c r="A3517" s="251"/>
      <c r="B3517" s="22"/>
      <c r="C3517" s="252"/>
      <c r="D3517" s="252"/>
      <c r="E3517" s="252"/>
      <c r="F3517" s="252"/>
      <c r="G3517" s="252"/>
      <c r="H3517" s="252"/>
      <c r="I3517" s="252"/>
      <c r="J3517" s="252"/>
      <c r="K3517" s="252"/>
      <c r="L3517"/>
      <c r="M3517"/>
    </row>
    <row r="3518" spans="1:13" s="79" customFormat="1" x14ac:dyDescent="0.35">
      <c r="A3518" s="251"/>
      <c r="B3518" s="22"/>
      <c r="C3518" s="252"/>
      <c r="D3518" s="252"/>
      <c r="E3518" s="252"/>
      <c r="F3518" s="252"/>
      <c r="G3518" s="252"/>
      <c r="H3518" s="252"/>
      <c r="I3518" s="252"/>
      <c r="J3518" s="252"/>
      <c r="K3518" s="252"/>
      <c r="L3518"/>
      <c r="M3518"/>
    </row>
    <row r="3519" spans="1:13" s="79" customFormat="1" x14ac:dyDescent="0.35">
      <c r="A3519" s="251"/>
      <c r="B3519" s="22"/>
      <c r="C3519" s="252"/>
      <c r="D3519" s="252"/>
      <c r="E3519" s="252"/>
      <c r="F3519" s="252"/>
      <c r="G3519" s="252"/>
      <c r="H3519" s="252"/>
      <c r="I3519" s="252"/>
      <c r="J3519" s="252"/>
      <c r="K3519" s="252"/>
      <c r="L3519"/>
      <c r="M3519"/>
    </row>
    <row r="3520" spans="1:13" s="79" customFormat="1" x14ac:dyDescent="0.35">
      <c r="A3520" s="251"/>
      <c r="B3520" s="22"/>
      <c r="C3520" s="252"/>
      <c r="D3520" s="252"/>
      <c r="E3520" s="252"/>
      <c r="F3520" s="252"/>
      <c r="G3520" s="252"/>
      <c r="H3520" s="252"/>
      <c r="I3520" s="252"/>
      <c r="J3520" s="252"/>
      <c r="K3520" s="252"/>
      <c r="L3520"/>
      <c r="M3520"/>
    </row>
    <row r="3521" spans="1:13" s="79" customFormat="1" x14ac:dyDescent="0.35">
      <c r="A3521" s="251"/>
      <c r="B3521" s="22"/>
      <c r="C3521" s="252"/>
      <c r="D3521" s="252"/>
      <c r="E3521" s="252"/>
      <c r="F3521" s="252"/>
      <c r="G3521" s="252"/>
      <c r="H3521" s="252"/>
      <c r="I3521" s="252"/>
      <c r="J3521" s="252"/>
      <c r="K3521" s="252"/>
      <c r="L3521"/>
      <c r="M3521"/>
    </row>
    <row r="3522" spans="1:13" s="79" customFormat="1" x14ac:dyDescent="0.35">
      <c r="A3522" s="251"/>
      <c r="B3522" s="22"/>
      <c r="C3522" s="252"/>
      <c r="D3522" s="252"/>
      <c r="E3522" s="252"/>
      <c r="F3522" s="252"/>
      <c r="G3522" s="252"/>
      <c r="H3522" s="252"/>
      <c r="I3522" s="252"/>
      <c r="J3522" s="252"/>
      <c r="K3522" s="252"/>
      <c r="L3522"/>
      <c r="M3522"/>
    </row>
    <row r="3523" spans="1:13" s="79" customFormat="1" x14ac:dyDescent="0.35">
      <c r="A3523" s="251"/>
      <c r="B3523" s="22"/>
      <c r="C3523" s="252"/>
      <c r="D3523" s="252"/>
      <c r="E3523" s="252"/>
      <c r="F3523" s="252"/>
      <c r="G3523" s="252"/>
      <c r="H3523" s="252"/>
      <c r="I3523" s="252"/>
      <c r="J3523" s="252"/>
      <c r="K3523" s="252"/>
      <c r="L3523"/>
      <c r="M3523"/>
    </row>
    <row r="3524" spans="1:13" s="79" customFormat="1" x14ac:dyDescent="0.35">
      <c r="A3524" s="251"/>
      <c r="B3524" s="22"/>
      <c r="C3524" s="252"/>
      <c r="D3524" s="252"/>
      <c r="E3524" s="252"/>
      <c r="F3524" s="252"/>
      <c r="G3524" s="252"/>
      <c r="H3524" s="252"/>
      <c r="I3524" s="252"/>
      <c r="J3524" s="252"/>
      <c r="K3524" s="252"/>
      <c r="L3524"/>
      <c r="M3524"/>
    </row>
    <row r="3525" spans="1:13" s="79" customFormat="1" x14ac:dyDescent="0.35">
      <c r="A3525" s="251"/>
      <c r="B3525" s="22"/>
      <c r="C3525" s="252"/>
      <c r="D3525" s="252"/>
      <c r="E3525" s="252"/>
      <c r="F3525" s="252"/>
      <c r="G3525" s="252"/>
      <c r="H3525" s="252"/>
      <c r="I3525" s="252"/>
      <c r="J3525" s="252"/>
      <c r="K3525" s="252"/>
      <c r="L3525"/>
      <c r="M3525"/>
    </row>
    <row r="3526" spans="1:13" s="79" customFormat="1" x14ac:dyDescent="0.35">
      <c r="A3526" s="251"/>
      <c r="B3526" s="22"/>
      <c r="C3526" s="252"/>
      <c r="D3526" s="252"/>
      <c r="E3526" s="252"/>
      <c r="F3526" s="252"/>
      <c r="G3526" s="252"/>
      <c r="H3526" s="252"/>
      <c r="I3526" s="252"/>
      <c r="J3526" s="252"/>
      <c r="K3526" s="252"/>
      <c r="L3526"/>
      <c r="M3526"/>
    </row>
    <row r="3527" spans="1:13" s="79" customFormat="1" x14ac:dyDescent="0.35">
      <c r="A3527" s="251"/>
      <c r="B3527" s="22"/>
      <c r="C3527" s="252"/>
      <c r="D3527" s="252"/>
      <c r="E3527" s="252"/>
      <c r="F3527" s="252"/>
      <c r="G3527" s="252"/>
      <c r="H3527" s="252"/>
      <c r="I3527" s="252"/>
      <c r="J3527" s="252"/>
      <c r="K3527" s="252"/>
      <c r="L3527"/>
      <c r="M3527"/>
    </row>
    <row r="3528" spans="1:13" s="79" customFormat="1" x14ac:dyDescent="0.35">
      <c r="A3528" s="251"/>
      <c r="B3528" s="22"/>
      <c r="C3528" s="252"/>
      <c r="D3528" s="252"/>
      <c r="E3528" s="252"/>
      <c r="F3528" s="252"/>
      <c r="G3528" s="252"/>
      <c r="H3528" s="252"/>
      <c r="I3528" s="252"/>
      <c r="J3528" s="252"/>
      <c r="K3528" s="252"/>
      <c r="L3528"/>
      <c r="M3528"/>
    </row>
    <row r="3529" spans="1:13" s="79" customFormat="1" x14ac:dyDescent="0.35">
      <c r="A3529" s="251"/>
      <c r="B3529" s="22"/>
      <c r="C3529" s="252"/>
      <c r="D3529" s="252"/>
      <c r="E3529" s="252"/>
      <c r="F3529" s="252"/>
      <c r="G3529" s="252"/>
      <c r="H3529" s="252"/>
      <c r="I3529" s="252"/>
      <c r="J3529" s="252"/>
      <c r="K3529" s="252"/>
      <c r="L3529"/>
      <c r="M3529"/>
    </row>
    <row r="3530" spans="1:13" s="79" customFormat="1" x14ac:dyDescent="0.35">
      <c r="A3530" s="251"/>
      <c r="B3530" s="22"/>
      <c r="C3530" s="252"/>
      <c r="D3530" s="252"/>
      <c r="E3530" s="252"/>
      <c r="F3530" s="252"/>
      <c r="G3530" s="252"/>
      <c r="H3530" s="252"/>
      <c r="I3530" s="252"/>
      <c r="J3530" s="252"/>
      <c r="K3530" s="252"/>
      <c r="L3530"/>
      <c r="M3530"/>
    </row>
    <row r="3531" spans="1:13" s="79" customFormat="1" x14ac:dyDescent="0.35">
      <c r="A3531" s="251"/>
      <c r="B3531" s="22"/>
      <c r="C3531" s="252"/>
      <c r="D3531" s="252"/>
      <c r="E3531" s="252"/>
      <c r="F3531" s="252"/>
      <c r="G3531" s="252"/>
      <c r="H3531" s="252"/>
      <c r="I3531" s="252"/>
      <c r="J3531" s="252"/>
      <c r="K3531" s="252"/>
      <c r="L3531"/>
      <c r="M3531"/>
    </row>
    <row r="3532" spans="1:13" s="79" customFormat="1" x14ac:dyDescent="0.35">
      <c r="A3532" s="251"/>
      <c r="B3532" s="22"/>
      <c r="C3532" s="252"/>
      <c r="D3532" s="252"/>
      <c r="E3532" s="252"/>
      <c r="F3532" s="252"/>
      <c r="G3532" s="252"/>
      <c r="H3532" s="252"/>
      <c r="I3532" s="252"/>
      <c r="J3532" s="252"/>
      <c r="K3532" s="252"/>
      <c r="L3532"/>
      <c r="M3532"/>
    </row>
    <row r="3533" spans="1:13" s="79" customFormat="1" x14ac:dyDescent="0.35">
      <c r="A3533" s="251"/>
      <c r="B3533" s="22"/>
      <c r="C3533" s="252"/>
      <c r="D3533" s="252"/>
      <c r="E3533" s="252"/>
      <c r="F3533" s="252"/>
      <c r="G3533" s="252"/>
      <c r="H3533" s="252"/>
      <c r="I3533" s="252"/>
      <c r="J3533" s="252"/>
      <c r="K3533" s="252"/>
      <c r="L3533"/>
      <c r="M3533"/>
    </row>
    <row r="3534" spans="1:13" s="79" customFormat="1" x14ac:dyDescent="0.35">
      <c r="A3534" s="251"/>
      <c r="B3534" s="22"/>
      <c r="C3534" s="252"/>
      <c r="D3534" s="252"/>
      <c r="E3534" s="252"/>
      <c r="F3534" s="252"/>
      <c r="G3534" s="252"/>
      <c r="H3534" s="252"/>
      <c r="I3534" s="252"/>
      <c r="J3534" s="252"/>
      <c r="K3534" s="252"/>
      <c r="L3534"/>
      <c r="M3534"/>
    </row>
    <row r="3535" spans="1:13" s="79" customFormat="1" x14ac:dyDescent="0.35">
      <c r="A3535" s="251"/>
      <c r="B3535" s="22"/>
      <c r="C3535" s="252"/>
      <c r="D3535" s="252"/>
      <c r="E3535" s="252"/>
      <c r="F3535" s="252"/>
      <c r="G3535" s="252"/>
      <c r="H3535" s="252"/>
      <c r="I3535" s="252"/>
      <c r="J3535" s="252"/>
      <c r="K3535" s="252"/>
      <c r="L3535"/>
      <c r="M3535"/>
    </row>
    <row r="3536" spans="1:13" s="79" customFormat="1" x14ac:dyDescent="0.35">
      <c r="A3536" s="251"/>
      <c r="B3536" s="22"/>
      <c r="C3536" s="252"/>
      <c r="D3536" s="252"/>
      <c r="E3536" s="252"/>
      <c r="F3536" s="252"/>
      <c r="G3536" s="252"/>
      <c r="H3536" s="252"/>
      <c r="I3536" s="252"/>
      <c r="J3536" s="252"/>
      <c r="K3536" s="252"/>
      <c r="L3536"/>
      <c r="M3536"/>
    </row>
    <row r="3537" spans="1:13" s="79" customFormat="1" x14ac:dyDescent="0.35">
      <c r="A3537" s="251"/>
      <c r="B3537" s="22"/>
      <c r="C3537" s="252"/>
      <c r="D3537" s="252"/>
      <c r="E3537" s="252"/>
      <c r="F3537" s="252"/>
      <c r="G3537" s="252"/>
      <c r="H3537" s="252"/>
      <c r="I3537" s="252"/>
      <c r="J3537" s="252"/>
      <c r="K3537" s="252"/>
      <c r="L3537"/>
      <c r="M3537"/>
    </row>
    <row r="3538" spans="1:13" s="79" customFormat="1" x14ac:dyDescent="0.35">
      <c r="A3538" s="251"/>
      <c r="B3538" s="22"/>
      <c r="C3538" s="252"/>
      <c r="D3538" s="252"/>
      <c r="E3538" s="252"/>
      <c r="F3538" s="252"/>
      <c r="G3538" s="252"/>
      <c r="H3538" s="252"/>
      <c r="I3538" s="252"/>
      <c r="J3538" s="252"/>
      <c r="K3538" s="252"/>
      <c r="L3538"/>
      <c r="M3538"/>
    </row>
    <row r="3539" spans="1:13" s="79" customFormat="1" x14ac:dyDescent="0.35">
      <c r="A3539" s="251"/>
      <c r="B3539" s="22"/>
      <c r="C3539" s="252"/>
      <c r="D3539" s="252"/>
      <c r="E3539" s="252"/>
      <c r="F3539" s="252"/>
      <c r="G3539" s="252"/>
      <c r="H3539" s="252"/>
      <c r="I3539" s="252"/>
      <c r="J3539" s="252"/>
      <c r="K3539" s="252"/>
      <c r="L3539"/>
      <c r="M3539"/>
    </row>
    <row r="3540" spans="1:13" s="79" customFormat="1" x14ac:dyDescent="0.35">
      <c r="A3540" s="251"/>
      <c r="B3540" s="22"/>
      <c r="C3540" s="252"/>
      <c r="D3540" s="252"/>
      <c r="E3540" s="252"/>
      <c r="F3540" s="252"/>
      <c r="G3540" s="252"/>
      <c r="H3540" s="252"/>
      <c r="I3540" s="252"/>
      <c r="J3540" s="252"/>
      <c r="K3540" s="252"/>
      <c r="L3540"/>
      <c r="M3540"/>
    </row>
    <row r="3541" spans="1:13" s="79" customFormat="1" x14ac:dyDescent="0.35">
      <c r="A3541" s="251"/>
      <c r="B3541" s="22"/>
      <c r="C3541" s="252"/>
      <c r="D3541" s="252"/>
      <c r="E3541" s="252"/>
      <c r="F3541" s="252"/>
      <c r="G3541" s="252"/>
      <c r="H3541" s="252"/>
      <c r="I3541" s="252"/>
      <c r="J3541" s="252"/>
      <c r="K3541" s="252"/>
      <c r="L3541"/>
      <c r="M3541"/>
    </row>
    <row r="3542" spans="1:13" s="79" customFormat="1" x14ac:dyDescent="0.35">
      <c r="A3542" s="251"/>
      <c r="B3542" s="22"/>
      <c r="C3542" s="252"/>
      <c r="D3542" s="252"/>
      <c r="E3542" s="252"/>
      <c r="F3542" s="252"/>
      <c r="G3542" s="252"/>
      <c r="H3542" s="252"/>
      <c r="I3542" s="252"/>
      <c r="J3542" s="252"/>
      <c r="K3542" s="252"/>
      <c r="L3542"/>
      <c r="M3542"/>
    </row>
    <row r="3543" spans="1:13" s="79" customFormat="1" x14ac:dyDescent="0.35">
      <c r="A3543" s="251"/>
      <c r="B3543" s="22"/>
      <c r="C3543" s="252"/>
      <c r="D3543" s="252"/>
      <c r="E3543" s="252"/>
      <c r="F3543" s="252"/>
      <c r="G3543" s="252"/>
      <c r="H3543" s="252"/>
      <c r="I3543" s="252"/>
      <c r="J3543" s="252"/>
      <c r="K3543" s="252"/>
      <c r="L3543"/>
      <c r="M3543"/>
    </row>
    <row r="3544" spans="1:13" s="79" customFormat="1" x14ac:dyDescent="0.35">
      <c r="A3544" s="251"/>
      <c r="B3544" s="22"/>
      <c r="C3544" s="252"/>
      <c r="D3544" s="252"/>
      <c r="E3544" s="252"/>
      <c r="F3544" s="252"/>
      <c r="G3544" s="252"/>
      <c r="H3544" s="252"/>
      <c r="I3544" s="252"/>
      <c r="J3544" s="252"/>
      <c r="K3544" s="252"/>
      <c r="L3544"/>
      <c r="M3544"/>
    </row>
    <row r="3545" spans="1:13" s="79" customFormat="1" x14ac:dyDescent="0.35">
      <c r="A3545" s="251"/>
      <c r="B3545" s="22"/>
      <c r="C3545" s="252"/>
      <c r="D3545" s="252"/>
      <c r="E3545" s="252"/>
      <c r="F3545" s="252"/>
      <c r="G3545" s="252"/>
      <c r="H3545" s="252"/>
      <c r="I3545" s="252"/>
      <c r="J3545" s="252"/>
      <c r="K3545" s="252"/>
      <c r="L3545"/>
      <c r="M3545"/>
    </row>
    <row r="3546" spans="1:13" s="79" customFormat="1" x14ac:dyDescent="0.35">
      <c r="A3546" s="251"/>
      <c r="B3546" s="22"/>
      <c r="C3546" s="252"/>
      <c r="D3546" s="252"/>
      <c r="E3546" s="252"/>
      <c r="F3546" s="252"/>
      <c r="G3546" s="252"/>
      <c r="H3546" s="252"/>
      <c r="I3546" s="252"/>
      <c r="J3546" s="252"/>
      <c r="K3546" s="252"/>
      <c r="L3546"/>
      <c r="M3546"/>
    </row>
    <row r="3547" spans="1:13" s="79" customFormat="1" x14ac:dyDescent="0.35">
      <c r="A3547" s="251"/>
      <c r="B3547" s="22"/>
      <c r="C3547" s="252"/>
      <c r="D3547" s="252"/>
      <c r="E3547" s="252"/>
      <c r="F3547" s="252"/>
      <c r="G3547" s="252"/>
      <c r="H3547" s="252"/>
      <c r="I3547" s="252"/>
      <c r="J3547" s="252"/>
      <c r="K3547" s="252"/>
      <c r="L3547"/>
      <c r="M3547"/>
    </row>
    <row r="3548" spans="1:13" s="79" customFormat="1" x14ac:dyDescent="0.35">
      <c r="A3548" s="251"/>
      <c r="B3548" s="22"/>
      <c r="C3548" s="252"/>
      <c r="D3548" s="252"/>
      <c r="E3548" s="252"/>
      <c r="F3548" s="252"/>
      <c r="G3548" s="252"/>
      <c r="H3548" s="252"/>
      <c r="I3548" s="252"/>
      <c r="J3548" s="252"/>
      <c r="K3548" s="252"/>
      <c r="L3548"/>
      <c r="M3548"/>
    </row>
    <row r="3549" spans="1:13" s="79" customFormat="1" x14ac:dyDescent="0.35">
      <c r="A3549" s="251"/>
      <c r="B3549" s="22"/>
      <c r="C3549" s="252"/>
      <c r="D3549" s="252"/>
      <c r="E3549" s="252"/>
      <c r="F3549" s="252"/>
      <c r="G3549" s="252"/>
      <c r="H3549" s="252"/>
      <c r="I3549" s="252"/>
      <c r="J3549" s="252"/>
      <c r="K3549" s="252"/>
      <c r="L3549"/>
      <c r="M3549"/>
    </row>
    <row r="3550" spans="1:13" s="79" customFormat="1" x14ac:dyDescent="0.35">
      <c r="A3550" s="251"/>
      <c r="B3550" s="22"/>
      <c r="C3550" s="252"/>
      <c r="D3550" s="252"/>
      <c r="E3550" s="252"/>
      <c r="F3550" s="252"/>
      <c r="G3550" s="252"/>
      <c r="H3550" s="252"/>
      <c r="I3550" s="252"/>
      <c r="J3550" s="252"/>
      <c r="K3550" s="252"/>
      <c r="L3550"/>
      <c r="M3550"/>
    </row>
    <row r="3551" spans="1:13" s="79" customFormat="1" x14ac:dyDescent="0.35">
      <c r="A3551" s="251"/>
      <c r="B3551" s="22"/>
      <c r="C3551" s="252"/>
      <c r="D3551" s="252"/>
      <c r="E3551" s="252"/>
      <c r="F3551" s="252"/>
      <c r="G3551" s="252"/>
      <c r="H3551" s="252"/>
      <c r="I3551" s="252"/>
      <c r="J3551" s="252"/>
      <c r="K3551" s="252"/>
      <c r="L3551"/>
      <c r="M3551"/>
    </row>
    <row r="3552" spans="1:13" s="79" customFormat="1" x14ac:dyDescent="0.35">
      <c r="A3552" s="251"/>
      <c r="B3552" s="22"/>
      <c r="C3552" s="252"/>
      <c r="D3552" s="252"/>
      <c r="E3552" s="252"/>
      <c r="F3552" s="252"/>
      <c r="G3552" s="252"/>
      <c r="H3552" s="252"/>
      <c r="I3552" s="252"/>
      <c r="J3552" s="252"/>
      <c r="K3552" s="252"/>
      <c r="L3552"/>
      <c r="M3552"/>
    </row>
    <row r="3553" spans="1:13" s="79" customFormat="1" x14ac:dyDescent="0.35">
      <c r="A3553" s="251"/>
      <c r="B3553" s="22"/>
      <c r="C3553" s="252"/>
      <c r="D3553" s="252"/>
      <c r="E3553" s="252"/>
      <c r="F3553" s="252"/>
      <c r="G3553" s="252"/>
      <c r="H3553" s="252"/>
      <c r="I3553" s="252"/>
      <c r="J3553" s="252"/>
      <c r="K3553" s="252"/>
      <c r="L3553"/>
      <c r="M3553"/>
    </row>
    <row r="3554" spans="1:13" s="79" customFormat="1" x14ac:dyDescent="0.35">
      <c r="A3554" s="251"/>
      <c r="B3554" s="22"/>
      <c r="C3554" s="252"/>
      <c r="D3554" s="252"/>
      <c r="E3554" s="252"/>
      <c r="F3554" s="252"/>
      <c r="G3554" s="252"/>
      <c r="H3554" s="252"/>
      <c r="I3554" s="252"/>
      <c r="J3554" s="252"/>
      <c r="K3554" s="252"/>
      <c r="L3554"/>
      <c r="M3554"/>
    </row>
    <row r="3555" spans="1:13" s="79" customFormat="1" x14ac:dyDescent="0.35">
      <c r="A3555" s="251"/>
      <c r="B3555" s="22"/>
      <c r="C3555" s="252"/>
      <c r="D3555" s="252"/>
      <c r="E3555" s="252"/>
      <c r="F3555" s="252"/>
      <c r="G3555" s="252"/>
      <c r="H3555" s="252"/>
      <c r="I3555" s="252"/>
      <c r="J3555" s="252"/>
      <c r="K3555" s="252"/>
      <c r="L3555"/>
      <c r="M3555"/>
    </row>
    <row r="3556" spans="1:13" s="79" customFormat="1" x14ac:dyDescent="0.35">
      <c r="A3556" s="251"/>
      <c r="B3556" s="22"/>
      <c r="C3556" s="252"/>
      <c r="D3556" s="252"/>
      <c r="E3556" s="252"/>
      <c r="F3556" s="252"/>
      <c r="G3556" s="252"/>
      <c r="H3556" s="252"/>
      <c r="I3556" s="252"/>
      <c r="J3556" s="252"/>
      <c r="K3556" s="252"/>
      <c r="L3556"/>
      <c r="M3556"/>
    </row>
    <row r="3557" spans="1:13" s="79" customFormat="1" x14ac:dyDescent="0.35">
      <c r="A3557" s="251"/>
      <c r="B3557" s="22"/>
      <c r="C3557" s="252"/>
      <c r="D3557" s="252"/>
      <c r="E3557" s="252"/>
      <c r="F3557" s="252"/>
      <c r="G3557" s="252"/>
      <c r="H3557" s="252"/>
      <c r="I3557" s="252"/>
      <c r="J3557" s="252"/>
      <c r="K3557" s="252"/>
      <c r="L3557"/>
      <c r="M3557"/>
    </row>
    <row r="3558" spans="1:13" s="79" customFormat="1" x14ac:dyDescent="0.35">
      <c r="A3558" s="251"/>
      <c r="B3558" s="22"/>
      <c r="C3558" s="252"/>
      <c r="D3558" s="252"/>
      <c r="E3558" s="252"/>
      <c r="F3558" s="252"/>
      <c r="G3558" s="252"/>
      <c r="H3558" s="252"/>
      <c r="I3558" s="252"/>
      <c r="J3558" s="252"/>
      <c r="K3558" s="252"/>
      <c r="L3558"/>
      <c r="M3558"/>
    </row>
    <row r="3559" spans="1:13" s="79" customFormat="1" x14ac:dyDescent="0.35">
      <c r="A3559" s="251"/>
      <c r="B3559" s="22"/>
      <c r="C3559" s="252"/>
      <c r="D3559" s="252"/>
      <c r="E3559" s="252"/>
      <c r="F3559" s="252"/>
      <c r="G3559" s="252"/>
      <c r="H3559" s="252"/>
      <c r="I3559" s="252"/>
      <c r="J3559" s="252"/>
      <c r="K3559" s="252"/>
      <c r="L3559"/>
      <c r="M3559"/>
    </row>
    <row r="3560" spans="1:13" s="79" customFormat="1" x14ac:dyDescent="0.35">
      <c r="A3560" s="251"/>
      <c r="B3560" s="22"/>
      <c r="C3560" s="252"/>
      <c r="D3560" s="252"/>
      <c r="E3560" s="252"/>
      <c r="F3560" s="252"/>
      <c r="G3560" s="252"/>
      <c r="H3560" s="252"/>
      <c r="I3560" s="252"/>
      <c r="J3560" s="252"/>
      <c r="K3560" s="252"/>
      <c r="L3560"/>
      <c r="M3560"/>
    </row>
    <row r="3561" spans="1:13" s="79" customFormat="1" x14ac:dyDescent="0.35">
      <c r="A3561" s="251"/>
      <c r="B3561" s="22"/>
      <c r="C3561" s="252"/>
      <c r="D3561" s="252"/>
      <c r="E3561" s="252"/>
      <c r="F3561" s="252"/>
      <c r="G3561" s="252"/>
      <c r="H3561" s="252"/>
      <c r="I3561" s="252"/>
      <c r="J3561" s="252"/>
      <c r="K3561" s="252"/>
      <c r="L3561"/>
      <c r="M3561"/>
    </row>
    <row r="3562" spans="1:13" s="79" customFormat="1" x14ac:dyDescent="0.35">
      <c r="A3562" s="251"/>
      <c r="B3562" s="22"/>
      <c r="C3562" s="252"/>
      <c r="D3562" s="252"/>
      <c r="E3562" s="252"/>
      <c r="F3562" s="252"/>
      <c r="G3562" s="252"/>
      <c r="H3562" s="252"/>
      <c r="I3562" s="252"/>
      <c r="J3562" s="252"/>
      <c r="K3562" s="252"/>
      <c r="L3562"/>
      <c r="M3562"/>
    </row>
    <row r="3563" spans="1:13" s="79" customFormat="1" x14ac:dyDescent="0.35">
      <c r="A3563" s="251"/>
      <c r="B3563" s="22"/>
      <c r="C3563" s="252"/>
      <c r="D3563" s="252"/>
      <c r="E3563" s="252"/>
      <c r="F3563" s="252"/>
      <c r="G3563" s="252"/>
      <c r="H3563" s="252"/>
      <c r="I3563" s="252"/>
      <c r="J3563" s="252"/>
      <c r="K3563" s="252"/>
      <c r="L3563"/>
      <c r="M3563"/>
    </row>
    <row r="3564" spans="1:13" s="79" customFormat="1" x14ac:dyDescent="0.35">
      <c r="A3564" s="251"/>
      <c r="B3564" s="22"/>
      <c r="C3564" s="252"/>
      <c r="D3564" s="252"/>
      <c r="E3564" s="252"/>
      <c r="F3564" s="252"/>
      <c r="G3564" s="252"/>
      <c r="H3564" s="252"/>
      <c r="I3564" s="252"/>
      <c r="J3564" s="252"/>
      <c r="K3564" s="252"/>
      <c r="L3564"/>
      <c r="M3564"/>
    </row>
    <row r="3565" spans="1:13" s="79" customFormat="1" x14ac:dyDescent="0.35">
      <c r="A3565" s="251"/>
      <c r="B3565" s="22"/>
      <c r="C3565" s="252"/>
      <c r="D3565" s="252"/>
      <c r="E3565" s="252"/>
      <c r="F3565" s="252"/>
      <c r="G3565" s="252"/>
      <c r="H3565" s="252"/>
      <c r="I3565" s="252"/>
      <c r="J3565" s="252"/>
      <c r="K3565" s="252"/>
      <c r="L3565"/>
      <c r="M3565"/>
    </row>
    <row r="3566" spans="1:13" s="79" customFormat="1" x14ac:dyDescent="0.35">
      <c r="A3566" s="251"/>
      <c r="B3566" s="22"/>
      <c r="C3566" s="252"/>
      <c r="D3566" s="252"/>
      <c r="E3566" s="252"/>
      <c r="F3566" s="252"/>
      <c r="G3566" s="252"/>
      <c r="H3566" s="252"/>
      <c r="I3566" s="252"/>
      <c r="J3566" s="252"/>
      <c r="K3566" s="252"/>
      <c r="L3566"/>
      <c r="M3566"/>
    </row>
    <row r="3567" spans="1:13" s="79" customFormat="1" x14ac:dyDescent="0.35">
      <c r="A3567" s="251"/>
      <c r="B3567" s="22"/>
      <c r="C3567" s="252"/>
      <c r="D3567" s="252"/>
      <c r="E3567" s="252"/>
      <c r="F3567" s="252"/>
      <c r="G3567" s="252"/>
      <c r="H3567" s="252"/>
      <c r="I3567" s="252"/>
      <c r="J3567" s="252"/>
      <c r="K3567" s="252"/>
      <c r="L3567"/>
      <c r="M3567"/>
    </row>
    <row r="3568" spans="1:13" s="79" customFormat="1" x14ac:dyDescent="0.35">
      <c r="A3568" s="251"/>
      <c r="B3568" s="22"/>
      <c r="C3568" s="252"/>
      <c r="D3568" s="252"/>
      <c r="E3568" s="252"/>
      <c r="F3568" s="252"/>
      <c r="G3568" s="252"/>
      <c r="H3568" s="252"/>
      <c r="I3568" s="252"/>
      <c r="J3568" s="252"/>
      <c r="K3568" s="252"/>
      <c r="L3568"/>
      <c r="M3568"/>
    </row>
    <row r="3569" spans="1:13" s="79" customFormat="1" x14ac:dyDescent="0.35">
      <c r="A3569" s="251"/>
      <c r="B3569" s="22"/>
      <c r="C3569" s="252"/>
      <c r="D3569" s="252"/>
      <c r="E3569" s="252"/>
      <c r="F3569" s="252"/>
      <c r="G3569" s="252"/>
      <c r="H3569" s="252"/>
      <c r="I3569" s="252"/>
      <c r="J3569" s="252"/>
      <c r="K3569" s="252"/>
      <c r="L3569"/>
      <c r="M3569"/>
    </row>
    <row r="3570" spans="1:13" s="79" customFormat="1" x14ac:dyDescent="0.35">
      <c r="A3570" s="251"/>
      <c r="B3570" s="22"/>
      <c r="C3570" s="252"/>
      <c r="D3570" s="252"/>
      <c r="E3570" s="252"/>
      <c r="F3570" s="252"/>
      <c r="G3570" s="252"/>
      <c r="H3570" s="252"/>
      <c r="I3570" s="252"/>
      <c r="J3570" s="252"/>
      <c r="K3570" s="252"/>
      <c r="L3570"/>
      <c r="M3570"/>
    </row>
    <row r="3571" spans="1:13" s="79" customFormat="1" x14ac:dyDescent="0.35">
      <c r="A3571" s="251"/>
      <c r="B3571" s="22"/>
      <c r="C3571" s="252"/>
      <c r="D3571" s="252"/>
      <c r="E3571" s="252"/>
      <c r="F3571" s="252"/>
      <c r="G3571" s="252"/>
      <c r="H3571" s="252"/>
      <c r="I3571" s="252"/>
      <c r="J3571" s="252"/>
      <c r="K3571" s="252"/>
      <c r="L3571"/>
      <c r="M3571"/>
    </row>
    <row r="3572" spans="1:13" s="79" customFormat="1" x14ac:dyDescent="0.35">
      <c r="A3572" s="251"/>
      <c r="B3572" s="22"/>
      <c r="C3572" s="252"/>
      <c r="D3572" s="252"/>
      <c r="E3572" s="252"/>
      <c r="F3572" s="252"/>
      <c r="G3572" s="252"/>
      <c r="H3572" s="252"/>
      <c r="I3572" s="252"/>
      <c r="J3572" s="252"/>
      <c r="K3572" s="252"/>
      <c r="L3572"/>
      <c r="M3572"/>
    </row>
    <row r="3573" spans="1:13" s="79" customFormat="1" x14ac:dyDescent="0.35">
      <c r="A3573" s="251"/>
      <c r="B3573" s="22"/>
      <c r="C3573" s="252"/>
      <c r="D3573" s="252"/>
      <c r="E3573" s="252"/>
      <c r="F3573" s="252"/>
      <c r="G3573" s="252"/>
      <c r="H3573" s="252"/>
      <c r="I3573" s="252"/>
      <c r="J3573" s="252"/>
      <c r="K3573" s="252"/>
      <c r="L3573"/>
      <c r="M3573"/>
    </row>
    <row r="3574" spans="1:13" s="79" customFormat="1" x14ac:dyDescent="0.35">
      <c r="A3574" s="251"/>
      <c r="B3574" s="22"/>
      <c r="C3574" s="252"/>
      <c r="D3574" s="252"/>
      <c r="E3574" s="252"/>
      <c r="F3574" s="252"/>
      <c r="G3574" s="252"/>
      <c r="H3574" s="252"/>
      <c r="I3574" s="252"/>
      <c r="J3574" s="252"/>
      <c r="K3574" s="252"/>
      <c r="L3574"/>
      <c r="M3574"/>
    </row>
    <row r="3575" spans="1:13" s="79" customFormat="1" x14ac:dyDescent="0.35">
      <c r="A3575" s="251"/>
      <c r="B3575" s="22"/>
      <c r="C3575" s="252"/>
      <c r="D3575" s="252"/>
      <c r="E3575" s="252"/>
      <c r="F3575" s="252"/>
      <c r="G3575" s="252"/>
      <c r="H3575" s="252"/>
      <c r="I3575" s="252"/>
      <c r="J3575" s="252"/>
      <c r="K3575" s="252"/>
      <c r="L3575"/>
      <c r="M3575"/>
    </row>
    <row r="3576" spans="1:13" s="79" customFormat="1" x14ac:dyDescent="0.35">
      <c r="A3576" s="251"/>
      <c r="B3576" s="22"/>
      <c r="C3576" s="252"/>
      <c r="D3576" s="252"/>
      <c r="E3576" s="252"/>
      <c r="F3576" s="252"/>
      <c r="G3576" s="252"/>
      <c r="H3576" s="252"/>
      <c r="I3576" s="252"/>
      <c r="J3576" s="252"/>
      <c r="K3576" s="252"/>
      <c r="L3576"/>
      <c r="M3576"/>
    </row>
    <row r="3577" spans="1:13" s="79" customFormat="1" x14ac:dyDescent="0.35">
      <c r="A3577" s="251"/>
      <c r="B3577" s="22"/>
      <c r="C3577" s="252"/>
      <c r="D3577" s="252"/>
      <c r="E3577" s="252"/>
      <c r="F3577" s="252"/>
      <c r="G3577" s="252"/>
      <c r="H3577" s="252"/>
      <c r="I3577" s="252"/>
      <c r="J3577" s="252"/>
      <c r="K3577" s="252"/>
      <c r="L3577"/>
      <c r="M3577"/>
    </row>
    <row r="3578" spans="1:13" s="79" customFormat="1" x14ac:dyDescent="0.35">
      <c r="A3578" s="251"/>
      <c r="B3578" s="22"/>
      <c r="C3578" s="252"/>
      <c r="D3578" s="252"/>
      <c r="E3578" s="252"/>
      <c r="F3578" s="252"/>
      <c r="G3578" s="252"/>
      <c r="H3578" s="252"/>
      <c r="I3578" s="252"/>
      <c r="J3578" s="252"/>
      <c r="K3578" s="252"/>
      <c r="L3578"/>
      <c r="M3578"/>
    </row>
    <row r="3579" spans="1:13" s="79" customFormat="1" x14ac:dyDescent="0.35">
      <c r="A3579" s="251"/>
      <c r="B3579" s="22"/>
      <c r="C3579" s="252"/>
      <c r="D3579" s="252"/>
      <c r="E3579" s="252"/>
      <c r="F3579" s="252"/>
      <c r="G3579" s="252"/>
      <c r="H3579" s="252"/>
      <c r="I3579" s="252"/>
      <c r="J3579" s="252"/>
      <c r="K3579" s="252"/>
      <c r="L3579"/>
      <c r="M3579"/>
    </row>
    <row r="3580" spans="1:13" s="79" customFormat="1" x14ac:dyDescent="0.35">
      <c r="A3580" s="251"/>
      <c r="B3580" s="22"/>
      <c r="C3580" s="252"/>
      <c r="D3580" s="252"/>
      <c r="E3580" s="252"/>
      <c r="F3580" s="252"/>
      <c r="G3580" s="252"/>
      <c r="H3580" s="252"/>
      <c r="I3580" s="252"/>
      <c r="J3580" s="252"/>
      <c r="K3580" s="252"/>
      <c r="L3580"/>
      <c r="M3580"/>
    </row>
    <row r="3581" spans="1:13" s="79" customFormat="1" x14ac:dyDescent="0.35">
      <c r="A3581" s="251"/>
      <c r="B3581" s="22"/>
      <c r="C3581" s="252"/>
      <c r="D3581" s="252"/>
      <c r="E3581" s="252"/>
      <c r="F3581" s="252"/>
      <c r="G3581" s="252"/>
      <c r="H3581" s="252"/>
      <c r="I3581" s="252"/>
      <c r="J3581" s="252"/>
      <c r="K3581" s="252"/>
      <c r="L3581"/>
      <c r="M3581"/>
    </row>
    <row r="3582" spans="1:13" s="79" customFormat="1" x14ac:dyDescent="0.35">
      <c r="A3582" s="251"/>
      <c r="B3582" s="22"/>
      <c r="C3582" s="252"/>
      <c r="D3582" s="252"/>
      <c r="E3582" s="252"/>
      <c r="F3582" s="252"/>
      <c r="G3582" s="252"/>
      <c r="H3582" s="252"/>
      <c r="I3582" s="252"/>
      <c r="J3582" s="252"/>
      <c r="K3582" s="252"/>
      <c r="L3582"/>
      <c r="M3582"/>
    </row>
    <row r="3583" spans="1:13" s="79" customFormat="1" x14ac:dyDescent="0.35">
      <c r="A3583" s="251"/>
      <c r="B3583" s="22"/>
      <c r="C3583" s="252"/>
      <c r="D3583" s="252"/>
      <c r="E3583" s="252"/>
      <c r="F3583" s="252"/>
      <c r="G3583" s="252"/>
      <c r="H3583" s="252"/>
      <c r="I3583" s="252"/>
      <c r="J3583" s="252"/>
      <c r="K3583" s="252"/>
      <c r="L3583"/>
      <c r="M3583"/>
    </row>
    <row r="3584" spans="1:13" s="79" customFormat="1" x14ac:dyDescent="0.35">
      <c r="A3584" s="251"/>
      <c r="B3584" s="22"/>
      <c r="C3584" s="252"/>
      <c r="D3584" s="252"/>
      <c r="E3584" s="252"/>
      <c r="F3584" s="252"/>
      <c r="G3584" s="252"/>
      <c r="H3584" s="252"/>
      <c r="I3584" s="252"/>
      <c r="J3584" s="252"/>
      <c r="K3584" s="252"/>
      <c r="L3584"/>
      <c r="M3584"/>
    </row>
    <row r="3585" spans="1:13" s="79" customFormat="1" x14ac:dyDescent="0.35">
      <c r="A3585" s="251"/>
      <c r="B3585" s="22"/>
      <c r="C3585" s="252"/>
      <c r="D3585" s="252"/>
      <c r="E3585" s="252"/>
      <c r="F3585" s="252"/>
      <c r="G3585" s="252"/>
      <c r="H3585" s="252"/>
      <c r="I3585" s="252"/>
      <c r="J3585" s="252"/>
      <c r="K3585" s="252"/>
      <c r="L3585"/>
      <c r="M3585"/>
    </row>
    <row r="3586" spans="1:13" s="79" customFormat="1" x14ac:dyDescent="0.35">
      <c r="A3586" s="251"/>
      <c r="B3586" s="22"/>
      <c r="C3586" s="252"/>
      <c r="D3586" s="252"/>
      <c r="E3586" s="252"/>
      <c r="F3586" s="252"/>
      <c r="G3586" s="252"/>
      <c r="H3586" s="252"/>
      <c r="I3586" s="252"/>
      <c r="J3586" s="252"/>
      <c r="K3586" s="252"/>
      <c r="L3586"/>
      <c r="M3586"/>
    </row>
    <row r="3587" spans="1:13" s="79" customFormat="1" x14ac:dyDescent="0.35">
      <c r="A3587" s="251"/>
      <c r="B3587" s="22"/>
      <c r="C3587" s="252"/>
      <c r="D3587" s="252"/>
      <c r="E3587" s="252"/>
      <c r="F3587" s="252"/>
      <c r="G3587" s="252"/>
      <c r="H3587" s="252"/>
      <c r="I3587" s="252"/>
      <c r="J3587" s="252"/>
      <c r="K3587" s="252"/>
      <c r="L3587"/>
      <c r="M3587"/>
    </row>
    <row r="3588" spans="1:13" s="79" customFormat="1" x14ac:dyDescent="0.35">
      <c r="A3588" s="251"/>
      <c r="B3588" s="22"/>
      <c r="C3588" s="252"/>
      <c r="D3588" s="252"/>
      <c r="E3588" s="252"/>
      <c r="F3588" s="252"/>
      <c r="G3588" s="252"/>
      <c r="H3588" s="252"/>
      <c r="I3588" s="252"/>
      <c r="J3588" s="252"/>
      <c r="K3588" s="252"/>
      <c r="L3588"/>
      <c r="M3588"/>
    </row>
    <row r="3589" spans="1:13" s="79" customFormat="1" x14ac:dyDescent="0.35">
      <c r="A3589" s="251"/>
      <c r="B3589" s="22"/>
      <c r="C3589" s="252"/>
      <c r="D3589" s="252"/>
      <c r="E3589" s="252"/>
      <c r="F3589" s="252"/>
      <c r="G3589" s="252"/>
      <c r="H3589" s="252"/>
      <c r="I3589" s="252"/>
      <c r="J3589" s="252"/>
      <c r="K3589" s="252"/>
      <c r="L3589"/>
      <c r="M3589"/>
    </row>
    <row r="3590" spans="1:13" s="79" customFormat="1" x14ac:dyDescent="0.35">
      <c r="A3590" s="251"/>
      <c r="B3590" s="22"/>
      <c r="C3590" s="252"/>
      <c r="D3590" s="252"/>
      <c r="E3590" s="252"/>
      <c r="F3590" s="252"/>
      <c r="G3590" s="252"/>
      <c r="H3590" s="252"/>
      <c r="I3590" s="252"/>
      <c r="J3590" s="252"/>
      <c r="K3590" s="252"/>
      <c r="L3590"/>
      <c r="M3590"/>
    </row>
    <row r="3591" spans="1:13" s="79" customFormat="1" x14ac:dyDescent="0.35">
      <c r="A3591" s="251"/>
      <c r="B3591" s="22"/>
      <c r="C3591" s="252"/>
      <c r="D3591" s="252"/>
      <c r="E3591" s="252"/>
      <c r="F3591" s="252"/>
      <c r="G3591" s="252"/>
      <c r="H3591" s="252"/>
      <c r="I3591" s="252"/>
      <c r="J3591" s="252"/>
      <c r="K3591" s="252"/>
      <c r="L3591"/>
      <c r="M3591"/>
    </row>
    <row r="3592" spans="1:13" s="79" customFormat="1" x14ac:dyDescent="0.35">
      <c r="A3592" s="251"/>
      <c r="B3592" s="22"/>
      <c r="C3592" s="252"/>
      <c r="D3592" s="252"/>
      <c r="E3592" s="252"/>
      <c r="F3592" s="252"/>
      <c r="G3592" s="252"/>
      <c r="H3592" s="252"/>
      <c r="I3592" s="252"/>
      <c r="J3592" s="252"/>
      <c r="K3592" s="252"/>
      <c r="L3592"/>
      <c r="M3592"/>
    </row>
    <row r="3593" spans="1:13" s="79" customFormat="1" x14ac:dyDescent="0.35">
      <c r="A3593" s="251"/>
      <c r="B3593" s="22"/>
      <c r="C3593" s="252"/>
      <c r="D3593" s="252"/>
      <c r="E3593" s="252"/>
      <c r="F3593" s="252"/>
      <c r="G3593" s="252"/>
      <c r="H3593" s="252"/>
      <c r="I3593" s="252"/>
      <c r="J3593" s="252"/>
      <c r="K3593" s="252"/>
      <c r="L3593"/>
      <c r="M3593"/>
    </row>
    <row r="3594" spans="1:13" s="79" customFormat="1" x14ac:dyDescent="0.35">
      <c r="A3594" s="251"/>
      <c r="B3594" s="22"/>
      <c r="C3594" s="252"/>
      <c r="D3594" s="252"/>
      <c r="E3594" s="252"/>
      <c r="F3594" s="252"/>
      <c r="G3594" s="252"/>
      <c r="H3594" s="252"/>
      <c r="I3594" s="252"/>
      <c r="J3594" s="252"/>
      <c r="K3594" s="252"/>
      <c r="L3594"/>
      <c r="M3594"/>
    </row>
    <row r="3595" spans="1:13" s="79" customFormat="1" x14ac:dyDescent="0.35">
      <c r="A3595" s="251"/>
      <c r="B3595" s="22"/>
      <c r="C3595" s="252"/>
      <c r="D3595" s="252"/>
      <c r="E3595" s="252"/>
      <c r="F3595" s="252"/>
      <c r="G3595" s="252"/>
      <c r="H3595" s="252"/>
      <c r="I3595" s="252"/>
      <c r="J3595" s="252"/>
      <c r="K3595" s="252"/>
      <c r="L3595"/>
      <c r="M3595"/>
    </row>
    <row r="3596" spans="1:13" s="79" customFormat="1" x14ac:dyDescent="0.35">
      <c r="A3596" s="251"/>
      <c r="B3596" s="22"/>
      <c r="C3596" s="252"/>
      <c r="D3596" s="252"/>
      <c r="E3596" s="252"/>
      <c r="F3596" s="252"/>
      <c r="G3596" s="252"/>
      <c r="H3596" s="252"/>
      <c r="I3596" s="252"/>
      <c r="J3596" s="252"/>
      <c r="K3596" s="252"/>
      <c r="L3596"/>
      <c r="M3596"/>
    </row>
    <row r="3597" spans="1:13" s="79" customFormat="1" x14ac:dyDescent="0.35">
      <c r="A3597" s="251"/>
      <c r="B3597" s="22"/>
      <c r="C3597" s="252"/>
      <c r="D3597" s="252"/>
      <c r="E3597" s="252"/>
      <c r="F3597" s="252"/>
      <c r="G3597" s="252"/>
      <c r="H3597" s="252"/>
      <c r="I3597" s="252"/>
      <c r="J3597" s="252"/>
      <c r="K3597" s="252"/>
      <c r="L3597"/>
      <c r="M3597"/>
    </row>
    <row r="3598" spans="1:13" s="79" customFormat="1" x14ac:dyDescent="0.35">
      <c r="A3598" s="251"/>
      <c r="B3598" s="22"/>
      <c r="C3598" s="252"/>
      <c r="D3598" s="252"/>
      <c r="E3598" s="252"/>
      <c r="F3598" s="252"/>
      <c r="G3598" s="252"/>
      <c r="H3598" s="252"/>
      <c r="I3598" s="252"/>
      <c r="J3598" s="252"/>
      <c r="K3598" s="252"/>
      <c r="L3598"/>
      <c r="M3598"/>
    </row>
    <row r="3599" spans="1:13" s="79" customFormat="1" x14ac:dyDescent="0.35">
      <c r="A3599" s="251"/>
      <c r="B3599" s="22"/>
      <c r="C3599" s="252"/>
      <c r="D3599" s="252"/>
      <c r="E3599" s="252"/>
      <c r="F3599" s="252"/>
      <c r="G3599" s="252"/>
      <c r="H3599" s="252"/>
      <c r="I3599" s="252"/>
      <c r="J3599" s="252"/>
      <c r="K3599" s="252"/>
      <c r="L3599"/>
      <c r="M3599"/>
    </row>
    <row r="3600" spans="1:13" s="79" customFormat="1" x14ac:dyDescent="0.35">
      <c r="A3600" s="251"/>
      <c r="B3600" s="22"/>
      <c r="C3600" s="252"/>
      <c r="D3600" s="252"/>
      <c r="E3600" s="252"/>
      <c r="F3600" s="252"/>
      <c r="G3600" s="252"/>
      <c r="H3600" s="252"/>
      <c r="I3600" s="252"/>
      <c r="J3600" s="252"/>
      <c r="K3600" s="252"/>
      <c r="L3600"/>
      <c r="M3600"/>
    </row>
    <row r="3601" spans="1:13" s="79" customFormat="1" x14ac:dyDescent="0.35">
      <c r="A3601" s="251"/>
      <c r="B3601" s="22"/>
      <c r="C3601" s="252"/>
      <c r="D3601" s="252"/>
      <c r="E3601" s="252"/>
      <c r="F3601" s="252"/>
      <c r="G3601" s="252"/>
      <c r="H3601" s="252"/>
      <c r="I3601" s="252"/>
      <c r="J3601" s="252"/>
      <c r="K3601" s="252"/>
      <c r="L3601"/>
      <c r="M3601"/>
    </row>
    <row r="3602" spans="1:13" s="79" customFormat="1" x14ac:dyDescent="0.35">
      <c r="A3602" s="251"/>
      <c r="B3602" s="22"/>
      <c r="C3602" s="252"/>
      <c r="D3602" s="252"/>
      <c r="E3602" s="252"/>
      <c r="F3602" s="252"/>
      <c r="G3602" s="252"/>
      <c r="H3602" s="252"/>
      <c r="I3602" s="252"/>
      <c r="J3602" s="252"/>
      <c r="K3602" s="252"/>
      <c r="L3602"/>
      <c r="M3602"/>
    </row>
    <row r="3603" spans="1:13" s="79" customFormat="1" x14ac:dyDescent="0.35">
      <c r="A3603" s="251"/>
      <c r="B3603" s="22"/>
      <c r="C3603" s="252"/>
      <c r="D3603" s="252"/>
      <c r="E3603" s="252"/>
      <c r="F3603" s="252"/>
      <c r="G3603" s="252"/>
      <c r="H3603" s="252"/>
      <c r="I3603" s="252"/>
      <c r="J3603" s="252"/>
      <c r="K3603" s="252"/>
      <c r="L3603"/>
      <c r="M3603"/>
    </row>
    <row r="3604" spans="1:13" s="79" customFormat="1" x14ac:dyDescent="0.35">
      <c r="A3604" s="251"/>
      <c r="B3604" s="22"/>
      <c r="C3604" s="252"/>
      <c r="D3604" s="252"/>
      <c r="E3604" s="252"/>
      <c r="F3604" s="252"/>
      <c r="G3604" s="252"/>
      <c r="H3604" s="252"/>
      <c r="I3604" s="252"/>
      <c r="J3604" s="252"/>
      <c r="K3604" s="252"/>
      <c r="L3604"/>
      <c r="M3604"/>
    </row>
    <row r="3605" spans="1:13" s="79" customFormat="1" x14ac:dyDescent="0.35">
      <c r="A3605" s="251"/>
      <c r="B3605" s="22"/>
      <c r="C3605" s="252"/>
      <c r="D3605" s="252"/>
      <c r="E3605" s="252"/>
      <c r="F3605" s="252"/>
      <c r="G3605" s="252"/>
      <c r="H3605" s="252"/>
      <c r="I3605" s="252"/>
      <c r="J3605" s="252"/>
      <c r="K3605" s="252"/>
      <c r="L3605"/>
      <c r="M3605"/>
    </row>
    <row r="3606" spans="1:13" s="79" customFormat="1" x14ac:dyDescent="0.35">
      <c r="A3606" s="251"/>
      <c r="B3606" s="22"/>
      <c r="C3606" s="252"/>
      <c r="D3606" s="252"/>
      <c r="E3606" s="252"/>
      <c r="F3606" s="252"/>
      <c r="G3606" s="252"/>
      <c r="H3606" s="252"/>
      <c r="I3606" s="252"/>
      <c r="J3606" s="252"/>
      <c r="K3606" s="252"/>
      <c r="L3606"/>
      <c r="M3606"/>
    </row>
    <row r="3607" spans="1:13" s="79" customFormat="1" x14ac:dyDescent="0.35">
      <c r="A3607" s="251"/>
      <c r="B3607" s="22"/>
      <c r="C3607" s="252"/>
      <c r="D3607" s="252"/>
      <c r="E3607" s="252"/>
      <c r="F3607" s="252"/>
      <c r="G3607" s="252"/>
      <c r="H3607" s="252"/>
      <c r="I3607" s="252"/>
      <c r="J3607" s="252"/>
      <c r="K3607" s="252"/>
      <c r="L3607"/>
      <c r="M3607"/>
    </row>
    <row r="3608" spans="1:13" s="79" customFormat="1" x14ac:dyDescent="0.35">
      <c r="A3608" s="251"/>
      <c r="B3608" s="22"/>
      <c r="C3608" s="252"/>
      <c r="D3608" s="252"/>
      <c r="E3608" s="252"/>
      <c r="F3608" s="252"/>
      <c r="G3608" s="252"/>
      <c r="H3608" s="252"/>
      <c r="I3608" s="252"/>
      <c r="J3608" s="252"/>
      <c r="K3608" s="252"/>
      <c r="L3608"/>
      <c r="M3608"/>
    </row>
    <row r="3609" spans="1:13" s="79" customFormat="1" x14ac:dyDescent="0.35">
      <c r="A3609" s="251"/>
      <c r="B3609" s="22"/>
      <c r="C3609" s="252"/>
      <c r="D3609" s="252"/>
      <c r="E3609" s="252"/>
      <c r="F3609" s="252"/>
      <c r="G3609" s="252"/>
      <c r="H3609" s="252"/>
      <c r="I3609" s="252"/>
      <c r="J3609" s="252"/>
      <c r="K3609" s="252"/>
      <c r="L3609"/>
      <c r="M3609"/>
    </row>
    <row r="3610" spans="1:13" s="79" customFormat="1" x14ac:dyDescent="0.35">
      <c r="A3610" s="251"/>
      <c r="B3610" s="22"/>
      <c r="C3610" s="252"/>
      <c r="D3610" s="252"/>
      <c r="E3610" s="252"/>
      <c r="F3610" s="252"/>
      <c r="G3610" s="252"/>
      <c r="H3610" s="252"/>
      <c r="I3610" s="252"/>
      <c r="J3610" s="252"/>
      <c r="K3610" s="252"/>
      <c r="L3610"/>
      <c r="M3610"/>
    </row>
    <row r="3611" spans="1:13" s="79" customFormat="1" x14ac:dyDescent="0.35">
      <c r="A3611" s="251"/>
      <c r="B3611" s="22"/>
      <c r="C3611" s="252"/>
      <c r="D3611" s="252"/>
      <c r="E3611" s="252"/>
      <c r="F3611" s="252"/>
      <c r="G3611" s="252"/>
      <c r="H3611" s="252"/>
      <c r="I3611" s="252"/>
      <c r="J3611" s="252"/>
      <c r="K3611" s="252"/>
      <c r="L3611"/>
      <c r="M3611"/>
    </row>
    <row r="3612" spans="1:13" s="79" customFormat="1" x14ac:dyDescent="0.35">
      <c r="A3612" s="251"/>
      <c r="B3612" s="22"/>
      <c r="C3612" s="252"/>
      <c r="D3612" s="252"/>
      <c r="E3612" s="252"/>
      <c r="F3612" s="252"/>
      <c r="G3612" s="252"/>
      <c r="H3612" s="252"/>
      <c r="I3612" s="252"/>
      <c r="J3612" s="252"/>
      <c r="K3612" s="252"/>
      <c r="L3612"/>
      <c r="M3612"/>
    </row>
    <row r="3613" spans="1:13" s="79" customFormat="1" x14ac:dyDescent="0.35">
      <c r="A3613" s="251"/>
      <c r="B3613" s="22"/>
      <c r="C3613" s="252"/>
      <c r="D3613" s="252"/>
      <c r="E3613" s="252"/>
      <c r="F3613" s="252"/>
      <c r="G3613" s="252"/>
      <c r="H3613" s="252"/>
      <c r="I3613" s="252"/>
      <c r="J3613" s="252"/>
      <c r="K3613" s="252"/>
      <c r="L3613"/>
      <c r="M3613"/>
    </row>
    <row r="3614" spans="1:13" s="79" customFormat="1" x14ac:dyDescent="0.35">
      <c r="A3614" s="251"/>
      <c r="B3614" s="22"/>
      <c r="C3614" s="252"/>
      <c r="D3614" s="252"/>
      <c r="E3614" s="252"/>
      <c r="F3614" s="252"/>
      <c r="G3614" s="252"/>
      <c r="H3614" s="252"/>
      <c r="I3614" s="252"/>
      <c r="J3614" s="252"/>
      <c r="K3614" s="252"/>
      <c r="L3614"/>
      <c r="M3614"/>
    </row>
    <row r="3615" spans="1:13" s="79" customFormat="1" x14ac:dyDescent="0.35">
      <c r="A3615" s="251"/>
      <c r="B3615" s="22"/>
      <c r="C3615" s="252"/>
      <c r="D3615" s="252"/>
      <c r="E3615" s="252"/>
      <c r="F3615" s="252"/>
      <c r="G3615" s="252"/>
      <c r="H3615" s="252"/>
      <c r="I3615" s="252"/>
      <c r="J3615" s="252"/>
      <c r="K3615" s="252"/>
      <c r="L3615"/>
      <c r="M3615"/>
    </row>
    <row r="3616" spans="1:13" s="79" customFormat="1" x14ac:dyDescent="0.35">
      <c r="A3616" s="251"/>
      <c r="B3616" s="22"/>
      <c r="C3616" s="252"/>
      <c r="D3616" s="252"/>
      <c r="E3616" s="252"/>
      <c r="F3616" s="252"/>
      <c r="G3616" s="252"/>
      <c r="H3616" s="252"/>
      <c r="I3616" s="252"/>
      <c r="J3616" s="252"/>
      <c r="K3616" s="252"/>
      <c r="L3616"/>
      <c r="M3616"/>
    </row>
    <row r="3617" spans="1:13" s="79" customFormat="1" x14ac:dyDescent="0.35">
      <c r="A3617" s="251"/>
      <c r="B3617" s="22"/>
      <c r="C3617" s="252"/>
      <c r="D3617" s="252"/>
      <c r="E3617" s="252"/>
      <c r="F3617" s="252"/>
      <c r="G3617" s="252"/>
      <c r="H3617" s="252"/>
      <c r="I3617" s="252"/>
      <c r="J3617" s="252"/>
      <c r="K3617" s="252"/>
      <c r="L3617"/>
      <c r="M3617"/>
    </row>
    <row r="3618" spans="1:13" s="79" customFormat="1" x14ac:dyDescent="0.35">
      <c r="A3618" s="251"/>
      <c r="B3618" s="22"/>
      <c r="C3618" s="252"/>
      <c r="D3618" s="252"/>
      <c r="E3618" s="252"/>
      <c r="F3618" s="252"/>
      <c r="G3618" s="252"/>
      <c r="H3618" s="252"/>
      <c r="I3618" s="252"/>
      <c r="J3618" s="252"/>
      <c r="K3618" s="252"/>
      <c r="L3618"/>
      <c r="M3618"/>
    </row>
    <row r="3619" spans="1:13" s="79" customFormat="1" x14ac:dyDescent="0.35">
      <c r="A3619" s="251"/>
      <c r="B3619" s="22"/>
      <c r="C3619" s="252"/>
      <c r="D3619" s="252"/>
      <c r="E3619" s="252"/>
      <c r="F3619" s="252"/>
      <c r="G3619" s="252"/>
      <c r="H3619" s="252"/>
      <c r="I3619" s="252"/>
      <c r="J3619" s="252"/>
      <c r="K3619" s="252"/>
      <c r="L3619"/>
      <c r="M3619"/>
    </row>
    <row r="3620" spans="1:13" s="79" customFormat="1" x14ac:dyDescent="0.35">
      <c r="A3620" s="251"/>
      <c r="B3620" s="22"/>
      <c r="C3620" s="252"/>
      <c r="D3620" s="252"/>
      <c r="E3620" s="252"/>
      <c r="F3620" s="252"/>
      <c r="G3620" s="252"/>
      <c r="H3620" s="252"/>
      <c r="I3620" s="252"/>
      <c r="J3620" s="252"/>
      <c r="K3620" s="252"/>
      <c r="L3620"/>
      <c r="M3620"/>
    </row>
    <row r="3621" spans="1:13" s="79" customFormat="1" x14ac:dyDescent="0.35">
      <c r="A3621" s="251"/>
      <c r="B3621" s="22"/>
      <c r="C3621" s="252"/>
      <c r="D3621" s="252"/>
      <c r="E3621" s="252"/>
      <c r="F3621" s="252"/>
      <c r="G3621" s="252"/>
      <c r="H3621" s="252"/>
      <c r="I3621" s="252"/>
      <c r="J3621" s="252"/>
      <c r="K3621" s="252"/>
      <c r="L3621"/>
      <c r="M3621"/>
    </row>
    <row r="3622" spans="1:13" s="79" customFormat="1" x14ac:dyDescent="0.35">
      <c r="A3622" s="251"/>
      <c r="B3622" s="22"/>
      <c r="C3622" s="252"/>
      <c r="D3622" s="252"/>
      <c r="E3622" s="252"/>
      <c r="F3622" s="252"/>
      <c r="G3622" s="252"/>
      <c r="H3622" s="252"/>
      <c r="I3622" s="252"/>
      <c r="J3622" s="252"/>
      <c r="K3622" s="252"/>
      <c r="L3622"/>
      <c r="M3622"/>
    </row>
    <row r="3623" spans="1:13" s="79" customFormat="1" x14ac:dyDescent="0.35">
      <c r="A3623" s="251"/>
      <c r="B3623" s="22"/>
      <c r="C3623" s="252"/>
      <c r="D3623" s="252"/>
      <c r="E3623" s="252"/>
      <c r="F3623" s="252"/>
      <c r="G3623" s="252"/>
      <c r="H3623" s="252"/>
      <c r="I3623" s="252"/>
      <c r="J3623" s="252"/>
      <c r="K3623" s="252"/>
      <c r="L3623"/>
      <c r="M3623"/>
    </row>
    <row r="3624" spans="1:13" s="79" customFormat="1" x14ac:dyDescent="0.35">
      <c r="A3624" s="251"/>
      <c r="B3624" s="22"/>
      <c r="C3624" s="252"/>
      <c r="D3624" s="252"/>
      <c r="E3624" s="252"/>
      <c r="F3624" s="252"/>
      <c r="G3624" s="252"/>
      <c r="H3624" s="252"/>
      <c r="I3624" s="252"/>
      <c r="J3624" s="252"/>
      <c r="K3624" s="252"/>
      <c r="L3624"/>
      <c r="M3624"/>
    </row>
    <row r="3625" spans="1:13" s="79" customFormat="1" x14ac:dyDescent="0.35">
      <c r="A3625" s="251"/>
      <c r="B3625" s="22"/>
      <c r="C3625" s="252"/>
      <c r="D3625" s="252"/>
      <c r="E3625" s="252"/>
      <c r="F3625" s="252"/>
      <c r="G3625" s="252"/>
      <c r="H3625" s="252"/>
      <c r="I3625" s="252"/>
      <c r="J3625" s="252"/>
      <c r="K3625" s="252"/>
      <c r="L3625"/>
      <c r="M3625"/>
    </row>
    <row r="3626" spans="1:13" s="79" customFormat="1" x14ac:dyDescent="0.35">
      <c r="A3626" s="251"/>
      <c r="B3626" s="22"/>
      <c r="C3626" s="252"/>
      <c r="D3626" s="252"/>
      <c r="E3626" s="252"/>
      <c r="F3626" s="252"/>
      <c r="G3626" s="252"/>
      <c r="H3626" s="252"/>
      <c r="I3626" s="252"/>
      <c r="J3626" s="252"/>
      <c r="K3626" s="252"/>
      <c r="L3626"/>
      <c r="M3626"/>
    </row>
    <row r="3627" spans="1:13" s="79" customFormat="1" x14ac:dyDescent="0.35">
      <c r="A3627" s="251"/>
      <c r="B3627" s="22"/>
      <c r="C3627" s="252"/>
      <c r="D3627" s="252"/>
      <c r="E3627" s="252"/>
      <c r="F3627" s="252"/>
      <c r="G3627" s="252"/>
      <c r="H3627" s="252"/>
      <c r="I3627" s="252"/>
      <c r="J3627" s="252"/>
      <c r="K3627" s="252"/>
      <c r="L3627"/>
      <c r="M3627"/>
    </row>
    <row r="3628" spans="1:13" s="79" customFormat="1" x14ac:dyDescent="0.35">
      <c r="A3628" s="251"/>
      <c r="B3628" s="22"/>
      <c r="C3628" s="252"/>
      <c r="D3628" s="252"/>
      <c r="E3628" s="252"/>
      <c r="F3628" s="252"/>
      <c r="G3628" s="252"/>
      <c r="H3628" s="252"/>
      <c r="I3628" s="252"/>
      <c r="J3628" s="252"/>
      <c r="K3628" s="252"/>
      <c r="L3628"/>
      <c r="M3628"/>
    </row>
    <row r="3629" spans="1:13" s="79" customFormat="1" x14ac:dyDescent="0.35">
      <c r="A3629" s="251"/>
      <c r="B3629" s="22"/>
      <c r="C3629" s="252"/>
      <c r="D3629" s="252"/>
      <c r="E3629" s="252"/>
      <c r="F3629" s="252"/>
      <c r="G3629" s="252"/>
      <c r="H3629" s="252"/>
      <c r="I3629" s="252"/>
      <c r="J3629" s="252"/>
      <c r="K3629" s="252"/>
      <c r="L3629"/>
      <c r="M3629"/>
    </row>
    <row r="3630" spans="1:13" s="79" customFormat="1" x14ac:dyDescent="0.35">
      <c r="A3630" s="251"/>
      <c r="B3630" s="22"/>
      <c r="C3630" s="252"/>
      <c r="D3630" s="252"/>
      <c r="E3630" s="252"/>
      <c r="F3630" s="252"/>
      <c r="G3630" s="252"/>
      <c r="H3630" s="252"/>
      <c r="I3630" s="252"/>
      <c r="J3630" s="252"/>
      <c r="K3630" s="252"/>
      <c r="L3630"/>
      <c r="M3630"/>
    </row>
    <row r="3631" spans="1:13" s="79" customFormat="1" x14ac:dyDescent="0.35">
      <c r="A3631" s="251"/>
      <c r="B3631" s="22"/>
      <c r="C3631" s="252"/>
      <c r="D3631" s="252"/>
      <c r="E3631" s="252"/>
      <c r="F3631" s="252"/>
      <c r="G3631" s="252"/>
      <c r="H3631" s="252"/>
      <c r="I3631" s="252"/>
      <c r="J3631" s="252"/>
      <c r="K3631" s="252"/>
      <c r="L3631"/>
      <c r="M3631"/>
    </row>
    <row r="3632" spans="1:13" s="79" customFormat="1" x14ac:dyDescent="0.35">
      <c r="A3632" s="251"/>
      <c r="B3632" s="22"/>
      <c r="C3632" s="252"/>
      <c r="D3632" s="252"/>
      <c r="E3632" s="252"/>
      <c r="F3632" s="252"/>
      <c r="G3632" s="252"/>
      <c r="H3632" s="252"/>
      <c r="I3632" s="252"/>
      <c r="J3632" s="252"/>
      <c r="K3632" s="252"/>
      <c r="L3632"/>
      <c r="M3632"/>
    </row>
    <row r="3633" spans="1:13" s="79" customFormat="1" x14ac:dyDescent="0.35">
      <c r="A3633" s="251"/>
      <c r="B3633" s="22"/>
      <c r="C3633" s="252"/>
      <c r="D3633" s="252"/>
      <c r="E3633" s="252"/>
      <c r="F3633" s="252"/>
      <c r="G3633" s="252"/>
      <c r="H3633" s="252"/>
      <c r="I3633" s="252"/>
      <c r="J3633" s="252"/>
      <c r="K3633" s="252"/>
      <c r="L3633"/>
      <c r="M3633"/>
    </row>
    <row r="3634" spans="1:13" s="79" customFormat="1" x14ac:dyDescent="0.35">
      <c r="A3634" s="251"/>
      <c r="B3634" s="22"/>
      <c r="C3634" s="252"/>
      <c r="D3634" s="252"/>
      <c r="E3634" s="252"/>
      <c r="F3634" s="252"/>
      <c r="G3634" s="252"/>
      <c r="H3634" s="252"/>
      <c r="I3634" s="252"/>
      <c r="J3634" s="252"/>
      <c r="K3634" s="252"/>
      <c r="L3634"/>
      <c r="M3634"/>
    </row>
    <row r="3635" spans="1:13" s="79" customFormat="1" x14ac:dyDescent="0.35">
      <c r="A3635" s="251"/>
      <c r="B3635" s="22"/>
      <c r="C3635" s="252"/>
      <c r="D3635" s="252"/>
      <c r="E3635" s="252"/>
      <c r="F3635" s="252"/>
      <c r="G3635" s="252"/>
      <c r="H3635" s="252"/>
      <c r="I3635" s="252"/>
      <c r="J3635" s="252"/>
      <c r="K3635" s="252"/>
      <c r="L3635"/>
      <c r="M3635"/>
    </row>
    <row r="3636" spans="1:13" s="79" customFormat="1" x14ac:dyDescent="0.35">
      <c r="A3636" s="251"/>
      <c r="B3636" s="22"/>
      <c r="C3636" s="252"/>
      <c r="D3636" s="252"/>
      <c r="E3636" s="252"/>
      <c r="F3636" s="252"/>
      <c r="G3636" s="252"/>
      <c r="H3636" s="252"/>
      <c r="I3636" s="252"/>
      <c r="J3636" s="252"/>
      <c r="K3636" s="252"/>
      <c r="L3636"/>
      <c r="M3636"/>
    </row>
    <row r="3637" spans="1:13" s="79" customFormat="1" x14ac:dyDescent="0.35">
      <c r="A3637" s="251"/>
      <c r="B3637" s="22"/>
      <c r="C3637" s="252"/>
      <c r="D3637" s="252"/>
      <c r="E3637" s="252"/>
      <c r="F3637" s="252"/>
      <c r="G3637" s="252"/>
      <c r="H3637" s="252"/>
      <c r="I3637" s="252"/>
      <c r="J3637" s="252"/>
      <c r="K3637" s="252"/>
      <c r="L3637"/>
      <c r="M3637"/>
    </row>
    <row r="3638" spans="1:13" s="79" customFormat="1" x14ac:dyDescent="0.35">
      <c r="A3638" s="251"/>
      <c r="B3638" s="22"/>
      <c r="C3638" s="252"/>
      <c r="D3638" s="252"/>
      <c r="E3638" s="252"/>
      <c r="F3638" s="252"/>
      <c r="G3638" s="252"/>
      <c r="H3638" s="252"/>
      <c r="I3638" s="252"/>
      <c r="J3638" s="252"/>
      <c r="K3638" s="252"/>
      <c r="L3638"/>
      <c r="M3638"/>
    </row>
    <row r="3639" spans="1:13" s="79" customFormat="1" x14ac:dyDescent="0.35">
      <c r="A3639" s="251"/>
      <c r="B3639" s="22"/>
      <c r="C3639" s="252"/>
      <c r="D3639" s="252"/>
      <c r="E3639" s="252"/>
      <c r="F3639" s="252"/>
      <c r="G3639" s="252"/>
      <c r="H3639" s="252"/>
      <c r="I3639" s="252"/>
      <c r="J3639" s="252"/>
      <c r="K3639" s="252"/>
      <c r="L3639"/>
      <c r="M3639"/>
    </row>
    <row r="3640" spans="1:13" s="79" customFormat="1" x14ac:dyDescent="0.35">
      <c r="A3640" s="251"/>
      <c r="B3640" s="22"/>
      <c r="C3640" s="252"/>
      <c r="D3640" s="252"/>
      <c r="E3640" s="252"/>
      <c r="F3640" s="252"/>
      <c r="G3640" s="252"/>
      <c r="H3640" s="252"/>
      <c r="I3640" s="252"/>
      <c r="J3640" s="252"/>
      <c r="K3640" s="252"/>
      <c r="L3640"/>
      <c r="M3640"/>
    </row>
    <row r="3641" spans="1:13" s="79" customFormat="1" x14ac:dyDescent="0.35">
      <c r="A3641" s="251"/>
      <c r="B3641" s="22"/>
      <c r="C3641" s="252"/>
      <c r="D3641" s="252"/>
      <c r="E3641" s="252"/>
      <c r="F3641" s="252"/>
      <c r="G3641" s="252"/>
      <c r="H3641" s="252"/>
      <c r="I3641" s="252"/>
      <c r="J3641" s="252"/>
      <c r="K3641" s="252"/>
      <c r="L3641"/>
      <c r="M3641"/>
    </row>
    <row r="3642" spans="1:13" s="79" customFormat="1" x14ac:dyDescent="0.35">
      <c r="A3642" s="251"/>
      <c r="B3642" s="22"/>
      <c r="C3642" s="252"/>
      <c r="D3642" s="252"/>
      <c r="E3642" s="252"/>
      <c r="F3642" s="252"/>
      <c r="G3642" s="252"/>
      <c r="H3642" s="252"/>
      <c r="I3642" s="252"/>
      <c r="J3642" s="252"/>
      <c r="K3642" s="252"/>
      <c r="L3642"/>
      <c r="M3642"/>
    </row>
    <row r="3643" spans="1:13" s="79" customFormat="1" x14ac:dyDescent="0.35">
      <c r="A3643" s="251"/>
      <c r="B3643" s="22"/>
      <c r="C3643" s="252"/>
      <c r="D3643" s="252"/>
      <c r="E3643" s="252"/>
      <c r="F3643" s="252"/>
      <c r="G3643" s="252"/>
      <c r="H3643" s="252"/>
      <c r="I3643" s="252"/>
      <c r="J3643" s="252"/>
      <c r="K3643" s="252"/>
      <c r="L3643"/>
      <c r="M3643"/>
    </row>
    <row r="3644" spans="1:13" s="79" customFormat="1" x14ac:dyDescent="0.35">
      <c r="A3644" s="251"/>
      <c r="B3644" s="22"/>
      <c r="C3644" s="252"/>
      <c r="D3644" s="252"/>
      <c r="E3644" s="252"/>
      <c r="F3644" s="252"/>
      <c r="G3644" s="252"/>
      <c r="H3644" s="252"/>
      <c r="I3644" s="252"/>
      <c r="J3644" s="252"/>
      <c r="K3644" s="252"/>
      <c r="L3644"/>
      <c r="M3644"/>
    </row>
    <row r="3645" spans="1:13" s="79" customFormat="1" x14ac:dyDescent="0.35">
      <c r="A3645" s="251"/>
      <c r="B3645" s="22"/>
      <c r="C3645" s="252"/>
      <c r="D3645" s="252"/>
      <c r="E3645" s="252"/>
      <c r="F3645" s="252"/>
      <c r="G3645" s="252"/>
      <c r="H3645" s="252"/>
      <c r="I3645" s="252"/>
      <c r="J3645" s="252"/>
      <c r="K3645" s="252"/>
      <c r="L3645"/>
      <c r="M3645"/>
    </row>
    <row r="3646" spans="1:13" s="79" customFormat="1" x14ac:dyDescent="0.35">
      <c r="A3646" s="251"/>
      <c r="B3646" s="22"/>
      <c r="C3646" s="252"/>
      <c r="D3646" s="252"/>
      <c r="E3646" s="252"/>
      <c r="F3646" s="252"/>
      <c r="G3646" s="252"/>
      <c r="H3646" s="252"/>
      <c r="I3646" s="252"/>
      <c r="J3646" s="252"/>
      <c r="K3646" s="252"/>
      <c r="L3646"/>
      <c r="M3646"/>
    </row>
    <row r="3647" spans="1:13" s="79" customFormat="1" x14ac:dyDescent="0.35">
      <c r="A3647" s="251"/>
      <c r="B3647" s="22"/>
      <c r="C3647" s="252"/>
      <c r="D3647" s="252"/>
      <c r="E3647" s="252"/>
      <c r="F3647" s="252"/>
      <c r="G3647" s="252"/>
      <c r="H3647" s="252"/>
      <c r="I3647" s="252"/>
      <c r="J3647" s="252"/>
      <c r="K3647" s="252"/>
      <c r="L3647"/>
      <c r="M3647"/>
    </row>
    <row r="3648" spans="1:13" s="79" customFormat="1" x14ac:dyDescent="0.35">
      <c r="A3648" s="251"/>
      <c r="B3648" s="22"/>
      <c r="C3648" s="252"/>
      <c r="D3648" s="252"/>
      <c r="E3648" s="252"/>
      <c r="F3648" s="252"/>
      <c r="G3648" s="252"/>
      <c r="H3648" s="252"/>
      <c r="I3648" s="252"/>
      <c r="J3648" s="252"/>
      <c r="K3648" s="252"/>
      <c r="L3648"/>
      <c r="M3648"/>
    </row>
    <row r="3649" spans="1:13" s="79" customFormat="1" x14ac:dyDescent="0.35">
      <c r="A3649" s="251"/>
      <c r="B3649" s="22"/>
      <c r="C3649" s="252"/>
      <c r="D3649" s="252"/>
      <c r="E3649" s="252"/>
      <c r="F3649" s="252"/>
      <c r="G3649" s="252"/>
      <c r="H3649" s="252"/>
      <c r="I3649" s="252"/>
      <c r="J3649" s="252"/>
      <c r="K3649" s="252"/>
      <c r="L3649"/>
      <c r="M3649"/>
    </row>
    <row r="3650" spans="1:13" s="79" customFormat="1" x14ac:dyDescent="0.35">
      <c r="A3650" s="251"/>
      <c r="B3650" s="22"/>
      <c r="C3650" s="252"/>
      <c r="D3650" s="252"/>
      <c r="E3650" s="252"/>
      <c r="F3650" s="252"/>
      <c r="G3650" s="252"/>
      <c r="H3650" s="252"/>
      <c r="I3650" s="252"/>
      <c r="J3650" s="252"/>
      <c r="K3650" s="252"/>
      <c r="L3650"/>
      <c r="M3650"/>
    </row>
    <row r="3651" spans="1:13" s="79" customFormat="1" x14ac:dyDescent="0.35">
      <c r="A3651" s="251"/>
      <c r="B3651" s="22"/>
      <c r="C3651" s="252"/>
      <c r="D3651" s="252"/>
      <c r="E3651" s="252"/>
      <c r="F3651" s="252"/>
      <c r="G3651" s="252"/>
      <c r="H3651" s="252"/>
      <c r="I3651" s="252"/>
      <c r="J3651" s="252"/>
      <c r="K3651" s="252"/>
      <c r="L3651"/>
      <c r="M3651"/>
    </row>
    <row r="3652" spans="1:13" s="79" customFormat="1" x14ac:dyDescent="0.35">
      <c r="A3652" s="251"/>
      <c r="B3652" s="22"/>
      <c r="C3652" s="252"/>
      <c r="D3652" s="252"/>
      <c r="E3652" s="252"/>
      <c r="F3652" s="252"/>
      <c r="G3652" s="252"/>
      <c r="H3652" s="252"/>
      <c r="I3652" s="252"/>
      <c r="J3652" s="252"/>
      <c r="K3652" s="252"/>
      <c r="L3652"/>
      <c r="M3652"/>
    </row>
    <row r="3653" spans="1:13" s="79" customFormat="1" x14ac:dyDescent="0.35">
      <c r="A3653" s="251"/>
      <c r="B3653" s="22"/>
      <c r="C3653" s="252"/>
      <c r="D3653" s="252"/>
      <c r="E3653" s="252"/>
      <c r="F3653" s="252"/>
      <c r="G3653" s="252"/>
      <c r="H3653" s="252"/>
      <c r="I3653" s="252"/>
      <c r="J3653" s="252"/>
      <c r="K3653" s="252"/>
      <c r="L3653"/>
      <c r="M3653"/>
    </row>
    <row r="3654" spans="1:13" s="79" customFormat="1" x14ac:dyDescent="0.35">
      <c r="A3654" s="251"/>
      <c r="B3654" s="22"/>
      <c r="C3654" s="252"/>
      <c r="D3654" s="252"/>
      <c r="E3654" s="252"/>
      <c r="F3654" s="252"/>
      <c r="G3654" s="252"/>
      <c r="H3654" s="252"/>
      <c r="I3654" s="252"/>
      <c r="J3654" s="252"/>
      <c r="K3654" s="252"/>
      <c r="L3654"/>
      <c r="M3654"/>
    </row>
    <row r="3655" spans="1:13" s="79" customFormat="1" x14ac:dyDescent="0.35">
      <c r="A3655" s="251"/>
      <c r="B3655" s="22"/>
      <c r="C3655" s="252"/>
      <c r="D3655" s="252"/>
      <c r="E3655" s="252"/>
      <c r="F3655" s="252"/>
      <c r="G3655" s="252"/>
      <c r="H3655" s="252"/>
      <c r="I3655" s="252"/>
      <c r="J3655" s="252"/>
      <c r="K3655" s="252"/>
      <c r="L3655"/>
      <c r="M3655"/>
    </row>
    <row r="3656" spans="1:13" s="79" customFormat="1" x14ac:dyDescent="0.35">
      <c r="A3656" s="251"/>
      <c r="B3656" s="22"/>
      <c r="C3656" s="252"/>
      <c r="D3656" s="252"/>
      <c r="E3656" s="252"/>
      <c r="F3656" s="252"/>
      <c r="G3656" s="252"/>
      <c r="H3656" s="252"/>
      <c r="I3656" s="252"/>
      <c r="J3656" s="252"/>
      <c r="K3656" s="252"/>
      <c r="L3656"/>
      <c r="M3656"/>
    </row>
    <row r="3657" spans="1:13" s="79" customFormat="1" x14ac:dyDescent="0.35">
      <c r="A3657" s="251"/>
      <c r="B3657" s="22"/>
      <c r="C3657" s="252"/>
      <c r="D3657" s="252"/>
      <c r="E3657" s="252"/>
      <c r="F3657" s="252"/>
      <c r="G3657" s="252"/>
      <c r="H3657" s="252"/>
      <c r="I3657" s="252"/>
      <c r="J3657" s="252"/>
      <c r="K3657" s="252"/>
      <c r="L3657"/>
      <c r="M3657"/>
    </row>
    <row r="3658" spans="1:13" s="79" customFormat="1" x14ac:dyDescent="0.35">
      <c r="A3658" s="251"/>
      <c r="B3658" s="22"/>
      <c r="C3658" s="252"/>
      <c r="D3658" s="252"/>
      <c r="E3658" s="252"/>
      <c r="F3658" s="252"/>
      <c r="G3658" s="252"/>
      <c r="H3658" s="252"/>
      <c r="I3658" s="252"/>
      <c r="J3658" s="252"/>
      <c r="K3658" s="252"/>
      <c r="L3658"/>
      <c r="M3658"/>
    </row>
    <row r="3659" spans="1:13" s="79" customFormat="1" x14ac:dyDescent="0.35">
      <c r="A3659" s="251"/>
      <c r="B3659" s="22"/>
      <c r="C3659" s="252"/>
      <c r="D3659" s="252"/>
      <c r="E3659" s="252"/>
      <c r="F3659" s="252"/>
      <c r="G3659" s="252"/>
      <c r="H3659" s="252"/>
      <c r="I3659" s="252"/>
      <c r="J3659" s="252"/>
      <c r="K3659" s="252"/>
      <c r="L3659"/>
      <c r="M3659"/>
    </row>
    <row r="3660" spans="1:13" s="79" customFormat="1" x14ac:dyDescent="0.35">
      <c r="A3660" s="251"/>
      <c r="B3660" s="22"/>
      <c r="C3660" s="252"/>
      <c r="D3660" s="252"/>
      <c r="E3660" s="252"/>
      <c r="F3660" s="252"/>
      <c r="G3660" s="252"/>
      <c r="H3660" s="252"/>
      <c r="I3660" s="252"/>
      <c r="J3660" s="252"/>
      <c r="K3660" s="252"/>
      <c r="L3660"/>
      <c r="M3660"/>
    </row>
    <row r="3661" spans="1:13" s="79" customFormat="1" x14ac:dyDescent="0.35">
      <c r="A3661" s="251"/>
      <c r="B3661" s="22"/>
      <c r="C3661" s="252"/>
      <c r="D3661" s="252"/>
      <c r="E3661" s="252"/>
      <c r="F3661" s="252"/>
      <c r="G3661" s="252"/>
      <c r="H3661" s="252"/>
      <c r="I3661" s="252"/>
      <c r="J3661" s="252"/>
      <c r="K3661" s="252"/>
      <c r="L3661"/>
      <c r="M3661"/>
    </row>
    <row r="3662" spans="1:13" s="79" customFormat="1" x14ac:dyDescent="0.35">
      <c r="A3662" s="251"/>
      <c r="B3662" s="22"/>
      <c r="C3662" s="252"/>
      <c r="D3662" s="252"/>
      <c r="E3662" s="252"/>
      <c r="F3662" s="252"/>
      <c r="G3662" s="252"/>
      <c r="H3662" s="252"/>
      <c r="I3662" s="252"/>
      <c r="J3662" s="252"/>
      <c r="K3662" s="252"/>
      <c r="L3662"/>
      <c r="M3662"/>
    </row>
    <row r="3663" spans="1:13" s="79" customFormat="1" x14ac:dyDescent="0.35">
      <c r="A3663" s="251"/>
      <c r="B3663" s="22"/>
      <c r="C3663" s="252"/>
      <c r="D3663" s="252"/>
      <c r="E3663" s="252"/>
      <c r="F3663" s="252"/>
      <c r="G3663" s="252"/>
      <c r="H3663" s="252"/>
      <c r="I3663" s="252"/>
      <c r="J3663" s="252"/>
      <c r="K3663" s="252"/>
      <c r="L3663"/>
      <c r="M3663"/>
    </row>
    <row r="3664" spans="1:13" s="79" customFormat="1" x14ac:dyDescent="0.35">
      <c r="A3664" s="251"/>
      <c r="B3664" s="22"/>
      <c r="C3664" s="252"/>
      <c r="D3664" s="252"/>
      <c r="E3664" s="252"/>
      <c r="F3664" s="252"/>
      <c r="G3664" s="252"/>
      <c r="H3664" s="252"/>
      <c r="I3664" s="252"/>
      <c r="J3664" s="252"/>
      <c r="K3664" s="252"/>
      <c r="L3664"/>
      <c r="M3664"/>
    </row>
    <row r="3665" spans="1:13" s="79" customFormat="1" x14ac:dyDescent="0.35">
      <c r="A3665" s="251"/>
      <c r="B3665" s="22"/>
      <c r="C3665" s="252"/>
      <c r="D3665" s="252"/>
      <c r="E3665" s="252"/>
      <c r="F3665" s="252"/>
      <c r="G3665" s="252"/>
      <c r="H3665" s="252"/>
      <c r="I3665" s="252"/>
      <c r="J3665" s="252"/>
      <c r="K3665" s="252"/>
      <c r="L3665"/>
      <c r="M3665"/>
    </row>
    <row r="3666" spans="1:13" s="79" customFormat="1" x14ac:dyDescent="0.35">
      <c r="A3666" s="251"/>
      <c r="B3666" s="22"/>
      <c r="C3666" s="252"/>
      <c r="D3666" s="252"/>
      <c r="E3666" s="252"/>
      <c r="F3666" s="252"/>
      <c r="G3666" s="252"/>
      <c r="H3666" s="252"/>
      <c r="I3666" s="252"/>
      <c r="J3666" s="252"/>
      <c r="K3666" s="252"/>
      <c r="L3666"/>
      <c r="M3666"/>
    </row>
    <row r="3667" spans="1:13" s="79" customFormat="1" x14ac:dyDescent="0.35">
      <c r="A3667" s="251"/>
      <c r="B3667" s="22"/>
      <c r="C3667" s="252"/>
      <c r="D3667" s="252"/>
      <c r="E3667" s="252"/>
      <c r="F3667" s="252"/>
      <c r="G3667" s="252"/>
      <c r="H3667" s="252"/>
      <c r="I3667" s="252"/>
      <c r="J3667" s="252"/>
      <c r="K3667" s="252"/>
      <c r="L3667"/>
      <c r="M3667"/>
    </row>
    <row r="3668" spans="1:13" s="79" customFormat="1" x14ac:dyDescent="0.35">
      <c r="A3668" s="251"/>
      <c r="B3668" s="22"/>
      <c r="C3668" s="252"/>
      <c r="D3668" s="252"/>
      <c r="E3668" s="252"/>
      <c r="F3668" s="252"/>
      <c r="G3668" s="252"/>
      <c r="H3668" s="252"/>
      <c r="I3668" s="252"/>
      <c r="J3668" s="252"/>
      <c r="K3668" s="252"/>
      <c r="L3668"/>
      <c r="M3668"/>
    </row>
    <row r="3669" spans="1:13" s="79" customFormat="1" x14ac:dyDescent="0.35">
      <c r="A3669" s="251"/>
      <c r="B3669" s="22"/>
      <c r="C3669" s="252"/>
      <c r="D3669" s="252"/>
      <c r="E3669" s="252"/>
      <c r="F3669" s="252"/>
      <c r="G3669" s="252"/>
      <c r="H3669" s="252"/>
      <c r="I3669" s="252"/>
      <c r="J3669" s="252"/>
      <c r="K3669" s="252"/>
      <c r="L3669"/>
      <c r="M3669"/>
    </row>
    <row r="3670" spans="1:13" s="79" customFormat="1" x14ac:dyDescent="0.35">
      <c r="A3670" s="251"/>
      <c r="B3670" s="22"/>
      <c r="C3670" s="252"/>
      <c r="D3670" s="252"/>
      <c r="E3670" s="252"/>
      <c r="F3670" s="252"/>
      <c r="G3670" s="252"/>
      <c r="H3670" s="252"/>
      <c r="I3670" s="252"/>
      <c r="J3670" s="252"/>
      <c r="K3670" s="252"/>
      <c r="L3670"/>
      <c r="M3670"/>
    </row>
    <row r="3671" spans="1:13" s="79" customFormat="1" x14ac:dyDescent="0.35">
      <c r="A3671" s="251"/>
      <c r="B3671" s="22"/>
      <c r="C3671" s="252"/>
      <c r="D3671" s="252"/>
      <c r="E3671" s="252"/>
      <c r="F3671" s="252"/>
      <c r="G3671" s="252"/>
      <c r="H3671" s="252"/>
      <c r="I3671" s="252"/>
      <c r="J3671" s="252"/>
      <c r="K3671" s="252"/>
      <c r="L3671"/>
      <c r="M3671"/>
    </row>
    <row r="3672" spans="1:13" s="79" customFormat="1" x14ac:dyDescent="0.35">
      <c r="A3672" s="251"/>
      <c r="B3672" s="22"/>
      <c r="C3672" s="252"/>
      <c r="D3672" s="252"/>
      <c r="E3672" s="252"/>
      <c r="F3672" s="252"/>
      <c r="G3672" s="252"/>
      <c r="H3672" s="252"/>
      <c r="I3672" s="252"/>
      <c r="J3672" s="252"/>
      <c r="K3672" s="252"/>
      <c r="L3672"/>
      <c r="M3672"/>
    </row>
    <row r="3673" spans="1:13" s="79" customFormat="1" x14ac:dyDescent="0.35">
      <c r="A3673" s="251"/>
      <c r="B3673" s="22"/>
      <c r="C3673" s="252"/>
      <c r="D3673" s="252"/>
      <c r="E3673" s="252"/>
      <c r="F3673" s="252"/>
      <c r="G3673" s="252"/>
      <c r="H3673" s="252"/>
      <c r="I3673" s="252"/>
      <c r="J3673" s="252"/>
      <c r="K3673" s="252"/>
      <c r="L3673"/>
      <c r="M3673"/>
    </row>
    <row r="3674" spans="1:13" s="79" customFormat="1" x14ac:dyDescent="0.35">
      <c r="A3674" s="251"/>
      <c r="B3674" s="22"/>
      <c r="C3674" s="252"/>
      <c r="D3674" s="252"/>
      <c r="E3674" s="252"/>
      <c r="F3674" s="252"/>
      <c r="G3674" s="252"/>
      <c r="H3674" s="252"/>
      <c r="I3674" s="252"/>
      <c r="J3674" s="252"/>
      <c r="K3674" s="252"/>
      <c r="L3674"/>
      <c r="M3674"/>
    </row>
    <row r="3675" spans="1:13" s="79" customFormat="1" x14ac:dyDescent="0.35">
      <c r="A3675" s="251"/>
      <c r="B3675" s="22"/>
      <c r="C3675" s="252"/>
      <c r="D3675" s="252"/>
      <c r="E3675" s="252"/>
      <c r="F3675" s="252"/>
      <c r="G3675" s="252"/>
      <c r="H3675" s="252"/>
      <c r="I3675" s="252"/>
      <c r="J3675" s="252"/>
      <c r="K3675" s="252"/>
      <c r="L3675"/>
      <c r="M3675"/>
    </row>
    <row r="3676" spans="1:13" s="79" customFormat="1" x14ac:dyDescent="0.35">
      <c r="A3676" s="251"/>
      <c r="B3676" s="22"/>
      <c r="C3676" s="252"/>
      <c r="D3676" s="252"/>
      <c r="E3676" s="252"/>
      <c r="F3676" s="252"/>
      <c r="G3676" s="252"/>
      <c r="H3676" s="252"/>
      <c r="I3676" s="252"/>
      <c r="J3676" s="252"/>
      <c r="K3676" s="252"/>
      <c r="L3676"/>
      <c r="M3676"/>
    </row>
    <row r="3677" spans="1:13" s="79" customFormat="1" x14ac:dyDescent="0.35">
      <c r="A3677" s="251"/>
      <c r="B3677" s="22"/>
      <c r="C3677" s="252"/>
      <c r="D3677" s="252"/>
      <c r="E3677" s="252"/>
      <c r="F3677" s="252"/>
      <c r="G3677" s="252"/>
      <c r="H3677" s="252"/>
      <c r="I3677" s="252"/>
      <c r="J3677" s="252"/>
      <c r="K3677" s="252"/>
      <c r="L3677"/>
      <c r="M3677"/>
    </row>
    <row r="3678" spans="1:13" s="79" customFormat="1" x14ac:dyDescent="0.35">
      <c r="A3678" s="251"/>
      <c r="B3678" s="22"/>
      <c r="C3678" s="252"/>
      <c r="D3678" s="252"/>
      <c r="E3678" s="252"/>
      <c r="F3678" s="252"/>
      <c r="G3678" s="252"/>
      <c r="H3678" s="252"/>
      <c r="I3678" s="252"/>
      <c r="J3678" s="252"/>
      <c r="K3678" s="252"/>
      <c r="L3678"/>
      <c r="M3678"/>
    </row>
    <row r="3679" spans="1:13" s="79" customFormat="1" x14ac:dyDescent="0.35">
      <c r="A3679" s="251"/>
      <c r="B3679" s="22"/>
      <c r="C3679" s="252"/>
      <c r="D3679" s="252"/>
      <c r="E3679" s="252"/>
      <c r="F3679" s="252"/>
      <c r="G3679" s="252"/>
      <c r="H3679" s="252"/>
      <c r="I3679" s="252"/>
      <c r="J3679" s="252"/>
      <c r="K3679" s="252"/>
      <c r="L3679"/>
      <c r="M3679"/>
    </row>
    <row r="3680" spans="1:13" s="79" customFormat="1" x14ac:dyDescent="0.35">
      <c r="A3680" s="251"/>
      <c r="B3680" s="22"/>
      <c r="C3680" s="252"/>
      <c r="D3680" s="252"/>
      <c r="E3680" s="252"/>
      <c r="F3680" s="252"/>
      <c r="G3680" s="252"/>
      <c r="H3680" s="252"/>
      <c r="I3680" s="252"/>
      <c r="J3680" s="252"/>
      <c r="K3680" s="252"/>
      <c r="L3680"/>
      <c r="M3680"/>
    </row>
    <row r="3681" spans="1:13" s="79" customFormat="1" x14ac:dyDescent="0.35">
      <c r="A3681" s="251"/>
      <c r="B3681" s="22"/>
      <c r="C3681" s="252"/>
      <c r="D3681" s="252"/>
      <c r="E3681" s="252"/>
      <c r="F3681" s="252"/>
      <c r="G3681" s="252"/>
      <c r="H3681" s="252"/>
      <c r="I3681" s="252"/>
      <c r="J3681" s="252"/>
      <c r="K3681" s="252"/>
      <c r="L3681"/>
      <c r="M3681"/>
    </row>
    <row r="3682" spans="1:13" s="79" customFormat="1" x14ac:dyDescent="0.35">
      <c r="A3682" s="251"/>
      <c r="B3682" s="22"/>
      <c r="C3682" s="252"/>
      <c r="D3682" s="252"/>
      <c r="E3682" s="252"/>
      <c r="F3682" s="252"/>
      <c r="G3682" s="252"/>
      <c r="H3682" s="252"/>
      <c r="I3682" s="252"/>
      <c r="J3682" s="252"/>
      <c r="K3682" s="252"/>
      <c r="L3682"/>
      <c r="M3682"/>
    </row>
    <row r="3683" spans="1:13" s="79" customFormat="1" x14ac:dyDescent="0.35">
      <c r="A3683" s="251"/>
      <c r="B3683" s="22"/>
      <c r="C3683" s="252"/>
      <c r="D3683" s="252"/>
      <c r="E3683" s="252"/>
      <c r="F3683" s="252"/>
      <c r="G3683" s="252"/>
      <c r="H3683" s="252"/>
      <c r="I3683" s="252"/>
      <c r="J3683" s="252"/>
      <c r="K3683" s="252"/>
      <c r="L3683"/>
      <c r="M3683"/>
    </row>
    <row r="3684" spans="1:13" s="79" customFormat="1" x14ac:dyDescent="0.35">
      <c r="A3684" s="251"/>
      <c r="B3684" s="22"/>
      <c r="C3684" s="252"/>
      <c r="D3684" s="252"/>
      <c r="E3684" s="252"/>
      <c r="F3684" s="252"/>
      <c r="G3684" s="252"/>
      <c r="H3684" s="252"/>
      <c r="I3684" s="252"/>
      <c r="J3684" s="252"/>
      <c r="K3684" s="252"/>
      <c r="L3684"/>
      <c r="M3684"/>
    </row>
    <row r="3685" spans="1:13" s="79" customFormat="1" x14ac:dyDescent="0.35">
      <c r="A3685" s="251"/>
      <c r="B3685" s="22"/>
      <c r="C3685" s="252"/>
      <c r="D3685" s="252"/>
      <c r="E3685" s="252"/>
      <c r="F3685" s="252"/>
      <c r="G3685" s="252"/>
      <c r="H3685" s="252"/>
      <c r="I3685" s="252"/>
      <c r="J3685" s="252"/>
      <c r="K3685" s="252"/>
      <c r="L3685"/>
      <c r="M3685"/>
    </row>
    <row r="3686" spans="1:13" s="79" customFormat="1" x14ac:dyDescent="0.35">
      <c r="A3686" s="251"/>
      <c r="B3686" s="22"/>
      <c r="C3686" s="252"/>
      <c r="D3686" s="252"/>
      <c r="E3686" s="252"/>
      <c r="F3686" s="252"/>
      <c r="G3686" s="252"/>
      <c r="H3686" s="252"/>
      <c r="I3686" s="252"/>
      <c r="J3686" s="252"/>
      <c r="K3686" s="252"/>
      <c r="L3686"/>
      <c r="M3686"/>
    </row>
    <row r="3687" spans="1:13" s="79" customFormat="1" x14ac:dyDescent="0.35">
      <c r="A3687" s="251"/>
      <c r="B3687" s="22"/>
      <c r="C3687" s="252"/>
      <c r="D3687" s="252"/>
      <c r="E3687" s="252"/>
      <c r="F3687" s="252"/>
      <c r="G3687" s="252"/>
      <c r="H3687" s="252"/>
      <c r="I3687" s="252"/>
      <c r="J3687" s="252"/>
      <c r="K3687" s="252"/>
      <c r="L3687"/>
      <c r="M3687"/>
    </row>
    <row r="3688" spans="1:13" s="79" customFormat="1" x14ac:dyDescent="0.35">
      <c r="A3688" s="251"/>
      <c r="B3688" s="22"/>
      <c r="C3688" s="252"/>
      <c r="D3688" s="252"/>
      <c r="E3688" s="252"/>
      <c r="F3688" s="252"/>
      <c r="G3688" s="252"/>
      <c r="H3688" s="252"/>
      <c r="I3688" s="252"/>
      <c r="J3688" s="252"/>
      <c r="K3688" s="252"/>
      <c r="L3688"/>
      <c r="M3688"/>
    </row>
    <row r="3689" spans="1:13" s="79" customFormat="1" x14ac:dyDescent="0.35">
      <c r="A3689" s="251"/>
      <c r="B3689" s="22"/>
      <c r="C3689" s="252"/>
      <c r="D3689" s="252"/>
      <c r="E3689" s="252"/>
      <c r="F3689" s="252"/>
      <c r="G3689" s="252"/>
      <c r="H3689" s="252"/>
      <c r="I3689" s="252"/>
      <c r="J3689" s="252"/>
      <c r="K3689" s="252"/>
      <c r="L3689"/>
      <c r="M3689"/>
    </row>
    <row r="3690" spans="1:13" s="79" customFormat="1" x14ac:dyDescent="0.35">
      <c r="A3690" s="251"/>
      <c r="B3690" s="22"/>
      <c r="C3690" s="252"/>
      <c r="D3690" s="252"/>
      <c r="E3690" s="252"/>
      <c r="F3690" s="252"/>
      <c r="G3690" s="252"/>
      <c r="H3690" s="252"/>
      <c r="I3690" s="252"/>
      <c r="J3690" s="252"/>
      <c r="K3690" s="252"/>
      <c r="L3690"/>
      <c r="M3690"/>
    </row>
    <row r="3691" spans="1:13" s="79" customFormat="1" x14ac:dyDescent="0.35">
      <c r="A3691" s="251"/>
      <c r="B3691" s="22"/>
      <c r="C3691" s="252"/>
      <c r="D3691" s="252"/>
      <c r="E3691" s="252"/>
      <c r="F3691" s="252"/>
      <c r="G3691" s="252"/>
      <c r="H3691" s="252"/>
      <c r="I3691" s="252"/>
      <c r="J3691" s="252"/>
      <c r="K3691" s="252"/>
      <c r="L3691"/>
      <c r="M3691"/>
    </row>
    <row r="3692" spans="1:13" s="79" customFormat="1" x14ac:dyDescent="0.35">
      <c r="A3692" s="251"/>
      <c r="B3692" s="22"/>
      <c r="C3692" s="252"/>
      <c r="D3692" s="252"/>
      <c r="E3692" s="252"/>
      <c r="F3692" s="252"/>
      <c r="G3692" s="252"/>
      <c r="H3692" s="252"/>
      <c r="I3692" s="252"/>
      <c r="J3692" s="252"/>
      <c r="K3692" s="252"/>
      <c r="L3692"/>
      <c r="M3692"/>
    </row>
    <row r="3693" spans="1:13" s="79" customFormat="1" x14ac:dyDescent="0.35">
      <c r="A3693" s="251"/>
      <c r="B3693" s="22"/>
      <c r="C3693" s="252"/>
      <c r="D3693" s="252"/>
      <c r="E3693" s="252"/>
      <c r="F3693" s="252"/>
      <c r="G3693" s="252"/>
      <c r="H3693" s="252"/>
      <c r="I3693" s="252"/>
      <c r="J3693" s="252"/>
      <c r="K3693" s="252"/>
      <c r="L3693"/>
      <c r="M3693"/>
    </row>
    <row r="3694" spans="1:13" s="79" customFormat="1" x14ac:dyDescent="0.35">
      <c r="A3694" s="251"/>
      <c r="B3694" s="22"/>
      <c r="C3694" s="252"/>
      <c r="D3694" s="252"/>
      <c r="E3694" s="252"/>
      <c r="F3694" s="252"/>
      <c r="G3694" s="252"/>
      <c r="H3694" s="252"/>
      <c r="I3694" s="252"/>
      <c r="J3694" s="252"/>
      <c r="K3694" s="252"/>
      <c r="L3694"/>
      <c r="M3694"/>
    </row>
    <row r="3695" spans="1:13" s="79" customFormat="1" x14ac:dyDescent="0.35">
      <c r="A3695" s="251"/>
      <c r="B3695" s="22"/>
      <c r="C3695" s="252"/>
      <c r="D3695" s="252"/>
      <c r="E3695" s="252"/>
      <c r="F3695" s="252"/>
      <c r="G3695" s="252"/>
      <c r="H3695" s="252"/>
      <c r="I3695" s="252"/>
      <c r="J3695" s="252"/>
      <c r="K3695" s="252"/>
      <c r="L3695"/>
      <c r="M3695"/>
    </row>
    <row r="3696" spans="1:13" s="79" customFormat="1" x14ac:dyDescent="0.35">
      <c r="A3696" s="251"/>
      <c r="B3696" s="22"/>
      <c r="C3696" s="252"/>
      <c r="D3696" s="252"/>
      <c r="E3696" s="252"/>
      <c r="F3696" s="252"/>
      <c r="G3696" s="252"/>
      <c r="H3696" s="252"/>
      <c r="I3696" s="252"/>
      <c r="J3696" s="252"/>
      <c r="K3696" s="252"/>
      <c r="L3696"/>
      <c r="M3696"/>
    </row>
    <row r="3697" spans="1:13" s="79" customFormat="1" x14ac:dyDescent="0.35">
      <c r="A3697" s="251"/>
      <c r="B3697" s="22"/>
      <c r="C3697" s="252"/>
      <c r="D3697" s="252"/>
      <c r="E3697" s="252"/>
      <c r="F3697" s="252"/>
      <c r="G3697" s="252"/>
      <c r="H3697" s="252"/>
      <c r="I3697" s="252"/>
      <c r="J3697" s="252"/>
      <c r="K3697" s="252"/>
      <c r="L3697"/>
      <c r="M3697"/>
    </row>
    <row r="3698" spans="1:13" s="79" customFormat="1" x14ac:dyDescent="0.35">
      <c r="A3698" s="251"/>
      <c r="B3698" s="22"/>
      <c r="C3698" s="252"/>
      <c r="D3698" s="252"/>
      <c r="E3698" s="252"/>
      <c r="F3698" s="252"/>
      <c r="G3698" s="252"/>
      <c r="H3698" s="252"/>
      <c r="I3698" s="252"/>
      <c r="J3698" s="252"/>
      <c r="K3698" s="252"/>
      <c r="L3698"/>
      <c r="M3698"/>
    </row>
    <row r="3699" spans="1:13" s="79" customFormat="1" x14ac:dyDescent="0.35">
      <c r="A3699" s="251"/>
      <c r="B3699" s="22"/>
      <c r="C3699" s="252"/>
      <c r="D3699" s="252"/>
      <c r="E3699" s="252"/>
      <c r="F3699" s="252"/>
      <c r="G3699" s="252"/>
      <c r="H3699" s="252"/>
      <c r="I3699" s="252"/>
      <c r="J3699" s="252"/>
      <c r="K3699" s="252"/>
      <c r="L3699"/>
      <c r="M3699"/>
    </row>
    <row r="3700" spans="1:13" s="79" customFormat="1" x14ac:dyDescent="0.35">
      <c r="A3700" s="251"/>
      <c r="B3700" s="22"/>
      <c r="C3700" s="252"/>
      <c r="D3700" s="252"/>
      <c r="E3700" s="252"/>
      <c r="F3700" s="252"/>
      <c r="G3700" s="252"/>
      <c r="H3700" s="252"/>
      <c r="I3700" s="252"/>
      <c r="J3700" s="252"/>
      <c r="K3700" s="252"/>
      <c r="L3700"/>
      <c r="M3700"/>
    </row>
    <row r="3701" spans="1:13" s="79" customFormat="1" x14ac:dyDescent="0.35">
      <c r="A3701" s="251"/>
      <c r="B3701" s="22"/>
      <c r="C3701" s="252"/>
      <c r="D3701" s="252"/>
      <c r="E3701" s="252"/>
      <c r="F3701" s="252"/>
      <c r="G3701" s="252"/>
      <c r="H3701" s="252"/>
      <c r="I3701" s="252"/>
      <c r="J3701" s="252"/>
      <c r="K3701" s="252"/>
      <c r="L3701"/>
      <c r="M3701"/>
    </row>
    <row r="3702" spans="1:13" s="79" customFormat="1" x14ac:dyDescent="0.35">
      <c r="A3702" s="251"/>
      <c r="B3702" s="22"/>
      <c r="C3702" s="252"/>
      <c r="D3702" s="252"/>
      <c r="E3702" s="252"/>
      <c r="F3702" s="252"/>
      <c r="G3702" s="252"/>
      <c r="H3702" s="252"/>
      <c r="I3702" s="252"/>
      <c r="J3702" s="252"/>
      <c r="K3702" s="252"/>
      <c r="L3702"/>
      <c r="M3702"/>
    </row>
    <row r="3703" spans="1:13" s="79" customFormat="1" x14ac:dyDescent="0.35">
      <c r="A3703" s="251"/>
      <c r="B3703" s="22"/>
      <c r="C3703" s="252"/>
      <c r="D3703" s="252"/>
      <c r="E3703" s="252"/>
      <c r="F3703" s="252"/>
      <c r="G3703" s="252"/>
      <c r="H3703" s="252"/>
      <c r="I3703" s="252"/>
      <c r="J3703" s="252"/>
      <c r="K3703" s="252"/>
      <c r="L3703"/>
      <c r="M3703"/>
    </row>
    <row r="3704" spans="1:13" s="79" customFormat="1" x14ac:dyDescent="0.35">
      <c r="A3704" s="251"/>
      <c r="B3704" s="22"/>
      <c r="C3704" s="252"/>
      <c r="D3704" s="252"/>
      <c r="E3704" s="252"/>
      <c r="F3704" s="252"/>
      <c r="G3704" s="252"/>
      <c r="H3704" s="252"/>
      <c r="I3704" s="252"/>
      <c r="J3704" s="252"/>
      <c r="K3704" s="252"/>
      <c r="L3704"/>
      <c r="M3704"/>
    </row>
    <row r="3705" spans="1:13" s="79" customFormat="1" x14ac:dyDescent="0.35">
      <c r="A3705" s="251"/>
      <c r="B3705" s="22"/>
      <c r="C3705" s="252"/>
      <c r="D3705" s="252"/>
      <c r="E3705" s="252"/>
      <c r="F3705" s="252"/>
      <c r="G3705" s="252"/>
      <c r="H3705" s="252"/>
      <c r="I3705" s="252"/>
      <c r="J3705" s="252"/>
      <c r="K3705" s="252"/>
      <c r="L3705"/>
      <c r="M3705"/>
    </row>
    <row r="3706" spans="1:13" s="79" customFormat="1" x14ac:dyDescent="0.35">
      <c r="A3706" s="251"/>
      <c r="B3706" s="22"/>
      <c r="C3706" s="252"/>
      <c r="D3706" s="252"/>
      <c r="E3706" s="252"/>
      <c r="F3706" s="252"/>
      <c r="G3706" s="252"/>
      <c r="H3706" s="252"/>
      <c r="I3706" s="252"/>
      <c r="J3706" s="252"/>
      <c r="K3706" s="252"/>
      <c r="L3706"/>
      <c r="M3706"/>
    </row>
    <row r="3707" spans="1:13" s="79" customFormat="1" x14ac:dyDescent="0.35">
      <c r="A3707" s="251"/>
      <c r="B3707" s="22"/>
      <c r="C3707" s="252"/>
      <c r="D3707" s="252"/>
      <c r="E3707" s="252"/>
      <c r="F3707" s="252"/>
      <c r="G3707" s="252"/>
      <c r="H3707" s="252"/>
      <c r="I3707" s="252"/>
      <c r="J3707" s="252"/>
      <c r="K3707" s="252"/>
      <c r="L3707"/>
      <c r="M3707"/>
    </row>
    <row r="3708" spans="1:13" s="79" customFormat="1" x14ac:dyDescent="0.35">
      <c r="A3708" s="251"/>
      <c r="B3708" s="22"/>
      <c r="C3708" s="252"/>
      <c r="D3708" s="252"/>
      <c r="E3708" s="252"/>
      <c r="F3708" s="252"/>
      <c r="G3708" s="252"/>
      <c r="H3708" s="252"/>
      <c r="I3708" s="252"/>
      <c r="J3708" s="252"/>
      <c r="K3708" s="252"/>
      <c r="L3708"/>
      <c r="M3708"/>
    </row>
    <row r="3709" spans="1:13" s="79" customFormat="1" x14ac:dyDescent="0.35">
      <c r="A3709" s="251"/>
      <c r="B3709" s="22"/>
      <c r="C3709" s="252"/>
      <c r="D3709" s="252"/>
      <c r="E3709" s="252"/>
      <c r="F3709" s="252"/>
      <c r="G3709" s="252"/>
      <c r="H3709" s="252"/>
      <c r="I3709" s="252"/>
      <c r="J3709" s="252"/>
      <c r="K3709" s="252"/>
      <c r="L3709"/>
      <c r="M3709"/>
    </row>
    <row r="3710" spans="1:13" s="79" customFormat="1" x14ac:dyDescent="0.35">
      <c r="A3710" s="251"/>
      <c r="B3710" s="22"/>
      <c r="C3710" s="252"/>
      <c r="D3710" s="252"/>
      <c r="E3710" s="252"/>
      <c r="F3710" s="252"/>
      <c r="G3710" s="252"/>
      <c r="H3710" s="252"/>
      <c r="I3710" s="252"/>
      <c r="J3710" s="252"/>
      <c r="K3710" s="252"/>
      <c r="L3710"/>
      <c r="M3710"/>
    </row>
    <row r="3711" spans="1:13" s="79" customFormat="1" x14ac:dyDescent="0.35">
      <c r="A3711" s="251"/>
      <c r="B3711" s="22"/>
      <c r="C3711" s="252"/>
      <c r="D3711" s="252"/>
      <c r="E3711" s="252"/>
      <c r="F3711" s="252"/>
      <c r="G3711" s="252"/>
      <c r="H3711" s="252"/>
      <c r="I3711" s="252"/>
      <c r="J3711" s="252"/>
      <c r="K3711" s="252"/>
      <c r="L3711"/>
      <c r="M3711"/>
    </row>
    <row r="3712" spans="1:13" s="79" customFormat="1" x14ac:dyDescent="0.35">
      <c r="A3712" s="251"/>
      <c r="B3712" s="22"/>
      <c r="C3712" s="252"/>
      <c r="D3712" s="252"/>
      <c r="E3712" s="252"/>
      <c r="F3712" s="252"/>
      <c r="G3712" s="252"/>
      <c r="H3712" s="252"/>
      <c r="I3712" s="252"/>
      <c r="J3712" s="252"/>
      <c r="K3712" s="252"/>
      <c r="L3712"/>
      <c r="M3712"/>
    </row>
    <row r="3713" spans="1:13" s="79" customFormat="1" x14ac:dyDescent="0.35">
      <c r="A3713" s="251"/>
      <c r="B3713" s="22"/>
      <c r="C3713" s="252"/>
      <c r="D3713" s="252"/>
      <c r="E3713" s="252"/>
      <c r="F3713" s="252"/>
      <c r="G3713" s="252"/>
      <c r="H3713" s="252"/>
      <c r="I3713" s="252"/>
      <c r="J3713" s="252"/>
      <c r="K3713" s="252"/>
      <c r="L3713"/>
      <c r="M3713"/>
    </row>
    <row r="3714" spans="1:13" s="79" customFormat="1" x14ac:dyDescent="0.35">
      <c r="A3714" s="251"/>
      <c r="B3714" s="22"/>
      <c r="C3714" s="252"/>
      <c r="D3714" s="252"/>
      <c r="E3714" s="252"/>
      <c r="F3714" s="252"/>
      <c r="G3714" s="252"/>
      <c r="H3714" s="252"/>
      <c r="I3714" s="252"/>
      <c r="J3714" s="252"/>
      <c r="K3714" s="252"/>
      <c r="L3714"/>
      <c r="M3714"/>
    </row>
    <row r="3715" spans="1:13" s="79" customFormat="1" x14ac:dyDescent="0.35">
      <c r="A3715" s="251"/>
      <c r="B3715" s="22"/>
      <c r="C3715" s="252"/>
      <c r="D3715" s="252"/>
      <c r="E3715" s="252"/>
      <c r="F3715" s="252"/>
      <c r="G3715" s="252"/>
      <c r="H3715" s="252"/>
      <c r="I3715" s="252"/>
      <c r="J3715" s="252"/>
      <c r="K3715" s="252"/>
      <c r="L3715"/>
      <c r="M3715"/>
    </row>
    <row r="3716" spans="1:13" s="79" customFormat="1" x14ac:dyDescent="0.35">
      <c r="A3716" s="251"/>
      <c r="B3716" s="22"/>
      <c r="C3716" s="252"/>
      <c r="D3716" s="252"/>
      <c r="E3716" s="252"/>
      <c r="F3716" s="252"/>
      <c r="G3716" s="252"/>
      <c r="H3716" s="252"/>
      <c r="I3716" s="252"/>
      <c r="J3716" s="252"/>
      <c r="K3716" s="252"/>
      <c r="L3716"/>
      <c r="M3716"/>
    </row>
    <row r="3717" spans="1:13" s="79" customFormat="1" x14ac:dyDescent="0.35">
      <c r="A3717" s="251"/>
      <c r="B3717" s="22"/>
      <c r="C3717" s="252"/>
      <c r="D3717" s="252"/>
      <c r="E3717" s="252"/>
      <c r="F3717" s="252"/>
      <c r="G3717" s="252"/>
      <c r="H3717" s="252"/>
      <c r="I3717" s="252"/>
      <c r="J3717" s="252"/>
      <c r="K3717" s="252"/>
      <c r="L3717"/>
      <c r="M3717"/>
    </row>
    <row r="3718" spans="1:13" s="79" customFormat="1" x14ac:dyDescent="0.35">
      <c r="A3718" s="251"/>
      <c r="B3718" s="22"/>
      <c r="C3718" s="252"/>
      <c r="D3718" s="252"/>
      <c r="E3718" s="252"/>
      <c r="F3718" s="252"/>
      <c r="G3718" s="252"/>
      <c r="H3718" s="252"/>
      <c r="I3718" s="252"/>
      <c r="J3718" s="252"/>
      <c r="K3718" s="252"/>
      <c r="L3718"/>
      <c r="M3718"/>
    </row>
    <row r="3719" spans="1:13" s="79" customFormat="1" x14ac:dyDescent="0.35">
      <c r="A3719" s="251"/>
      <c r="B3719" s="22"/>
      <c r="C3719" s="252"/>
      <c r="D3719" s="252"/>
      <c r="E3719" s="252"/>
      <c r="F3719" s="252"/>
      <c r="G3719" s="252"/>
      <c r="H3719" s="252"/>
      <c r="I3719" s="252"/>
      <c r="J3719" s="252"/>
      <c r="K3719" s="252"/>
      <c r="L3719"/>
      <c r="M3719"/>
    </row>
    <row r="3720" spans="1:13" s="79" customFormat="1" x14ac:dyDescent="0.35">
      <c r="A3720" s="251"/>
      <c r="B3720" s="22"/>
      <c r="C3720" s="252"/>
      <c r="D3720" s="252"/>
      <c r="E3720" s="252"/>
      <c r="F3720" s="252"/>
      <c r="G3720" s="252"/>
      <c r="H3720" s="252"/>
      <c r="I3720" s="252"/>
      <c r="J3720" s="252"/>
      <c r="K3720" s="252"/>
      <c r="L3720"/>
      <c r="M3720"/>
    </row>
    <row r="3721" spans="1:13" s="79" customFormat="1" x14ac:dyDescent="0.35">
      <c r="A3721" s="251"/>
      <c r="B3721" s="22"/>
      <c r="C3721" s="252"/>
      <c r="D3721" s="252"/>
      <c r="E3721" s="252"/>
      <c r="F3721" s="252"/>
      <c r="G3721" s="252"/>
      <c r="H3721" s="252"/>
      <c r="I3721" s="252"/>
      <c r="J3721" s="252"/>
      <c r="K3721" s="252"/>
      <c r="L3721"/>
      <c r="M3721"/>
    </row>
    <row r="3722" spans="1:13" s="79" customFormat="1" x14ac:dyDescent="0.35">
      <c r="A3722" s="251"/>
      <c r="B3722" s="22"/>
      <c r="C3722" s="252"/>
      <c r="D3722" s="252"/>
      <c r="E3722" s="252"/>
      <c r="F3722" s="252"/>
      <c r="G3722" s="252"/>
      <c r="H3722" s="252"/>
      <c r="I3722" s="252"/>
      <c r="J3722" s="252"/>
      <c r="K3722" s="252"/>
      <c r="L3722"/>
      <c r="M3722"/>
    </row>
    <row r="3723" spans="1:13" s="79" customFormat="1" x14ac:dyDescent="0.35">
      <c r="A3723" s="251"/>
      <c r="B3723" s="22"/>
      <c r="C3723" s="252"/>
      <c r="D3723" s="252"/>
      <c r="E3723" s="252"/>
      <c r="F3723" s="252"/>
      <c r="G3723" s="252"/>
      <c r="H3723" s="252"/>
      <c r="I3723" s="252"/>
      <c r="J3723" s="252"/>
      <c r="K3723" s="252"/>
      <c r="L3723"/>
      <c r="M3723"/>
    </row>
    <row r="3724" spans="1:13" s="79" customFormat="1" x14ac:dyDescent="0.35">
      <c r="A3724" s="251"/>
      <c r="B3724" s="22"/>
      <c r="C3724" s="252"/>
      <c r="D3724" s="252"/>
      <c r="E3724" s="252"/>
      <c r="F3724" s="252"/>
      <c r="G3724" s="252"/>
      <c r="H3724" s="252"/>
      <c r="I3724" s="252"/>
      <c r="J3724" s="252"/>
      <c r="K3724" s="252"/>
      <c r="L3724"/>
      <c r="M3724"/>
    </row>
    <row r="3725" spans="1:13" s="79" customFormat="1" x14ac:dyDescent="0.35">
      <c r="A3725" s="251"/>
      <c r="B3725" s="22"/>
      <c r="C3725" s="252"/>
      <c r="D3725" s="252"/>
      <c r="E3725" s="252"/>
      <c r="F3725" s="252"/>
      <c r="G3725" s="252"/>
      <c r="H3725" s="252"/>
      <c r="I3725" s="252"/>
      <c r="J3725" s="252"/>
      <c r="K3725" s="252"/>
      <c r="L3725"/>
      <c r="M3725"/>
    </row>
    <row r="3726" spans="1:13" s="79" customFormat="1" x14ac:dyDescent="0.35">
      <c r="A3726" s="251"/>
      <c r="B3726" s="22"/>
      <c r="C3726" s="252"/>
      <c r="D3726" s="252"/>
      <c r="E3726" s="252"/>
      <c r="F3726" s="252"/>
      <c r="G3726" s="252"/>
      <c r="H3726" s="252"/>
      <c r="I3726" s="252"/>
      <c r="J3726" s="252"/>
      <c r="K3726" s="252"/>
      <c r="L3726"/>
      <c r="M3726"/>
    </row>
    <row r="3727" spans="1:13" s="79" customFormat="1" x14ac:dyDescent="0.35">
      <c r="A3727" s="251"/>
      <c r="B3727" s="22"/>
      <c r="C3727" s="252"/>
      <c r="D3727" s="252"/>
      <c r="E3727" s="252"/>
      <c r="F3727" s="252"/>
      <c r="G3727" s="252"/>
      <c r="H3727" s="252"/>
      <c r="I3727" s="252"/>
      <c r="J3727" s="252"/>
      <c r="K3727" s="252"/>
      <c r="L3727"/>
      <c r="M3727"/>
    </row>
    <row r="3728" spans="1:13" s="79" customFormat="1" x14ac:dyDescent="0.35">
      <c r="A3728" s="251"/>
      <c r="B3728" s="22"/>
      <c r="C3728" s="252"/>
      <c r="D3728" s="252"/>
      <c r="E3728" s="252"/>
      <c r="F3728" s="252"/>
      <c r="G3728" s="252"/>
      <c r="H3728" s="252"/>
      <c r="I3728" s="252"/>
      <c r="J3728" s="252"/>
      <c r="K3728" s="252"/>
      <c r="L3728"/>
      <c r="M3728"/>
    </row>
    <row r="3729" spans="1:13" s="79" customFormat="1" x14ac:dyDescent="0.35">
      <c r="A3729" s="251"/>
      <c r="B3729" s="22"/>
      <c r="C3729" s="252"/>
      <c r="D3729" s="252"/>
      <c r="E3729" s="252"/>
      <c r="F3729" s="252"/>
      <c r="G3729" s="252"/>
      <c r="H3729" s="252"/>
      <c r="I3729" s="252"/>
      <c r="J3729" s="252"/>
      <c r="K3729" s="252"/>
      <c r="L3729"/>
      <c r="M3729"/>
    </row>
    <row r="3730" spans="1:13" s="79" customFormat="1" x14ac:dyDescent="0.35">
      <c r="A3730" s="251"/>
      <c r="B3730" s="22"/>
      <c r="C3730" s="252"/>
      <c r="D3730" s="252"/>
      <c r="E3730" s="252"/>
      <c r="F3730" s="252"/>
      <c r="G3730" s="252"/>
      <c r="H3730" s="252"/>
      <c r="I3730" s="252"/>
      <c r="J3730" s="252"/>
      <c r="K3730" s="252"/>
      <c r="L3730"/>
      <c r="M3730"/>
    </row>
    <row r="3731" spans="1:13" s="79" customFormat="1" x14ac:dyDescent="0.35">
      <c r="A3731" s="251"/>
      <c r="B3731" s="22"/>
      <c r="C3731" s="252"/>
      <c r="D3731" s="252"/>
      <c r="E3731" s="252"/>
      <c r="F3731" s="252"/>
      <c r="G3731" s="252"/>
      <c r="H3731" s="252"/>
      <c r="I3731" s="252"/>
      <c r="J3731" s="252"/>
      <c r="K3731" s="252"/>
      <c r="L3731"/>
      <c r="M3731"/>
    </row>
    <row r="3732" spans="1:13" s="79" customFormat="1" x14ac:dyDescent="0.35">
      <c r="A3732" s="251"/>
      <c r="B3732" s="22"/>
      <c r="C3732" s="252"/>
      <c r="D3732" s="252"/>
      <c r="E3732" s="252"/>
      <c r="F3732" s="252"/>
      <c r="G3732" s="252"/>
      <c r="H3732" s="252"/>
      <c r="I3732" s="252"/>
      <c r="J3732" s="252"/>
      <c r="K3732" s="252"/>
      <c r="L3732"/>
      <c r="M3732"/>
    </row>
    <row r="3733" spans="1:13" s="79" customFormat="1" x14ac:dyDescent="0.35">
      <c r="A3733" s="251"/>
      <c r="B3733" s="22"/>
      <c r="C3733" s="252"/>
      <c r="D3733" s="252"/>
      <c r="E3733" s="252"/>
      <c r="F3733" s="252"/>
      <c r="G3733" s="252"/>
      <c r="H3733" s="252"/>
      <c r="I3733" s="252"/>
      <c r="J3733" s="252"/>
      <c r="K3733" s="252"/>
      <c r="L3733"/>
      <c r="M3733"/>
    </row>
    <row r="3734" spans="1:13" s="79" customFormat="1" x14ac:dyDescent="0.35">
      <c r="A3734" s="251"/>
      <c r="B3734" s="22"/>
      <c r="C3734" s="252"/>
      <c r="D3734" s="252"/>
      <c r="E3734" s="252"/>
      <c r="F3734" s="252"/>
      <c r="G3734" s="252"/>
      <c r="H3734" s="252"/>
      <c r="I3734" s="252"/>
      <c r="J3734" s="252"/>
      <c r="K3734" s="252"/>
      <c r="L3734"/>
      <c r="M3734"/>
    </row>
    <row r="3735" spans="1:13" s="79" customFormat="1" x14ac:dyDescent="0.35">
      <c r="A3735" s="251"/>
      <c r="B3735" s="22"/>
      <c r="C3735" s="252"/>
      <c r="D3735" s="252"/>
      <c r="E3735" s="252"/>
      <c r="F3735" s="252"/>
      <c r="G3735" s="252"/>
      <c r="H3735" s="252"/>
      <c r="I3735" s="252"/>
      <c r="J3735" s="252"/>
      <c r="K3735" s="252"/>
      <c r="L3735"/>
      <c r="M3735"/>
    </row>
    <row r="3736" spans="1:13" s="79" customFormat="1" x14ac:dyDescent="0.35">
      <c r="A3736" s="251"/>
      <c r="B3736" s="22"/>
      <c r="C3736" s="252"/>
      <c r="D3736" s="252"/>
      <c r="E3736" s="252"/>
      <c r="F3736" s="252"/>
      <c r="G3736" s="252"/>
      <c r="H3736" s="252"/>
      <c r="I3736" s="252"/>
      <c r="J3736" s="252"/>
      <c r="K3736" s="252"/>
      <c r="L3736"/>
      <c r="M3736"/>
    </row>
    <row r="3737" spans="1:13" s="79" customFormat="1" x14ac:dyDescent="0.35">
      <c r="A3737" s="251"/>
      <c r="B3737" s="22"/>
      <c r="C3737" s="252"/>
      <c r="D3737" s="252"/>
      <c r="E3737" s="252"/>
      <c r="F3737" s="252"/>
      <c r="G3737" s="252"/>
      <c r="H3737" s="252"/>
      <c r="I3737" s="252"/>
      <c r="J3737" s="252"/>
      <c r="K3737" s="252"/>
      <c r="L3737"/>
      <c r="M3737"/>
    </row>
    <row r="3738" spans="1:13" s="79" customFormat="1" x14ac:dyDescent="0.35">
      <c r="A3738" s="251"/>
      <c r="B3738" s="22"/>
      <c r="C3738" s="252"/>
      <c r="D3738" s="252"/>
      <c r="E3738" s="252"/>
      <c r="F3738" s="252"/>
      <c r="G3738" s="252"/>
      <c r="H3738" s="252"/>
      <c r="I3738" s="252"/>
      <c r="J3738" s="252"/>
      <c r="K3738" s="252"/>
      <c r="L3738"/>
      <c r="M3738"/>
    </row>
    <row r="3739" spans="1:13" s="79" customFormat="1" x14ac:dyDescent="0.35">
      <c r="A3739" s="251"/>
      <c r="B3739" s="22"/>
      <c r="C3739" s="252"/>
      <c r="D3739" s="252"/>
      <c r="E3739" s="252"/>
      <c r="F3739" s="252"/>
      <c r="G3739" s="252"/>
      <c r="H3739" s="252"/>
      <c r="I3739" s="252"/>
      <c r="J3739" s="252"/>
      <c r="K3739" s="252"/>
      <c r="L3739"/>
      <c r="M3739"/>
    </row>
    <row r="3740" spans="1:13" s="79" customFormat="1" x14ac:dyDescent="0.35">
      <c r="A3740" s="251"/>
      <c r="B3740" s="22"/>
      <c r="C3740" s="252"/>
      <c r="D3740" s="252"/>
      <c r="E3740" s="252"/>
      <c r="F3740" s="252"/>
      <c r="G3740" s="252"/>
      <c r="H3740" s="252"/>
      <c r="I3740" s="252"/>
      <c r="J3740" s="252"/>
      <c r="K3740" s="252"/>
      <c r="L3740"/>
      <c r="M3740"/>
    </row>
    <row r="3741" spans="1:13" s="79" customFormat="1" x14ac:dyDescent="0.35">
      <c r="A3741" s="251"/>
      <c r="B3741" s="22"/>
      <c r="C3741" s="252"/>
      <c r="D3741" s="252"/>
      <c r="E3741" s="252"/>
      <c r="F3741" s="252"/>
      <c r="G3741" s="252"/>
      <c r="H3741" s="252"/>
      <c r="I3741" s="252"/>
      <c r="J3741" s="252"/>
      <c r="K3741" s="252"/>
      <c r="L3741"/>
      <c r="M3741"/>
    </row>
    <row r="3742" spans="1:13" s="79" customFormat="1" x14ac:dyDescent="0.35">
      <c r="A3742" s="251"/>
      <c r="B3742" s="22"/>
      <c r="C3742" s="252"/>
      <c r="D3742" s="252"/>
      <c r="E3742" s="252"/>
      <c r="F3742" s="252"/>
      <c r="G3742" s="252"/>
      <c r="H3742" s="252"/>
      <c r="I3742" s="252"/>
      <c r="J3742" s="252"/>
      <c r="K3742" s="252"/>
      <c r="L3742"/>
      <c r="M3742"/>
    </row>
    <row r="3743" spans="1:13" s="79" customFormat="1" x14ac:dyDescent="0.35">
      <c r="A3743" s="251"/>
      <c r="B3743" s="22"/>
      <c r="C3743" s="252"/>
      <c r="D3743" s="252"/>
      <c r="E3743" s="252"/>
      <c r="F3743" s="252"/>
      <c r="G3743" s="252"/>
      <c r="H3743" s="252"/>
      <c r="I3743" s="252"/>
      <c r="J3743" s="252"/>
      <c r="K3743" s="252"/>
      <c r="L3743"/>
      <c r="M3743"/>
    </row>
    <row r="3744" spans="1:13" s="79" customFormat="1" x14ac:dyDescent="0.35">
      <c r="A3744" s="251"/>
      <c r="B3744" s="22"/>
      <c r="C3744" s="252"/>
      <c r="D3744" s="252"/>
      <c r="E3744" s="252"/>
      <c r="F3744" s="252"/>
      <c r="G3744" s="252"/>
      <c r="H3744" s="252"/>
      <c r="I3744" s="252"/>
      <c r="J3744" s="252"/>
      <c r="K3744" s="252"/>
      <c r="L3744"/>
      <c r="M3744"/>
    </row>
    <row r="3745" spans="1:13" s="79" customFormat="1" x14ac:dyDescent="0.35">
      <c r="A3745" s="251"/>
      <c r="B3745" s="22"/>
      <c r="C3745" s="252"/>
      <c r="D3745" s="252"/>
      <c r="E3745" s="252"/>
      <c r="F3745" s="252"/>
      <c r="G3745" s="252"/>
      <c r="H3745" s="252"/>
      <c r="I3745" s="252"/>
      <c r="J3745" s="252"/>
      <c r="K3745" s="252"/>
      <c r="L3745"/>
      <c r="M3745"/>
    </row>
    <row r="3746" spans="1:13" s="79" customFormat="1" x14ac:dyDescent="0.35">
      <c r="A3746" s="251"/>
      <c r="B3746" s="22"/>
      <c r="C3746" s="252"/>
      <c r="D3746" s="252"/>
      <c r="E3746" s="252"/>
      <c r="F3746" s="252"/>
      <c r="G3746" s="252"/>
      <c r="H3746" s="252"/>
      <c r="I3746" s="252"/>
      <c r="J3746" s="252"/>
      <c r="K3746" s="252"/>
      <c r="L3746"/>
      <c r="M3746"/>
    </row>
    <row r="3747" spans="1:13" s="79" customFormat="1" x14ac:dyDescent="0.35">
      <c r="A3747" s="251"/>
      <c r="B3747" s="22"/>
      <c r="C3747" s="252"/>
      <c r="D3747" s="252"/>
      <c r="E3747" s="252"/>
      <c r="F3747" s="252"/>
      <c r="G3747" s="252"/>
      <c r="H3747" s="252"/>
      <c r="I3747" s="252"/>
      <c r="J3747" s="252"/>
      <c r="K3747" s="252"/>
      <c r="L3747"/>
      <c r="M3747"/>
    </row>
    <row r="3748" spans="1:13" s="79" customFormat="1" x14ac:dyDescent="0.35">
      <c r="A3748" s="251"/>
      <c r="B3748" s="22"/>
      <c r="C3748" s="252"/>
      <c r="D3748" s="252"/>
      <c r="E3748" s="252"/>
      <c r="F3748" s="252"/>
      <c r="G3748" s="252"/>
      <c r="H3748" s="252"/>
      <c r="I3748" s="252"/>
      <c r="J3748" s="252"/>
      <c r="K3748" s="252"/>
      <c r="L3748"/>
      <c r="M3748"/>
    </row>
    <row r="3749" spans="1:13" s="79" customFormat="1" x14ac:dyDescent="0.35">
      <c r="A3749" s="251"/>
      <c r="B3749" s="22"/>
      <c r="C3749" s="252"/>
      <c r="D3749" s="252"/>
      <c r="E3749" s="252"/>
      <c r="F3749" s="252"/>
      <c r="G3749" s="252"/>
      <c r="H3749" s="252"/>
      <c r="I3749" s="252"/>
      <c r="J3749" s="252"/>
      <c r="K3749" s="252"/>
      <c r="L3749"/>
      <c r="M3749"/>
    </row>
    <row r="3750" spans="1:13" s="79" customFormat="1" x14ac:dyDescent="0.35">
      <c r="A3750" s="251"/>
      <c r="B3750" s="22"/>
      <c r="C3750" s="252"/>
      <c r="D3750" s="252"/>
      <c r="E3750" s="252"/>
      <c r="F3750" s="252"/>
      <c r="G3750" s="252"/>
      <c r="H3750" s="252"/>
      <c r="I3750" s="252"/>
      <c r="J3750" s="252"/>
      <c r="K3750" s="252"/>
      <c r="L3750"/>
      <c r="M3750"/>
    </row>
    <row r="3751" spans="1:13" s="79" customFormat="1" x14ac:dyDescent="0.35">
      <c r="A3751" s="251"/>
      <c r="B3751" s="22"/>
      <c r="C3751" s="252"/>
      <c r="D3751" s="252"/>
      <c r="E3751" s="252"/>
      <c r="F3751" s="252"/>
      <c r="G3751" s="252"/>
      <c r="H3751" s="252"/>
      <c r="I3751" s="252"/>
      <c r="J3751" s="252"/>
      <c r="K3751" s="252"/>
      <c r="L3751"/>
      <c r="M3751"/>
    </row>
    <row r="3752" spans="1:13" s="79" customFormat="1" x14ac:dyDescent="0.35">
      <c r="A3752" s="251"/>
      <c r="B3752" s="22"/>
      <c r="C3752" s="252"/>
      <c r="D3752" s="252"/>
      <c r="E3752" s="252"/>
      <c r="F3752" s="252"/>
      <c r="G3752" s="252"/>
      <c r="H3752" s="252"/>
      <c r="I3752" s="252"/>
      <c r="J3752" s="252"/>
      <c r="K3752" s="252"/>
      <c r="L3752"/>
      <c r="M3752"/>
    </row>
    <row r="3753" spans="1:13" s="79" customFormat="1" x14ac:dyDescent="0.35">
      <c r="A3753" s="251"/>
      <c r="B3753" s="22"/>
      <c r="C3753" s="252"/>
      <c r="D3753" s="252"/>
      <c r="E3753" s="252"/>
      <c r="F3753" s="252"/>
      <c r="G3753" s="252"/>
      <c r="H3753" s="252"/>
      <c r="I3753" s="252"/>
      <c r="J3753" s="252"/>
      <c r="K3753" s="252"/>
      <c r="L3753"/>
      <c r="M3753"/>
    </row>
    <row r="3754" spans="1:13" s="79" customFormat="1" x14ac:dyDescent="0.35">
      <c r="A3754" s="251"/>
      <c r="B3754" s="22"/>
      <c r="C3754" s="252"/>
      <c r="D3754" s="252"/>
      <c r="E3754" s="252"/>
      <c r="F3754" s="252"/>
      <c r="G3754" s="252"/>
      <c r="H3754" s="252"/>
      <c r="I3754" s="252"/>
      <c r="J3754" s="252"/>
      <c r="K3754" s="252"/>
      <c r="L3754"/>
      <c r="M3754"/>
    </row>
    <row r="3755" spans="1:13" s="79" customFormat="1" x14ac:dyDescent="0.35">
      <c r="A3755" s="251"/>
      <c r="B3755" s="22"/>
      <c r="C3755" s="252"/>
      <c r="D3755" s="252"/>
      <c r="E3755" s="252"/>
      <c r="F3755" s="252"/>
      <c r="G3755" s="252"/>
      <c r="H3755" s="252"/>
      <c r="I3755" s="252"/>
      <c r="J3755" s="252"/>
      <c r="K3755" s="252"/>
      <c r="L3755"/>
      <c r="M3755"/>
    </row>
    <row r="3756" spans="1:13" s="79" customFormat="1" x14ac:dyDescent="0.35">
      <c r="A3756" s="251"/>
      <c r="B3756" s="22"/>
      <c r="C3756" s="252"/>
      <c r="D3756" s="252"/>
      <c r="E3756" s="252"/>
      <c r="F3756" s="252"/>
      <c r="G3756" s="252"/>
      <c r="H3756" s="252"/>
      <c r="I3756" s="252"/>
      <c r="J3756" s="252"/>
      <c r="K3756" s="252"/>
      <c r="L3756"/>
      <c r="M3756"/>
    </row>
    <row r="3757" spans="1:13" s="79" customFormat="1" x14ac:dyDescent="0.35">
      <c r="A3757" s="251"/>
      <c r="B3757" s="22"/>
      <c r="C3757" s="252"/>
      <c r="D3757" s="252"/>
      <c r="E3757" s="252"/>
      <c r="F3757" s="252"/>
      <c r="G3757" s="252"/>
      <c r="H3757" s="252"/>
      <c r="I3757" s="252"/>
      <c r="J3757" s="252"/>
      <c r="K3757" s="252"/>
      <c r="L3757"/>
      <c r="M3757"/>
    </row>
    <row r="3758" spans="1:13" s="79" customFormat="1" x14ac:dyDescent="0.35">
      <c r="A3758" s="251"/>
      <c r="B3758" s="22"/>
      <c r="C3758" s="252"/>
      <c r="D3758" s="252"/>
      <c r="E3758" s="252"/>
      <c r="F3758" s="252"/>
      <c r="G3758" s="252"/>
      <c r="H3758" s="252"/>
      <c r="I3758" s="252"/>
      <c r="J3758" s="252"/>
      <c r="K3758" s="252"/>
      <c r="L3758"/>
      <c r="M3758"/>
    </row>
    <row r="3759" spans="1:13" s="79" customFormat="1" x14ac:dyDescent="0.35">
      <c r="A3759" s="251"/>
      <c r="B3759" s="22"/>
      <c r="C3759" s="252"/>
      <c r="D3759" s="252"/>
      <c r="E3759" s="252"/>
      <c r="F3759" s="252"/>
      <c r="G3759" s="252"/>
      <c r="H3759" s="252"/>
      <c r="I3759" s="252"/>
      <c r="J3759" s="252"/>
      <c r="K3759" s="252"/>
      <c r="L3759"/>
      <c r="M3759"/>
    </row>
    <row r="3760" spans="1:13" s="79" customFormat="1" x14ac:dyDescent="0.35">
      <c r="A3760" s="251"/>
      <c r="B3760" s="22"/>
      <c r="C3760" s="252"/>
      <c r="D3760" s="252"/>
      <c r="E3760" s="252"/>
      <c r="F3760" s="252"/>
      <c r="G3760" s="252"/>
      <c r="H3760" s="252"/>
      <c r="I3760" s="252"/>
      <c r="J3760" s="252"/>
      <c r="K3760" s="252"/>
      <c r="L3760"/>
      <c r="M3760"/>
    </row>
    <row r="3761" spans="1:13" s="79" customFormat="1" x14ac:dyDescent="0.35">
      <c r="A3761" s="251"/>
      <c r="B3761" s="22"/>
      <c r="C3761" s="252"/>
      <c r="D3761" s="252"/>
      <c r="E3761" s="252"/>
      <c r="F3761" s="252"/>
      <c r="G3761" s="252"/>
      <c r="H3761" s="252"/>
      <c r="I3761" s="252"/>
      <c r="J3761" s="252"/>
      <c r="K3761" s="252"/>
      <c r="L3761"/>
      <c r="M3761"/>
    </row>
    <row r="3762" spans="1:13" s="79" customFormat="1" x14ac:dyDescent="0.35">
      <c r="A3762" s="251"/>
      <c r="B3762" s="22"/>
      <c r="C3762" s="252"/>
      <c r="D3762" s="252"/>
      <c r="E3762" s="252"/>
      <c r="F3762" s="252"/>
      <c r="G3762" s="252"/>
      <c r="H3762" s="252"/>
      <c r="I3762" s="252"/>
      <c r="J3762" s="252"/>
      <c r="K3762" s="252"/>
      <c r="L3762"/>
      <c r="M3762"/>
    </row>
    <row r="3763" spans="1:13" s="79" customFormat="1" x14ac:dyDescent="0.35">
      <c r="A3763" s="251"/>
      <c r="B3763" s="22"/>
      <c r="C3763" s="252"/>
      <c r="D3763" s="252"/>
      <c r="E3763" s="252"/>
      <c r="F3763" s="252"/>
      <c r="G3763" s="252"/>
      <c r="H3763" s="252"/>
      <c r="I3763" s="252"/>
      <c r="J3763" s="252"/>
      <c r="K3763" s="252"/>
      <c r="L3763"/>
      <c r="M3763"/>
    </row>
    <row r="3764" spans="1:13" s="79" customFormat="1" x14ac:dyDescent="0.35">
      <c r="A3764" s="251"/>
      <c r="B3764" s="22"/>
      <c r="C3764" s="252"/>
      <c r="D3764" s="252"/>
      <c r="E3764" s="252"/>
      <c r="F3764" s="252"/>
      <c r="G3764" s="252"/>
      <c r="H3764" s="252"/>
      <c r="I3764" s="252"/>
      <c r="J3764" s="252"/>
      <c r="K3764" s="252"/>
      <c r="L3764"/>
      <c r="M3764"/>
    </row>
    <row r="3765" spans="1:13" s="79" customFormat="1" x14ac:dyDescent="0.35">
      <c r="A3765" s="251"/>
      <c r="B3765" s="22"/>
      <c r="C3765" s="252"/>
      <c r="D3765" s="252"/>
      <c r="E3765" s="252"/>
      <c r="F3765" s="252"/>
      <c r="G3765" s="252"/>
      <c r="H3765" s="252"/>
      <c r="I3765" s="252"/>
      <c r="J3765" s="252"/>
      <c r="K3765" s="252"/>
      <c r="L3765"/>
      <c r="M3765"/>
    </row>
    <row r="3766" spans="1:13" s="79" customFormat="1" x14ac:dyDescent="0.35">
      <c r="A3766" s="251"/>
      <c r="B3766" s="22"/>
      <c r="C3766" s="252"/>
      <c r="D3766" s="252"/>
      <c r="E3766" s="252"/>
      <c r="F3766" s="252"/>
      <c r="G3766" s="252"/>
      <c r="H3766" s="252"/>
      <c r="I3766" s="252"/>
      <c r="J3766" s="252"/>
      <c r="K3766" s="252"/>
      <c r="L3766"/>
      <c r="M3766"/>
    </row>
    <row r="3767" spans="1:13" s="79" customFormat="1" x14ac:dyDescent="0.35">
      <c r="A3767" s="251"/>
      <c r="B3767" s="22"/>
      <c r="C3767" s="252"/>
      <c r="D3767" s="252"/>
      <c r="E3767" s="252"/>
      <c r="F3767" s="252"/>
      <c r="G3767" s="252"/>
      <c r="H3767" s="252"/>
      <c r="I3767" s="252"/>
      <c r="J3767" s="252"/>
      <c r="K3767" s="252"/>
      <c r="L3767"/>
      <c r="M3767"/>
    </row>
    <row r="3768" spans="1:13" s="79" customFormat="1" x14ac:dyDescent="0.35">
      <c r="A3768" s="251"/>
      <c r="B3768" s="22"/>
      <c r="C3768" s="252"/>
      <c r="D3768" s="252"/>
      <c r="E3768" s="252"/>
      <c r="F3768" s="252"/>
      <c r="G3768" s="252"/>
      <c r="H3768" s="252"/>
      <c r="I3768" s="252"/>
      <c r="J3768" s="252"/>
      <c r="K3768" s="252"/>
      <c r="L3768"/>
      <c r="M3768"/>
    </row>
    <row r="3769" spans="1:13" s="79" customFormat="1" x14ac:dyDescent="0.35">
      <c r="A3769" s="251"/>
      <c r="B3769" s="22"/>
      <c r="C3769" s="252"/>
      <c r="D3769" s="252"/>
      <c r="E3769" s="252"/>
      <c r="F3769" s="252"/>
      <c r="G3769" s="252"/>
      <c r="H3769" s="252"/>
      <c r="I3769" s="252"/>
      <c r="J3769" s="252"/>
      <c r="K3769" s="252"/>
      <c r="L3769"/>
      <c r="M3769"/>
    </row>
    <row r="3770" spans="1:13" s="79" customFormat="1" x14ac:dyDescent="0.35">
      <c r="A3770" s="251"/>
      <c r="B3770" s="22"/>
      <c r="C3770" s="252"/>
      <c r="D3770" s="252"/>
      <c r="E3770" s="252"/>
      <c r="F3770" s="252"/>
      <c r="G3770" s="252"/>
      <c r="H3770" s="252"/>
      <c r="I3770" s="252"/>
      <c r="J3770" s="252"/>
      <c r="K3770" s="252"/>
      <c r="L3770"/>
      <c r="M3770"/>
    </row>
    <row r="3771" spans="1:13" s="79" customFormat="1" x14ac:dyDescent="0.35">
      <c r="A3771" s="251"/>
      <c r="B3771" s="22"/>
      <c r="C3771" s="252"/>
      <c r="D3771" s="252"/>
      <c r="E3771" s="252"/>
      <c r="F3771" s="252"/>
      <c r="G3771" s="252"/>
      <c r="H3771" s="252"/>
      <c r="I3771" s="252"/>
      <c r="J3771" s="252"/>
      <c r="K3771" s="252"/>
      <c r="L3771"/>
      <c r="M3771"/>
    </row>
    <row r="3772" spans="1:13" s="79" customFormat="1" x14ac:dyDescent="0.35">
      <c r="A3772" s="251"/>
      <c r="B3772" s="22"/>
      <c r="C3772" s="252"/>
      <c r="D3772" s="252"/>
      <c r="E3772" s="252"/>
      <c r="F3772" s="252"/>
      <c r="G3772" s="252"/>
      <c r="H3772" s="252"/>
      <c r="I3772" s="252"/>
      <c r="J3772" s="252"/>
      <c r="K3772" s="252"/>
      <c r="L3772"/>
      <c r="M3772"/>
    </row>
    <row r="3773" spans="1:13" s="79" customFormat="1" x14ac:dyDescent="0.35">
      <c r="A3773" s="251"/>
      <c r="B3773" s="22"/>
      <c r="C3773" s="252"/>
      <c r="D3773" s="252"/>
      <c r="E3773" s="252"/>
      <c r="F3773" s="252"/>
      <c r="G3773" s="252"/>
      <c r="H3773" s="252"/>
      <c r="I3773" s="252"/>
      <c r="J3773" s="252"/>
      <c r="K3773" s="252"/>
      <c r="L3773"/>
      <c r="M3773"/>
    </row>
    <row r="3774" spans="1:13" s="79" customFormat="1" x14ac:dyDescent="0.35">
      <c r="A3774" s="251"/>
      <c r="B3774" s="22"/>
      <c r="C3774" s="252"/>
      <c r="D3774" s="252"/>
      <c r="E3774" s="252"/>
      <c r="F3774" s="252"/>
      <c r="G3774" s="252"/>
      <c r="H3774" s="252"/>
      <c r="I3774" s="252"/>
      <c r="J3774" s="252"/>
      <c r="K3774" s="252"/>
      <c r="L3774"/>
      <c r="M3774"/>
    </row>
    <row r="3775" spans="1:13" s="79" customFormat="1" x14ac:dyDescent="0.35">
      <c r="A3775" s="251"/>
      <c r="B3775" s="22"/>
      <c r="C3775" s="252"/>
      <c r="D3775" s="252"/>
      <c r="E3775" s="252"/>
      <c r="F3775" s="252"/>
      <c r="G3775" s="252"/>
      <c r="H3775" s="252"/>
      <c r="I3775" s="252"/>
      <c r="J3775" s="252"/>
      <c r="K3775" s="252"/>
      <c r="L3775"/>
      <c r="M3775"/>
    </row>
    <row r="3776" spans="1:13" s="79" customFormat="1" x14ac:dyDescent="0.35">
      <c r="A3776" s="251"/>
      <c r="B3776" s="22"/>
      <c r="C3776" s="252"/>
      <c r="D3776" s="252"/>
      <c r="E3776" s="252"/>
      <c r="F3776" s="252"/>
      <c r="G3776" s="252"/>
      <c r="H3776" s="252"/>
      <c r="I3776" s="252"/>
      <c r="J3776" s="252"/>
      <c r="K3776" s="252"/>
      <c r="L3776"/>
      <c r="M3776"/>
    </row>
    <row r="3777" spans="1:13" s="79" customFormat="1" x14ac:dyDescent="0.35">
      <c r="A3777" s="251"/>
      <c r="B3777" s="22"/>
      <c r="C3777" s="252"/>
      <c r="D3777" s="252"/>
      <c r="E3777" s="252"/>
      <c r="F3777" s="252"/>
      <c r="G3777" s="252"/>
      <c r="H3777" s="252"/>
      <c r="I3777" s="252"/>
      <c r="J3777" s="252"/>
      <c r="K3777" s="252"/>
      <c r="L3777"/>
      <c r="M3777"/>
    </row>
    <row r="3778" spans="1:13" s="79" customFormat="1" x14ac:dyDescent="0.35">
      <c r="A3778" s="251"/>
      <c r="B3778" s="22"/>
      <c r="C3778" s="252"/>
      <c r="D3778" s="252"/>
      <c r="E3778" s="252"/>
      <c r="F3778" s="252"/>
      <c r="G3778" s="252"/>
      <c r="H3778" s="252"/>
      <c r="I3778" s="252"/>
      <c r="J3778" s="252"/>
      <c r="K3778" s="252"/>
      <c r="L3778"/>
      <c r="M3778"/>
    </row>
    <row r="3779" spans="1:13" s="79" customFormat="1" x14ac:dyDescent="0.35">
      <c r="A3779" s="251"/>
      <c r="B3779" s="22"/>
      <c r="C3779" s="252"/>
      <c r="D3779" s="252"/>
      <c r="E3779" s="252"/>
      <c r="F3779" s="252"/>
      <c r="G3779" s="252"/>
      <c r="H3779" s="252"/>
      <c r="I3779" s="252"/>
      <c r="J3779" s="252"/>
      <c r="K3779" s="252"/>
      <c r="L3779"/>
      <c r="M3779"/>
    </row>
    <row r="3780" spans="1:13" s="79" customFormat="1" x14ac:dyDescent="0.35">
      <c r="A3780" s="251"/>
      <c r="B3780" s="22"/>
      <c r="C3780" s="252"/>
      <c r="D3780" s="252"/>
      <c r="E3780" s="252"/>
      <c r="F3780" s="252"/>
      <c r="G3780" s="252"/>
      <c r="H3780" s="252"/>
      <c r="I3780" s="252"/>
      <c r="J3780" s="252"/>
      <c r="K3780" s="252"/>
      <c r="L3780"/>
      <c r="M3780"/>
    </row>
    <row r="3781" spans="1:13" s="79" customFormat="1" x14ac:dyDescent="0.35">
      <c r="A3781" s="251"/>
      <c r="B3781" s="22"/>
      <c r="C3781" s="252"/>
      <c r="D3781" s="252"/>
      <c r="E3781" s="252"/>
      <c r="F3781" s="252"/>
      <c r="G3781" s="252"/>
      <c r="H3781" s="252"/>
      <c r="I3781" s="252"/>
      <c r="J3781" s="252"/>
      <c r="K3781" s="252"/>
      <c r="L3781"/>
      <c r="M3781"/>
    </row>
    <row r="3782" spans="1:13" s="79" customFormat="1" x14ac:dyDescent="0.35">
      <c r="A3782" s="251"/>
      <c r="B3782" s="22"/>
      <c r="C3782" s="252"/>
      <c r="D3782" s="252"/>
      <c r="E3782" s="252"/>
      <c r="F3782" s="252"/>
      <c r="G3782" s="252"/>
      <c r="H3782" s="252"/>
      <c r="I3782" s="252"/>
      <c r="J3782" s="252"/>
      <c r="K3782" s="252"/>
      <c r="L3782"/>
      <c r="M3782"/>
    </row>
    <row r="3783" spans="1:13" s="79" customFormat="1" x14ac:dyDescent="0.35">
      <c r="A3783" s="251"/>
      <c r="B3783" s="22"/>
      <c r="C3783" s="252"/>
      <c r="D3783" s="252"/>
      <c r="E3783" s="252"/>
      <c r="F3783" s="252"/>
      <c r="G3783" s="252"/>
      <c r="H3783" s="252"/>
      <c r="I3783" s="252"/>
      <c r="J3783" s="252"/>
      <c r="K3783" s="252"/>
      <c r="L3783"/>
      <c r="M3783"/>
    </row>
    <row r="3784" spans="1:13" s="79" customFormat="1" x14ac:dyDescent="0.35">
      <c r="A3784" s="251"/>
      <c r="B3784" s="22"/>
      <c r="C3784" s="252"/>
      <c r="D3784" s="252"/>
      <c r="E3784" s="252"/>
      <c r="F3784" s="252"/>
      <c r="G3784" s="252"/>
      <c r="H3784" s="252"/>
      <c r="I3784" s="252"/>
      <c r="J3784" s="252"/>
      <c r="K3784" s="252"/>
      <c r="L3784"/>
      <c r="M3784"/>
    </row>
    <row r="3785" spans="1:13" s="79" customFormat="1" x14ac:dyDescent="0.35">
      <c r="A3785" s="251"/>
      <c r="B3785" s="22"/>
      <c r="C3785" s="252"/>
      <c r="D3785" s="252"/>
      <c r="E3785" s="252"/>
      <c r="F3785" s="252"/>
      <c r="G3785" s="252"/>
      <c r="H3785" s="252"/>
      <c r="I3785" s="252"/>
      <c r="J3785" s="252"/>
      <c r="K3785" s="252"/>
      <c r="L3785"/>
      <c r="M3785"/>
    </row>
    <row r="3786" spans="1:13" s="79" customFormat="1" x14ac:dyDescent="0.35">
      <c r="A3786" s="251"/>
      <c r="B3786" s="22"/>
      <c r="C3786" s="252"/>
      <c r="D3786" s="252"/>
      <c r="E3786" s="252"/>
      <c r="F3786" s="252"/>
      <c r="G3786" s="252"/>
      <c r="H3786" s="252"/>
      <c r="I3786" s="252"/>
      <c r="J3786" s="252"/>
      <c r="K3786" s="252"/>
      <c r="L3786"/>
      <c r="M3786"/>
    </row>
    <row r="3787" spans="1:13" s="79" customFormat="1" x14ac:dyDescent="0.35">
      <c r="A3787" s="251"/>
      <c r="B3787" s="22"/>
      <c r="C3787" s="252"/>
      <c r="D3787" s="252"/>
      <c r="E3787" s="252"/>
      <c r="F3787" s="252"/>
      <c r="G3787" s="252"/>
      <c r="H3787" s="252"/>
      <c r="I3787" s="252"/>
      <c r="J3787" s="252"/>
      <c r="K3787" s="252"/>
      <c r="L3787"/>
      <c r="M3787"/>
    </row>
    <row r="3788" spans="1:13" s="79" customFormat="1" x14ac:dyDescent="0.35">
      <c r="A3788" s="251"/>
      <c r="B3788" s="22"/>
      <c r="C3788" s="252"/>
      <c r="D3788" s="252"/>
      <c r="E3788" s="252"/>
      <c r="F3788" s="252"/>
      <c r="G3788" s="252"/>
      <c r="H3788" s="252"/>
      <c r="I3788" s="252"/>
      <c r="J3788" s="252"/>
      <c r="K3788" s="252"/>
      <c r="L3788"/>
      <c r="M3788"/>
    </row>
    <row r="3789" spans="1:13" s="79" customFormat="1" x14ac:dyDescent="0.35">
      <c r="A3789" s="251"/>
      <c r="B3789" s="22"/>
      <c r="C3789" s="252"/>
      <c r="D3789" s="252"/>
      <c r="E3789" s="252"/>
      <c r="F3789" s="252"/>
      <c r="G3789" s="252"/>
      <c r="H3789" s="252"/>
      <c r="I3789" s="252"/>
      <c r="J3789" s="252"/>
      <c r="K3789" s="252"/>
      <c r="L3789"/>
      <c r="M3789"/>
    </row>
    <row r="3790" spans="1:13" s="79" customFormat="1" x14ac:dyDescent="0.35">
      <c r="A3790" s="251"/>
      <c r="B3790" s="22"/>
      <c r="C3790" s="252"/>
      <c r="D3790" s="252"/>
      <c r="E3790" s="252"/>
      <c r="F3790" s="252"/>
      <c r="G3790" s="252"/>
      <c r="H3790" s="252"/>
      <c r="I3790" s="252"/>
      <c r="J3790" s="252"/>
      <c r="K3790" s="252"/>
      <c r="L3790"/>
      <c r="M3790"/>
    </row>
    <row r="3791" spans="1:13" s="79" customFormat="1" x14ac:dyDescent="0.35">
      <c r="A3791" s="251"/>
      <c r="B3791" s="22"/>
      <c r="C3791" s="252"/>
      <c r="D3791" s="252"/>
      <c r="E3791" s="252"/>
      <c r="F3791" s="252"/>
      <c r="G3791" s="252"/>
      <c r="H3791" s="252"/>
      <c r="I3791" s="252"/>
      <c r="J3791" s="252"/>
      <c r="K3791" s="252"/>
      <c r="L3791"/>
      <c r="M3791"/>
    </row>
    <row r="3792" spans="1:13" s="79" customFormat="1" x14ac:dyDescent="0.35">
      <c r="A3792" s="251"/>
      <c r="B3792" s="22"/>
      <c r="C3792" s="252"/>
      <c r="D3792" s="252"/>
      <c r="E3792" s="252"/>
      <c r="F3792" s="252"/>
      <c r="G3792" s="252"/>
      <c r="H3792" s="252"/>
      <c r="I3792" s="252"/>
      <c r="J3792" s="252"/>
      <c r="K3792" s="252"/>
      <c r="L3792"/>
      <c r="M3792"/>
    </row>
    <row r="3793" spans="1:13" s="79" customFormat="1" x14ac:dyDescent="0.35">
      <c r="A3793" s="251"/>
      <c r="B3793" s="22"/>
      <c r="C3793" s="252"/>
      <c r="D3793" s="252"/>
      <c r="E3793" s="252"/>
      <c r="F3793" s="252"/>
      <c r="G3793" s="252"/>
      <c r="H3793" s="252"/>
      <c r="I3793" s="252"/>
      <c r="J3793" s="252"/>
      <c r="K3793" s="252"/>
      <c r="L3793"/>
      <c r="M3793"/>
    </row>
    <row r="3794" spans="1:13" s="79" customFormat="1" x14ac:dyDescent="0.35">
      <c r="A3794" s="251"/>
      <c r="B3794" s="22"/>
      <c r="C3794" s="252"/>
      <c r="D3794" s="252"/>
      <c r="E3794" s="252"/>
      <c r="F3794" s="252"/>
      <c r="G3794" s="252"/>
      <c r="H3794" s="252"/>
      <c r="I3794" s="252"/>
      <c r="J3794" s="252"/>
      <c r="K3794" s="252"/>
      <c r="L3794"/>
      <c r="M3794"/>
    </row>
    <row r="3795" spans="1:13" s="79" customFormat="1" x14ac:dyDescent="0.35">
      <c r="A3795" s="251"/>
      <c r="B3795" s="22"/>
      <c r="C3795" s="252"/>
      <c r="D3795" s="252"/>
      <c r="E3795" s="252"/>
      <c r="F3795" s="252"/>
      <c r="G3795" s="252"/>
      <c r="H3795" s="252"/>
      <c r="I3795" s="252"/>
      <c r="J3795" s="252"/>
      <c r="K3795" s="252"/>
      <c r="L3795"/>
      <c r="M3795"/>
    </row>
    <row r="3796" spans="1:13" s="79" customFormat="1" x14ac:dyDescent="0.35">
      <c r="A3796" s="251"/>
      <c r="B3796" s="22"/>
      <c r="C3796" s="252"/>
      <c r="D3796" s="252"/>
      <c r="E3796" s="252"/>
      <c r="F3796" s="252"/>
      <c r="G3796" s="252"/>
      <c r="H3796" s="252"/>
      <c r="I3796" s="252"/>
      <c r="J3796" s="252"/>
      <c r="K3796" s="252"/>
      <c r="L3796"/>
      <c r="M3796"/>
    </row>
    <row r="3797" spans="1:13" s="79" customFormat="1" x14ac:dyDescent="0.35">
      <c r="A3797" s="251"/>
      <c r="B3797" s="22"/>
      <c r="C3797" s="252"/>
      <c r="D3797" s="252"/>
      <c r="E3797" s="252"/>
      <c r="F3797" s="252"/>
      <c r="G3797" s="252"/>
      <c r="H3797" s="252"/>
      <c r="I3797" s="252"/>
      <c r="J3797" s="252"/>
      <c r="K3797" s="252"/>
      <c r="L3797"/>
      <c r="M3797"/>
    </row>
    <row r="3798" spans="1:13" s="79" customFormat="1" x14ac:dyDescent="0.35">
      <c r="A3798" s="251"/>
      <c r="B3798" s="22"/>
      <c r="C3798" s="252"/>
      <c r="D3798" s="252"/>
      <c r="E3798" s="252"/>
      <c r="F3798" s="252"/>
      <c r="G3798" s="252"/>
      <c r="H3798" s="252"/>
      <c r="I3798" s="252"/>
      <c r="J3798" s="252"/>
      <c r="K3798" s="252"/>
      <c r="L3798"/>
      <c r="M3798"/>
    </row>
    <row r="3799" spans="1:13" s="79" customFormat="1" x14ac:dyDescent="0.35">
      <c r="A3799" s="251"/>
      <c r="B3799" s="22"/>
      <c r="C3799" s="252"/>
      <c r="D3799" s="252"/>
      <c r="E3799" s="252"/>
      <c r="F3799" s="252"/>
      <c r="G3799" s="252"/>
      <c r="H3799" s="252"/>
      <c r="I3799" s="252"/>
      <c r="J3799" s="252"/>
      <c r="K3799" s="252"/>
      <c r="L3799"/>
      <c r="M3799"/>
    </row>
    <row r="3800" spans="1:13" s="79" customFormat="1" x14ac:dyDescent="0.35">
      <c r="A3800" s="251"/>
      <c r="B3800" s="22"/>
      <c r="C3800" s="252"/>
      <c r="D3800" s="252"/>
      <c r="E3800" s="252"/>
      <c r="F3800" s="252"/>
      <c r="G3800" s="252"/>
      <c r="H3800" s="252"/>
      <c r="I3800" s="252"/>
      <c r="J3800" s="252"/>
      <c r="K3800" s="252"/>
      <c r="L3800"/>
      <c r="M3800"/>
    </row>
    <row r="3801" spans="1:13" s="79" customFormat="1" x14ac:dyDescent="0.35">
      <c r="A3801" s="251"/>
      <c r="B3801" s="22"/>
      <c r="C3801" s="252"/>
      <c r="D3801" s="252"/>
      <c r="E3801" s="252"/>
      <c r="F3801" s="252"/>
      <c r="G3801" s="252"/>
      <c r="H3801" s="252"/>
      <c r="I3801" s="252"/>
      <c r="J3801" s="252"/>
      <c r="K3801" s="252"/>
      <c r="L3801"/>
      <c r="M3801"/>
    </row>
    <row r="3802" spans="1:13" s="79" customFormat="1" x14ac:dyDescent="0.35">
      <c r="A3802" s="251"/>
      <c r="B3802" s="22"/>
      <c r="C3802" s="252"/>
      <c r="D3802" s="252"/>
      <c r="E3802" s="252"/>
      <c r="F3802" s="252"/>
      <c r="G3802" s="252"/>
      <c r="H3802" s="252"/>
      <c r="I3802" s="252"/>
      <c r="J3802" s="252"/>
      <c r="K3802" s="252"/>
      <c r="L3802"/>
      <c r="M3802"/>
    </row>
    <row r="3803" spans="1:13" s="79" customFormat="1" x14ac:dyDescent="0.35">
      <c r="A3803" s="251"/>
      <c r="B3803" s="22"/>
      <c r="C3803" s="252"/>
      <c r="D3803" s="252"/>
      <c r="E3803" s="252"/>
      <c r="F3803" s="252"/>
      <c r="G3803" s="252"/>
      <c r="H3803" s="252"/>
      <c r="I3803" s="252"/>
      <c r="J3803" s="252"/>
      <c r="K3803" s="252"/>
      <c r="L3803"/>
      <c r="M3803"/>
    </row>
    <row r="3804" spans="1:13" s="79" customFormat="1" x14ac:dyDescent="0.35">
      <c r="A3804" s="251"/>
      <c r="B3804" s="22"/>
      <c r="C3804" s="252"/>
      <c r="D3804" s="252"/>
      <c r="E3804" s="252"/>
      <c r="F3804" s="252"/>
      <c r="G3804" s="252"/>
      <c r="H3804" s="252"/>
      <c r="I3804" s="252"/>
      <c r="J3804" s="252"/>
      <c r="K3804" s="252"/>
      <c r="L3804"/>
      <c r="M3804"/>
    </row>
    <row r="3805" spans="1:13" s="79" customFormat="1" x14ac:dyDescent="0.35">
      <c r="A3805" s="251"/>
      <c r="B3805" s="22"/>
      <c r="C3805" s="252"/>
      <c r="D3805" s="252"/>
      <c r="E3805" s="252"/>
      <c r="F3805" s="252"/>
      <c r="G3805" s="252"/>
      <c r="H3805" s="252"/>
      <c r="I3805" s="252"/>
      <c r="J3805" s="252"/>
      <c r="K3805" s="252"/>
      <c r="L3805"/>
      <c r="M3805"/>
    </row>
    <row r="3806" spans="1:13" s="79" customFormat="1" x14ac:dyDescent="0.35">
      <c r="A3806" s="251"/>
      <c r="B3806" s="22"/>
      <c r="C3806" s="252"/>
      <c r="D3806" s="252"/>
      <c r="E3806" s="252"/>
      <c r="F3806" s="252"/>
      <c r="G3806" s="252"/>
      <c r="H3806" s="252"/>
      <c r="I3806" s="252"/>
      <c r="J3806" s="252"/>
      <c r="K3806" s="252"/>
      <c r="L3806"/>
      <c r="M3806"/>
    </row>
    <row r="3807" spans="1:13" s="79" customFormat="1" x14ac:dyDescent="0.35">
      <c r="A3807" s="251"/>
      <c r="B3807" s="22"/>
      <c r="C3807" s="252"/>
      <c r="D3807" s="252"/>
      <c r="E3807" s="252"/>
      <c r="F3807" s="252"/>
      <c r="G3807" s="252"/>
      <c r="H3807" s="252"/>
      <c r="I3807" s="252"/>
      <c r="J3807" s="252"/>
      <c r="K3807" s="252"/>
      <c r="L3807"/>
      <c r="M3807"/>
    </row>
    <row r="3808" spans="1:13" s="79" customFormat="1" x14ac:dyDescent="0.35">
      <c r="A3808" s="251"/>
      <c r="B3808" s="22"/>
      <c r="C3808" s="252"/>
      <c r="D3808" s="252"/>
      <c r="E3808" s="252"/>
      <c r="F3808" s="252"/>
      <c r="G3808" s="252"/>
      <c r="H3808" s="252"/>
      <c r="I3808" s="252"/>
      <c r="J3808" s="252"/>
      <c r="K3808" s="252"/>
      <c r="L3808"/>
      <c r="M3808"/>
    </row>
    <row r="3809" spans="1:13" s="79" customFormat="1" x14ac:dyDescent="0.35">
      <c r="A3809" s="251"/>
      <c r="B3809" s="22"/>
      <c r="C3809" s="252"/>
      <c r="D3809" s="252"/>
      <c r="E3809" s="252"/>
      <c r="F3809" s="252"/>
      <c r="G3809" s="252"/>
      <c r="H3809" s="252"/>
      <c r="I3809" s="252"/>
      <c r="J3809" s="252"/>
      <c r="K3809" s="252"/>
      <c r="L3809"/>
      <c r="M3809"/>
    </row>
    <row r="3810" spans="1:13" s="79" customFormat="1" x14ac:dyDescent="0.35">
      <c r="A3810" s="251"/>
      <c r="B3810" s="22"/>
      <c r="C3810" s="252"/>
      <c r="D3810" s="252"/>
      <c r="E3810" s="252"/>
      <c r="F3810" s="252"/>
      <c r="G3810" s="252"/>
      <c r="H3810" s="252"/>
      <c r="I3810" s="252"/>
      <c r="J3810" s="252"/>
      <c r="K3810" s="252"/>
      <c r="L3810"/>
      <c r="M3810"/>
    </row>
    <row r="3811" spans="1:13" s="79" customFormat="1" x14ac:dyDescent="0.35">
      <c r="A3811" s="251"/>
      <c r="B3811" s="22"/>
      <c r="C3811" s="252"/>
      <c r="D3811" s="252"/>
      <c r="E3811" s="252"/>
      <c r="F3811" s="252"/>
      <c r="G3811" s="252"/>
      <c r="H3811" s="252"/>
      <c r="I3811" s="252"/>
      <c r="J3811" s="252"/>
      <c r="K3811" s="252"/>
      <c r="L3811"/>
      <c r="M3811"/>
    </row>
    <row r="3812" spans="1:13" s="79" customFormat="1" x14ac:dyDescent="0.35">
      <c r="A3812" s="251"/>
      <c r="B3812" s="22"/>
      <c r="C3812" s="252"/>
      <c r="D3812" s="252"/>
      <c r="E3812" s="252"/>
      <c r="F3812" s="252"/>
      <c r="G3812" s="252"/>
      <c r="H3812" s="252"/>
      <c r="I3812" s="252"/>
      <c r="J3812" s="252"/>
      <c r="K3812" s="252"/>
      <c r="L3812"/>
      <c r="M3812"/>
    </row>
    <row r="3813" spans="1:13" s="79" customFormat="1" x14ac:dyDescent="0.35">
      <c r="A3813" s="251"/>
      <c r="B3813" s="22"/>
      <c r="C3813" s="252"/>
      <c r="D3813" s="252"/>
      <c r="E3813" s="252"/>
      <c r="F3813" s="252"/>
      <c r="G3813" s="252"/>
      <c r="H3813" s="252"/>
      <c r="I3813" s="252"/>
      <c r="J3813" s="252"/>
      <c r="K3813" s="252"/>
      <c r="L3813"/>
      <c r="M3813"/>
    </row>
    <row r="3814" spans="1:13" s="79" customFormat="1" x14ac:dyDescent="0.35">
      <c r="A3814" s="251"/>
      <c r="B3814" s="22"/>
      <c r="C3814" s="252"/>
      <c r="D3814" s="252"/>
      <c r="E3814" s="252"/>
      <c r="F3814" s="252"/>
      <c r="G3814" s="252"/>
      <c r="H3814" s="252"/>
      <c r="I3814" s="252"/>
      <c r="J3814" s="252"/>
      <c r="K3814" s="252"/>
      <c r="L3814"/>
      <c r="M3814"/>
    </row>
    <row r="3815" spans="1:13" s="79" customFormat="1" x14ac:dyDescent="0.35">
      <c r="A3815" s="251"/>
      <c r="B3815" s="22"/>
      <c r="C3815" s="252"/>
      <c r="D3815" s="252"/>
      <c r="E3815" s="252"/>
      <c r="F3815" s="252"/>
      <c r="G3815" s="252"/>
      <c r="H3815" s="252"/>
      <c r="I3815" s="252"/>
      <c r="J3815" s="252"/>
      <c r="K3815" s="252"/>
      <c r="L3815"/>
      <c r="M3815"/>
    </row>
    <row r="3816" spans="1:13" s="79" customFormat="1" x14ac:dyDescent="0.35">
      <c r="A3816" s="251"/>
      <c r="B3816" s="22"/>
      <c r="C3816" s="252"/>
      <c r="D3816" s="252"/>
      <c r="E3816" s="252"/>
      <c r="F3816" s="252"/>
      <c r="G3816" s="252"/>
      <c r="H3816" s="252"/>
      <c r="I3816" s="252"/>
      <c r="J3816" s="252"/>
      <c r="K3816" s="252"/>
      <c r="L3816"/>
      <c r="M3816"/>
    </row>
    <row r="3817" spans="1:13" s="79" customFormat="1" x14ac:dyDescent="0.35">
      <c r="A3817" s="251"/>
      <c r="B3817" s="22"/>
      <c r="C3817" s="252"/>
      <c r="D3817" s="252"/>
      <c r="E3817" s="252"/>
      <c r="F3817" s="252"/>
      <c r="G3817" s="252"/>
      <c r="H3817" s="252"/>
      <c r="I3817" s="252"/>
      <c r="J3817" s="252"/>
      <c r="K3817" s="252"/>
      <c r="L3817"/>
      <c r="M3817"/>
    </row>
    <row r="3818" spans="1:13" s="79" customFormat="1" x14ac:dyDescent="0.35">
      <c r="A3818" s="251"/>
      <c r="B3818" s="22"/>
      <c r="C3818" s="252"/>
      <c r="D3818" s="252"/>
      <c r="E3818" s="252"/>
      <c r="F3818" s="252"/>
      <c r="G3818" s="252"/>
      <c r="H3818" s="252"/>
      <c r="I3818" s="252"/>
      <c r="J3818" s="252"/>
      <c r="K3818" s="252"/>
      <c r="L3818"/>
      <c r="M3818"/>
    </row>
    <row r="3819" spans="1:13" s="79" customFormat="1" x14ac:dyDescent="0.35">
      <c r="A3819" s="251"/>
      <c r="B3819" s="22"/>
      <c r="C3819" s="252"/>
      <c r="D3819" s="252"/>
      <c r="E3819" s="252"/>
      <c r="F3819" s="252"/>
      <c r="G3819" s="252"/>
      <c r="H3819" s="252"/>
      <c r="I3819" s="252"/>
      <c r="J3819" s="252"/>
      <c r="K3819" s="252"/>
      <c r="L3819"/>
      <c r="M3819"/>
    </row>
    <row r="3820" spans="1:13" s="79" customFormat="1" x14ac:dyDescent="0.35">
      <c r="A3820" s="251"/>
      <c r="B3820" s="22"/>
      <c r="C3820" s="252"/>
      <c r="D3820" s="252"/>
      <c r="E3820" s="252"/>
      <c r="F3820" s="252"/>
      <c r="G3820" s="252"/>
      <c r="H3820" s="252"/>
      <c r="I3820" s="252"/>
      <c r="J3820" s="252"/>
      <c r="K3820" s="252"/>
      <c r="L3820"/>
      <c r="M3820"/>
    </row>
    <row r="3821" spans="1:13" s="79" customFormat="1" x14ac:dyDescent="0.35">
      <c r="A3821" s="251"/>
      <c r="B3821" s="22"/>
      <c r="C3821" s="252"/>
      <c r="D3821" s="252"/>
      <c r="E3821" s="252"/>
      <c r="F3821" s="252"/>
      <c r="G3821" s="252"/>
      <c r="H3821" s="252"/>
      <c r="I3821" s="252"/>
      <c r="J3821" s="252"/>
      <c r="K3821" s="252"/>
      <c r="L3821"/>
      <c r="M3821"/>
    </row>
    <row r="3822" spans="1:13" s="79" customFormat="1" x14ac:dyDescent="0.35">
      <c r="A3822" s="251"/>
      <c r="B3822" s="22"/>
      <c r="C3822" s="252"/>
      <c r="D3822" s="252"/>
      <c r="E3822" s="252"/>
      <c r="F3822" s="252"/>
      <c r="G3822" s="252"/>
      <c r="H3822" s="252"/>
      <c r="I3822" s="252"/>
      <c r="J3822" s="252"/>
      <c r="K3822" s="252"/>
      <c r="L3822"/>
      <c r="M3822"/>
    </row>
    <row r="3823" spans="1:13" s="79" customFormat="1" x14ac:dyDescent="0.35">
      <c r="A3823" s="251"/>
      <c r="B3823" s="22"/>
      <c r="C3823" s="252"/>
      <c r="D3823" s="252"/>
      <c r="E3823" s="252"/>
      <c r="F3823" s="252"/>
      <c r="G3823" s="252"/>
      <c r="H3823" s="252"/>
      <c r="I3823" s="252"/>
      <c r="J3823" s="252"/>
      <c r="K3823" s="252"/>
      <c r="L3823"/>
      <c r="M3823"/>
    </row>
    <row r="3824" spans="1:13" s="79" customFormat="1" x14ac:dyDescent="0.35">
      <c r="A3824" s="251"/>
      <c r="B3824" s="22"/>
      <c r="C3824" s="252"/>
      <c r="D3824" s="252"/>
      <c r="E3824" s="252"/>
      <c r="F3824" s="252"/>
      <c r="G3824" s="252"/>
      <c r="H3824" s="252"/>
      <c r="I3824" s="252"/>
      <c r="J3824" s="252"/>
      <c r="K3824" s="252"/>
      <c r="L3824"/>
      <c r="M3824"/>
    </row>
    <row r="3825" spans="1:13" s="79" customFormat="1" x14ac:dyDescent="0.35">
      <c r="A3825" s="251"/>
      <c r="B3825" s="22"/>
      <c r="C3825" s="252"/>
      <c r="D3825" s="252"/>
      <c r="E3825" s="252"/>
      <c r="F3825" s="252"/>
      <c r="G3825" s="252"/>
      <c r="H3825" s="252"/>
      <c r="I3825" s="252"/>
      <c r="J3825" s="252"/>
      <c r="K3825" s="252"/>
      <c r="L3825"/>
      <c r="M3825"/>
    </row>
    <row r="3826" spans="1:13" s="79" customFormat="1" x14ac:dyDescent="0.35">
      <c r="A3826" s="251"/>
      <c r="B3826" s="22"/>
      <c r="C3826" s="252"/>
      <c r="D3826" s="252"/>
      <c r="E3826" s="252"/>
      <c r="F3826" s="252"/>
      <c r="G3826" s="252"/>
      <c r="H3826" s="252"/>
      <c r="I3826" s="252"/>
      <c r="J3826" s="252"/>
      <c r="K3826" s="252"/>
      <c r="L3826"/>
      <c r="M3826"/>
    </row>
    <row r="3827" spans="1:13" s="79" customFormat="1" x14ac:dyDescent="0.35">
      <c r="A3827" s="251"/>
      <c r="B3827" s="22"/>
      <c r="C3827" s="252"/>
      <c r="D3827" s="252"/>
      <c r="E3827" s="252"/>
      <c r="F3827" s="252"/>
      <c r="G3827" s="252"/>
      <c r="H3827" s="252"/>
      <c r="I3827" s="252"/>
      <c r="J3827" s="252"/>
      <c r="K3827" s="252"/>
      <c r="L3827"/>
      <c r="M3827"/>
    </row>
    <row r="3828" spans="1:13" s="79" customFormat="1" x14ac:dyDescent="0.35">
      <c r="A3828" s="251"/>
      <c r="B3828" s="22"/>
      <c r="C3828" s="252"/>
      <c r="D3828" s="252"/>
      <c r="E3828" s="252"/>
      <c r="F3828" s="252"/>
      <c r="G3828" s="252"/>
      <c r="H3828" s="252"/>
      <c r="I3828" s="252"/>
      <c r="J3828" s="252"/>
      <c r="K3828" s="252"/>
      <c r="L3828"/>
      <c r="M3828"/>
    </row>
    <row r="3829" spans="1:13" s="79" customFormat="1" x14ac:dyDescent="0.35">
      <c r="A3829" s="251"/>
      <c r="B3829" s="22"/>
      <c r="C3829" s="252"/>
      <c r="D3829" s="252"/>
      <c r="E3829" s="252"/>
      <c r="F3829" s="252"/>
      <c r="G3829" s="252"/>
      <c r="H3829" s="252"/>
      <c r="I3829" s="252"/>
      <c r="J3829" s="252"/>
      <c r="K3829" s="252"/>
      <c r="L3829"/>
      <c r="M3829"/>
    </row>
    <row r="3830" spans="1:13" s="79" customFormat="1" x14ac:dyDescent="0.35">
      <c r="A3830" s="251"/>
      <c r="B3830" s="22"/>
      <c r="C3830" s="252"/>
      <c r="D3830" s="252"/>
      <c r="E3830" s="252"/>
      <c r="F3830" s="252"/>
      <c r="G3830" s="252"/>
      <c r="H3830" s="252"/>
      <c r="I3830" s="252"/>
      <c r="J3830" s="252"/>
      <c r="K3830" s="252"/>
      <c r="L3830"/>
      <c r="M3830"/>
    </row>
    <row r="3831" spans="1:13" s="79" customFormat="1" x14ac:dyDescent="0.35">
      <c r="A3831" s="251"/>
      <c r="B3831" s="22"/>
      <c r="C3831" s="252"/>
      <c r="D3831" s="252"/>
      <c r="E3831" s="252"/>
      <c r="F3831" s="252"/>
      <c r="G3831" s="252"/>
      <c r="H3831" s="252"/>
      <c r="I3831" s="252"/>
      <c r="J3831" s="252"/>
      <c r="K3831" s="252"/>
      <c r="L3831"/>
      <c r="M3831"/>
    </row>
    <row r="3832" spans="1:13" s="79" customFormat="1" x14ac:dyDescent="0.35">
      <c r="A3832" s="251"/>
      <c r="B3832" s="22"/>
      <c r="C3832" s="252"/>
      <c r="D3832" s="252"/>
      <c r="E3832" s="252"/>
      <c r="F3832" s="252"/>
      <c r="G3832" s="252"/>
      <c r="H3832" s="252"/>
      <c r="I3832" s="252"/>
      <c r="J3832" s="252"/>
      <c r="K3832" s="252"/>
      <c r="L3832"/>
      <c r="M3832"/>
    </row>
    <row r="3833" spans="1:13" s="79" customFormat="1" x14ac:dyDescent="0.35">
      <c r="A3833" s="251"/>
      <c r="B3833" s="22"/>
      <c r="C3833" s="252"/>
      <c r="D3833" s="252"/>
      <c r="E3833" s="252"/>
      <c r="F3833" s="252"/>
      <c r="G3833" s="252"/>
      <c r="H3833" s="252"/>
      <c r="I3833" s="252"/>
      <c r="J3833" s="252"/>
      <c r="K3833" s="252"/>
      <c r="L3833"/>
      <c r="M3833"/>
    </row>
    <row r="3834" spans="1:13" s="79" customFormat="1" x14ac:dyDescent="0.35">
      <c r="A3834" s="251"/>
      <c r="B3834" s="22"/>
      <c r="C3834" s="252"/>
      <c r="D3834" s="252"/>
      <c r="E3834" s="252"/>
      <c r="F3834" s="252"/>
      <c r="G3834" s="252"/>
      <c r="H3834" s="252"/>
      <c r="I3834" s="252"/>
      <c r="J3834" s="252"/>
      <c r="K3834" s="252"/>
      <c r="L3834"/>
      <c r="M3834"/>
    </row>
    <row r="3835" spans="1:13" s="79" customFormat="1" x14ac:dyDescent="0.35">
      <c r="A3835" s="251"/>
      <c r="B3835" s="22"/>
      <c r="C3835" s="252"/>
      <c r="D3835" s="252"/>
      <c r="E3835" s="252"/>
      <c r="F3835" s="252"/>
      <c r="G3835" s="252"/>
      <c r="H3835" s="252"/>
      <c r="I3835" s="252"/>
      <c r="J3835" s="252"/>
      <c r="K3835" s="252"/>
      <c r="L3835"/>
      <c r="M3835"/>
    </row>
    <row r="3836" spans="1:13" s="79" customFormat="1" x14ac:dyDescent="0.35">
      <c r="A3836" s="251"/>
      <c r="B3836" s="22"/>
      <c r="C3836" s="252"/>
      <c r="D3836" s="252"/>
      <c r="E3836" s="252"/>
      <c r="F3836" s="252"/>
      <c r="G3836" s="252"/>
      <c r="H3836" s="252"/>
      <c r="I3836" s="252"/>
      <c r="J3836" s="252"/>
      <c r="K3836" s="252"/>
      <c r="L3836"/>
      <c r="M3836"/>
    </row>
    <row r="3837" spans="1:13" s="79" customFormat="1" x14ac:dyDescent="0.35">
      <c r="A3837" s="251"/>
      <c r="B3837" s="22"/>
      <c r="C3837" s="252"/>
      <c r="D3837" s="252"/>
      <c r="E3837" s="252"/>
      <c r="F3837" s="252"/>
      <c r="G3837" s="252"/>
      <c r="H3837" s="252"/>
      <c r="I3837" s="252"/>
      <c r="J3837" s="252"/>
      <c r="K3837" s="252"/>
      <c r="L3837"/>
      <c r="M3837"/>
    </row>
    <row r="3838" spans="1:13" s="79" customFormat="1" x14ac:dyDescent="0.35">
      <c r="A3838" s="251"/>
      <c r="B3838" s="22"/>
      <c r="C3838" s="252"/>
      <c r="D3838" s="252"/>
      <c r="E3838" s="252"/>
      <c r="F3838" s="252"/>
      <c r="G3838" s="252"/>
      <c r="H3838" s="252"/>
      <c r="I3838" s="252"/>
      <c r="J3838" s="252"/>
      <c r="K3838" s="252"/>
      <c r="L3838"/>
      <c r="M3838"/>
    </row>
    <row r="3839" spans="1:13" s="79" customFormat="1" x14ac:dyDescent="0.35">
      <c r="A3839" s="251"/>
      <c r="B3839" s="22"/>
      <c r="C3839" s="252"/>
      <c r="D3839" s="252"/>
      <c r="E3839" s="252"/>
      <c r="F3839" s="252"/>
      <c r="G3839" s="252"/>
      <c r="H3839" s="252"/>
      <c r="I3839" s="252"/>
      <c r="J3839" s="252"/>
      <c r="K3839" s="252"/>
      <c r="L3839"/>
      <c r="M3839"/>
    </row>
    <row r="3840" spans="1:13" s="79" customFormat="1" x14ac:dyDescent="0.35">
      <c r="A3840" s="251"/>
      <c r="B3840" s="22"/>
      <c r="C3840" s="252"/>
      <c r="D3840" s="252"/>
      <c r="E3840" s="252"/>
      <c r="F3840" s="252"/>
      <c r="G3840" s="252"/>
      <c r="H3840" s="252"/>
      <c r="I3840" s="252"/>
      <c r="J3840" s="252"/>
      <c r="K3840" s="252"/>
      <c r="L3840"/>
      <c r="M3840"/>
    </row>
    <row r="3841" spans="1:13" s="79" customFormat="1" x14ac:dyDescent="0.35">
      <c r="A3841" s="251"/>
      <c r="B3841" s="22"/>
      <c r="C3841" s="252"/>
      <c r="D3841" s="252"/>
      <c r="E3841" s="252"/>
      <c r="F3841" s="252"/>
      <c r="G3841" s="252"/>
      <c r="H3841" s="252"/>
      <c r="I3841" s="252"/>
      <c r="J3841" s="252"/>
      <c r="K3841" s="252"/>
      <c r="L3841"/>
      <c r="M3841"/>
    </row>
    <row r="3842" spans="1:13" s="79" customFormat="1" x14ac:dyDescent="0.35">
      <c r="A3842" s="251"/>
      <c r="B3842" s="22"/>
      <c r="C3842" s="252"/>
      <c r="D3842" s="252"/>
      <c r="E3842" s="252"/>
      <c r="F3842" s="252"/>
      <c r="G3842" s="252"/>
      <c r="H3842" s="252"/>
      <c r="I3842" s="252"/>
      <c r="J3842" s="252"/>
      <c r="K3842" s="252"/>
      <c r="L3842"/>
      <c r="M3842"/>
    </row>
    <row r="3843" spans="1:13" s="79" customFormat="1" x14ac:dyDescent="0.35">
      <c r="A3843" s="251"/>
      <c r="B3843" s="22"/>
      <c r="C3843" s="252"/>
      <c r="D3843" s="252"/>
      <c r="E3843" s="252"/>
      <c r="F3843" s="252"/>
      <c r="G3843" s="252"/>
      <c r="H3843" s="252"/>
      <c r="I3843" s="252"/>
      <c r="J3843" s="252"/>
      <c r="K3843" s="252"/>
      <c r="L3843"/>
      <c r="M3843"/>
    </row>
    <row r="3844" spans="1:13" s="79" customFormat="1" x14ac:dyDescent="0.35">
      <c r="A3844" s="251"/>
      <c r="B3844" s="22"/>
      <c r="C3844" s="252"/>
      <c r="D3844" s="252"/>
      <c r="E3844" s="252"/>
      <c r="F3844" s="252"/>
      <c r="G3844" s="252"/>
      <c r="H3844" s="252"/>
      <c r="I3844" s="252"/>
      <c r="J3844" s="252"/>
      <c r="K3844" s="252"/>
      <c r="L3844"/>
      <c r="M3844"/>
    </row>
    <row r="3845" spans="1:13" s="79" customFormat="1" x14ac:dyDescent="0.35">
      <c r="A3845" s="251"/>
      <c r="B3845" s="22"/>
      <c r="C3845" s="252"/>
      <c r="D3845" s="252"/>
      <c r="E3845" s="252"/>
      <c r="F3845" s="252"/>
      <c r="G3845" s="252"/>
      <c r="H3845" s="252"/>
      <c r="I3845" s="252"/>
      <c r="J3845" s="252"/>
      <c r="K3845" s="252"/>
      <c r="L3845"/>
      <c r="M3845"/>
    </row>
    <row r="3846" spans="1:13" s="79" customFormat="1" x14ac:dyDescent="0.35">
      <c r="A3846" s="251"/>
      <c r="B3846" s="22"/>
      <c r="C3846" s="252"/>
      <c r="D3846" s="252"/>
      <c r="E3846" s="252"/>
      <c r="F3846" s="252"/>
      <c r="G3846" s="252"/>
      <c r="H3846" s="252"/>
      <c r="I3846" s="252"/>
      <c r="J3846" s="252"/>
      <c r="K3846" s="252"/>
      <c r="L3846"/>
      <c r="M3846"/>
    </row>
    <row r="3847" spans="1:13" s="79" customFormat="1" x14ac:dyDescent="0.35">
      <c r="A3847" s="251"/>
      <c r="B3847" s="22"/>
      <c r="C3847" s="252"/>
      <c r="D3847" s="252"/>
      <c r="E3847" s="252"/>
      <c r="F3847" s="252"/>
      <c r="G3847" s="252"/>
      <c r="H3847" s="252"/>
      <c r="I3847" s="252"/>
      <c r="J3847" s="252"/>
      <c r="K3847" s="252"/>
      <c r="L3847"/>
      <c r="M3847"/>
    </row>
    <row r="3848" spans="1:13" s="79" customFormat="1" x14ac:dyDescent="0.35">
      <c r="A3848" s="251"/>
      <c r="B3848" s="22"/>
      <c r="C3848" s="252"/>
      <c r="D3848" s="252"/>
      <c r="E3848" s="252"/>
      <c r="F3848" s="252"/>
      <c r="G3848" s="252"/>
      <c r="H3848" s="252"/>
      <c r="I3848" s="252"/>
      <c r="J3848" s="252"/>
      <c r="K3848" s="252"/>
      <c r="L3848"/>
      <c r="M3848"/>
    </row>
    <row r="3849" spans="1:13" s="79" customFormat="1" x14ac:dyDescent="0.35">
      <c r="A3849" s="251"/>
      <c r="B3849" s="22"/>
      <c r="C3849" s="252"/>
      <c r="D3849" s="252"/>
      <c r="E3849" s="252"/>
      <c r="F3849" s="252"/>
      <c r="G3849" s="252"/>
      <c r="H3849" s="252"/>
      <c r="I3849" s="252"/>
      <c r="J3849" s="252"/>
      <c r="K3849" s="252"/>
      <c r="L3849"/>
      <c r="M3849"/>
    </row>
    <row r="3850" spans="1:13" s="79" customFormat="1" x14ac:dyDescent="0.35">
      <c r="A3850" s="251"/>
      <c r="B3850" s="22"/>
      <c r="C3850" s="252"/>
      <c r="D3850" s="252"/>
      <c r="E3850" s="252"/>
      <c r="F3850" s="252"/>
      <c r="G3850" s="252"/>
      <c r="H3850" s="252"/>
      <c r="I3850" s="252"/>
      <c r="J3850" s="252"/>
      <c r="K3850" s="252"/>
      <c r="L3850"/>
      <c r="M3850"/>
    </row>
    <row r="3851" spans="1:13" s="79" customFormat="1" x14ac:dyDescent="0.35">
      <c r="A3851" s="251"/>
      <c r="B3851" s="22"/>
      <c r="C3851" s="252"/>
      <c r="D3851" s="252"/>
      <c r="E3851" s="252"/>
      <c r="F3851" s="252"/>
      <c r="G3851" s="252"/>
      <c r="H3851" s="252"/>
      <c r="I3851" s="252"/>
      <c r="J3851" s="252"/>
      <c r="K3851" s="252"/>
      <c r="L3851"/>
      <c r="M3851"/>
    </row>
    <row r="3852" spans="1:13" s="79" customFormat="1" x14ac:dyDescent="0.35">
      <c r="A3852" s="251"/>
      <c r="B3852" s="22"/>
      <c r="C3852" s="252"/>
      <c r="D3852" s="252"/>
      <c r="E3852" s="252"/>
      <c r="F3852" s="252"/>
      <c r="G3852" s="252"/>
      <c r="H3852" s="252"/>
      <c r="I3852" s="252"/>
      <c r="J3852" s="252"/>
      <c r="K3852" s="252"/>
      <c r="L3852"/>
      <c r="M3852"/>
    </row>
    <row r="3853" spans="1:13" s="79" customFormat="1" x14ac:dyDescent="0.35">
      <c r="A3853" s="251"/>
      <c r="B3853" s="22"/>
      <c r="C3853" s="252"/>
      <c r="D3853" s="252"/>
      <c r="E3853" s="252"/>
      <c r="F3853" s="252"/>
      <c r="G3853" s="252"/>
      <c r="H3853" s="252"/>
      <c r="I3853" s="252"/>
      <c r="J3853" s="252"/>
      <c r="K3853" s="252"/>
      <c r="L3853"/>
      <c r="M3853"/>
    </row>
    <row r="3854" spans="1:13" s="79" customFormat="1" x14ac:dyDescent="0.35">
      <c r="A3854" s="251"/>
      <c r="B3854" s="22"/>
      <c r="C3854" s="252"/>
      <c r="D3854" s="252"/>
      <c r="E3854" s="252"/>
      <c r="F3854" s="252"/>
      <c r="G3854" s="252"/>
      <c r="H3854" s="252"/>
      <c r="I3854" s="252"/>
      <c r="J3854" s="252"/>
      <c r="K3854" s="252"/>
      <c r="L3854"/>
      <c r="M3854"/>
    </row>
    <row r="3855" spans="1:13" s="79" customFormat="1" x14ac:dyDescent="0.35">
      <c r="A3855" s="251"/>
      <c r="B3855" s="22"/>
      <c r="C3855" s="252"/>
      <c r="D3855" s="252"/>
      <c r="E3855" s="252"/>
      <c r="F3855" s="252"/>
      <c r="G3855" s="252"/>
      <c r="H3855" s="252"/>
      <c r="I3855" s="252"/>
      <c r="J3855" s="252"/>
      <c r="K3855" s="252"/>
      <c r="L3855"/>
      <c r="M3855"/>
    </row>
    <row r="3856" spans="1:13" s="79" customFormat="1" x14ac:dyDescent="0.35">
      <c r="A3856" s="251"/>
      <c r="B3856" s="22"/>
      <c r="C3856" s="252"/>
      <c r="D3856" s="252"/>
      <c r="E3856" s="252"/>
      <c r="F3856" s="252"/>
      <c r="G3856" s="252"/>
      <c r="H3856" s="252"/>
      <c r="I3856" s="252"/>
      <c r="J3856" s="252"/>
      <c r="K3856" s="252"/>
      <c r="L3856"/>
      <c r="M3856"/>
    </row>
    <row r="3857" spans="1:13" s="79" customFormat="1" x14ac:dyDescent="0.35">
      <c r="A3857" s="251"/>
      <c r="B3857" s="22"/>
      <c r="C3857" s="252"/>
      <c r="D3857" s="252"/>
      <c r="E3857" s="252"/>
      <c r="F3857" s="252"/>
      <c r="G3857" s="252"/>
      <c r="H3857" s="252"/>
      <c r="I3857" s="252"/>
      <c r="J3857" s="252"/>
      <c r="K3857" s="252"/>
      <c r="L3857"/>
      <c r="M3857"/>
    </row>
    <row r="3858" spans="1:13" s="79" customFormat="1" x14ac:dyDescent="0.35">
      <c r="A3858" s="251"/>
      <c r="B3858" s="22"/>
      <c r="C3858" s="252"/>
      <c r="D3858" s="252"/>
      <c r="E3858" s="252"/>
      <c r="F3858" s="252"/>
      <c r="G3858" s="252"/>
      <c r="H3858" s="252"/>
      <c r="I3858" s="252"/>
      <c r="J3858" s="252"/>
      <c r="K3858" s="252"/>
      <c r="L3858"/>
      <c r="M3858"/>
    </row>
    <row r="3859" spans="1:13" s="79" customFormat="1" x14ac:dyDescent="0.35">
      <c r="A3859" s="251"/>
      <c r="B3859" s="22"/>
      <c r="C3859" s="252"/>
      <c r="D3859" s="252"/>
      <c r="E3859" s="252"/>
      <c r="F3859" s="252"/>
      <c r="G3859" s="252"/>
      <c r="H3859" s="252"/>
      <c r="I3859" s="252"/>
      <c r="J3859" s="252"/>
      <c r="K3859" s="252"/>
      <c r="L3859"/>
      <c r="M3859"/>
    </row>
    <row r="3860" spans="1:13" s="79" customFormat="1" x14ac:dyDescent="0.35">
      <c r="A3860" s="251"/>
      <c r="B3860" s="22"/>
      <c r="C3860" s="252"/>
      <c r="D3860" s="252"/>
      <c r="E3860" s="252"/>
      <c r="F3860" s="252"/>
      <c r="G3860" s="252"/>
      <c r="H3860" s="252"/>
      <c r="I3860" s="252"/>
      <c r="J3860" s="252"/>
      <c r="K3860" s="252"/>
      <c r="L3860"/>
      <c r="M3860"/>
    </row>
    <row r="3861" spans="1:13" s="79" customFormat="1" x14ac:dyDescent="0.35">
      <c r="A3861" s="251"/>
      <c r="B3861" s="22"/>
      <c r="C3861" s="252"/>
      <c r="D3861" s="252"/>
      <c r="E3861" s="252"/>
      <c r="F3861" s="252"/>
      <c r="G3861" s="252"/>
      <c r="H3861" s="252"/>
      <c r="I3861" s="252"/>
      <c r="J3861" s="252"/>
      <c r="K3861" s="252"/>
      <c r="L3861"/>
      <c r="M3861"/>
    </row>
    <row r="3862" spans="1:13" s="79" customFormat="1" x14ac:dyDescent="0.35">
      <c r="A3862" s="251"/>
      <c r="B3862" s="22"/>
      <c r="C3862" s="252"/>
      <c r="D3862" s="252"/>
      <c r="E3862" s="252"/>
      <c r="F3862" s="252"/>
      <c r="G3862" s="252"/>
      <c r="H3862" s="252"/>
      <c r="I3862" s="252"/>
      <c r="J3862" s="252"/>
      <c r="K3862" s="252"/>
      <c r="L3862"/>
      <c r="M3862"/>
    </row>
    <row r="3863" spans="1:13" s="79" customFormat="1" x14ac:dyDescent="0.35">
      <c r="A3863" s="251"/>
      <c r="B3863" s="22"/>
      <c r="C3863" s="252"/>
      <c r="D3863" s="252"/>
      <c r="E3863" s="252"/>
      <c r="F3863" s="252"/>
      <c r="G3863" s="252"/>
      <c r="H3863" s="252"/>
      <c r="I3863" s="252"/>
      <c r="J3863" s="252"/>
      <c r="K3863" s="252"/>
      <c r="L3863"/>
      <c r="M3863"/>
    </row>
    <row r="3864" spans="1:13" s="79" customFormat="1" x14ac:dyDescent="0.35">
      <c r="A3864" s="251"/>
      <c r="B3864" s="22"/>
      <c r="C3864" s="252"/>
      <c r="D3864" s="252"/>
      <c r="E3864" s="252"/>
      <c r="F3864" s="252"/>
      <c r="G3864" s="252"/>
      <c r="H3864" s="252"/>
      <c r="I3864" s="252"/>
      <c r="J3864" s="252"/>
      <c r="K3864" s="252"/>
      <c r="L3864"/>
      <c r="M3864"/>
    </row>
    <row r="3865" spans="1:13" s="79" customFormat="1" x14ac:dyDescent="0.35">
      <c r="A3865" s="251"/>
      <c r="B3865" s="22"/>
      <c r="C3865" s="252"/>
      <c r="D3865" s="252"/>
      <c r="E3865" s="252"/>
      <c r="F3865" s="252"/>
      <c r="G3865" s="252"/>
      <c r="H3865" s="252"/>
      <c r="I3865" s="252"/>
      <c r="J3865" s="252"/>
      <c r="K3865" s="252"/>
      <c r="L3865"/>
      <c r="M3865"/>
    </row>
    <row r="3866" spans="1:13" s="79" customFormat="1" x14ac:dyDescent="0.35">
      <c r="A3866" s="251"/>
      <c r="B3866" s="22"/>
      <c r="C3866" s="252"/>
      <c r="D3866" s="252"/>
      <c r="E3866" s="252"/>
      <c r="F3866" s="252"/>
      <c r="G3866" s="252"/>
      <c r="H3866" s="252"/>
      <c r="I3866" s="252"/>
      <c r="J3866" s="252"/>
      <c r="K3866" s="252"/>
      <c r="L3866"/>
      <c r="M3866"/>
    </row>
    <row r="3867" spans="1:13" s="79" customFormat="1" x14ac:dyDescent="0.35">
      <c r="A3867" s="251"/>
      <c r="B3867" s="22"/>
      <c r="C3867" s="252"/>
      <c r="D3867" s="252"/>
      <c r="E3867" s="252"/>
      <c r="F3867" s="252"/>
      <c r="G3867" s="252"/>
      <c r="H3867" s="252"/>
      <c r="I3867" s="252"/>
      <c r="J3867" s="252"/>
      <c r="K3867" s="252"/>
      <c r="L3867"/>
      <c r="M3867"/>
    </row>
    <row r="3868" spans="1:13" s="79" customFormat="1" x14ac:dyDescent="0.35">
      <c r="A3868" s="251"/>
      <c r="B3868" s="22"/>
      <c r="C3868" s="252"/>
      <c r="D3868" s="252"/>
      <c r="E3868" s="252"/>
      <c r="F3868" s="252"/>
      <c r="G3868" s="252"/>
      <c r="H3868" s="252"/>
      <c r="I3868" s="252"/>
      <c r="J3868" s="252"/>
      <c r="K3868" s="252"/>
      <c r="L3868"/>
      <c r="M3868"/>
    </row>
    <row r="3869" spans="1:13" s="79" customFormat="1" x14ac:dyDescent="0.35">
      <c r="A3869" s="251"/>
      <c r="B3869" s="22"/>
      <c r="C3869" s="252"/>
      <c r="D3869" s="252"/>
      <c r="E3869" s="252"/>
      <c r="F3869" s="252"/>
      <c r="G3869" s="252"/>
      <c r="H3869" s="252"/>
      <c r="I3869" s="252"/>
      <c r="J3869" s="252"/>
      <c r="K3869" s="252"/>
      <c r="L3869"/>
      <c r="M3869"/>
    </row>
    <row r="3870" spans="1:13" s="79" customFormat="1" x14ac:dyDescent="0.35">
      <c r="A3870" s="251"/>
      <c r="B3870" s="22"/>
      <c r="C3870" s="252"/>
      <c r="D3870" s="252"/>
      <c r="E3870" s="252"/>
      <c r="F3870" s="252"/>
      <c r="G3870" s="252"/>
      <c r="H3870" s="252"/>
      <c r="I3870" s="252"/>
      <c r="J3870" s="252"/>
      <c r="K3870" s="252"/>
      <c r="L3870"/>
      <c r="M3870"/>
    </row>
    <row r="3871" spans="1:13" s="79" customFormat="1" x14ac:dyDescent="0.35">
      <c r="A3871" s="251"/>
      <c r="B3871" s="22"/>
      <c r="C3871" s="252"/>
      <c r="D3871" s="252"/>
      <c r="E3871" s="252"/>
      <c r="F3871" s="252"/>
      <c r="G3871" s="252"/>
      <c r="H3871" s="252"/>
      <c r="I3871" s="252"/>
      <c r="J3871" s="252"/>
      <c r="K3871" s="252"/>
      <c r="L3871"/>
      <c r="M3871"/>
    </row>
    <row r="3872" spans="1:13" s="79" customFormat="1" x14ac:dyDescent="0.35">
      <c r="A3872" s="251"/>
      <c r="B3872" s="22"/>
      <c r="C3872" s="252"/>
      <c r="D3872" s="252"/>
      <c r="E3872" s="252"/>
      <c r="F3872" s="252"/>
      <c r="G3872" s="252"/>
      <c r="H3872" s="252"/>
      <c r="I3872" s="252"/>
      <c r="J3872" s="252"/>
      <c r="K3872" s="252"/>
      <c r="L3872"/>
      <c r="M3872"/>
    </row>
    <row r="3873" spans="1:13" s="79" customFormat="1" x14ac:dyDescent="0.35">
      <c r="A3873" s="251"/>
      <c r="B3873" s="22"/>
      <c r="C3873" s="252"/>
      <c r="D3873" s="252"/>
      <c r="E3873" s="252"/>
      <c r="F3873" s="252"/>
      <c r="G3873" s="252"/>
      <c r="H3873" s="252"/>
      <c r="I3873" s="252"/>
      <c r="J3873" s="252"/>
      <c r="K3873" s="252"/>
      <c r="L3873"/>
      <c r="M3873"/>
    </row>
    <row r="3874" spans="1:13" s="79" customFormat="1" x14ac:dyDescent="0.35">
      <c r="A3874" s="251"/>
      <c r="B3874" s="22"/>
      <c r="C3874" s="252"/>
      <c r="D3874" s="252"/>
      <c r="E3874" s="252"/>
      <c r="F3874" s="252"/>
      <c r="G3874" s="252"/>
      <c r="H3874" s="252"/>
      <c r="I3874" s="252"/>
      <c r="J3874" s="252"/>
      <c r="K3874" s="252"/>
      <c r="L3874"/>
      <c r="M3874"/>
    </row>
    <row r="3875" spans="1:13" s="79" customFormat="1" x14ac:dyDescent="0.35">
      <c r="A3875" s="251"/>
      <c r="B3875" s="22"/>
      <c r="C3875" s="252"/>
      <c r="D3875" s="252"/>
      <c r="E3875" s="252"/>
      <c r="F3875" s="252"/>
      <c r="G3875" s="252"/>
      <c r="H3875" s="252"/>
      <c r="I3875" s="252"/>
      <c r="J3875" s="252"/>
      <c r="K3875" s="252"/>
      <c r="L3875"/>
      <c r="M3875"/>
    </row>
    <row r="3876" spans="1:13" s="79" customFormat="1" x14ac:dyDescent="0.35">
      <c r="A3876" s="251"/>
      <c r="B3876" s="22"/>
      <c r="C3876" s="252"/>
      <c r="D3876" s="252"/>
      <c r="E3876" s="252"/>
      <c r="F3876" s="252"/>
      <c r="G3876" s="252"/>
      <c r="H3876" s="252"/>
      <c r="I3876" s="252"/>
      <c r="J3876" s="252"/>
      <c r="K3876" s="252"/>
      <c r="L3876"/>
      <c r="M3876"/>
    </row>
    <row r="3877" spans="1:13" s="79" customFormat="1" x14ac:dyDescent="0.35">
      <c r="A3877" s="251"/>
      <c r="B3877" s="22"/>
      <c r="C3877" s="252"/>
      <c r="D3877" s="252"/>
      <c r="E3877" s="252"/>
      <c r="F3877" s="252"/>
      <c r="G3877" s="252"/>
      <c r="H3877" s="252"/>
      <c r="I3877" s="252"/>
      <c r="J3877" s="252"/>
      <c r="K3877" s="252"/>
      <c r="L3877"/>
      <c r="M3877"/>
    </row>
    <row r="3878" spans="1:13" s="79" customFormat="1" x14ac:dyDescent="0.35">
      <c r="A3878" s="251"/>
      <c r="B3878" s="22"/>
      <c r="C3878" s="252"/>
      <c r="D3878" s="252"/>
      <c r="E3878" s="252"/>
      <c r="F3878" s="252"/>
      <c r="G3878" s="252"/>
      <c r="H3878" s="252"/>
      <c r="I3878" s="252"/>
      <c r="J3878" s="252"/>
      <c r="K3878" s="252"/>
      <c r="L3878"/>
      <c r="M3878"/>
    </row>
    <row r="3879" spans="1:13" s="79" customFormat="1" x14ac:dyDescent="0.35">
      <c r="A3879" s="251"/>
      <c r="B3879" s="22"/>
      <c r="C3879" s="252"/>
      <c r="D3879" s="252"/>
      <c r="E3879" s="252"/>
      <c r="F3879" s="252"/>
      <c r="G3879" s="252"/>
      <c r="H3879" s="252"/>
      <c r="I3879" s="252"/>
      <c r="J3879" s="252"/>
      <c r="K3879" s="252"/>
      <c r="L3879"/>
      <c r="M3879"/>
    </row>
    <row r="3880" spans="1:13" s="79" customFormat="1" x14ac:dyDescent="0.35">
      <c r="A3880" s="251"/>
      <c r="B3880" s="22"/>
      <c r="C3880" s="252"/>
      <c r="D3880" s="252"/>
      <c r="E3880" s="252"/>
      <c r="F3880" s="252"/>
      <c r="G3880" s="252"/>
      <c r="H3880" s="252"/>
      <c r="I3880" s="252"/>
      <c r="J3880" s="252"/>
      <c r="K3880" s="252"/>
      <c r="L3880"/>
      <c r="M3880"/>
    </row>
    <row r="3881" spans="1:13" s="79" customFormat="1" x14ac:dyDescent="0.35">
      <c r="A3881" s="251"/>
      <c r="B3881" s="22"/>
      <c r="C3881" s="252"/>
      <c r="D3881" s="252"/>
      <c r="E3881" s="252"/>
      <c r="F3881" s="252"/>
      <c r="G3881" s="252"/>
      <c r="H3881" s="252"/>
      <c r="I3881" s="252"/>
      <c r="J3881" s="252"/>
      <c r="K3881" s="252"/>
      <c r="L3881"/>
      <c r="M3881"/>
    </row>
    <row r="3882" spans="1:13" s="79" customFormat="1" x14ac:dyDescent="0.35">
      <c r="A3882" s="251"/>
      <c r="B3882" s="22"/>
      <c r="C3882" s="252"/>
      <c r="D3882" s="252"/>
      <c r="E3882" s="252"/>
      <c r="F3882" s="252"/>
      <c r="G3882" s="252"/>
      <c r="H3882" s="252"/>
      <c r="I3882" s="252"/>
      <c r="J3882" s="252"/>
      <c r="K3882" s="252"/>
      <c r="L3882"/>
      <c r="M3882"/>
    </row>
    <row r="3883" spans="1:13" s="79" customFormat="1" x14ac:dyDescent="0.35">
      <c r="A3883" s="251"/>
      <c r="B3883" s="22"/>
      <c r="C3883" s="252"/>
      <c r="D3883" s="252"/>
      <c r="E3883" s="252"/>
      <c r="F3883" s="252"/>
      <c r="G3883" s="252"/>
      <c r="H3883" s="252"/>
      <c r="I3883" s="252"/>
      <c r="J3883" s="252"/>
      <c r="K3883" s="252"/>
      <c r="L3883"/>
      <c r="M3883"/>
    </row>
    <row r="3884" spans="1:13" s="79" customFormat="1" x14ac:dyDescent="0.35">
      <c r="A3884" s="251"/>
      <c r="B3884" s="22"/>
      <c r="C3884" s="252"/>
      <c r="D3884" s="252"/>
      <c r="E3884" s="252"/>
      <c r="F3884" s="252"/>
      <c r="G3884" s="252"/>
      <c r="H3884" s="252"/>
      <c r="I3884" s="252"/>
      <c r="J3884" s="252"/>
      <c r="K3884" s="252"/>
      <c r="L3884"/>
      <c r="M3884"/>
    </row>
    <row r="3885" spans="1:13" s="79" customFormat="1" x14ac:dyDescent="0.35">
      <c r="A3885" s="251"/>
      <c r="B3885" s="22"/>
      <c r="C3885" s="252"/>
      <c r="D3885" s="252"/>
      <c r="E3885" s="252"/>
      <c r="F3885" s="252"/>
      <c r="G3885" s="252"/>
      <c r="H3885" s="252"/>
      <c r="I3885" s="252"/>
      <c r="J3885" s="252"/>
      <c r="K3885" s="252"/>
      <c r="L3885"/>
      <c r="M3885"/>
    </row>
    <row r="3886" spans="1:13" s="79" customFormat="1" x14ac:dyDescent="0.35">
      <c r="A3886" s="251"/>
      <c r="B3886" s="22"/>
      <c r="C3886" s="252"/>
      <c r="D3886" s="252"/>
      <c r="E3886" s="252"/>
      <c r="F3886" s="252"/>
      <c r="G3886" s="252"/>
      <c r="H3886" s="252"/>
      <c r="I3886" s="252"/>
      <c r="J3886" s="252"/>
      <c r="K3886" s="252"/>
      <c r="L3886"/>
      <c r="M3886"/>
    </row>
    <row r="3887" spans="1:13" s="79" customFormat="1" x14ac:dyDescent="0.35">
      <c r="A3887" s="251"/>
      <c r="B3887" s="22"/>
      <c r="C3887" s="252"/>
      <c r="D3887" s="252"/>
      <c r="E3887" s="252"/>
      <c r="F3887" s="252"/>
      <c r="G3887" s="252"/>
      <c r="H3887" s="252"/>
      <c r="I3887" s="252"/>
      <c r="J3887" s="252"/>
      <c r="K3887" s="252"/>
      <c r="L3887"/>
      <c r="M3887"/>
    </row>
    <row r="3888" spans="1:13" s="79" customFormat="1" x14ac:dyDescent="0.35">
      <c r="A3888" s="251"/>
      <c r="B3888" s="22"/>
      <c r="C3888" s="252"/>
      <c r="D3888" s="252"/>
      <c r="E3888" s="252"/>
      <c r="F3888" s="252"/>
      <c r="G3888" s="252"/>
      <c r="H3888" s="252"/>
      <c r="I3888" s="252"/>
      <c r="J3888" s="252"/>
      <c r="K3888" s="252"/>
      <c r="L3888"/>
      <c r="M3888"/>
    </row>
    <row r="3889" spans="1:13" s="79" customFormat="1" x14ac:dyDescent="0.35">
      <c r="A3889" s="251"/>
      <c r="B3889" s="22"/>
      <c r="C3889" s="252"/>
      <c r="D3889" s="252"/>
      <c r="E3889" s="252"/>
      <c r="F3889" s="252"/>
      <c r="G3889" s="252"/>
      <c r="H3889" s="252"/>
      <c r="I3889" s="252"/>
      <c r="J3889" s="252"/>
      <c r="K3889" s="252"/>
      <c r="L3889"/>
      <c r="M3889"/>
    </row>
    <row r="3890" spans="1:13" s="79" customFormat="1" x14ac:dyDescent="0.35">
      <c r="A3890" s="251"/>
      <c r="B3890" s="22"/>
      <c r="C3890" s="252"/>
      <c r="D3890" s="252"/>
      <c r="E3890" s="252"/>
      <c r="F3890" s="252"/>
      <c r="G3890" s="252"/>
      <c r="H3890" s="252"/>
      <c r="I3890" s="252"/>
      <c r="J3890" s="252"/>
      <c r="K3890" s="252"/>
      <c r="L3890"/>
      <c r="M3890"/>
    </row>
    <row r="3891" spans="1:13" s="79" customFormat="1" x14ac:dyDescent="0.35">
      <c r="A3891" s="251"/>
      <c r="B3891" s="22"/>
      <c r="C3891" s="252"/>
      <c r="D3891" s="252"/>
      <c r="E3891" s="252"/>
      <c r="F3891" s="252"/>
      <c r="G3891" s="252"/>
      <c r="H3891" s="252"/>
      <c r="I3891" s="252"/>
      <c r="J3891" s="252"/>
      <c r="K3891" s="252"/>
      <c r="L3891"/>
      <c r="M3891"/>
    </row>
    <row r="3892" spans="1:13" s="79" customFormat="1" x14ac:dyDescent="0.35">
      <c r="A3892" s="251"/>
      <c r="B3892" s="22"/>
      <c r="C3892" s="252"/>
      <c r="D3892" s="252"/>
      <c r="E3892" s="252"/>
      <c r="F3892" s="252"/>
      <c r="G3892" s="252"/>
      <c r="H3892" s="252"/>
      <c r="I3892" s="252"/>
      <c r="J3892" s="252"/>
      <c r="K3892" s="252"/>
      <c r="L3892"/>
      <c r="M3892"/>
    </row>
    <row r="3893" spans="1:13" s="79" customFormat="1" x14ac:dyDescent="0.35">
      <c r="A3893" s="251"/>
      <c r="B3893" s="22"/>
      <c r="C3893" s="252"/>
      <c r="D3893" s="252"/>
      <c r="E3893" s="252"/>
      <c r="F3893" s="252"/>
      <c r="G3893" s="252"/>
      <c r="H3893" s="252"/>
      <c r="I3893" s="252"/>
      <c r="J3893" s="252"/>
      <c r="K3893" s="252"/>
      <c r="L3893"/>
      <c r="M3893"/>
    </row>
    <row r="3894" spans="1:13" s="79" customFormat="1" x14ac:dyDescent="0.35">
      <c r="A3894" s="251"/>
      <c r="B3894" s="22"/>
      <c r="C3894" s="252"/>
      <c r="D3894" s="252"/>
      <c r="E3894" s="252"/>
      <c r="F3894" s="252"/>
      <c r="G3894" s="252"/>
      <c r="H3894" s="252"/>
      <c r="I3894" s="252"/>
      <c r="J3894" s="252"/>
      <c r="K3894" s="252"/>
      <c r="L3894"/>
      <c r="M3894"/>
    </row>
    <row r="3895" spans="1:13" s="79" customFormat="1" x14ac:dyDescent="0.35">
      <c r="A3895" s="251"/>
      <c r="B3895" s="22"/>
      <c r="C3895" s="252"/>
      <c r="D3895" s="252"/>
      <c r="E3895" s="252"/>
      <c r="F3895" s="252"/>
      <c r="G3895" s="252"/>
      <c r="H3895" s="252"/>
      <c r="I3895" s="252"/>
      <c r="J3895" s="252"/>
      <c r="K3895" s="252"/>
      <c r="L3895"/>
      <c r="M3895"/>
    </row>
    <row r="3896" spans="1:13" s="79" customFormat="1" x14ac:dyDescent="0.35">
      <c r="A3896" s="251"/>
      <c r="B3896" s="22"/>
      <c r="C3896" s="252"/>
      <c r="D3896" s="252"/>
      <c r="E3896" s="252"/>
      <c r="F3896" s="252"/>
      <c r="G3896" s="252"/>
      <c r="H3896" s="252"/>
      <c r="I3896" s="252"/>
      <c r="J3896" s="252"/>
      <c r="K3896" s="252"/>
      <c r="L3896"/>
      <c r="M3896"/>
    </row>
    <row r="3897" spans="1:13" s="79" customFormat="1" x14ac:dyDescent="0.35">
      <c r="A3897" s="251"/>
      <c r="B3897" s="22"/>
      <c r="C3897" s="252"/>
      <c r="D3897" s="252"/>
      <c r="E3897" s="252"/>
      <c r="F3897" s="252"/>
      <c r="G3897" s="252"/>
      <c r="H3897" s="252"/>
      <c r="I3897" s="252"/>
      <c r="J3897" s="252"/>
      <c r="K3897" s="252"/>
      <c r="L3897"/>
      <c r="M3897"/>
    </row>
    <row r="3898" spans="1:13" s="79" customFormat="1" x14ac:dyDescent="0.35">
      <c r="A3898" s="251"/>
      <c r="B3898" s="22"/>
      <c r="C3898" s="252"/>
      <c r="D3898" s="252"/>
      <c r="E3898" s="252"/>
      <c r="F3898" s="252"/>
      <c r="G3898" s="252"/>
      <c r="H3898" s="252"/>
      <c r="I3898" s="252"/>
      <c r="J3898" s="252"/>
      <c r="K3898" s="252"/>
      <c r="L3898"/>
      <c r="M3898"/>
    </row>
    <row r="3899" spans="1:13" s="79" customFormat="1" x14ac:dyDescent="0.35">
      <c r="A3899" s="251"/>
      <c r="B3899" s="22"/>
      <c r="C3899" s="252"/>
      <c r="D3899" s="252"/>
      <c r="E3899" s="252"/>
      <c r="F3899" s="252"/>
      <c r="G3899" s="252"/>
      <c r="H3899" s="252"/>
      <c r="I3899" s="252"/>
      <c r="J3899" s="252"/>
      <c r="K3899" s="252"/>
      <c r="L3899"/>
      <c r="M3899"/>
    </row>
    <row r="3900" spans="1:13" s="79" customFormat="1" x14ac:dyDescent="0.35">
      <c r="A3900" s="251"/>
      <c r="B3900" s="22"/>
      <c r="C3900" s="252"/>
      <c r="D3900" s="252"/>
      <c r="E3900" s="252"/>
      <c r="F3900" s="252"/>
      <c r="G3900" s="252"/>
      <c r="H3900" s="252"/>
      <c r="I3900" s="252"/>
      <c r="J3900" s="252"/>
      <c r="K3900" s="252"/>
      <c r="L3900"/>
      <c r="M3900"/>
    </row>
    <row r="3901" spans="1:13" s="79" customFormat="1" x14ac:dyDescent="0.35">
      <c r="A3901" s="251"/>
      <c r="B3901" s="22"/>
      <c r="C3901" s="252"/>
      <c r="D3901" s="252"/>
      <c r="E3901" s="252"/>
      <c r="F3901" s="252"/>
      <c r="G3901" s="252"/>
      <c r="H3901" s="252"/>
      <c r="I3901" s="252"/>
      <c r="J3901" s="252"/>
      <c r="K3901" s="252"/>
      <c r="L3901"/>
      <c r="M3901"/>
    </row>
    <row r="3902" spans="1:13" s="79" customFormat="1" x14ac:dyDescent="0.35">
      <c r="A3902" s="251"/>
      <c r="B3902" s="22"/>
      <c r="C3902" s="252"/>
      <c r="D3902" s="252"/>
      <c r="E3902" s="252"/>
      <c r="F3902" s="252"/>
      <c r="G3902" s="252"/>
      <c r="H3902" s="252"/>
      <c r="I3902" s="252"/>
      <c r="J3902" s="252"/>
      <c r="K3902" s="252"/>
      <c r="L3902"/>
      <c r="M3902"/>
    </row>
    <row r="3903" spans="1:13" s="79" customFormat="1" x14ac:dyDescent="0.35">
      <c r="A3903" s="251"/>
      <c r="B3903" s="22"/>
      <c r="C3903" s="252"/>
      <c r="D3903" s="252"/>
      <c r="E3903" s="252"/>
      <c r="F3903" s="252"/>
      <c r="G3903" s="252"/>
      <c r="H3903" s="252"/>
      <c r="I3903" s="252"/>
      <c r="J3903" s="252"/>
      <c r="K3903" s="252"/>
      <c r="L3903"/>
      <c r="M3903"/>
    </row>
    <row r="3904" spans="1:13" s="79" customFormat="1" x14ac:dyDescent="0.35">
      <c r="A3904" s="251"/>
      <c r="B3904" s="22"/>
      <c r="C3904" s="252"/>
      <c r="D3904" s="252"/>
      <c r="E3904" s="252"/>
      <c r="F3904" s="252"/>
      <c r="G3904" s="252"/>
      <c r="H3904" s="252"/>
      <c r="I3904" s="252"/>
      <c r="J3904" s="252"/>
      <c r="K3904" s="252"/>
      <c r="L3904"/>
      <c r="M3904"/>
    </row>
    <row r="3905" spans="1:13" s="79" customFormat="1" x14ac:dyDescent="0.35">
      <c r="A3905" s="251"/>
      <c r="B3905" s="22"/>
      <c r="C3905" s="252"/>
      <c r="D3905" s="252"/>
      <c r="E3905" s="252"/>
      <c r="F3905" s="252"/>
      <c r="G3905" s="252"/>
      <c r="H3905" s="252"/>
      <c r="I3905" s="252"/>
      <c r="J3905" s="252"/>
      <c r="K3905" s="252"/>
      <c r="L3905"/>
      <c r="M3905"/>
    </row>
    <row r="3906" spans="1:13" s="79" customFormat="1" x14ac:dyDescent="0.35">
      <c r="A3906" s="251"/>
      <c r="B3906" s="22"/>
      <c r="C3906" s="252"/>
      <c r="D3906" s="252"/>
      <c r="E3906" s="252"/>
      <c r="F3906" s="252"/>
      <c r="G3906" s="252"/>
      <c r="H3906" s="252"/>
      <c r="I3906" s="252"/>
      <c r="J3906" s="252"/>
      <c r="K3906" s="252"/>
      <c r="L3906"/>
      <c r="M3906"/>
    </row>
    <row r="3907" spans="1:13" s="79" customFormat="1" x14ac:dyDescent="0.35">
      <c r="A3907" s="251"/>
      <c r="B3907" s="22"/>
      <c r="C3907" s="252"/>
      <c r="D3907" s="252"/>
      <c r="E3907" s="252"/>
      <c r="F3907" s="252"/>
      <c r="G3907" s="252"/>
      <c r="H3907" s="252"/>
      <c r="I3907" s="252"/>
      <c r="J3907" s="252"/>
      <c r="K3907" s="252"/>
      <c r="L3907"/>
      <c r="M3907"/>
    </row>
    <row r="3908" spans="1:13" s="79" customFormat="1" x14ac:dyDescent="0.35">
      <c r="A3908" s="251"/>
      <c r="B3908" s="22"/>
      <c r="C3908" s="252"/>
      <c r="D3908" s="252"/>
      <c r="E3908" s="252"/>
      <c r="F3908" s="252"/>
      <c r="G3908" s="252"/>
      <c r="H3908" s="252"/>
      <c r="I3908" s="252"/>
      <c r="J3908" s="252"/>
      <c r="K3908" s="252"/>
      <c r="L3908"/>
      <c r="M3908"/>
    </row>
    <row r="3909" spans="1:13" s="79" customFormat="1" x14ac:dyDescent="0.35">
      <c r="A3909" s="251"/>
      <c r="B3909" s="22"/>
      <c r="C3909" s="252"/>
      <c r="D3909" s="252"/>
      <c r="E3909" s="252"/>
      <c r="F3909" s="252"/>
      <c r="G3909" s="252"/>
      <c r="H3909" s="252"/>
      <c r="I3909" s="252"/>
      <c r="J3909" s="252"/>
      <c r="K3909" s="252"/>
      <c r="L3909"/>
      <c r="M3909"/>
    </row>
    <row r="3910" spans="1:13" s="79" customFormat="1" x14ac:dyDescent="0.35">
      <c r="A3910" s="251"/>
      <c r="B3910" s="22"/>
      <c r="C3910" s="252"/>
      <c r="D3910" s="252"/>
      <c r="E3910" s="252"/>
      <c r="F3910" s="252"/>
      <c r="G3910" s="252"/>
      <c r="H3910" s="252"/>
      <c r="I3910" s="252"/>
      <c r="J3910" s="252"/>
      <c r="K3910" s="252"/>
      <c r="L3910"/>
      <c r="M3910"/>
    </row>
    <row r="3911" spans="1:13" s="79" customFormat="1" x14ac:dyDescent="0.35">
      <c r="A3911" s="251"/>
      <c r="B3911" s="22"/>
      <c r="C3911" s="252"/>
      <c r="D3911" s="252"/>
      <c r="E3911" s="252"/>
      <c r="F3911" s="252"/>
      <c r="G3911" s="252"/>
      <c r="H3911" s="252"/>
      <c r="I3911" s="252"/>
      <c r="J3911" s="252"/>
      <c r="K3911" s="252"/>
      <c r="L3911"/>
      <c r="M3911"/>
    </row>
    <row r="3912" spans="1:13" s="79" customFormat="1" x14ac:dyDescent="0.35">
      <c r="A3912" s="251"/>
      <c r="B3912" s="22"/>
      <c r="C3912" s="252"/>
      <c r="D3912" s="252"/>
      <c r="E3912" s="252"/>
      <c r="F3912" s="252"/>
      <c r="G3912" s="252"/>
      <c r="H3912" s="252"/>
      <c r="I3912" s="252"/>
      <c r="J3912" s="252"/>
      <c r="K3912" s="252"/>
      <c r="L3912"/>
      <c r="M3912"/>
    </row>
    <row r="3913" spans="1:13" s="79" customFormat="1" x14ac:dyDescent="0.35">
      <c r="A3913" s="251"/>
      <c r="B3913" s="22"/>
      <c r="C3913" s="252"/>
      <c r="D3913" s="252"/>
      <c r="E3913" s="252"/>
      <c r="F3913" s="252"/>
      <c r="G3913" s="252"/>
      <c r="H3913" s="252"/>
      <c r="I3913" s="252"/>
      <c r="J3913" s="252"/>
      <c r="K3913" s="252"/>
      <c r="L3913"/>
      <c r="M3913"/>
    </row>
    <row r="3914" spans="1:13" s="79" customFormat="1" x14ac:dyDescent="0.35">
      <c r="A3914" s="251"/>
      <c r="B3914" s="22"/>
      <c r="C3914" s="252"/>
      <c r="D3914" s="252"/>
      <c r="E3914" s="252"/>
      <c r="F3914" s="252"/>
      <c r="G3914" s="252"/>
      <c r="H3914" s="252"/>
      <c r="I3914" s="252"/>
      <c r="J3914" s="252"/>
      <c r="K3914" s="252"/>
      <c r="L3914"/>
      <c r="M3914"/>
    </row>
    <row r="3915" spans="1:13" s="79" customFormat="1" x14ac:dyDescent="0.35">
      <c r="A3915" s="251"/>
      <c r="B3915" s="22"/>
      <c r="C3915" s="252"/>
      <c r="D3915" s="252"/>
      <c r="E3915" s="252"/>
      <c r="F3915" s="252"/>
      <c r="G3915" s="252"/>
      <c r="H3915" s="252"/>
      <c r="I3915" s="252"/>
      <c r="J3915" s="252"/>
      <c r="K3915" s="252"/>
      <c r="L3915"/>
      <c r="M3915"/>
    </row>
    <row r="3916" spans="1:13" s="79" customFormat="1" x14ac:dyDescent="0.35">
      <c r="A3916" s="251"/>
      <c r="B3916" s="22"/>
      <c r="C3916" s="252"/>
      <c r="D3916" s="252"/>
      <c r="E3916" s="252"/>
      <c r="F3916" s="252"/>
      <c r="G3916" s="252"/>
      <c r="H3916" s="252"/>
      <c r="I3916" s="252"/>
      <c r="J3916" s="252"/>
      <c r="K3916" s="252"/>
      <c r="L3916"/>
      <c r="M3916"/>
    </row>
    <row r="3917" spans="1:13" s="79" customFormat="1" x14ac:dyDescent="0.35">
      <c r="A3917" s="251"/>
      <c r="B3917" s="22"/>
      <c r="C3917" s="252"/>
      <c r="D3917" s="252"/>
      <c r="E3917" s="252"/>
      <c r="F3917" s="252"/>
      <c r="G3917" s="252"/>
      <c r="H3917" s="252"/>
      <c r="I3917" s="252"/>
      <c r="J3917" s="252"/>
      <c r="K3917" s="252"/>
      <c r="L3917"/>
      <c r="M3917"/>
    </row>
    <row r="3918" spans="1:13" s="79" customFormat="1" x14ac:dyDescent="0.35">
      <c r="A3918" s="251"/>
      <c r="B3918" s="22"/>
      <c r="C3918" s="252"/>
      <c r="D3918" s="252"/>
      <c r="E3918" s="252"/>
      <c r="F3918" s="252"/>
      <c r="G3918" s="252"/>
      <c r="H3918" s="252"/>
      <c r="I3918" s="252"/>
      <c r="J3918" s="252"/>
      <c r="K3918" s="252"/>
      <c r="L3918"/>
      <c r="M3918"/>
    </row>
    <row r="3919" spans="1:13" s="79" customFormat="1" x14ac:dyDescent="0.35">
      <c r="A3919" s="251"/>
      <c r="B3919" s="22"/>
      <c r="C3919" s="252"/>
      <c r="D3919" s="252"/>
      <c r="E3919" s="252"/>
      <c r="F3919" s="252"/>
      <c r="G3919" s="252"/>
      <c r="H3919" s="252"/>
      <c r="I3919" s="252"/>
      <c r="J3919" s="252"/>
      <c r="K3919" s="252"/>
      <c r="L3919"/>
      <c r="M3919"/>
    </row>
    <row r="3920" spans="1:13" s="79" customFormat="1" x14ac:dyDescent="0.35">
      <c r="A3920" s="251"/>
      <c r="B3920" s="22"/>
      <c r="C3920" s="252"/>
      <c r="D3920" s="252"/>
      <c r="E3920" s="252"/>
      <c r="F3920" s="252"/>
      <c r="G3920" s="252"/>
      <c r="H3920" s="252"/>
      <c r="I3920" s="252"/>
      <c r="J3920" s="252"/>
      <c r="K3920" s="252"/>
      <c r="L3920"/>
      <c r="M3920"/>
    </row>
    <row r="3921" spans="1:13" s="79" customFormat="1" x14ac:dyDescent="0.35">
      <c r="A3921" s="251"/>
      <c r="B3921" s="22"/>
      <c r="C3921" s="252"/>
      <c r="D3921" s="252"/>
      <c r="E3921" s="252"/>
      <c r="F3921" s="252"/>
      <c r="G3921" s="252"/>
      <c r="H3921" s="252"/>
      <c r="I3921" s="252"/>
      <c r="J3921" s="252"/>
      <c r="K3921" s="252"/>
      <c r="L3921"/>
      <c r="M3921"/>
    </row>
    <row r="3922" spans="1:13" s="79" customFormat="1" x14ac:dyDescent="0.35">
      <c r="A3922" s="251"/>
      <c r="B3922" s="22"/>
      <c r="C3922" s="252"/>
      <c r="D3922" s="252"/>
      <c r="E3922" s="252"/>
      <c r="F3922" s="252"/>
      <c r="G3922" s="252"/>
      <c r="H3922" s="252"/>
      <c r="I3922" s="252"/>
      <c r="J3922" s="252"/>
      <c r="K3922" s="252"/>
      <c r="L3922"/>
      <c r="M3922"/>
    </row>
    <row r="3923" spans="1:13" s="79" customFormat="1" x14ac:dyDescent="0.35">
      <c r="A3923" s="251"/>
      <c r="B3923" s="22"/>
      <c r="C3923" s="252"/>
      <c r="D3923" s="252"/>
      <c r="E3923" s="252"/>
      <c r="F3923" s="252"/>
      <c r="G3923" s="252"/>
      <c r="H3923" s="252"/>
      <c r="I3923" s="252"/>
      <c r="J3923" s="252"/>
      <c r="K3923" s="252"/>
      <c r="L3923"/>
      <c r="M3923"/>
    </row>
    <row r="3924" spans="1:13" s="79" customFormat="1" x14ac:dyDescent="0.35">
      <c r="A3924" s="251"/>
      <c r="B3924" s="22"/>
      <c r="C3924" s="252"/>
      <c r="D3924" s="252"/>
      <c r="E3924" s="252"/>
      <c r="F3924" s="252"/>
      <c r="G3924" s="252"/>
      <c r="H3924" s="252"/>
      <c r="I3924" s="252"/>
      <c r="J3924" s="252"/>
      <c r="K3924" s="252"/>
      <c r="L3924"/>
      <c r="M3924"/>
    </row>
    <row r="3925" spans="1:13" s="79" customFormat="1" x14ac:dyDescent="0.35">
      <c r="A3925" s="251"/>
      <c r="B3925" s="22"/>
      <c r="C3925" s="252"/>
      <c r="D3925" s="252"/>
      <c r="E3925" s="252"/>
      <c r="F3925" s="252"/>
      <c r="G3925" s="252"/>
      <c r="H3925" s="252"/>
      <c r="I3925" s="252"/>
      <c r="J3925" s="252"/>
      <c r="K3925" s="252"/>
      <c r="L3925"/>
      <c r="M3925"/>
    </row>
    <row r="3926" spans="1:13" s="79" customFormat="1" x14ac:dyDescent="0.35">
      <c r="A3926" s="251"/>
      <c r="B3926" s="22"/>
      <c r="C3926" s="252"/>
      <c r="D3926" s="252"/>
      <c r="E3926" s="252"/>
      <c r="F3926" s="252"/>
      <c r="G3926" s="252"/>
      <c r="H3926" s="252"/>
      <c r="I3926" s="252"/>
      <c r="J3926" s="252"/>
      <c r="K3926" s="252"/>
      <c r="L3926"/>
      <c r="M3926"/>
    </row>
    <row r="3927" spans="1:13" s="79" customFormat="1" x14ac:dyDescent="0.35">
      <c r="A3927" s="251"/>
      <c r="B3927" s="22"/>
      <c r="C3927" s="252"/>
      <c r="D3927" s="252"/>
      <c r="E3927" s="252"/>
      <c r="F3927" s="252"/>
      <c r="G3927" s="252"/>
      <c r="H3927" s="252"/>
      <c r="I3927" s="252"/>
      <c r="J3927" s="252"/>
      <c r="K3927" s="252"/>
      <c r="L3927"/>
      <c r="M3927"/>
    </row>
    <row r="3928" spans="1:13" s="79" customFormat="1" x14ac:dyDescent="0.35">
      <c r="A3928" s="251"/>
      <c r="B3928" s="22"/>
      <c r="C3928" s="252"/>
      <c r="D3928" s="252"/>
      <c r="E3928" s="252"/>
      <c r="F3928" s="252"/>
      <c r="G3928" s="252"/>
      <c r="H3928" s="252"/>
      <c r="I3928" s="252"/>
      <c r="J3928" s="252"/>
      <c r="K3928" s="252"/>
      <c r="L3928"/>
      <c r="M3928"/>
    </row>
    <row r="3929" spans="1:13" s="79" customFormat="1" x14ac:dyDescent="0.35">
      <c r="A3929" s="251"/>
      <c r="B3929" s="22"/>
      <c r="C3929" s="252"/>
      <c r="D3929" s="252"/>
      <c r="E3929" s="252"/>
      <c r="F3929" s="252"/>
      <c r="G3929" s="252"/>
      <c r="H3929" s="252"/>
      <c r="I3929" s="252"/>
      <c r="J3929" s="252"/>
      <c r="K3929" s="252"/>
      <c r="L3929"/>
      <c r="M3929"/>
    </row>
    <row r="3930" spans="1:13" s="79" customFormat="1" x14ac:dyDescent="0.35">
      <c r="A3930" s="251"/>
      <c r="B3930" s="22"/>
      <c r="C3930" s="252"/>
      <c r="D3930" s="252"/>
      <c r="E3930" s="252"/>
      <c r="F3930" s="252"/>
      <c r="G3930" s="252"/>
      <c r="H3930" s="252"/>
      <c r="I3930" s="252"/>
      <c r="J3930" s="252"/>
      <c r="K3930" s="252"/>
      <c r="L3930"/>
      <c r="M3930"/>
    </row>
    <row r="3931" spans="1:13" s="79" customFormat="1" x14ac:dyDescent="0.35">
      <c r="A3931" s="251"/>
      <c r="B3931" s="22"/>
      <c r="C3931" s="252"/>
      <c r="D3931" s="252"/>
      <c r="E3931" s="252"/>
      <c r="F3931" s="252"/>
      <c r="G3931" s="252"/>
      <c r="H3931" s="252"/>
      <c r="I3931" s="252"/>
      <c r="J3931" s="252"/>
      <c r="K3931" s="252"/>
      <c r="L3931"/>
      <c r="M3931"/>
    </row>
    <row r="3932" spans="1:13" s="79" customFormat="1" x14ac:dyDescent="0.35">
      <c r="A3932" s="251"/>
      <c r="B3932" s="22"/>
      <c r="C3932" s="252"/>
      <c r="D3932" s="252"/>
      <c r="E3932" s="252"/>
      <c r="F3932" s="252"/>
      <c r="G3932" s="252"/>
      <c r="H3932" s="252"/>
      <c r="I3932" s="252"/>
      <c r="J3932" s="252"/>
      <c r="K3932" s="252"/>
      <c r="L3932"/>
      <c r="M3932"/>
    </row>
    <row r="3933" spans="1:13" s="79" customFormat="1" x14ac:dyDescent="0.35">
      <c r="A3933" s="251"/>
      <c r="B3933" s="22"/>
      <c r="C3933" s="252"/>
      <c r="D3933" s="252"/>
      <c r="E3933" s="252"/>
      <c r="F3933" s="252"/>
      <c r="G3933" s="252"/>
      <c r="H3933" s="252"/>
      <c r="I3933" s="252"/>
      <c r="J3933" s="252"/>
      <c r="K3933" s="252"/>
      <c r="L3933"/>
      <c r="M3933"/>
    </row>
    <row r="3934" spans="1:13" s="79" customFormat="1" x14ac:dyDescent="0.35">
      <c r="A3934" s="251"/>
      <c r="B3934" s="22"/>
      <c r="C3934" s="252"/>
      <c r="D3934" s="252"/>
      <c r="E3934" s="252"/>
      <c r="F3934" s="252"/>
      <c r="G3934" s="252"/>
      <c r="H3934" s="252"/>
      <c r="I3934" s="252"/>
      <c r="J3934" s="252"/>
      <c r="K3934" s="252"/>
      <c r="L3934"/>
      <c r="M3934"/>
    </row>
    <row r="3935" spans="1:13" s="79" customFormat="1" x14ac:dyDescent="0.35">
      <c r="A3935" s="251"/>
      <c r="B3935" s="22"/>
      <c r="C3935" s="252"/>
      <c r="D3935" s="252"/>
      <c r="E3935" s="252"/>
      <c r="F3935" s="252"/>
      <c r="G3935" s="252"/>
      <c r="H3935" s="252"/>
      <c r="I3935" s="252"/>
      <c r="J3935" s="252"/>
      <c r="K3935" s="252"/>
      <c r="L3935"/>
      <c r="M3935"/>
    </row>
    <row r="3936" spans="1:13" s="79" customFormat="1" x14ac:dyDescent="0.35">
      <c r="A3936" s="251"/>
      <c r="B3936" s="22"/>
      <c r="C3936" s="252"/>
      <c r="D3936" s="252"/>
      <c r="E3936" s="252"/>
      <c r="F3936" s="252"/>
      <c r="G3936" s="252"/>
      <c r="H3936" s="252"/>
      <c r="I3936" s="252"/>
      <c r="J3936" s="252"/>
      <c r="K3936" s="252"/>
      <c r="L3936"/>
      <c r="M3936"/>
    </row>
    <row r="3937" spans="1:13" s="79" customFormat="1" x14ac:dyDescent="0.35">
      <c r="A3937" s="251"/>
      <c r="B3937" s="22"/>
      <c r="C3937" s="252"/>
      <c r="D3937" s="252"/>
      <c r="E3937" s="252"/>
      <c r="F3937" s="252"/>
      <c r="G3937" s="252"/>
      <c r="H3937" s="252"/>
      <c r="I3937" s="252"/>
      <c r="J3937" s="252"/>
      <c r="K3937" s="252"/>
      <c r="L3937"/>
      <c r="M3937"/>
    </row>
    <row r="3938" spans="1:13" s="79" customFormat="1" x14ac:dyDescent="0.35">
      <c r="A3938" s="251"/>
      <c r="B3938" s="22"/>
      <c r="C3938" s="252"/>
      <c r="D3938" s="252"/>
      <c r="E3938" s="252"/>
      <c r="F3938" s="252"/>
      <c r="G3938" s="252"/>
      <c r="H3938" s="252"/>
      <c r="I3938" s="252"/>
      <c r="J3938" s="252"/>
      <c r="K3938" s="252"/>
      <c r="L3938"/>
      <c r="M3938"/>
    </row>
    <row r="3939" spans="1:13" s="79" customFormat="1" x14ac:dyDescent="0.35">
      <c r="A3939" s="251"/>
      <c r="B3939" s="22"/>
      <c r="C3939" s="252"/>
      <c r="D3939" s="252"/>
      <c r="E3939" s="252"/>
      <c r="F3939" s="252"/>
      <c r="G3939" s="252"/>
      <c r="H3939" s="252"/>
      <c r="I3939" s="252"/>
      <c r="J3939" s="252"/>
      <c r="K3939" s="252"/>
      <c r="L3939"/>
      <c r="M3939"/>
    </row>
    <row r="3940" spans="1:13" s="79" customFormat="1" x14ac:dyDescent="0.35">
      <c r="A3940" s="251"/>
      <c r="B3940" s="22"/>
      <c r="C3940" s="252"/>
      <c r="D3940" s="252"/>
      <c r="E3940" s="252"/>
      <c r="F3940" s="252"/>
      <c r="G3940" s="252"/>
      <c r="H3940" s="252"/>
      <c r="I3940" s="252"/>
      <c r="J3940" s="252"/>
      <c r="K3940" s="252"/>
      <c r="L3940"/>
      <c r="M3940"/>
    </row>
    <row r="3941" spans="1:13" s="79" customFormat="1" x14ac:dyDescent="0.35">
      <c r="A3941" s="251"/>
      <c r="B3941" s="22"/>
      <c r="C3941" s="252"/>
      <c r="D3941" s="252"/>
      <c r="E3941" s="252"/>
      <c r="F3941" s="252"/>
      <c r="G3941" s="252"/>
      <c r="H3941" s="252"/>
      <c r="I3941" s="252"/>
      <c r="J3941" s="252"/>
      <c r="K3941" s="252"/>
      <c r="L3941"/>
      <c r="M3941"/>
    </row>
    <row r="3942" spans="1:13" s="79" customFormat="1" x14ac:dyDescent="0.35">
      <c r="A3942" s="251"/>
      <c r="B3942" s="22"/>
      <c r="C3942" s="252"/>
      <c r="D3942" s="252"/>
      <c r="E3942" s="252"/>
      <c r="F3942" s="252"/>
      <c r="G3942" s="252"/>
      <c r="H3942" s="252"/>
      <c r="I3942" s="252"/>
      <c r="J3942" s="252"/>
      <c r="K3942" s="252"/>
      <c r="L3942"/>
      <c r="M3942"/>
    </row>
    <row r="3943" spans="1:13" s="79" customFormat="1" x14ac:dyDescent="0.35">
      <c r="A3943" s="251"/>
      <c r="B3943" s="22"/>
      <c r="C3943" s="252"/>
      <c r="D3943" s="252"/>
      <c r="E3943" s="252"/>
      <c r="F3943" s="252"/>
      <c r="G3943" s="252"/>
      <c r="H3943" s="252"/>
      <c r="I3943" s="252"/>
      <c r="J3943" s="252"/>
      <c r="K3943" s="252"/>
      <c r="L3943"/>
      <c r="M3943"/>
    </row>
    <row r="3944" spans="1:13" s="79" customFormat="1" x14ac:dyDescent="0.35">
      <c r="A3944" s="251"/>
      <c r="B3944" s="22"/>
      <c r="C3944" s="252"/>
      <c r="D3944" s="252"/>
      <c r="E3944" s="252"/>
      <c r="F3944" s="252"/>
      <c r="G3944" s="252"/>
      <c r="H3944" s="252"/>
      <c r="I3944" s="252"/>
      <c r="J3944" s="252"/>
      <c r="K3944" s="252"/>
      <c r="L3944"/>
      <c r="M3944"/>
    </row>
    <row r="3945" spans="1:13" s="79" customFormat="1" x14ac:dyDescent="0.35">
      <c r="A3945" s="251"/>
      <c r="B3945" s="22"/>
      <c r="C3945" s="252"/>
      <c r="D3945" s="252"/>
      <c r="E3945" s="252"/>
      <c r="F3945" s="252"/>
      <c r="G3945" s="252"/>
      <c r="H3945" s="252"/>
      <c r="I3945" s="252"/>
      <c r="J3945" s="252"/>
      <c r="K3945" s="252"/>
      <c r="L3945"/>
      <c r="M3945"/>
    </row>
    <row r="3946" spans="1:13" s="79" customFormat="1" x14ac:dyDescent="0.35">
      <c r="A3946" s="251"/>
      <c r="B3946" s="22"/>
      <c r="C3946" s="252"/>
      <c r="D3946" s="252"/>
      <c r="E3946" s="252"/>
      <c r="F3946" s="252"/>
      <c r="G3946" s="252"/>
      <c r="H3946" s="252"/>
      <c r="I3946" s="252"/>
      <c r="J3946" s="252"/>
      <c r="K3946" s="252"/>
      <c r="L3946"/>
      <c r="M3946"/>
    </row>
    <row r="3947" spans="1:13" s="79" customFormat="1" x14ac:dyDescent="0.35">
      <c r="A3947" s="251"/>
      <c r="B3947" s="22"/>
      <c r="C3947" s="252"/>
      <c r="D3947" s="252"/>
      <c r="E3947" s="252"/>
      <c r="F3947" s="252"/>
      <c r="G3947" s="252"/>
      <c r="H3947" s="252"/>
      <c r="I3947" s="252"/>
      <c r="J3947" s="252"/>
      <c r="K3947" s="252"/>
      <c r="L3947"/>
      <c r="M3947"/>
    </row>
    <row r="3948" spans="1:13" s="79" customFormat="1" x14ac:dyDescent="0.35">
      <c r="A3948" s="251"/>
      <c r="B3948" s="22"/>
      <c r="C3948" s="252"/>
      <c r="D3948" s="252"/>
      <c r="E3948" s="252"/>
      <c r="F3948" s="252"/>
      <c r="G3948" s="252"/>
      <c r="H3948" s="252"/>
      <c r="I3948" s="252"/>
      <c r="J3948" s="252"/>
      <c r="K3948" s="252"/>
      <c r="L3948"/>
      <c r="M3948"/>
    </row>
    <row r="3949" spans="1:13" s="79" customFormat="1" x14ac:dyDescent="0.35">
      <c r="A3949" s="251"/>
      <c r="B3949" s="22"/>
      <c r="C3949" s="252"/>
      <c r="D3949" s="252"/>
      <c r="E3949" s="252"/>
      <c r="F3949" s="252"/>
      <c r="G3949" s="252"/>
      <c r="H3949" s="252"/>
      <c r="I3949" s="252"/>
      <c r="J3949" s="252"/>
      <c r="K3949" s="252"/>
      <c r="L3949"/>
      <c r="M3949"/>
    </row>
    <row r="3950" spans="1:13" s="79" customFormat="1" x14ac:dyDescent="0.35">
      <c r="A3950" s="251"/>
      <c r="B3950" s="22"/>
      <c r="C3950" s="252"/>
      <c r="D3950" s="252"/>
      <c r="E3950" s="252"/>
      <c r="F3950" s="252"/>
      <c r="G3950" s="252"/>
      <c r="H3950" s="252"/>
      <c r="I3950" s="252"/>
      <c r="J3950" s="252"/>
      <c r="K3950" s="252"/>
      <c r="L3950"/>
      <c r="M3950"/>
    </row>
    <row r="3951" spans="1:13" s="79" customFormat="1" x14ac:dyDescent="0.35">
      <c r="A3951" s="251"/>
      <c r="B3951" s="22"/>
      <c r="C3951" s="252"/>
      <c r="D3951" s="252"/>
      <c r="E3951" s="252"/>
      <c r="F3951" s="252"/>
      <c r="G3951" s="252"/>
      <c r="H3951" s="252"/>
      <c r="I3951" s="252"/>
      <c r="J3951" s="252"/>
      <c r="K3951" s="252"/>
      <c r="L3951"/>
      <c r="M3951"/>
    </row>
    <row r="3952" spans="1:13" s="79" customFormat="1" x14ac:dyDescent="0.35">
      <c r="A3952" s="251"/>
      <c r="B3952" s="22"/>
      <c r="C3952" s="252"/>
      <c r="D3952" s="252"/>
      <c r="E3952" s="252"/>
      <c r="F3952" s="252"/>
      <c r="G3952" s="252"/>
      <c r="H3952" s="252"/>
      <c r="I3952" s="252"/>
      <c r="J3952" s="252"/>
      <c r="K3952" s="252"/>
      <c r="L3952"/>
      <c r="M3952"/>
    </row>
    <row r="3953" spans="1:13" s="79" customFormat="1" x14ac:dyDescent="0.35">
      <c r="A3953" s="251"/>
      <c r="B3953" s="22"/>
      <c r="C3953" s="252"/>
      <c r="D3953" s="252"/>
      <c r="E3953" s="252"/>
      <c r="F3953" s="252"/>
      <c r="G3953" s="252"/>
      <c r="H3953" s="252"/>
      <c r="I3953" s="252"/>
      <c r="J3953" s="252"/>
      <c r="K3953" s="252"/>
      <c r="L3953"/>
      <c r="M3953"/>
    </row>
    <row r="3954" spans="1:13" s="79" customFormat="1" x14ac:dyDescent="0.35">
      <c r="A3954" s="251"/>
      <c r="B3954" s="22"/>
      <c r="C3954" s="252"/>
      <c r="D3954" s="252"/>
      <c r="E3954" s="252"/>
      <c r="F3954" s="252"/>
      <c r="G3954" s="252"/>
      <c r="H3954" s="252"/>
      <c r="I3954" s="252"/>
      <c r="J3954" s="252"/>
      <c r="K3954" s="252"/>
      <c r="L3954"/>
      <c r="M3954"/>
    </row>
    <row r="3955" spans="1:13" s="79" customFormat="1" x14ac:dyDescent="0.35">
      <c r="A3955" s="251"/>
      <c r="B3955" s="22"/>
      <c r="C3955" s="252"/>
      <c r="D3955" s="252"/>
      <c r="E3955" s="252"/>
      <c r="F3955" s="252"/>
      <c r="G3955" s="252"/>
      <c r="H3955" s="252"/>
      <c r="I3955" s="252"/>
      <c r="J3955" s="252"/>
      <c r="K3955" s="252"/>
      <c r="L3955"/>
      <c r="M3955"/>
    </row>
    <row r="3956" spans="1:13" s="79" customFormat="1" x14ac:dyDescent="0.35">
      <c r="A3956" s="251"/>
      <c r="B3956" s="22"/>
      <c r="C3956" s="252"/>
      <c r="D3956" s="252"/>
      <c r="E3956" s="252"/>
      <c r="F3956" s="252"/>
      <c r="G3956" s="252"/>
      <c r="H3956" s="252"/>
      <c r="I3956" s="252"/>
      <c r="J3956" s="252"/>
      <c r="K3956" s="252"/>
      <c r="L3956"/>
      <c r="M3956"/>
    </row>
    <row r="3957" spans="1:13" s="79" customFormat="1" x14ac:dyDescent="0.35">
      <c r="A3957" s="251"/>
      <c r="B3957" s="22"/>
      <c r="C3957" s="252"/>
      <c r="D3957" s="252"/>
      <c r="E3957" s="252"/>
      <c r="F3957" s="252"/>
      <c r="G3957" s="252"/>
      <c r="H3957" s="252"/>
      <c r="I3957" s="252"/>
      <c r="J3957" s="252"/>
      <c r="K3957" s="252"/>
      <c r="L3957"/>
      <c r="M3957"/>
    </row>
    <row r="3958" spans="1:13" s="79" customFormat="1" x14ac:dyDescent="0.35">
      <c r="A3958" s="251"/>
      <c r="B3958" s="22"/>
      <c r="C3958" s="252"/>
      <c r="D3958" s="252"/>
      <c r="E3958" s="252"/>
      <c r="F3958" s="252"/>
      <c r="G3958" s="252"/>
      <c r="H3958" s="252"/>
      <c r="I3958" s="252"/>
      <c r="J3958" s="252"/>
      <c r="K3958" s="252"/>
      <c r="L3958"/>
      <c r="M3958"/>
    </row>
    <row r="3959" spans="1:13" s="79" customFormat="1" x14ac:dyDescent="0.35">
      <c r="A3959" s="251"/>
      <c r="B3959" s="22"/>
      <c r="C3959" s="252"/>
      <c r="D3959" s="252"/>
      <c r="E3959" s="252"/>
      <c r="F3959" s="252"/>
      <c r="G3959" s="252"/>
      <c r="H3959" s="252"/>
      <c r="I3959" s="252"/>
      <c r="J3959" s="252"/>
      <c r="K3959" s="252"/>
      <c r="L3959"/>
      <c r="M3959"/>
    </row>
    <row r="3960" spans="1:13" s="79" customFormat="1" x14ac:dyDescent="0.35">
      <c r="A3960" s="251"/>
      <c r="B3960" s="22"/>
      <c r="C3960" s="252"/>
      <c r="D3960" s="252"/>
      <c r="E3960" s="252"/>
      <c r="F3960" s="252"/>
      <c r="G3960" s="252"/>
      <c r="H3960" s="252"/>
      <c r="I3960" s="252"/>
      <c r="J3960" s="252"/>
      <c r="K3960" s="252"/>
      <c r="L3960"/>
      <c r="M3960"/>
    </row>
    <row r="3961" spans="1:13" s="79" customFormat="1" x14ac:dyDescent="0.35">
      <c r="A3961" s="251"/>
      <c r="B3961" s="22"/>
      <c r="C3961" s="252"/>
      <c r="D3961" s="252"/>
      <c r="E3961" s="252"/>
      <c r="F3961" s="252"/>
      <c r="G3961" s="252"/>
      <c r="H3961" s="252"/>
      <c r="I3961" s="252"/>
      <c r="J3961" s="252"/>
      <c r="K3961" s="252"/>
      <c r="L3961"/>
      <c r="M3961"/>
    </row>
    <row r="3962" spans="1:13" s="79" customFormat="1" x14ac:dyDescent="0.35">
      <c r="A3962" s="251"/>
      <c r="B3962" s="22"/>
      <c r="C3962" s="252"/>
      <c r="D3962" s="252"/>
      <c r="E3962" s="252"/>
      <c r="F3962" s="252"/>
      <c r="G3962" s="252"/>
      <c r="H3962" s="252"/>
      <c r="I3962" s="252"/>
      <c r="J3962" s="252"/>
      <c r="K3962" s="252"/>
      <c r="L3962"/>
      <c r="M3962"/>
    </row>
    <row r="3963" spans="1:13" s="79" customFormat="1" x14ac:dyDescent="0.35">
      <c r="A3963" s="251"/>
      <c r="B3963" s="22"/>
      <c r="C3963" s="252"/>
      <c r="D3963" s="252"/>
      <c r="E3963" s="252"/>
      <c r="F3963" s="252"/>
      <c r="G3963" s="252"/>
      <c r="H3963" s="252"/>
      <c r="I3963" s="252"/>
      <c r="J3963" s="252"/>
      <c r="K3963" s="252"/>
      <c r="L3963"/>
      <c r="M3963"/>
    </row>
    <row r="3964" spans="1:13" s="79" customFormat="1" x14ac:dyDescent="0.35">
      <c r="A3964" s="251"/>
      <c r="B3964" s="22"/>
      <c r="C3964" s="252"/>
      <c r="D3964" s="252"/>
      <c r="E3964" s="252"/>
      <c r="F3964" s="252"/>
      <c r="G3964" s="252"/>
      <c r="H3964" s="252"/>
      <c r="I3964" s="252"/>
      <c r="J3964" s="252"/>
      <c r="K3964" s="252"/>
      <c r="L3964"/>
      <c r="M3964"/>
    </row>
    <row r="3965" spans="1:13" s="79" customFormat="1" x14ac:dyDescent="0.35">
      <c r="A3965" s="251"/>
      <c r="B3965" s="22"/>
      <c r="C3965" s="252"/>
      <c r="D3965" s="252"/>
      <c r="E3965" s="252"/>
      <c r="F3965" s="252"/>
      <c r="G3965" s="252"/>
      <c r="H3965" s="252"/>
      <c r="I3965" s="252"/>
      <c r="J3965" s="252"/>
      <c r="K3965" s="252"/>
      <c r="L3965"/>
      <c r="M3965"/>
    </row>
    <row r="3966" spans="1:13" s="79" customFormat="1" x14ac:dyDescent="0.35">
      <c r="A3966" s="251"/>
      <c r="B3966" s="22"/>
      <c r="C3966" s="252"/>
      <c r="D3966" s="252"/>
      <c r="E3966" s="252"/>
      <c r="F3966" s="252"/>
      <c r="G3966" s="252"/>
      <c r="H3966" s="252"/>
      <c r="I3966" s="252"/>
      <c r="J3966" s="252"/>
      <c r="K3966" s="252"/>
      <c r="L3966"/>
      <c r="M3966"/>
    </row>
    <row r="3967" spans="1:13" s="79" customFormat="1" x14ac:dyDescent="0.35">
      <c r="A3967" s="251"/>
      <c r="B3967" s="22"/>
      <c r="C3967" s="252"/>
      <c r="D3967" s="252"/>
      <c r="E3967" s="252"/>
      <c r="F3967" s="252"/>
      <c r="G3967" s="252"/>
      <c r="H3967" s="252"/>
      <c r="I3967" s="252"/>
      <c r="J3967" s="252"/>
      <c r="K3967" s="252"/>
      <c r="L3967"/>
      <c r="M3967"/>
    </row>
    <row r="3968" spans="1:13" s="79" customFormat="1" x14ac:dyDescent="0.35">
      <c r="A3968" s="251"/>
      <c r="B3968" s="22"/>
      <c r="C3968" s="252"/>
      <c r="D3968" s="252"/>
      <c r="E3968" s="252"/>
      <c r="F3968" s="252"/>
      <c r="G3968" s="252"/>
      <c r="H3968" s="252"/>
      <c r="I3968" s="252"/>
      <c r="J3968" s="252"/>
      <c r="K3968" s="252"/>
      <c r="L3968"/>
      <c r="M3968"/>
    </row>
    <row r="3969" spans="1:13" s="79" customFormat="1" x14ac:dyDescent="0.35">
      <c r="A3969" s="251"/>
      <c r="B3969" s="22"/>
      <c r="C3969" s="252"/>
      <c r="D3969" s="252"/>
      <c r="E3969" s="252"/>
      <c r="F3969" s="252"/>
      <c r="G3969" s="252"/>
      <c r="H3969" s="252"/>
      <c r="I3969" s="252"/>
      <c r="J3969" s="252"/>
      <c r="K3969" s="252"/>
      <c r="L3969"/>
      <c r="M3969"/>
    </row>
    <row r="3970" spans="1:13" s="79" customFormat="1" x14ac:dyDescent="0.35">
      <c r="A3970" s="251"/>
      <c r="B3970" s="22"/>
      <c r="C3970" s="252"/>
      <c r="D3970" s="252"/>
      <c r="E3970" s="252"/>
      <c r="F3970" s="252"/>
      <c r="G3970" s="252"/>
      <c r="H3970" s="252"/>
      <c r="I3970" s="252"/>
      <c r="J3970" s="252"/>
      <c r="K3970" s="252"/>
      <c r="L3970"/>
      <c r="M3970"/>
    </row>
    <row r="3971" spans="1:13" s="79" customFormat="1" x14ac:dyDescent="0.35">
      <c r="A3971" s="251"/>
      <c r="B3971" s="22"/>
      <c r="C3971" s="252"/>
      <c r="D3971" s="252"/>
      <c r="E3971" s="252"/>
      <c r="F3971" s="252"/>
      <c r="G3971" s="252"/>
      <c r="H3971" s="252"/>
      <c r="I3971" s="252"/>
      <c r="J3971" s="252"/>
      <c r="K3971" s="252"/>
      <c r="L3971"/>
      <c r="M3971"/>
    </row>
    <row r="3972" spans="1:13" s="79" customFormat="1" x14ac:dyDescent="0.35">
      <c r="A3972" s="251"/>
      <c r="B3972" s="22"/>
      <c r="C3972" s="252"/>
      <c r="D3972" s="252"/>
      <c r="E3972" s="252"/>
      <c r="F3972" s="252"/>
      <c r="G3972" s="252"/>
      <c r="H3972" s="252"/>
      <c r="I3972" s="252"/>
      <c r="J3972" s="252"/>
      <c r="K3972" s="252"/>
      <c r="L3972"/>
      <c r="M3972"/>
    </row>
    <row r="3973" spans="1:13" s="79" customFormat="1" x14ac:dyDescent="0.35">
      <c r="A3973" s="251"/>
      <c r="B3973" s="22"/>
      <c r="C3973" s="252"/>
      <c r="D3973" s="252"/>
      <c r="E3973" s="252"/>
      <c r="F3973" s="252"/>
      <c r="G3973" s="252"/>
      <c r="H3973" s="252"/>
      <c r="I3973" s="252"/>
      <c r="J3973" s="252"/>
      <c r="K3973" s="252"/>
      <c r="L3973"/>
      <c r="M3973"/>
    </row>
    <row r="3974" spans="1:13" s="79" customFormat="1" x14ac:dyDescent="0.35">
      <c r="A3974" s="251"/>
      <c r="B3974" s="22"/>
      <c r="C3974" s="252"/>
      <c r="D3974" s="252"/>
      <c r="E3974" s="252"/>
      <c r="F3974" s="252"/>
      <c r="G3974" s="252"/>
      <c r="H3974" s="252"/>
      <c r="I3974" s="252"/>
      <c r="J3974" s="252"/>
      <c r="K3974" s="252"/>
      <c r="L3974"/>
      <c r="M3974"/>
    </row>
    <row r="3975" spans="1:13" s="79" customFormat="1" x14ac:dyDescent="0.35">
      <c r="A3975" s="251"/>
      <c r="B3975" s="22"/>
      <c r="C3975" s="252"/>
      <c r="D3975" s="252"/>
      <c r="E3975" s="252"/>
      <c r="F3975" s="252"/>
      <c r="G3975" s="252"/>
      <c r="H3975" s="252"/>
      <c r="I3975" s="252"/>
      <c r="J3975" s="252"/>
      <c r="K3975" s="252"/>
      <c r="L3975"/>
      <c r="M3975"/>
    </row>
    <row r="3976" spans="1:13" s="79" customFormat="1" x14ac:dyDescent="0.35">
      <c r="A3976" s="251"/>
      <c r="B3976" s="22"/>
      <c r="C3976" s="252"/>
      <c r="D3976" s="252"/>
      <c r="E3976" s="252"/>
      <c r="F3976" s="252"/>
      <c r="G3976" s="252"/>
      <c r="H3976" s="252"/>
      <c r="I3976" s="252"/>
      <c r="J3976" s="252"/>
      <c r="K3976" s="252"/>
      <c r="L3976"/>
      <c r="M3976"/>
    </row>
    <row r="3977" spans="1:13" s="79" customFormat="1" x14ac:dyDescent="0.35">
      <c r="A3977" s="251"/>
      <c r="B3977" s="22"/>
      <c r="C3977" s="252"/>
      <c r="D3977" s="252"/>
      <c r="E3977" s="252"/>
      <c r="F3977" s="252"/>
      <c r="G3977" s="252"/>
      <c r="H3977" s="252"/>
      <c r="I3977" s="252"/>
      <c r="J3977" s="252"/>
      <c r="K3977" s="252"/>
      <c r="L3977"/>
      <c r="M3977"/>
    </row>
    <row r="3978" spans="1:13" s="79" customFormat="1" x14ac:dyDescent="0.35">
      <c r="A3978" s="251"/>
      <c r="B3978" s="22"/>
      <c r="C3978" s="252"/>
      <c r="D3978" s="252"/>
      <c r="E3978" s="252"/>
      <c r="F3978" s="252"/>
      <c r="G3978" s="252"/>
      <c r="H3978" s="252"/>
      <c r="I3978" s="252"/>
      <c r="J3978" s="252"/>
      <c r="K3978" s="252"/>
      <c r="L3978"/>
      <c r="M3978"/>
    </row>
    <row r="3979" spans="1:13" s="79" customFormat="1" x14ac:dyDescent="0.35">
      <c r="A3979" s="251"/>
      <c r="B3979" s="22"/>
      <c r="C3979" s="252"/>
      <c r="D3979" s="252"/>
      <c r="E3979" s="252"/>
      <c r="F3979" s="252"/>
      <c r="G3979" s="252"/>
      <c r="H3979" s="252"/>
      <c r="I3979" s="252"/>
      <c r="J3979" s="252"/>
      <c r="K3979" s="252"/>
      <c r="L3979"/>
      <c r="M3979"/>
    </row>
    <row r="3980" spans="1:13" s="79" customFormat="1" x14ac:dyDescent="0.35">
      <c r="A3980" s="251"/>
      <c r="B3980" s="22"/>
      <c r="C3980" s="252"/>
      <c r="D3980" s="252"/>
      <c r="E3980" s="252"/>
      <c r="F3980" s="252"/>
      <c r="G3980" s="252"/>
      <c r="H3980" s="252"/>
      <c r="I3980" s="252"/>
      <c r="J3980" s="252"/>
      <c r="K3980" s="252"/>
      <c r="L3980"/>
      <c r="M3980"/>
    </row>
    <row r="3981" spans="1:13" s="79" customFormat="1" x14ac:dyDescent="0.35">
      <c r="A3981" s="251"/>
      <c r="B3981" s="22"/>
      <c r="C3981" s="252"/>
      <c r="D3981" s="252"/>
      <c r="E3981" s="252"/>
      <c r="F3981" s="252"/>
      <c r="G3981" s="252"/>
      <c r="H3981" s="252"/>
      <c r="I3981" s="252"/>
      <c r="J3981" s="252"/>
      <c r="K3981" s="252"/>
      <c r="L3981"/>
      <c r="M3981"/>
    </row>
    <row r="3982" spans="1:13" s="79" customFormat="1" x14ac:dyDescent="0.35">
      <c r="A3982" s="251"/>
      <c r="B3982" s="22"/>
      <c r="C3982" s="252"/>
      <c r="D3982" s="252"/>
      <c r="E3982" s="252"/>
      <c r="F3982" s="252"/>
      <c r="G3982" s="252"/>
      <c r="H3982" s="252"/>
      <c r="I3982" s="252"/>
      <c r="J3982" s="252"/>
      <c r="K3982" s="252"/>
      <c r="L3982"/>
      <c r="M3982"/>
    </row>
    <row r="3983" spans="1:13" s="79" customFormat="1" x14ac:dyDescent="0.35">
      <c r="A3983" s="251"/>
      <c r="B3983" s="22"/>
      <c r="C3983" s="252"/>
      <c r="D3983" s="252"/>
      <c r="E3983" s="252"/>
      <c r="F3983" s="252"/>
      <c r="G3983" s="252"/>
      <c r="H3983" s="252"/>
      <c r="I3983" s="252"/>
      <c r="J3983" s="252"/>
      <c r="K3983" s="252"/>
      <c r="L3983"/>
      <c r="M3983"/>
    </row>
    <row r="3984" spans="1:13" s="79" customFormat="1" x14ac:dyDescent="0.35">
      <c r="A3984" s="251"/>
      <c r="B3984" s="22"/>
      <c r="C3984" s="252"/>
      <c r="D3984" s="252"/>
      <c r="E3984" s="252"/>
      <c r="F3984" s="252"/>
      <c r="G3984" s="252"/>
      <c r="H3984" s="252"/>
      <c r="I3984" s="252"/>
      <c r="J3984" s="252"/>
      <c r="K3984" s="252"/>
      <c r="L3984"/>
      <c r="M3984"/>
    </row>
    <row r="3985" spans="1:13" s="79" customFormat="1" x14ac:dyDescent="0.35">
      <c r="A3985" s="251"/>
      <c r="B3985" s="22"/>
      <c r="C3985" s="252"/>
      <c r="D3985" s="252"/>
      <c r="E3985" s="252"/>
      <c r="F3985" s="252"/>
      <c r="G3985" s="252"/>
      <c r="H3985" s="252"/>
      <c r="I3985" s="252"/>
      <c r="J3985" s="252"/>
      <c r="K3985" s="252"/>
      <c r="L3985"/>
      <c r="M3985"/>
    </row>
    <row r="3986" spans="1:13" s="79" customFormat="1" x14ac:dyDescent="0.35">
      <c r="A3986" s="251"/>
      <c r="B3986" s="22"/>
      <c r="C3986" s="252"/>
      <c r="D3986" s="252"/>
      <c r="E3986" s="252"/>
      <c r="F3986" s="252"/>
      <c r="G3986" s="252"/>
      <c r="H3986" s="252"/>
      <c r="I3986" s="252"/>
      <c r="J3986" s="252"/>
      <c r="K3986" s="252"/>
      <c r="L3986"/>
      <c r="M3986"/>
    </row>
    <row r="3987" spans="1:13" s="79" customFormat="1" x14ac:dyDescent="0.35">
      <c r="A3987" s="251"/>
      <c r="B3987" s="22"/>
      <c r="C3987" s="252"/>
      <c r="D3987" s="252"/>
      <c r="E3987" s="252"/>
      <c r="F3987" s="252"/>
      <c r="G3987" s="252"/>
      <c r="H3987" s="252"/>
      <c r="I3987" s="252"/>
      <c r="J3987" s="252"/>
      <c r="K3987" s="252"/>
      <c r="L3987"/>
      <c r="M3987"/>
    </row>
    <row r="3988" spans="1:13" s="79" customFormat="1" x14ac:dyDescent="0.35">
      <c r="A3988" s="251"/>
      <c r="B3988" s="22"/>
      <c r="C3988" s="252"/>
      <c r="D3988" s="252"/>
      <c r="E3988" s="252"/>
      <c r="F3988" s="252"/>
      <c r="G3988" s="252"/>
      <c r="H3988" s="252"/>
      <c r="I3988" s="252"/>
      <c r="J3988" s="252"/>
      <c r="K3988" s="252"/>
      <c r="L3988"/>
      <c r="M3988"/>
    </row>
    <row r="3989" spans="1:13" s="79" customFormat="1" x14ac:dyDescent="0.35">
      <c r="A3989" s="251"/>
      <c r="B3989" s="22"/>
      <c r="C3989" s="252"/>
      <c r="D3989" s="252"/>
      <c r="E3989" s="252"/>
      <c r="F3989" s="252"/>
      <c r="G3989" s="252"/>
      <c r="H3989" s="252"/>
      <c r="I3989" s="252"/>
      <c r="J3989" s="252"/>
      <c r="K3989" s="252"/>
      <c r="L3989"/>
      <c r="M3989"/>
    </row>
    <row r="3990" spans="1:13" s="79" customFormat="1" x14ac:dyDescent="0.35">
      <c r="A3990" s="251"/>
      <c r="B3990" s="22"/>
      <c r="C3990" s="252"/>
      <c r="D3990" s="252"/>
      <c r="E3990" s="252"/>
      <c r="F3990" s="252"/>
      <c r="G3990" s="252"/>
      <c r="H3990" s="252"/>
      <c r="I3990" s="252"/>
      <c r="J3990" s="252"/>
      <c r="K3990" s="252"/>
      <c r="L3990"/>
      <c r="M3990"/>
    </row>
    <row r="3991" spans="1:13" s="79" customFormat="1" x14ac:dyDescent="0.35">
      <c r="A3991" s="251"/>
      <c r="B3991" s="22"/>
      <c r="C3991" s="252"/>
      <c r="D3991" s="252"/>
      <c r="E3991" s="252"/>
      <c r="F3991" s="252"/>
      <c r="G3991" s="252"/>
      <c r="H3991" s="252"/>
      <c r="I3991" s="252"/>
      <c r="J3991" s="252"/>
      <c r="K3991" s="252"/>
      <c r="L3991"/>
      <c r="M3991"/>
    </row>
    <row r="3992" spans="1:13" s="79" customFormat="1" x14ac:dyDescent="0.35">
      <c r="A3992" s="251"/>
      <c r="B3992" s="22"/>
      <c r="C3992" s="252"/>
      <c r="D3992" s="252"/>
      <c r="E3992" s="252"/>
      <c r="F3992" s="252"/>
      <c r="G3992" s="252"/>
      <c r="H3992" s="252"/>
      <c r="I3992" s="252"/>
      <c r="J3992" s="252"/>
      <c r="K3992" s="252"/>
      <c r="L3992"/>
      <c r="M3992"/>
    </row>
    <row r="3993" spans="1:13" s="79" customFormat="1" x14ac:dyDescent="0.35">
      <c r="A3993" s="251"/>
      <c r="B3993" s="22"/>
      <c r="C3993" s="252"/>
      <c r="D3993" s="252"/>
      <c r="E3993" s="252"/>
      <c r="F3993" s="252"/>
      <c r="G3993" s="252"/>
      <c r="H3993" s="252"/>
      <c r="I3993" s="252"/>
      <c r="J3993" s="252"/>
      <c r="K3993" s="252"/>
      <c r="L3993"/>
      <c r="M3993"/>
    </row>
    <row r="3994" spans="1:13" s="79" customFormat="1" x14ac:dyDescent="0.35">
      <c r="A3994" s="251"/>
      <c r="B3994" s="22"/>
      <c r="C3994" s="252"/>
      <c r="D3994" s="252"/>
      <c r="E3994" s="252"/>
      <c r="F3994" s="252"/>
      <c r="G3994" s="252"/>
      <c r="H3994" s="252"/>
      <c r="I3994" s="252"/>
      <c r="J3994" s="252"/>
      <c r="K3994" s="252"/>
      <c r="L3994"/>
      <c r="M3994"/>
    </row>
    <row r="3995" spans="1:13" s="79" customFormat="1" x14ac:dyDescent="0.35">
      <c r="A3995" s="251"/>
      <c r="B3995" s="22"/>
      <c r="C3995" s="252"/>
      <c r="D3995" s="252"/>
      <c r="E3995" s="252"/>
      <c r="F3995" s="252"/>
      <c r="G3995" s="252"/>
      <c r="H3995" s="252"/>
      <c r="I3995" s="252"/>
      <c r="J3995" s="252"/>
      <c r="K3995" s="252"/>
      <c r="L3995"/>
      <c r="M3995"/>
    </row>
    <row r="3996" spans="1:13" s="79" customFormat="1" x14ac:dyDescent="0.35">
      <c r="A3996" s="251"/>
      <c r="B3996" s="22"/>
      <c r="C3996" s="252"/>
      <c r="D3996" s="252"/>
      <c r="E3996" s="252"/>
      <c r="F3996" s="252"/>
      <c r="G3996" s="252"/>
      <c r="H3996" s="252"/>
      <c r="I3996" s="252"/>
      <c r="J3996" s="252"/>
      <c r="K3996" s="252"/>
      <c r="L3996"/>
      <c r="M3996"/>
    </row>
    <row r="3997" spans="1:13" s="79" customFormat="1" x14ac:dyDescent="0.35">
      <c r="A3997" s="251"/>
      <c r="B3997" s="22"/>
      <c r="C3997" s="252"/>
      <c r="D3997" s="252"/>
      <c r="E3997" s="252"/>
      <c r="F3997" s="252"/>
      <c r="G3997" s="252"/>
      <c r="H3997" s="252"/>
      <c r="I3997" s="252"/>
      <c r="J3997" s="252"/>
      <c r="K3997" s="252"/>
      <c r="L3997"/>
      <c r="M3997"/>
    </row>
    <row r="3998" spans="1:13" s="79" customFormat="1" x14ac:dyDescent="0.35">
      <c r="A3998" s="251"/>
      <c r="B3998" s="22"/>
      <c r="C3998" s="252"/>
      <c r="D3998" s="252"/>
      <c r="E3998" s="252"/>
      <c r="F3998" s="252"/>
      <c r="G3998" s="252"/>
      <c r="H3998" s="252"/>
      <c r="I3998" s="252"/>
      <c r="J3998" s="252"/>
      <c r="K3998" s="252"/>
      <c r="L3998"/>
      <c r="M3998"/>
    </row>
    <row r="3999" spans="1:13" s="79" customFormat="1" x14ac:dyDescent="0.35">
      <c r="A3999" s="251"/>
      <c r="B3999" s="22"/>
      <c r="C3999" s="252"/>
      <c r="D3999" s="252"/>
      <c r="E3999" s="252"/>
      <c r="F3999" s="252"/>
      <c r="G3999" s="252"/>
      <c r="H3999" s="252"/>
      <c r="I3999" s="252"/>
      <c r="J3999" s="252"/>
      <c r="K3999" s="252"/>
      <c r="L3999"/>
      <c r="M3999"/>
    </row>
    <row r="4000" spans="1:13" s="79" customFormat="1" x14ac:dyDescent="0.35">
      <c r="A4000" s="251"/>
      <c r="B4000" s="22"/>
      <c r="C4000" s="252"/>
      <c r="D4000" s="252"/>
      <c r="E4000" s="252"/>
      <c r="F4000" s="252"/>
      <c r="G4000" s="252"/>
      <c r="H4000" s="252"/>
      <c r="I4000" s="252"/>
      <c r="J4000" s="252"/>
      <c r="K4000" s="252"/>
      <c r="L4000"/>
      <c r="M4000"/>
    </row>
    <row r="4001" spans="1:13" s="79" customFormat="1" x14ac:dyDescent="0.35">
      <c r="A4001" s="251"/>
      <c r="B4001" s="22"/>
      <c r="C4001" s="252"/>
      <c r="D4001" s="252"/>
      <c r="E4001" s="252"/>
      <c r="F4001" s="252"/>
      <c r="G4001" s="252"/>
      <c r="H4001" s="252"/>
      <c r="I4001" s="252"/>
      <c r="J4001" s="252"/>
      <c r="K4001" s="252"/>
      <c r="L4001"/>
      <c r="M4001"/>
    </row>
    <row r="4002" spans="1:13" s="79" customFormat="1" x14ac:dyDescent="0.35">
      <c r="A4002" s="251"/>
      <c r="B4002" s="22"/>
      <c r="C4002" s="252"/>
      <c r="D4002" s="252"/>
      <c r="E4002" s="252"/>
      <c r="F4002" s="252"/>
      <c r="G4002" s="252"/>
      <c r="H4002" s="252"/>
      <c r="I4002" s="252"/>
      <c r="J4002" s="252"/>
      <c r="K4002" s="252"/>
      <c r="L4002"/>
      <c r="M4002"/>
    </row>
    <row r="4003" spans="1:13" s="79" customFormat="1" x14ac:dyDescent="0.35">
      <c r="A4003" s="251"/>
      <c r="B4003" s="22"/>
      <c r="C4003" s="252"/>
      <c r="D4003" s="252"/>
      <c r="E4003" s="252"/>
      <c r="F4003" s="252"/>
      <c r="G4003" s="252"/>
      <c r="H4003" s="252"/>
      <c r="I4003" s="252"/>
      <c r="J4003" s="252"/>
      <c r="K4003" s="252"/>
      <c r="L4003"/>
      <c r="M4003"/>
    </row>
    <row r="4004" spans="1:13" s="79" customFormat="1" x14ac:dyDescent="0.35">
      <c r="A4004" s="251"/>
      <c r="B4004" s="22"/>
      <c r="C4004" s="252"/>
      <c r="D4004" s="252"/>
      <c r="E4004" s="252"/>
      <c r="F4004" s="252"/>
      <c r="G4004" s="252"/>
      <c r="H4004" s="252"/>
      <c r="I4004" s="252"/>
      <c r="J4004" s="252"/>
      <c r="K4004" s="252"/>
      <c r="L4004"/>
      <c r="M4004"/>
    </row>
    <row r="4005" spans="1:13" s="79" customFormat="1" x14ac:dyDescent="0.35">
      <c r="A4005" s="251"/>
      <c r="B4005" s="22"/>
      <c r="C4005" s="252"/>
      <c r="D4005" s="252"/>
      <c r="E4005" s="252"/>
      <c r="F4005" s="252"/>
      <c r="G4005" s="252"/>
      <c r="H4005" s="252"/>
      <c r="I4005" s="252"/>
      <c r="J4005" s="252"/>
      <c r="K4005" s="252"/>
      <c r="L4005"/>
      <c r="M4005"/>
    </row>
    <row r="4006" spans="1:13" s="79" customFormat="1" x14ac:dyDescent="0.35">
      <c r="A4006" s="251"/>
      <c r="B4006" s="22"/>
      <c r="C4006" s="252"/>
      <c r="D4006" s="252"/>
      <c r="E4006" s="252"/>
      <c r="F4006" s="252"/>
      <c r="G4006" s="252"/>
      <c r="H4006" s="252"/>
      <c r="I4006" s="252"/>
      <c r="J4006" s="252"/>
      <c r="K4006" s="252"/>
      <c r="L4006"/>
      <c r="M4006"/>
    </row>
    <row r="4007" spans="1:13" s="79" customFormat="1" x14ac:dyDescent="0.35">
      <c r="A4007" s="251"/>
      <c r="B4007" s="22"/>
      <c r="C4007" s="252"/>
      <c r="D4007" s="252"/>
      <c r="E4007" s="252"/>
      <c r="F4007" s="252"/>
      <c r="G4007" s="252"/>
      <c r="H4007" s="252"/>
      <c r="I4007" s="252"/>
      <c r="J4007" s="252"/>
      <c r="K4007" s="252"/>
      <c r="L4007"/>
      <c r="M4007"/>
    </row>
    <row r="4008" spans="1:13" s="79" customFormat="1" x14ac:dyDescent="0.35">
      <c r="A4008" s="251"/>
      <c r="B4008" s="22"/>
      <c r="C4008" s="252"/>
      <c r="D4008" s="252"/>
      <c r="E4008" s="252"/>
      <c r="F4008" s="252"/>
      <c r="G4008" s="252"/>
      <c r="H4008" s="252"/>
      <c r="I4008" s="252"/>
      <c r="J4008" s="252"/>
      <c r="K4008" s="252"/>
      <c r="L4008"/>
      <c r="M4008"/>
    </row>
    <row r="4009" spans="1:13" s="79" customFormat="1" x14ac:dyDescent="0.35">
      <c r="A4009" s="251"/>
      <c r="B4009" s="22"/>
      <c r="C4009" s="252"/>
      <c r="D4009" s="252"/>
      <c r="E4009" s="252"/>
      <c r="F4009" s="252"/>
      <c r="G4009" s="252"/>
      <c r="H4009" s="252"/>
      <c r="I4009" s="252"/>
      <c r="J4009" s="252"/>
      <c r="K4009" s="252"/>
      <c r="L4009"/>
      <c r="M4009"/>
    </row>
    <row r="4010" spans="1:13" s="79" customFormat="1" x14ac:dyDescent="0.35">
      <c r="A4010" s="251"/>
      <c r="B4010" s="22"/>
      <c r="C4010" s="252"/>
      <c r="D4010" s="252"/>
      <c r="E4010" s="252"/>
      <c r="F4010" s="252"/>
      <c r="G4010" s="252"/>
      <c r="H4010" s="252"/>
      <c r="I4010" s="252"/>
      <c r="J4010" s="252"/>
      <c r="K4010" s="252"/>
      <c r="L4010"/>
      <c r="M4010"/>
    </row>
    <row r="4011" spans="1:13" s="79" customFormat="1" x14ac:dyDescent="0.35">
      <c r="A4011" s="251"/>
      <c r="B4011" s="22"/>
      <c r="C4011" s="252"/>
      <c r="D4011" s="252"/>
      <c r="E4011" s="252"/>
      <c r="F4011" s="252"/>
      <c r="G4011" s="252"/>
      <c r="H4011" s="252"/>
      <c r="I4011" s="252"/>
      <c r="J4011" s="252"/>
      <c r="K4011" s="252"/>
      <c r="L4011"/>
      <c r="M4011"/>
    </row>
    <row r="4012" spans="1:13" s="79" customFormat="1" x14ac:dyDescent="0.35">
      <c r="A4012" s="251"/>
      <c r="B4012" s="22"/>
      <c r="C4012" s="252"/>
      <c r="D4012" s="252"/>
      <c r="E4012" s="252"/>
      <c r="F4012" s="252"/>
      <c r="G4012" s="252"/>
      <c r="H4012" s="252"/>
      <c r="I4012" s="252"/>
      <c r="J4012" s="252"/>
      <c r="K4012" s="252"/>
      <c r="L4012"/>
      <c r="M4012"/>
    </row>
    <row r="4013" spans="1:13" s="79" customFormat="1" x14ac:dyDescent="0.35">
      <c r="A4013" s="251"/>
      <c r="B4013" s="22"/>
      <c r="C4013" s="252"/>
      <c r="D4013" s="252"/>
      <c r="E4013" s="252"/>
      <c r="F4013" s="252"/>
      <c r="G4013" s="252"/>
      <c r="H4013" s="252"/>
      <c r="I4013" s="252"/>
      <c r="J4013" s="252"/>
      <c r="K4013" s="252"/>
      <c r="L4013"/>
      <c r="M4013"/>
    </row>
    <row r="4014" spans="1:13" s="79" customFormat="1" x14ac:dyDescent="0.35">
      <c r="A4014" s="251"/>
      <c r="B4014" s="22"/>
      <c r="C4014" s="252"/>
      <c r="D4014" s="252"/>
      <c r="E4014" s="252"/>
      <c r="F4014" s="252"/>
      <c r="G4014" s="252"/>
      <c r="H4014" s="252"/>
      <c r="I4014" s="252"/>
      <c r="J4014" s="252"/>
      <c r="K4014" s="252"/>
      <c r="L4014"/>
      <c r="M4014"/>
    </row>
    <row r="4015" spans="1:13" s="79" customFormat="1" x14ac:dyDescent="0.35">
      <c r="A4015" s="251"/>
      <c r="B4015" s="22"/>
      <c r="C4015" s="252"/>
      <c r="D4015" s="252"/>
      <c r="E4015" s="252"/>
      <c r="F4015" s="252"/>
      <c r="G4015" s="252"/>
      <c r="H4015" s="252"/>
      <c r="I4015" s="252"/>
      <c r="J4015" s="252"/>
      <c r="K4015" s="252"/>
      <c r="L4015"/>
      <c r="M4015"/>
    </row>
    <row r="4016" spans="1:13" s="79" customFormat="1" x14ac:dyDescent="0.35">
      <c r="A4016" s="251"/>
      <c r="B4016" s="22"/>
      <c r="C4016" s="252"/>
      <c r="D4016" s="252"/>
      <c r="E4016" s="252"/>
      <c r="F4016" s="252"/>
      <c r="G4016" s="252"/>
      <c r="H4016" s="252"/>
      <c r="I4016" s="252"/>
      <c r="J4016" s="252"/>
      <c r="K4016" s="252"/>
      <c r="L4016"/>
      <c r="M4016"/>
    </row>
    <row r="4017" spans="1:13" s="79" customFormat="1" x14ac:dyDescent="0.35">
      <c r="A4017" s="251"/>
      <c r="B4017" s="22"/>
      <c r="C4017" s="252"/>
      <c r="D4017" s="252"/>
      <c r="E4017" s="252"/>
      <c r="F4017" s="252"/>
      <c r="G4017" s="252"/>
      <c r="H4017" s="252"/>
      <c r="I4017" s="252"/>
      <c r="J4017" s="252"/>
      <c r="K4017" s="252"/>
      <c r="L4017"/>
      <c r="M4017"/>
    </row>
    <row r="4018" spans="1:13" s="79" customFormat="1" x14ac:dyDescent="0.35">
      <c r="A4018" s="251"/>
      <c r="B4018" s="22"/>
      <c r="C4018" s="252"/>
      <c r="D4018" s="252"/>
      <c r="E4018" s="252"/>
      <c r="F4018" s="252"/>
      <c r="G4018" s="252"/>
      <c r="H4018" s="252"/>
      <c r="I4018" s="252"/>
      <c r="J4018" s="252"/>
      <c r="K4018" s="252"/>
      <c r="L4018"/>
      <c r="M4018"/>
    </row>
    <row r="4019" spans="1:13" s="79" customFormat="1" x14ac:dyDescent="0.35">
      <c r="A4019" s="251"/>
      <c r="B4019" s="22"/>
      <c r="C4019" s="252"/>
      <c r="D4019" s="252"/>
      <c r="E4019" s="252"/>
      <c r="F4019" s="252"/>
      <c r="G4019" s="252"/>
      <c r="H4019" s="252"/>
      <c r="I4019" s="252"/>
      <c r="J4019" s="252"/>
      <c r="K4019" s="252"/>
      <c r="L4019"/>
      <c r="M4019"/>
    </row>
    <row r="4020" spans="1:13" s="79" customFormat="1" x14ac:dyDescent="0.35">
      <c r="A4020" s="251"/>
      <c r="B4020" s="22"/>
      <c r="C4020" s="252"/>
      <c r="D4020" s="252"/>
      <c r="E4020" s="252"/>
      <c r="F4020" s="252"/>
      <c r="G4020" s="252"/>
      <c r="H4020" s="252"/>
      <c r="I4020" s="252"/>
      <c r="J4020" s="252"/>
      <c r="K4020" s="252"/>
      <c r="L4020"/>
      <c r="M4020"/>
    </row>
    <row r="4021" spans="1:13" s="79" customFormat="1" x14ac:dyDescent="0.35">
      <c r="A4021" s="251"/>
      <c r="B4021" s="22"/>
      <c r="C4021" s="252"/>
      <c r="D4021" s="252"/>
      <c r="E4021" s="252"/>
      <c r="F4021" s="252"/>
      <c r="G4021" s="252"/>
      <c r="H4021" s="252"/>
      <c r="I4021" s="252"/>
      <c r="J4021" s="252"/>
      <c r="K4021" s="252"/>
      <c r="L4021"/>
      <c r="M4021"/>
    </row>
    <row r="4022" spans="1:13" s="79" customFormat="1" x14ac:dyDescent="0.35">
      <c r="A4022" s="251"/>
      <c r="B4022" s="22"/>
      <c r="C4022" s="252"/>
      <c r="D4022" s="252"/>
      <c r="E4022" s="252"/>
      <c r="F4022" s="252"/>
      <c r="G4022" s="252"/>
      <c r="H4022" s="252"/>
      <c r="I4022" s="252"/>
      <c r="J4022" s="252"/>
      <c r="K4022" s="252"/>
      <c r="L4022"/>
      <c r="M4022"/>
    </row>
    <row r="4023" spans="1:13" s="79" customFormat="1" x14ac:dyDescent="0.35">
      <c r="A4023" s="251"/>
      <c r="B4023" s="22"/>
      <c r="C4023" s="252"/>
      <c r="D4023" s="252"/>
      <c r="E4023" s="252"/>
      <c r="F4023" s="252"/>
      <c r="G4023" s="252"/>
      <c r="H4023" s="252"/>
      <c r="I4023" s="252"/>
      <c r="J4023" s="252"/>
      <c r="K4023" s="252"/>
      <c r="L4023"/>
      <c r="M4023"/>
    </row>
    <row r="4024" spans="1:13" s="79" customFormat="1" x14ac:dyDescent="0.35">
      <c r="A4024" s="251"/>
      <c r="B4024" s="22"/>
      <c r="C4024" s="252"/>
      <c r="D4024" s="252"/>
      <c r="E4024" s="252"/>
      <c r="F4024" s="252"/>
      <c r="G4024" s="252"/>
      <c r="H4024" s="252"/>
      <c r="I4024" s="252"/>
      <c r="J4024" s="252"/>
      <c r="K4024" s="252"/>
      <c r="L4024"/>
      <c r="M4024"/>
    </row>
    <row r="4025" spans="1:13" s="79" customFormat="1" x14ac:dyDescent="0.35">
      <c r="A4025" s="251"/>
      <c r="B4025" s="22"/>
      <c r="C4025" s="252"/>
      <c r="D4025" s="252"/>
      <c r="E4025" s="252"/>
      <c r="F4025" s="252"/>
      <c r="G4025" s="252"/>
      <c r="H4025" s="252"/>
      <c r="I4025" s="252"/>
      <c r="J4025" s="252"/>
      <c r="K4025" s="252"/>
      <c r="L4025"/>
      <c r="M4025"/>
    </row>
    <row r="4026" spans="1:13" s="79" customFormat="1" x14ac:dyDescent="0.35">
      <c r="A4026" s="251"/>
      <c r="B4026" s="22"/>
      <c r="C4026" s="252"/>
      <c r="D4026" s="252"/>
      <c r="E4026" s="252"/>
      <c r="F4026" s="252"/>
      <c r="G4026" s="252"/>
      <c r="H4026" s="252"/>
      <c r="I4026" s="252"/>
      <c r="J4026" s="252"/>
      <c r="K4026" s="252"/>
      <c r="L4026"/>
      <c r="M4026"/>
    </row>
    <row r="4027" spans="1:13" s="79" customFormat="1" x14ac:dyDescent="0.35">
      <c r="A4027" s="251"/>
      <c r="B4027" s="22"/>
      <c r="C4027" s="252"/>
      <c r="D4027" s="252"/>
      <c r="E4027" s="252"/>
      <c r="F4027" s="252"/>
      <c r="G4027" s="252"/>
      <c r="H4027" s="252"/>
      <c r="I4027" s="252"/>
      <c r="J4027" s="252"/>
      <c r="K4027" s="252"/>
      <c r="L4027"/>
      <c r="M4027"/>
    </row>
    <row r="4028" spans="1:13" s="79" customFormat="1" x14ac:dyDescent="0.35">
      <c r="A4028" s="251"/>
      <c r="B4028" s="22"/>
      <c r="C4028" s="252"/>
      <c r="D4028" s="252"/>
      <c r="E4028" s="252"/>
      <c r="F4028" s="252"/>
      <c r="G4028" s="252"/>
      <c r="H4028" s="252"/>
      <c r="I4028" s="252"/>
      <c r="J4028" s="252"/>
      <c r="K4028" s="252"/>
      <c r="L4028"/>
      <c r="M4028"/>
    </row>
    <row r="4029" spans="1:13" s="79" customFormat="1" x14ac:dyDescent="0.35">
      <c r="A4029" s="251"/>
      <c r="B4029" s="22"/>
      <c r="C4029" s="252"/>
      <c r="D4029" s="252"/>
      <c r="E4029" s="252"/>
      <c r="F4029" s="252"/>
      <c r="G4029" s="252"/>
      <c r="H4029" s="252"/>
      <c r="I4029" s="252"/>
      <c r="J4029" s="252"/>
      <c r="K4029" s="252"/>
      <c r="L4029"/>
      <c r="M4029"/>
    </row>
    <row r="4030" spans="1:13" s="79" customFormat="1" x14ac:dyDescent="0.35">
      <c r="A4030" s="251"/>
      <c r="B4030" s="22"/>
      <c r="C4030" s="252"/>
      <c r="D4030" s="252"/>
      <c r="E4030" s="252"/>
      <c r="F4030" s="252"/>
      <c r="G4030" s="252"/>
      <c r="H4030" s="252"/>
      <c r="I4030" s="252"/>
      <c r="J4030" s="252"/>
      <c r="K4030" s="252"/>
      <c r="L4030"/>
      <c r="M4030"/>
    </row>
    <row r="4031" spans="1:13" s="79" customFormat="1" x14ac:dyDescent="0.35">
      <c r="A4031" s="251"/>
      <c r="B4031" s="22"/>
      <c r="C4031" s="252"/>
      <c r="D4031" s="252"/>
      <c r="E4031" s="252"/>
      <c r="F4031" s="252"/>
      <c r="G4031" s="252"/>
      <c r="H4031" s="252"/>
      <c r="I4031" s="252"/>
      <c r="J4031" s="252"/>
      <c r="K4031" s="252"/>
      <c r="L4031"/>
      <c r="M4031"/>
    </row>
    <row r="4032" spans="1:13" s="79" customFormat="1" x14ac:dyDescent="0.35">
      <c r="A4032" s="251"/>
      <c r="B4032" s="22"/>
      <c r="C4032" s="252"/>
      <c r="D4032" s="252"/>
      <c r="E4032" s="252"/>
      <c r="F4032" s="252"/>
      <c r="G4032" s="252"/>
      <c r="H4032" s="252"/>
      <c r="I4032" s="252"/>
      <c r="J4032" s="252"/>
      <c r="K4032" s="252"/>
      <c r="L4032"/>
      <c r="M4032"/>
    </row>
    <row r="4033" spans="1:13" s="79" customFormat="1" x14ac:dyDescent="0.35">
      <c r="A4033" s="251"/>
      <c r="B4033" s="22"/>
      <c r="C4033" s="252"/>
      <c r="D4033" s="252"/>
      <c r="E4033" s="252"/>
      <c r="F4033" s="252"/>
      <c r="G4033" s="252"/>
      <c r="H4033" s="252"/>
      <c r="I4033" s="252"/>
      <c r="J4033" s="252"/>
      <c r="K4033" s="252"/>
      <c r="L4033"/>
      <c r="M4033"/>
    </row>
    <row r="4034" spans="1:13" s="79" customFormat="1" x14ac:dyDescent="0.35">
      <c r="A4034" s="251"/>
      <c r="B4034" s="22"/>
      <c r="C4034" s="252"/>
      <c r="D4034" s="252"/>
      <c r="E4034" s="252"/>
      <c r="F4034" s="252"/>
      <c r="G4034" s="252"/>
      <c r="H4034" s="252"/>
      <c r="I4034" s="252"/>
      <c r="J4034" s="252"/>
      <c r="K4034" s="252"/>
      <c r="L4034"/>
      <c r="M4034"/>
    </row>
    <row r="4035" spans="1:13" s="79" customFormat="1" x14ac:dyDescent="0.35">
      <c r="A4035" s="251"/>
      <c r="B4035" s="22"/>
      <c r="C4035" s="252"/>
      <c r="D4035" s="252"/>
      <c r="E4035" s="252"/>
      <c r="F4035" s="252"/>
      <c r="G4035" s="252"/>
      <c r="H4035" s="252"/>
      <c r="I4035" s="252"/>
      <c r="J4035" s="252"/>
      <c r="K4035" s="252"/>
      <c r="L4035"/>
      <c r="M4035"/>
    </row>
    <row r="4036" spans="1:13" s="79" customFormat="1" x14ac:dyDescent="0.35">
      <c r="A4036" s="251"/>
      <c r="B4036" s="22"/>
      <c r="C4036" s="252"/>
      <c r="D4036" s="252"/>
      <c r="E4036" s="252"/>
      <c r="F4036" s="252"/>
      <c r="G4036" s="252"/>
      <c r="H4036" s="252"/>
      <c r="I4036" s="252"/>
      <c r="J4036" s="252"/>
      <c r="K4036" s="252"/>
      <c r="L4036"/>
      <c r="M4036"/>
    </row>
    <row r="4037" spans="1:13" s="79" customFormat="1" x14ac:dyDescent="0.35">
      <c r="A4037" s="251"/>
      <c r="B4037" s="22"/>
      <c r="C4037" s="252"/>
      <c r="D4037" s="252"/>
      <c r="E4037" s="252"/>
      <c r="F4037" s="252"/>
      <c r="G4037" s="252"/>
      <c r="H4037" s="252"/>
      <c r="I4037" s="252"/>
      <c r="J4037" s="252"/>
      <c r="K4037" s="252"/>
      <c r="L4037"/>
      <c r="M4037"/>
    </row>
    <row r="4038" spans="1:13" s="79" customFormat="1" x14ac:dyDescent="0.35">
      <c r="A4038" s="251"/>
      <c r="B4038" s="22"/>
      <c r="C4038" s="252"/>
      <c r="D4038" s="252"/>
      <c r="E4038" s="252"/>
      <c r="F4038" s="252"/>
      <c r="G4038" s="252"/>
      <c r="H4038" s="252"/>
      <c r="I4038" s="252"/>
      <c r="J4038" s="252"/>
      <c r="K4038" s="252"/>
      <c r="L4038"/>
      <c r="M4038"/>
    </row>
    <row r="4039" spans="1:13" s="79" customFormat="1" x14ac:dyDescent="0.35">
      <c r="A4039" s="251"/>
      <c r="B4039" s="22"/>
      <c r="C4039" s="252"/>
      <c r="D4039" s="252"/>
      <c r="E4039" s="252"/>
      <c r="F4039" s="252"/>
      <c r="G4039" s="252"/>
      <c r="H4039" s="252"/>
      <c r="I4039" s="252"/>
      <c r="J4039" s="252"/>
      <c r="K4039" s="252"/>
      <c r="L4039"/>
      <c r="M4039"/>
    </row>
    <row r="4040" spans="1:13" s="79" customFormat="1" x14ac:dyDescent="0.35">
      <c r="A4040" s="251"/>
      <c r="B4040" s="22"/>
      <c r="C4040" s="252"/>
      <c r="D4040" s="252"/>
      <c r="E4040" s="252"/>
      <c r="F4040" s="252"/>
      <c r="G4040" s="252"/>
      <c r="H4040" s="252"/>
      <c r="I4040" s="252"/>
      <c r="J4040" s="252"/>
      <c r="K4040" s="252"/>
      <c r="L4040"/>
      <c r="M4040"/>
    </row>
    <row r="4041" spans="1:13" s="79" customFormat="1" x14ac:dyDescent="0.35">
      <c r="A4041" s="251"/>
      <c r="B4041" s="22"/>
      <c r="C4041" s="252"/>
      <c r="D4041" s="252"/>
      <c r="E4041" s="252"/>
      <c r="F4041" s="252"/>
      <c r="G4041" s="252"/>
      <c r="H4041" s="252"/>
      <c r="I4041" s="252"/>
      <c r="J4041" s="252"/>
      <c r="K4041" s="252"/>
      <c r="L4041"/>
      <c r="M4041"/>
    </row>
    <row r="4042" spans="1:13" s="79" customFormat="1" x14ac:dyDescent="0.35">
      <c r="A4042" s="251"/>
      <c r="B4042" s="22"/>
      <c r="C4042" s="252"/>
      <c r="D4042" s="252"/>
      <c r="E4042" s="252"/>
      <c r="F4042" s="252"/>
      <c r="G4042" s="252"/>
      <c r="H4042" s="252"/>
      <c r="I4042" s="252"/>
      <c r="J4042" s="252"/>
      <c r="K4042" s="252"/>
      <c r="L4042"/>
      <c r="M4042"/>
    </row>
    <row r="4043" spans="1:13" s="79" customFormat="1" x14ac:dyDescent="0.35">
      <c r="A4043" s="251"/>
      <c r="B4043" s="22"/>
      <c r="C4043" s="252"/>
      <c r="D4043" s="252"/>
      <c r="E4043" s="252"/>
      <c r="F4043" s="252"/>
      <c r="G4043" s="252"/>
      <c r="H4043" s="252"/>
      <c r="I4043" s="252"/>
      <c r="J4043" s="252"/>
      <c r="K4043" s="252"/>
      <c r="L4043"/>
      <c r="M4043"/>
    </row>
    <row r="4044" spans="1:13" s="79" customFormat="1" x14ac:dyDescent="0.35">
      <c r="A4044" s="251"/>
      <c r="B4044" s="22"/>
      <c r="C4044" s="252"/>
      <c r="D4044" s="252"/>
      <c r="E4044" s="252"/>
      <c r="F4044" s="252"/>
      <c r="G4044" s="252"/>
      <c r="H4044" s="252"/>
      <c r="I4044" s="252"/>
      <c r="J4044" s="252"/>
      <c r="K4044" s="252"/>
      <c r="L4044"/>
      <c r="M4044"/>
    </row>
    <row r="4045" spans="1:13" s="79" customFormat="1" x14ac:dyDescent="0.35">
      <c r="A4045" s="251"/>
      <c r="B4045" s="22"/>
      <c r="C4045" s="252"/>
      <c r="D4045" s="252"/>
      <c r="E4045" s="252"/>
      <c r="F4045" s="252"/>
      <c r="G4045" s="252"/>
      <c r="H4045" s="252"/>
      <c r="I4045" s="252"/>
      <c r="J4045" s="252"/>
      <c r="K4045" s="252"/>
      <c r="L4045"/>
      <c r="M4045"/>
    </row>
    <row r="4046" spans="1:13" s="79" customFormat="1" x14ac:dyDescent="0.35">
      <c r="A4046" s="251"/>
      <c r="B4046" s="22"/>
      <c r="C4046" s="252"/>
      <c r="D4046" s="252"/>
      <c r="E4046" s="252"/>
      <c r="F4046" s="252"/>
      <c r="G4046" s="252"/>
      <c r="H4046" s="252"/>
      <c r="I4046" s="252"/>
      <c r="J4046" s="252"/>
      <c r="K4046" s="252"/>
      <c r="L4046"/>
      <c r="M4046"/>
    </row>
    <row r="4047" spans="1:13" s="79" customFormat="1" x14ac:dyDescent="0.35">
      <c r="A4047" s="251"/>
      <c r="B4047" s="22"/>
      <c r="C4047" s="252"/>
      <c r="D4047" s="252"/>
      <c r="E4047" s="252"/>
      <c r="F4047" s="252"/>
      <c r="G4047" s="252"/>
      <c r="H4047" s="252"/>
      <c r="I4047" s="252"/>
      <c r="J4047" s="252"/>
      <c r="K4047" s="252"/>
      <c r="L4047"/>
      <c r="M4047"/>
    </row>
    <row r="4048" spans="1:13" s="79" customFormat="1" x14ac:dyDescent="0.35">
      <c r="A4048" s="251"/>
      <c r="B4048" s="22"/>
      <c r="C4048" s="252"/>
      <c r="D4048" s="252"/>
      <c r="E4048" s="252"/>
      <c r="F4048" s="252"/>
      <c r="G4048" s="252"/>
      <c r="H4048" s="252"/>
      <c r="I4048" s="252"/>
      <c r="J4048" s="252"/>
      <c r="K4048" s="252"/>
      <c r="L4048"/>
      <c r="M4048"/>
    </row>
    <row r="4049" spans="1:13" s="79" customFormat="1" x14ac:dyDescent="0.35">
      <c r="A4049" s="251"/>
      <c r="B4049" s="22"/>
      <c r="C4049" s="252"/>
      <c r="D4049" s="252"/>
      <c r="E4049" s="252"/>
      <c r="F4049" s="252"/>
      <c r="G4049" s="252"/>
      <c r="H4049" s="252"/>
      <c r="I4049" s="252"/>
      <c r="J4049" s="252"/>
      <c r="K4049" s="252"/>
      <c r="L4049"/>
      <c r="M4049"/>
    </row>
    <row r="4050" spans="1:13" s="79" customFormat="1" x14ac:dyDescent="0.35">
      <c r="A4050" s="251"/>
      <c r="B4050" s="22"/>
      <c r="C4050" s="252"/>
      <c r="D4050" s="252"/>
      <c r="E4050" s="252"/>
      <c r="F4050" s="252"/>
      <c r="G4050" s="252"/>
      <c r="H4050" s="252"/>
      <c r="I4050" s="252"/>
      <c r="J4050" s="252"/>
      <c r="K4050" s="252"/>
      <c r="L4050"/>
      <c r="M4050"/>
    </row>
    <row r="4051" spans="1:13" s="79" customFormat="1" x14ac:dyDescent="0.35">
      <c r="A4051" s="251"/>
      <c r="B4051" s="22"/>
      <c r="C4051" s="252"/>
      <c r="D4051" s="252"/>
      <c r="E4051" s="252"/>
      <c r="F4051" s="252"/>
      <c r="G4051" s="252"/>
      <c r="H4051" s="252"/>
      <c r="I4051" s="252"/>
      <c r="J4051" s="252"/>
      <c r="K4051" s="252"/>
      <c r="L4051"/>
      <c r="M4051"/>
    </row>
    <row r="4052" spans="1:13" s="79" customFormat="1" x14ac:dyDescent="0.35">
      <c r="A4052" s="251"/>
      <c r="B4052" s="22"/>
      <c r="C4052" s="252"/>
      <c r="D4052" s="252"/>
      <c r="E4052" s="252"/>
      <c r="F4052" s="252"/>
      <c r="G4052" s="252"/>
      <c r="H4052" s="252"/>
      <c r="I4052" s="252"/>
      <c r="J4052" s="252"/>
      <c r="K4052" s="252"/>
      <c r="L4052"/>
      <c r="M4052"/>
    </row>
    <row r="4053" spans="1:13" s="79" customFormat="1" x14ac:dyDescent="0.35">
      <c r="A4053" s="251"/>
      <c r="B4053" s="22"/>
      <c r="C4053" s="252"/>
      <c r="D4053" s="252"/>
      <c r="E4053" s="252"/>
      <c r="F4053" s="252"/>
      <c r="G4053" s="252"/>
      <c r="H4053" s="252"/>
      <c r="I4053" s="252"/>
      <c r="J4053" s="252"/>
      <c r="K4053" s="252"/>
      <c r="L4053"/>
      <c r="M4053"/>
    </row>
    <row r="4054" spans="1:13" s="79" customFormat="1" x14ac:dyDescent="0.35">
      <c r="A4054" s="251"/>
      <c r="B4054" s="22"/>
      <c r="C4054" s="252"/>
      <c r="D4054" s="252"/>
      <c r="E4054" s="252"/>
      <c r="F4054" s="252"/>
      <c r="G4054" s="252"/>
      <c r="H4054" s="252"/>
      <c r="I4054" s="252"/>
      <c r="J4054" s="252"/>
      <c r="K4054" s="252"/>
      <c r="L4054"/>
      <c r="M4054"/>
    </row>
    <row r="4055" spans="1:13" s="79" customFormat="1" x14ac:dyDescent="0.35">
      <c r="A4055" s="251"/>
      <c r="B4055" s="22"/>
      <c r="C4055" s="252"/>
      <c r="D4055" s="252"/>
      <c r="E4055" s="252"/>
      <c r="F4055" s="252"/>
      <c r="G4055" s="252"/>
      <c r="H4055" s="252"/>
      <c r="I4055" s="252"/>
      <c r="J4055" s="252"/>
      <c r="K4055" s="252"/>
      <c r="L4055"/>
      <c r="M4055"/>
    </row>
    <row r="4056" spans="1:13" s="79" customFormat="1" x14ac:dyDescent="0.35">
      <c r="A4056" s="251"/>
      <c r="B4056" s="22"/>
      <c r="C4056" s="252"/>
      <c r="D4056" s="252"/>
      <c r="E4056" s="252"/>
      <c r="F4056" s="252"/>
      <c r="G4056" s="252"/>
      <c r="H4056" s="252"/>
      <c r="I4056" s="252"/>
      <c r="J4056" s="252"/>
      <c r="K4056" s="252"/>
      <c r="L4056"/>
      <c r="M4056"/>
    </row>
    <row r="4057" spans="1:13" s="79" customFormat="1" x14ac:dyDescent="0.35">
      <c r="A4057" s="251"/>
      <c r="B4057" s="22"/>
      <c r="C4057" s="252"/>
      <c r="D4057" s="252"/>
      <c r="E4057" s="252"/>
      <c r="F4057" s="252"/>
      <c r="G4057" s="252"/>
      <c r="H4057" s="252"/>
      <c r="I4057" s="252"/>
      <c r="J4057" s="252"/>
      <c r="K4057" s="252"/>
      <c r="L4057"/>
      <c r="M4057"/>
    </row>
    <row r="4058" spans="1:13" s="79" customFormat="1" x14ac:dyDescent="0.35">
      <c r="A4058" s="251"/>
      <c r="B4058" s="22"/>
      <c r="C4058" s="252"/>
      <c r="D4058" s="252"/>
      <c r="E4058" s="252"/>
      <c r="F4058" s="252"/>
      <c r="G4058" s="252"/>
      <c r="H4058" s="252"/>
      <c r="I4058" s="252"/>
      <c r="J4058" s="252"/>
      <c r="K4058" s="252"/>
      <c r="L4058"/>
      <c r="M4058"/>
    </row>
    <row r="4059" spans="1:13" s="79" customFormat="1" x14ac:dyDescent="0.35">
      <c r="A4059" s="251"/>
      <c r="B4059" s="22"/>
      <c r="C4059" s="252"/>
      <c r="D4059" s="252"/>
      <c r="E4059" s="252"/>
      <c r="F4059" s="252"/>
      <c r="G4059" s="252"/>
      <c r="H4059" s="252"/>
      <c r="I4059" s="252"/>
      <c r="J4059" s="252"/>
      <c r="K4059" s="252"/>
      <c r="L4059"/>
      <c r="M4059"/>
    </row>
    <row r="4060" spans="1:13" s="79" customFormat="1" x14ac:dyDescent="0.35">
      <c r="A4060" s="251"/>
      <c r="B4060" s="22"/>
      <c r="C4060" s="252"/>
      <c r="D4060" s="252"/>
      <c r="E4060" s="252"/>
      <c r="F4060" s="252"/>
      <c r="G4060" s="252"/>
      <c r="H4060" s="252"/>
      <c r="I4060" s="252"/>
      <c r="J4060" s="252"/>
      <c r="K4060" s="252"/>
      <c r="L4060"/>
      <c r="M4060"/>
    </row>
    <row r="4061" spans="1:13" s="79" customFormat="1" x14ac:dyDescent="0.35">
      <c r="A4061" s="251"/>
      <c r="B4061" s="22"/>
      <c r="C4061" s="252"/>
      <c r="D4061" s="252"/>
      <c r="E4061" s="252"/>
      <c r="F4061" s="252"/>
      <c r="G4061" s="252"/>
      <c r="H4061" s="252"/>
      <c r="I4061" s="252"/>
      <c r="J4061" s="252"/>
      <c r="K4061" s="252"/>
      <c r="L4061"/>
      <c r="M4061"/>
    </row>
    <row r="4062" spans="1:13" s="79" customFormat="1" x14ac:dyDescent="0.35">
      <c r="A4062" s="251"/>
      <c r="B4062" s="22"/>
      <c r="C4062" s="252"/>
      <c r="D4062" s="252"/>
      <c r="E4062" s="252"/>
      <c r="F4062" s="252"/>
      <c r="G4062" s="252"/>
      <c r="H4062" s="252"/>
      <c r="I4062" s="252"/>
      <c r="J4062" s="252"/>
      <c r="K4062" s="252"/>
      <c r="L4062"/>
      <c r="M4062"/>
    </row>
    <row r="4063" spans="1:13" s="79" customFormat="1" x14ac:dyDescent="0.35">
      <c r="A4063" s="251"/>
      <c r="B4063" s="22"/>
      <c r="C4063" s="252"/>
      <c r="D4063" s="252"/>
      <c r="E4063" s="252"/>
      <c r="F4063" s="252"/>
      <c r="G4063" s="252"/>
      <c r="H4063" s="252"/>
      <c r="I4063" s="252"/>
      <c r="J4063" s="252"/>
      <c r="K4063" s="252"/>
      <c r="L4063"/>
      <c r="M4063"/>
    </row>
    <row r="4064" spans="1:13" s="79" customFormat="1" x14ac:dyDescent="0.35">
      <c r="A4064" s="251"/>
      <c r="B4064" s="22"/>
      <c r="C4064" s="252"/>
      <c r="D4064" s="252"/>
      <c r="E4064" s="252"/>
      <c r="F4064" s="252"/>
      <c r="G4064" s="252"/>
      <c r="H4064" s="252"/>
      <c r="I4064" s="252"/>
      <c r="J4064" s="252"/>
      <c r="K4064" s="252"/>
      <c r="L4064"/>
      <c r="M4064"/>
    </row>
    <row r="4065" spans="1:13" s="79" customFormat="1" x14ac:dyDescent="0.35">
      <c r="A4065" s="251"/>
      <c r="B4065" s="22"/>
      <c r="C4065" s="252"/>
      <c r="D4065" s="252"/>
      <c r="E4065" s="252"/>
      <c r="F4065" s="252"/>
      <c r="G4065" s="252"/>
      <c r="H4065" s="252"/>
      <c r="I4065" s="252"/>
      <c r="J4065" s="252"/>
      <c r="K4065" s="252"/>
      <c r="L4065"/>
      <c r="M4065"/>
    </row>
    <row r="4066" spans="1:13" s="79" customFormat="1" x14ac:dyDescent="0.35">
      <c r="A4066" s="251"/>
      <c r="B4066" s="22"/>
      <c r="C4066" s="252"/>
      <c r="D4066" s="252"/>
      <c r="E4066" s="252"/>
      <c r="F4066" s="252"/>
      <c r="G4066" s="252"/>
      <c r="H4066" s="252"/>
      <c r="I4066" s="252"/>
      <c r="J4066" s="252"/>
      <c r="K4066" s="252"/>
      <c r="L4066"/>
      <c r="M4066"/>
    </row>
    <row r="4067" spans="1:13" s="79" customFormat="1" x14ac:dyDescent="0.35">
      <c r="A4067" s="251"/>
      <c r="B4067" s="22"/>
      <c r="C4067" s="252"/>
      <c r="D4067" s="252"/>
      <c r="E4067" s="252"/>
      <c r="F4067" s="252"/>
      <c r="G4067" s="252"/>
      <c r="H4067" s="252"/>
      <c r="I4067" s="252"/>
      <c r="J4067" s="252"/>
      <c r="K4067" s="252"/>
      <c r="L4067"/>
      <c r="M4067"/>
    </row>
    <row r="4068" spans="1:13" s="79" customFormat="1" x14ac:dyDescent="0.35">
      <c r="A4068" s="251"/>
      <c r="B4068" s="22"/>
      <c r="C4068" s="252"/>
      <c r="D4068" s="252"/>
      <c r="E4068" s="252"/>
      <c r="F4068" s="252"/>
      <c r="G4068" s="252"/>
      <c r="H4068" s="252"/>
      <c r="I4068" s="252"/>
      <c r="J4068" s="252"/>
      <c r="K4068" s="252"/>
      <c r="L4068"/>
      <c r="M4068"/>
    </row>
    <row r="4069" spans="1:13" s="79" customFormat="1" x14ac:dyDescent="0.35">
      <c r="A4069" s="251"/>
      <c r="B4069" s="22"/>
      <c r="C4069" s="252"/>
      <c r="D4069" s="252"/>
      <c r="E4069" s="252"/>
      <c r="F4069" s="252"/>
      <c r="G4069" s="252"/>
      <c r="H4069" s="252"/>
      <c r="I4069" s="252"/>
      <c r="J4069" s="252"/>
      <c r="K4069" s="252"/>
      <c r="L4069"/>
      <c r="M4069"/>
    </row>
    <row r="4070" spans="1:13" s="79" customFormat="1" x14ac:dyDescent="0.35">
      <c r="A4070" s="251"/>
      <c r="B4070" s="22"/>
      <c r="C4070" s="252"/>
      <c r="D4070" s="252"/>
      <c r="E4070" s="252"/>
      <c r="F4070" s="252"/>
      <c r="G4070" s="252"/>
      <c r="H4070" s="252"/>
      <c r="I4070" s="252"/>
      <c r="J4070" s="252"/>
      <c r="K4070" s="252"/>
      <c r="L4070"/>
      <c r="M4070"/>
    </row>
    <row r="4071" spans="1:13" s="79" customFormat="1" x14ac:dyDescent="0.35">
      <c r="A4071" s="251"/>
      <c r="B4071" s="22"/>
      <c r="C4071" s="252"/>
      <c r="D4071" s="252"/>
      <c r="E4071" s="252"/>
      <c r="F4071" s="252"/>
      <c r="G4071" s="252"/>
      <c r="H4071" s="252"/>
      <c r="I4071" s="252"/>
      <c r="J4071" s="252"/>
      <c r="K4071" s="252"/>
      <c r="L4071"/>
      <c r="M4071"/>
    </row>
    <row r="4072" spans="1:13" s="79" customFormat="1" x14ac:dyDescent="0.35">
      <c r="A4072" s="251"/>
      <c r="B4072" s="22"/>
      <c r="C4072" s="252"/>
      <c r="D4072" s="252"/>
      <c r="E4072" s="252"/>
      <c r="F4072" s="252"/>
      <c r="G4072" s="252"/>
      <c r="H4072" s="252"/>
      <c r="I4072" s="252"/>
      <c r="J4072" s="252"/>
      <c r="K4072" s="252"/>
      <c r="L4072"/>
      <c r="M4072"/>
    </row>
    <row r="4073" spans="1:13" s="79" customFormat="1" x14ac:dyDescent="0.35">
      <c r="A4073" s="251"/>
      <c r="B4073" s="22"/>
      <c r="C4073" s="252"/>
      <c r="D4073" s="252"/>
      <c r="E4073" s="252"/>
      <c r="F4073" s="252"/>
      <c r="G4073" s="252"/>
      <c r="H4073" s="252"/>
      <c r="I4073" s="252"/>
      <c r="J4073" s="252"/>
      <c r="K4073" s="252"/>
      <c r="L4073"/>
      <c r="M4073"/>
    </row>
    <row r="4074" spans="1:13" s="79" customFormat="1" x14ac:dyDescent="0.35">
      <c r="A4074" s="251"/>
      <c r="B4074" s="22"/>
      <c r="C4074" s="252"/>
      <c r="D4074" s="252"/>
      <c r="E4074" s="252"/>
      <c r="F4074" s="252"/>
      <c r="G4074" s="252"/>
      <c r="H4074" s="252"/>
      <c r="I4074" s="252"/>
      <c r="J4074" s="252"/>
      <c r="K4074" s="252"/>
      <c r="L4074"/>
      <c r="M4074"/>
    </row>
    <row r="4075" spans="1:13" s="79" customFormat="1" x14ac:dyDescent="0.35">
      <c r="A4075" s="251"/>
      <c r="B4075" s="22"/>
      <c r="C4075" s="252"/>
      <c r="D4075" s="252"/>
      <c r="E4075" s="252"/>
      <c r="F4075" s="252"/>
      <c r="G4075" s="252"/>
      <c r="H4075" s="252"/>
      <c r="I4075" s="252"/>
      <c r="J4075" s="252"/>
      <c r="K4075" s="252"/>
      <c r="L4075"/>
      <c r="M4075"/>
    </row>
    <row r="4076" spans="1:13" s="79" customFormat="1" x14ac:dyDescent="0.35">
      <c r="A4076" s="251"/>
      <c r="B4076" s="22"/>
      <c r="C4076" s="252"/>
      <c r="D4076" s="252"/>
      <c r="E4076" s="252"/>
      <c r="F4076" s="252"/>
      <c r="G4076" s="252"/>
      <c r="H4076" s="252"/>
      <c r="I4076" s="252"/>
      <c r="J4076" s="252"/>
      <c r="K4076" s="252"/>
      <c r="L4076"/>
      <c r="M4076"/>
    </row>
    <row r="4077" spans="1:13" s="79" customFormat="1" x14ac:dyDescent="0.35">
      <c r="A4077" s="251"/>
      <c r="B4077" s="22"/>
      <c r="C4077" s="252"/>
      <c r="D4077" s="252"/>
      <c r="E4077" s="252"/>
      <c r="F4077" s="252"/>
      <c r="G4077" s="252"/>
      <c r="H4077" s="252"/>
      <c r="I4077" s="252"/>
      <c r="J4077" s="252"/>
      <c r="K4077" s="252"/>
      <c r="L4077"/>
      <c r="M4077"/>
    </row>
    <row r="4078" spans="1:13" s="79" customFormat="1" x14ac:dyDescent="0.35">
      <c r="A4078" s="251"/>
      <c r="B4078" s="22"/>
      <c r="C4078" s="252"/>
      <c r="D4078" s="252"/>
      <c r="E4078" s="252"/>
      <c r="F4078" s="252"/>
      <c r="G4078" s="252"/>
      <c r="H4078" s="252"/>
      <c r="I4078" s="252"/>
      <c r="J4078" s="252"/>
      <c r="K4078" s="252"/>
      <c r="L4078"/>
      <c r="M4078"/>
    </row>
    <row r="4079" spans="1:13" s="79" customFormat="1" x14ac:dyDescent="0.35">
      <c r="A4079" s="251"/>
      <c r="B4079" s="22"/>
      <c r="C4079" s="252"/>
      <c r="D4079" s="252"/>
      <c r="E4079" s="252"/>
      <c r="F4079" s="252"/>
      <c r="G4079" s="252"/>
      <c r="H4079" s="252"/>
      <c r="I4079" s="252"/>
      <c r="J4079" s="252"/>
      <c r="K4079" s="252"/>
      <c r="L4079"/>
      <c r="M4079"/>
    </row>
    <row r="4080" spans="1:13" s="79" customFormat="1" x14ac:dyDescent="0.35">
      <c r="A4080" s="251"/>
      <c r="B4080" s="22"/>
      <c r="C4080" s="252"/>
      <c r="D4080" s="252"/>
      <c r="E4080" s="252"/>
      <c r="F4080" s="252"/>
      <c r="G4080" s="252"/>
      <c r="H4080" s="252"/>
      <c r="I4080" s="252"/>
      <c r="J4080" s="252"/>
      <c r="K4080" s="252"/>
      <c r="L4080"/>
      <c r="M4080"/>
    </row>
    <row r="4081" spans="1:13" s="79" customFormat="1" x14ac:dyDescent="0.35">
      <c r="A4081" s="251"/>
      <c r="B4081" s="22"/>
      <c r="C4081" s="252"/>
      <c r="D4081" s="252"/>
      <c r="E4081" s="252"/>
      <c r="F4081" s="252"/>
      <c r="G4081" s="252"/>
      <c r="H4081" s="252"/>
      <c r="I4081" s="252"/>
      <c r="J4081" s="252"/>
      <c r="K4081" s="252"/>
      <c r="L4081"/>
      <c r="M4081"/>
    </row>
    <row r="4082" spans="1:13" s="79" customFormat="1" x14ac:dyDescent="0.35">
      <c r="A4082" s="251"/>
      <c r="B4082" s="22"/>
      <c r="C4082" s="252"/>
      <c r="D4082" s="252"/>
      <c r="E4082" s="252"/>
      <c r="F4082" s="252"/>
      <c r="G4082" s="252"/>
      <c r="H4082" s="252"/>
      <c r="I4082" s="252"/>
      <c r="J4082" s="252"/>
      <c r="K4082" s="252"/>
      <c r="L4082"/>
      <c r="M4082"/>
    </row>
    <row r="4083" spans="1:13" s="79" customFormat="1" x14ac:dyDescent="0.35">
      <c r="A4083" s="251"/>
      <c r="B4083" s="22"/>
      <c r="C4083" s="252"/>
      <c r="D4083" s="252"/>
      <c r="E4083" s="252"/>
      <c r="F4083" s="252"/>
      <c r="G4083" s="252"/>
      <c r="H4083" s="252"/>
      <c r="I4083" s="252"/>
      <c r="J4083" s="252"/>
      <c r="K4083" s="252"/>
      <c r="L4083"/>
      <c r="M4083"/>
    </row>
    <row r="4084" spans="1:13" s="79" customFormat="1" x14ac:dyDescent="0.35">
      <c r="A4084" s="251"/>
      <c r="B4084" s="22"/>
      <c r="C4084" s="252"/>
      <c r="D4084" s="252"/>
      <c r="E4084" s="252"/>
      <c r="F4084" s="252"/>
      <c r="G4084" s="252"/>
      <c r="H4084" s="252"/>
      <c r="I4084" s="252"/>
      <c r="J4084" s="252"/>
      <c r="K4084" s="252"/>
      <c r="L4084"/>
      <c r="M4084"/>
    </row>
    <row r="4085" spans="1:13" s="79" customFormat="1" x14ac:dyDescent="0.35">
      <c r="A4085" s="251"/>
      <c r="B4085" s="22"/>
      <c r="C4085" s="252"/>
      <c r="D4085" s="252"/>
      <c r="E4085" s="252"/>
      <c r="F4085" s="252"/>
      <c r="G4085" s="252"/>
      <c r="H4085" s="252"/>
      <c r="I4085" s="252"/>
      <c r="J4085" s="252"/>
      <c r="K4085" s="252"/>
      <c r="L4085"/>
      <c r="M4085"/>
    </row>
    <row r="4086" spans="1:13" s="79" customFormat="1" x14ac:dyDescent="0.35">
      <c r="A4086" s="251"/>
      <c r="B4086" s="22"/>
      <c r="C4086" s="252"/>
      <c r="D4086" s="252"/>
      <c r="E4086" s="252"/>
      <c r="F4086" s="252"/>
      <c r="G4086" s="252"/>
      <c r="H4086" s="252"/>
      <c r="I4086" s="252"/>
      <c r="J4086" s="252"/>
      <c r="K4086" s="252"/>
      <c r="L4086"/>
      <c r="M4086"/>
    </row>
    <row r="4087" spans="1:13" s="79" customFormat="1" x14ac:dyDescent="0.35">
      <c r="A4087" s="251"/>
      <c r="B4087" s="22"/>
      <c r="C4087" s="252"/>
      <c r="D4087" s="252"/>
      <c r="E4087" s="252"/>
      <c r="F4087" s="252"/>
      <c r="G4087" s="252"/>
      <c r="H4087" s="252"/>
      <c r="I4087" s="252"/>
      <c r="J4087" s="252"/>
      <c r="K4087" s="252"/>
      <c r="L4087"/>
      <c r="M4087"/>
    </row>
    <row r="4088" spans="1:13" s="79" customFormat="1" x14ac:dyDescent="0.35">
      <c r="A4088" s="251"/>
      <c r="B4088" s="22"/>
      <c r="C4088" s="252"/>
      <c r="D4088" s="252"/>
      <c r="E4088" s="252"/>
      <c r="F4088" s="252"/>
      <c r="G4088" s="252"/>
      <c r="H4088" s="252"/>
      <c r="I4088" s="252"/>
      <c r="J4088" s="252"/>
      <c r="K4088" s="252"/>
      <c r="L4088"/>
      <c r="M4088"/>
    </row>
    <row r="4089" spans="1:13" s="79" customFormat="1" x14ac:dyDescent="0.35">
      <c r="A4089" s="251"/>
      <c r="B4089" s="22"/>
      <c r="C4089" s="252"/>
      <c r="D4089" s="252"/>
      <c r="E4089" s="252"/>
      <c r="F4089" s="252"/>
      <c r="G4089" s="252"/>
      <c r="H4089" s="252"/>
      <c r="I4089" s="252"/>
      <c r="J4089" s="252"/>
      <c r="K4089" s="252"/>
      <c r="L4089"/>
      <c r="M4089"/>
    </row>
    <row r="4090" spans="1:13" s="79" customFormat="1" x14ac:dyDescent="0.35">
      <c r="A4090" s="251"/>
      <c r="B4090" s="22"/>
      <c r="C4090" s="252"/>
      <c r="D4090" s="252"/>
      <c r="E4090" s="252"/>
      <c r="F4090" s="252"/>
      <c r="G4090" s="252"/>
      <c r="H4090" s="252"/>
      <c r="I4090" s="252"/>
      <c r="J4090" s="252"/>
      <c r="K4090" s="252"/>
      <c r="L4090"/>
      <c r="M4090"/>
    </row>
    <row r="4091" spans="1:13" s="79" customFormat="1" x14ac:dyDescent="0.35">
      <c r="A4091" s="251"/>
      <c r="B4091" s="22"/>
      <c r="C4091" s="252"/>
      <c r="D4091" s="252"/>
      <c r="E4091" s="252"/>
      <c r="F4091" s="252"/>
      <c r="G4091" s="252"/>
      <c r="H4091" s="252"/>
      <c r="I4091" s="252"/>
      <c r="J4091" s="252"/>
      <c r="K4091" s="252"/>
      <c r="L4091"/>
      <c r="M4091"/>
    </row>
    <row r="4092" spans="1:13" s="79" customFormat="1" x14ac:dyDescent="0.35">
      <c r="A4092" s="251"/>
      <c r="B4092" s="22"/>
      <c r="C4092" s="252"/>
      <c r="D4092" s="252"/>
      <c r="E4092" s="252"/>
      <c r="F4092" s="252"/>
      <c r="G4092" s="252"/>
      <c r="H4092" s="252"/>
      <c r="I4092" s="252"/>
      <c r="J4092" s="252"/>
      <c r="K4092" s="252"/>
      <c r="L4092"/>
      <c r="M4092"/>
    </row>
    <row r="4093" spans="1:13" s="79" customFormat="1" x14ac:dyDescent="0.35">
      <c r="A4093" s="251"/>
      <c r="B4093" s="22"/>
      <c r="C4093" s="252"/>
      <c r="D4093" s="252"/>
      <c r="E4093" s="252"/>
      <c r="F4093" s="252"/>
      <c r="G4093" s="252"/>
      <c r="H4093" s="252"/>
      <c r="I4093" s="252"/>
      <c r="J4093" s="252"/>
      <c r="K4093" s="252"/>
      <c r="L4093"/>
      <c r="M4093"/>
    </row>
    <row r="4094" spans="1:13" s="79" customFormat="1" x14ac:dyDescent="0.35">
      <c r="A4094" s="251"/>
      <c r="B4094" s="22"/>
      <c r="C4094" s="252"/>
      <c r="D4094" s="252"/>
      <c r="E4094" s="252"/>
      <c r="F4094" s="252"/>
      <c r="G4094" s="252"/>
      <c r="H4094" s="252"/>
      <c r="I4094" s="252"/>
      <c r="J4094" s="252"/>
      <c r="K4094" s="252"/>
      <c r="L4094"/>
      <c r="M4094"/>
    </row>
    <row r="4095" spans="1:13" s="79" customFormat="1" x14ac:dyDescent="0.35">
      <c r="A4095" s="251"/>
      <c r="B4095" s="22"/>
      <c r="C4095" s="252"/>
      <c r="D4095" s="252"/>
      <c r="E4095" s="252"/>
      <c r="F4095" s="252"/>
      <c r="G4095" s="252"/>
      <c r="H4095" s="252"/>
      <c r="I4095" s="252"/>
      <c r="J4095" s="252"/>
      <c r="K4095" s="252"/>
      <c r="L4095"/>
      <c r="M4095"/>
    </row>
    <row r="4096" spans="1:13" s="79" customFormat="1" x14ac:dyDescent="0.35">
      <c r="A4096" s="251"/>
      <c r="B4096" s="22"/>
      <c r="C4096" s="252"/>
      <c r="D4096" s="252"/>
      <c r="E4096" s="252"/>
      <c r="F4096" s="252"/>
      <c r="G4096" s="252"/>
      <c r="H4096" s="252"/>
      <c r="I4096" s="252"/>
      <c r="J4096" s="252"/>
      <c r="K4096" s="252"/>
      <c r="L4096"/>
      <c r="M4096"/>
    </row>
    <row r="4097" spans="1:13" s="79" customFormat="1" x14ac:dyDescent="0.35">
      <c r="A4097" s="251"/>
      <c r="B4097" s="22"/>
      <c r="C4097" s="252"/>
      <c r="D4097" s="252"/>
      <c r="E4097" s="252"/>
      <c r="F4097" s="252"/>
      <c r="G4097" s="252"/>
      <c r="H4097" s="252"/>
      <c r="I4097" s="252"/>
      <c r="J4097" s="252"/>
      <c r="K4097" s="252"/>
      <c r="L4097"/>
      <c r="M4097"/>
    </row>
    <row r="4098" spans="1:13" s="79" customFormat="1" x14ac:dyDescent="0.35">
      <c r="A4098" s="251"/>
      <c r="B4098" s="22"/>
      <c r="C4098" s="252"/>
      <c r="D4098" s="252"/>
      <c r="E4098" s="252"/>
      <c r="F4098" s="252"/>
      <c r="G4098" s="252"/>
      <c r="H4098" s="252"/>
      <c r="I4098" s="252"/>
      <c r="J4098" s="252"/>
      <c r="K4098" s="252"/>
      <c r="L4098"/>
      <c r="M4098"/>
    </row>
    <row r="4099" spans="1:13" s="79" customFormat="1" x14ac:dyDescent="0.35">
      <c r="A4099" s="251"/>
      <c r="B4099" s="22"/>
      <c r="C4099" s="252"/>
      <c r="D4099" s="252"/>
      <c r="E4099" s="252"/>
      <c r="F4099" s="252"/>
      <c r="G4099" s="252"/>
      <c r="H4099" s="252"/>
      <c r="I4099" s="252"/>
      <c r="J4099" s="252"/>
      <c r="K4099" s="252"/>
      <c r="L4099"/>
      <c r="M4099"/>
    </row>
    <row r="4100" spans="1:13" s="79" customFormat="1" x14ac:dyDescent="0.35">
      <c r="A4100" s="251"/>
      <c r="B4100" s="22"/>
      <c r="C4100" s="252"/>
      <c r="D4100" s="252"/>
      <c r="E4100" s="252"/>
      <c r="F4100" s="252"/>
      <c r="G4100" s="252"/>
      <c r="H4100" s="252"/>
      <c r="I4100" s="252"/>
      <c r="J4100" s="252"/>
      <c r="K4100" s="252"/>
      <c r="L4100"/>
      <c r="M4100"/>
    </row>
    <row r="4101" spans="1:13" s="79" customFormat="1" x14ac:dyDescent="0.35">
      <c r="A4101" s="251"/>
      <c r="B4101" s="22"/>
      <c r="C4101" s="252"/>
      <c r="D4101" s="252"/>
      <c r="E4101" s="252"/>
      <c r="F4101" s="252"/>
      <c r="G4101" s="252"/>
      <c r="H4101" s="252"/>
      <c r="I4101" s="252"/>
      <c r="J4101" s="252"/>
      <c r="K4101" s="252"/>
      <c r="L4101"/>
      <c r="M4101"/>
    </row>
    <row r="4102" spans="1:13" s="79" customFormat="1" x14ac:dyDescent="0.35">
      <c r="A4102" s="251"/>
      <c r="B4102" s="22"/>
      <c r="C4102" s="252"/>
      <c r="D4102" s="252"/>
      <c r="E4102" s="252"/>
      <c r="F4102" s="252"/>
      <c r="G4102" s="252"/>
      <c r="H4102" s="252"/>
      <c r="I4102" s="252"/>
      <c r="J4102" s="252"/>
      <c r="K4102" s="252"/>
      <c r="L4102"/>
      <c r="M4102"/>
    </row>
    <row r="4103" spans="1:13" s="79" customFormat="1" x14ac:dyDescent="0.35">
      <c r="A4103" s="251"/>
      <c r="B4103" s="22"/>
      <c r="C4103" s="252"/>
      <c r="D4103" s="252"/>
      <c r="E4103" s="252"/>
      <c r="F4103" s="252"/>
      <c r="G4103" s="252"/>
      <c r="H4103" s="252"/>
      <c r="I4103" s="252"/>
      <c r="J4103" s="252"/>
      <c r="K4103" s="252"/>
      <c r="L4103"/>
      <c r="M4103"/>
    </row>
    <row r="4104" spans="1:13" s="79" customFormat="1" x14ac:dyDescent="0.35">
      <c r="A4104" s="251"/>
      <c r="B4104" s="22"/>
      <c r="C4104" s="252"/>
      <c r="D4104" s="252"/>
      <c r="E4104" s="252"/>
      <c r="F4104" s="252"/>
      <c r="G4104" s="252"/>
      <c r="H4104" s="252"/>
      <c r="I4104" s="252"/>
      <c r="J4104" s="252"/>
      <c r="K4104" s="252"/>
      <c r="L4104"/>
      <c r="M4104"/>
    </row>
    <row r="4105" spans="1:13" s="79" customFormat="1" x14ac:dyDescent="0.35">
      <c r="A4105" s="251"/>
      <c r="B4105" s="22"/>
      <c r="C4105" s="252"/>
      <c r="D4105" s="252"/>
      <c r="E4105" s="252"/>
      <c r="F4105" s="252"/>
      <c r="G4105" s="252"/>
      <c r="H4105" s="252"/>
      <c r="I4105" s="252"/>
      <c r="J4105" s="252"/>
      <c r="K4105" s="252"/>
      <c r="L4105"/>
      <c r="M4105"/>
    </row>
    <row r="4106" spans="1:13" s="79" customFormat="1" x14ac:dyDescent="0.35">
      <c r="A4106" s="251"/>
      <c r="B4106" s="22"/>
      <c r="C4106" s="252"/>
      <c r="D4106" s="252"/>
      <c r="E4106" s="252"/>
      <c r="F4106" s="252"/>
      <c r="G4106" s="252"/>
      <c r="H4106" s="252"/>
      <c r="I4106" s="252"/>
      <c r="J4106" s="252"/>
      <c r="K4106" s="252"/>
      <c r="L4106"/>
      <c r="M4106"/>
    </row>
    <row r="4107" spans="1:13" s="79" customFormat="1" x14ac:dyDescent="0.35">
      <c r="A4107" s="251"/>
      <c r="B4107" s="22"/>
      <c r="C4107" s="252"/>
      <c r="D4107" s="252"/>
      <c r="E4107" s="252"/>
      <c r="F4107" s="252"/>
      <c r="G4107" s="252"/>
      <c r="H4107" s="252"/>
      <c r="I4107" s="252"/>
      <c r="J4107" s="252"/>
      <c r="K4107" s="252"/>
      <c r="L4107"/>
      <c r="M4107"/>
    </row>
    <row r="4108" spans="1:13" s="79" customFormat="1" x14ac:dyDescent="0.35">
      <c r="A4108" s="251"/>
      <c r="B4108" s="22"/>
      <c r="C4108" s="252"/>
      <c r="D4108" s="252"/>
      <c r="E4108" s="252"/>
      <c r="F4108" s="252"/>
      <c r="G4108" s="252"/>
      <c r="H4108" s="252"/>
      <c r="I4108" s="252"/>
      <c r="J4108" s="252"/>
      <c r="K4108" s="252"/>
      <c r="L4108"/>
      <c r="M4108"/>
    </row>
    <row r="4109" spans="1:13" s="79" customFormat="1" x14ac:dyDescent="0.35">
      <c r="A4109" s="251"/>
      <c r="B4109" s="22"/>
      <c r="C4109" s="252"/>
      <c r="D4109" s="252"/>
      <c r="E4109" s="252"/>
      <c r="F4109" s="252"/>
      <c r="G4109" s="252"/>
      <c r="H4109" s="252"/>
      <c r="I4109" s="252"/>
      <c r="J4109" s="252"/>
      <c r="K4109" s="252"/>
      <c r="L4109"/>
      <c r="M4109"/>
    </row>
    <row r="4110" spans="1:13" s="79" customFormat="1" x14ac:dyDescent="0.35">
      <c r="A4110" s="251"/>
      <c r="B4110" s="22"/>
      <c r="C4110" s="252"/>
      <c r="D4110" s="252"/>
      <c r="E4110" s="252"/>
      <c r="F4110" s="252"/>
      <c r="G4110" s="252"/>
      <c r="H4110" s="252"/>
      <c r="I4110" s="252"/>
      <c r="J4110" s="252"/>
      <c r="K4110" s="252"/>
      <c r="L4110"/>
      <c r="M4110"/>
    </row>
    <row r="4111" spans="1:13" s="79" customFormat="1" x14ac:dyDescent="0.35">
      <c r="A4111" s="251"/>
      <c r="B4111" s="22"/>
      <c r="C4111" s="252"/>
      <c r="D4111" s="252"/>
      <c r="E4111" s="252"/>
      <c r="F4111" s="252"/>
      <c r="G4111" s="252"/>
      <c r="H4111" s="252"/>
      <c r="I4111" s="252"/>
      <c r="J4111" s="252"/>
      <c r="K4111" s="252"/>
      <c r="L4111"/>
      <c r="M4111"/>
    </row>
    <row r="4112" spans="1:13" s="79" customFormat="1" x14ac:dyDescent="0.35">
      <c r="A4112" s="251"/>
      <c r="B4112" s="22"/>
      <c r="C4112" s="252"/>
      <c r="D4112" s="252"/>
      <c r="E4112" s="252"/>
      <c r="F4112" s="252"/>
      <c r="G4112" s="252"/>
      <c r="H4112" s="252"/>
      <c r="I4112" s="252"/>
      <c r="J4112" s="252"/>
      <c r="K4112" s="252"/>
      <c r="L4112"/>
      <c r="M4112"/>
    </row>
    <row r="4113" spans="1:13" s="79" customFormat="1" x14ac:dyDescent="0.35">
      <c r="A4113" s="251"/>
      <c r="B4113" s="22"/>
      <c r="C4113" s="252"/>
      <c r="D4113" s="252"/>
      <c r="E4113" s="252"/>
      <c r="F4113" s="252"/>
      <c r="G4113" s="252"/>
      <c r="H4113" s="252"/>
      <c r="I4113" s="252"/>
      <c r="J4113" s="252"/>
      <c r="K4113" s="252"/>
      <c r="L4113"/>
      <c r="M4113"/>
    </row>
    <row r="4114" spans="1:13" s="79" customFormat="1" x14ac:dyDescent="0.35">
      <c r="A4114" s="251"/>
      <c r="B4114" s="22"/>
      <c r="C4114" s="252"/>
      <c r="D4114" s="252"/>
      <c r="E4114" s="252"/>
      <c r="F4114" s="252"/>
      <c r="G4114" s="252"/>
      <c r="H4114" s="252"/>
      <c r="I4114" s="252"/>
      <c r="J4114" s="252"/>
      <c r="K4114" s="252"/>
      <c r="L4114"/>
      <c r="M4114"/>
    </row>
    <row r="4115" spans="1:13" s="79" customFormat="1" x14ac:dyDescent="0.35">
      <c r="A4115" s="251"/>
      <c r="B4115" s="22"/>
      <c r="C4115" s="252"/>
      <c r="D4115" s="252"/>
      <c r="E4115" s="252"/>
      <c r="F4115" s="252"/>
      <c r="G4115" s="252"/>
      <c r="H4115" s="252"/>
      <c r="I4115" s="252"/>
      <c r="J4115" s="252"/>
      <c r="K4115" s="252"/>
      <c r="L4115"/>
      <c r="M4115"/>
    </row>
    <row r="4116" spans="1:13" s="79" customFormat="1" x14ac:dyDescent="0.35">
      <c r="A4116" s="251"/>
      <c r="B4116" s="22"/>
      <c r="C4116" s="252"/>
      <c r="D4116" s="252"/>
      <c r="E4116" s="252"/>
      <c r="F4116" s="252"/>
      <c r="G4116" s="252"/>
      <c r="H4116" s="252"/>
      <c r="I4116" s="252"/>
      <c r="J4116" s="252"/>
      <c r="K4116" s="252"/>
      <c r="L4116"/>
      <c r="M4116"/>
    </row>
    <row r="4117" spans="1:13" s="79" customFormat="1" x14ac:dyDescent="0.35">
      <c r="A4117" s="251"/>
      <c r="B4117" s="22"/>
      <c r="C4117" s="252"/>
      <c r="D4117" s="252"/>
      <c r="E4117" s="252"/>
      <c r="F4117" s="252"/>
      <c r="G4117" s="252"/>
      <c r="H4117" s="252"/>
      <c r="I4117" s="252"/>
      <c r="J4117" s="252"/>
      <c r="K4117" s="252"/>
      <c r="L4117"/>
      <c r="M4117"/>
    </row>
    <row r="4118" spans="1:13" s="79" customFormat="1" x14ac:dyDescent="0.35">
      <c r="A4118" s="251"/>
      <c r="B4118" s="22"/>
      <c r="C4118" s="252"/>
      <c r="D4118" s="252"/>
      <c r="E4118" s="252"/>
      <c r="F4118" s="252"/>
      <c r="G4118" s="252"/>
      <c r="H4118" s="252"/>
      <c r="I4118" s="252"/>
      <c r="J4118" s="252"/>
      <c r="K4118" s="252"/>
      <c r="L4118"/>
      <c r="M4118"/>
    </row>
    <row r="4119" spans="1:13" s="79" customFormat="1" x14ac:dyDescent="0.35">
      <c r="A4119" s="251"/>
      <c r="B4119" s="22"/>
      <c r="C4119" s="252"/>
      <c r="D4119" s="252"/>
      <c r="E4119" s="252"/>
      <c r="F4119" s="252"/>
      <c r="G4119" s="252"/>
      <c r="H4119" s="252"/>
      <c r="I4119" s="252"/>
      <c r="J4119" s="252"/>
      <c r="K4119" s="252"/>
      <c r="L4119"/>
      <c r="M4119"/>
    </row>
    <row r="4120" spans="1:13" s="79" customFormat="1" x14ac:dyDescent="0.35">
      <c r="A4120" s="251"/>
      <c r="B4120" s="22"/>
      <c r="C4120" s="252"/>
      <c r="D4120" s="252"/>
      <c r="E4120" s="252"/>
      <c r="F4120" s="252"/>
      <c r="G4120" s="252"/>
      <c r="H4120" s="252"/>
      <c r="I4120" s="252"/>
      <c r="J4120" s="252"/>
      <c r="K4120" s="252"/>
      <c r="L4120"/>
      <c r="M4120"/>
    </row>
    <row r="4121" spans="1:13" s="79" customFormat="1" x14ac:dyDescent="0.35">
      <c r="A4121" s="251"/>
      <c r="B4121" s="22"/>
      <c r="C4121" s="252"/>
      <c r="D4121" s="252"/>
      <c r="E4121" s="252"/>
      <c r="F4121" s="252"/>
      <c r="G4121" s="252"/>
      <c r="H4121" s="252"/>
      <c r="I4121" s="252"/>
      <c r="J4121" s="252"/>
      <c r="K4121" s="252"/>
      <c r="L4121"/>
      <c r="M4121"/>
    </row>
    <row r="4122" spans="1:13" s="79" customFormat="1" x14ac:dyDescent="0.35">
      <c r="A4122" s="251"/>
      <c r="B4122" s="22"/>
      <c r="C4122" s="252"/>
      <c r="D4122" s="252"/>
      <c r="E4122" s="252"/>
      <c r="F4122" s="252"/>
      <c r="G4122" s="252"/>
      <c r="H4122" s="252"/>
      <c r="I4122" s="252"/>
      <c r="J4122" s="252"/>
      <c r="K4122" s="252"/>
      <c r="L4122"/>
      <c r="M4122"/>
    </row>
    <row r="4123" spans="1:13" s="79" customFormat="1" x14ac:dyDescent="0.35">
      <c r="A4123" s="251"/>
      <c r="B4123" s="22"/>
      <c r="C4123" s="252"/>
      <c r="D4123" s="252"/>
      <c r="E4123" s="252"/>
      <c r="F4123" s="252"/>
      <c r="G4123" s="252"/>
      <c r="H4123" s="252"/>
      <c r="I4123" s="252"/>
      <c r="J4123" s="252"/>
      <c r="K4123" s="252"/>
      <c r="L4123"/>
      <c r="M4123"/>
    </row>
    <row r="4124" spans="1:13" s="79" customFormat="1" x14ac:dyDescent="0.35">
      <c r="A4124" s="251"/>
      <c r="B4124" s="22"/>
      <c r="C4124" s="252"/>
      <c r="D4124" s="252"/>
      <c r="E4124" s="252"/>
      <c r="F4124" s="252"/>
      <c r="G4124" s="252"/>
      <c r="H4124" s="252"/>
      <c r="I4124" s="252"/>
      <c r="J4124" s="252"/>
      <c r="K4124" s="252"/>
      <c r="L4124"/>
      <c r="M4124"/>
    </row>
    <row r="4125" spans="1:13" s="79" customFormat="1" x14ac:dyDescent="0.35">
      <c r="A4125" s="251"/>
      <c r="B4125" s="22"/>
      <c r="C4125" s="252"/>
      <c r="D4125" s="252"/>
      <c r="E4125" s="252"/>
      <c r="F4125" s="252"/>
      <c r="G4125" s="252"/>
      <c r="H4125" s="252"/>
      <c r="I4125" s="252"/>
      <c r="J4125" s="252"/>
      <c r="K4125" s="252"/>
      <c r="L4125"/>
      <c r="M4125"/>
    </row>
    <row r="4126" spans="1:13" s="79" customFormat="1" x14ac:dyDescent="0.35">
      <c r="A4126" s="251"/>
      <c r="B4126" s="22"/>
      <c r="C4126" s="252"/>
      <c r="D4126" s="252"/>
      <c r="E4126" s="252"/>
      <c r="F4126" s="252"/>
      <c r="G4126" s="252"/>
      <c r="H4126" s="252"/>
      <c r="I4126" s="252"/>
      <c r="J4126" s="252"/>
      <c r="K4126" s="252"/>
      <c r="L4126"/>
      <c r="M4126"/>
    </row>
    <row r="4127" spans="1:13" s="79" customFormat="1" x14ac:dyDescent="0.35">
      <c r="A4127" s="251"/>
      <c r="B4127" s="22"/>
      <c r="C4127" s="252"/>
      <c r="D4127" s="252"/>
      <c r="E4127" s="252"/>
      <c r="F4127" s="252"/>
      <c r="G4127" s="252"/>
      <c r="H4127" s="252"/>
      <c r="I4127" s="252"/>
      <c r="J4127" s="252"/>
      <c r="K4127" s="252"/>
      <c r="L4127"/>
      <c r="M4127"/>
    </row>
    <row r="4128" spans="1:13" s="79" customFormat="1" x14ac:dyDescent="0.35">
      <c r="A4128" s="251"/>
      <c r="B4128" s="22"/>
      <c r="C4128" s="252"/>
      <c r="D4128" s="252"/>
      <c r="E4128" s="252"/>
      <c r="F4128" s="252"/>
      <c r="G4128" s="252"/>
      <c r="H4128" s="252"/>
      <c r="I4128" s="252"/>
      <c r="J4128" s="252"/>
      <c r="K4128" s="252"/>
      <c r="L4128"/>
      <c r="M4128"/>
    </row>
    <row r="4129" spans="1:13" s="79" customFormat="1" x14ac:dyDescent="0.35">
      <c r="A4129" s="251"/>
      <c r="B4129" s="22"/>
      <c r="C4129" s="252"/>
      <c r="D4129" s="252"/>
      <c r="E4129" s="252"/>
      <c r="F4129" s="252"/>
      <c r="G4129" s="252"/>
      <c r="H4129" s="252"/>
      <c r="I4129" s="252"/>
      <c r="J4129" s="252"/>
      <c r="K4129" s="252"/>
      <c r="L4129"/>
      <c r="M4129"/>
    </row>
    <row r="4130" spans="1:13" s="79" customFormat="1" x14ac:dyDescent="0.35">
      <c r="A4130" s="251"/>
      <c r="B4130" s="22"/>
      <c r="C4130" s="252"/>
      <c r="D4130" s="252"/>
      <c r="E4130" s="252"/>
      <c r="F4130" s="252"/>
      <c r="G4130" s="252"/>
      <c r="H4130" s="252"/>
      <c r="I4130" s="252"/>
      <c r="J4130" s="252"/>
      <c r="K4130" s="252"/>
      <c r="L4130"/>
      <c r="M4130"/>
    </row>
    <row r="4131" spans="1:13" s="79" customFormat="1" x14ac:dyDescent="0.35">
      <c r="A4131" s="251"/>
      <c r="B4131" s="22"/>
      <c r="C4131" s="252"/>
      <c r="D4131" s="252"/>
      <c r="E4131" s="252"/>
      <c r="F4131" s="252"/>
      <c r="G4131" s="252"/>
      <c r="H4131" s="252"/>
      <c r="I4131" s="252"/>
      <c r="J4131" s="252"/>
      <c r="K4131" s="252"/>
      <c r="L4131"/>
      <c r="M4131"/>
    </row>
    <row r="4132" spans="1:13" s="79" customFormat="1" x14ac:dyDescent="0.35">
      <c r="A4132" s="251"/>
      <c r="B4132" s="22"/>
      <c r="C4132" s="252"/>
      <c r="D4132" s="252"/>
      <c r="E4132" s="252"/>
      <c r="F4132" s="252"/>
      <c r="G4132" s="252"/>
      <c r="H4132" s="252"/>
      <c r="I4132" s="252"/>
      <c r="J4132" s="252"/>
      <c r="K4132" s="252"/>
      <c r="L4132"/>
      <c r="M4132"/>
    </row>
    <row r="4133" spans="1:13" s="79" customFormat="1" x14ac:dyDescent="0.35">
      <c r="A4133" s="251"/>
      <c r="B4133" s="22"/>
      <c r="C4133" s="252"/>
      <c r="D4133" s="252"/>
      <c r="E4133" s="252"/>
      <c r="F4133" s="252"/>
      <c r="G4133" s="252"/>
      <c r="H4133" s="252"/>
      <c r="I4133" s="252"/>
      <c r="J4133" s="252"/>
      <c r="K4133" s="252"/>
      <c r="L4133"/>
      <c r="M4133"/>
    </row>
    <row r="4134" spans="1:13" s="79" customFormat="1" x14ac:dyDescent="0.35">
      <c r="A4134" s="251"/>
      <c r="B4134" s="22"/>
      <c r="C4134" s="252"/>
      <c r="D4134" s="252"/>
      <c r="E4134" s="252"/>
      <c r="F4134" s="252"/>
      <c r="G4134" s="252"/>
      <c r="H4134" s="252"/>
      <c r="I4134" s="252"/>
      <c r="J4134" s="252"/>
      <c r="K4134" s="252"/>
      <c r="L4134"/>
      <c r="M4134"/>
    </row>
    <row r="4135" spans="1:13" s="79" customFormat="1" x14ac:dyDescent="0.35">
      <c r="A4135" s="251"/>
      <c r="B4135" s="22"/>
      <c r="C4135" s="252"/>
      <c r="D4135" s="252"/>
      <c r="E4135" s="252"/>
      <c r="F4135" s="252"/>
      <c r="G4135" s="252"/>
      <c r="H4135" s="252"/>
      <c r="I4135" s="252"/>
      <c r="J4135" s="252"/>
      <c r="K4135" s="252"/>
      <c r="L4135"/>
      <c r="M4135"/>
    </row>
    <row r="4136" spans="1:13" s="79" customFormat="1" x14ac:dyDescent="0.35">
      <c r="A4136" s="251"/>
      <c r="B4136" s="22"/>
      <c r="C4136" s="252"/>
      <c r="D4136" s="252"/>
      <c r="E4136" s="252"/>
      <c r="F4136" s="252"/>
      <c r="G4136" s="252"/>
      <c r="H4136" s="252"/>
      <c r="I4136" s="252"/>
      <c r="J4136" s="252"/>
      <c r="K4136" s="252"/>
      <c r="L4136"/>
      <c r="M4136"/>
    </row>
    <row r="4137" spans="1:13" s="79" customFormat="1" x14ac:dyDescent="0.35">
      <c r="A4137" s="251"/>
      <c r="B4137" s="22"/>
      <c r="C4137" s="252"/>
      <c r="D4137" s="252"/>
      <c r="E4137" s="252"/>
      <c r="F4137" s="252"/>
      <c r="G4137" s="252"/>
      <c r="H4137" s="252"/>
      <c r="I4137" s="252"/>
      <c r="J4137" s="252"/>
      <c r="K4137" s="252"/>
      <c r="L4137"/>
      <c r="M4137"/>
    </row>
    <row r="4138" spans="1:13" s="79" customFormat="1" x14ac:dyDescent="0.35">
      <c r="A4138" s="251"/>
      <c r="B4138" s="22"/>
      <c r="C4138" s="252"/>
      <c r="D4138" s="252"/>
      <c r="E4138" s="252"/>
      <c r="F4138" s="252"/>
      <c r="G4138" s="252"/>
      <c r="H4138" s="252"/>
      <c r="I4138" s="252"/>
      <c r="J4138" s="252"/>
      <c r="K4138" s="252"/>
      <c r="L4138"/>
      <c r="M4138"/>
    </row>
    <row r="4139" spans="1:13" s="79" customFormat="1" x14ac:dyDescent="0.35">
      <c r="A4139" s="251"/>
      <c r="B4139" s="22"/>
      <c r="C4139" s="252"/>
      <c r="D4139" s="252"/>
      <c r="E4139" s="252"/>
      <c r="F4139" s="252"/>
      <c r="G4139" s="252"/>
      <c r="H4139" s="252"/>
      <c r="I4139" s="252"/>
      <c r="J4139" s="252"/>
      <c r="K4139" s="252"/>
      <c r="L4139"/>
      <c r="M4139"/>
    </row>
    <row r="4140" spans="1:13" s="79" customFormat="1" x14ac:dyDescent="0.35">
      <c r="A4140" s="251"/>
      <c r="B4140" s="22"/>
      <c r="C4140" s="252"/>
      <c r="D4140" s="252"/>
      <c r="E4140" s="252"/>
      <c r="F4140" s="252"/>
      <c r="G4140" s="252"/>
      <c r="H4140" s="252"/>
      <c r="I4140" s="252"/>
      <c r="J4140" s="252"/>
      <c r="K4140" s="252"/>
      <c r="L4140"/>
      <c r="M4140"/>
    </row>
    <row r="4141" spans="1:13" s="79" customFormat="1" x14ac:dyDescent="0.35">
      <c r="A4141" s="251"/>
      <c r="B4141" s="22"/>
      <c r="C4141" s="252"/>
      <c r="D4141" s="252"/>
      <c r="E4141" s="252"/>
      <c r="F4141" s="252"/>
      <c r="G4141" s="252"/>
      <c r="H4141" s="252"/>
      <c r="I4141" s="252"/>
      <c r="J4141" s="252"/>
      <c r="K4141" s="252"/>
      <c r="L4141"/>
      <c r="M4141"/>
    </row>
    <row r="4142" spans="1:13" s="79" customFormat="1" x14ac:dyDescent="0.35">
      <c r="A4142" s="251"/>
      <c r="B4142" s="22"/>
      <c r="C4142" s="252"/>
      <c r="D4142" s="252"/>
      <c r="E4142" s="252"/>
      <c r="F4142" s="252"/>
      <c r="G4142" s="252"/>
      <c r="H4142" s="252"/>
      <c r="I4142" s="252"/>
      <c r="J4142" s="252"/>
      <c r="K4142" s="252"/>
      <c r="L4142"/>
      <c r="M4142"/>
    </row>
    <row r="4143" spans="1:13" s="79" customFormat="1" x14ac:dyDescent="0.35">
      <c r="A4143" s="251"/>
      <c r="B4143" s="22"/>
      <c r="C4143" s="252"/>
      <c r="D4143" s="252"/>
      <c r="E4143" s="252"/>
      <c r="F4143" s="252"/>
      <c r="G4143" s="252"/>
      <c r="H4143" s="252"/>
      <c r="I4143" s="252"/>
      <c r="J4143" s="252"/>
      <c r="K4143" s="252"/>
      <c r="L4143"/>
      <c r="M4143"/>
    </row>
    <row r="4144" spans="1:13" s="79" customFormat="1" x14ac:dyDescent="0.35">
      <c r="A4144" s="251"/>
      <c r="B4144" s="22"/>
      <c r="C4144" s="252"/>
      <c r="D4144" s="252"/>
      <c r="E4144" s="252"/>
      <c r="F4144" s="252"/>
      <c r="G4144" s="252"/>
      <c r="H4144" s="252"/>
      <c r="I4144" s="252"/>
      <c r="J4144" s="252"/>
      <c r="K4144" s="252"/>
      <c r="L4144"/>
      <c r="M4144"/>
    </row>
    <row r="4145" spans="1:13" s="79" customFormat="1" x14ac:dyDescent="0.35">
      <c r="A4145" s="251"/>
      <c r="B4145" s="22"/>
      <c r="C4145" s="252"/>
      <c r="D4145" s="252"/>
      <c r="E4145" s="252"/>
      <c r="F4145" s="252"/>
      <c r="G4145" s="252"/>
      <c r="H4145" s="252"/>
      <c r="I4145" s="252"/>
      <c r="J4145" s="252"/>
      <c r="K4145" s="252"/>
      <c r="L4145"/>
      <c r="M4145"/>
    </row>
    <row r="4146" spans="1:13" s="79" customFormat="1" x14ac:dyDescent="0.35">
      <c r="A4146" s="251"/>
      <c r="B4146" s="22"/>
      <c r="C4146" s="252"/>
      <c r="D4146" s="252"/>
      <c r="E4146" s="252"/>
      <c r="F4146" s="252"/>
      <c r="G4146" s="252"/>
      <c r="H4146" s="252"/>
      <c r="I4146" s="252"/>
      <c r="J4146" s="252"/>
      <c r="K4146" s="252"/>
      <c r="L4146"/>
      <c r="M4146"/>
    </row>
    <row r="4147" spans="1:13" s="79" customFormat="1" x14ac:dyDescent="0.35">
      <c r="A4147" s="251"/>
      <c r="B4147" s="22"/>
      <c r="C4147" s="252"/>
      <c r="D4147" s="252"/>
      <c r="E4147" s="252"/>
      <c r="F4147" s="252"/>
      <c r="G4147" s="252"/>
      <c r="H4147" s="252"/>
      <c r="I4147" s="252"/>
      <c r="J4147" s="252"/>
      <c r="K4147" s="252"/>
      <c r="L4147"/>
      <c r="M4147"/>
    </row>
    <row r="4148" spans="1:13" s="79" customFormat="1" x14ac:dyDescent="0.35">
      <c r="A4148" s="251"/>
      <c r="B4148" s="22"/>
      <c r="C4148" s="252"/>
      <c r="D4148" s="252"/>
      <c r="E4148" s="252"/>
      <c r="F4148" s="252"/>
      <c r="G4148" s="252"/>
      <c r="H4148" s="252"/>
      <c r="I4148" s="252"/>
      <c r="J4148" s="252"/>
      <c r="K4148" s="252"/>
      <c r="L4148"/>
      <c r="M4148"/>
    </row>
    <row r="4149" spans="1:13" s="79" customFormat="1" x14ac:dyDescent="0.35">
      <c r="A4149" s="251"/>
      <c r="B4149" s="22"/>
      <c r="C4149" s="252"/>
      <c r="D4149" s="252"/>
      <c r="E4149" s="252"/>
      <c r="F4149" s="252"/>
      <c r="G4149" s="252"/>
      <c r="H4149" s="252"/>
      <c r="I4149" s="252"/>
      <c r="J4149" s="252"/>
      <c r="K4149" s="252"/>
      <c r="L4149"/>
      <c r="M4149"/>
    </row>
    <row r="4150" spans="1:13" s="79" customFormat="1" x14ac:dyDescent="0.35">
      <c r="A4150" s="251"/>
      <c r="B4150" s="22"/>
      <c r="C4150" s="252"/>
      <c r="D4150" s="252"/>
      <c r="E4150" s="252"/>
      <c r="F4150" s="252"/>
      <c r="G4150" s="252"/>
      <c r="H4150" s="252"/>
      <c r="I4150" s="252"/>
      <c r="J4150" s="252"/>
      <c r="K4150" s="252"/>
      <c r="L4150"/>
      <c r="M4150"/>
    </row>
    <row r="4151" spans="1:13" s="79" customFormat="1" x14ac:dyDescent="0.35">
      <c r="A4151" s="251"/>
      <c r="B4151" s="22"/>
      <c r="C4151" s="252"/>
      <c r="D4151" s="252"/>
      <c r="E4151" s="252"/>
      <c r="F4151" s="252"/>
      <c r="G4151" s="252"/>
      <c r="H4151" s="252"/>
      <c r="I4151" s="252"/>
      <c r="J4151" s="252"/>
      <c r="K4151" s="252"/>
      <c r="L4151"/>
      <c r="M4151"/>
    </row>
    <row r="4152" spans="1:13" s="79" customFormat="1" x14ac:dyDescent="0.35">
      <c r="A4152" s="251"/>
      <c r="B4152" s="22"/>
      <c r="C4152" s="252"/>
      <c r="D4152" s="252"/>
      <c r="E4152" s="252"/>
      <c r="F4152" s="252"/>
      <c r="G4152" s="252"/>
      <c r="H4152" s="252"/>
      <c r="I4152" s="252"/>
      <c r="J4152" s="252"/>
      <c r="K4152" s="252"/>
      <c r="L4152"/>
      <c r="M4152"/>
    </row>
    <row r="4153" spans="1:13" s="79" customFormat="1" x14ac:dyDescent="0.35">
      <c r="A4153" s="251"/>
      <c r="B4153" s="22"/>
      <c r="C4153" s="252"/>
      <c r="D4153" s="252"/>
      <c r="E4153" s="252"/>
      <c r="F4153" s="252"/>
      <c r="G4153" s="252"/>
      <c r="H4153" s="252"/>
      <c r="I4153" s="252"/>
      <c r="J4153" s="252"/>
      <c r="K4153" s="252"/>
      <c r="L4153"/>
      <c r="M4153"/>
    </row>
    <row r="4154" spans="1:13" s="79" customFormat="1" x14ac:dyDescent="0.35">
      <c r="A4154" s="251"/>
      <c r="B4154" s="22"/>
      <c r="C4154" s="252"/>
      <c r="D4154" s="252"/>
      <c r="E4154" s="252"/>
      <c r="F4154" s="252"/>
      <c r="G4154" s="252"/>
      <c r="H4154" s="252"/>
      <c r="I4154" s="252"/>
      <c r="J4154" s="252"/>
      <c r="K4154" s="252"/>
      <c r="L4154"/>
      <c r="M4154"/>
    </row>
    <row r="4155" spans="1:13" s="79" customFormat="1" x14ac:dyDescent="0.35">
      <c r="A4155" s="251"/>
      <c r="B4155" s="22"/>
      <c r="C4155" s="252"/>
      <c r="D4155" s="252"/>
      <c r="E4155" s="252"/>
      <c r="F4155" s="252"/>
      <c r="G4155" s="252"/>
      <c r="H4155" s="252"/>
      <c r="I4155" s="252"/>
      <c r="J4155" s="252"/>
      <c r="K4155" s="252"/>
      <c r="L4155"/>
      <c r="M4155"/>
    </row>
    <row r="4156" spans="1:13" s="79" customFormat="1" x14ac:dyDescent="0.35">
      <c r="A4156" s="251"/>
      <c r="B4156" s="22"/>
      <c r="C4156" s="252"/>
      <c r="D4156" s="252"/>
      <c r="E4156" s="252"/>
      <c r="F4156" s="252"/>
      <c r="G4156" s="252"/>
      <c r="H4156" s="252"/>
      <c r="I4156" s="252"/>
      <c r="J4156" s="252"/>
      <c r="K4156" s="252"/>
      <c r="L4156"/>
      <c r="M4156"/>
    </row>
    <row r="4157" spans="1:13" s="79" customFormat="1" x14ac:dyDescent="0.35">
      <c r="A4157" s="251"/>
      <c r="B4157" s="22"/>
      <c r="C4157" s="252"/>
      <c r="D4157" s="252"/>
      <c r="E4157" s="252"/>
      <c r="F4157" s="252"/>
      <c r="G4157" s="252"/>
      <c r="H4157" s="252"/>
      <c r="I4157" s="252"/>
      <c r="J4157" s="252"/>
      <c r="K4157" s="252"/>
      <c r="L4157"/>
      <c r="M4157"/>
    </row>
    <row r="4158" spans="1:13" s="79" customFormat="1" x14ac:dyDescent="0.35">
      <c r="A4158" s="251"/>
      <c r="B4158" s="22"/>
      <c r="C4158" s="252"/>
      <c r="D4158" s="252"/>
      <c r="E4158" s="252"/>
      <c r="F4158" s="252"/>
      <c r="G4158" s="252"/>
      <c r="H4158" s="252"/>
      <c r="I4158" s="252"/>
      <c r="J4158" s="252"/>
      <c r="K4158" s="252"/>
      <c r="L4158"/>
      <c r="M4158"/>
    </row>
    <row r="4159" spans="1:13" s="79" customFormat="1" x14ac:dyDescent="0.35">
      <c r="A4159" s="251"/>
      <c r="B4159" s="22"/>
      <c r="C4159" s="252"/>
      <c r="D4159" s="252"/>
      <c r="E4159" s="252"/>
      <c r="F4159" s="252"/>
      <c r="G4159" s="252"/>
      <c r="H4159" s="252"/>
      <c r="I4159" s="252"/>
      <c r="J4159" s="252"/>
      <c r="K4159" s="252"/>
      <c r="L4159"/>
      <c r="M4159"/>
    </row>
    <row r="4160" spans="1:13" s="79" customFormat="1" x14ac:dyDescent="0.35">
      <c r="A4160" s="251"/>
      <c r="B4160" s="22"/>
      <c r="C4160" s="252"/>
      <c r="D4160" s="252"/>
      <c r="E4160" s="252"/>
      <c r="F4160" s="252"/>
      <c r="G4160" s="252"/>
      <c r="H4160" s="252"/>
      <c r="I4160" s="252"/>
      <c r="J4160" s="252"/>
      <c r="K4160" s="252"/>
      <c r="L4160"/>
      <c r="M4160"/>
    </row>
    <row r="4161" spans="1:13" s="79" customFormat="1" x14ac:dyDescent="0.35">
      <c r="A4161" s="251"/>
      <c r="B4161" s="22"/>
      <c r="C4161" s="252"/>
      <c r="D4161" s="252"/>
      <c r="E4161" s="252"/>
      <c r="F4161" s="252"/>
      <c r="G4161" s="252"/>
      <c r="H4161" s="252"/>
      <c r="I4161" s="252"/>
      <c r="J4161" s="252"/>
      <c r="K4161" s="252"/>
      <c r="L4161"/>
      <c r="M4161"/>
    </row>
    <row r="4162" spans="1:13" s="79" customFormat="1" x14ac:dyDescent="0.35">
      <c r="A4162" s="251"/>
      <c r="B4162" s="22"/>
      <c r="C4162" s="252"/>
      <c r="D4162" s="252"/>
      <c r="E4162" s="252"/>
      <c r="F4162" s="252"/>
      <c r="G4162" s="252"/>
      <c r="H4162" s="252"/>
      <c r="I4162" s="252"/>
      <c r="J4162" s="252"/>
      <c r="K4162" s="252"/>
      <c r="L4162"/>
      <c r="M4162"/>
    </row>
    <row r="4163" spans="1:13" s="79" customFormat="1" x14ac:dyDescent="0.35">
      <c r="A4163" s="251"/>
      <c r="B4163" s="22"/>
      <c r="C4163" s="252"/>
      <c r="D4163" s="252"/>
      <c r="E4163" s="252"/>
      <c r="F4163" s="252"/>
      <c r="G4163" s="252"/>
      <c r="H4163" s="252"/>
      <c r="I4163" s="252"/>
      <c r="J4163" s="252"/>
      <c r="K4163" s="252"/>
      <c r="L4163"/>
      <c r="M4163"/>
    </row>
    <row r="4164" spans="1:13" s="79" customFormat="1" x14ac:dyDescent="0.35">
      <c r="A4164" s="251"/>
      <c r="B4164" s="22"/>
      <c r="C4164" s="252"/>
      <c r="D4164" s="252"/>
      <c r="E4164" s="252"/>
      <c r="F4164" s="252"/>
      <c r="G4164" s="252"/>
      <c r="H4164" s="252"/>
      <c r="I4164" s="252"/>
      <c r="J4164" s="252"/>
      <c r="K4164" s="252"/>
      <c r="L4164"/>
      <c r="M4164"/>
    </row>
    <row r="4165" spans="1:13" s="79" customFormat="1" x14ac:dyDescent="0.35">
      <c r="A4165" s="251"/>
      <c r="B4165" s="22"/>
      <c r="C4165" s="252"/>
      <c r="D4165" s="252"/>
      <c r="E4165" s="252"/>
      <c r="F4165" s="252"/>
      <c r="G4165" s="252"/>
      <c r="H4165" s="252"/>
      <c r="I4165" s="252"/>
      <c r="J4165" s="252"/>
      <c r="K4165" s="252"/>
      <c r="L4165"/>
      <c r="M4165"/>
    </row>
    <row r="4166" spans="1:13" s="79" customFormat="1" x14ac:dyDescent="0.35">
      <c r="A4166" s="251"/>
      <c r="B4166" s="22"/>
      <c r="C4166" s="252"/>
      <c r="D4166" s="252"/>
      <c r="E4166" s="252"/>
      <c r="F4166" s="252"/>
      <c r="G4166" s="252"/>
      <c r="H4166" s="252"/>
      <c r="I4166" s="252"/>
      <c r="J4166" s="252"/>
      <c r="K4166" s="252"/>
      <c r="L4166"/>
      <c r="M4166"/>
    </row>
    <row r="4167" spans="1:13" s="79" customFormat="1" x14ac:dyDescent="0.35">
      <c r="A4167" s="251"/>
      <c r="B4167" s="22"/>
      <c r="C4167" s="252"/>
      <c r="D4167" s="252"/>
      <c r="E4167" s="252"/>
      <c r="F4167" s="252"/>
      <c r="G4167" s="252"/>
      <c r="H4167" s="252"/>
      <c r="I4167" s="252"/>
      <c r="J4167" s="252"/>
      <c r="K4167" s="252"/>
      <c r="L4167"/>
      <c r="M4167"/>
    </row>
    <row r="4168" spans="1:13" s="79" customFormat="1" x14ac:dyDescent="0.35">
      <c r="A4168" s="251"/>
      <c r="B4168" s="22"/>
      <c r="C4168" s="252"/>
      <c r="D4168" s="252"/>
      <c r="E4168" s="252"/>
      <c r="F4168" s="252"/>
      <c r="G4168" s="252"/>
      <c r="H4168" s="252"/>
      <c r="I4168" s="252"/>
      <c r="J4168" s="252"/>
      <c r="K4168" s="252"/>
      <c r="L4168"/>
      <c r="M4168"/>
    </row>
    <row r="4169" spans="1:13" s="79" customFormat="1" x14ac:dyDescent="0.35">
      <c r="A4169" s="251"/>
      <c r="B4169" s="22"/>
      <c r="C4169" s="252"/>
      <c r="D4169" s="252"/>
      <c r="E4169" s="252"/>
      <c r="F4169" s="252"/>
      <c r="G4169" s="252"/>
      <c r="H4169" s="252"/>
      <c r="I4169" s="252"/>
      <c r="J4169" s="252"/>
      <c r="K4169" s="252"/>
      <c r="L4169"/>
      <c r="M4169"/>
    </row>
    <row r="4170" spans="1:13" s="79" customFormat="1" x14ac:dyDescent="0.35">
      <c r="A4170" s="251"/>
      <c r="B4170" s="22"/>
      <c r="C4170" s="252"/>
      <c r="D4170" s="252"/>
      <c r="E4170" s="252"/>
      <c r="F4170" s="252"/>
      <c r="G4170" s="252"/>
      <c r="H4170" s="252"/>
      <c r="I4170" s="252"/>
      <c r="J4170" s="252"/>
      <c r="K4170" s="252"/>
      <c r="L4170"/>
      <c r="M4170"/>
    </row>
    <row r="4171" spans="1:13" s="79" customFormat="1" x14ac:dyDescent="0.35">
      <c r="A4171" s="251"/>
      <c r="B4171" s="22"/>
      <c r="C4171" s="252"/>
      <c r="D4171" s="252"/>
      <c r="E4171" s="252"/>
      <c r="F4171" s="252"/>
      <c r="G4171" s="252"/>
      <c r="H4171" s="252"/>
      <c r="I4171" s="252"/>
      <c r="J4171" s="252"/>
      <c r="K4171" s="252"/>
      <c r="L4171"/>
      <c r="M4171"/>
    </row>
    <row r="4172" spans="1:13" s="79" customFormat="1" x14ac:dyDescent="0.35">
      <c r="A4172" s="251"/>
      <c r="B4172" s="22"/>
      <c r="C4172" s="252"/>
      <c r="D4172" s="252"/>
      <c r="E4172" s="252"/>
      <c r="F4172" s="252"/>
      <c r="G4172" s="252"/>
      <c r="H4172" s="252"/>
      <c r="I4172" s="252"/>
      <c r="J4172" s="252"/>
      <c r="K4172" s="252"/>
      <c r="L4172"/>
      <c r="M4172"/>
    </row>
    <row r="4173" spans="1:13" s="79" customFormat="1" x14ac:dyDescent="0.35">
      <c r="A4173" s="251"/>
      <c r="B4173" s="22"/>
      <c r="C4173" s="252"/>
      <c r="D4173" s="252"/>
      <c r="E4173" s="252"/>
      <c r="F4173" s="252"/>
      <c r="G4173" s="252"/>
      <c r="H4173" s="252"/>
      <c r="I4173" s="252"/>
      <c r="J4173" s="252"/>
      <c r="K4173" s="252"/>
      <c r="L4173"/>
      <c r="M4173"/>
    </row>
    <row r="4174" spans="1:13" s="79" customFormat="1" x14ac:dyDescent="0.35">
      <c r="A4174" s="251"/>
      <c r="B4174" s="22"/>
      <c r="C4174" s="252"/>
      <c r="D4174" s="252"/>
      <c r="E4174" s="252"/>
      <c r="F4174" s="252"/>
      <c r="G4174" s="252"/>
      <c r="H4174" s="252"/>
      <c r="I4174" s="252"/>
      <c r="J4174" s="252"/>
      <c r="K4174" s="252"/>
      <c r="L4174"/>
      <c r="M4174"/>
    </row>
    <row r="4175" spans="1:13" s="79" customFormat="1" x14ac:dyDescent="0.35">
      <c r="A4175" s="251"/>
      <c r="B4175" s="22"/>
      <c r="C4175" s="252"/>
      <c r="D4175" s="252"/>
      <c r="E4175" s="252"/>
      <c r="F4175" s="252"/>
      <c r="G4175" s="252"/>
      <c r="H4175" s="252"/>
      <c r="I4175" s="252"/>
      <c r="J4175" s="252"/>
      <c r="K4175" s="252"/>
      <c r="L4175"/>
      <c r="M4175"/>
    </row>
    <row r="4176" spans="1:13" s="79" customFormat="1" x14ac:dyDescent="0.35">
      <c r="A4176" s="251"/>
      <c r="B4176" s="22"/>
      <c r="C4176" s="252"/>
      <c r="D4176" s="252"/>
      <c r="E4176" s="252"/>
      <c r="F4176" s="252"/>
      <c r="G4176" s="252"/>
      <c r="H4176" s="252"/>
      <c r="I4176" s="252"/>
      <c r="J4176" s="252"/>
      <c r="K4176" s="252"/>
      <c r="L4176"/>
      <c r="M4176"/>
    </row>
    <row r="4177" spans="1:13" s="79" customFormat="1" x14ac:dyDescent="0.35">
      <c r="A4177" s="251"/>
      <c r="B4177" s="22"/>
      <c r="C4177" s="252"/>
      <c r="D4177" s="252"/>
      <c r="E4177" s="252"/>
      <c r="F4177" s="252"/>
      <c r="G4177" s="252"/>
      <c r="H4177" s="252"/>
      <c r="I4177" s="252"/>
      <c r="J4177" s="252"/>
      <c r="K4177" s="252"/>
      <c r="L4177"/>
      <c r="M4177"/>
    </row>
    <row r="4178" spans="1:13" s="79" customFormat="1" x14ac:dyDescent="0.35">
      <c r="A4178" s="251"/>
      <c r="B4178" s="22"/>
      <c r="C4178" s="252"/>
      <c r="D4178" s="252"/>
      <c r="E4178" s="252"/>
      <c r="F4178" s="252"/>
      <c r="G4178" s="252"/>
      <c r="H4178" s="252"/>
      <c r="I4178" s="252"/>
      <c r="J4178" s="252"/>
      <c r="K4178" s="252"/>
      <c r="L4178"/>
      <c r="M4178"/>
    </row>
    <row r="4179" spans="1:13" s="79" customFormat="1" x14ac:dyDescent="0.35">
      <c r="A4179" s="251"/>
      <c r="B4179" s="22"/>
      <c r="C4179" s="252"/>
      <c r="D4179" s="252"/>
      <c r="E4179" s="252"/>
      <c r="F4179" s="252"/>
      <c r="G4179" s="252"/>
      <c r="H4179" s="252"/>
      <c r="I4179" s="252"/>
      <c r="J4179" s="252"/>
      <c r="K4179" s="252"/>
      <c r="L4179"/>
      <c r="M4179"/>
    </row>
    <row r="4180" spans="1:13" s="79" customFormat="1" x14ac:dyDescent="0.35">
      <c r="A4180" s="251"/>
      <c r="B4180" s="22"/>
      <c r="C4180" s="252"/>
      <c r="D4180" s="252"/>
      <c r="E4180" s="252"/>
      <c r="F4180" s="252"/>
      <c r="G4180" s="252"/>
      <c r="H4180" s="252"/>
      <c r="I4180" s="252"/>
      <c r="J4180" s="252"/>
      <c r="K4180" s="252"/>
      <c r="L4180"/>
      <c r="M4180"/>
    </row>
    <row r="4181" spans="1:13" s="79" customFormat="1" x14ac:dyDescent="0.35">
      <c r="A4181" s="251"/>
      <c r="B4181" s="22"/>
      <c r="C4181" s="252"/>
      <c r="D4181" s="252"/>
      <c r="E4181" s="252"/>
      <c r="F4181" s="252"/>
      <c r="G4181" s="252"/>
      <c r="H4181" s="252"/>
      <c r="I4181" s="252"/>
      <c r="J4181" s="252"/>
      <c r="K4181" s="252"/>
      <c r="L4181"/>
      <c r="M4181"/>
    </row>
    <row r="4182" spans="1:13" s="79" customFormat="1" x14ac:dyDescent="0.35">
      <c r="A4182" s="251"/>
      <c r="B4182" s="22"/>
      <c r="C4182" s="252"/>
      <c r="D4182" s="252"/>
      <c r="E4182" s="252"/>
      <c r="F4182" s="252"/>
      <c r="G4182" s="252"/>
      <c r="H4182" s="252"/>
      <c r="I4182" s="252"/>
      <c r="J4182" s="252"/>
      <c r="K4182" s="252"/>
      <c r="L4182"/>
      <c r="M4182"/>
    </row>
    <row r="4183" spans="1:13" s="79" customFormat="1" x14ac:dyDescent="0.35">
      <c r="A4183" s="251"/>
      <c r="B4183" s="22"/>
      <c r="C4183" s="252"/>
      <c r="D4183" s="252"/>
      <c r="E4183" s="252"/>
      <c r="F4183" s="252"/>
      <c r="G4183" s="252"/>
      <c r="H4183" s="252"/>
      <c r="I4183" s="252"/>
      <c r="J4183" s="252"/>
      <c r="K4183" s="252"/>
      <c r="L4183"/>
      <c r="M4183"/>
    </row>
    <row r="4184" spans="1:13" s="79" customFormat="1" x14ac:dyDescent="0.35">
      <c r="A4184" s="251"/>
      <c r="B4184" s="22"/>
      <c r="C4184" s="252"/>
      <c r="D4184" s="252"/>
      <c r="E4184" s="252"/>
      <c r="F4184" s="252"/>
      <c r="G4184" s="252"/>
      <c r="H4184" s="252"/>
      <c r="I4184" s="252"/>
      <c r="J4184" s="252"/>
      <c r="K4184" s="252"/>
      <c r="L4184"/>
      <c r="M4184"/>
    </row>
    <row r="4185" spans="1:13" s="79" customFormat="1" x14ac:dyDescent="0.35">
      <c r="A4185" s="251"/>
      <c r="B4185" s="22"/>
      <c r="C4185" s="252"/>
      <c r="D4185" s="252"/>
      <c r="E4185" s="252"/>
      <c r="F4185" s="252"/>
      <c r="G4185" s="252"/>
      <c r="H4185" s="252"/>
      <c r="I4185" s="252"/>
      <c r="J4185" s="252"/>
      <c r="K4185" s="252"/>
      <c r="L4185"/>
      <c r="M4185"/>
    </row>
    <row r="4186" spans="1:13" s="79" customFormat="1" x14ac:dyDescent="0.35">
      <c r="A4186" s="251"/>
      <c r="B4186" s="22"/>
      <c r="C4186" s="252"/>
      <c r="D4186" s="252"/>
      <c r="E4186" s="252"/>
      <c r="F4186" s="252"/>
      <c r="G4186" s="252"/>
      <c r="H4186" s="252"/>
      <c r="I4186" s="252"/>
      <c r="J4186" s="252"/>
      <c r="K4186" s="252"/>
      <c r="L4186"/>
      <c r="M4186"/>
    </row>
    <row r="4187" spans="1:13" s="79" customFormat="1" x14ac:dyDescent="0.35">
      <c r="A4187" s="251"/>
      <c r="B4187" s="22"/>
      <c r="C4187" s="252"/>
      <c r="D4187" s="252"/>
      <c r="E4187" s="252"/>
      <c r="F4187" s="252"/>
      <c r="G4187" s="252"/>
      <c r="H4187" s="252"/>
      <c r="I4187" s="252"/>
      <c r="J4187" s="252"/>
      <c r="K4187" s="252"/>
      <c r="L4187"/>
      <c r="M4187"/>
    </row>
    <row r="4188" spans="1:13" s="79" customFormat="1" x14ac:dyDescent="0.35">
      <c r="A4188" s="251"/>
      <c r="B4188" s="22"/>
      <c r="C4188" s="252"/>
      <c r="D4188" s="252"/>
      <c r="E4188" s="252"/>
      <c r="F4188" s="252"/>
      <c r="G4188" s="252"/>
      <c r="H4188" s="252"/>
      <c r="I4188" s="252"/>
      <c r="J4188" s="252"/>
      <c r="K4188" s="252"/>
      <c r="L4188"/>
      <c r="M4188"/>
    </row>
    <row r="4189" spans="1:13" s="79" customFormat="1" x14ac:dyDescent="0.35">
      <c r="A4189" s="251"/>
      <c r="B4189" s="22"/>
      <c r="C4189" s="252"/>
      <c r="D4189" s="252"/>
      <c r="E4189" s="252"/>
      <c r="F4189" s="252"/>
      <c r="G4189" s="252"/>
      <c r="H4189" s="252"/>
      <c r="I4189" s="252"/>
      <c r="J4189" s="252"/>
      <c r="K4189" s="252"/>
      <c r="L4189"/>
      <c r="M4189"/>
    </row>
    <row r="4190" spans="1:13" s="79" customFormat="1" x14ac:dyDescent="0.35">
      <c r="A4190" s="251"/>
      <c r="B4190" s="22"/>
      <c r="C4190" s="252"/>
      <c r="D4190" s="252"/>
      <c r="E4190" s="252"/>
      <c r="F4190" s="252"/>
      <c r="G4190" s="252"/>
      <c r="H4190" s="252"/>
      <c r="I4190" s="252"/>
      <c r="J4190" s="252"/>
      <c r="K4190" s="252"/>
      <c r="L4190"/>
      <c r="M4190"/>
    </row>
    <row r="4191" spans="1:13" s="79" customFormat="1" x14ac:dyDescent="0.35">
      <c r="A4191" s="251"/>
      <c r="B4191" s="22"/>
      <c r="C4191" s="252"/>
      <c r="D4191" s="252"/>
      <c r="E4191" s="252"/>
      <c r="F4191" s="252"/>
      <c r="G4191" s="252"/>
      <c r="H4191" s="252"/>
      <c r="I4191" s="252"/>
      <c r="J4191" s="252"/>
      <c r="K4191" s="252"/>
      <c r="L4191"/>
      <c r="M4191"/>
    </row>
    <row r="4192" spans="1:13" s="79" customFormat="1" x14ac:dyDescent="0.35">
      <c r="A4192" s="251"/>
      <c r="B4192" s="22"/>
      <c r="C4192" s="252"/>
      <c r="D4192" s="252"/>
      <c r="E4192" s="252"/>
      <c r="F4192" s="252"/>
      <c r="G4192" s="252"/>
      <c r="H4192" s="252"/>
      <c r="I4192" s="252"/>
      <c r="J4192" s="252"/>
      <c r="K4192" s="252"/>
      <c r="L4192"/>
      <c r="M4192"/>
    </row>
    <row r="4193" spans="1:13" s="79" customFormat="1" x14ac:dyDescent="0.35">
      <c r="A4193" s="251"/>
      <c r="B4193" s="22"/>
      <c r="C4193" s="252"/>
      <c r="D4193" s="252"/>
      <c r="E4193" s="252"/>
      <c r="F4193" s="252"/>
      <c r="G4193" s="252"/>
      <c r="H4193" s="252"/>
      <c r="I4193" s="252"/>
      <c r="J4193" s="252"/>
      <c r="K4193" s="252"/>
      <c r="L4193"/>
      <c r="M4193"/>
    </row>
    <row r="4194" spans="1:13" s="79" customFormat="1" x14ac:dyDescent="0.35">
      <c r="A4194" s="251"/>
      <c r="B4194" s="22"/>
      <c r="C4194" s="252"/>
      <c r="D4194" s="252"/>
      <c r="E4194" s="252"/>
      <c r="F4194" s="252"/>
      <c r="G4194" s="252"/>
      <c r="H4194" s="252"/>
      <c r="I4194" s="252"/>
      <c r="J4194" s="252"/>
      <c r="K4194" s="252"/>
      <c r="L4194"/>
      <c r="M4194"/>
    </row>
    <row r="4195" spans="1:13" s="79" customFormat="1" x14ac:dyDescent="0.35">
      <c r="A4195" s="251"/>
      <c r="B4195" s="22"/>
      <c r="C4195" s="252"/>
      <c r="D4195" s="252"/>
      <c r="E4195" s="252"/>
      <c r="F4195" s="252"/>
      <c r="G4195" s="252"/>
      <c r="H4195" s="252"/>
      <c r="I4195" s="252"/>
      <c r="J4195" s="252"/>
      <c r="K4195" s="252"/>
      <c r="L4195"/>
      <c r="M4195"/>
    </row>
    <row r="4196" spans="1:13" s="79" customFormat="1" x14ac:dyDescent="0.35">
      <c r="A4196" s="251"/>
      <c r="B4196" s="22"/>
      <c r="C4196" s="252"/>
      <c r="D4196" s="252"/>
      <c r="E4196" s="252"/>
      <c r="F4196" s="252"/>
      <c r="G4196" s="252"/>
      <c r="H4196" s="252"/>
      <c r="I4196" s="252"/>
      <c r="J4196" s="252"/>
      <c r="K4196" s="252"/>
      <c r="L4196"/>
      <c r="M4196"/>
    </row>
    <row r="4197" spans="1:13" s="79" customFormat="1" x14ac:dyDescent="0.35">
      <c r="A4197" s="251"/>
      <c r="B4197" s="22"/>
      <c r="C4197" s="252"/>
      <c r="D4197" s="252"/>
      <c r="E4197" s="252"/>
      <c r="F4197" s="252"/>
      <c r="G4197" s="252"/>
      <c r="H4197" s="252"/>
      <c r="I4197" s="252"/>
      <c r="J4197" s="252"/>
      <c r="K4197" s="252"/>
      <c r="L4197"/>
      <c r="M4197"/>
    </row>
    <row r="4198" spans="1:13" s="79" customFormat="1" x14ac:dyDescent="0.35">
      <c r="A4198" s="251"/>
      <c r="B4198" s="22"/>
      <c r="C4198" s="252"/>
      <c r="D4198" s="252"/>
      <c r="E4198" s="252"/>
      <c r="F4198" s="252"/>
      <c r="G4198" s="252"/>
      <c r="H4198" s="252"/>
      <c r="I4198" s="252"/>
      <c r="J4198" s="252"/>
      <c r="K4198" s="252"/>
      <c r="L4198"/>
      <c r="M4198"/>
    </row>
    <row r="4199" spans="1:13" s="79" customFormat="1" x14ac:dyDescent="0.35">
      <c r="A4199" s="251"/>
      <c r="B4199" s="22"/>
      <c r="C4199" s="252"/>
      <c r="D4199" s="252"/>
      <c r="E4199" s="252"/>
      <c r="F4199" s="252"/>
      <c r="G4199" s="252"/>
      <c r="H4199" s="252"/>
      <c r="I4199" s="252"/>
      <c r="J4199" s="252"/>
      <c r="K4199" s="252"/>
      <c r="L4199"/>
      <c r="M4199"/>
    </row>
    <row r="4200" spans="1:13" s="79" customFormat="1" x14ac:dyDescent="0.35">
      <c r="A4200" s="251"/>
      <c r="B4200" s="22"/>
      <c r="C4200" s="252"/>
      <c r="D4200" s="252"/>
      <c r="E4200" s="252"/>
      <c r="F4200" s="252"/>
      <c r="G4200" s="252"/>
      <c r="H4200" s="252"/>
      <c r="I4200" s="252"/>
      <c r="J4200" s="252"/>
      <c r="K4200" s="252"/>
      <c r="L4200"/>
      <c r="M4200"/>
    </row>
    <row r="4201" spans="1:13" s="79" customFormat="1" x14ac:dyDescent="0.35">
      <c r="A4201" s="251"/>
      <c r="B4201" s="22"/>
      <c r="C4201" s="252"/>
      <c r="D4201" s="252"/>
      <c r="E4201" s="252"/>
      <c r="F4201" s="252"/>
      <c r="G4201" s="252"/>
      <c r="H4201" s="252"/>
      <c r="I4201" s="252"/>
      <c r="J4201" s="252"/>
      <c r="K4201" s="252"/>
      <c r="L4201"/>
      <c r="M4201"/>
    </row>
    <row r="4202" spans="1:13" s="79" customFormat="1" x14ac:dyDescent="0.35">
      <c r="A4202" s="251"/>
      <c r="B4202" s="22"/>
      <c r="C4202" s="252"/>
      <c r="D4202" s="252"/>
      <c r="E4202" s="252"/>
      <c r="F4202" s="252"/>
      <c r="G4202" s="252"/>
      <c r="H4202" s="252"/>
      <c r="I4202" s="252"/>
      <c r="J4202" s="252"/>
      <c r="K4202" s="252"/>
      <c r="L4202"/>
      <c r="M4202"/>
    </row>
    <row r="4203" spans="1:13" s="79" customFormat="1" x14ac:dyDescent="0.35">
      <c r="A4203" s="251"/>
      <c r="B4203" s="22"/>
      <c r="C4203" s="252"/>
      <c r="D4203" s="252"/>
      <c r="E4203" s="252"/>
      <c r="F4203" s="252"/>
      <c r="G4203" s="252"/>
      <c r="H4203" s="252"/>
      <c r="I4203" s="252"/>
      <c r="J4203" s="252"/>
      <c r="K4203" s="252"/>
      <c r="L4203"/>
      <c r="M4203"/>
    </row>
    <row r="4204" spans="1:13" s="79" customFormat="1" x14ac:dyDescent="0.35">
      <c r="A4204" s="251"/>
      <c r="B4204" s="22"/>
      <c r="C4204" s="252"/>
      <c r="D4204" s="252"/>
      <c r="E4204" s="252"/>
      <c r="F4204" s="252"/>
      <c r="G4204" s="252"/>
      <c r="H4204" s="252"/>
      <c r="I4204" s="252"/>
      <c r="J4204" s="252"/>
      <c r="K4204" s="252"/>
      <c r="L4204"/>
      <c r="M4204"/>
    </row>
    <row r="4205" spans="1:13" s="79" customFormat="1" x14ac:dyDescent="0.35">
      <c r="A4205" s="251"/>
      <c r="B4205" s="22"/>
      <c r="C4205" s="252"/>
      <c r="D4205" s="252"/>
      <c r="E4205" s="252"/>
      <c r="F4205" s="252"/>
      <c r="G4205" s="252"/>
      <c r="H4205" s="252"/>
      <c r="I4205" s="252"/>
      <c r="J4205" s="252"/>
      <c r="K4205" s="252"/>
      <c r="L4205"/>
      <c r="M4205"/>
    </row>
    <row r="4206" spans="1:13" s="79" customFormat="1" x14ac:dyDescent="0.35">
      <c r="A4206" s="251"/>
      <c r="B4206" s="22"/>
      <c r="C4206" s="252"/>
      <c r="D4206" s="252"/>
      <c r="E4206" s="252"/>
      <c r="F4206" s="252"/>
      <c r="G4206" s="252"/>
      <c r="H4206" s="252"/>
      <c r="I4206" s="252"/>
      <c r="J4206" s="252"/>
      <c r="K4206" s="252"/>
      <c r="L4206"/>
      <c r="M4206"/>
    </row>
    <row r="4207" spans="1:13" s="79" customFormat="1" x14ac:dyDescent="0.35">
      <c r="A4207" s="251"/>
      <c r="B4207" s="22"/>
      <c r="C4207" s="252"/>
      <c r="D4207" s="252"/>
      <c r="E4207" s="252"/>
      <c r="F4207" s="252"/>
      <c r="G4207" s="252"/>
      <c r="H4207" s="252"/>
      <c r="I4207" s="252"/>
      <c r="J4207" s="252"/>
      <c r="K4207" s="252"/>
      <c r="L4207"/>
      <c r="M4207"/>
    </row>
    <row r="4208" spans="1:13" s="79" customFormat="1" x14ac:dyDescent="0.35">
      <c r="A4208" s="251"/>
      <c r="B4208" s="22"/>
      <c r="C4208" s="252"/>
      <c r="D4208" s="252"/>
      <c r="E4208" s="252"/>
      <c r="F4208" s="252"/>
      <c r="G4208" s="252"/>
      <c r="H4208" s="252"/>
      <c r="I4208" s="252"/>
      <c r="J4208" s="252"/>
      <c r="K4208" s="252"/>
      <c r="L4208"/>
      <c r="M4208"/>
    </row>
    <row r="4209" spans="1:13" s="79" customFormat="1" x14ac:dyDescent="0.35">
      <c r="A4209" s="251"/>
      <c r="B4209" s="22"/>
      <c r="C4209" s="252"/>
      <c r="D4209" s="252"/>
      <c r="E4209" s="252"/>
      <c r="F4209" s="252"/>
      <c r="G4209" s="252"/>
      <c r="H4209" s="252"/>
      <c r="I4209" s="252"/>
      <c r="J4209" s="252"/>
      <c r="K4209" s="252"/>
      <c r="L4209"/>
      <c r="M4209"/>
    </row>
    <row r="4210" spans="1:13" s="79" customFormat="1" x14ac:dyDescent="0.35">
      <c r="A4210" s="251"/>
      <c r="B4210" s="22"/>
      <c r="C4210" s="252"/>
      <c r="D4210" s="252"/>
      <c r="E4210" s="252"/>
      <c r="F4210" s="252"/>
      <c r="G4210" s="252"/>
      <c r="H4210" s="252"/>
      <c r="I4210" s="252"/>
      <c r="J4210" s="252"/>
      <c r="K4210" s="252"/>
      <c r="L4210"/>
      <c r="M4210"/>
    </row>
    <row r="4211" spans="1:13" s="79" customFormat="1" x14ac:dyDescent="0.35">
      <c r="A4211" s="251"/>
      <c r="B4211" s="22"/>
      <c r="C4211" s="252"/>
      <c r="D4211" s="252"/>
      <c r="E4211" s="252"/>
      <c r="F4211" s="252"/>
      <c r="G4211" s="252"/>
      <c r="H4211" s="252"/>
      <c r="I4211" s="252"/>
      <c r="J4211" s="252"/>
      <c r="K4211" s="252"/>
      <c r="L4211"/>
      <c r="M4211"/>
    </row>
    <row r="4212" spans="1:13" s="79" customFormat="1" x14ac:dyDescent="0.35">
      <c r="A4212" s="251"/>
      <c r="B4212" s="22"/>
      <c r="C4212" s="252"/>
      <c r="D4212" s="252"/>
      <c r="E4212" s="252"/>
      <c r="F4212" s="252"/>
      <c r="G4212" s="252"/>
      <c r="H4212" s="252"/>
      <c r="I4212" s="252"/>
      <c r="J4212" s="252"/>
      <c r="K4212" s="252"/>
      <c r="L4212"/>
      <c r="M4212"/>
    </row>
    <row r="4213" spans="1:13" s="79" customFormat="1" x14ac:dyDescent="0.35">
      <c r="A4213" s="251"/>
      <c r="B4213" s="22"/>
      <c r="C4213" s="252"/>
      <c r="D4213" s="252"/>
      <c r="E4213" s="252"/>
      <c r="F4213" s="252"/>
      <c r="G4213" s="252"/>
      <c r="H4213" s="252"/>
      <c r="I4213" s="252"/>
      <c r="J4213" s="252"/>
      <c r="K4213" s="252"/>
      <c r="L4213"/>
      <c r="M4213"/>
    </row>
    <row r="4214" spans="1:13" s="79" customFormat="1" x14ac:dyDescent="0.35">
      <c r="A4214" s="251"/>
      <c r="B4214" s="22"/>
      <c r="C4214" s="252"/>
      <c r="D4214" s="252"/>
      <c r="E4214" s="252"/>
      <c r="F4214" s="252"/>
      <c r="G4214" s="252"/>
      <c r="H4214" s="252"/>
      <c r="I4214" s="252"/>
      <c r="J4214" s="252"/>
      <c r="K4214" s="252"/>
      <c r="L4214"/>
      <c r="M4214"/>
    </row>
    <row r="4215" spans="1:13" s="79" customFormat="1" x14ac:dyDescent="0.35">
      <c r="A4215" s="251"/>
      <c r="B4215" s="22"/>
      <c r="C4215" s="252"/>
      <c r="D4215" s="252"/>
      <c r="E4215" s="252"/>
      <c r="F4215" s="252"/>
      <c r="G4215" s="252"/>
      <c r="H4215" s="252"/>
      <c r="I4215" s="252"/>
      <c r="J4215" s="252"/>
      <c r="K4215" s="252"/>
      <c r="L4215"/>
      <c r="M4215"/>
    </row>
    <row r="4216" spans="1:13" s="79" customFormat="1" x14ac:dyDescent="0.35">
      <c r="A4216" s="251"/>
      <c r="B4216" s="22"/>
      <c r="C4216" s="252"/>
      <c r="D4216" s="252"/>
      <c r="E4216" s="252"/>
      <c r="F4216" s="252"/>
      <c r="G4216" s="252"/>
      <c r="H4216" s="252"/>
      <c r="I4216" s="252"/>
      <c r="J4216" s="252"/>
      <c r="K4216" s="252"/>
      <c r="L4216"/>
      <c r="M4216"/>
    </row>
    <row r="4217" spans="1:13" s="79" customFormat="1" x14ac:dyDescent="0.35">
      <c r="A4217" s="251"/>
      <c r="B4217" s="22"/>
      <c r="C4217" s="252"/>
      <c r="D4217" s="252"/>
      <c r="E4217" s="252"/>
      <c r="F4217" s="252"/>
      <c r="G4217" s="252"/>
      <c r="H4217" s="252"/>
      <c r="I4217" s="252"/>
      <c r="J4217" s="252"/>
      <c r="K4217" s="252"/>
      <c r="L4217"/>
      <c r="M4217"/>
    </row>
    <row r="4218" spans="1:13" s="79" customFormat="1" x14ac:dyDescent="0.35">
      <c r="A4218" s="251"/>
      <c r="B4218" s="22"/>
      <c r="C4218" s="252"/>
      <c r="D4218" s="252"/>
      <c r="E4218" s="252"/>
      <c r="F4218" s="252"/>
      <c r="G4218" s="252"/>
      <c r="H4218" s="252"/>
      <c r="I4218" s="252"/>
      <c r="J4218" s="252"/>
      <c r="K4218" s="252"/>
      <c r="L4218"/>
      <c r="M4218"/>
    </row>
    <row r="4219" spans="1:13" s="79" customFormat="1" x14ac:dyDescent="0.35">
      <c r="A4219" s="251"/>
      <c r="B4219" s="22"/>
      <c r="C4219" s="252"/>
      <c r="D4219" s="252"/>
      <c r="E4219" s="252"/>
      <c r="F4219" s="252"/>
      <c r="G4219" s="252"/>
      <c r="H4219" s="252"/>
      <c r="I4219" s="252"/>
      <c r="J4219" s="252"/>
      <c r="K4219" s="252"/>
      <c r="L4219"/>
      <c r="M4219"/>
    </row>
    <row r="4220" spans="1:13" s="79" customFormat="1" x14ac:dyDescent="0.35">
      <c r="A4220" s="251"/>
      <c r="B4220" s="22"/>
      <c r="C4220" s="252"/>
      <c r="D4220" s="252"/>
      <c r="E4220" s="252"/>
      <c r="F4220" s="252"/>
      <c r="G4220" s="252"/>
      <c r="H4220" s="252"/>
      <c r="I4220" s="252"/>
      <c r="J4220" s="252"/>
      <c r="K4220" s="252"/>
      <c r="L4220"/>
      <c r="M4220"/>
    </row>
    <row r="4221" spans="1:13" s="79" customFormat="1" x14ac:dyDescent="0.35">
      <c r="A4221" s="251"/>
      <c r="B4221" s="22"/>
      <c r="C4221" s="252"/>
      <c r="D4221" s="252"/>
      <c r="E4221" s="252"/>
      <c r="F4221" s="252"/>
      <c r="G4221" s="252"/>
      <c r="H4221" s="252"/>
      <c r="I4221" s="252"/>
      <c r="J4221" s="252"/>
      <c r="K4221" s="252"/>
      <c r="L4221"/>
      <c r="M4221"/>
    </row>
    <row r="4222" spans="1:13" s="79" customFormat="1" x14ac:dyDescent="0.35">
      <c r="A4222" s="251"/>
      <c r="B4222" s="22"/>
      <c r="C4222" s="252"/>
      <c r="D4222" s="252"/>
      <c r="E4222" s="252"/>
      <c r="F4222" s="252"/>
      <c r="G4222" s="252"/>
      <c r="H4222" s="252"/>
      <c r="I4222" s="252"/>
      <c r="J4222" s="252"/>
      <c r="K4222" s="252"/>
      <c r="L4222"/>
      <c r="M4222"/>
    </row>
    <row r="4223" spans="1:13" s="79" customFormat="1" x14ac:dyDescent="0.35">
      <c r="A4223" s="251"/>
      <c r="B4223" s="22"/>
      <c r="C4223" s="252"/>
      <c r="D4223" s="252"/>
      <c r="E4223" s="252"/>
      <c r="F4223" s="252"/>
      <c r="G4223" s="252"/>
      <c r="H4223" s="252"/>
      <c r="I4223" s="252"/>
      <c r="J4223" s="252"/>
      <c r="K4223" s="252"/>
      <c r="L4223"/>
      <c r="M4223"/>
    </row>
    <row r="4224" spans="1:13" s="79" customFormat="1" x14ac:dyDescent="0.35">
      <c r="A4224" s="251"/>
      <c r="B4224" s="22"/>
      <c r="C4224" s="252"/>
      <c r="D4224" s="252"/>
      <c r="E4224" s="252"/>
      <c r="F4224" s="252"/>
      <c r="G4224" s="252"/>
      <c r="H4224" s="252"/>
      <c r="I4224" s="252"/>
      <c r="J4224" s="252"/>
      <c r="K4224" s="252"/>
      <c r="L4224"/>
      <c r="M4224"/>
    </row>
    <row r="4225" spans="1:13" s="79" customFormat="1" x14ac:dyDescent="0.35">
      <c r="A4225" s="251"/>
      <c r="B4225" s="22"/>
      <c r="C4225" s="252"/>
      <c r="D4225" s="252"/>
      <c r="E4225" s="252"/>
      <c r="F4225" s="252"/>
      <c r="G4225" s="252"/>
      <c r="H4225" s="252"/>
      <c r="I4225" s="252"/>
      <c r="J4225" s="252"/>
      <c r="K4225" s="252"/>
      <c r="L4225"/>
      <c r="M4225"/>
    </row>
    <row r="4226" spans="1:13" s="79" customFormat="1" x14ac:dyDescent="0.35">
      <c r="A4226" s="251"/>
      <c r="B4226" s="22"/>
      <c r="C4226" s="252"/>
      <c r="D4226" s="252"/>
      <c r="E4226" s="252"/>
      <c r="F4226" s="252"/>
      <c r="G4226" s="252"/>
      <c r="H4226" s="252"/>
      <c r="I4226" s="252"/>
      <c r="J4226" s="252"/>
      <c r="K4226" s="252"/>
      <c r="L4226"/>
      <c r="M4226"/>
    </row>
    <row r="4227" spans="1:13" s="79" customFormat="1" x14ac:dyDescent="0.35">
      <c r="A4227" s="251"/>
      <c r="B4227" s="22"/>
      <c r="C4227" s="252"/>
      <c r="D4227" s="252"/>
      <c r="E4227" s="252"/>
      <c r="F4227" s="252"/>
      <c r="G4227" s="252"/>
      <c r="H4227" s="252"/>
      <c r="I4227" s="252"/>
      <c r="J4227" s="252"/>
      <c r="K4227" s="252"/>
      <c r="L4227"/>
      <c r="M4227"/>
    </row>
    <row r="4228" spans="1:13" s="79" customFormat="1" x14ac:dyDescent="0.35">
      <c r="A4228" s="251"/>
      <c r="B4228" s="22"/>
      <c r="C4228" s="252"/>
      <c r="D4228" s="252"/>
      <c r="E4228" s="252"/>
      <c r="F4228" s="252"/>
      <c r="G4228" s="252"/>
      <c r="H4228" s="252"/>
      <c r="I4228" s="252"/>
      <c r="J4228" s="252"/>
      <c r="K4228" s="252"/>
      <c r="L4228"/>
      <c r="M4228"/>
    </row>
    <row r="4229" spans="1:13" s="79" customFormat="1" x14ac:dyDescent="0.35">
      <c r="A4229" s="251"/>
      <c r="B4229" s="22"/>
      <c r="C4229" s="252"/>
      <c r="D4229" s="252"/>
      <c r="E4229" s="252"/>
      <c r="F4229" s="252"/>
      <c r="G4229" s="252"/>
      <c r="H4229" s="252"/>
      <c r="I4229" s="252"/>
      <c r="J4229" s="252"/>
      <c r="K4229" s="252"/>
      <c r="L4229"/>
      <c r="M4229"/>
    </row>
    <row r="4230" spans="1:13" s="79" customFormat="1" x14ac:dyDescent="0.35">
      <c r="A4230" s="251"/>
      <c r="B4230" s="22"/>
      <c r="C4230" s="252"/>
      <c r="D4230" s="252"/>
      <c r="E4230" s="252"/>
      <c r="F4230" s="252"/>
      <c r="G4230" s="252"/>
      <c r="H4230" s="252"/>
      <c r="I4230" s="252"/>
      <c r="J4230" s="252"/>
      <c r="K4230" s="252"/>
      <c r="L4230"/>
      <c r="M4230"/>
    </row>
    <row r="4231" spans="1:13" s="79" customFormat="1" x14ac:dyDescent="0.35">
      <c r="A4231" s="251"/>
      <c r="B4231" s="22"/>
      <c r="C4231" s="252"/>
      <c r="D4231" s="252"/>
      <c r="E4231" s="252"/>
      <c r="F4231" s="252"/>
      <c r="G4231" s="252"/>
      <c r="H4231" s="252"/>
      <c r="I4231" s="252"/>
      <c r="J4231" s="252"/>
      <c r="K4231" s="252"/>
      <c r="L4231"/>
      <c r="M4231"/>
    </row>
    <row r="4232" spans="1:13" s="79" customFormat="1" x14ac:dyDescent="0.35">
      <c r="A4232" s="251"/>
      <c r="B4232" s="22"/>
      <c r="C4232" s="252"/>
      <c r="D4232" s="252"/>
      <c r="E4232" s="252"/>
      <c r="F4232" s="252"/>
      <c r="G4232" s="252"/>
      <c r="H4232" s="252"/>
      <c r="I4232" s="252"/>
      <c r="J4232" s="252"/>
      <c r="K4232" s="252"/>
      <c r="L4232"/>
      <c r="M4232"/>
    </row>
    <row r="4233" spans="1:13" s="79" customFormat="1" x14ac:dyDescent="0.35">
      <c r="A4233" s="251"/>
      <c r="B4233" s="22"/>
      <c r="C4233" s="252"/>
      <c r="D4233" s="252"/>
      <c r="E4233" s="252"/>
      <c r="F4233" s="252"/>
      <c r="G4233" s="252"/>
      <c r="H4233" s="252"/>
      <c r="I4233" s="252"/>
      <c r="J4233" s="252"/>
      <c r="K4233" s="252"/>
      <c r="L4233"/>
      <c r="M4233"/>
    </row>
    <row r="4234" spans="1:13" s="79" customFormat="1" x14ac:dyDescent="0.35">
      <c r="A4234" s="251"/>
      <c r="B4234" s="22"/>
      <c r="C4234" s="252"/>
      <c r="D4234" s="252"/>
      <c r="E4234" s="252"/>
      <c r="F4234" s="252"/>
      <c r="G4234" s="252"/>
      <c r="H4234" s="252"/>
      <c r="I4234" s="252"/>
      <c r="J4234" s="252"/>
      <c r="K4234" s="252"/>
      <c r="L4234"/>
      <c r="M4234"/>
    </row>
    <row r="4235" spans="1:13" s="79" customFormat="1" x14ac:dyDescent="0.35">
      <c r="A4235" s="251"/>
      <c r="B4235" s="22"/>
      <c r="C4235" s="252"/>
      <c r="D4235" s="252"/>
      <c r="E4235" s="252"/>
      <c r="F4235" s="252"/>
      <c r="G4235" s="252"/>
      <c r="H4235" s="252"/>
      <c r="I4235" s="252"/>
      <c r="J4235" s="252"/>
      <c r="K4235" s="252"/>
      <c r="L4235"/>
      <c r="M4235"/>
    </row>
    <row r="4236" spans="1:13" s="79" customFormat="1" x14ac:dyDescent="0.35">
      <c r="A4236" s="251"/>
      <c r="B4236" s="22"/>
      <c r="C4236" s="252"/>
      <c r="D4236" s="252"/>
      <c r="E4236" s="252"/>
      <c r="F4236" s="252"/>
      <c r="G4236" s="252"/>
      <c r="H4236" s="252"/>
      <c r="I4236" s="252"/>
      <c r="J4236" s="252"/>
      <c r="K4236" s="252"/>
      <c r="L4236"/>
      <c r="M4236"/>
    </row>
    <row r="4237" spans="1:13" s="79" customFormat="1" x14ac:dyDescent="0.35">
      <c r="A4237" s="251"/>
      <c r="B4237" s="22"/>
      <c r="C4237" s="252"/>
      <c r="D4237" s="252"/>
      <c r="E4237" s="252"/>
      <c r="F4237" s="252"/>
      <c r="G4237" s="252"/>
      <c r="H4237" s="252"/>
      <c r="I4237" s="252"/>
      <c r="J4237" s="252"/>
      <c r="K4237" s="252"/>
      <c r="L4237"/>
      <c r="M4237"/>
    </row>
    <row r="4238" spans="1:13" s="79" customFormat="1" x14ac:dyDescent="0.35">
      <c r="A4238" s="251"/>
      <c r="B4238" s="22"/>
      <c r="C4238" s="252"/>
      <c r="D4238" s="252"/>
      <c r="E4238" s="252"/>
      <c r="F4238" s="252"/>
      <c r="G4238" s="252"/>
      <c r="H4238" s="252"/>
      <c r="I4238" s="252"/>
      <c r="J4238" s="252"/>
      <c r="K4238" s="252"/>
      <c r="L4238"/>
      <c r="M4238"/>
    </row>
    <row r="4239" spans="1:13" s="79" customFormat="1" x14ac:dyDescent="0.35">
      <c r="A4239" s="251"/>
      <c r="B4239" s="22"/>
      <c r="C4239" s="252"/>
      <c r="D4239" s="252"/>
      <c r="E4239" s="252"/>
      <c r="F4239" s="252"/>
      <c r="G4239" s="252"/>
      <c r="H4239" s="252"/>
      <c r="I4239" s="252"/>
      <c r="J4239" s="252"/>
      <c r="K4239" s="252"/>
      <c r="L4239"/>
      <c r="M4239"/>
    </row>
    <row r="4240" spans="1:13" s="79" customFormat="1" x14ac:dyDescent="0.35">
      <c r="A4240" s="251"/>
      <c r="B4240" s="22"/>
      <c r="C4240" s="252"/>
      <c r="D4240" s="252"/>
      <c r="E4240" s="252"/>
      <c r="F4240" s="252"/>
      <c r="G4240" s="252"/>
      <c r="H4240" s="252"/>
      <c r="I4240" s="252"/>
      <c r="J4240" s="252"/>
      <c r="K4240" s="252"/>
      <c r="L4240"/>
      <c r="M4240"/>
    </row>
    <row r="4241" spans="1:13" s="79" customFormat="1" x14ac:dyDescent="0.35">
      <c r="A4241" s="251"/>
      <c r="B4241" s="22"/>
      <c r="C4241" s="252"/>
      <c r="D4241" s="252"/>
      <c r="E4241" s="252"/>
      <c r="F4241" s="252"/>
      <c r="G4241" s="252"/>
      <c r="H4241" s="252"/>
      <c r="I4241" s="252"/>
      <c r="J4241" s="252"/>
      <c r="K4241" s="252"/>
      <c r="L4241"/>
      <c r="M4241"/>
    </row>
    <row r="4242" spans="1:13" s="79" customFormat="1" x14ac:dyDescent="0.35">
      <c r="A4242" s="251"/>
      <c r="B4242" s="22"/>
      <c r="C4242" s="252"/>
      <c r="D4242" s="252"/>
      <c r="E4242" s="252"/>
      <c r="F4242" s="252"/>
      <c r="G4242" s="252"/>
      <c r="H4242" s="252"/>
      <c r="I4242" s="252"/>
      <c r="J4242" s="252"/>
      <c r="K4242" s="252"/>
      <c r="L4242"/>
      <c r="M4242"/>
    </row>
    <row r="4243" spans="1:13" s="79" customFormat="1" x14ac:dyDescent="0.35">
      <c r="A4243" s="251"/>
      <c r="B4243" s="22"/>
      <c r="C4243" s="252"/>
      <c r="D4243" s="252"/>
      <c r="E4243" s="252"/>
      <c r="F4243" s="252"/>
      <c r="G4243" s="252"/>
      <c r="H4243" s="252"/>
      <c r="I4243" s="252"/>
      <c r="J4243" s="252"/>
      <c r="K4243" s="252"/>
      <c r="L4243"/>
      <c r="M4243"/>
    </row>
    <row r="4244" spans="1:13" s="79" customFormat="1" x14ac:dyDescent="0.35">
      <c r="A4244" s="251"/>
      <c r="B4244" s="22"/>
      <c r="C4244" s="252"/>
      <c r="D4244" s="252"/>
      <c r="E4244" s="252"/>
      <c r="F4244" s="252"/>
      <c r="G4244" s="252"/>
      <c r="H4244" s="252"/>
      <c r="I4244" s="252"/>
      <c r="J4244" s="252"/>
      <c r="K4244" s="252"/>
      <c r="L4244"/>
      <c r="M4244"/>
    </row>
    <row r="4245" spans="1:13" s="79" customFormat="1" x14ac:dyDescent="0.35">
      <c r="A4245" s="251"/>
      <c r="B4245" s="22"/>
      <c r="C4245" s="252"/>
      <c r="D4245" s="252"/>
      <c r="E4245" s="252"/>
      <c r="F4245" s="252"/>
      <c r="G4245" s="252"/>
      <c r="H4245" s="252"/>
      <c r="I4245" s="252"/>
      <c r="J4245" s="252"/>
      <c r="K4245" s="252"/>
      <c r="L4245"/>
      <c r="M4245"/>
    </row>
    <row r="4246" spans="1:13" s="79" customFormat="1" x14ac:dyDescent="0.35">
      <c r="A4246" s="251"/>
      <c r="B4246" s="22"/>
      <c r="C4246" s="252"/>
      <c r="D4246" s="252"/>
      <c r="E4246" s="252"/>
      <c r="F4246" s="252"/>
      <c r="G4246" s="252"/>
      <c r="H4246" s="252"/>
      <c r="I4246" s="252"/>
      <c r="J4246" s="252"/>
      <c r="K4246" s="252"/>
      <c r="L4246"/>
      <c r="M4246"/>
    </row>
    <row r="4247" spans="1:13" s="79" customFormat="1" x14ac:dyDescent="0.35">
      <c r="A4247" s="251"/>
      <c r="B4247" s="22"/>
      <c r="C4247" s="252"/>
      <c r="D4247" s="252"/>
      <c r="E4247" s="252"/>
      <c r="F4247" s="252"/>
      <c r="G4247" s="252"/>
      <c r="H4247" s="252"/>
      <c r="I4247" s="252"/>
      <c r="J4247" s="252"/>
      <c r="K4247" s="252"/>
      <c r="L4247"/>
      <c r="M4247"/>
    </row>
    <row r="4248" spans="1:13" s="79" customFormat="1" x14ac:dyDescent="0.35">
      <c r="A4248" s="251"/>
      <c r="B4248" s="22"/>
      <c r="C4248" s="252"/>
      <c r="D4248" s="252"/>
      <c r="E4248" s="252"/>
      <c r="F4248" s="252"/>
      <c r="G4248" s="252"/>
      <c r="H4248" s="252"/>
      <c r="I4248" s="252"/>
      <c r="J4248" s="252"/>
      <c r="K4248" s="252"/>
      <c r="L4248"/>
      <c r="M4248"/>
    </row>
    <row r="4249" spans="1:13" s="79" customFormat="1" x14ac:dyDescent="0.35">
      <c r="A4249" s="251"/>
      <c r="B4249" s="22"/>
      <c r="C4249" s="252"/>
      <c r="D4249" s="252"/>
      <c r="E4249" s="252"/>
      <c r="F4249" s="252"/>
      <c r="G4249" s="252"/>
      <c r="H4249" s="252"/>
      <c r="I4249" s="252"/>
      <c r="J4249" s="252"/>
      <c r="K4249" s="252"/>
      <c r="L4249"/>
      <c r="M4249"/>
    </row>
    <row r="4250" spans="1:13" s="79" customFormat="1" x14ac:dyDescent="0.35">
      <c r="A4250" s="251"/>
      <c r="B4250" s="22"/>
      <c r="C4250" s="252"/>
      <c r="D4250" s="252"/>
      <c r="E4250" s="252"/>
      <c r="F4250" s="252"/>
      <c r="G4250" s="252"/>
      <c r="H4250" s="252"/>
      <c r="I4250" s="252"/>
      <c r="J4250" s="252"/>
      <c r="K4250" s="252"/>
      <c r="L4250"/>
      <c r="M4250"/>
    </row>
    <row r="4251" spans="1:13" s="79" customFormat="1" x14ac:dyDescent="0.35">
      <c r="A4251" s="251"/>
      <c r="B4251" s="22"/>
      <c r="C4251" s="252"/>
      <c r="D4251" s="252"/>
      <c r="E4251" s="252"/>
      <c r="F4251" s="252"/>
      <c r="G4251" s="252"/>
      <c r="H4251" s="252"/>
      <c r="I4251" s="252"/>
      <c r="J4251" s="252"/>
      <c r="K4251" s="252"/>
      <c r="L4251"/>
      <c r="M4251"/>
    </row>
    <row r="4252" spans="1:13" s="79" customFormat="1" x14ac:dyDescent="0.35">
      <c r="A4252" s="251"/>
      <c r="B4252" s="22"/>
      <c r="C4252" s="252"/>
      <c r="D4252" s="252"/>
      <c r="E4252" s="252"/>
      <c r="F4252" s="252"/>
      <c r="G4252" s="252"/>
      <c r="H4252" s="252"/>
      <c r="I4252" s="252"/>
      <c r="J4252" s="252"/>
      <c r="K4252" s="252"/>
      <c r="L4252"/>
      <c r="M4252"/>
    </row>
    <row r="4253" spans="1:13" s="79" customFormat="1" x14ac:dyDescent="0.35">
      <c r="A4253" s="251"/>
      <c r="B4253" s="22"/>
      <c r="C4253" s="252"/>
      <c r="D4253" s="252"/>
      <c r="E4253" s="252"/>
      <c r="F4253" s="252"/>
      <c r="G4253" s="252"/>
      <c r="H4253" s="252"/>
      <c r="I4253" s="252"/>
      <c r="J4253" s="252"/>
      <c r="K4253" s="252"/>
      <c r="L4253"/>
      <c r="M4253"/>
    </row>
    <row r="4254" spans="1:13" s="79" customFormat="1" x14ac:dyDescent="0.35">
      <c r="A4254" s="251"/>
      <c r="B4254" s="22"/>
      <c r="C4254" s="252"/>
      <c r="D4254" s="252"/>
      <c r="E4254" s="252"/>
      <c r="F4254" s="252"/>
      <c r="G4254" s="252"/>
      <c r="H4254" s="252"/>
      <c r="I4254" s="252"/>
      <c r="J4254" s="252"/>
      <c r="K4254" s="252"/>
      <c r="L4254"/>
      <c r="M4254"/>
    </row>
    <row r="4255" spans="1:13" s="79" customFormat="1" x14ac:dyDescent="0.35">
      <c r="A4255" s="251"/>
      <c r="B4255" s="22"/>
      <c r="C4255" s="252"/>
      <c r="D4255" s="252"/>
      <c r="E4255" s="252"/>
      <c r="F4255" s="252"/>
      <c r="G4255" s="252"/>
      <c r="H4255" s="252"/>
      <c r="I4255" s="252"/>
      <c r="J4255" s="252"/>
      <c r="K4255" s="252"/>
      <c r="L4255"/>
      <c r="M4255"/>
    </row>
    <row r="4256" spans="1:13" s="79" customFormat="1" x14ac:dyDescent="0.35">
      <c r="A4256" s="251"/>
      <c r="B4256" s="22"/>
      <c r="C4256" s="252"/>
      <c r="D4256" s="252"/>
      <c r="E4256" s="252"/>
      <c r="F4256" s="252"/>
      <c r="G4256" s="252"/>
      <c r="H4256" s="252"/>
      <c r="I4256" s="252"/>
      <c r="J4256" s="252"/>
      <c r="K4256" s="252"/>
      <c r="L4256"/>
      <c r="M4256"/>
    </row>
    <row r="4257" spans="1:13" s="79" customFormat="1" x14ac:dyDescent="0.35">
      <c r="A4257" s="251"/>
      <c r="B4257" s="22"/>
      <c r="C4257" s="252"/>
      <c r="D4257" s="252"/>
      <c r="E4257" s="252"/>
      <c r="F4257" s="252"/>
      <c r="G4257" s="252"/>
      <c r="H4257" s="252"/>
      <c r="I4257" s="252"/>
      <c r="J4257" s="252"/>
      <c r="K4257" s="252"/>
      <c r="L4257"/>
      <c r="M4257"/>
    </row>
    <row r="4258" spans="1:13" s="79" customFormat="1" x14ac:dyDescent="0.35">
      <c r="A4258" s="251"/>
      <c r="B4258" s="22"/>
      <c r="C4258" s="252"/>
      <c r="D4258" s="252"/>
      <c r="E4258" s="252"/>
      <c r="F4258" s="252"/>
      <c r="G4258" s="252"/>
      <c r="H4258" s="252"/>
      <c r="I4258" s="252"/>
      <c r="J4258" s="252"/>
      <c r="K4258" s="252"/>
      <c r="L4258"/>
      <c r="M4258"/>
    </row>
    <row r="4259" spans="1:13" s="79" customFormat="1" x14ac:dyDescent="0.35">
      <c r="A4259" s="251"/>
      <c r="B4259" s="22"/>
      <c r="C4259" s="252"/>
      <c r="D4259" s="252"/>
      <c r="E4259" s="252"/>
      <c r="F4259" s="252"/>
      <c r="G4259" s="252"/>
      <c r="H4259" s="252"/>
      <c r="I4259" s="252"/>
      <c r="J4259" s="252"/>
      <c r="K4259" s="252"/>
      <c r="L4259"/>
      <c r="M4259"/>
    </row>
    <row r="4260" spans="1:13" s="79" customFormat="1" x14ac:dyDescent="0.35">
      <c r="A4260" s="251"/>
      <c r="B4260" s="22"/>
      <c r="C4260" s="252"/>
      <c r="D4260" s="252"/>
      <c r="E4260" s="252"/>
      <c r="F4260" s="252"/>
      <c r="G4260" s="252"/>
      <c r="H4260" s="252"/>
      <c r="I4260" s="252"/>
      <c r="J4260" s="252"/>
      <c r="K4260" s="252"/>
      <c r="L4260"/>
      <c r="M4260"/>
    </row>
    <row r="4261" spans="1:13" s="79" customFormat="1" x14ac:dyDescent="0.35">
      <c r="A4261" s="251"/>
      <c r="B4261" s="22"/>
      <c r="C4261" s="252"/>
      <c r="D4261" s="252"/>
      <c r="E4261" s="252"/>
      <c r="F4261" s="252"/>
      <c r="G4261" s="252"/>
      <c r="H4261" s="252"/>
      <c r="I4261" s="252"/>
      <c r="J4261" s="252"/>
      <c r="K4261" s="252"/>
      <c r="L4261"/>
      <c r="M4261"/>
    </row>
    <row r="4262" spans="1:13" s="79" customFormat="1" x14ac:dyDescent="0.35">
      <c r="A4262" s="251"/>
      <c r="B4262" s="22"/>
      <c r="C4262" s="252"/>
      <c r="D4262" s="252"/>
      <c r="E4262" s="252"/>
      <c r="F4262" s="252"/>
      <c r="G4262" s="252"/>
      <c r="H4262" s="252"/>
      <c r="I4262" s="252"/>
      <c r="J4262" s="252"/>
      <c r="K4262" s="252"/>
      <c r="L4262"/>
      <c r="M4262"/>
    </row>
    <row r="4263" spans="1:13" s="79" customFormat="1" x14ac:dyDescent="0.35">
      <c r="A4263" s="251"/>
      <c r="B4263" s="22"/>
      <c r="C4263" s="252"/>
      <c r="D4263" s="252"/>
      <c r="E4263" s="252"/>
      <c r="F4263" s="252"/>
      <c r="G4263" s="252"/>
      <c r="H4263" s="252"/>
      <c r="I4263" s="252"/>
      <c r="J4263" s="252"/>
      <c r="K4263" s="252"/>
      <c r="L4263"/>
      <c r="M4263"/>
    </row>
    <row r="4264" spans="1:13" s="79" customFormat="1" x14ac:dyDescent="0.35">
      <c r="A4264" s="251"/>
      <c r="B4264" s="22"/>
      <c r="C4264" s="252"/>
      <c r="D4264" s="252"/>
      <c r="E4264" s="252"/>
      <c r="F4264" s="252"/>
      <c r="G4264" s="252"/>
      <c r="H4264" s="252"/>
      <c r="I4264" s="252"/>
      <c r="J4264" s="252"/>
      <c r="K4264" s="252"/>
      <c r="L4264"/>
      <c r="M4264"/>
    </row>
    <row r="4265" spans="1:13" s="79" customFormat="1" x14ac:dyDescent="0.35">
      <c r="A4265" s="251"/>
      <c r="B4265" s="22"/>
      <c r="C4265" s="252"/>
      <c r="D4265" s="252"/>
      <c r="E4265" s="252"/>
      <c r="F4265" s="252"/>
      <c r="G4265" s="252"/>
      <c r="H4265" s="252"/>
      <c r="I4265" s="252"/>
      <c r="J4265" s="252"/>
      <c r="K4265" s="252"/>
      <c r="L4265"/>
      <c r="M4265"/>
    </row>
    <row r="4266" spans="1:13" s="79" customFormat="1" x14ac:dyDescent="0.35">
      <c r="A4266" s="251"/>
      <c r="B4266" s="22"/>
      <c r="C4266" s="252"/>
      <c r="D4266" s="252"/>
      <c r="E4266" s="252"/>
      <c r="F4266" s="252"/>
      <c r="G4266" s="252"/>
      <c r="H4266" s="252"/>
      <c r="I4266" s="252"/>
      <c r="J4266" s="252"/>
      <c r="K4266" s="252"/>
      <c r="L4266"/>
      <c r="M4266"/>
    </row>
    <row r="4267" spans="1:13" s="79" customFormat="1" x14ac:dyDescent="0.35">
      <c r="A4267" s="251"/>
      <c r="B4267" s="22"/>
      <c r="C4267" s="252"/>
      <c r="D4267" s="252"/>
      <c r="E4267" s="252"/>
      <c r="F4267" s="252"/>
      <c r="G4267" s="252"/>
      <c r="H4267" s="252"/>
      <c r="I4267" s="252"/>
      <c r="J4267" s="252"/>
      <c r="K4267" s="252"/>
      <c r="L4267"/>
      <c r="M4267"/>
    </row>
    <row r="4268" spans="1:13" s="79" customFormat="1" x14ac:dyDescent="0.35">
      <c r="A4268" s="251"/>
      <c r="B4268" s="22"/>
      <c r="C4268" s="252"/>
      <c r="D4268" s="252"/>
      <c r="E4268" s="252"/>
      <c r="F4268" s="252"/>
      <c r="G4268" s="252"/>
      <c r="H4268" s="252"/>
      <c r="I4268" s="252"/>
      <c r="J4268" s="252"/>
      <c r="K4268" s="252"/>
      <c r="L4268"/>
      <c r="M4268"/>
    </row>
    <row r="4269" spans="1:13" s="79" customFormat="1" x14ac:dyDescent="0.35">
      <c r="A4269" s="251"/>
      <c r="B4269" s="22"/>
      <c r="C4269" s="252"/>
      <c r="D4269" s="252"/>
      <c r="E4269" s="252"/>
      <c r="F4269" s="252"/>
      <c r="G4269" s="252"/>
      <c r="H4269" s="252"/>
      <c r="I4269" s="252"/>
      <c r="J4269" s="252"/>
      <c r="K4269" s="252"/>
      <c r="L4269"/>
      <c r="M4269"/>
    </row>
    <row r="4270" spans="1:13" s="79" customFormat="1" x14ac:dyDescent="0.35">
      <c r="A4270" s="251"/>
      <c r="B4270" s="22"/>
      <c r="C4270" s="252"/>
      <c r="D4270" s="252"/>
      <c r="E4270" s="252"/>
      <c r="F4270" s="252"/>
      <c r="G4270" s="252"/>
      <c r="H4270" s="252"/>
      <c r="I4270" s="252"/>
      <c r="J4270" s="252"/>
      <c r="K4270" s="252"/>
      <c r="L4270"/>
      <c r="M4270"/>
    </row>
    <row r="4271" spans="1:13" s="79" customFormat="1" x14ac:dyDescent="0.35">
      <c r="A4271" s="251"/>
      <c r="B4271" s="22"/>
      <c r="C4271" s="252"/>
      <c r="D4271" s="252"/>
      <c r="E4271" s="252"/>
      <c r="F4271" s="252"/>
      <c r="G4271" s="252"/>
      <c r="H4271" s="252"/>
      <c r="I4271" s="252"/>
      <c r="J4271" s="252"/>
      <c r="K4271" s="252"/>
      <c r="L4271"/>
      <c r="M4271"/>
    </row>
    <row r="4272" spans="1:13" s="79" customFormat="1" x14ac:dyDescent="0.35">
      <c r="A4272" s="251"/>
      <c r="B4272" s="22"/>
      <c r="C4272" s="252"/>
      <c r="D4272" s="252"/>
      <c r="E4272" s="252"/>
      <c r="F4272" s="252"/>
      <c r="G4272" s="252"/>
      <c r="H4272" s="252"/>
      <c r="I4272" s="252"/>
      <c r="J4272" s="252"/>
      <c r="K4272" s="252"/>
      <c r="L4272"/>
      <c r="M4272"/>
    </row>
    <row r="4273" spans="1:13" s="79" customFormat="1" x14ac:dyDescent="0.35">
      <c r="A4273" s="251"/>
      <c r="B4273" s="22"/>
      <c r="C4273" s="252"/>
      <c r="D4273" s="252"/>
      <c r="E4273" s="252"/>
      <c r="F4273" s="252"/>
      <c r="G4273" s="252"/>
      <c r="H4273" s="252"/>
      <c r="I4273" s="252"/>
      <c r="J4273" s="252"/>
      <c r="K4273" s="252"/>
      <c r="L4273"/>
      <c r="M4273"/>
    </row>
    <row r="4274" spans="1:13" s="79" customFormat="1" x14ac:dyDescent="0.35">
      <c r="A4274" s="251"/>
      <c r="B4274" s="22"/>
      <c r="C4274" s="252"/>
      <c r="D4274" s="252"/>
      <c r="E4274" s="252"/>
      <c r="F4274" s="252"/>
      <c r="G4274" s="252"/>
      <c r="H4274" s="252"/>
      <c r="I4274" s="252"/>
      <c r="J4274" s="252"/>
      <c r="K4274" s="252"/>
      <c r="L4274"/>
      <c r="M4274"/>
    </row>
    <row r="4275" spans="1:13" s="79" customFormat="1" x14ac:dyDescent="0.35">
      <c r="A4275" s="251"/>
      <c r="B4275" s="22"/>
      <c r="C4275" s="252"/>
      <c r="D4275" s="252"/>
      <c r="E4275" s="252"/>
      <c r="F4275" s="252"/>
      <c r="G4275" s="252"/>
      <c r="H4275" s="252"/>
      <c r="I4275" s="252"/>
      <c r="J4275" s="252"/>
      <c r="K4275" s="252"/>
      <c r="L4275"/>
      <c r="M4275"/>
    </row>
    <row r="4276" spans="1:13" s="79" customFormat="1" x14ac:dyDescent="0.35">
      <c r="A4276" s="251"/>
      <c r="B4276" s="22"/>
      <c r="C4276" s="252"/>
      <c r="D4276" s="252"/>
      <c r="E4276" s="252"/>
      <c r="F4276" s="252"/>
      <c r="G4276" s="252"/>
      <c r="H4276" s="252"/>
      <c r="I4276" s="252"/>
      <c r="J4276" s="252"/>
      <c r="K4276" s="252"/>
      <c r="L4276"/>
      <c r="M4276"/>
    </row>
    <row r="4277" spans="1:13" s="79" customFormat="1" x14ac:dyDescent="0.35">
      <c r="A4277" s="251"/>
      <c r="B4277" s="22"/>
      <c r="C4277" s="252"/>
      <c r="D4277" s="252"/>
      <c r="E4277" s="252"/>
      <c r="F4277" s="252"/>
      <c r="G4277" s="252"/>
      <c r="H4277" s="252"/>
      <c r="I4277" s="252"/>
      <c r="J4277" s="252"/>
      <c r="K4277" s="252"/>
      <c r="L4277"/>
      <c r="M4277"/>
    </row>
    <row r="4278" spans="1:13" s="79" customFormat="1" x14ac:dyDescent="0.35">
      <c r="A4278" s="251"/>
      <c r="B4278" s="22"/>
      <c r="C4278" s="252"/>
      <c r="D4278" s="252"/>
      <c r="E4278" s="252"/>
      <c r="F4278" s="252"/>
      <c r="G4278" s="252"/>
      <c r="H4278" s="252"/>
      <c r="I4278" s="252"/>
      <c r="J4278" s="252"/>
      <c r="K4278" s="252"/>
      <c r="L4278"/>
      <c r="M4278"/>
    </row>
    <row r="4279" spans="1:13" s="79" customFormat="1" x14ac:dyDescent="0.35">
      <c r="A4279" s="251"/>
      <c r="B4279" s="22"/>
      <c r="C4279" s="252"/>
      <c r="D4279" s="252"/>
      <c r="E4279" s="252"/>
      <c r="F4279" s="252"/>
      <c r="G4279" s="252"/>
      <c r="H4279" s="252"/>
      <c r="I4279" s="252"/>
      <c r="J4279" s="252"/>
      <c r="K4279" s="252"/>
      <c r="L4279"/>
      <c r="M4279"/>
    </row>
    <row r="4280" spans="1:13" s="79" customFormat="1" x14ac:dyDescent="0.35">
      <c r="A4280" s="251"/>
      <c r="B4280" s="22"/>
      <c r="C4280" s="252"/>
      <c r="D4280" s="252"/>
      <c r="E4280" s="252"/>
      <c r="F4280" s="252"/>
      <c r="G4280" s="252"/>
      <c r="H4280" s="252"/>
      <c r="I4280" s="252"/>
      <c r="J4280" s="252"/>
      <c r="K4280" s="252"/>
      <c r="L4280"/>
      <c r="M4280"/>
    </row>
    <row r="4281" spans="1:13" s="79" customFormat="1" x14ac:dyDescent="0.35">
      <c r="A4281" s="251"/>
      <c r="B4281" s="22"/>
      <c r="C4281" s="252"/>
      <c r="D4281" s="252"/>
      <c r="E4281" s="252"/>
      <c r="F4281" s="252"/>
      <c r="G4281" s="252"/>
      <c r="H4281" s="252"/>
      <c r="I4281" s="252"/>
      <c r="J4281" s="252"/>
      <c r="K4281" s="252"/>
      <c r="L4281"/>
      <c r="M4281"/>
    </row>
    <row r="4282" spans="1:13" s="79" customFormat="1" x14ac:dyDescent="0.35">
      <c r="A4282" s="251"/>
      <c r="B4282" s="22"/>
      <c r="C4282" s="252"/>
      <c r="D4282" s="252"/>
      <c r="E4282" s="252"/>
      <c r="F4282" s="252"/>
      <c r="G4282" s="252"/>
      <c r="H4282" s="252"/>
      <c r="I4282" s="252"/>
      <c r="J4282" s="252"/>
      <c r="K4282" s="252"/>
      <c r="L4282"/>
      <c r="M4282"/>
    </row>
    <row r="4283" spans="1:13" s="79" customFormat="1" x14ac:dyDescent="0.35">
      <c r="A4283" s="251"/>
      <c r="B4283" s="22"/>
      <c r="C4283" s="252"/>
      <c r="D4283" s="252"/>
      <c r="E4283" s="252"/>
      <c r="F4283" s="252"/>
      <c r="G4283" s="252"/>
      <c r="H4283" s="252"/>
      <c r="I4283" s="252"/>
      <c r="J4283" s="252"/>
      <c r="K4283" s="252"/>
      <c r="L4283"/>
      <c r="M4283"/>
    </row>
    <row r="4284" spans="1:13" s="79" customFormat="1" x14ac:dyDescent="0.35">
      <c r="A4284" s="251"/>
      <c r="B4284" s="22"/>
      <c r="C4284" s="252"/>
      <c r="D4284" s="252"/>
      <c r="E4284" s="252"/>
      <c r="F4284" s="252"/>
      <c r="G4284" s="252"/>
      <c r="H4284" s="252"/>
      <c r="I4284" s="252"/>
      <c r="J4284" s="252"/>
      <c r="K4284" s="252"/>
      <c r="L4284"/>
      <c r="M4284"/>
    </row>
    <row r="4285" spans="1:13" s="79" customFormat="1" x14ac:dyDescent="0.35">
      <c r="A4285" s="251"/>
      <c r="B4285" s="22"/>
      <c r="C4285" s="252"/>
      <c r="D4285" s="252"/>
      <c r="E4285" s="252"/>
      <c r="F4285" s="252"/>
      <c r="G4285" s="252"/>
      <c r="H4285" s="252"/>
      <c r="I4285" s="252"/>
      <c r="J4285" s="252"/>
      <c r="K4285" s="252"/>
      <c r="L4285"/>
      <c r="M4285"/>
    </row>
    <row r="4286" spans="1:13" s="79" customFormat="1" x14ac:dyDescent="0.35">
      <c r="A4286" s="251"/>
      <c r="B4286" s="22"/>
      <c r="C4286" s="252"/>
      <c r="D4286" s="252"/>
      <c r="E4286" s="252"/>
      <c r="F4286" s="252"/>
      <c r="G4286" s="252"/>
      <c r="H4286" s="252"/>
      <c r="I4286" s="252"/>
      <c r="J4286" s="252"/>
      <c r="K4286" s="252"/>
      <c r="L4286"/>
      <c r="M4286"/>
    </row>
    <row r="4287" spans="1:13" s="79" customFormat="1" x14ac:dyDescent="0.35">
      <c r="A4287" s="251"/>
      <c r="B4287" s="22"/>
      <c r="C4287" s="252"/>
      <c r="D4287" s="252"/>
      <c r="E4287" s="252"/>
      <c r="F4287" s="252"/>
      <c r="G4287" s="252"/>
      <c r="H4287" s="252"/>
      <c r="I4287" s="252"/>
      <c r="J4287" s="252"/>
      <c r="K4287" s="252"/>
      <c r="L4287"/>
      <c r="M4287"/>
    </row>
    <row r="4288" spans="1:13" s="79" customFormat="1" x14ac:dyDescent="0.35">
      <c r="A4288" s="251"/>
      <c r="B4288" s="22"/>
      <c r="C4288" s="252"/>
      <c r="D4288" s="252"/>
      <c r="E4288" s="252"/>
      <c r="F4288" s="252"/>
      <c r="G4288" s="252"/>
      <c r="H4288" s="252"/>
      <c r="I4288" s="252"/>
      <c r="J4288" s="252"/>
      <c r="K4288" s="252"/>
      <c r="L4288"/>
      <c r="M4288"/>
    </row>
    <row r="4289" spans="1:13" s="79" customFormat="1" x14ac:dyDescent="0.35">
      <c r="A4289" s="251"/>
      <c r="B4289" s="22"/>
      <c r="C4289" s="252"/>
      <c r="D4289" s="252"/>
      <c r="E4289" s="252"/>
      <c r="F4289" s="252"/>
      <c r="G4289" s="252"/>
      <c r="H4289" s="252"/>
      <c r="I4289" s="252"/>
      <c r="J4289" s="252"/>
      <c r="K4289" s="252"/>
      <c r="L4289"/>
      <c r="M4289"/>
    </row>
    <row r="4290" spans="1:13" s="79" customFormat="1" x14ac:dyDescent="0.35">
      <c r="A4290" s="251"/>
      <c r="B4290" s="22"/>
      <c r="C4290" s="252"/>
      <c r="D4290" s="252"/>
      <c r="E4290" s="252"/>
      <c r="F4290" s="252"/>
      <c r="G4290" s="252"/>
      <c r="H4290" s="252"/>
      <c r="I4290" s="252"/>
      <c r="J4290" s="252"/>
      <c r="K4290" s="252"/>
      <c r="L4290"/>
      <c r="M4290"/>
    </row>
    <row r="4291" spans="1:13" s="79" customFormat="1" x14ac:dyDescent="0.35">
      <c r="A4291" s="251"/>
      <c r="B4291" s="22"/>
      <c r="C4291" s="252"/>
      <c r="D4291" s="252"/>
      <c r="E4291" s="252"/>
      <c r="F4291" s="252"/>
      <c r="G4291" s="252"/>
      <c r="H4291" s="252"/>
      <c r="I4291" s="252"/>
      <c r="J4291" s="252"/>
      <c r="K4291" s="252"/>
      <c r="L4291"/>
      <c r="M4291"/>
    </row>
    <row r="4292" spans="1:13" s="79" customFormat="1" x14ac:dyDescent="0.35">
      <c r="A4292" s="251"/>
      <c r="B4292" s="22"/>
      <c r="C4292" s="252"/>
      <c r="D4292" s="252"/>
      <c r="E4292" s="252"/>
      <c r="F4292" s="252"/>
      <c r="G4292" s="252"/>
      <c r="H4292" s="252"/>
      <c r="I4292" s="252"/>
      <c r="J4292" s="252"/>
      <c r="K4292" s="252"/>
      <c r="L4292"/>
      <c r="M4292"/>
    </row>
    <row r="4293" spans="1:13" s="79" customFormat="1" x14ac:dyDescent="0.35">
      <c r="A4293" s="251"/>
      <c r="B4293" s="22"/>
      <c r="C4293" s="252"/>
      <c r="D4293" s="252"/>
      <c r="E4293" s="252"/>
      <c r="F4293" s="252"/>
      <c r="G4293" s="252"/>
      <c r="H4293" s="252"/>
      <c r="I4293" s="252"/>
      <c r="J4293" s="252"/>
      <c r="K4293" s="252"/>
      <c r="L4293"/>
      <c r="M4293"/>
    </row>
    <row r="4294" spans="1:13" s="79" customFormat="1" x14ac:dyDescent="0.35">
      <c r="A4294" s="251"/>
      <c r="B4294" s="22"/>
      <c r="C4294" s="252"/>
      <c r="D4294" s="252"/>
      <c r="E4294" s="252"/>
      <c r="F4294" s="252"/>
      <c r="G4294" s="252"/>
      <c r="H4294" s="252"/>
      <c r="I4294" s="252"/>
      <c r="J4294" s="252"/>
      <c r="K4294" s="252"/>
      <c r="L4294"/>
      <c r="M4294"/>
    </row>
    <row r="4295" spans="1:13" s="79" customFormat="1" x14ac:dyDescent="0.35">
      <c r="A4295" s="251"/>
      <c r="B4295" s="22"/>
      <c r="C4295" s="252"/>
      <c r="D4295" s="252"/>
      <c r="E4295" s="252"/>
      <c r="F4295" s="252"/>
      <c r="G4295" s="252"/>
      <c r="H4295" s="252"/>
      <c r="I4295" s="252"/>
      <c r="J4295" s="252"/>
      <c r="K4295" s="252"/>
      <c r="L4295"/>
      <c r="M4295"/>
    </row>
    <row r="4296" spans="1:13" s="79" customFormat="1" x14ac:dyDescent="0.35">
      <c r="A4296" s="251"/>
      <c r="B4296" s="22"/>
      <c r="C4296" s="252"/>
      <c r="D4296" s="252"/>
      <c r="E4296" s="252"/>
      <c r="F4296" s="252"/>
      <c r="G4296" s="252"/>
      <c r="H4296" s="252"/>
      <c r="I4296" s="252"/>
      <c r="J4296" s="252"/>
      <c r="K4296" s="252"/>
      <c r="L4296"/>
      <c r="M4296"/>
    </row>
    <row r="4297" spans="1:13" s="79" customFormat="1" x14ac:dyDescent="0.35">
      <c r="A4297" s="251"/>
      <c r="B4297" s="22"/>
      <c r="C4297" s="252"/>
      <c r="D4297" s="252"/>
      <c r="E4297" s="252"/>
      <c r="F4297" s="252"/>
      <c r="G4297" s="252"/>
      <c r="H4297" s="252"/>
      <c r="I4297" s="252"/>
      <c r="J4297" s="252"/>
      <c r="K4297" s="252"/>
      <c r="L4297"/>
      <c r="M4297"/>
    </row>
    <row r="4298" spans="1:13" s="79" customFormat="1" x14ac:dyDescent="0.35">
      <c r="A4298" s="251"/>
      <c r="B4298" s="22"/>
      <c r="C4298" s="252"/>
      <c r="D4298" s="252"/>
      <c r="E4298" s="252"/>
      <c r="F4298" s="252"/>
      <c r="G4298" s="252"/>
      <c r="H4298" s="252"/>
      <c r="I4298" s="252"/>
      <c r="J4298" s="252"/>
      <c r="K4298" s="252"/>
      <c r="L4298"/>
      <c r="M4298"/>
    </row>
    <row r="4299" spans="1:13" s="79" customFormat="1" x14ac:dyDescent="0.35">
      <c r="A4299" s="251"/>
      <c r="B4299" s="22"/>
      <c r="C4299" s="252"/>
      <c r="D4299" s="252"/>
      <c r="E4299" s="252"/>
      <c r="F4299" s="252"/>
      <c r="G4299" s="252"/>
      <c r="H4299" s="252"/>
      <c r="I4299" s="252"/>
      <c r="J4299" s="252"/>
      <c r="K4299" s="252"/>
      <c r="L4299"/>
      <c r="M4299"/>
    </row>
    <row r="4300" spans="1:13" s="79" customFormat="1" x14ac:dyDescent="0.35">
      <c r="A4300" s="251"/>
      <c r="B4300" s="22"/>
      <c r="C4300" s="252"/>
      <c r="D4300" s="252"/>
      <c r="E4300" s="252"/>
      <c r="F4300" s="252"/>
      <c r="G4300" s="252"/>
      <c r="H4300" s="252"/>
      <c r="I4300" s="252"/>
      <c r="J4300" s="252"/>
      <c r="K4300" s="252"/>
      <c r="L4300"/>
      <c r="M4300"/>
    </row>
    <row r="4301" spans="1:13" s="79" customFormat="1" x14ac:dyDescent="0.35">
      <c r="A4301" s="251"/>
      <c r="B4301" s="22"/>
      <c r="C4301" s="252"/>
      <c r="D4301" s="252"/>
      <c r="E4301" s="252"/>
      <c r="F4301" s="252"/>
      <c r="G4301" s="252"/>
      <c r="H4301" s="252"/>
      <c r="I4301" s="252"/>
      <c r="J4301" s="252"/>
      <c r="K4301" s="252"/>
      <c r="L4301"/>
      <c r="M4301"/>
    </row>
    <row r="4302" spans="1:13" s="79" customFormat="1" x14ac:dyDescent="0.35">
      <c r="A4302" s="251"/>
      <c r="B4302" s="22"/>
      <c r="C4302" s="252"/>
      <c r="D4302" s="252"/>
      <c r="E4302" s="252"/>
      <c r="F4302" s="252"/>
      <c r="G4302" s="252"/>
      <c r="H4302" s="252"/>
      <c r="I4302" s="252"/>
      <c r="J4302" s="252"/>
      <c r="K4302" s="252"/>
      <c r="L4302"/>
      <c r="M4302"/>
    </row>
    <row r="4303" spans="1:13" s="79" customFormat="1" x14ac:dyDescent="0.35">
      <c r="A4303" s="251"/>
      <c r="B4303" s="22"/>
      <c r="C4303" s="252"/>
      <c r="D4303" s="252"/>
      <c r="E4303" s="252"/>
      <c r="F4303" s="252"/>
      <c r="G4303" s="252"/>
      <c r="H4303" s="252"/>
      <c r="I4303" s="252"/>
      <c r="J4303" s="252"/>
      <c r="K4303" s="252"/>
      <c r="L4303"/>
      <c r="M4303"/>
    </row>
    <row r="4304" spans="1:13" s="79" customFormat="1" x14ac:dyDescent="0.35">
      <c r="A4304" s="251"/>
      <c r="B4304" s="22"/>
      <c r="C4304" s="252"/>
      <c r="D4304" s="252"/>
      <c r="E4304" s="252"/>
      <c r="F4304" s="252"/>
      <c r="G4304" s="252"/>
      <c r="H4304" s="252"/>
      <c r="I4304" s="252"/>
      <c r="J4304" s="252"/>
      <c r="K4304" s="252"/>
      <c r="L4304"/>
      <c r="M4304"/>
    </row>
    <row r="4305" spans="1:13" s="79" customFormat="1" x14ac:dyDescent="0.35">
      <c r="A4305" s="251"/>
      <c r="B4305" s="22"/>
      <c r="C4305" s="252"/>
      <c r="D4305" s="252"/>
      <c r="E4305" s="252"/>
      <c r="F4305" s="252"/>
      <c r="G4305" s="252"/>
      <c r="H4305" s="252"/>
      <c r="I4305" s="252"/>
      <c r="J4305" s="252"/>
      <c r="K4305" s="252"/>
      <c r="L4305"/>
      <c r="M4305"/>
    </row>
    <row r="4306" spans="1:13" s="79" customFormat="1" x14ac:dyDescent="0.35">
      <c r="A4306" s="251"/>
      <c r="B4306" s="22"/>
      <c r="C4306" s="252"/>
      <c r="D4306" s="252"/>
      <c r="E4306" s="252"/>
      <c r="F4306" s="252"/>
      <c r="G4306" s="252"/>
      <c r="H4306" s="252"/>
      <c r="I4306" s="252"/>
      <c r="J4306" s="252"/>
      <c r="K4306" s="252"/>
      <c r="L4306"/>
      <c r="M4306"/>
    </row>
    <row r="4307" spans="1:13" s="79" customFormat="1" x14ac:dyDescent="0.35">
      <c r="A4307" s="251"/>
      <c r="B4307" s="22"/>
      <c r="C4307" s="252"/>
      <c r="D4307" s="252"/>
      <c r="E4307" s="252"/>
      <c r="F4307" s="252"/>
      <c r="G4307" s="252"/>
      <c r="H4307" s="252"/>
      <c r="I4307" s="252"/>
      <c r="J4307" s="252"/>
      <c r="K4307" s="252"/>
      <c r="L4307"/>
      <c r="M4307"/>
    </row>
    <row r="4308" spans="1:13" s="79" customFormat="1" x14ac:dyDescent="0.35">
      <c r="A4308" s="251"/>
      <c r="B4308" s="22"/>
      <c r="C4308" s="252"/>
      <c r="D4308" s="252"/>
      <c r="E4308" s="252"/>
      <c r="F4308" s="252"/>
      <c r="G4308" s="252"/>
      <c r="H4308" s="252"/>
      <c r="I4308" s="252"/>
      <c r="J4308" s="252"/>
      <c r="K4308" s="252"/>
      <c r="L4308"/>
      <c r="M4308"/>
    </row>
    <row r="4309" spans="1:13" s="79" customFormat="1" x14ac:dyDescent="0.35">
      <c r="A4309" s="251"/>
      <c r="B4309" s="22"/>
      <c r="C4309" s="252"/>
      <c r="D4309" s="252"/>
      <c r="E4309" s="252"/>
      <c r="F4309" s="252"/>
      <c r="G4309" s="252"/>
      <c r="H4309" s="252"/>
      <c r="I4309" s="252"/>
      <c r="J4309" s="252"/>
      <c r="K4309" s="252"/>
      <c r="L4309"/>
      <c r="M4309"/>
    </row>
    <row r="4310" spans="1:13" s="79" customFormat="1" x14ac:dyDescent="0.35">
      <c r="A4310" s="251"/>
      <c r="B4310" s="22"/>
      <c r="C4310" s="252"/>
      <c r="D4310" s="252"/>
      <c r="E4310" s="252"/>
      <c r="F4310" s="252"/>
      <c r="G4310" s="252"/>
      <c r="H4310" s="252"/>
      <c r="I4310" s="252"/>
      <c r="J4310" s="252"/>
      <c r="K4310" s="252"/>
      <c r="L4310"/>
      <c r="M4310"/>
    </row>
    <row r="4311" spans="1:13" s="79" customFormat="1" x14ac:dyDescent="0.35">
      <c r="A4311" s="251"/>
      <c r="B4311" s="22"/>
      <c r="C4311" s="252"/>
      <c r="D4311" s="252"/>
      <c r="E4311" s="252"/>
      <c r="F4311" s="252"/>
      <c r="G4311" s="252"/>
      <c r="H4311" s="252"/>
      <c r="I4311" s="252"/>
      <c r="J4311" s="252"/>
      <c r="K4311" s="252"/>
      <c r="L4311"/>
      <c r="M4311"/>
    </row>
    <row r="4312" spans="1:13" s="79" customFormat="1" x14ac:dyDescent="0.35">
      <c r="A4312" s="251"/>
      <c r="B4312" s="22"/>
      <c r="C4312" s="252"/>
      <c r="D4312" s="252"/>
      <c r="E4312" s="252"/>
      <c r="F4312" s="252"/>
      <c r="G4312" s="252"/>
      <c r="H4312" s="252"/>
      <c r="I4312" s="252"/>
      <c r="J4312" s="252"/>
      <c r="K4312" s="252"/>
      <c r="L4312"/>
      <c r="M4312"/>
    </row>
    <row r="4313" spans="1:13" s="79" customFormat="1" x14ac:dyDescent="0.35">
      <c r="A4313" s="251"/>
      <c r="B4313" s="22"/>
      <c r="C4313" s="252"/>
      <c r="D4313" s="252"/>
      <c r="E4313" s="252"/>
      <c r="F4313" s="252"/>
      <c r="G4313" s="252"/>
      <c r="H4313" s="252"/>
      <c r="I4313" s="252"/>
      <c r="J4313" s="252"/>
      <c r="K4313" s="252"/>
      <c r="L4313"/>
      <c r="M4313"/>
    </row>
    <row r="4314" spans="1:13" s="79" customFormat="1" x14ac:dyDescent="0.35">
      <c r="A4314" s="251"/>
      <c r="B4314" s="22"/>
      <c r="C4314" s="252"/>
      <c r="D4314" s="252"/>
      <c r="E4314" s="252"/>
      <c r="F4314" s="252"/>
      <c r="G4314" s="252"/>
      <c r="H4314" s="252"/>
      <c r="I4314" s="252"/>
      <c r="J4314" s="252"/>
      <c r="K4314" s="252"/>
      <c r="L4314"/>
      <c r="M4314"/>
    </row>
    <row r="4315" spans="1:13" s="79" customFormat="1" x14ac:dyDescent="0.35">
      <c r="A4315" s="251"/>
      <c r="B4315" s="22"/>
      <c r="C4315" s="252"/>
      <c r="D4315" s="252"/>
      <c r="E4315" s="252"/>
      <c r="F4315" s="252"/>
      <c r="G4315" s="252"/>
      <c r="H4315" s="252"/>
      <c r="I4315" s="252"/>
      <c r="J4315" s="252"/>
      <c r="K4315" s="252"/>
      <c r="L4315"/>
      <c r="M4315"/>
    </row>
    <row r="4316" spans="1:13" s="79" customFormat="1" x14ac:dyDescent="0.35">
      <c r="A4316" s="251"/>
      <c r="B4316" s="22"/>
      <c r="C4316" s="252"/>
      <c r="D4316" s="252"/>
      <c r="E4316" s="252"/>
      <c r="F4316" s="252"/>
      <c r="G4316" s="252"/>
      <c r="H4316" s="252"/>
      <c r="I4316" s="252"/>
      <c r="J4316" s="252"/>
      <c r="K4316" s="252"/>
      <c r="L4316"/>
      <c r="M4316"/>
    </row>
    <row r="4317" spans="1:13" s="79" customFormat="1" x14ac:dyDescent="0.35">
      <c r="A4317" s="251"/>
      <c r="B4317" s="22"/>
      <c r="C4317" s="252"/>
      <c r="D4317" s="252"/>
      <c r="E4317" s="252"/>
      <c r="F4317" s="252"/>
      <c r="G4317" s="252"/>
      <c r="H4317" s="252"/>
      <c r="I4317" s="252"/>
      <c r="J4317" s="252"/>
      <c r="K4317" s="252"/>
      <c r="L4317"/>
      <c r="M4317"/>
    </row>
    <row r="4318" spans="1:13" s="79" customFormat="1" x14ac:dyDescent="0.35">
      <c r="A4318" s="251"/>
      <c r="B4318" s="22"/>
      <c r="C4318" s="252"/>
      <c r="D4318" s="252"/>
      <c r="E4318" s="252"/>
      <c r="F4318" s="252"/>
      <c r="G4318" s="252"/>
      <c r="H4318" s="252"/>
      <c r="I4318" s="252"/>
      <c r="J4318" s="252"/>
      <c r="K4318" s="252"/>
      <c r="L4318"/>
      <c r="M4318"/>
    </row>
    <row r="4319" spans="1:13" s="79" customFormat="1" x14ac:dyDescent="0.35">
      <c r="A4319" s="251"/>
      <c r="B4319" s="22"/>
      <c r="C4319" s="252"/>
      <c r="D4319" s="252"/>
      <c r="E4319" s="252"/>
      <c r="F4319" s="252"/>
      <c r="G4319" s="252"/>
      <c r="H4319" s="252"/>
      <c r="I4319" s="252"/>
      <c r="J4319" s="252"/>
      <c r="K4319" s="252"/>
      <c r="L4319"/>
      <c r="M4319"/>
    </row>
    <row r="4320" spans="1:13" s="79" customFormat="1" x14ac:dyDescent="0.35">
      <c r="A4320" s="251"/>
      <c r="B4320" s="22"/>
      <c r="C4320" s="252"/>
      <c r="D4320" s="252"/>
      <c r="E4320" s="252"/>
      <c r="F4320" s="252"/>
      <c r="G4320" s="252"/>
      <c r="H4320" s="252"/>
      <c r="I4320" s="252"/>
      <c r="J4320" s="252"/>
      <c r="K4320" s="252"/>
      <c r="L4320"/>
      <c r="M4320"/>
    </row>
    <row r="4321" spans="1:13" s="79" customFormat="1" x14ac:dyDescent="0.35">
      <c r="A4321" s="251"/>
      <c r="B4321" s="22"/>
      <c r="C4321" s="252"/>
      <c r="D4321" s="252"/>
      <c r="E4321" s="252"/>
      <c r="F4321" s="252"/>
      <c r="G4321" s="252"/>
      <c r="H4321" s="252"/>
      <c r="I4321" s="252"/>
      <c r="J4321" s="252"/>
      <c r="K4321" s="252"/>
      <c r="L4321"/>
      <c r="M4321"/>
    </row>
    <row r="4322" spans="1:13" s="79" customFormat="1" x14ac:dyDescent="0.35">
      <c r="A4322" s="251"/>
      <c r="B4322" s="22"/>
      <c r="C4322" s="252"/>
      <c r="D4322" s="252"/>
      <c r="E4322" s="252"/>
      <c r="F4322" s="252"/>
      <c r="G4322" s="252"/>
      <c r="H4322" s="252"/>
      <c r="I4322" s="252"/>
      <c r="J4322" s="252"/>
      <c r="K4322" s="252"/>
      <c r="L4322"/>
      <c r="M4322"/>
    </row>
    <row r="4323" spans="1:13" s="79" customFormat="1" x14ac:dyDescent="0.35">
      <c r="A4323" s="251"/>
      <c r="B4323" s="22"/>
      <c r="C4323" s="252"/>
      <c r="D4323" s="252"/>
      <c r="E4323" s="252"/>
      <c r="F4323" s="252"/>
      <c r="G4323" s="252"/>
      <c r="H4323" s="252"/>
      <c r="I4323" s="252"/>
      <c r="J4323" s="252"/>
      <c r="K4323" s="252"/>
      <c r="L4323"/>
      <c r="M4323"/>
    </row>
    <row r="4324" spans="1:13" s="79" customFormat="1" x14ac:dyDescent="0.35">
      <c r="A4324" s="251"/>
      <c r="B4324" s="22"/>
      <c r="C4324" s="252"/>
      <c r="D4324" s="252"/>
      <c r="E4324" s="252"/>
      <c r="F4324" s="252"/>
      <c r="G4324" s="252"/>
      <c r="H4324" s="252"/>
      <c r="I4324" s="252"/>
      <c r="J4324" s="252"/>
      <c r="K4324" s="252"/>
      <c r="L4324"/>
      <c r="M4324"/>
    </row>
    <row r="4325" spans="1:13" s="79" customFormat="1" x14ac:dyDescent="0.35">
      <c r="A4325" s="251"/>
      <c r="B4325" s="22"/>
      <c r="C4325" s="252"/>
      <c r="D4325" s="252"/>
      <c r="E4325" s="252"/>
      <c r="F4325" s="252"/>
      <c r="G4325" s="252"/>
      <c r="H4325" s="252"/>
      <c r="I4325" s="252"/>
      <c r="J4325" s="252"/>
      <c r="K4325" s="252"/>
      <c r="L4325"/>
      <c r="M4325"/>
    </row>
    <row r="4326" spans="1:13" s="79" customFormat="1" x14ac:dyDescent="0.35">
      <c r="A4326" s="251"/>
      <c r="B4326" s="22"/>
      <c r="C4326" s="252"/>
      <c r="D4326" s="252"/>
      <c r="E4326" s="252"/>
      <c r="F4326" s="252"/>
      <c r="G4326" s="252"/>
      <c r="H4326" s="252"/>
      <c r="I4326" s="252"/>
      <c r="J4326" s="252"/>
      <c r="K4326" s="252"/>
      <c r="L4326"/>
      <c r="M4326"/>
    </row>
    <row r="4327" spans="1:13" s="79" customFormat="1" x14ac:dyDescent="0.35">
      <c r="A4327" s="251"/>
      <c r="B4327" s="22"/>
      <c r="C4327" s="252"/>
      <c r="D4327" s="252"/>
      <c r="E4327" s="252"/>
      <c r="F4327" s="252"/>
      <c r="G4327" s="252"/>
      <c r="H4327" s="252"/>
      <c r="I4327" s="252"/>
      <c r="J4327" s="252"/>
      <c r="K4327" s="252"/>
      <c r="L4327"/>
      <c r="M4327"/>
    </row>
    <row r="4328" spans="1:13" s="79" customFormat="1" x14ac:dyDescent="0.35">
      <c r="A4328" s="251"/>
      <c r="B4328" s="22"/>
      <c r="C4328" s="252"/>
      <c r="D4328" s="252"/>
      <c r="E4328" s="252"/>
      <c r="F4328" s="252"/>
      <c r="G4328" s="252"/>
      <c r="H4328" s="252"/>
      <c r="I4328" s="252"/>
      <c r="J4328" s="252"/>
      <c r="K4328" s="252"/>
      <c r="L4328"/>
      <c r="M4328"/>
    </row>
    <row r="4329" spans="1:13" s="79" customFormat="1" x14ac:dyDescent="0.35">
      <c r="A4329" s="251"/>
      <c r="B4329" s="22"/>
      <c r="C4329" s="252"/>
      <c r="D4329" s="252"/>
      <c r="E4329" s="252"/>
      <c r="F4329" s="252"/>
      <c r="G4329" s="252"/>
      <c r="H4329" s="252"/>
      <c r="I4329" s="252"/>
      <c r="J4329" s="252"/>
      <c r="K4329" s="252"/>
      <c r="L4329"/>
      <c r="M4329"/>
    </row>
    <row r="4330" spans="1:13" s="79" customFormat="1" x14ac:dyDescent="0.35">
      <c r="A4330" s="251"/>
      <c r="B4330" s="22"/>
      <c r="C4330" s="252"/>
      <c r="D4330" s="252"/>
      <c r="E4330" s="252"/>
      <c r="F4330" s="252"/>
      <c r="G4330" s="252"/>
      <c r="H4330" s="252"/>
      <c r="I4330" s="252"/>
      <c r="J4330" s="252"/>
      <c r="K4330" s="252"/>
      <c r="L4330"/>
      <c r="M4330"/>
    </row>
    <row r="4331" spans="1:13" s="79" customFormat="1" x14ac:dyDescent="0.35">
      <c r="A4331" s="251"/>
      <c r="B4331" s="22"/>
      <c r="C4331" s="252"/>
      <c r="D4331" s="252"/>
      <c r="E4331" s="252"/>
      <c r="F4331" s="252"/>
      <c r="G4331" s="252"/>
      <c r="H4331" s="252"/>
      <c r="I4331" s="252"/>
      <c r="J4331" s="252"/>
      <c r="K4331" s="252"/>
      <c r="L4331"/>
      <c r="M4331"/>
    </row>
    <row r="4332" spans="1:13" s="79" customFormat="1" x14ac:dyDescent="0.35">
      <c r="A4332" s="251"/>
      <c r="B4332" s="22"/>
      <c r="C4332" s="252"/>
      <c r="D4332" s="252"/>
      <c r="E4332" s="252"/>
      <c r="F4332" s="252"/>
      <c r="G4332" s="252"/>
      <c r="H4332" s="252"/>
      <c r="I4332" s="252"/>
      <c r="J4332" s="252"/>
      <c r="K4332" s="252"/>
      <c r="L4332"/>
      <c r="M4332"/>
    </row>
    <row r="4333" spans="1:13" s="79" customFormat="1" x14ac:dyDescent="0.35">
      <c r="A4333" s="251"/>
      <c r="B4333" s="22"/>
      <c r="C4333" s="252"/>
      <c r="D4333" s="252"/>
      <c r="E4333" s="252"/>
      <c r="F4333" s="252"/>
      <c r="G4333" s="252"/>
      <c r="H4333" s="252"/>
      <c r="I4333" s="252"/>
      <c r="J4333" s="252"/>
      <c r="K4333" s="252"/>
      <c r="L4333"/>
      <c r="M4333"/>
    </row>
    <row r="4334" spans="1:13" s="79" customFormat="1" x14ac:dyDescent="0.35">
      <c r="A4334" s="251"/>
      <c r="B4334" s="22"/>
      <c r="C4334" s="252"/>
      <c r="D4334" s="252"/>
      <c r="E4334" s="252"/>
      <c r="F4334" s="252"/>
      <c r="G4334" s="252"/>
      <c r="H4334" s="252"/>
      <c r="I4334" s="252"/>
      <c r="J4334" s="252"/>
      <c r="K4334" s="252"/>
      <c r="L4334"/>
      <c r="M4334"/>
    </row>
    <row r="4335" spans="1:13" s="79" customFormat="1" x14ac:dyDescent="0.35">
      <c r="A4335" s="251"/>
      <c r="B4335" s="22"/>
      <c r="C4335" s="252"/>
      <c r="D4335" s="252"/>
      <c r="E4335" s="252"/>
      <c r="F4335" s="252"/>
      <c r="G4335" s="252"/>
      <c r="H4335" s="252"/>
      <c r="I4335" s="252"/>
      <c r="J4335" s="252"/>
      <c r="K4335" s="252"/>
      <c r="L4335"/>
      <c r="M4335"/>
    </row>
    <row r="4336" spans="1:13" s="79" customFormat="1" x14ac:dyDescent="0.35">
      <c r="A4336" s="251"/>
      <c r="B4336" s="22"/>
      <c r="C4336" s="252"/>
      <c r="D4336" s="252"/>
      <c r="E4336" s="252"/>
      <c r="F4336" s="252"/>
      <c r="G4336" s="252"/>
      <c r="H4336" s="252"/>
      <c r="I4336" s="252"/>
      <c r="J4336" s="252"/>
      <c r="K4336" s="252"/>
      <c r="L4336"/>
      <c r="M4336"/>
    </row>
    <row r="4337" spans="1:13" s="79" customFormat="1" x14ac:dyDescent="0.35">
      <c r="A4337" s="251"/>
      <c r="B4337" s="22"/>
      <c r="C4337" s="252"/>
      <c r="D4337" s="252"/>
      <c r="E4337" s="252"/>
      <c r="F4337" s="252"/>
      <c r="G4337" s="252"/>
      <c r="H4337" s="252"/>
      <c r="I4337" s="252"/>
      <c r="J4337" s="252"/>
      <c r="K4337" s="252"/>
      <c r="L4337"/>
      <c r="M4337"/>
    </row>
    <row r="4338" spans="1:13" s="79" customFormat="1" x14ac:dyDescent="0.35">
      <c r="A4338" s="251"/>
      <c r="B4338" s="22"/>
      <c r="C4338" s="252"/>
      <c r="D4338" s="252"/>
      <c r="E4338" s="252"/>
      <c r="F4338" s="252"/>
      <c r="G4338" s="252"/>
      <c r="H4338" s="252"/>
      <c r="I4338" s="252"/>
      <c r="J4338" s="252"/>
      <c r="K4338" s="252"/>
      <c r="L4338"/>
      <c r="M4338"/>
    </row>
    <row r="4339" spans="1:13" s="79" customFormat="1" x14ac:dyDescent="0.35">
      <c r="A4339" s="251"/>
      <c r="B4339" s="22"/>
      <c r="C4339" s="252"/>
      <c r="D4339" s="252"/>
      <c r="E4339" s="252"/>
      <c r="F4339" s="252"/>
      <c r="G4339" s="252"/>
      <c r="H4339" s="252"/>
      <c r="I4339" s="252"/>
      <c r="J4339" s="252"/>
      <c r="K4339" s="252"/>
      <c r="L4339"/>
      <c r="M4339"/>
    </row>
    <row r="4340" spans="1:13" s="79" customFormat="1" x14ac:dyDescent="0.35">
      <c r="A4340" s="251"/>
      <c r="B4340" s="22"/>
      <c r="C4340" s="252"/>
      <c r="D4340" s="252"/>
      <c r="E4340" s="252"/>
      <c r="F4340" s="252"/>
      <c r="G4340" s="252"/>
      <c r="H4340" s="252"/>
      <c r="I4340" s="252"/>
      <c r="J4340" s="252"/>
      <c r="K4340" s="252"/>
      <c r="L4340"/>
      <c r="M4340"/>
    </row>
    <row r="4341" spans="1:13" s="79" customFormat="1" x14ac:dyDescent="0.35">
      <c r="A4341" s="251"/>
      <c r="B4341" s="22"/>
      <c r="C4341" s="252"/>
      <c r="D4341" s="252"/>
      <c r="E4341" s="252"/>
      <c r="F4341" s="252"/>
      <c r="G4341" s="252"/>
      <c r="H4341" s="252"/>
      <c r="I4341" s="252"/>
      <c r="J4341" s="252"/>
      <c r="K4341" s="252"/>
      <c r="L4341"/>
      <c r="M4341"/>
    </row>
    <row r="4342" spans="1:13" s="79" customFormat="1" x14ac:dyDescent="0.35">
      <c r="A4342" s="251"/>
      <c r="B4342" s="22"/>
      <c r="C4342" s="252"/>
      <c r="D4342" s="252"/>
      <c r="E4342" s="252"/>
      <c r="F4342" s="252"/>
      <c r="G4342" s="252"/>
      <c r="H4342" s="252"/>
      <c r="I4342" s="252"/>
      <c r="J4342" s="252"/>
      <c r="K4342" s="252"/>
      <c r="L4342"/>
      <c r="M4342"/>
    </row>
    <row r="4343" spans="1:13" s="79" customFormat="1" x14ac:dyDescent="0.35">
      <c r="A4343" s="251"/>
      <c r="B4343" s="22"/>
      <c r="C4343" s="252"/>
      <c r="D4343" s="252"/>
      <c r="E4343" s="252"/>
      <c r="F4343" s="252"/>
      <c r="G4343" s="252"/>
      <c r="H4343" s="252"/>
      <c r="I4343" s="252"/>
      <c r="J4343" s="252"/>
      <c r="K4343" s="252"/>
      <c r="L4343"/>
      <c r="M4343"/>
    </row>
    <row r="4344" spans="1:13" s="79" customFormat="1" x14ac:dyDescent="0.35">
      <c r="A4344" s="251"/>
      <c r="B4344" s="22"/>
      <c r="C4344" s="252"/>
      <c r="D4344" s="252"/>
      <c r="E4344" s="252"/>
      <c r="F4344" s="252"/>
      <c r="G4344" s="252"/>
      <c r="H4344" s="252"/>
      <c r="I4344" s="252"/>
      <c r="J4344" s="252"/>
      <c r="K4344" s="252"/>
      <c r="L4344"/>
      <c r="M4344"/>
    </row>
    <row r="4345" spans="1:13" s="79" customFormat="1" x14ac:dyDescent="0.35">
      <c r="A4345" s="251"/>
      <c r="B4345" s="22"/>
      <c r="C4345" s="252"/>
      <c r="D4345" s="252"/>
      <c r="E4345" s="252"/>
      <c r="F4345" s="252"/>
      <c r="G4345" s="252"/>
      <c r="H4345" s="252"/>
      <c r="I4345" s="252"/>
      <c r="J4345" s="252"/>
      <c r="K4345" s="252"/>
      <c r="L4345"/>
      <c r="M4345"/>
    </row>
    <row r="4346" spans="1:13" s="79" customFormat="1" x14ac:dyDescent="0.35">
      <c r="A4346" s="251"/>
      <c r="B4346" s="22"/>
      <c r="C4346" s="252"/>
      <c r="D4346" s="252"/>
      <c r="E4346" s="252"/>
      <c r="F4346" s="252"/>
      <c r="G4346" s="252"/>
      <c r="H4346" s="252"/>
      <c r="I4346" s="252"/>
      <c r="J4346" s="252"/>
      <c r="K4346" s="252"/>
      <c r="L4346"/>
      <c r="M4346"/>
    </row>
    <row r="4347" spans="1:13" s="79" customFormat="1" x14ac:dyDescent="0.35">
      <c r="A4347" s="251"/>
      <c r="B4347" s="22"/>
      <c r="C4347" s="252"/>
      <c r="D4347" s="252"/>
      <c r="E4347" s="252"/>
      <c r="F4347" s="252"/>
      <c r="G4347" s="252"/>
      <c r="H4347" s="252"/>
      <c r="I4347" s="252"/>
      <c r="J4347" s="252"/>
      <c r="K4347" s="252"/>
      <c r="L4347"/>
      <c r="M4347"/>
    </row>
    <row r="4348" spans="1:13" s="79" customFormat="1" x14ac:dyDescent="0.35">
      <c r="A4348" s="251"/>
      <c r="B4348" s="22"/>
      <c r="C4348" s="252"/>
      <c r="D4348" s="252"/>
      <c r="E4348" s="252"/>
      <c r="F4348" s="252"/>
      <c r="G4348" s="252"/>
      <c r="H4348" s="252"/>
      <c r="I4348" s="252"/>
      <c r="J4348" s="252"/>
      <c r="K4348" s="252"/>
      <c r="L4348"/>
      <c r="M4348"/>
    </row>
    <row r="4349" spans="1:13" s="79" customFormat="1" x14ac:dyDescent="0.35">
      <c r="A4349" s="251"/>
      <c r="B4349" s="22"/>
      <c r="C4349" s="252"/>
      <c r="D4349" s="252"/>
      <c r="E4349" s="252"/>
      <c r="F4349" s="252"/>
      <c r="G4349" s="252"/>
      <c r="H4349" s="252"/>
      <c r="I4349" s="252"/>
      <c r="J4349" s="252"/>
      <c r="K4349" s="252"/>
      <c r="L4349"/>
      <c r="M4349"/>
    </row>
    <row r="4350" spans="1:13" s="79" customFormat="1" x14ac:dyDescent="0.35">
      <c r="A4350" s="251"/>
      <c r="B4350" s="22"/>
      <c r="C4350" s="252"/>
      <c r="D4350" s="252"/>
      <c r="E4350" s="252"/>
      <c r="F4350" s="252"/>
      <c r="G4350" s="252"/>
      <c r="H4350" s="252"/>
      <c r="I4350" s="252"/>
      <c r="J4350" s="252"/>
      <c r="K4350" s="252"/>
      <c r="L4350"/>
      <c r="M4350"/>
    </row>
    <row r="4351" spans="1:13" s="79" customFormat="1" x14ac:dyDescent="0.35">
      <c r="A4351" s="251"/>
      <c r="B4351" s="22"/>
      <c r="C4351" s="252"/>
      <c r="D4351" s="252"/>
      <c r="E4351" s="252"/>
      <c r="F4351" s="252"/>
      <c r="G4351" s="252"/>
      <c r="H4351" s="252"/>
      <c r="I4351" s="252"/>
      <c r="J4351" s="252"/>
      <c r="K4351" s="252"/>
      <c r="L4351"/>
      <c r="M4351"/>
    </row>
    <row r="4352" spans="1:13" s="79" customFormat="1" x14ac:dyDescent="0.35">
      <c r="A4352" s="251"/>
      <c r="B4352" s="22"/>
      <c r="C4352" s="252"/>
      <c r="D4352" s="252"/>
      <c r="E4352" s="252"/>
      <c r="F4352" s="252"/>
      <c r="G4352" s="252"/>
      <c r="H4352" s="252"/>
      <c r="I4352" s="252"/>
      <c r="J4352" s="252"/>
      <c r="K4352" s="252"/>
      <c r="L4352"/>
      <c r="M4352"/>
    </row>
    <row r="4353" spans="1:13" s="79" customFormat="1" x14ac:dyDescent="0.35">
      <c r="A4353" s="251"/>
      <c r="B4353" s="22"/>
      <c r="C4353" s="252"/>
      <c r="D4353" s="252"/>
      <c r="E4353" s="252"/>
      <c r="F4353" s="252"/>
      <c r="G4353" s="252"/>
      <c r="H4353" s="252"/>
      <c r="I4353" s="252"/>
      <c r="J4353" s="252"/>
      <c r="K4353" s="252"/>
      <c r="L4353"/>
      <c r="M4353"/>
    </row>
    <row r="4354" spans="1:13" s="79" customFormat="1" x14ac:dyDescent="0.35">
      <c r="A4354" s="251"/>
      <c r="B4354" s="22"/>
      <c r="C4354" s="252"/>
      <c r="D4354" s="252"/>
      <c r="E4354" s="252"/>
      <c r="F4354" s="252"/>
      <c r="G4354" s="252"/>
      <c r="H4354" s="252"/>
      <c r="I4354" s="252"/>
      <c r="J4354" s="252"/>
      <c r="K4354" s="252"/>
      <c r="L4354"/>
      <c r="M4354"/>
    </row>
    <row r="4355" spans="1:13" s="79" customFormat="1" x14ac:dyDescent="0.35">
      <c r="A4355" s="251"/>
      <c r="B4355" s="22"/>
      <c r="C4355" s="252"/>
      <c r="D4355" s="252"/>
      <c r="E4355" s="252"/>
      <c r="F4355" s="252"/>
      <c r="G4355" s="252"/>
      <c r="H4355" s="252"/>
      <c r="I4355" s="252"/>
      <c r="J4355" s="252"/>
      <c r="K4355" s="252"/>
      <c r="L4355"/>
      <c r="M4355"/>
    </row>
    <row r="4356" spans="1:13" s="79" customFormat="1" x14ac:dyDescent="0.35">
      <c r="A4356" s="251"/>
      <c r="B4356" s="22"/>
      <c r="C4356" s="252"/>
      <c r="D4356" s="252"/>
      <c r="E4356" s="252"/>
      <c r="F4356" s="252"/>
      <c r="G4356" s="252"/>
      <c r="H4356" s="252"/>
      <c r="I4356" s="252"/>
      <c r="J4356" s="252"/>
      <c r="K4356" s="252"/>
      <c r="L4356"/>
      <c r="M4356"/>
    </row>
    <row r="4357" spans="1:13" s="79" customFormat="1" x14ac:dyDescent="0.35">
      <c r="A4357" s="251"/>
      <c r="B4357" s="22"/>
      <c r="C4357" s="252"/>
      <c r="D4357" s="252"/>
      <c r="E4357" s="252"/>
      <c r="F4357" s="252"/>
      <c r="G4357" s="252"/>
      <c r="H4357" s="252"/>
      <c r="I4357" s="252"/>
      <c r="J4357" s="252"/>
      <c r="K4357" s="252"/>
      <c r="L4357"/>
      <c r="M4357"/>
    </row>
    <row r="4358" spans="1:13" s="79" customFormat="1" x14ac:dyDescent="0.35">
      <c r="A4358" s="251"/>
      <c r="B4358" s="22"/>
      <c r="C4358" s="252"/>
      <c r="D4358" s="252"/>
      <c r="E4358" s="252"/>
      <c r="F4358" s="252"/>
      <c r="G4358" s="252"/>
      <c r="H4358" s="252"/>
      <c r="I4358" s="252"/>
      <c r="J4358" s="252"/>
      <c r="K4358" s="252"/>
      <c r="L4358"/>
      <c r="M4358"/>
    </row>
    <row r="4359" spans="1:13" s="79" customFormat="1" x14ac:dyDescent="0.35">
      <c r="A4359" s="251"/>
      <c r="B4359" s="22"/>
      <c r="C4359" s="252"/>
      <c r="D4359" s="252"/>
      <c r="E4359" s="252"/>
      <c r="F4359" s="252"/>
      <c r="G4359" s="252"/>
      <c r="H4359" s="252"/>
      <c r="I4359" s="252"/>
      <c r="J4359" s="252"/>
      <c r="K4359" s="252"/>
      <c r="L4359"/>
      <c r="M4359"/>
    </row>
    <row r="4360" spans="1:13" s="79" customFormat="1" x14ac:dyDescent="0.35">
      <c r="A4360" s="251"/>
      <c r="B4360" s="22"/>
      <c r="C4360" s="252"/>
      <c r="D4360" s="252"/>
      <c r="E4360" s="252"/>
      <c r="F4360" s="252"/>
      <c r="G4360" s="252"/>
      <c r="H4360" s="252"/>
      <c r="I4360" s="252"/>
      <c r="J4360" s="252"/>
      <c r="K4360" s="252"/>
      <c r="L4360"/>
      <c r="M4360"/>
    </row>
    <row r="4361" spans="1:13" s="79" customFormat="1" x14ac:dyDescent="0.35">
      <c r="A4361" s="251"/>
      <c r="B4361" s="22"/>
      <c r="C4361" s="252"/>
      <c r="D4361" s="252"/>
      <c r="E4361" s="252"/>
      <c r="F4361" s="252"/>
      <c r="G4361" s="252"/>
      <c r="H4361" s="252"/>
      <c r="I4361" s="252"/>
      <c r="J4361" s="252"/>
      <c r="K4361" s="252"/>
      <c r="L4361"/>
      <c r="M4361"/>
    </row>
    <row r="4362" spans="1:13" s="79" customFormat="1" x14ac:dyDescent="0.35">
      <c r="A4362" s="251"/>
      <c r="B4362" s="22"/>
      <c r="C4362" s="252"/>
      <c r="D4362" s="252"/>
      <c r="E4362" s="252"/>
      <c r="F4362" s="252"/>
      <c r="G4362" s="252"/>
      <c r="H4362" s="252"/>
      <c r="I4362" s="252"/>
      <c r="J4362" s="252"/>
      <c r="K4362" s="252"/>
      <c r="L4362"/>
      <c r="M4362"/>
    </row>
    <row r="4363" spans="1:13" s="79" customFormat="1" x14ac:dyDescent="0.35">
      <c r="A4363" s="251"/>
      <c r="B4363" s="22"/>
      <c r="C4363" s="252"/>
      <c r="D4363" s="252"/>
      <c r="E4363" s="252"/>
      <c r="F4363" s="252"/>
      <c r="G4363" s="252"/>
      <c r="H4363" s="252"/>
      <c r="I4363" s="252"/>
      <c r="J4363" s="252"/>
      <c r="K4363" s="252"/>
      <c r="L4363"/>
      <c r="M4363"/>
    </row>
    <row r="4364" spans="1:13" s="79" customFormat="1" x14ac:dyDescent="0.35">
      <c r="A4364" s="251"/>
      <c r="B4364" s="22"/>
      <c r="C4364" s="252"/>
      <c r="D4364" s="252"/>
      <c r="E4364" s="252"/>
      <c r="F4364" s="252"/>
      <c r="G4364" s="252"/>
      <c r="H4364" s="252"/>
      <c r="I4364" s="252"/>
      <c r="J4364" s="252"/>
      <c r="K4364" s="252"/>
      <c r="L4364"/>
      <c r="M4364"/>
    </row>
    <row r="4365" spans="1:13" s="79" customFormat="1" x14ac:dyDescent="0.35">
      <c r="A4365" s="251"/>
      <c r="B4365" s="22"/>
      <c r="C4365" s="252"/>
      <c r="D4365" s="252"/>
      <c r="E4365" s="252"/>
      <c r="F4365" s="252"/>
      <c r="G4365" s="252"/>
      <c r="H4365" s="252"/>
      <c r="I4365" s="252"/>
      <c r="J4365" s="252"/>
      <c r="K4365" s="252"/>
      <c r="L4365"/>
      <c r="M4365"/>
    </row>
    <row r="4366" spans="1:13" s="79" customFormat="1" x14ac:dyDescent="0.35">
      <c r="A4366" s="251"/>
      <c r="B4366" s="22"/>
      <c r="C4366" s="252"/>
      <c r="D4366" s="252"/>
      <c r="E4366" s="252"/>
      <c r="F4366" s="252"/>
      <c r="G4366" s="252"/>
      <c r="H4366" s="252"/>
      <c r="I4366" s="252"/>
      <c r="J4366" s="252"/>
      <c r="K4366" s="252"/>
      <c r="L4366"/>
      <c r="M4366"/>
    </row>
    <row r="4367" spans="1:13" s="79" customFormat="1" x14ac:dyDescent="0.35">
      <c r="A4367" s="251"/>
      <c r="B4367" s="22"/>
      <c r="C4367" s="252"/>
      <c r="D4367" s="252"/>
      <c r="E4367" s="252"/>
      <c r="F4367" s="252"/>
      <c r="G4367" s="252"/>
      <c r="H4367" s="252"/>
      <c r="I4367" s="252"/>
      <c r="J4367" s="252"/>
      <c r="K4367" s="252"/>
      <c r="L4367"/>
      <c r="M4367"/>
    </row>
    <row r="4368" spans="1:13" s="79" customFormat="1" x14ac:dyDescent="0.35">
      <c r="A4368" s="251"/>
      <c r="B4368" s="22"/>
      <c r="C4368" s="252"/>
      <c r="D4368" s="252"/>
      <c r="E4368" s="252"/>
      <c r="F4368" s="252"/>
      <c r="G4368" s="252"/>
      <c r="H4368" s="252"/>
      <c r="I4368" s="252"/>
      <c r="J4368" s="252"/>
      <c r="K4368" s="252"/>
      <c r="L4368"/>
      <c r="M4368"/>
    </row>
    <row r="4369" spans="1:13" s="79" customFormat="1" x14ac:dyDescent="0.35">
      <c r="A4369" s="251"/>
      <c r="B4369" s="22"/>
      <c r="C4369" s="252"/>
      <c r="D4369" s="252"/>
      <c r="E4369" s="252"/>
      <c r="F4369" s="252"/>
      <c r="G4369" s="252"/>
      <c r="H4369" s="252"/>
      <c r="I4369" s="252"/>
      <c r="J4369" s="252"/>
      <c r="K4369" s="252"/>
      <c r="L4369"/>
      <c r="M4369"/>
    </row>
    <row r="4370" spans="1:13" s="79" customFormat="1" x14ac:dyDescent="0.35">
      <c r="A4370" s="251"/>
      <c r="B4370" s="22"/>
      <c r="C4370" s="252"/>
      <c r="D4370" s="252"/>
      <c r="E4370" s="252"/>
      <c r="F4370" s="252"/>
      <c r="G4370" s="252"/>
      <c r="H4370" s="252"/>
      <c r="I4370" s="252"/>
      <c r="J4370" s="252"/>
      <c r="K4370" s="252"/>
      <c r="L4370"/>
      <c r="M4370"/>
    </row>
    <row r="4371" spans="1:13" s="79" customFormat="1" x14ac:dyDescent="0.35">
      <c r="A4371" s="251"/>
      <c r="B4371" s="22"/>
      <c r="C4371" s="252"/>
      <c r="D4371" s="252"/>
      <c r="E4371" s="252"/>
      <c r="F4371" s="252"/>
      <c r="G4371" s="252"/>
      <c r="H4371" s="252"/>
      <c r="I4371" s="252"/>
      <c r="J4371" s="252"/>
      <c r="K4371" s="252"/>
      <c r="L4371"/>
      <c r="M4371"/>
    </row>
    <row r="4372" spans="1:13" s="79" customFormat="1" x14ac:dyDescent="0.35">
      <c r="A4372" s="251"/>
      <c r="B4372" s="22"/>
      <c r="C4372" s="252"/>
      <c r="D4372" s="252"/>
      <c r="E4372" s="252"/>
      <c r="F4372" s="252"/>
      <c r="G4372" s="252"/>
      <c r="H4372" s="252"/>
      <c r="I4372" s="252"/>
      <c r="J4372" s="252"/>
      <c r="K4372" s="252"/>
      <c r="L4372"/>
      <c r="M4372"/>
    </row>
    <row r="4373" spans="1:13" s="79" customFormat="1" x14ac:dyDescent="0.35">
      <c r="A4373" s="251"/>
      <c r="B4373" s="22"/>
      <c r="C4373" s="252"/>
      <c r="D4373" s="252"/>
      <c r="E4373" s="252"/>
      <c r="F4373" s="252"/>
      <c r="G4373" s="252"/>
      <c r="H4373" s="252"/>
      <c r="I4373" s="252"/>
      <c r="J4373" s="252"/>
      <c r="K4373" s="252"/>
      <c r="L4373"/>
      <c r="M4373"/>
    </row>
    <row r="4374" spans="1:13" s="79" customFormat="1" x14ac:dyDescent="0.35">
      <c r="A4374" s="251"/>
      <c r="B4374" s="22"/>
      <c r="C4374" s="252"/>
      <c r="D4374" s="252"/>
      <c r="E4374" s="252"/>
      <c r="F4374" s="252"/>
      <c r="G4374" s="252"/>
      <c r="H4374" s="252"/>
      <c r="I4374" s="252"/>
      <c r="J4374" s="252"/>
      <c r="K4374" s="252"/>
      <c r="L4374"/>
      <c r="M4374"/>
    </row>
    <row r="4375" spans="1:13" s="79" customFormat="1" x14ac:dyDescent="0.35">
      <c r="A4375" s="251"/>
      <c r="B4375" s="22"/>
      <c r="C4375" s="252"/>
      <c r="D4375" s="252"/>
      <c r="E4375" s="252"/>
      <c r="F4375" s="252"/>
      <c r="G4375" s="252"/>
      <c r="H4375" s="252"/>
      <c r="I4375" s="252"/>
      <c r="J4375" s="252"/>
      <c r="K4375" s="252"/>
      <c r="L4375"/>
      <c r="M4375"/>
    </row>
    <row r="4376" spans="1:13" s="79" customFormat="1" x14ac:dyDescent="0.35">
      <c r="A4376" s="251"/>
      <c r="B4376" s="22"/>
      <c r="C4376" s="252"/>
      <c r="D4376" s="252"/>
      <c r="E4376" s="252"/>
      <c r="F4376" s="252"/>
      <c r="G4376" s="252"/>
      <c r="H4376" s="252"/>
      <c r="I4376" s="252"/>
      <c r="J4376" s="252"/>
      <c r="K4376" s="252"/>
      <c r="L4376"/>
      <c r="M4376"/>
    </row>
    <row r="4377" spans="1:13" s="79" customFormat="1" x14ac:dyDescent="0.35">
      <c r="A4377" s="251"/>
      <c r="B4377" s="22"/>
      <c r="C4377" s="252"/>
      <c r="D4377" s="252"/>
      <c r="E4377" s="252"/>
      <c r="F4377" s="252"/>
      <c r="G4377" s="252"/>
      <c r="H4377" s="252"/>
      <c r="I4377" s="252"/>
      <c r="J4377" s="252"/>
      <c r="K4377" s="252"/>
      <c r="L4377"/>
      <c r="M4377"/>
    </row>
    <row r="4378" spans="1:13" s="79" customFormat="1" x14ac:dyDescent="0.35">
      <c r="A4378" s="251"/>
      <c r="B4378" s="22"/>
      <c r="C4378" s="252"/>
      <c r="D4378" s="252"/>
      <c r="E4378" s="252"/>
      <c r="F4378" s="252"/>
      <c r="G4378" s="252"/>
      <c r="H4378" s="252"/>
      <c r="I4378" s="252"/>
      <c r="J4378" s="252"/>
      <c r="K4378" s="252"/>
      <c r="L4378"/>
      <c r="M4378"/>
    </row>
    <row r="4379" spans="1:13" s="79" customFormat="1" x14ac:dyDescent="0.35">
      <c r="A4379" s="251"/>
      <c r="B4379" s="22"/>
      <c r="C4379" s="252"/>
      <c r="D4379" s="252"/>
      <c r="E4379" s="252"/>
      <c r="F4379" s="252"/>
      <c r="G4379" s="252"/>
      <c r="H4379" s="252"/>
      <c r="I4379" s="252"/>
      <c r="J4379" s="252"/>
      <c r="K4379" s="252"/>
      <c r="L4379"/>
      <c r="M4379"/>
    </row>
    <row r="4380" spans="1:13" s="79" customFormat="1" x14ac:dyDescent="0.35">
      <c r="A4380" s="251"/>
      <c r="B4380" s="22"/>
      <c r="C4380" s="252"/>
      <c r="D4380" s="252"/>
      <c r="E4380" s="252"/>
      <c r="F4380" s="252"/>
      <c r="G4380" s="252"/>
      <c r="H4380" s="252"/>
      <c r="I4380" s="252"/>
      <c r="J4380" s="252"/>
      <c r="K4380" s="252"/>
      <c r="L4380"/>
      <c r="M4380"/>
    </row>
    <row r="4381" spans="1:13" s="79" customFormat="1" x14ac:dyDescent="0.35">
      <c r="A4381" s="251"/>
      <c r="B4381" s="22"/>
      <c r="C4381" s="252"/>
      <c r="D4381" s="252"/>
      <c r="E4381" s="252"/>
      <c r="F4381" s="252"/>
      <c r="G4381" s="252"/>
      <c r="H4381" s="252"/>
      <c r="I4381" s="252"/>
      <c r="J4381" s="252"/>
      <c r="K4381" s="252"/>
      <c r="L4381"/>
      <c r="M4381"/>
    </row>
    <row r="4382" spans="1:13" s="79" customFormat="1" x14ac:dyDescent="0.35">
      <c r="A4382" s="251"/>
      <c r="B4382" s="22"/>
      <c r="C4382" s="252"/>
      <c r="D4382" s="252"/>
      <c r="E4382" s="252"/>
      <c r="F4382" s="252"/>
      <c r="G4382" s="252"/>
      <c r="H4382" s="252"/>
      <c r="I4382" s="252"/>
      <c r="J4382" s="252"/>
      <c r="K4382" s="252"/>
      <c r="L4382"/>
      <c r="M4382"/>
    </row>
    <row r="4383" spans="1:13" s="79" customFormat="1" x14ac:dyDescent="0.35">
      <c r="A4383" s="251"/>
      <c r="B4383" s="22"/>
      <c r="C4383" s="252"/>
      <c r="D4383" s="252"/>
      <c r="E4383" s="252"/>
      <c r="F4383" s="252"/>
      <c r="G4383" s="252"/>
      <c r="H4383" s="252"/>
      <c r="I4383" s="252"/>
      <c r="J4383" s="252"/>
      <c r="K4383" s="252"/>
      <c r="L4383"/>
      <c r="M4383"/>
    </row>
    <row r="4384" spans="1:13" s="79" customFormat="1" x14ac:dyDescent="0.35">
      <c r="A4384" s="251"/>
      <c r="B4384" s="22"/>
      <c r="C4384" s="252"/>
      <c r="D4384" s="252"/>
      <c r="E4384" s="252"/>
      <c r="F4384" s="252"/>
      <c r="G4384" s="252"/>
      <c r="H4384" s="252"/>
      <c r="I4384" s="252"/>
      <c r="J4384" s="252"/>
      <c r="K4384" s="252"/>
      <c r="L4384"/>
      <c r="M4384"/>
    </row>
    <row r="4385" spans="1:13" s="79" customFormat="1" x14ac:dyDescent="0.35">
      <c r="A4385" s="251"/>
      <c r="B4385" s="22"/>
      <c r="C4385" s="252"/>
      <c r="D4385" s="252"/>
      <c r="E4385" s="252"/>
      <c r="F4385" s="252"/>
      <c r="G4385" s="252"/>
      <c r="H4385" s="252"/>
      <c r="I4385" s="252"/>
      <c r="J4385" s="252"/>
      <c r="K4385" s="252"/>
      <c r="L4385"/>
      <c r="M4385"/>
    </row>
    <row r="4386" spans="1:13" s="79" customFormat="1" x14ac:dyDescent="0.35">
      <c r="A4386" s="251"/>
      <c r="B4386" s="22"/>
      <c r="C4386" s="252"/>
      <c r="D4386" s="252"/>
      <c r="E4386" s="252"/>
      <c r="F4386" s="252"/>
      <c r="G4386" s="252"/>
      <c r="H4386" s="252"/>
      <c r="I4386" s="252"/>
      <c r="J4386" s="252"/>
      <c r="K4386" s="252"/>
      <c r="L4386"/>
      <c r="M4386"/>
    </row>
    <row r="4387" spans="1:13" s="79" customFormat="1" x14ac:dyDescent="0.35">
      <c r="A4387" s="251"/>
      <c r="B4387" s="22"/>
      <c r="C4387" s="252"/>
      <c r="D4387" s="252"/>
      <c r="E4387" s="252"/>
      <c r="F4387" s="252"/>
      <c r="G4387" s="252"/>
      <c r="H4387" s="252"/>
      <c r="I4387" s="252"/>
      <c r="J4387" s="252"/>
      <c r="K4387" s="252"/>
      <c r="L4387"/>
      <c r="M4387"/>
    </row>
    <row r="4388" spans="1:13" s="79" customFormat="1" x14ac:dyDescent="0.35">
      <c r="A4388" s="251"/>
      <c r="B4388" s="22"/>
      <c r="C4388" s="252"/>
      <c r="D4388" s="252"/>
      <c r="E4388" s="252"/>
      <c r="F4388" s="252"/>
      <c r="G4388" s="252"/>
      <c r="H4388" s="252"/>
      <c r="I4388" s="252"/>
      <c r="J4388" s="252"/>
      <c r="K4388" s="252"/>
      <c r="L4388"/>
      <c r="M4388"/>
    </row>
    <row r="4389" spans="1:13" s="79" customFormat="1" x14ac:dyDescent="0.35">
      <c r="A4389" s="251"/>
      <c r="B4389" s="22"/>
      <c r="C4389" s="252"/>
      <c r="D4389" s="252"/>
      <c r="E4389" s="252"/>
      <c r="F4389" s="252"/>
      <c r="G4389" s="252"/>
      <c r="H4389" s="252"/>
      <c r="I4389" s="252"/>
      <c r="J4389" s="252"/>
      <c r="K4389" s="252"/>
      <c r="L4389"/>
      <c r="M4389"/>
    </row>
    <row r="4390" spans="1:13" s="79" customFormat="1" x14ac:dyDescent="0.35">
      <c r="A4390" s="251"/>
      <c r="B4390" s="22"/>
      <c r="C4390" s="252"/>
      <c r="D4390" s="252"/>
      <c r="E4390" s="252"/>
      <c r="F4390" s="252"/>
      <c r="G4390" s="252"/>
      <c r="H4390" s="252"/>
      <c r="I4390" s="252"/>
      <c r="J4390" s="252"/>
      <c r="K4390" s="252"/>
      <c r="L4390"/>
      <c r="M4390"/>
    </row>
    <row r="4391" spans="1:13" s="79" customFormat="1" x14ac:dyDescent="0.35">
      <c r="A4391" s="251"/>
      <c r="B4391" s="22"/>
      <c r="C4391" s="252"/>
      <c r="D4391" s="252"/>
      <c r="E4391" s="252"/>
      <c r="F4391" s="252"/>
      <c r="G4391" s="252"/>
      <c r="H4391" s="252"/>
      <c r="I4391" s="252"/>
      <c r="J4391" s="252"/>
      <c r="K4391" s="252"/>
      <c r="L4391"/>
      <c r="M4391"/>
    </row>
    <row r="4392" spans="1:13" s="79" customFormat="1" x14ac:dyDescent="0.35">
      <c r="A4392" s="251"/>
      <c r="B4392" s="22"/>
      <c r="C4392" s="252"/>
      <c r="D4392" s="252"/>
      <c r="E4392" s="252"/>
      <c r="F4392" s="252"/>
      <c r="G4392" s="252"/>
      <c r="H4392" s="252"/>
      <c r="I4392" s="252"/>
      <c r="J4392" s="252"/>
      <c r="K4392" s="252"/>
      <c r="L4392"/>
      <c r="M4392"/>
    </row>
    <row r="4393" spans="1:13" s="79" customFormat="1" x14ac:dyDescent="0.35">
      <c r="A4393" s="251"/>
      <c r="B4393" s="22"/>
      <c r="C4393" s="252"/>
      <c r="D4393" s="252"/>
      <c r="E4393" s="252"/>
      <c r="F4393" s="252"/>
      <c r="G4393" s="252"/>
      <c r="H4393" s="252"/>
      <c r="I4393" s="252"/>
      <c r="J4393" s="252"/>
      <c r="K4393" s="252"/>
      <c r="L4393"/>
      <c r="M4393"/>
    </row>
    <row r="4394" spans="1:13" s="79" customFormat="1" x14ac:dyDescent="0.35">
      <c r="A4394" s="251"/>
      <c r="B4394" s="22"/>
      <c r="C4394" s="252"/>
      <c r="D4394" s="252"/>
      <c r="E4394" s="252"/>
      <c r="F4394" s="252"/>
      <c r="G4394" s="252"/>
      <c r="H4394" s="252"/>
      <c r="I4394" s="252"/>
      <c r="J4394" s="252"/>
      <c r="K4394" s="252"/>
      <c r="L4394"/>
      <c r="M4394"/>
    </row>
    <row r="4395" spans="1:13" s="79" customFormat="1" x14ac:dyDescent="0.35">
      <c r="A4395" s="251"/>
      <c r="B4395" s="22"/>
      <c r="C4395" s="252"/>
      <c r="D4395" s="252"/>
      <c r="E4395" s="252"/>
      <c r="F4395" s="252"/>
      <c r="G4395" s="252"/>
      <c r="H4395" s="252"/>
      <c r="I4395" s="252"/>
      <c r="J4395" s="252"/>
      <c r="K4395" s="252"/>
      <c r="L4395"/>
      <c r="M4395"/>
    </row>
    <row r="4396" spans="1:13" s="79" customFormat="1" x14ac:dyDescent="0.35">
      <c r="A4396" s="251"/>
      <c r="B4396" s="22"/>
      <c r="C4396" s="252"/>
      <c r="D4396" s="252"/>
      <c r="E4396" s="252"/>
      <c r="F4396" s="252"/>
      <c r="G4396" s="252"/>
      <c r="H4396" s="252"/>
      <c r="I4396" s="252"/>
      <c r="J4396" s="252"/>
      <c r="K4396" s="252"/>
      <c r="L4396"/>
      <c r="M4396"/>
    </row>
    <row r="4397" spans="1:13" s="79" customFormat="1" x14ac:dyDescent="0.35">
      <c r="A4397" s="251"/>
      <c r="B4397" s="22"/>
      <c r="C4397" s="252"/>
      <c r="D4397" s="252"/>
      <c r="E4397" s="252"/>
      <c r="F4397" s="252"/>
      <c r="G4397" s="252"/>
      <c r="H4397" s="252"/>
      <c r="I4397" s="252"/>
      <c r="J4397" s="252"/>
      <c r="K4397" s="252"/>
      <c r="L4397"/>
      <c r="M4397"/>
    </row>
    <row r="4398" spans="1:13" s="79" customFormat="1" x14ac:dyDescent="0.35">
      <c r="A4398" s="251"/>
      <c r="B4398" s="22"/>
      <c r="C4398" s="252"/>
      <c r="D4398" s="252"/>
      <c r="E4398" s="252"/>
      <c r="F4398" s="252"/>
      <c r="G4398" s="252"/>
      <c r="H4398" s="252"/>
      <c r="I4398" s="252"/>
      <c r="J4398" s="252"/>
      <c r="K4398" s="252"/>
      <c r="L4398"/>
      <c r="M4398"/>
    </row>
    <row r="4399" spans="1:13" s="79" customFormat="1" x14ac:dyDescent="0.35">
      <c r="A4399" s="251"/>
      <c r="B4399" s="22"/>
      <c r="C4399" s="252"/>
      <c r="D4399" s="252"/>
      <c r="E4399" s="252"/>
      <c r="F4399" s="252"/>
      <c r="G4399" s="252"/>
      <c r="H4399" s="252"/>
      <c r="I4399" s="252"/>
      <c r="J4399" s="252"/>
      <c r="K4399" s="252"/>
      <c r="L4399"/>
      <c r="M4399"/>
    </row>
    <row r="4400" spans="1:13" s="79" customFormat="1" x14ac:dyDescent="0.35">
      <c r="A4400" s="251"/>
      <c r="B4400" s="22"/>
      <c r="C4400" s="252"/>
      <c r="D4400" s="252"/>
      <c r="E4400" s="252"/>
      <c r="F4400" s="252"/>
      <c r="G4400" s="252"/>
      <c r="H4400" s="252"/>
      <c r="I4400" s="252"/>
      <c r="J4400" s="252"/>
      <c r="K4400" s="252"/>
      <c r="L4400"/>
      <c r="M4400"/>
    </row>
    <row r="4401" spans="1:13" s="79" customFormat="1" x14ac:dyDescent="0.35">
      <c r="A4401" s="251"/>
      <c r="B4401" s="22"/>
      <c r="C4401" s="252"/>
      <c r="D4401" s="252"/>
      <c r="E4401" s="252"/>
      <c r="F4401" s="252"/>
      <c r="G4401" s="252"/>
      <c r="H4401" s="252"/>
      <c r="I4401" s="252"/>
      <c r="J4401" s="252"/>
      <c r="K4401" s="252"/>
      <c r="L4401"/>
      <c r="M4401"/>
    </row>
    <row r="4402" spans="1:13" s="79" customFormat="1" x14ac:dyDescent="0.35">
      <c r="A4402" s="251"/>
      <c r="B4402" s="22"/>
      <c r="C4402" s="252"/>
      <c r="D4402" s="252"/>
      <c r="E4402" s="252"/>
      <c r="F4402" s="252"/>
      <c r="G4402" s="252"/>
      <c r="H4402" s="252"/>
      <c r="I4402" s="252"/>
      <c r="J4402" s="252"/>
      <c r="K4402" s="252"/>
      <c r="L4402"/>
      <c r="M4402"/>
    </row>
    <row r="4403" spans="1:13" s="79" customFormat="1" x14ac:dyDescent="0.35">
      <c r="A4403" s="251"/>
      <c r="B4403" s="22"/>
      <c r="C4403" s="252"/>
      <c r="D4403" s="252"/>
      <c r="E4403" s="252"/>
      <c r="F4403" s="252"/>
      <c r="G4403" s="252"/>
      <c r="H4403" s="252"/>
      <c r="I4403" s="252"/>
      <c r="J4403" s="252"/>
      <c r="K4403" s="252"/>
      <c r="L4403"/>
      <c r="M4403"/>
    </row>
    <row r="4404" spans="1:13" s="79" customFormat="1" x14ac:dyDescent="0.35">
      <c r="A4404" s="251"/>
      <c r="B4404" s="22"/>
      <c r="C4404" s="252"/>
      <c r="D4404" s="252"/>
      <c r="E4404" s="252"/>
      <c r="F4404" s="252"/>
      <c r="G4404" s="252"/>
      <c r="H4404" s="252"/>
      <c r="I4404" s="252"/>
      <c r="J4404" s="252"/>
      <c r="K4404" s="252"/>
      <c r="L4404"/>
      <c r="M4404"/>
    </row>
    <row r="4405" spans="1:13" s="79" customFormat="1" x14ac:dyDescent="0.35">
      <c r="A4405" s="251"/>
      <c r="B4405" s="22"/>
      <c r="C4405" s="252"/>
      <c r="D4405" s="252"/>
      <c r="E4405" s="252"/>
      <c r="F4405" s="252"/>
      <c r="G4405" s="252"/>
      <c r="H4405" s="252"/>
      <c r="I4405" s="252"/>
      <c r="J4405" s="252"/>
      <c r="K4405" s="252"/>
      <c r="L4405"/>
      <c r="M4405"/>
    </row>
    <row r="4406" spans="1:13" s="79" customFormat="1" x14ac:dyDescent="0.35">
      <c r="A4406" s="251"/>
      <c r="B4406" s="22"/>
      <c r="C4406" s="252"/>
      <c r="D4406" s="252"/>
      <c r="E4406" s="252"/>
      <c r="F4406" s="252"/>
      <c r="G4406" s="252"/>
      <c r="H4406" s="252"/>
      <c r="I4406" s="252"/>
      <c r="J4406" s="252"/>
      <c r="K4406" s="252"/>
      <c r="L4406"/>
      <c r="M4406"/>
    </row>
    <row r="4407" spans="1:13" s="79" customFormat="1" x14ac:dyDescent="0.35">
      <c r="A4407" s="251"/>
      <c r="B4407" s="22"/>
      <c r="C4407" s="252"/>
      <c r="D4407" s="252"/>
      <c r="E4407" s="252"/>
      <c r="F4407" s="252"/>
      <c r="G4407" s="252"/>
      <c r="H4407" s="252"/>
      <c r="I4407" s="252"/>
      <c r="J4407" s="252"/>
      <c r="K4407" s="252"/>
      <c r="L4407"/>
      <c r="M4407"/>
    </row>
    <row r="4408" spans="1:13" s="79" customFormat="1" x14ac:dyDescent="0.35">
      <c r="A4408" s="251"/>
      <c r="B4408" s="22"/>
      <c r="C4408" s="252"/>
      <c r="D4408" s="252"/>
      <c r="E4408" s="252"/>
      <c r="F4408" s="252"/>
      <c r="G4408" s="252"/>
      <c r="H4408" s="252"/>
      <c r="I4408" s="252"/>
      <c r="J4408" s="252"/>
      <c r="K4408" s="252"/>
      <c r="L4408"/>
      <c r="M4408"/>
    </row>
    <row r="4409" spans="1:13" s="79" customFormat="1" x14ac:dyDescent="0.35">
      <c r="A4409" s="251"/>
      <c r="B4409" s="22"/>
      <c r="C4409" s="252"/>
      <c r="D4409" s="252"/>
      <c r="E4409" s="252"/>
      <c r="F4409" s="252"/>
      <c r="G4409" s="252"/>
      <c r="H4409" s="252"/>
      <c r="I4409" s="252"/>
      <c r="J4409" s="252"/>
      <c r="K4409" s="252"/>
      <c r="L4409"/>
      <c r="M4409"/>
    </row>
    <row r="4410" spans="1:13" s="79" customFormat="1" x14ac:dyDescent="0.35">
      <c r="A4410" s="251"/>
      <c r="B4410" s="22"/>
      <c r="C4410" s="252"/>
      <c r="D4410" s="252"/>
      <c r="E4410" s="252"/>
      <c r="F4410" s="252"/>
      <c r="G4410" s="252"/>
      <c r="H4410" s="252"/>
      <c r="I4410" s="252"/>
      <c r="J4410" s="252"/>
      <c r="K4410" s="252"/>
      <c r="L4410"/>
      <c r="M4410"/>
    </row>
    <row r="4411" spans="1:13" s="79" customFormat="1" x14ac:dyDescent="0.35">
      <c r="A4411" s="251"/>
      <c r="B4411" s="22"/>
      <c r="C4411" s="252"/>
      <c r="D4411" s="252"/>
      <c r="E4411" s="252"/>
      <c r="F4411" s="252"/>
      <c r="G4411" s="252"/>
      <c r="H4411" s="252"/>
      <c r="I4411" s="252"/>
      <c r="J4411" s="252"/>
      <c r="K4411" s="252"/>
      <c r="L4411"/>
      <c r="M4411"/>
    </row>
    <row r="4412" spans="1:13" s="79" customFormat="1" x14ac:dyDescent="0.35">
      <c r="A4412" s="251"/>
      <c r="B4412" s="22"/>
      <c r="C4412" s="252"/>
      <c r="D4412" s="252"/>
      <c r="E4412" s="252"/>
      <c r="F4412" s="252"/>
      <c r="G4412" s="252"/>
      <c r="H4412" s="252"/>
      <c r="I4412" s="252"/>
      <c r="J4412" s="252"/>
      <c r="K4412" s="252"/>
      <c r="L4412"/>
      <c r="M4412"/>
    </row>
    <row r="4413" spans="1:13" s="79" customFormat="1" x14ac:dyDescent="0.35">
      <c r="A4413" s="251"/>
      <c r="B4413" s="22"/>
      <c r="C4413" s="252"/>
      <c r="D4413" s="252"/>
      <c r="E4413" s="252"/>
      <c r="F4413" s="252"/>
      <c r="G4413" s="252"/>
      <c r="H4413" s="252"/>
      <c r="I4413" s="252"/>
      <c r="J4413" s="252"/>
      <c r="K4413" s="252"/>
      <c r="L4413"/>
      <c r="M4413"/>
    </row>
    <row r="4414" spans="1:13" s="79" customFormat="1" x14ac:dyDescent="0.35">
      <c r="A4414" s="251"/>
      <c r="B4414" s="22"/>
      <c r="C4414" s="252"/>
      <c r="D4414" s="252"/>
      <c r="E4414" s="252"/>
      <c r="F4414" s="252"/>
      <c r="G4414" s="252"/>
      <c r="H4414" s="252"/>
      <c r="I4414" s="252"/>
      <c r="J4414" s="252"/>
      <c r="K4414" s="252"/>
      <c r="L4414"/>
      <c r="M4414"/>
    </row>
    <row r="4415" spans="1:13" s="79" customFormat="1" x14ac:dyDescent="0.35">
      <c r="A4415" s="251"/>
      <c r="B4415" s="22"/>
      <c r="C4415" s="252"/>
      <c r="D4415" s="252"/>
      <c r="E4415" s="252"/>
      <c r="F4415" s="252"/>
      <c r="G4415" s="252"/>
      <c r="H4415" s="252"/>
      <c r="I4415" s="252"/>
      <c r="J4415" s="252"/>
      <c r="K4415" s="252"/>
      <c r="L4415"/>
      <c r="M4415"/>
    </row>
    <row r="4416" spans="1:13" s="79" customFormat="1" x14ac:dyDescent="0.35">
      <c r="A4416" s="251"/>
      <c r="B4416" s="22"/>
      <c r="C4416" s="252"/>
      <c r="D4416" s="252"/>
      <c r="E4416" s="252"/>
      <c r="F4416" s="252"/>
      <c r="G4416" s="252"/>
      <c r="H4416" s="252"/>
      <c r="I4416" s="252"/>
      <c r="J4416" s="252"/>
      <c r="K4416" s="252"/>
      <c r="L4416"/>
      <c r="M4416"/>
    </row>
    <row r="4417" spans="1:13" s="79" customFormat="1" x14ac:dyDescent="0.35">
      <c r="A4417" s="251"/>
      <c r="B4417" s="22"/>
      <c r="C4417" s="252"/>
      <c r="D4417" s="252"/>
      <c r="E4417" s="252"/>
      <c r="F4417" s="252"/>
      <c r="G4417" s="252"/>
      <c r="H4417" s="252"/>
      <c r="I4417" s="252"/>
      <c r="J4417" s="252"/>
      <c r="K4417" s="252"/>
      <c r="L4417"/>
      <c r="M4417"/>
    </row>
    <row r="4418" spans="1:13" s="79" customFormat="1" x14ac:dyDescent="0.35">
      <c r="A4418" s="251"/>
      <c r="B4418" s="22"/>
      <c r="C4418" s="252"/>
      <c r="D4418" s="252"/>
      <c r="E4418" s="252"/>
      <c r="F4418" s="252"/>
      <c r="G4418" s="252"/>
      <c r="H4418" s="252"/>
      <c r="I4418" s="252"/>
      <c r="J4418" s="252"/>
      <c r="K4418" s="252"/>
      <c r="L4418"/>
      <c r="M4418"/>
    </row>
    <row r="4419" spans="1:13" s="79" customFormat="1" x14ac:dyDescent="0.35">
      <c r="A4419" s="251"/>
      <c r="B4419" s="22"/>
      <c r="C4419" s="252"/>
      <c r="D4419" s="252"/>
      <c r="E4419" s="252"/>
      <c r="F4419" s="252"/>
      <c r="G4419" s="252"/>
      <c r="H4419" s="252"/>
      <c r="I4419" s="252"/>
      <c r="J4419" s="252"/>
      <c r="K4419" s="252"/>
      <c r="L4419"/>
      <c r="M4419"/>
    </row>
    <row r="4420" spans="1:13" s="79" customFormat="1" x14ac:dyDescent="0.35">
      <c r="A4420" s="251"/>
      <c r="B4420" s="22"/>
      <c r="C4420" s="252"/>
      <c r="D4420" s="252"/>
      <c r="E4420" s="252"/>
      <c r="F4420" s="252"/>
      <c r="G4420" s="252"/>
      <c r="H4420" s="252"/>
      <c r="I4420" s="252"/>
      <c r="J4420" s="252"/>
      <c r="K4420" s="252"/>
      <c r="L4420"/>
      <c r="M4420"/>
    </row>
    <row r="4421" spans="1:13" s="79" customFormat="1" x14ac:dyDescent="0.35">
      <c r="A4421" s="251"/>
      <c r="B4421" s="22"/>
      <c r="C4421" s="252"/>
      <c r="D4421" s="252"/>
      <c r="E4421" s="252"/>
      <c r="F4421" s="252"/>
      <c r="G4421" s="252"/>
      <c r="H4421" s="252"/>
      <c r="I4421" s="252"/>
      <c r="J4421" s="252"/>
      <c r="K4421" s="252"/>
      <c r="L4421"/>
      <c r="M4421"/>
    </row>
    <row r="4422" spans="1:13" s="79" customFormat="1" x14ac:dyDescent="0.35">
      <c r="A4422" s="251"/>
      <c r="B4422" s="22"/>
      <c r="C4422" s="252"/>
      <c r="D4422" s="252"/>
      <c r="E4422" s="252"/>
      <c r="F4422" s="252"/>
      <c r="G4422" s="252"/>
      <c r="H4422" s="252"/>
      <c r="I4422" s="252"/>
      <c r="J4422" s="252"/>
      <c r="K4422" s="252"/>
      <c r="L4422"/>
      <c r="M4422"/>
    </row>
    <row r="4423" spans="1:13" s="79" customFormat="1" x14ac:dyDescent="0.35">
      <c r="A4423" s="251"/>
      <c r="B4423" s="22"/>
      <c r="C4423" s="252"/>
      <c r="D4423" s="252"/>
      <c r="E4423" s="252"/>
      <c r="F4423" s="252"/>
      <c r="G4423" s="252"/>
      <c r="H4423" s="252"/>
      <c r="I4423" s="252"/>
      <c r="J4423" s="252"/>
      <c r="K4423" s="252"/>
      <c r="L4423"/>
      <c r="M4423"/>
    </row>
    <row r="4424" spans="1:13" s="79" customFormat="1" x14ac:dyDescent="0.35">
      <c r="A4424" s="251"/>
      <c r="B4424" s="22"/>
      <c r="C4424" s="252"/>
      <c r="D4424" s="252"/>
      <c r="E4424" s="252"/>
      <c r="F4424" s="252"/>
      <c r="G4424" s="252"/>
      <c r="H4424" s="252"/>
      <c r="I4424" s="252"/>
      <c r="J4424" s="252"/>
      <c r="K4424" s="252"/>
      <c r="L4424"/>
      <c r="M4424"/>
    </row>
    <row r="4425" spans="1:13" s="79" customFormat="1" x14ac:dyDescent="0.35">
      <c r="A4425" s="251"/>
      <c r="B4425" s="22"/>
      <c r="C4425" s="252"/>
      <c r="D4425" s="252"/>
      <c r="E4425" s="252"/>
      <c r="F4425" s="252"/>
      <c r="G4425" s="252"/>
      <c r="H4425" s="252"/>
      <c r="I4425" s="252"/>
      <c r="J4425" s="252"/>
      <c r="K4425" s="252"/>
      <c r="L4425"/>
      <c r="M4425"/>
    </row>
    <row r="4426" spans="1:13" s="79" customFormat="1" x14ac:dyDescent="0.35">
      <c r="A4426" s="251"/>
      <c r="B4426" s="22"/>
      <c r="C4426" s="252"/>
      <c r="D4426" s="252"/>
      <c r="E4426" s="252"/>
      <c r="F4426" s="252"/>
      <c r="G4426" s="252"/>
      <c r="H4426" s="252"/>
      <c r="I4426" s="252"/>
      <c r="J4426" s="252"/>
      <c r="K4426" s="252"/>
      <c r="L4426"/>
      <c r="M4426"/>
    </row>
    <row r="4427" spans="1:13" s="79" customFormat="1" x14ac:dyDescent="0.35">
      <c r="A4427" s="251"/>
      <c r="B4427" s="22"/>
      <c r="C4427" s="252"/>
      <c r="D4427" s="252"/>
      <c r="E4427" s="252"/>
      <c r="F4427" s="252"/>
      <c r="G4427" s="252"/>
      <c r="H4427" s="252"/>
      <c r="I4427" s="252"/>
      <c r="J4427" s="252"/>
      <c r="K4427" s="252"/>
      <c r="L4427"/>
      <c r="M4427"/>
    </row>
    <row r="4428" spans="1:13" s="79" customFormat="1" x14ac:dyDescent="0.35">
      <c r="A4428" s="251"/>
      <c r="B4428" s="22"/>
      <c r="C4428" s="252"/>
      <c r="D4428" s="252"/>
      <c r="E4428" s="252"/>
      <c r="F4428" s="252"/>
      <c r="G4428" s="252"/>
      <c r="H4428" s="252"/>
      <c r="I4428" s="252"/>
      <c r="J4428" s="252"/>
      <c r="K4428" s="252"/>
      <c r="L4428"/>
      <c r="M4428"/>
    </row>
    <row r="4429" spans="1:13" s="79" customFormat="1" x14ac:dyDescent="0.35">
      <c r="A4429" s="251"/>
      <c r="B4429" s="22"/>
      <c r="C4429" s="252"/>
      <c r="D4429" s="252"/>
      <c r="E4429" s="252"/>
      <c r="F4429" s="252"/>
      <c r="G4429" s="252"/>
      <c r="H4429" s="252"/>
      <c r="I4429" s="252"/>
      <c r="J4429" s="252"/>
      <c r="K4429" s="252"/>
      <c r="L4429"/>
      <c r="M4429"/>
    </row>
    <row r="4430" spans="1:13" s="79" customFormat="1" x14ac:dyDescent="0.35">
      <c r="A4430" s="251"/>
      <c r="B4430" s="22"/>
      <c r="C4430" s="252"/>
      <c r="D4430" s="252"/>
      <c r="E4430" s="252"/>
      <c r="F4430" s="252"/>
      <c r="G4430" s="252"/>
      <c r="H4430" s="252"/>
      <c r="I4430" s="252"/>
      <c r="J4430" s="252"/>
      <c r="K4430" s="252"/>
      <c r="L4430"/>
      <c r="M4430"/>
    </row>
    <row r="4431" spans="1:13" s="79" customFormat="1" x14ac:dyDescent="0.35">
      <c r="A4431" s="251"/>
      <c r="B4431" s="22"/>
      <c r="C4431" s="252"/>
      <c r="D4431" s="252"/>
      <c r="E4431" s="252"/>
      <c r="F4431" s="252"/>
      <c r="G4431" s="252"/>
      <c r="H4431" s="252"/>
      <c r="I4431" s="252"/>
      <c r="J4431" s="252"/>
      <c r="K4431" s="252"/>
      <c r="L4431"/>
      <c r="M4431"/>
    </row>
    <row r="4432" spans="1:13" s="79" customFormat="1" x14ac:dyDescent="0.35">
      <c r="A4432" s="251"/>
      <c r="B4432" s="22"/>
      <c r="C4432" s="252"/>
      <c r="D4432" s="252"/>
      <c r="E4432" s="252"/>
      <c r="F4432" s="252"/>
      <c r="G4432" s="252"/>
      <c r="H4432" s="252"/>
      <c r="I4432" s="252"/>
      <c r="J4432" s="252"/>
      <c r="K4432" s="252"/>
      <c r="L4432"/>
      <c r="M4432"/>
    </row>
    <row r="4433" spans="1:13" s="79" customFormat="1" x14ac:dyDescent="0.35">
      <c r="A4433" s="251"/>
      <c r="B4433" s="22"/>
      <c r="C4433" s="252"/>
      <c r="D4433" s="252"/>
      <c r="E4433" s="252"/>
      <c r="F4433" s="252"/>
      <c r="G4433" s="252"/>
      <c r="H4433" s="252"/>
      <c r="I4433" s="252"/>
      <c r="J4433" s="252"/>
      <c r="K4433" s="252"/>
      <c r="L4433"/>
      <c r="M4433"/>
    </row>
    <row r="4434" spans="1:13" s="79" customFormat="1" x14ac:dyDescent="0.35">
      <c r="A4434" s="251"/>
      <c r="B4434" s="22"/>
      <c r="C4434" s="252"/>
      <c r="D4434" s="252"/>
      <c r="E4434" s="252"/>
      <c r="F4434" s="252"/>
      <c r="G4434" s="252"/>
      <c r="H4434" s="252"/>
      <c r="I4434" s="252"/>
      <c r="J4434" s="252"/>
      <c r="K4434" s="252"/>
      <c r="L4434"/>
      <c r="M4434"/>
    </row>
    <row r="4435" spans="1:13" s="79" customFormat="1" x14ac:dyDescent="0.35">
      <c r="A4435" s="251"/>
      <c r="B4435" s="22"/>
      <c r="C4435" s="252"/>
      <c r="D4435" s="252"/>
      <c r="E4435" s="252"/>
      <c r="F4435" s="252"/>
      <c r="G4435" s="252"/>
      <c r="H4435" s="252"/>
      <c r="I4435" s="252"/>
      <c r="J4435" s="252"/>
      <c r="K4435" s="252"/>
      <c r="L4435"/>
      <c r="M4435"/>
    </row>
    <row r="4436" spans="1:13" s="79" customFormat="1" x14ac:dyDescent="0.35">
      <c r="A4436" s="251"/>
      <c r="B4436" s="22"/>
      <c r="C4436" s="252"/>
      <c r="D4436" s="252"/>
      <c r="E4436" s="252"/>
      <c r="F4436" s="252"/>
      <c r="G4436" s="252"/>
      <c r="H4436" s="252"/>
      <c r="I4436" s="252"/>
      <c r="J4436" s="252"/>
      <c r="K4436" s="252"/>
      <c r="L4436"/>
      <c r="M4436"/>
    </row>
    <row r="4437" spans="1:13" s="79" customFormat="1" x14ac:dyDescent="0.35">
      <c r="A4437" s="251"/>
      <c r="B4437" s="22"/>
      <c r="C4437" s="252"/>
      <c r="D4437" s="252"/>
      <c r="E4437" s="252"/>
      <c r="F4437" s="252"/>
      <c r="G4437" s="252"/>
      <c r="H4437" s="252"/>
      <c r="I4437" s="252"/>
      <c r="J4437" s="252"/>
      <c r="K4437" s="252"/>
      <c r="L4437"/>
      <c r="M4437"/>
    </row>
    <row r="4438" spans="1:13" s="79" customFormat="1" x14ac:dyDescent="0.35">
      <c r="A4438" s="251"/>
      <c r="B4438" s="22"/>
      <c r="C4438" s="252"/>
      <c r="D4438" s="252"/>
      <c r="E4438" s="252"/>
      <c r="F4438" s="252"/>
      <c r="G4438" s="252"/>
      <c r="H4438" s="252"/>
      <c r="I4438" s="252"/>
      <c r="J4438" s="252"/>
      <c r="K4438" s="252"/>
      <c r="L4438"/>
      <c r="M4438"/>
    </row>
    <row r="4439" spans="1:13" s="79" customFormat="1" x14ac:dyDescent="0.35">
      <c r="A4439" s="251"/>
      <c r="B4439" s="22"/>
      <c r="C4439" s="252"/>
      <c r="D4439" s="252"/>
      <c r="E4439" s="252"/>
      <c r="F4439" s="252"/>
      <c r="G4439" s="252"/>
      <c r="H4439" s="252"/>
      <c r="I4439" s="252"/>
      <c r="J4439" s="252"/>
      <c r="K4439" s="252"/>
      <c r="L4439"/>
      <c r="M4439"/>
    </row>
    <row r="4440" spans="1:13" s="79" customFormat="1" x14ac:dyDescent="0.35">
      <c r="A4440" s="251"/>
      <c r="B4440" s="22"/>
      <c r="C4440" s="252"/>
      <c r="D4440" s="252"/>
      <c r="E4440" s="252"/>
      <c r="F4440" s="252"/>
      <c r="G4440" s="252"/>
      <c r="H4440" s="252"/>
      <c r="I4440" s="252"/>
      <c r="J4440" s="252"/>
      <c r="K4440" s="252"/>
      <c r="L4440"/>
      <c r="M4440"/>
    </row>
    <row r="4441" spans="1:13" s="79" customFormat="1" x14ac:dyDescent="0.35">
      <c r="A4441" s="251"/>
      <c r="B4441" s="22"/>
      <c r="C4441" s="252"/>
      <c r="D4441" s="252"/>
      <c r="E4441" s="252"/>
      <c r="F4441" s="252"/>
      <c r="G4441" s="252"/>
      <c r="H4441" s="252"/>
      <c r="I4441" s="252"/>
      <c r="J4441" s="252"/>
      <c r="K4441" s="252"/>
      <c r="L4441"/>
      <c r="M4441"/>
    </row>
    <row r="4442" spans="1:13" s="79" customFormat="1" x14ac:dyDescent="0.35">
      <c r="A4442" s="251"/>
      <c r="B4442" s="22"/>
      <c r="C4442" s="252"/>
      <c r="D4442" s="252"/>
      <c r="E4442" s="252"/>
      <c r="F4442" s="252"/>
      <c r="G4442" s="252"/>
      <c r="H4442" s="252"/>
      <c r="I4442" s="252"/>
      <c r="J4442" s="252"/>
      <c r="K4442" s="252"/>
      <c r="L4442"/>
      <c r="M4442"/>
    </row>
    <row r="4443" spans="1:13" s="79" customFormat="1" x14ac:dyDescent="0.35">
      <c r="A4443" s="251"/>
      <c r="B4443" s="22"/>
      <c r="C4443" s="252"/>
      <c r="D4443" s="252"/>
      <c r="E4443" s="252"/>
      <c r="F4443" s="252"/>
      <c r="G4443" s="252"/>
      <c r="H4443" s="252"/>
      <c r="I4443" s="252"/>
      <c r="J4443" s="252"/>
      <c r="K4443" s="252"/>
      <c r="L4443"/>
      <c r="M4443"/>
    </row>
    <row r="4444" spans="1:13" s="79" customFormat="1" x14ac:dyDescent="0.35">
      <c r="A4444" s="251"/>
      <c r="B4444" s="22"/>
      <c r="C4444" s="252"/>
      <c r="D4444" s="252"/>
      <c r="E4444" s="252"/>
      <c r="F4444" s="252"/>
      <c r="G4444" s="252"/>
      <c r="H4444" s="252"/>
      <c r="I4444" s="252"/>
      <c r="J4444" s="252"/>
      <c r="K4444" s="252"/>
      <c r="L4444"/>
      <c r="M4444"/>
    </row>
    <row r="4445" spans="1:13" s="79" customFormat="1" x14ac:dyDescent="0.35">
      <c r="A4445" s="251"/>
      <c r="B4445" s="22"/>
      <c r="C4445" s="252"/>
      <c r="D4445" s="252"/>
      <c r="E4445" s="252"/>
      <c r="F4445" s="252"/>
      <c r="G4445" s="252"/>
      <c r="H4445" s="252"/>
      <c r="I4445" s="252"/>
      <c r="J4445" s="252"/>
      <c r="K4445" s="252"/>
      <c r="L4445"/>
      <c r="M4445"/>
    </row>
    <row r="4446" spans="1:13" s="79" customFormat="1" x14ac:dyDescent="0.35">
      <c r="A4446" s="251"/>
      <c r="B4446" s="22"/>
      <c r="C4446" s="252"/>
      <c r="D4446" s="252"/>
      <c r="E4446" s="252"/>
      <c r="F4446" s="252"/>
      <c r="G4446" s="252"/>
      <c r="H4446" s="252"/>
      <c r="I4446" s="252"/>
      <c r="J4446" s="252"/>
      <c r="K4446" s="252"/>
      <c r="L4446"/>
      <c r="M4446"/>
    </row>
    <row r="4447" spans="1:13" s="79" customFormat="1" x14ac:dyDescent="0.35">
      <c r="A4447" s="251"/>
      <c r="B4447" s="22"/>
      <c r="C4447" s="252"/>
      <c r="D4447" s="252"/>
      <c r="E4447" s="252"/>
      <c r="F4447" s="252"/>
      <c r="G4447" s="252"/>
      <c r="H4447" s="252"/>
      <c r="I4447" s="252"/>
      <c r="J4447" s="252"/>
      <c r="K4447" s="252"/>
      <c r="L4447"/>
      <c r="M4447"/>
    </row>
    <row r="4448" spans="1:13" s="79" customFormat="1" x14ac:dyDescent="0.35">
      <c r="A4448" s="251"/>
      <c r="B4448" s="22"/>
      <c r="C4448" s="252"/>
      <c r="D4448" s="252"/>
      <c r="E4448" s="252"/>
      <c r="F4448" s="252"/>
      <c r="G4448" s="252"/>
      <c r="H4448" s="252"/>
      <c r="I4448" s="252"/>
      <c r="J4448" s="252"/>
      <c r="K4448" s="252"/>
      <c r="L4448"/>
      <c r="M4448"/>
    </row>
    <row r="4449" spans="1:13" s="79" customFormat="1" x14ac:dyDescent="0.35">
      <c r="A4449" s="251"/>
      <c r="B4449" s="22"/>
      <c r="C4449" s="252"/>
      <c r="D4449" s="252"/>
      <c r="E4449" s="252"/>
      <c r="F4449" s="252"/>
      <c r="G4449" s="252"/>
      <c r="H4449" s="252"/>
      <c r="I4449" s="252"/>
      <c r="J4449" s="252"/>
      <c r="K4449" s="252"/>
      <c r="L4449"/>
      <c r="M4449"/>
    </row>
    <row r="4450" spans="1:13" s="79" customFormat="1" x14ac:dyDescent="0.35">
      <c r="A4450" s="251"/>
      <c r="B4450" s="22"/>
      <c r="C4450" s="252"/>
      <c r="D4450" s="252"/>
      <c r="E4450" s="252"/>
      <c r="F4450" s="252"/>
      <c r="G4450" s="252"/>
      <c r="H4450" s="252"/>
      <c r="I4450" s="252"/>
      <c r="J4450" s="252"/>
      <c r="K4450" s="252"/>
      <c r="L4450"/>
      <c r="M4450"/>
    </row>
    <row r="4451" spans="1:13" s="79" customFormat="1" x14ac:dyDescent="0.35">
      <c r="A4451" s="251"/>
      <c r="B4451" s="22"/>
      <c r="C4451" s="252"/>
      <c r="D4451" s="252"/>
      <c r="E4451" s="252"/>
      <c r="F4451" s="252"/>
      <c r="G4451" s="252"/>
      <c r="H4451" s="252"/>
      <c r="I4451" s="252"/>
      <c r="J4451" s="252"/>
      <c r="K4451" s="252"/>
      <c r="L4451"/>
      <c r="M4451"/>
    </row>
    <row r="4452" spans="1:13" s="79" customFormat="1" x14ac:dyDescent="0.35">
      <c r="A4452" s="251"/>
      <c r="B4452" s="22"/>
      <c r="C4452" s="252"/>
      <c r="D4452" s="252"/>
      <c r="E4452" s="252"/>
      <c r="F4452" s="252"/>
      <c r="G4452" s="252"/>
      <c r="H4452" s="252"/>
      <c r="I4452" s="252"/>
      <c r="J4452" s="252"/>
      <c r="K4452" s="252"/>
      <c r="L4452"/>
      <c r="M4452"/>
    </row>
    <row r="4453" spans="1:13" s="79" customFormat="1" x14ac:dyDescent="0.35">
      <c r="A4453" s="251"/>
      <c r="B4453" s="22"/>
      <c r="C4453" s="252"/>
      <c r="D4453" s="252"/>
      <c r="E4453" s="252"/>
      <c r="F4453" s="252"/>
      <c r="G4453" s="252"/>
      <c r="H4453" s="252"/>
      <c r="I4453" s="252"/>
      <c r="J4453" s="252"/>
      <c r="K4453" s="252"/>
      <c r="L4453"/>
      <c r="M4453"/>
    </row>
    <row r="4454" spans="1:13" s="79" customFormat="1" x14ac:dyDescent="0.35">
      <c r="A4454" s="251"/>
      <c r="B4454" s="22"/>
      <c r="C4454" s="252"/>
      <c r="D4454" s="252"/>
      <c r="E4454" s="252"/>
      <c r="F4454" s="252"/>
      <c r="G4454" s="252"/>
      <c r="H4454" s="252"/>
      <c r="I4454" s="252"/>
      <c r="J4454" s="252"/>
      <c r="K4454" s="252"/>
      <c r="L4454"/>
      <c r="M4454"/>
    </row>
    <row r="4455" spans="1:13" s="79" customFormat="1" x14ac:dyDescent="0.35">
      <c r="A4455" s="251"/>
      <c r="B4455" s="22"/>
      <c r="C4455" s="252"/>
      <c r="D4455" s="252"/>
      <c r="E4455" s="252"/>
      <c r="F4455" s="252"/>
      <c r="G4455" s="252"/>
      <c r="H4455" s="252"/>
      <c r="I4455" s="252"/>
      <c r="J4455" s="252"/>
      <c r="K4455" s="252"/>
      <c r="L4455"/>
      <c r="M4455"/>
    </row>
    <row r="4456" spans="1:13" s="79" customFormat="1" x14ac:dyDescent="0.35">
      <c r="A4456" s="251"/>
      <c r="B4456" s="22"/>
      <c r="C4456" s="252"/>
      <c r="D4456" s="252"/>
      <c r="E4456" s="252"/>
      <c r="F4456" s="252"/>
      <c r="G4456" s="252"/>
      <c r="H4456" s="252"/>
      <c r="I4456" s="252"/>
      <c r="J4456" s="252"/>
      <c r="K4456" s="252"/>
      <c r="L4456"/>
      <c r="M4456"/>
    </row>
    <row r="4457" spans="1:13" s="79" customFormat="1" x14ac:dyDescent="0.35">
      <c r="A4457" s="251"/>
      <c r="B4457" s="22"/>
      <c r="C4457" s="252"/>
      <c r="D4457" s="252"/>
      <c r="E4457" s="252"/>
      <c r="F4457" s="252"/>
      <c r="G4457" s="252"/>
      <c r="H4457" s="252"/>
      <c r="I4457" s="252"/>
      <c r="J4457" s="252"/>
      <c r="K4457" s="252"/>
      <c r="L4457"/>
      <c r="M4457"/>
    </row>
    <row r="4458" spans="1:13" s="79" customFormat="1" x14ac:dyDescent="0.35">
      <c r="A4458" s="251"/>
      <c r="B4458" s="22"/>
      <c r="C4458" s="252"/>
      <c r="D4458" s="252"/>
      <c r="E4458" s="252"/>
      <c r="F4458" s="252"/>
      <c r="G4458" s="252"/>
      <c r="H4458" s="252"/>
      <c r="I4458" s="252"/>
      <c r="J4458" s="252"/>
      <c r="K4458" s="252"/>
      <c r="L4458"/>
      <c r="M4458"/>
    </row>
    <row r="4459" spans="1:13" s="79" customFormat="1" x14ac:dyDescent="0.35">
      <c r="A4459" s="251"/>
      <c r="B4459" s="22"/>
      <c r="C4459" s="252"/>
      <c r="D4459" s="252"/>
      <c r="E4459" s="252"/>
      <c r="F4459" s="252"/>
      <c r="G4459" s="252"/>
      <c r="H4459" s="252"/>
      <c r="I4459" s="252"/>
      <c r="J4459" s="252"/>
      <c r="K4459" s="252"/>
      <c r="L4459"/>
      <c r="M4459"/>
    </row>
    <row r="4460" spans="1:13" s="79" customFormat="1" x14ac:dyDescent="0.35">
      <c r="A4460" s="251"/>
      <c r="B4460" s="22"/>
      <c r="C4460" s="252"/>
      <c r="D4460" s="252"/>
      <c r="E4460" s="252"/>
      <c r="F4460" s="252"/>
      <c r="G4460" s="252"/>
      <c r="H4460" s="252"/>
      <c r="I4460" s="252"/>
      <c r="J4460" s="252"/>
      <c r="K4460" s="252"/>
      <c r="L4460"/>
      <c r="M4460"/>
    </row>
    <row r="4461" spans="1:13" s="79" customFormat="1" x14ac:dyDescent="0.35">
      <c r="A4461" s="251"/>
      <c r="B4461" s="22"/>
      <c r="C4461" s="252"/>
      <c r="D4461" s="252"/>
      <c r="E4461" s="252"/>
      <c r="F4461" s="252"/>
      <c r="G4461" s="252"/>
      <c r="H4461" s="252"/>
      <c r="I4461" s="252"/>
      <c r="J4461" s="252"/>
      <c r="K4461" s="252"/>
      <c r="L4461"/>
      <c r="M4461"/>
    </row>
    <row r="4462" spans="1:13" s="79" customFormat="1" x14ac:dyDescent="0.35">
      <c r="A4462" s="251"/>
      <c r="B4462" s="22"/>
      <c r="C4462" s="252"/>
      <c r="D4462" s="252"/>
      <c r="E4462" s="252"/>
      <c r="F4462" s="252"/>
      <c r="G4462" s="252"/>
      <c r="H4462" s="252"/>
      <c r="I4462" s="252"/>
      <c r="J4462" s="252"/>
      <c r="K4462" s="252"/>
      <c r="L4462"/>
      <c r="M4462"/>
    </row>
    <row r="4463" spans="1:13" s="79" customFormat="1" x14ac:dyDescent="0.35">
      <c r="A4463" s="251"/>
      <c r="B4463" s="22"/>
      <c r="C4463" s="252"/>
      <c r="D4463" s="252"/>
      <c r="E4463" s="252"/>
      <c r="F4463" s="252"/>
      <c r="G4463" s="252"/>
      <c r="H4463" s="252"/>
      <c r="I4463" s="252"/>
      <c r="J4463" s="252"/>
      <c r="K4463" s="252"/>
      <c r="L4463"/>
      <c r="M4463"/>
    </row>
    <row r="4464" spans="1:13" s="79" customFormat="1" x14ac:dyDescent="0.35">
      <c r="A4464" s="251"/>
      <c r="B4464" s="22"/>
      <c r="C4464" s="252"/>
      <c r="D4464" s="252"/>
      <c r="E4464" s="252"/>
      <c r="F4464" s="252"/>
      <c r="G4464" s="252"/>
      <c r="H4464" s="252"/>
      <c r="I4464" s="252"/>
      <c r="J4464" s="252"/>
      <c r="K4464" s="252"/>
      <c r="L4464"/>
      <c r="M4464"/>
    </row>
    <row r="4465" spans="1:13" s="79" customFormat="1" x14ac:dyDescent="0.35">
      <c r="A4465" s="251"/>
      <c r="B4465" s="22"/>
      <c r="C4465" s="252"/>
      <c r="D4465" s="252"/>
      <c r="E4465" s="252"/>
      <c r="F4465" s="252"/>
      <c r="G4465" s="252"/>
      <c r="H4465" s="252"/>
      <c r="I4465" s="252"/>
      <c r="J4465" s="252"/>
      <c r="K4465" s="252"/>
      <c r="L4465"/>
      <c r="M4465"/>
    </row>
    <row r="4466" spans="1:13" s="79" customFormat="1" x14ac:dyDescent="0.35">
      <c r="A4466" s="251"/>
      <c r="B4466" s="22"/>
      <c r="C4466" s="252"/>
      <c r="D4466" s="252"/>
      <c r="E4466" s="252"/>
      <c r="F4466" s="252"/>
      <c r="G4466" s="252"/>
      <c r="H4466" s="252"/>
      <c r="I4466" s="252"/>
      <c r="J4466" s="252"/>
      <c r="K4466" s="252"/>
      <c r="L4466"/>
      <c r="M4466"/>
    </row>
    <row r="4467" spans="1:13" s="79" customFormat="1" x14ac:dyDescent="0.35">
      <c r="A4467" s="251"/>
      <c r="B4467" s="22"/>
      <c r="C4467" s="252"/>
      <c r="D4467" s="252"/>
      <c r="E4467" s="252"/>
      <c r="F4467" s="252"/>
      <c r="G4467" s="252"/>
      <c r="H4467" s="252"/>
      <c r="I4467" s="252"/>
      <c r="J4467" s="252"/>
      <c r="K4467" s="252"/>
      <c r="L4467"/>
      <c r="M4467"/>
    </row>
    <row r="4468" spans="1:13" s="79" customFormat="1" x14ac:dyDescent="0.35">
      <c r="A4468" s="251"/>
      <c r="B4468" s="22"/>
      <c r="C4468" s="252"/>
      <c r="D4468" s="252"/>
      <c r="E4468" s="252"/>
      <c r="F4468" s="252"/>
      <c r="G4468" s="252"/>
      <c r="H4468" s="252"/>
      <c r="I4468" s="252"/>
      <c r="J4468" s="252"/>
      <c r="K4468" s="252"/>
      <c r="L4468"/>
      <c r="M4468"/>
    </row>
    <row r="4469" spans="1:13" s="79" customFormat="1" x14ac:dyDescent="0.35">
      <c r="A4469" s="251"/>
      <c r="B4469" s="22"/>
      <c r="C4469" s="252"/>
      <c r="D4469" s="252"/>
      <c r="E4469" s="252"/>
      <c r="F4469" s="252"/>
      <c r="G4469" s="252"/>
      <c r="H4469" s="252"/>
      <c r="I4469" s="252"/>
      <c r="J4469" s="252"/>
      <c r="K4469" s="252"/>
      <c r="L4469"/>
      <c r="M4469"/>
    </row>
    <row r="4470" spans="1:13" s="79" customFormat="1" x14ac:dyDescent="0.35">
      <c r="A4470" s="251"/>
      <c r="B4470" s="22"/>
      <c r="C4470" s="252"/>
      <c r="D4470" s="252"/>
      <c r="E4470" s="252"/>
      <c r="F4470" s="252"/>
      <c r="G4470" s="252"/>
      <c r="H4470" s="252"/>
      <c r="I4470" s="252"/>
      <c r="J4470" s="252"/>
      <c r="K4470" s="252"/>
      <c r="L4470"/>
      <c r="M4470"/>
    </row>
    <row r="4471" spans="1:13" s="79" customFormat="1" x14ac:dyDescent="0.35">
      <c r="A4471" s="251"/>
      <c r="B4471" s="22"/>
      <c r="C4471" s="252"/>
      <c r="D4471" s="252"/>
      <c r="E4471" s="252"/>
      <c r="F4471" s="252"/>
      <c r="G4471" s="252"/>
      <c r="H4471" s="252"/>
      <c r="I4471" s="252"/>
      <c r="J4471" s="252"/>
      <c r="K4471" s="252"/>
      <c r="L4471"/>
      <c r="M4471"/>
    </row>
    <row r="4472" spans="1:13" s="79" customFormat="1" x14ac:dyDescent="0.35">
      <c r="A4472" s="251"/>
      <c r="B4472" s="22"/>
      <c r="C4472" s="252"/>
      <c r="D4472" s="252"/>
      <c r="E4472" s="252"/>
      <c r="F4472" s="252"/>
      <c r="G4472" s="252"/>
      <c r="H4472" s="252"/>
      <c r="I4472" s="252"/>
      <c r="J4472" s="252"/>
      <c r="K4472" s="252"/>
      <c r="L4472"/>
      <c r="M4472"/>
    </row>
    <row r="4473" spans="1:13" s="79" customFormat="1" x14ac:dyDescent="0.35">
      <c r="A4473" s="251"/>
      <c r="B4473" s="22"/>
      <c r="C4473" s="252"/>
      <c r="D4473" s="252"/>
      <c r="E4473" s="252"/>
      <c r="F4473" s="252"/>
      <c r="G4473" s="252"/>
      <c r="H4473" s="252"/>
      <c r="I4473" s="252"/>
      <c r="J4473" s="252"/>
      <c r="K4473" s="252"/>
      <c r="L4473"/>
      <c r="M4473"/>
    </row>
    <row r="4474" spans="1:13" s="79" customFormat="1" x14ac:dyDescent="0.35">
      <c r="A4474" s="251"/>
      <c r="B4474" s="22"/>
      <c r="C4474" s="252"/>
      <c r="D4474" s="252"/>
      <c r="E4474" s="252"/>
      <c r="F4474" s="252"/>
      <c r="G4474" s="252"/>
      <c r="H4474" s="252"/>
      <c r="I4474" s="252"/>
      <c r="J4474" s="252"/>
      <c r="K4474" s="252"/>
      <c r="L4474"/>
      <c r="M4474"/>
    </row>
    <row r="4475" spans="1:13" s="79" customFormat="1" x14ac:dyDescent="0.35">
      <c r="A4475" s="251"/>
      <c r="B4475" s="22"/>
      <c r="C4475" s="252"/>
      <c r="D4475" s="252"/>
      <c r="E4475" s="252"/>
      <c r="F4475" s="252"/>
      <c r="G4475" s="252"/>
      <c r="H4475" s="252"/>
      <c r="I4475" s="252"/>
      <c r="J4475" s="252"/>
      <c r="K4475" s="252"/>
      <c r="L4475"/>
      <c r="M4475"/>
    </row>
    <row r="4476" spans="1:13" s="79" customFormat="1" x14ac:dyDescent="0.35">
      <c r="A4476" s="251"/>
      <c r="B4476" s="22"/>
      <c r="C4476" s="252"/>
      <c r="D4476" s="252"/>
      <c r="E4476" s="252"/>
      <c r="F4476" s="252"/>
      <c r="G4476" s="252"/>
      <c r="H4476" s="252"/>
      <c r="I4476" s="252"/>
      <c r="J4476" s="252"/>
      <c r="K4476" s="252"/>
      <c r="L4476"/>
      <c r="M4476"/>
    </row>
    <row r="4477" spans="1:13" s="79" customFormat="1" x14ac:dyDescent="0.35">
      <c r="A4477" s="251"/>
      <c r="B4477" s="22"/>
      <c r="C4477" s="252"/>
      <c r="D4477" s="252"/>
      <c r="E4477" s="252"/>
      <c r="F4477" s="252"/>
      <c r="G4477" s="252"/>
      <c r="H4477" s="252"/>
      <c r="I4477" s="252"/>
      <c r="J4477" s="252"/>
      <c r="K4477" s="252"/>
      <c r="L4477"/>
      <c r="M4477"/>
    </row>
    <row r="4478" spans="1:13" s="79" customFormat="1" x14ac:dyDescent="0.35">
      <c r="A4478" s="251"/>
      <c r="B4478" s="22"/>
      <c r="C4478" s="252"/>
      <c r="D4478" s="252"/>
      <c r="E4478" s="252"/>
      <c r="F4478" s="252"/>
      <c r="G4478" s="252"/>
      <c r="H4478" s="252"/>
      <c r="I4478" s="252"/>
      <c r="J4478" s="252"/>
      <c r="K4478" s="252"/>
      <c r="L4478"/>
      <c r="M4478"/>
    </row>
    <row r="4479" spans="1:13" s="79" customFormat="1" x14ac:dyDescent="0.35">
      <c r="A4479" s="251"/>
      <c r="B4479" s="22"/>
      <c r="C4479" s="252"/>
      <c r="D4479" s="252"/>
      <c r="E4479" s="252"/>
      <c r="F4479" s="252"/>
      <c r="G4479" s="252"/>
      <c r="H4479" s="252"/>
      <c r="I4479" s="252"/>
      <c r="J4479" s="252"/>
      <c r="K4479" s="252"/>
      <c r="L4479"/>
      <c r="M4479"/>
    </row>
    <row r="4480" spans="1:13" s="79" customFormat="1" x14ac:dyDescent="0.35">
      <c r="A4480" s="251"/>
      <c r="B4480" s="22"/>
      <c r="C4480" s="252"/>
      <c r="D4480" s="252"/>
      <c r="E4480" s="252"/>
      <c r="F4480" s="252"/>
      <c r="G4480" s="252"/>
      <c r="H4480" s="252"/>
      <c r="I4480" s="252"/>
      <c r="J4480" s="252"/>
      <c r="K4480" s="252"/>
      <c r="L4480"/>
      <c r="M4480"/>
    </row>
    <row r="4481" spans="1:13" s="79" customFormat="1" x14ac:dyDescent="0.35">
      <c r="A4481" s="251"/>
      <c r="B4481" s="22"/>
      <c r="C4481" s="252"/>
      <c r="D4481" s="252"/>
      <c r="E4481" s="252"/>
      <c r="F4481" s="252"/>
      <c r="G4481" s="252"/>
      <c r="H4481" s="252"/>
      <c r="I4481" s="252"/>
      <c r="J4481" s="252"/>
      <c r="K4481" s="252"/>
      <c r="L4481"/>
      <c r="M4481"/>
    </row>
    <row r="4482" spans="1:13" s="79" customFormat="1" x14ac:dyDescent="0.35">
      <c r="A4482" s="251"/>
      <c r="B4482" s="22"/>
      <c r="C4482" s="252"/>
      <c r="D4482" s="252"/>
      <c r="E4482" s="252"/>
      <c r="F4482" s="252"/>
      <c r="G4482" s="252"/>
      <c r="H4482" s="252"/>
      <c r="I4482" s="252"/>
      <c r="J4482" s="252"/>
      <c r="K4482" s="252"/>
      <c r="L4482"/>
      <c r="M4482"/>
    </row>
    <row r="4483" spans="1:13" s="79" customFormat="1" x14ac:dyDescent="0.35">
      <c r="A4483" s="251"/>
      <c r="B4483" s="22"/>
      <c r="C4483" s="252"/>
      <c r="D4483" s="252"/>
      <c r="E4483" s="252"/>
      <c r="F4483" s="252"/>
      <c r="G4483" s="252"/>
      <c r="H4483" s="252"/>
      <c r="I4483" s="252"/>
      <c r="J4483" s="252"/>
      <c r="K4483" s="252"/>
      <c r="L4483"/>
      <c r="M4483"/>
    </row>
    <row r="4484" spans="1:13" s="79" customFormat="1" x14ac:dyDescent="0.35">
      <c r="A4484" s="251"/>
      <c r="B4484" s="22"/>
      <c r="C4484" s="252"/>
      <c r="D4484" s="252"/>
      <c r="E4484" s="252"/>
      <c r="F4484" s="252"/>
      <c r="G4484" s="252"/>
      <c r="H4484" s="252"/>
      <c r="I4484" s="252"/>
      <c r="J4484" s="252"/>
      <c r="K4484" s="252"/>
      <c r="L4484"/>
      <c r="M4484"/>
    </row>
    <row r="4485" spans="1:13" s="79" customFormat="1" x14ac:dyDescent="0.35">
      <c r="A4485" s="251"/>
      <c r="B4485" s="22"/>
      <c r="C4485" s="252"/>
      <c r="D4485" s="252"/>
      <c r="E4485" s="252"/>
      <c r="F4485" s="252"/>
      <c r="G4485" s="252"/>
      <c r="H4485" s="252"/>
      <c r="I4485" s="252"/>
      <c r="J4485" s="252"/>
      <c r="K4485" s="252"/>
      <c r="L4485"/>
      <c r="M4485"/>
    </row>
    <row r="4486" spans="1:13" s="79" customFormat="1" x14ac:dyDescent="0.35">
      <c r="A4486" s="251"/>
      <c r="B4486" s="22"/>
      <c r="C4486" s="252"/>
      <c r="D4486" s="252"/>
      <c r="E4486" s="252"/>
      <c r="F4486" s="252"/>
      <c r="G4486" s="252"/>
      <c r="H4486" s="252"/>
      <c r="I4486" s="252"/>
      <c r="J4486" s="252"/>
      <c r="K4486" s="252"/>
      <c r="L4486"/>
      <c r="M4486"/>
    </row>
    <row r="4487" spans="1:13" s="79" customFormat="1" x14ac:dyDescent="0.35">
      <c r="A4487" s="251"/>
      <c r="B4487" s="22"/>
      <c r="C4487" s="252"/>
      <c r="D4487" s="252"/>
      <c r="E4487" s="252"/>
      <c r="F4487" s="252"/>
      <c r="G4487" s="252"/>
      <c r="H4487" s="252"/>
      <c r="I4487" s="252"/>
      <c r="J4487" s="252"/>
      <c r="K4487" s="252"/>
      <c r="L4487"/>
      <c r="M4487"/>
    </row>
    <row r="4488" spans="1:13" s="79" customFormat="1" x14ac:dyDescent="0.35">
      <c r="A4488" s="251"/>
      <c r="B4488" s="22"/>
      <c r="C4488" s="252"/>
      <c r="D4488" s="252"/>
      <c r="E4488" s="252"/>
      <c r="F4488" s="252"/>
      <c r="G4488" s="252"/>
      <c r="H4488" s="252"/>
      <c r="I4488" s="252"/>
      <c r="J4488" s="252"/>
      <c r="K4488" s="252"/>
      <c r="L4488"/>
      <c r="M4488"/>
    </row>
    <row r="4489" spans="1:13" s="79" customFormat="1" x14ac:dyDescent="0.35">
      <c r="A4489" s="251"/>
      <c r="B4489" s="22"/>
      <c r="C4489" s="252"/>
      <c r="D4489" s="252"/>
      <c r="E4489" s="252"/>
      <c r="F4489" s="252"/>
      <c r="G4489" s="252"/>
      <c r="H4489" s="252"/>
      <c r="I4489" s="252"/>
      <c r="J4489" s="252"/>
      <c r="K4489" s="252"/>
      <c r="L4489"/>
      <c r="M4489"/>
    </row>
    <row r="4490" spans="1:13" s="79" customFormat="1" x14ac:dyDescent="0.35">
      <c r="A4490" s="251"/>
      <c r="B4490" s="22"/>
      <c r="C4490" s="252"/>
      <c r="D4490" s="252"/>
      <c r="E4490" s="252"/>
      <c r="F4490" s="252"/>
      <c r="G4490" s="252"/>
      <c r="H4490" s="252"/>
      <c r="I4490" s="252"/>
      <c r="J4490" s="252"/>
      <c r="K4490" s="252"/>
      <c r="L4490"/>
      <c r="M4490"/>
    </row>
    <row r="4491" spans="1:13" s="79" customFormat="1" x14ac:dyDescent="0.35">
      <c r="A4491" s="251"/>
      <c r="B4491" s="22"/>
      <c r="C4491" s="252"/>
      <c r="D4491" s="252"/>
      <c r="E4491" s="252"/>
      <c r="F4491" s="252"/>
      <c r="G4491" s="252"/>
      <c r="H4491" s="252"/>
      <c r="I4491" s="252"/>
      <c r="J4491" s="252"/>
      <c r="K4491" s="252"/>
      <c r="L4491"/>
      <c r="M4491"/>
    </row>
    <row r="4492" spans="1:13" s="79" customFormat="1" x14ac:dyDescent="0.35">
      <c r="A4492" s="251"/>
      <c r="B4492" s="22"/>
      <c r="C4492" s="252"/>
      <c r="D4492" s="252"/>
      <c r="E4492" s="252"/>
      <c r="F4492" s="252"/>
      <c r="G4492" s="252"/>
      <c r="H4492" s="252"/>
      <c r="I4492" s="252"/>
      <c r="J4492" s="252"/>
      <c r="K4492" s="252"/>
      <c r="L4492"/>
      <c r="M4492"/>
    </row>
    <row r="4493" spans="1:13" s="79" customFormat="1" x14ac:dyDescent="0.35">
      <c r="A4493" s="251"/>
      <c r="B4493" s="22"/>
      <c r="C4493" s="252"/>
      <c r="D4493" s="252"/>
      <c r="E4493" s="252"/>
      <c r="F4493" s="252"/>
      <c r="G4493" s="252"/>
      <c r="H4493" s="252"/>
      <c r="I4493" s="252"/>
      <c r="J4493" s="252"/>
      <c r="K4493" s="252"/>
      <c r="L4493"/>
      <c r="M4493"/>
    </row>
    <row r="4494" spans="1:13" s="79" customFormat="1" x14ac:dyDescent="0.35">
      <c r="A4494" s="251"/>
      <c r="B4494" s="22"/>
      <c r="C4494" s="252"/>
      <c r="D4494" s="252"/>
      <c r="E4494" s="252"/>
      <c r="F4494" s="252"/>
      <c r="G4494" s="252"/>
      <c r="H4494" s="252"/>
      <c r="I4494" s="252"/>
      <c r="J4494" s="252"/>
      <c r="K4494" s="252"/>
      <c r="L4494"/>
      <c r="M4494"/>
    </row>
    <row r="4495" spans="1:13" s="79" customFormat="1" x14ac:dyDescent="0.35">
      <c r="A4495" s="251"/>
      <c r="B4495" s="22"/>
      <c r="C4495" s="252"/>
      <c r="D4495" s="252"/>
      <c r="E4495" s="252"/>
      <c r="F4495" s="252"/>
      <c r="G4495" s="252"/>
      <c r="H4495" s="252"/>
      <c r="I4495" s="252"/>
      <c r="J4495" s="252"/>
      <c r="K4495" s="252"/>
      <c r="L4495"/>
      <c r="M4495"/>
    </row>
    <row r="4496" spans="1:13" s="79" customFormat="1" x14ac:dyDescent="0.35">
      <c r="A4496" s="251"/>
      <c r="B4496" s="22"/>
      <c r="C4496" s="252"/>
      <c r="D4496" s="252"/>
      <c r="E4496" s="252"/>
      <c r="F4496" s="252"/>
      <c r="G4496" s="252"/>
      <c r="H4496" s="252"/>
      <c r="I4496" s="252"/>
      <c r="J4496" s="252"/>
      <c r="K4496" s="252"/>
      <c r="L4496"/>
      <c r="M4496"/>
    </row>
    <row r="4497" spans="1:13" s="79" customFormat="1" x14ac:dyDescent="0.35">
      <c r="A4497" s="251"/>
      <c r="B4497" s="22"/>
      <c r="C4497" s="252"/>
      <c r="D4497" s="252"/>
      <c r="E4497" s="252"/>
      <c r="F4497" s="252"/>
      <c r="G4497" s="252"/>
      <c r="H4497" s="252"/>
      <c r="I4497" s="252"/>
      <c r="J4497" s="252"/>
      <c r="K4497" s="252"/>
      <c r="L4497"/>
      <c r="M4497"/>
    </row>
    <row r="4498" spans="1:13" s="79" customFormat="1" x14ac:dyDescent="0.35">
      <c r="A4498" s="251"/>
      <c r="B4498" s="22"/>
      <c r="C4498" s="252"/>
      <c r="D4498" s="252"/>
      <c r="E4498" s="252"/>
      <c r="F4498" s="252"/>
      <c r="G4498" s="252"/>
      <c r="H4498" s="252"/>
      <c r="I4498" s="252"/>
      <c r="J4498" s="252"/>
      <c r="K4498" s="252"/>
      <c r="L4498"/>
      <c r="M4498"/>
    </row>
    <row r="4499" spans="1:13" s="79" customFormat="1" x14ac:dyDescent="0.35">
      <c r="A4499" s="251"/>
      <c r="B4499" s="22"/>
      <c r="C4499" s="252"/>
      <c r="D4499" s="252"/>
      <c r="E4499" s="252"/>
      <c r="F4499" s="252"/>
      <c r="G4499" s="252"/>
      <c r="H4499" s="252"/>
      <c r="I4499" s="252"/>
      <c r="J4499" s="252"/>
      <c r="K4499" s="252"/>
      <c r="L4499"/>
      <c r="M4499"/>
    </row>
    <row r="4500" spans="1:13" s="79" customFormat="1" x14ac:dyDescent="0.35">
      <c r="A4500" s="251"/>
      <c r="B4500" s="22"/>
      <c r="C4500" s="252"/>
      <c r="D4500" s="252"/>
      <c r="E4500" s="252"/>
      <c r="F4500" s="252"/>
      <c r="G4500" s="252"/>
      <c r="H4500" s="252"/>
      <c r="I4500" s="252"/>
      <c r="J4500" s="252"/>
      <c r="K4500" s="252"/>
      <c r="L4500"/>
      <c r="M4500"/>
    </row>
    <row r="4501" spans="1:13" s="79" customFormat="1" x14ac:dyDescent="0.35">
      <c r="A4501" s="251"/>
      <c r="B4501" s="22"/>
      <c r="C4501" s="252"/>
      <c r="D4501" s="252"/>
      <c r="E4501" s="252"/>
      <c r="F4501" s="252"/>
      <c r="G4501" s="252"/>
      <c r="H4501" s="252"/>
      <c r="I4501" s="252"/>
      <c r="J4501" s="252"/>
      <c r="K4501" s="252"/>
      <c r="L4501"/>
      <c r="M4501"/>
    </row>
    <row r="4502" spans="1:13" s="79" customFormat="1" x14ac:dyDescent="0.35">
      <c r="A4502" s="251"/>
      <c r="B4502" s="22"/>
      <c r="C4502" s="252"/>
      <c r="D4502" s="252"/>
      <c r="E4502" s="252"/>
      <c r="F4502" s="252"/>
      <c r="G4502" s="252"/>
      <c r="H4502" s="252"/>
      <c r="I4502" s="252"/>
      <c r="J4502" s="252"/>
      <c r="K4502" s="252"/>
      <c r="L4502"/>
      <c r="M4502"/>
    </row>
    <row r="4503" spans="1:13" s="79" customFormat="1" x14ac:dyDescent="0.35">
      <c r="A4503" s="251"/>
      <c r="B4503" s="22"/>
      <c r="C4503" s="252"/>
      <c r="D4503" s="252"/>
      <c r="E4503" s="252"/>
      <c r="F4503" s="252"/>
      <c r="G4503" s="252"/>
      <c r="H4503" s="252"/>
      <c r="I4503" s="252"/>
      <c r="J4503" s="252"/>
      <c r="K4503" s="252"/>
      <c r="L4503"/>
      <c r="M4503"/>
    </row>
    <row r="4504" spans="1:13" s="79" customFormat="1" x14ac:dyDescent="0.35">
      <c r="A4504" s="251"/>
      <c r="B4504" s="22"/>
      <c r="C4504" s="252"/>
      <c r="D4504" s="252"/>
      <c r="E4504" s="252"/>
      <c r="F4504" s="252"/>
      <c r="G4504" s="252"/>
      <c r="H4504" s="252"/>
      <c r="I4504" s="252"/>
      <c r="J4504" s="252"/>
      <c r="K4504" s="252"/>
      <c r="L4504"/>
      <c r="M4504"/>
    </row>
    <row r="4505" spans="1:13" s="79" customFormat="1" x14ac:dyDescent="0.35">
      <c r="A4505" s="251"/>
      <c r="B4505" s="22"/>
      <c r="C4505" s="252"/>
      <c r="D4505" s="252"/>
      <c r="E4505" s="252"/>
      <c r="F4505" s="252"/>
      <c r="G4505" s="252"/>
      <c r="H4505" s="252"/>
      <c r="I4505" s="252"/>
      <c r="J4505" s="252"/>
      <c r="K4505" s="252"/>
      <c r="L4505"/>
      <c r="M4505"/>
    </row>
    <row r="4506" spans="1:13" s="79" customFormat="1" x14ac:dyDescent="0.35">
      <c r="A4506" s="251"/>
      <c r="B4506" s="22"/>
      <c r="C4506" s="252"/>
      <c r="D4506" s="252"/>
      <c r="E4506" s="252"/>
      <c r="F4506" s="252"/>
      <c r="G4506" s="252"/>
      <c r="H4506" s="252"/>
      <c r="I4506" s="252"/>
      <c r="J4506" s="252"/>
      <c r="K4506" s="252"/>
      <c r="L4506"/>
      <c r="M4506"/>
    </row>
    <row r="4507" spans="1:13" s="79" customFormat="1" x14ac:dyDescent="0.35">
      <c r="A4507" s="251"/>
      <c r="B4507" s="22"/>
      <c r="C4507" s="252"/>
      <c r="D4507" s="252"/>
      <c r="E4507" s="252"/>
      <c r="F4507" s="252"/>
      <c r="G4507" s="252"/>
      <c r="H4507" s="252"/>
      <c r="I4507" s="252"/>
      <c r="J4507" s="252"/>
      <c r="K4507" s="252"/>
      <c r="L4507"/>
      <c r="M4507"/>
    </row>
    <row r="4508" spans="1:13" s="79" customFormat="1" x14ac:dyDescent="0.35">
      <c r="A4508" s="251"/>
      <c r="B4508" s="22"/>
      <c r="C4508" s="252"/>
      <c r="D4508" s="252"/>
      <c r="E4508" s="252"/>
      <c r="F4508" s="252"/>
      <c r="G4508" s="252"/>
      <c r="H4508" s="252"/>
      <c r="I4508" s="252"/>
      <c r="J4508" s="252"/>
      <c r="K4508" s="252"/>
      <c r="L4508"/>
      <c r="M4508"/>
    </row>
    <row r="4509" spans="1:13" s="79" customFormat="1" x14ac:dyDescent="0.35">
      <c r="A4509" s="251"/>
      <c r="B4509" s="22"/>
      <c r="C4509" s="252"/>
      <c r="D4509" s="252"/>
      <c r="E4509" s="252"/>
      <c r="F4509" s="252"/>
      <c r="G4509" s="252"/>
      <c r="H4509" s="252"/>
      <c r="I4509" s="252"/>
      <c r="J4509" s="252"/>
      <c r="K4509" s="252"/>
      <c r="L4509"/>
      <c r="M4509"/>
    </row>
    <row r="4510" spans="1:13" s="79" customFormat="1" x14ac:dyDescent="0.35">
      <c r="A4510" s="251"/>
      <c r="B4510" s="22"/>
      <c r="C4510" s="252"/>
      <c r="D4510" s="252"/>
      <c r="E4510" s="252"/>
      <c r="F4510" s="252"/>
      <c r="G4510" s="252"/>
      <c r="H4510" s="252"/>
      <c r="I4510" s="252"/>
      <c r="J4510" s="252"/>
      <c r="K4510" s="252"/>
      <c r="L4510"/>
      <c r="M4510"/>
    </row>
    <row r="4511" spans="1:13" s="79" customFormat="1" x14ac:dyDescent="0.35">
      <c r="A4511" s="251"/>
      <c r="B4511" s="22"/>
      <c r="C4511" s="252"/>
      <c r="D4511" s="252"/>
      <c r="E4511" s="252"/>
      <c r="F4511" s="252"/>
      <c r="G4511" s="252"/>
      <c r="H4511" s="252"/>
      <c r="I4511" s="252"/>
      <c r="J4511" s="252"/>
      <c r="K4511" s="252"/>
      <c r="L4511"/>
      <c r="M4511"/>
    </row>
    <row r="4512" spans="1:13" s="79" customFormat="1" x14ac:dyDescent="0.35">
      <c r="A4512" s="251"/>
      <c r="B4512" s="22"/>
      <c r="C4512" s="252"/>
      <c r="D4512" s="252"/>
      <c r="E4512" s="252"/>
      <c r="F4512" s="252"/>
      <c r="G4512" s="252"/>
      <c r="H4512" s="252"/>
      <c r="I4512" s="252"/>
      <c r="J4512" s="252"/>
      <c r="K4512" s="252"/>
      <c r="L4512"/>
      <c r="M4512"/>
    </row>
    <row r="4513" spans="1:13" s="79" customFormat="1" x14ac:dyDescent="0.35">
      <c r="A4513" s="251"/>
      <c r="B4513" s="22"/>
      <c r="C4513" s="252"/>
      <c r="D4513" s="252"/>
      <c r="E4513" s="252"/>
      <c r="F4513" s="252"/>
      <c r="G4513" s="252"/>
      <c r="H4513" s="252"/>
      <c r="I4513" s="252"/>
      <c r="J4513" s="252"/>
      <c r="K4513" s="252"/>
      <c r="L4513"/>
      <c r="M4513"/>
    </row>
    <row r="4514" spans="1:13" s="79" customFormat="1" x14ac:dyDescent="0.35">
      <c r="A4514" s="251"/>
      <c r="B4514" s="22"/>
      <c r="C4514" s="252"/>
      <c r="D4514" s="252"/>
      <c r="E4514" s="252"/>
      <c r="F4514" s="252"/>
      <c r="G4514" s="252"/>
      <c r="H4514" s="252"/>
      <c r="I4514" s="252"/>
      <c r="J4514" s="252"/>
      <c r="K4514" s="252"/>
      <c r="L4514"/>
      <c r="M4514"/>
    </row>
    <row r="4515" spans="1:13" s="79" customFormat="1" x14ac:dyDescent="0.35">
      <c r="A4515" s="251"/>
      <c r="B4515" s="22"/>
      <c r="C4515" s="252"/>
      <c r="D4515" s="252"/>
      <c r="E4515" s="252"/>
      <c r="F4515" s="252"/>
      <c r="G4515" s="252"/>
      <c r="H4515" s="252"/>
      <c r="I4515" s="252"/>
      <c r="J4515" s="252"/>
      <c r="K4515" s="252"/>
      <c r="L4515"/>
      <c r="M4515"/>
    </row>
    <row r="4516" spans="1:13" s="79" customFormat="1" x14ac:dyDescent="0.35">
      <c r="A4516" s="251"/>
      <c r="B4516" s="22"/>
      <c r="C4516" s="252"/>
      <c r="D4516" s="252"/>
      <c r="E4516" s="252"/>
      <c r="F4516" s="252"/>
      <c r="G4516" s="252"/>
      <c r="H4516" s="252"/>
      <c r="I4516" s="252"/>
      <c r="J4516" s="252"/>
      <c r="K4516" s="252"/>
      <c r="L4516"/>
      <c r="M4516"/>
    </row>
    <row r="4517" spans="1:13" s="79" customFormat="1" x14ac:dyDescent="0.35">
      <c r="A4517" s="251"/>
      <c r="B4517" s="22"/>
      <c r="C4517" s="252"/>
      <c r="D4517" s="252"/>
      <c r="E4517" s="252"/>
      <c r="F4517" s="252"/>
      <c r="G4517" s="252"/>
      <c r="H4517" s="252"/>
      <c r="I4517" s="252"/>
      <c r="J4517" s="252"/>
      <c r="K4517" s="252"/>
      <c r="L4517"/>
      <c r="M4517"/>
    </row>
    <row r="4518" spans="1:13" s="79" customFormat="1" x14ac:dyDescent="0.35">
      <c r="A4518" s="251"/>
      <c r="B4518" s="22"/>
      <c r="C4518" s="252"/>
      <c r="D4518" s="252"/>
      <c r="E4518" s="252"/>
      <c r="F4518" s="252"/>
      <c r="G4518" s="252"/>
      <c r="H4518" s="252"/>
      <c r="I4518" s="252"/>
      <c r="J4518" s="252"/>
      <c r="K4518" s="252"/>
      <c r="L4518"/>
      <c r="M4518"/>
    </row>
    <row r="4519" spans="1:13" s="79" customFormat="1" x14ac:dyDescent="0.35">
      <c r="A4519" s="251"/>
      <c r="B4519" s="22"/>
      <c r="C4519" s="252"/>
      <c r="D4519" s="252"/>
      <c r="E4519" s="252"/>
      <c r="F4519" s="252"/>
      <c r="G4519" s="252"/>
      <c r="H4519" s="252"/>
      <c r="I4519" s="252"/>
      <c r="J4519" s="252"/>
      <c r="K4519" s="252"/>
      <c r="L4519"/>
      <c r="M4519"/>
    </row>
    <row r="4520" spans="1:13" s="79" customFormat="1" x14ac:dyDescent="0.35">
      <c r="A4520" s="251"/>
      <c r="B4520" s="22"/>
      <c r="C4520" s="252"/>
      <c r="D4520" s="252"/>
      <c r="E4520" s="252"/>
      <c r="F4520" s="252"/>
      <c r="G4520" s="252"/>
      <c r="H4520" s="252"/>
      <c r="I4520" s="252"/>
      <c r="J4520" s="252"/>
      <c r="K4520" s="252"/>
      <c r="L4520"/>
      <c r="M4520"/>
    </row>
    <row r="4521" spans="1:13" s="79" customFormat="1" x14ac:dyDescent="0.35">
      <c r="A4521" s="251"/>
      <c r="B4521" s="22"/>
      <c r="C4521" s="252"/>
      <c r="D4521" s="252"/>
      <c r="E4521" s="252"/>
      <c r="F4521" s="252"/>
      <c r="G4521" s="252"/>
      <c r="H4521" s="252"/>
      <c r="I4521" s="252"/>
      <c r="J4521" s="252"/>
      <c r="K4521" s="252"/>
      <c r="L4521"/>
      <c r="M4521"/>
    </row>
    <row r="4522" spans="1:13" s="79" customFormat="1" x14ac:dyDescent="0.35">
      <c r="A4522" s="251"/>
      <c r="B4522" s="22"/>
      <c r="C4522" s="252"/>
      <c r="D4522" s="252"/>
      <c r="E4522" s="252"/>
      <c r="F4522" s="252"/>
      <c r="G4522" s="252"/>
      <c r="H4522" s="252"/>
      <c r="I4522" s="252"/>
      <c r="J4522" s="252"/>
      <c r="K4522" s="252"/>
      <c r="L4522"/>
      <c r="M4522"/>
    </row>
    <row r="4523" spans="1:13" s="79" customFormat="1" x14ac:dyDescent="0.35">
      <c r="A4523" s="251"/>
      <c r="B4523" s="22"/>
      <c r="C4523" s="252"/>
      <c r="D4523" s="252"/>
      <c r="E4523" s="252"/>
      <c r="F4523" s="252"/>
      <c r="G4523" s="252"/>
      <c r="H4523" s="252"/>
      <c r="I4523" s="252"/>
      <c r="J4523" s="252"/>
      <c r="K4523" s="252"/>
      <c r="L4523"/>
      <c r="M4523"/>
    </row>
    <row r="4524" spans="1:13" s="79" customFormat="1" x14ac:dyDescent="0.35">
      <c r="A4524" s="251"/>
      <c r="B4524" s="22"/>
      <c r="C4524" s="252"/>
      <c r="D4524" s="252"/>
      <c r="E4524" s="252"/>
      <c r="F4524" s="252"/>
      <c r="G4524" s="252"/>
      <c r="H4524" s="252"/>
      <c r="I4524" s="252"/>
      <c r="J4524" s="252"/>
      <c r="K4524" s="252"/>
      <c r="L4524"/>
      <c r="M4524"/>
    </row>
    <row r="4525" spans="1:13" s="79" customFormat="1" x14ac:dyDescent="0.35">
      <c r="A4525" s="251"/>
      <c r="B4525" s="22"/>
      <c r="C4525" s="252"/>
      <c r="D4525" s="252"/>
      <c r="E4525" s="252"/>
      <c r="F4525" s="252"/>
      <c r="G4525" s="252"/>
      <c r="H4525" s="252"/>
      <c r="I4525" s="252"/>
      <c r="J4525" s="252"/>
      <c r="K4525" s="252"/>
      <c r="L4525"/>
      <c r="M4525"/>
    </row>
    <row r="4526" spans="1:13" s="79" customFormat="1" x14ac:dyDescent="0.35">
      <c r="A4526" s="251"/>
      <c r="B4526" s="22"/>
      <c r="C4526" s="252"/>
      <c r="D4526" s="252"/>
      <c r="E4526" s="252"/>
      <c r="F4526" s="252"/>
      <c r="G4526" s="252"/>
      <c r="H4526" s="252"/>
      <c r="I4526" s="252"/>
      <c r="J4526" s="252"/>
      <c r="K4526" s="252"/>
      <c r="L4526"/>
      <c r="M4526"/>
    </row>
    <row r="4527" spans="1:13" s="79" customFormat="1" x14ac:dyDescent="0.35">
      <c r="A4527" s="251"/>
      <c r="B4527" s="22"/>
      <c r="C4527" s="252"/>
      <c r="D4527" s="252"/>
      <c r="E4527" s="252"/>
      <c r="F4527" s="252"/>
      <c r="G4527" s="252"/>
      <c r="H4527" s="252"/>
      <c r="I4527" s="252"/>
      <c r="J4527" s="252"/>
      <c r="K4527" s="252"/>
      <c r="L4527"/>
      <c r="M4527"/>
    </row>
    <row r="4528" spans="1:13" s="79" customFormat="1" x14ac:dyDescent="0.35">
      <c r="A4528" s="251"/>
      <c r="B4528" s="22"/>
      <c r="C4528" s="252"/>
      <c r="D4528" s="252"/>
      <c r="E4528" s="252"/>
      <c r="F4528" s="252"/>
      <c r="G4528" s="252"/>
      <c r="H4528" s="252"/>
      <c r="I4528" s="252"/>
      <c r="J4528" s="252"/>
      <c r="K4528" s="252"/>
      <c r="L4528"/>
      <c r="M4528"/>
    </row>
    <row r="4529" spans="1:13" s="79" customFormat="1" x14ac:dyDescent="0.35">
      <c r="A4529" s="251"/>
      <c r="B4529" s="22"/>
      <c r="C4529" s="252"/>
      <c r="D4529" s="252"/>
      <c r="E4529" s="252"/>
      <c r="F4529" s="252"/>
      <c r="G4529" s="252"/>
      <c r="H4529" s="252"/>
      <c r="I4529" s="252"/>
      <c r="J4529" s="252"/>
      <c r="K4529" s="252"/>
      <c r="L4529"/>
      <c r="M4529"/>
    </row>
    <row r="4530" spans="1:13" s="79" customFormat="1" x14ac:dyDescent="0.35">
      <c r="A4530" s="251"/>
      <c r="B4530" s="22"/>
      <c r="C4530" s="252"/>
      <c r="D4530" s="252"/>
      <c r="E4530" s="252"/>
      <c r="F4530" s="252"/>
      <c r="G4530" s="252"/>
      <c r="H4530" s="252"/>
      <c r="I4530" s="252"/>
      <c r="J4530" s="252"/>
      <c r="K4530" s="252"/>
      <c r="L4530"/>
      <c r="M4530"/>
    </row>
    <row r="4531" spans="1:13" s="79" customFormat="1" x14ac:dyDescent="0.35">
      <c r="A4531" s="251"/>
      <c r="B4531" s="22"/>
      <c r="C4531" s="252"/>
      <c r="D4531" s="252"/>
      <c r="E4531" s="252"/>
      <c r="F4531" s="252"/>
      <c r="G4531" s="252"/>
      <c r="H4531" s="252"/>
      <c r="I4531" s="252"/>
      <c r="J4531" s="252"/>
      <c r="K4531" s="252"/>
      <c r="L4531"/>
      <c r="M4531"/>
    </row>
    <row r="4532" spans="1:13" s="79" customFormat="1" x14ac:dyDescent="0.35">
      <c r="A4532" s="251"/>
      <c r="B4532" s="22"/>
      <c r="C4532" s="252"/>
      <c r="D4532" s="252"/>
      <c r="E4532" s="252"/>
      <c r="F4532" s="252"/>
      <c r="G4532" s="252"/>
      <c r="H4532" s="252"/>
      <c r="I4532" s="252"/>
      <c r="J4532" s="252"/>
      <c r="K4532" s="252"/>
      <c r="L4532"/>
      <c r="M4532"/>
    </row>
    <row r="4533" spans="1:13" s="79" customFormat="1" x14ac:dyDescent="0.35">
      <c r="A4533" s="251"/>
      <c r="B4533" s="22"/>
      <c r="C4533" s="252"/>
      <c r="D4533" s="252"/>
      <c r="E4533" s="252"/>
      <c r="F4533" s="252"/>
      <c r="G4533" s="252"/>
      <c r="H4533" s="252"/>
      <c r="I4533" s="252"/>
      <c r="J4533" s="252"/>
      <c r="K4533" s="252"/>
      <c r="L4533"/>
      <c r="M4533"/>
    </row>
    <row r="4534" spans="1:13" s="79" customFormat="1" x14ac:dyDescent="0.35">
      <c r="A4534" s="251"/>
      <c r="B4534" s="22"/>
      <c r="C4534" s="252"/>
      <c r="D4534" s="252"/>
      <c r="E4534" s="252"/>
      <c r="F4534" s="252"/>
      <c r="G4534" s="252"/>
      <c r="H4534" s="252"/>
      <c r="I4534" s="252"/>
      <c r="J4534" s="252"/>
      <c r="K4534" s="252"/>
      <c r="L4534"/>
      <c r="M4534"/>
    </row>
    <row r="4535" spans="1:13" s="79" customFormat="1" x14ac:dyDescent="0.35">
      <c r="A4535" s="251"/>
      <c r="B4535" s="22"/>
      <c r="C4535" s="252"/>
      <c r="D4535" s="252"/>
      <c r="E4535" s="252"/>
      <c r="F4535" s="252"/>
      <c r="G4535" s="252"/>
      <c r="H4535" s="252"/>
      <c r="I4535" s="252"/>
      <c r="J4535" s="252"/>
      <c r="K4535" s="252"/>
      <c r="L4535"/>
      <c r="M4535"/>
    </row>
    <row r="4536" spans="1:13" s="79" customFormat="1" x14ac:dyDescent="0.35">
      <c r="A4536" s="251"/>
      <c r="B4536" s="22"/>
      <c r="C4536" s="252"/>
      <c r="D4536" s="252"/>
      <c r="E4536" s="252"/>
      <c r="F4536" s="252"/>
      <c r="G4536" s="252"/>
      <c r="H4536" s="252"/>
      <c r="I4536" s="252"/>
      <c r="J4536" s="252"/>
      <c r="K4536" s="252"/>
      <c r="L4536"/>
      <c r="M4536"/>
    </row>
    <row r="4537" spans="1:13" s="79" customFormat="1" x14ac:dyDescent="0.35">
      <c r="A4537" s="251"/>
      <c r="B4537" s="22"/>
      <c r="C4537" s="252"/>
      <c r="D4537" s="252"/>
      <c r="E4537" s="252"/>
      <c r="F4537" s="252"/>
      <c r="G4537" s="252"/>
      <c r="H4537" s="252"/>
      <c r="I4537" s="252"/>
      <c r="J4537" s="252"/>
      <c r="K4537" s="252"/>
      <c r="L4537"/>
      <c r="M4537"/>
    </row>
    <row r="4538" spans="1:13" s="79" customFormat="1" x14ac:dyDescent="0.35">
      <c r="A4538" s="251"/>
      <c r="B4538" s="22"/>
      <c r="C4538" s="252"/>
      <c r="D4538" s="252"/>
      <c r="E4538" s="252"/>
      <c r="F4538" s="252"/>
      <c r="G4538" s="252"/>
      <c r="H4538" s="252"/>
      <c r="I4538" s="252"/>
      <c r="J4538" s="252"/>
      <c r="K4538" s="252"/>
      <c r="L4538"/>
      <c r="M4538"/>
    </row>
    <row r="4539" spans="1:13" s="79" customFormat="1" x14ac:dyDescent="0.35">
      <c r="A4539" s="251"/>
      <c r="B4539" s="22"/>
      <c r="C4539" s="252"/>
      <c r="D4539" s="252"/>
      <c r="E4539" s="252"/>
      <c r="F4539" s="252"/>
      <c r="G4539" s="252"/>
      <c r="H4539" s="252"/>
      <c r="I4539" s="252"/>
      <c r="J4539" s="252"/>
      <c r="K4539" s="252"/>
      <c r="L4539"/>
      <c r="M4539"/>
    </row>
    <row r="4540" spans="1:13" s="79" customFormat="1" x14ac:dyDescent="0.35">
      <c r="A4540" s="251"/>
      <c r="B4540" s="22"/>
      <c r="C4540" s="252"/>
      <c r="D4540" s="252"/>
      <c r="E4540" s="252"/>
      <c r="F4540" s="252"/>
      <c r="G4540" s="252"/>
      <c r="H4540" s="252"/>
      <c r="I4540" s="252"/>
      <c r="J4540" s="252"/>
      <c r="K4540" s="252"/>
      <c r="L4540"/>
      <c r="M4540"/>
    </row>
    <row r="4541" spans="1:13" s="79" customFormat="1" x14ac:dyDescent="0.35">
      <c r="A4541" s="251"/>
      <c r="B4541" s="22"/>
      <c r="C4541" s="252"/>
      <c r="D4541" s="252"/>
      <c r="E4541" s="252"/>
      <c r="F4541" s="252"/>
      <c r="G4541" s="252"/>
      <c r="H4541" s="252"/>
      <c r="I4541" s="252"/>
      <c r="J4541" s="252"/>
      <c r="K4541" s="252"/>
      <c r="L4541"/>
      <c r="M4541"/>
    </row>
    <row r="4542" spans="1:13" s="79" customFormat="1" x14ac:dyDescent="0.35">
      <c r="A4542" s="251"/>
      <c r="B4542" s="22"/>
      <c r="C4542" s="252"/>
      <c r="D4542" s="252"/>
      <c r="E4542" s="252"/>
      <c r="F4542" s="252"/>
      <c r="G4542" s="252"/>
      <c r="H4542" s="252"/>
      <c r="I4542" s="252"/>
      <c r="J4542" s="252"/>
      <c r="K4542" s="252"/>
      <c r="L4542"/>
      <c r="M4542"/>
    </row>
    <row r="4543" spans="1:13" s="79" customFormat="1" x14ac:dyDescent="0.35">
      <c r="A4543" s="251"/>
      <c r="B4543" s="22"/>
      <c r="C4543" s="252"/>
      <c r="D4543" s="252"/>
      <c r="E4543" s="252"/>
      <c r="F4543" s="252"/>
      <c r="G4543" s="252"/>
      <c r="H4543" s="252"/>
      <c r="I4543" s="252"/>
      <c r="J4543" s="252"/>
      <c r="K4543" s="252"/>
      <c r="L4543"/>
      <c r="M4543"/>
    </row>
    <row r="4544" spans="1:13" s="79" customFormat="1" x14ac:dyDescent="0.35">
      <c r="A4544" s="251"/>
      <c r="B4544" s="22"/>
      <c r="C4544" s="252"/>
      <c r="D4544" s="252"/>
      <c r="E4544" s="252"/>
      <c r="F4544" s="252"/>
      <c r="G4544" s="252"/>
      <c r="H4544" s="252"/>
      <c r="I4544" s="252"/>
      <c r="J4544" s="252"/>
      <c r="K4544" s="252"/>
      <c r="L4544"/>
      <c r="M4544"/>
    </row>
    <row r="4545" spans="1:13" s="79" customFormat="1" x14ac:dyDescent="0.35">
      <c r="A4545" s="251"/>
      <c r="B4545" s="22"/>
      <c r="C4545" s="252"/>
      <c r="D4545" s="252"/>
      <c r="E4545" s="252"/>
      <c r="F4545" s="252"/>
      <c r="G4545" s="252"/>
      <c r="H4545" s="252"/>
      <c r="I4545" s="252"/>
      <c r="J4545" s="252"/>
      <c r="K4545" s="252"/>
      <c r="L4545"/>
      <c r="M4545"/>
    </row>
    <row r="4546" spans="1:13" s="79" customFormat="1" x14ac:dyDescent="0.35">
      <c r="A4546" s="251"/>
      <c r="B4546" s="22"/>
      <c r="C4546" s="252"/>
      <c r="D4546" s="252"/>
      <c r="E4546" s="252"/>
      <c r="F4546" s="252"/>
      <c r="G4546" s="252"/>
      <c r="H4546" s="252"/>
      <c r="I4546" s="252"/>
      <c r="J4546" s="252"/>
      <c r="K4546" s="252"/>
      <c r="L4546"/>
      <c r="M4546"/>
    </row>
    <row r="4547" spans="1:13" s="79" customFormat="1" x14ac:dyDescent="0.35">
      <c r="A4547" s="251"/>
      <c r="B4547" s="22"/>
      <c r="C4547" s="252"/>
      <c r="D4547" s="252"/>
      <c r="E4547" s="252"/>
      <c r="F4547" s="252"/>
      <c r="G4547" s="252"/>
      <c r="H4547" s="252"/>
      <c r="I4547" s="252"/>
      <c r="J4547" s="252"/>
      <c r="K4547" s="252"/>
      <c r="L4547"/>
      <c r="M4547"/>
    </row>
    <row r="4548" spans="1:13" s="79" customFormat="1" x14ac:dyDescent="0.35">
      <c r="A4548" s="251"/>
      <c r="B4548" s="22"/>
      <c r="C4548" s="252"/>
      <c r="D4548" s="252"/>
      <c r="E4548" s="252"/>
      <c r="F4548" s="252"/>
      <c r="G4548" s="252"/>
      <c r="H4548" s="252"/>
      <c r="I4548" s="252"/>
      <c r="J4548" s="252"/>
      <c r="K4548" s="252"/>
      <c r="L4548"/>
      <c r="M4548"/>
    </row>
    <row r="4549" spans="1:13" s="79" customFormat="1" x14ac:dyDescent="0.35">
      <c r="A4549" s="251"/>
      <c r="B4549" s="22"/>
      <c r="C4549" s="252"/>
      <c r="D4549" s="252"/>
      <c r="E4549" s="252"/>
      <c r="F4549" s="252"/>
      <c r="G4549" s="252"/>
      <c r="H4549" s="252"/>
      <c r="I4549" s="252"/>
      <c r="J4549" s="252"/>
      <c r="K4549" s="252"/>
      <c r="L4549"/>
      <c r="M4549"/>
    </row>
    <row r="4550" spans="1:13" s="79" customFormat="1" x14ac:dyDescent="0.35">
      <c r="A4550" s="251"/>
      <c r="B4550" s="22"/>
      <c r="C4550" s="252"/>
      <c r="D4550" s="252"/>
      <c r="E4550" s="252"/>
      <c r="F4550" s="252"/>
      <c r="G4550" s="252"/>
      <c r="H4550" s="252"/>
      <c r="I4550" s="252"/>
      <c r="J4550" s="252"/>
      <c r="K4550" s="252"/>
      <c r="L4550"/>
      <c r="M4550"/>
    </row>
    <row r="4551" spans="1:13" s="79" customFormat="1" x14ac:dyDescent="0.35">
      <c r="A4551" s="251"/>
      <c r="B4551" s="22"/>
      <c r="C4551" s="252"/>
      <c r="D4551" s="252"/>
      <c r="E4551" s="252"/>
      <c r="F4551" s="252"/>
      <c r="G4551" s="252"/>
      <c r="H4551" s="252"/>
      <c r="I4551" s="252"/>
      <c r="J4551" s="252"/>
      <c r="K4551" s="252"/>
      <c r="L4551"/>
      <c r="M4551"/>
    </row>
    <row r="4552" spans="1:13" s="79" customFormat="1" x14ac:dyDescent="0.35">
      <c r="A4552" s="251"/>
      <c r="B4552" s="22"/>
      <c r="C4552" s="252"/>
      <c r="D4552" s="252"/>
      <c r="E4552" s="252"/>
      <c r="F4552" s="252"/>
      <c r="G4552" s="252"/>
      <c r="H4552" s="252"/>
      <c r="I4552" s="252"/>
      <c r="J4552" s="252"/>
      <c r="K4552" s="252"/>
      <c r="L4552"/>
      <c r="M4552"/>
    </row>
    <row r="4553" spans="1:13" s="79" customFormat="1" x14ac:dyDescent="0.35">
      <c r="A4553" s="251"/>
      <c r="B4553" s="22"/>
      <c r="C4553" s="252"/>
      <c r="D4553" s="252"/>
      <c r="E4553" s="252"/>
      <c r="F4553" s="252"/>
      <c r="G4553" s="252"/>
      <c r="H4553" s="252"/>
      <c r="I4553" s="252"/>
      <c r="J4553" s="252"/>
      <c r="K4553" s="252"/>
      <c r="L4553"/>
      <c r="M4553"/>
    </row>
    <row r="4554" spans="1:13" s="79" customFormat="1" x14ac:dyDescent="0.35">
      <c r="A4554" s="251"/>
      <c r="B4554" s="22"/>
      <c r="C4554" s="252"/>
      <c r="D4554" s="252"/>
      <c r="E4554" s="252"/>
      <c r="F4554" s="252"/>
      <c r="G4554" s="252"/>
      <c r="H4554" s="252"/>
      <c r="I4554" s="252"/>
      <c r="J4554" s="252"/>
      <c r="K4554" s="252"/>
      <c r="L4554"/>
      <c r="M4554"/>
    </row>
    <row r="4555" spans="1:13" s="79" customFormat="1" x14ac:dyDescent="0.35">
      <c r="A4555" s="251"/>
      <c r="B4555" s="22"/>
      <c r="C4555" s="252"/>
      <c r="D4555" s="252"/>
      <c r="E4555" s="252"/>
      <c r="F4555" s="252"/>
      <c r="G4555" s="252"/>
      <c r="H4555" s="252"/>
      <c r="I4555" s="252"/>
      <c r="J4555" s="252"/>
      <c r="K4555" s="252"/>
      <c r="L4555"/>
      <c r="M4555"/>
    </row>
    <row r="4556" spans="1:13" s="79" customFormat="1" x14ac:dyDescent="0.35">
      <c r="A4556" s="251"/>
      <c r="B4556" s="22"/>
      <c r="C4556" s="252"/>
      <c r="D4556" s="252"/>
      <c r="E4556" s="252"/>
      <c r="F4556" s="252"/>
      <c r="G4556" s="252"/>
      <c r="H4556" s="252"/>
      <c r="I4556" s="252"/>
      <c r="J4556" s="252"/>
      <c r="K4556" s="252"/>
      <c r="L4556"/>
      <c r="M4556"/>
    </row>
    <row r="4557" spans="1:13" s="79" customFormat="1" x14ac:dyDescent="0.35">
      <c r="A4557" s="251"/>
      <c r="B4557" s="22"/>
      <c r="C4557" s="252"/>
      <c r="D4557" s="252"/>
      <c r="E4557" s="252"/>
      <c r="F4557" s="252"/>
      <c r="G4557" s="252"/>
      <c r="H4557" s="252"/>
      <c r="I4557" s="252"/>
      <c r="J4557" s="252"/>
      <c r="K4557" s="252"/>
      <c r="L4557"/>
      <c r="M4557"/>
    </row>
    <row r="4558" spans="1:13" s="79" customFormat="1" x14ac:dyDescent="0.35">
      <c r="A4558" s="251"/>
      <c r="B4558" s="22"/>
      <c r="C4558" s="252"/>
      <c r="D4558" s="252"/>
      <c r="E4558" s="252"/>
      <c r="F4558" s="252"/>
      <c r="G4558" s="252"/>
      <c r="H4558" s="252"/>
      <c r="I4558" s="252"/>
      <c r="J4558" s="252"/>
      <c r="K4558" s="252"/>
      <c r="L4558"/>
      <c r="M4558"/>
    </row>
    <row r="4559" spans="1:13" s="79" customFormat="1" x14ac:dyDescent="0.35">
      <c r="A4559" s="251"/>
      <c r="B4559" s="22"/>
      <c r="C4559" s="252"/>
      <c r="D4559" s="252"/>
      <c r="E4559" s="252"/>
      <c r="F4559" s="252"/>
      <c r="G4559" s="252"/>
      <c r="H4559" s="252"/>
      <c r="I4559" s="252"/>
      <c r="J4559" s="252"/>
      <c r="K4559" s="252"/>
      <c r="L4559"/>
      <c r="M4559"/>
    </row>
    <row r="4560" spans="1:13" s="79" customFormat="1" x14ac:dyDescent="0.35">
      <c r="A4560" s="251"/>
      <c r="B4560" s="22"/>
      <c r="C4560" s="252"/>
      <c r="D4560" s="252"/>
      <c r="E4560" s="252"/>
      <c r="F4560" s="252"/>
      <c r="G4560" s="252"/>
      <c r="H4560" s="252"/>
      <c r="I4560" s="252"/>
      <c r="J4560" s="252"/>
      <c r="K4560" s="252"/>
      <c r="L4560"/>
      <c r="M4560"/>
    </row>
    <row r="4561" spans="1:13" s="79" customFormat="1" x14ac:dyDescent="0.35">
      <c r="A4561" s="251"/>
      <c r="B4561" s="22"/>
      <c r="C4561" s="252"/>
      <c r="D4561" s="252"/>
      <c r="E4561" s="252"/>
      <c r="F4561" s="252"/>
      <c r="G4561" s="252"/>
      <c r="H4561" s="252"/>
      <c r="I4561" s="252"/>
      <c r="J4561" s="252"/>
      <c r="K4561" s="252"/>
      <c r="L4561"/>
      <c r="M4561"/>
    </row>
    <row r="4562" spans="1:13" s="79" customFormat="1" x14ac:dyDescent="0.35">
      <c r="A4562" s="251"/>
      <c r="B4562" s="22"/>
      <c r="C4562" s="252"/>
      <c r="D4562" s="252"/>
      <c r="E4562" s="252"/>
      <c r="F4562" s="252"/>
      <c r="G4562" s="252"/>
      <c r="H4562" s="252"/>
      <c r="I4562" s="252"/>
      <c r="J4562" s="252"/>
      <c r="K4562" s="252"/>
      <c r="L4562"/>
      <c r="M4562"/>
    </row>
    <row r="4563" spans="1:13" s="79" customFormat="1" x14ac:dyDescent="0.35">
      <c r="A4563" s="251"/>
      <c r="B4563" s="22"/>
      <c r="C4563" s="252"/>
      <c r="D4563" s="252"/>
      <c r="E4563" s="252"/>
      <c r="F4563" s="252"/>
      <c r="G4563" s="252"/>
      <c r="H4563" s="252"/>
      <c r="I4563" s="252"/>
      <c r="J4563" s="252"/>
      <c r="K4563" s="252"/>
      <c r="L4563"/>
      <c r="M4563"/>
    </row>
    <row r="4564" spans="1:13" s="79" customFormat="1" x14ac:dyDescent="0.35">
      <c r="A4564" s="251"/>
      <c r="B4564" s="22"/>
      <c r="C4564" s="252"/>
      <c r="D4564" s="252"/>
      <c r="E4564" s="252"/>
      <c r="F4564" s="252"/>
      <c r="G4564" s="252"/>
      <c r="H4564" s="252"/>
      <c r="I4564" s="252"/>
      <c r="J4564" s="252"/>
      <c r="K4564" s="252"/>
      <c r="L4564"/>
      <c r="M4564"/>
    </row>
    <row r="4565" spans="1:13" s="79" customFormat="1" x14ac:dyDescent="0.35">
      <c r="A4565" s="251"/>
      <c r="B4565" s="22"/>
      <c r="C4565" s="252"/>
      <c r="D4565" s="252"/>
      <c r="E4565" s="252"/>
      <c r="F4565" s="252"/>
      <c r="G4565" s="252"/>
      <c r="H4565" s="252"/>
      <c r="I4565" s="252"/>
      <c r="J4565" s="252"/>
      <c r="K4565" s="252"/>
      <c r="L4565"/>
      <c r="M4565"/>
    </row>
    <row r="4566" spans="1:13" s="79" customFormat="1" x14ac:dyDescent="0.35">
      <c r="A4566" s="251"/>
      <c r="B4566" s="22"/>
      <c r="C4566" s="252"/>
      <c r="D4566" s="252"/>
      <c r="E4566" s="252"/>
      <c r="F4566" s="252"/>
      <c r="G4566" s="252"/>
      <c r="H4566" s="252"/>
      <c r="I4566" s="252"/>
      <c r="J4566" s="252"/>
      <c r="K4566" s="252"/>
      <c r="L4566"/>
      <c r="M4566"/>
    </row>
    <row r="4567" spans="1:13" s="79" customFormat="1" x14ac:dyDescent="0.35">
      <c r="A4567" s="251"/>
      <c r="B4567" s="22"/>
      <c r="C4567" s="252"/>
      <c r="D4567" s="252"/>
      <c r="E4567" s="252"/>
      <c r="F4567" s="252"/>
      <c r="G4567" s="252"/>
      <c r="H4567" s="252"/>
      <c r="I4567" s="252"/>
      <c r="J4567" s="252"/>
      <c r="K4567" s="252"/>
      <c r="L4567"/>
      <c r="M4567"/>
    </row>
    <row r="4568" spans="1:13" s="79" customFormat="1" x14ac:dyDescent="0.35">
      <c r="A4568" s="251"/>
      <c r="B4568" s="22"/>
      <c r="C4568" s="252"/>
      <c r="D4568" s="252"/>
      <c r="E4568" s="252"/>
      <c r="F4568" s="252"/>
      <c r="G4568" s="252"/>
      <c r="H4568" s="252"/>
      <c r="I4568" s="252"/>
      <c r="J4568" s="252"/>
      <c r="K4568" s="252"/>
      <c r="L4568"/>
      <c r="M4568"/>
    </row>
    <row r="4569" spans="1:13" s="79" customFormat="1" x14ac:dyDescent="0.35">
      <c r="A4569" s="251"/>
      <c r="B4569" s="22"/>
      <c r="C4569" s="252"/>
      <c r="D4569" s="252"/>
      <c r="E4569" s="252"/>
      <c r="F4569" s="252"/>
      <c r="G4569" s="252"/>
      <c r="H4569" s="252"/>
      <c r="I4569" s="252"/>
      <c r="J4569" s="252"/>
      <c r="K4569" s="252"/>
      <c r="L4569"/>
      <c r="M4569"/>
    </row>
    <row r="4570" spans="1:13" s="79" customFormat="1" x14ac:dyDescent="0.35">
      <c r="A4570" s="251"/>
      <c r="B4570" s="22"/>
      <c r="C4570" s="252"/>
      <c r="D4570" s="252"/>
      <c r="E4570" s="252"/>
      <c r="F4570" s="252"/>
      <c r="G4570" s="252"/>
      <c r="H4570" s="252"/>
      <c r="I4570" s="252"/>
      <c r="J4570" s="252"/>
      <c r="K4570" s="252"/>
      <c r="L4570"/>
      <c r="M4570"/>
    </row>
    <row r="4571" spans="1:13" s="79" customFormat="1" x14ac:dyDescent="0.35">
      <c r="A4571" s="251"/>
      <c r="B4571" s="22"/>
      <c r="C4571" s="252"/>
      <c r="D4571" s="252"/>
      <c r="E4571" s="252"/>
      <c r="F4571" s="252"/>
      <c r="G4571" s="252"/>
      <c r="H4571" s="252"/>
      <c r="I4571" s="252"/>
      <c r="J4571" s="252"/>
      <c r="K4571" s="252"/>
      <c r="L4571"/>
      <c r="M4571"/>
    </row>
    <row r="4572" spans="1:13" s="79" customFormat="1" x14ac:dyDescent="0.35">
      <c r="A4572" s="251"/>
      <c r="B4572" s="22"/>
      <c r="C4572" s="252"/>
      <c r="D4572" s="252"/>
      <c r="E4572" s="252"/>
      <c r="F4572" s="252"/>
      <c r="G4572" s="252"/>
      <c r="H4572" s="252"/>
      <c r="I4572" s="252"/>
      <c r="J4572" s="252"/>
      <c r="K4572" s="252"/>
      <c r="L4572"/>
      <c r="M4572"/>
    </row>
    <row r="4573" spans="1:13" s="79" customFormat="1" x14ac:dyDescent="0.35">
      <c r="A4573" s="251"/>
      <c r="B4573" s="22"/>
      <c r="C4573" s="252"/>
      <c r="D4573" s="252"/>
      <c r="E4573" s="252"/>
      <c r="F4573" s="252"/>
      <c r="G4573" s="252"/>
      <c r="H4573" s="252"/>
      <c r="I4573" s="252"/>
      <c r="J4573" s="252"/>
      <c r="K4573" s="252"/>
      <c r="L4573"/>
      <c r="M4573"/>
    </row>
    <row r="4574" spans="1:13" s="79" customFormat="1" x14ac:dyDescent="0.35">
      <c r="A4574" s="251"/>
      <c r="B4574" s="22"/>
      <c r="C4574" s="252"/>
      <c r="D4574" s="252"/>
      <c r="E4574" s="252"/>
      <c r="F4574" s="252"/>
      <c r="G4574" s="252"/>
      <c r="H4574" s="252"/>
      <c r="I4574" s="252"/>
      <c r="J4574" s="252"/>
      <c r="K4574" s="252"/>
      <c r="L4574"/>
      <c r="M4574"/>
    </row>
    <row r="4575" spans="1:13" s="79" customFormat="1" x14ac:dyDescent="0.35">
      <c r="A4575" s="251"/>
      <c r="B4575" s="22"/>
      <c r="C4575" s="252"/>
      <c r="D4575" s="252"/>
      <c r="E4575" s="252"/>
      <c r="F4575" s="252"/>
      <c r="G4575" s="252"/>
      <c r="H4575" s="252"/>
      <c r="I4575" s="252"/>
      <c r="J4575" s="252"/>
      <c r="K4575" s="252"/>
      <c r="L4575"/>
      <c r="M4575"/>
    </row>
    <row r="4576" spans="1:13" s="79" customFormat="1" x14ac:dyDescent="0.35">
      <c r="A4576" s="251"/>
      <c r="B4576" s="22"/>
      <c r="C4576" s="252"/>
      <c r="D4576" s="252"/>
      <c r="E4576" s="252"/>
      <c r="F4576" s="252"/>
      <c r="G4576" s="252"/>
      <c r="H4576" s="252"/>
      <c r="I4576" s="252"/>
      <c r="J4576" s="252"/>
      <c r="K4576" s="252"/>
      <c r="L4576"/>
      <c r="M4576"/>
    </row>
    <row r="4577" spans="1:13" s="79" customFormat="1" x14ac:dyDescent="0.35">
      <c r="A4577" s="251"/>
      <c r="B4577" s="22"/>
      <c r="C4577" s="252"/>
      <c r="D4577" s="252"/>
      <c r="E4577" s="252"/>
      <c r="F4577" s="252"/>
      <c r="G4577" s="252"/>
      <c r="H4577" s="252"/>
      <c r="I4577" s="252"/>
      <c r="J4577" s="252"/>
      <c r="K4577" s="252"/>
      <c r="L4577"/>
      <c r="M4577"/>
    </row>
    <row r="4578" spans="1:13" s="79" customFormat="1" x14ac:dyDescent="0.35">
      <c r="A4578" s="251"/>
      <c r="B4578" s="22"/>
      <c r="C4578" s="252"/>
      <c r="D4578" s="252"/>
      <c r="E4578" s="252"/>
      <c r="F4578" s="252"/>
      <c r="G4578" s="252"/>
      <c r="H4578" s="252"/>
      <c r="I4578" s="252"/>
      <c r="J4578" s="252"/>
      <c r="K4578" s="252"/>
      <c r="L4578"/>
      <c r="M4578"/>
    </row>
    <row r="4579" spans="1:13" s="79" customFormat="1" x14ac:dyDescent="0.35">
      <c r="A4579" s="251"/>
      <c r="B4579" s="22"/>
      <c r="C4579" s="252"/>
      <c r="D4579" s="252"/>
      <c r="E4579" s="252"/>
      <c r="F4579" s="252"/>
      <c r="G4579" s="252"/>
      <c r="H4579" s="252"/>
      <c r="I4579" s="252"/>
      <c r="J4579" s="252"/>
      <c r="K4579" s="252"/>
      <c r="L4579"/>
      <c r="M4579"/>
    </row>
    <row r="4580" spans="1:13" s="79" customFormat="1" x14ac:dyDescent="0.35">
      <c r="A4580" s="251"/>
      <c r="B4580" s="22"/>
      <c r="C4580" s="252"/>
      <c r="D4580" s="252"/>
      <c r="E4580" s="252"/>
      <c r="F4580" s="252"/>
      <c r="G4580" s="252"/>
      <c r="H4580" s="252"/>
      <c r="I4580" s="252"/>
      <c r="J4580" s="252"/>
      <c r="K4580" s="252"/>
      <c r="L4580"/>
      <c r="M4580"/>
    </row>
    <row r="4581" spans="1:13" s="79" customFormat="1" x14ac:dyDescent="0.35">
      <c r="A4581" s="251"/>
      <c r="B4581" s="22"/>
      <c r="C4581" s="252"/>
      <c r="D4581" s="252"/>
      <c r="E4581" s="252"/>
      <c r="F4581" s="252"/>
      <c r="G4581" s="252"/>
      <c r="H4581" s="252"/>
      <c r="I4581" s="252"/>
      <c r="J4581" s="252"/>
      <c r="K4581" s="252"/>
      <c r="L4581"/>
      <c r="M4581"/>
    </row>
    <row r="4582" spans="1:13" s="79" customFormat="1" x14ac:dyDescent="0.35">
      <c r="A4582" s="251"/>
      <c r="B4582" s="22"/>
      <c r="C4582" s="252"/>
      <c r="D4582" s="252"/>
      <c r="E4582" s="252"/>
      <c r="F4582" s="252"/>
      <c r="G4582" s="252"/>
      <c r="H4582" s="252"/>
      <c r="I4582" s="252"/>
      <c r="J4582" s="252"/>
      <c r="K4582" s="252"/>
      <c r="L4582"/>
      <c r="M4582"/>
    </row>
    <row r="4583" spans="1:13" s="79" customFormat="1" x14ac:dyDescent="0.35">
      <c r="A4583" s="251"/>
      <c r="B4583" s="22"/>
      <c r="C4583" s="252"/>
      <c r="D4583" s="252"/>
      <c r="E4583" s="252"/>
      <c r="F4583" s="252"/>
      <c r="G4583" s="252"/>
      <c r="H4583" s="252"/>
      <c r="I4583" s="252"/>
      <c r="J4583" s="252"/>
      <c r="K4583" s="252"/>
      <c r="L4583"/>
      <c r="M4583"/>
    </row>
    <row r="4584" spans="1:13" s="79" customFormat="1" x14ac:dyDescent="0.35">
      <c r="A4584" s="251"/>
      <c r="B4584" s="22"/>
      <c r="C4584" s="252"/>
      <c r="D4584" s="252"/>
      <c r="E4584" s="252"/>
      <c r="F4584" s="252"/>
      <c r="G4584" s="252"/>
      <c r="H4584" s="252"/>
      <c r="I4584" s="252"/>
      <c r="J4584" s="252"/>
      <c r="K4584" s="252"/>
      <c r="L4584"/>
      <c r="M4584"/>
    </row>
    <row r="4585" spans="1:13" s="79" customFormat="1" x14ac:dyDescent="0.35">
      <c r="A4585" s="251"/>
      <c r="B4585" s="22"/>
      <c r="C4585" s="252"/>
      <c r="D4585" s="252"/>
      <c r="E4585" s="252"/>
      <c r="F4585" s="252"/>
      <c r="G4585" s="252"/>
      <c r="H4585" s="252"/>
      <c r="I4585" s="252"/>
      <c r="J4585" s="252"/>
      <c r="K4585" s="252"/>
      <c r="L4585"/>
      <c r="M4585"/>
    </row>
    <row r="4586" spans="1:13" s="79" customFormat="1" x14ac:dyDescent="0.35">
      <c r="A4586" s="251"/>
      <c r="B4586" s="22"/>
      <c r="C4586" s="252"/>
      <c r="D4586" s="252"/>
      <c r="E4586" s="252"/>
      <c r="F4586" s="252"/>
      <c r="G4586" s="252"/>
      <c r="H4586" s="252"/>
      <c r="I4586" s="252"/>
      <c r="J4586" s="252"/>
      <c r="K4586" s="252"/>
      <c r="L4586"/>
      <c r="M4586"/>
    </row>
    <row r="4587" spans="1:13" s="79" customFormat="1" x14ac:dyDescent="0.35">
      <c r="A4587" s="251"/>
      <c r="B4587" s="22"/>
      <c r="C4587" s="252"/>
      <c r="D4587" s="252"/>
      <c r="E4587" s="252"/>
      <c r="F4587" s="252"/>
      <c r="G4587" s="252"/>
      <c r="H4587" s="252"/>
      <c r="I4587" s="252"/>
      <c r="J4587" s="252"/>
      <c r="K4587" s="252"/>
      <c r="L4587"/>
      <c r="M4587"/>
    </row>
    <row r="4588" spans="1:13" s="79" customFormat="1" x14ac:dyDescent="0.35">
      <c r="A4588" s="251"/>
      <c r="B4588" s="22"/>
      <c r="C4588" s="252"/>
      <c r="D4588" s="252"/>
      <c r="E4588" s="252"/>
      <c r="F4588" s="252"/>
      <c r="G4588" s="252"/>
      <c r="H4588" s="252"/>
      <c r="I4588" s="252"/>
      <c r="J4588" s="252"/>
      <c r="K4588" s="252"/>
      <c r="L4588"/>
      <c r="M4588"/>
    </row>
    <row r="4589" spans="1:13" s="79" customFormat="1" x14ac:dyDescent="0.35">
      <c r="A4589" s="251"/>
      <c r="B4589" s="22"/>
      <c r="C4589" s="252"/>
      <c r="D4589" s="252"/>
      <c r="E4589" s="252"/>
      <c r="F4589" s="252"/>
      <c r="G4589" s="252"/>
      <c r="H4589" s="252"/>
      <c r="I4589" s="252"/>
      <c r="J4589" s="252"/>
      <c r="K4589" s="252"/>
      <c r="L4589"/>
      <c r="M4589"/>
    </row>
    <row r="4590" spans="1:13" s="79" customFormat="1" x14ac:dyDescent="0.35">
      <c r="A4590" s="251"/>
      <c r="B4590" s="22"/>
      <c r="C4590" s="252"/>
      <c r="D4590" s="252"/>
      <c r="E4590" s="252"/>
      <c r="F4590" s="252"/>
      <c r="G4590" s="252"/>
      <c r="H4590" s="252"/>
      <c r="I4590" s="252"/>
      <c r="J4590" s="252"/>
      <c r="K4590" s="252"/>
      <c r="L4590"/>
      <c r="M4590"/>
    </row>
    <row r="4591" spans="1:13" s="79" customFormat="1" x14ac:dyDescent="0.35">
      <c r="A4591" s="251"/>
      <c r="B4591" s="22"/>
      <c r="C4591" s="252"/>
      <c r="D4591" s="252"/>
      <c r="E4591" s="252"/>
      <c r="F4591" s="252"/>
      <c r="G4591" s="252"/>
      <c r="H4591" s="252"/>
      <c r="I4591" s="252"/>
      <c r="J4591" s="252"/>
      <c r="K4591" s="252"/>
      <c r="L4591"/>
      <c r="M4591"/>
    </row>
    <row r="4592" spans="1:13" s="79" customFormat="1" x14ac:dyDescent="0.35">
      <c r="A4592" s="251"/>
      <c r="B4592" s="22"/>
      <c r="C4592" s="252"/>
      <c r="D4592" s="252"/>
      <c r="E4592" s="252"/>
      <c r="F4592" s="252"/>
      <c r="G4592" s="252"/>
      <c r="H4592" s="252"/>
      <c r="I4592" s="252"/>
      <c r="J4592" s="252"/>
      <c r="K4592" s="252"/>
      <c r="L4592"/>
      <c r="M4592"/>
    </row>
    <row r="4593" spans="1:13" s="79" customFormat="1" x14ac:dyDescent="0.35">
      <c r="A4593" s="251"/>
      <c r="B4593" s="22"/>
      <c r="C4593" s="252"/>
      <c r="D4593" s="252"/>
      <c r="E4593" s="252"/>
      <c r="F4593" s="252"/>
      <c r="G4593" s="252"/>
      <c r="H4593" s="252"/>
      <c r="I4593" s="252"/>
      <c r="J4593" s="252"/>
      <c r="K4593" s="252"/>
      <c r="L4593"/>
      <c r="M4593"/>
    </row>
    <row r="4594" spans="1:13" s="79" customFormat="1" x14ac:dyDescent="0.35">
      <c r="A4594" s="251"/>
      <c r="B4594" s="22"/>
      <c r="C4594" s="252"/>
      <c r="D4594" s="252"/>
      <c r="E4594" s="252"/>
      <c r="F4594" s="252"/>
      <c r="G4594" s="252"/>
      <c r="H4594" s="252"/>
      <c r="I4594" s="252"/>
      <c r="J4594" s="252"/>
      <c r="K4594" s="252"/>
      <c r="L4594"/>
      <c r="M4594"/>
    </row>
    <row r="4595" spans="1:13" s="79" customFormat="1" x14ac:dyDescent="0.35">
      <c r="A4595" s="251"/>
      <c r="B4595" s="22"/>
      <c r="C4595" s="252"/>
      <c r="D4595" s="252"/>
      <c r="E4595" s="252"/>
      <c r="F4595" s="252"/>
      <c r="G4595" s="252"/>
      <c r="H4595" s="252"/>
      <c r="I4595" s="252"/>
      <c r="J4595" s="252"/>
      <c r="K4595" s="252"/>
      <c r="L4595"/>
      <c r="M4595"/>
    </row>
    <row r="4596" spans="1:13" s="79" customFormat="1" x14ac:dyDescent="0.35">
      <c r="A4596" s="251"/>
      <c r="B4596" s="22"/>
      <c r="C4596" s="252"/>
      <c r="D4596" s="252"/>
      <c r="E4596" s="252"/>
      <c r="F4596" s="252"/>
      <c r="G4596" s="252"/>
      <c r="H4596" s="252"/>
      <c r="I4596" s="252"/>
      <c r="J4596" s="252"/>
      <c r="K4596" s="252"/>
      <c r="L4596"/>
      <c r="M4596"/>
    </row>
    <row r="4597" spans="1:13" s="79" customFormat="1" x14ac:dyDescent="0.35">
      <c r="A4597" s="251"/>
      <c r="B4597" s="22"/>
      <c r="C4597" s="252"/>
      <c r="D4597" s="252"/>
      <c r="E4597" s="252"/>
      <c r="F4597" s="252"/>
      <c r="G4597" s="252"/>
      <c r="H4597" s="252"/>
      <c r="I4597" s="252"/>
      <c r="J4597" s="252"/>
      <c r="K4597" s="252"/>
      <c r="L4597"/>
      <c r="M4597"/>
    </row>
    <row r="4598" spans="1:13" s="79" customFormat="1" x14ac:dyDescent="0.35">
      <c r="A4598" s="251"/>
      <c r="B4598" s="22"/>
      <c r="C4598" s="252"/>
      <c r="D4598" s="252"/>
      <c r="E4598" s="252"/>
      <c r="F4598" s="252"/>
      <c r="G4598" s="252"/>
      <c r="H4598" s="252"/>
      <c r="I4598" s="252"/>
      <c r="J4598" s="252"/>
      <c r="K4598" s="252"/>
      <c r="L4598"/>
      <c r="M4598"/>
    </row>
    <row r="4599" spans="1:13" s="79" customFormat="1" x14ac:dyDescent="0.35">
      <c r="A4599" s="251"/>
      <c r="B4599" s="22"/>
      <c r="C4599" s="252"/>
      <c r="D4599" s="252"/>
      <c r="E4599" s="252"/>
      <c r="F4599" s="252"/>
      <c r="G4599" s="252"/>
      <c r="H4599" s="252"/>
      <c r="I4599" s="252"/>
      <c r="J4599" s="252"/>
      <c r="K4599" s="252"/>
      <c r="L4599"/>
      <c r="M4599"/>
    </row>
    <row r="4600" spans="1:13" s="79" customFormat="1" x14ac:dyDescent="0.35">
      <c r="A4600" s="251"/>
      <c r="B4600" s="22"/>
      <c r="C4600" s="252"/>
      <c r="D4600" s="252"/>
      <c r="E4600" s="252"/>
      <c r="F4600" s="252"/>
      <c r="G4600" s="252"/>
      <c r="H4600" s="252"/>
      <c r="I4600" s="252"/>
      <c r="J4600" s="252"/>
      <c r="K4600" s="252"/>
      <c r="L4600"/>
      <c r="M4600"/>
    </row>
    <row r="4601" spans="1:13" s="79" customFormat="1" x14ac:dyDescent="0.35">
      <c r="A4601" s="251"/>
      <c r="B4601" s="22"/>
      <c r="C4601" s="252"/>
      <c r="D4601" s="252"/>
      <c r="E4601" s="252"/>
      <c r="F4601" s="252"/>
      <c r="G4601" s="252"/>
      <c r="H4601" s="252"/>
      <c r="I4601" s="252"/>
      <c r="J4601" s="252"/>
      <c r="K4601" s="252"/>
      <c r="L4601"/>
      <c r="M4601"/>
    </row>
    <row r="4602" spans="1:13" s="79" customFormat="1" x14ac:dyDescent="0.35">
      <c r="A4602" s="251"/>
      <c r="B4602" s="22"/>
      <c r="C4602" s="252"/>
      <c r="D4602" s="252"/>
      <c r="E4602" s="252"/>
      <c r="F4602" s="252"/>
      <c r="G4602" s="252"/>
      <c r="H4602" s="252"/>
      <c r="I4602" s="252"/>
      <c r="J4602" s="252"/>
      <c r="K4602" s="252"/>
      <c r="L4602"/>
      <c r="M4602"/>
    </row>
    <row r="4603" spans="1:13" s="79" customFormat="1" x14ac:dyDescent="0.35">
      <c r="A4603" s="251"/>
      <c r="B4603" s="22"/>
      <c r="C4603" s="252"/>
      <c r="D4603" s="252"/>
      <c r="E4603" s="252"/>
      <c r="F4603" s="252"/>
      <c r="G4603" s="252"/>
      <c r="H4603" s="252"/>
      <c r="I4603" s="252"/>
      <c r="J4603" s="252"/>
      <c r="K4603" s="252"/>
      <c r="L4603"/>
      <c r="M4603"/>
    </row>
    <row r="4604" spans="1:13" s="79" customFormat="1" x14ac:dyDescent="0.35">
      <c r="A4604" s="251"/>
      <c r="B4604" s="22"/>
      <c r="C4604" s="252"/>
      <c r="D4604" s="252"/>
      <c r="E4604" s="252"/>
      <c r="F4604" s="252"/>
      <c r="G4604" s="252"/>
      <c r="H4604" s="252"/>
      <c r="I4604" s="252"/>
      <c r="J4604" s="252"/>
      <c r="K4604" s="252"/>
      <c r="L4604"/>
      <c r="M4604"/>
    </row>
    <row r="4605" spans="1:13" s="79" customFormat="1" x14ac:dyDescent="0.35">
      <c r="A4605" s="251"/>
      <c r="B4605" s="22"/>
      <c r="C4605" s="252"/>
      <c r="D4605" s="252"/>
      <c r="E4605" s="252"/>
      <c r="F4605" s="252"/>
      <c r="G4605" s="252"/>
      <c r="H4605" s="252"/>
      <c r="I4605" s="252"/>
      <c r="J4605" s="252"/>
      <c r="K4605" s="252"/>
      <c r="L4605"/>
      <c r="M4605"/>
    </row>
    <row r="4606" spans="1:13" s="79" customFormat="1" x14ac:dyDescent="0.35">
      <c r="A4606" s="251"/>
      <c r="B4606" s="22"/>
      <c r="C4606" s="252"/>
      <c r="D4606" s="252"/>
      <c r="E4606" s="252"/>
      <c r="F4606" s="252"/>
      <c r="G4606" s="252"/>
      <c r="H4606" s="252"/>
      <c r="I4606" s="252"/>
      <c r="J4606" s="252"/>
      <c r="K4606" s="252"/>
      <c r="L4606"/>
      <c r="M4606"/>
    </row>
    <row r="4607" spans="1:13" s="79" customFormat="1" x14ac:dyDescent="0.35">
      <c r="A4607" s="251"/>
      <c r="B4607" s="22"/>
      <c r="C4607" s="252"/>
      <c r="D4607" s="252"/>
      <c r="E4607" s="252"/>
      <c r="F4607" s="252"/>
      <c r="G4607" s="252"/>
      <c r="H4607" s="252"/>
      <c r="I4607" s="252"/>
      <c r="J4607" s="252"/>
      <c r="K4607" s="252"/>
      <c r="L4607"/>
      <c r="M4607"/>
    </row>
    <row r="4608" spans="1:13" s="79" customFormat="1" x14ac:dyDescent="0.35">
      <c r="A4608" s="251"/>
      <c r="B4608" s="22"/>
      <c r="C4608" s="252"/>
      <c r="D4608" s="252"/>
      <c r="E4608" s="252"/>
      <c r="F4608" s="252"/>
      <c r="G4608" s="252"/>
      <c r="H4608" s="252"/>
      <c r="I4608" s="252"/>
      <c r="J4608" s="252"/>
      <c r="K4608" s="252"/>
      <c r="L4608"/>
      <c r="M4608"/>
    </row>
    <row r="4609" spans="1:13" s="79" customFormat="1" x14ac:dyDescent="0.35">
      <c r="A4609" s="251"/>
      <c r="B4609" s="22"/>
      <c r="C4609" s="252"/>
      <c r="D4609" s="252"/>
      <c r="E4609" s="252"/>
      <c r="F4609" s="252"/>
      <c r="G4609" s="252"/>
      <c r="H4609" s="252"/>
      <c r="I4609" s="252"/>
      <c r="J4609" s="252"/>
      <c r="K4609" s="252"/>
      <c r="L4609"/>
      <c r="M4609"/>
    </row>
    <row r="4610" spans="1:13" s="79" customFormat="1" x14ac:dyDescent="0.35">
      <c r="A4610" s="251"/>
      <c r="B4610" s="22"/>
      <c r="C4610" s="252"/>
      <c r="D4610" s="252"/>
      <c r="E4610" s="252"/>
      <c r="F4610" s="252"/>
      <c r="G4610" s="252"/>
      <c r="H4610" s="252"/>
      <c r="I4610" s="252"/>
      <c r="J4610" s="252"/>
      <c r="K4610" s="252"/>
      <c r="L4610"/>
      <c r="M4610"/>
    </row>
    <row r="4611" spans="1:13" s="79" customFormat="1" x14ac:dyDescent="0.35">
      <c r="A4611" s="251"/>
      <c r="B4611" s="22"/>
      <c r="C4611" s="252"/>
      <c r="D4611" s="252"/>
      <c r="E4611" s="252"/>
      <c r="F4611" s="252"/>
      <c r="G4611" s="252"/>
      <c r="H4611" s="252"/>
      <c r="I4611" s="252"/>
      <c r="J4611" s="252"/>
      <c r="K4611" s="252"/>
      <c r="L4611"/>
      <c r="M4611"/>
    </row>
    <row r="4612" spans="1:13" s="79" customFormat="1" x14ac:dyDescent="0.35">
      <c r="A4612" s="251"/>
      <c r="B4612" s="22"/>
      <c r="C4612" s="252"/>
      <c r="D4612" s="252"/>
      <c r="E4612" s="252"/>
      <c r="F4612" s="252"/>
      <c r="G4612" s="252"/>
      <c r="H4612" s="252"/>
      <c r="I4612" s="252"/>
      <c r="J4612" s="252"/>
      <c r="K4612" s="252"/>
      <c r="L4612"/>
      <c r="M4612"/>
    </row>
    <row r="4613" spans="1:13" s="79" customFormat="1" x14ac:dyDescent="0.35">
      <c r="A4613" s="251"/>
      <c r="B4613" s="22"/>
      <c r="C4613" s="252"/>
      <c r="D4613" s="252"/>
      <c r="E4613" s="252"/>
      <c r="F4613" s="252"/>
      <c r="G4613" s="252"/>
      <c r="H4613" s="252"/>
      <c r="I4613" s="252"/>
      <c r="J4613" s="252"/>
      <c r="K4613" s="252"/>
      <c r="L4613"/>
      <c r="M4613"/>
    </row>
    <row r="4614" spans="1:13" s="79" customFormat="1" x14ac:dyDescent="0.35">
      <c r="A4614" s="251"/>
      <c r="B4614" s="22"/>
      <c r="C4614" s="252"/>
      <c r="D4614" s="252"/>
      <c r="E4614" s="252"/>
      <c r="F4614" s="252"/>
      <c r="G4614" s="252"/>
      <c r="H4614" s="252"/>
      <c r="I4614" s="252"/>
      <c r="J4614" s="252"/>
      <c r="K4614" s="252"/>
      <c r="L4614"/>
      <c r="M4614"/>
    </row>
    <row r="4615" spans="1:13" s="79" customFormat="1" x14ac:dyDescent="0.35">
      <c r="A4615" s="251"/>
      <c r="B4615" s="22"/>
      <c r="C4615" s="252"/>
      <c r="D4615" s="252"/>
      <c r="E4615" s="252"/>
      <c r="F4615" s="252"/>
      <c r="G4615" s="252"/>
      <c r="H4615" s="252"/>
      <c r="I4615" s="252"/>
      <c r="J4615" s="252"/>
      <c r="K4615" s="252"/>
      <c r="L4615"/>
      <c r="M4615"/>
    </row>
    <row r="4616" spans="1:13" s="79" customFormat="1" x14ac:dyDescent="0.35">
      <c r="A4616" s="251"/>
      <c r="B4616" s="22"/>
      <c r="C4616" s="252"/>
      <c r="D4616" s="252"/>
      <c r="E4616" s="252"/>
      <c r="F4616" s="252"/>
      <c r="G4616" s="252"/>
      <c r="H4616" s="252"/>
      <c r="I4616" s="252"/>
      <c r="J4616" s="252"/>
      <c r="K4616" s="252"/>
      <c r="L4616"/>
      <c r="M4616"/>
    </row>
    <row r="4617" spans="1:13" s="79" customFormat="1" x14ac:dyDescent="0.35">
      <c r="A4617" s="251"/>
      <c r="B4617" s="22"/>
      <c r="C4617" s="252"/>
      <c r="D4617" s="252"/>
      <c r="E4617" s="252"/>
      <c r="F4617" s="252"/>
      <c r="G4617" s="252"/>
      <c r="H4617" s="252"/>
      <c r="I4617" s="252"/>
      <c r="J4617" s="252"/>
      <c r="K4617" s="252"/>
      <c r="L4617"/>
      <c r="M4617"/>
    </row>
    <row r="4618" spans="1:13" s="79" customFormat="1" x14ac:dyDescent="0.35">
      <c r="A4618" s="251"/>
      <c r="B4618" s="22"/>
      <c r="C4618" s="252"/>
      <c r="D4618" s="252"/>
      <c r="E4618" s="252"/>
      <c r="F4618" s="252"/>
      <c r="G4618" s="252"/>
      <c r="H4618" s="252"/>
      <c r="I4618" s="252"/>
      <c r="J4618" s="252"/>
      <c r="K4618" s="252"/>
      <c r="L4618"/>
      <c r="M4618"/>
    </row>
    <row r="4619" spans="1:13" s="79" customFormat="1" x14ac:dyDescent="0.35">
      <c r="A4619" s="251"/>
      <c r="B4619" s="22"/>
      <c r="C4619" s="252"/>
      <c r="D4619" s="252"/>
      <c r="E4619" s="252"/>
      <c r="F4619" s="252"/>
      <c r="G4619" s="252"/>
      <c r="H4619" s="252"/>
      <c r="I4619" s="252"/>
      <c r="J4619" s="252"/>
      <c r="K4619" s="252"/>
      <c r="L4619"/>
      <c r="M4619"/>
    </row>
    <row r="4620" spans="1:13" s="79" customFormat="1" x14ac:dyDescent="0.35">
      <c r="A4620" s="251"/>
      <c r="B4620" s="22"/>
      <c r="C4620" s="252"/>
      <c r="D4620" s="252"/>
      <c r="E4620" s="252"/>
      <c r="F4620" s="252"/>
      <c r="G4620" s="252"/>
      <c r="H4620" s="252"/>
      <c r="I4620" s="252"/>
      <c r="J4620" s="252"/>
      <c r="K4620" s="252"/>
      <c r="L4620"/>
      <c r="M4620"/>
    </row>
    <row r="4621" spans="1:13" s="79" customFormat="1" x14ac:dyDescent="0.35">
      <c r="A4621" s="251"/>
      <c r="B4621" s="22"/>
      <c r="C4621" s="252"/>
      <c r="D4621" s="252"/>
      <c r="E4621" s="252"/>
      <c r="F4621" s="252"/>
      <c r="G4621" s="252"/>
      <c r="H4621" s="252"/>
      <c r="I4621" s="252"/>
      <c r="J4621" s="252"/>
      <c r="K4621" s="252"/>
      <c r="L4621"/>
      <c r="M4621"/>
    </row>
    <row r="4622" spans="1:13" s="79" customFormat="1" x14ac:dyDescent="0.35">
      <c r="A4622" s="251"/>
      <c r="B4622" s="22"/>
      <c r="C4622" s="252"/>
      <c r="D4622" s="252"/>
      <c r="E4622" s="252"/>
      <c r="F4622" s="252"/>
      <c r="G4622" s="252"/>
      <c r="H4622" s="252"/>
      <c r="I4622" s="252"/>
      <c r="J4622" s="252"/>
      <c r="K4622" s="252"/>
      <c r="L4622"/>
      <c r="M4622"/>
    </row>
    <row r="4623" spans="1:13" s="79" customFormat="1" x14ac:dyDescent="0.35">
      <c r="A4623" s="251"/>
      <c r="B4623" s="22"/>
      <c r="C4623" s="252"/>
      <c r="D4623" s="252"/>
      <c r="E4623" s="252"/>
      <c r="F4623" s="252"/>
      <c r="G4623" s="252"/>
      <c r="H4623" s="252"/>
      <c r="I4623" s="252"/>
      <c r="J4623" s="252"/>
      <c r="K4623" s="252"/>
      <c r="L4623"/>
      <c r="M4623"/>
    </row>
    <row r="4624" spans="1:13" s="79" customFormat="1" x14ac:dyDescent="0.35">
      <c r="A4624" s="251"/>
      <c r="B4624" s="22"/>
      <c r="C4624" s="252"/>
      <c r="D4624" s="252"/>
      <c r="E4624" s="252"/>
      <c r="F4624" s="252"/>
      <c r="G4624" s="252"/>
      <c r="H4624" s="252"/>
      <c r="I4624" s="252"/>
      <c r="J4624" s="252"/>
      <c r="K4624" s="252"/>
      <c r="L4624"/>
      <c r="M4624"/>
    </row>
    <row r="4625" spans="1:13" s="79" customFormat="1" x14ac:dyDescent="0.35">
      <c r="A4625" s="251"/>
      <c r="B4625" s="22"/>
      <c r="C4625" s="252"/>
      <c r="D4625" s="252"/>
      <c r="E4625" s="252"/>
      <c r="F4625" s="252"/>
      <c r="G4625" s="252"/>
      <c r="H4625" s="252"/>
      <c r="I4625" s="252"/>
      <c r="J4625" s="252"/>
      <c r="K4625" s="252"/>
      <c r="L4625"/>
      <c r="M4625"/>
    </row>
    <row r="4626" spans="1:13" s="79" customFormat="1" x14ac:dyDescent="0.35">
      <c r="A4626" s="251"/>
      <c r="B4626" s="22"/>
      <c r="C4626" s="252"/>
      <c r="D4626" s="252"/>
      <c r="E4626" s="252"/>
      <c r="F4626" s="252"/>
      <c r="G4626" s="252"/>
      <c r="H4626" s="252"/>
      <c r="I4626" s="252"/>
      <c r="J4626" s="252"/>
      <c r="K4626" s="252"/>
      <c r="L4626"/>
      <c r="M4626"/>
    </row>
    <row r="4627" spans="1:13" s="79" customFormat="1" x14ac:dyDescent="0.35">
      <c r="A4627" s="251"/>
      <c r="B4627" s="22"/>
      <c r="C4627" s="252"/>
      <c r="D4627" s="252"/>
      <c r="E4627" s="252"/>
      <c r="F4627" s="252"/>
      <c r="G4627" s="252"/>
      <c r="H4627" s="252"/>
      <c r="I4627" s="252"/>
      <c r="J4627" s="252"/>
      <c r="K4627" s="252"/>
      <c r="L4627"/>
      <c r="M4627"/>
    </row>
    <row r="4628" spans="1:13" s="79" customFormat="1" x14ac:dyDescent="0.35">
      <c r="A4628" s="251"/>
      <c r="B4628" s="22"/>
      <c r="C4628" s="252"/>
      <c r="D4628" s="252"/>
      <c r="E4628" s="252"/>
      <c r="F4628" s="252"/>
      <c r="G4628" s="252"/>
      <c r="H4628" s="252"/>
      <c r="I4628" s="252"/>
      <c r="J4628" s="252"/>
      <c r="K4628" s="252"/>
      <c r="L4628"/>
      <c r="M4628"/>
    </row>
    <row r="4629" spans="1:13" s="79" customFormat="1" x14ac:dyDescent="0.35">
      <c r="A4629" s="251"/>
      <c r="B4629" s="22"/>
      <c r="C4629" s="252"/>
      <c r="D4629" s="252"/>
      <c r="E4629" s="252"/>
      <c r="F4629" s="252"/>
      <c r="G4629" s="252"/>
      <c r="H4629" s="252"/>
      <c r="I4629" s="252"/>
      <c r="J4629" s="252"/>
      <c r="K4629" s="252"/>
      <c r="L4629"/>
      <c r="M4629"/>
    </row>
    <row r="4630" spans="1:13" s="79" customFormat="1" x14ac:dyDescent="0.35">
      <c r="A4630" s="251"/>
      <c r="B4630" s="22"/>
      <c r="C4630" s="252"/>
      <c r="D4630" s="252"/>
      <c r="E4630" s="252"/>
      <c r="F4630" s="252"/>
      <c r="G4630" s="252"/>
      <c r="H4630" s="252"/>
      <c r="I4630" s="252"/>
      <c r="J4630" s="252"/>
      <c r="K4630" s="252"/>
      <c r="L4630"/>
      <c r="M4630"/>
    </row>
    <row r="4631" spans="1:13" s="79" customFormat="1" x14ac:dyDescent="0.35">
      <c r="A4631" s="251"/>
      <c r="B4631" s="22"/>
      <c r="C4631" s="252"/>
      <c r="D4631" s="252"/>
      <c r="E4631" s="252"/>
      <c r="F4631" s="252"/>
      <c r="G4631" s="252"/>
      <c r="H4631" s="252"/>
      <c r="I4631" s="252"/>
      <c r="J4631" s="252"/>
      <c r="K4631" s="252"/>
      <c r="L4631"/>
      <c r="M4631"/>
    </row>
    <row r="4632" spans="1:13" s="79" customFormat="1" x14ac:dyDescent="0.35">
      <c r="A4632" s="251"/>
      <c r="B4632" s="22"/>
      <c r="C4632" s="252"/>
      <c r="D4632" s="252"/>
      <c r="E4632" s="252"/>
      <c r="F4632" s="252"/>
      <c r="G4632" s="252"/>
      <c r="H4632" s="252"/>
      <c r="I4632" s="252"/>
      <c r="J4632" s="252"/>
      <c r="K4632" s="252"/>
      <c r="L4632"/>
      <c r="M4632"/>
    </row>
    <row r="4633" spans="1:13" s="79" customFormat="1" x14ac:dyDescent="0.35">
      <c r="A4633" s="251"/>
      <c r="B4633" s="22"/>
      <c r="C4633" s="252"/>
      <c r="D4633" s="252"/>
      <c r="E4633" s="252"/>
      <c r="F4633" s="252"/>
      <c r="G4633" s="252"/>
      <c r="H4633" s="252"/>
      <c r="I4633" s="252"/>
      <c r="J4633" s="252"/>
      <c r="K4633" s="252"/>
      <c r="L4633"/>
      <c r="M4633"/>
    </row>
    <row r="4634" spans="1:13" s="79" customFormat="1" x14ac:dyDescent="0.35">
      <c r="A4634" s="251"/>
      <c r="B4634" s="22"/>
      <c r="C4634" s="252"/>
      <c r="D4634" s="252"/>
      <c r="E4634" s="252"/>
      <c r="F4634" s="252"/>
      <c r="G4634" s="252"/>
      <c r="H4634" s="252"/>
      <c r="I4634" s="252"/>
      <c r="J4634" s="252"/>
      <c r="K4634" s="252"/>
      <c r="L4634"/>
      <c r="M4634"/>
    </row>
    <row r="4635" spans="1:13" s="79" customFormat="1" x14ac:dyDescent="0.35">
      <c r="A4635" s="251"/>
      <c r="B4635" s="22"/>
      <c r="C4635" s="252"/>
      <c r="D4635" s="252"/>
      <c r="E4635" s="252"/>
      <c r="F4635" s="252"/>
      <c r="G4635" s="252"/>
      <c r="H4635" s="252"/>
      <c r="I4635" s="252"/>
      <c r="J4635" s="252"/>
      <c r="K4635" s="252"/>
      <c r="L4635"/>
      <c r="M4635"/>
    </row>
    <row r="4636" spans="1:13" s="79" customFormat="1" x14ac:dyDescent="0.35">
      <c r="A4636" s="251"/>
      <c r="B4636" s="22"/>
      <c r="C4636" s="252"/>
      <c r="D4636" s="252"/>
      <c r="E4636" s="252"/>
      <c r="F4636" s="252"/>
      <c r="G4636" s="252"/>
      <c r="H4636" s="252"/>
      <c r="I4636" s="252"/>
      <c r="J4636" s="252"/>
      <c r="K4636" s="252"/>
      <c r="L4636"/>
      <c r="M4636"/>
    </row>
    <row r="4637" spans="1:13" s="79" customFormat="1" x14ac:dyDescent="0.35">
      <c r="A4637" s="251"/>
      <c r="B4637" s="22"/>
      <c r="C4637" s="252"/>
      <c r="D4637" s="252"/>
      <c r="E4637" s="252"/>
      <c r="F4637" s="252"/>
      <c r="G4637" s="252"/>
      <c r="H4637" s="252"/>
      <c r="I4637" s="252"/>
      <c r="J4637" s="252"/>
      <c r="K4637" s="252"/>
      <c r="L4637"/>
      <c r="M4637"/>
    </row>
    <row r="4638" spans="1:13" s="79" customFormat="1" x14ac:dyDescent="0.35">
      <c r="A4638" s="251"/>
      <c r="B4638" s="22"/>
      <c r="C4638" s="252"/>
      <c r="D4638" s="252"/>
      <c r="E4638" s="252"/>
      <c r="F4638" s="252"/>
      <c r="G4638" s="252"/>
      <c r="H4638" s="252"/>
      <c r="I4638" s="252"/>
      <c r="J4638" s="252"/>
      <c r="K4638" s="252"/>
      <c r="L4638"/>
      <c r="M4638"/>
    </row>
    <row r="4639" spans="1:13" s="79" customFormat="1" x14ac:dyDescent="0.35">
      <c r="A4639" s="251"/>
      <c r="B4639" s="22"/>
      <c r="C4639" s="252"/>
      <c r="D4639" s="252"/>
      <c r="E4639" s="252"/>
      <c r="F4639" s="252"/>
      <c r="G4639" s="252"/>
      <c r="H4639" s="252"/>
      <c r="I4639" s="252"/>
      <c r="J4639" s="252"/>
      <c r="K4639" s="252"/>
      <c r="L4639"/>
      <c r="M4639"/>
    </row>
    <row r="4640" spans="1:13" s="79" customFormat="1" x14ac:dyDescent="0.35">
      <c r="A4640" s="251"/>
      <c r="B4640" s="22"/>
      <c r="C4640" s="252"/>
      <c r="D4640" s="252"/>
      <c r="E4640" s="252"/>
      <c r="F4640" s="252"/>
      <c r="G4640" s="252"/>
      <c r="H4640" s="252"/>
      <c r="I4640" s="252"/>
      <c r="J4640" s="252"/>
      <c r="K4640" s="252"/>
      <c r="L4640"/>
      <c r="M4640"/>
    </row>
    <row r="4641" spans="1:13" s="79" customFormat="1" x14ac:dyDescent="0.35">
      <c r="A4641" s="251"/>
      <c r="B4641" s="22"/>
      <c r="C4641" s="252"/>
      <c r="D4641" s="252"/>
      <c r="E4641" s="252"/>
      <c r="F4641" s="252"/>
      <c r="G4641" s="252"/>
      <c r="H4641" s="252"/>
      <c r="I4641" s="252"/>
      <c r="J4641" s="252"/>
      <c r="K4641" s="252"/>
      <c r="L4641"/>
      <c r="M4641"/>
    </row>
    <row r="4642" spans="1:13" s="79" customFormat="1" x14ac:dyDescent="0.35">
      <c r="A4642" s="251"/>
      <c r="B4642" s="22"/>
      <c r="C4642" s="252"/>
      <c r="D4642" s="252"/>
      <c r="E4642" s="252"/>
      <c r="F4642" s="252"/>
      <c r="G4642" s="252"/>
      <c r="H4642" s="252"/>
      <c r="I4642" s="252"/>
      <c r="J4642" s="252"/>
      <c r="K4642" s="252"/>
      <c r="L4642"/>
      <c r="M4642"/>
    </row>
    <row r="4643" spans="1:13" s="79" customFormat="1" x14ac:dyDescent="0.35">
      <c r="A4643" s="251"/>
      <c r="B4643" s="22"/>
      <c r="C4643" s="252"/>
      <c r="D4643" s="252"/>
      <c r="E4643" s="252"/>
      <c r="F4643" s="252"/>
      <c r="G4643" s="252"/>
      <c r="H4643" s="252"/>
      <c r="I4643" s="252"/>
      <c r="J4643" s="252"/>
      <c r="K4643" s="252"/>
      <c r="L4643"/>
      <c r="M4643"/>
    </row>
    <row r="4644" spans="1:13" s="79" customFormat="1" x14ac:dyDescent="0.35">
      <c r="A4644" s="251"/>
      <c r="B4644" s="22"/>
      <c r="C4644" s="252"/>
      <c r="D4644" s="252"/>
      <c r="E4644" s="252"/>
      <c r="F4644" s="252"/>
      <c r="G4644" s="252"/>
      <c r="H4644" s="252"/>
      <c r="I4644" s="252"/>
      <c r="J4644" s="252"/>
      <c r="K4644" s="252"/>
      <c r="L4644"/>
      <c r="M4644"/>
    </row>
    <row r="4645" spans="1:13" s="79" customFormat="1" x14ac:dyDescent="0.35">
      <c r="A4645" s="251"/>
      <c r="B4645" s="22"/>
      <c r="C4645" s="252"/>
      <c r="D4645" s="252"/>
      <c r="E4645" s="252"/>
      <c r="F4645" s="252"/>
      <c r="G4645" s="252"/>
      <c r="H4645" s="252"/>
      <c r="I4645" s="252"/>
      <c r="J4645" s="252"/>
      <c r="K4645" s="252"/>
      <c r="L4645"/>
      <c r="M4645"/>
    </row>
    <row r="4646" spans="1:13" s="79" customFormat="1" x14ac:dyDescent="0.35">
      <c r="A4646" s="251"/>
      <c r="B4646" s="22"/>
      <c r="C4646" s="252"/>
      <c r="D4646" s="252"/>
      <c r="E4646" s="252"/>
      <c r="F4646" s="252"/>
      <c r="G4646" s="252"/>
      <c r="H4646" s="252"/>
      <c r="I4646" s="252"/>
      <c r="J4646" s="252"/>
      <c r="K4646" s="252"/>
      <c r="L4646"/>
      <c r="M4646"/>
    </row>
    <row r="4647" spans="1:13" s="79" customFormat="1" x14ac:dyDescent="0.35">
      <c r="A4647" s="251"/>
      <c r="B4647" s="22"/>
      <c r="C4647" s="252"/>
      <c r="D4647" s="252"/>
      <c r="E4647" s="252"/>
      <c r="F4647" s="252"/>
      <c r="G4647" s="252"/>
      <c r="H4647" s="252"/>
      <c r="I4647" s="252"/>
      <c r="J4647" s="252"/>
      <c r="K4647" s="252"/>
      <c r="L4647"/>
      <c r="M4647"/>
    </row>
    <row r="4648" spans="1:13" s="79" customFormat="1" x14ac:dyDescent="0.35">
      <c r="A4648" s="251"/>
      <c r="B4648" s="22"/>
      <c r="C4648" s="252"/>
      <c r="D4648" s="252"/>
      <c r="E4648" s="252"/>
      <c r="F4648" s="252"/>
      <c r="G4648" s="252"/>
      <c r="H4648" s="252"/>
      <c r="I4648" s="252"/>
      <c r="J4648" s="252"/>
      <c r="K4648" s="252"/>
      <c r="L4648"/>
      <c r="M4648"/>
    </row>
    <row r="4649" spans="1:13" s="79" customFormat="1" x14ac:dyDescent="0.35">
      <c r="A4649" s="251"/>
      <c r="B4649" s="22"/>
      <c r="C4649" s="252"/>
      <c r="D4649" s="252"/>
      <c r="E4649" s="252"/>
      <c r="F4649" s="252"/>
      <c r="G4649" s="252"/>
      <c r="H4649" s="252"/>
      <c r="I4649" s="252"/>
      <c r="J4649" s="252"/>
      <c r="K4649" s="252"/>
      <c r="L4649"/>
      <c r="M4649"/>
    </row>
    <row r="4650" spans="1:13" s="79" customFormat="1" x14ac:dyDescent="0.35">
      <c r="A4650" s="251"/>
      <c r="B4650" s="22"/>
      <c r="C4650" s="252"/>
      <c r="D4650" s="252"/>
      <c r="E4650" s="252"/>
      <c r="F4650" s="252"/>
      <c r="G4650" s="252"/>
      <c r="H4650" s="252"/>
      <c r="I4650" s="252"/>
      <c r="J4650" s="252"/>
      <c r="K4650" s="252"/>
      <c r="L4650"/>
      <c r="M4650"/>
    </row>
    <row r="4651" spans="1:13" s="79" customFormat="1" x14ac:dyDescent="0.35">
      <c r="A4651" s="251"/>
      <c r="B4651" s="22"/>
      <c r="C4651" s="252"/>
      <c r="D4651" s="252"/>
      <c r="E4651" s="252"/>
      <c r="F4651" s="252"/>
      <c r="G4651" s="252"/>
      <c r="H4651" s="252"/>
      <c r="I4651" s="252"/>
      <c r="J4651" s="252"/>
      <c r="K4651" s="252"/>
      <c r="L4651"/>
      <c r="M4651"/>
    </row>
    <row r="4652" spans="1:13" s="79" customFormat="1" x14ac:dyDescent="0.35">
      <c r="A4652" s="251"/>
      <c r="B4652" s="22"/>
      <c r="C4652" s="252"/>
      <c r="D4652" s="252"/>
      <c r="E4652" s="252"/>
      <c r="F4652" s="252"/>
      <c r="G4652" s="252"/>
      <c r="H4652" s="252"/>
      <c r="I4652" s="252"/>
      <c r="J4652" s="252"/>
      <c r="K4652" s="252"/>
      <c r="L4652"/>
      <c r="M4652"/>
    </row>
    <row r="4653" spans="1:13" s="79" customFormat="1" x14ac:dyDescent="0.35">
      <c r="A4653" s="251"/>
      <c r="B4653" s="22"/>
      <c r="C4653" s="252"/>
      <c r="D4653" s="252"/>
      <c r="E4653" s="252"/>
      <c r="F4653" s="252"/>
      <c r="G4653" s="252"/>
      <c r="H4653" s="252"/>
      <c r="I4653" s="252"/>
      <c r="J4653" s="252"/>
      <c r="K4653" s="252"/>
      <c r="L4653"/>
      <c r="M4653"/>
    </row>
    <row r="4654" spans="1:13" s="79" customFormat="1" x14ac:dyDescent="0.35">
      <c r="A4654" s="251"/>
      <c r="B4654" s="22"/>
      <c r="C4654" s="252"/>
      <c r="D4654" s="252"/>
      <c r="E4654" s="252"/>
      <c r="F4654" s="252"/>
      <c r="G4654" s="252"/>
      <c r="H4654" s="252"/>
      <c r="I4654" s="252"/>
      <c r="J4654" s="252"/>
      <c r="K4654" s="252"/>
      <c r="L4654"/>
      <c r="M4654"/>
    </row>
    <row r="4655" spans="1:13" s="79" customFormat="1" x14ac:dyDescent="0.35">
      <c r="A4655" s="251"/>
      <c r="B4655" s="22"/>
      <c r="C4655" s="252"/>
      <c r="D4655" s="252"/>
      <c r="E4655" s="252"/>
      <c r="F4655" s="252"/>
      <c r="G4655" s="252"/>
      <c r="H4655" s="252"/>
      <c r="I4655" s="252"/>
      <c r="J4655" s="252"/>
      <c r="K4655" s="252"/>
      <c r="L4655"/>
      <c r="M4655"/>
    </row>
    <row r="4656" spans="1:13" s="79" customFormat="1" x14ac:dyDescent="0.35">
      <c r="A4656" s="251"/>
      <c r="B4656" s="22"/>
      <c r="C4656" s="252"/>
      <c r="D4656" s="252"/>
      <c r="E4656" s="252"/>
      <c r="F4656" s="252"/>
      <c r="G4656" s="252"/>
      <c r="H4656" s="252"/>
      <c r="I4656" s="252"/>
      <c r="J4656" s="252"/>
      <c r="K4656" s="252"/>
      <c r="L4656"/>
      <c r="M4656"/>
    </row>
    <row r="4657" spans="1:13" s="79" customFormat="1" x14ac:dyDescent="0.35">
      <c r="A4657" s="251"/>
      <c r="B4657" s="22"/>
      <c r="C4657" s="252"/>
      <c r="D4657" s="252"/>
      <c r="E4657" s="252"/>
      <c r="F4657" s="252"/>
      <c r="G4657" s="252"/>
      <c r="H4657" s="252"/>
      <c r="I4657" s="252"/>
      <c r="J4657" s="252"/>
      <c r="K4657" s="252"/>
      <c r="L4657"/>
      <c r="M4657"/>
    </row>
    <row r="4658" spans="1:13" s="79" customFormat="1" x14ac:dyDescent="0.35">
      <c r="A4658" s="251"/>
      <c r="B4658" s="22"/>
      <c r="C4658" s="252"/>
      <c r="D4658" s="252"/>
      <c r="E4658" s="252"/>
      <c r="F4658" s="252"/>
      <c r="G4658" s="252"/>
      <c r="H4658" s="252"/>
      <c r="I4658" s="252"/>
      <c r="J4658" s="252"/>
      <c r="K4658" s="252"/>
      <c r="L4658"/>
      <c r="M4658"/>
    </row>
    <row r="4659" spans="1:13" s="79" customFormat="1" x14ac:dyDescent="0.35">
      <c r="A4659" s="251"/>
      <c r="B4659" s="22"/>
      <c r="C4659" s="252"/>
      <c r="D4659" s="252"/>
      <c r="E4659" s="252"/>
      <c r="F4659" s="252"/>
      <c r="G4659" s="252"/>
      <c r="H4659" s="252"/>
      <c r="I4659" s="252"/>
      <c r="J4659" s="252"/>
      <c r="K4659" s="252"/>
      <c r="L4659"/>
      <c r="M4659"/>
    </row>
    <row r="4660" spans="1:13" s="79" customFormat="1" x14ac:dyDescent="0.35">
      <c r="A4660" s="251"/>
      <c r="B4660" s="22"/>
      <c r="C4660" s="252"/>
      <c r="D4660" s="252"/>
      <c r="E4660" s="252"/>
      <c r="F4660" s="252"/>
      <c r="G4660" s="252"/>
      <c r="H4660" s="252"/>
      <c r="I4660" s="252"/>
      <c r="J4660" s="252"/>
      <c r="K4660" s="252"/>
      <c r="L4660"/>
      <c r="M4660"/>
    </row>
    <row r="4661" spans="1:13" s="79" customFormat="1" x14ac:dyDescent="0.35">
      <c r="A4661" s="251"/>
      <c r="B4661" s="22"/>
      <c r="C4661" s="252"/>
      <c r="D4661" s="252"/>
      <c r="E4661" s="252"/>
      <c r="F4661" s="252"/>
      <c r="G4661" s="252"/>
      <c r="H4661" s="252"/>
      <c r="I4661" s="252"/>
      <c r="J4661" s="252"/>
      <c r="K4661" s="252"/>
      <c r="L4661"/>
      <c r="M4661"/>
    </row>
    <row r="4662" spans="1:13" s="79" customFormat="1" x14ac:dyDescent="0.35">
      <c r="A4662" s="251"/>
      <c r="B4662" s="22"/>
      <c r="C4662" s="252"/>
      <c r="D4662" s="252"/>
      <c r="E4662" s="252"/>
      <c r="F4662" s="252"/>
      <c r="G4662" s="252"/>
      <c r="H4662" s="252"/>
      <c r="I4662" s="252"/>
      <c r="J4662" s="252"/>
      <c r="K4662" s="252"/>
      <c r="L4662"/>
      <c r="M4662"/>
    </row>
    <row r="4663" spans="1:13" s="79" customFormat="1" x14ac:dyDescent="0.35">
      <c r="A4663" s="251"/>
      <c r="B4663" s="22"/>
      <c r="C4663" s="252"/>
      <c r="D4663" s="252"/>
      <c r="E4663" s="252"/>
      <c r="F4663" s="252"/>
      <c r="G4663" s="252"/>
      <c r="H4663" s="252"/>
      <c r="I4663" s="252"/>
      <c r="J4663" s="252"/>
      <c r="K4663" s="252"/>
      <c r="L4663"/>
      <c r="M4663"/>
    </row>
    <row r="4664" spans="1:13" s="79" customFormat="1" x14ac:dyDescent="0.35">
      <c r="A4664" s="251"/>
      <c r="B4664" s="22"/>
      <c r="C4664" s="252"/>
      <c r="D4664" s="252"/>
      <c r="E4664" s="252"/>
      <c r="F4664" s="252"/>
      <c r="G4664" s="252"/>
      <c r="H4664" s="252"/>
      <c r="I4664" s="252"/>
      <c r="J4664" s="252"/>
      <c r="K4664" s="252"/>
      <c r="L4664"/>
      <c r="M4664"/>
    </row>
    <row r="4665" spans="1:13" s="79" customFormat="1" x14ac:dyDescent="0.35">
      <c r="A4665" s="251"/>
      <c r="B4665" s="22"/>
      <c r="C4665" s="252"/>
      <c r="D4665" s="252"/>
      <c r="E4665" s="252"/>
      <c r="F4665" s="252"/>
      <c r="G4665" s="252"/>
      <c r="H4665" s="252"/>
      <c r="I4665" s="252"/>
      <c r="J4665" s="252"/>
      <c r="K4665" s="252"/>
      <c r="L4665"/>
      <c r="M4665"/>
    </row>
    <row r="4666" spans="1:13" s="79" customFormat="1" x14ac:dyDescent="0.35">
      <c r="A4666" s="251"/>
      <c r="B4666" s="22"/>
      <c r="C4666" s="252"/>
      <c r="D4666" s="252"/>
      <c r="E4666" s="252"/>
      <c r="F4666" s="252"/>
      <c r="G4666" s="252"/>
      <c r="H4666" s="252"/>
      <c r="I4666" s="252"/>
      <c r="J4666" s="252"/>
      <c r="K4666" s="252"/>
      <c r="L4666"/>
      <c r="M4666"/>
    </row>
    <row r="4667" spans="1:13" s="79" customFormat="1" x14ac:dyDescent="0.35">
      <c r="A4667" s="251"/>
      <c r="B4667" s="22"/>
      <c r="C4667" s="252"/>
      <c r="D4667" s="252"/>
      <c r="E4667" s="252"/>
      <c r="F4667" s="252"/>
      <c r="G4667" s="252"/>
      <c r="H4667" s="252"/>
      <c r="I4667" s="252"/>
      <c r="J4667" s="252"/>
      <c r="K4667" s="252"/>
      <c r="L4667"/>
      <c r="M4667"/>
    </row>
    <row r="4668" spans="1:13" s="79" customFormat="1" x14ac:dyDescent="0.35">
      <c r="A4668" s="251"/>
      <c r="B4668" s="22"/>
      <c r="C4668" s="252"/>
      <c r="D4668" s="252"/>
      <c r="E4668" s="252"/>
      <c r="F4668" s="252"/>
      <c r="G4668" s="252"/>
      <c r="H4668" s="252"/>
      <c r="I4668" s="252"/>
      <c r="J4668" s="252"/>
      <c r="K4668" s="252"/>
      <c r="L4668"/>
      <c r="M4668"/>
    </row>
    <row r="4669" spans="1:13" s="79" customFormat="1" x14ac:dyDescent="0.35">
      <c r="A4669" s="251"/>
      <c r="B4669" s="22"/>
      <c r="C4669" s="252"/>
      <c r="D4669" s="252"/>
      <c r="E4669" s="252"/>
      <c r="F4669" s="252"/>
      <c r="G4669" s="252"/>
      <c r="H4669" s="252"/>
      <c r="I4669" s="252"/>
      <c r="J4669" s="252"/>
      <c r="K4669" s="252"/>
      <c r="L4669"/>
      <c r="M4669"/>
    </row>
    <row r="4670" spans="1:13" s="79" customFormat="1" x14ac:dyDescent="0.35">
      <c r="A4670" s="251"/>
      <c r="B4670" s="22"/>
      <c r="C4670" s="252"/>
      <c r="D4670" s="252"/>
      <c r="E4670" s="252"/>
      <c r="F4670" s="252"/>
      <c r="G4670" s="252"/>
      <c r="H4670" s="252"/>
      <c r="I4670" s="252"/>
      <c r="J4670" s="252"/>
      <c r="K4670" s="252"/>
      <c r="L4670"/>
      <c r="M4670"/>
    </row>
    <row r="4671" spans="1:13" s="79" customFormat="1" x14ac:dyDescent="0.35">
      <c r="A4671" s="251"/>
      <c r="B4671" s="22"/>
      <c r="C4671" s="252"/>
      <c r="D4671" s="252"/>
      <c r="E4671" s="252"/>
      <c r="F4671" s="252"/>
      <c r="G4671" s="252"/>
      <c r="H4671" s="252"/>
      <c r="I4671" s="252"/>
      <c r="J4671" s="252"/>
      <c r="K4671" s="252"/>
      <c r="L4671"/>
      <c r="M4671"/>
    </row>
    <row r="4672" spans="1:13" s="79" customFormat="1" x14ac:dyDescent="0.35">
      <c r="A4672" s="251"/>
      <c r="B4672" s="22"/>
      <c r="C4672" s="252"/>
      <c r="D4672" s="252"/>
      <c r="E4672" s="252"/>
      <c r="F4672" s="252"/>
      <c r="G4672" s="252"/>
      <c r="H4672" s="252"/>
      <c r="I4672" s="252"/>
      <c r="J4672" s="252"/>
      <c r="K4672" s="252"/>
      <c r="L4672"/>
      <c r="M4672"/>
    </row>
    <row r="4673" spans="1:13" s="79" customFormat="1" x14ac:dyDescent="0.35">
      <c r="A4673" s="251"/>
      <c r="B4673" s="22"/>
      <c r="C4673" s="252"/>
      <c r="D4673" s="252"/>
      <c r="E4673" s="252"/>
      <c r="F4673" s="252"/>
      <c r="G4673" s="252"/>
      <c r="H4673" s="252"/>
      <c r="I4673" s="252"/>
      <c r="J4673" s="252"/>
      <c r="K4673" s="252"/>
      <c r="L4673"/>
      <c r="M4673"/>
    </row>
    <row r="4674" spans="1:13" s="79" customFormat="1" x14ac:dyDescent="0.35">
      <c r="A4674" s="251"/>
      <c r="B4674" s="22"/>
      <c r="C4674" s="252"/>
      <c r="D4674" s="252"/>
      <c r="E4674" s="252"/>
      <c r="F4674" s="252"/>
      <c r="G4674" s="252"/>
      <c r="H4674" s="252"/>
      <c r="I4674" s="252"/>
      <c r="J4674" s="252"/>
      <c r="K4674" s="252"/>
      <c r="L4674"/>
      <c r="M4674"/>
    </row>
    <row r="4675" spans="1:13" s="79" customFormat="1" x14ac:dyDescent="0.35">
      <c r="A4675" s="251"/>
      <c r="B4675" s="22"/>
      <c r="C4675" s="252"/>
      <c r="D4675" s="252"/>
      <c r="E4675" s="252"/>
      <c r="F4675" s="252"/>
      <c r="G4675" s="252"/>
      <c r="H4675" s="252"/>
      <c r="I4675" s="252"/>
      <c r="J4675" s="252"/>
      <c r="K4675" s="252"/>
      <c r="L4675"/>
      <c r="M4675"/>
    </row>
    <row r="4676" spans="1:13" s="79" customFormat="1" x14ac:dyDescent="0.35">
      <c r="A4676" s="251"/>
      <c r="B4676" s="22"/>
      <c r="C4676" s="252"/>
      <c r="D4676" s="252"/>
      <c r="E4676" s="252"/>
      <c r="F4676" s="252"/>
      <c r="G4676" s="252"/>
      <c r="H4676" s="252"/>
      <c r="I4676" s="252"/>
      <c r="J4676" s="252"/>
      <c r="K4676" s="252"/>
      <c r="L4676"/>
      <c r="M4676"/>
    </row>
    <row r="4677" spans="1:13" s="79" customFormat="1" x14ac:dyDescent="0.35">
      <c r="A4677" s="251"/>
      <c r="B4677" s="22"/>
      <c r="C4677" s="252"/>
      <c r="D4677" s="252"/>
      <c r="E4677" s="252"/>
      <c r="F4677" s="252"/>
      <c r="G4677" s="252"/>
      <c r="H4677" s="252"/>
      <c r="I4677" s="252"/>
      <c r="J4677" s="252"/>
      <c r="K4677" s="252"/>
      <c r="L4677"/>
      <c r="M4677"/>
    </row>
    <row r="4678" spans="1:13" s="79" customFormat="1" x14ac:dyDescent="0.35">
      <c r="A4678" s="251"/>
      <c r="B4678" s="22"/>
      <c r="C4678" s="252"/>
      <c r="D4678" s="252"/>
      <c r="E4678" s="252"/>
      <c r="F4678" s="252"/>
      <c r="G4678" s="252"/>
      <c r="H4678" s="252"/>
      <c r="I4678" s="252"/>
      <c r="J4678" s="252"/>
      <c r="K4678" s="252"/>
      <c r="L4678"/>
      <c r="M4678"/>
    </row>
    <row r="4679" spans="1:13" s="79" customFormat="1" x14ac:dyDescent="0.35">
      <c r="A4679" s="251"/>
      <c r="B4679" s="22"/>
      <c r="C4679" s="252"/>
      <c r="D4679" s="252"/>
      <c r="E4679" s="252"/>
      <c r="F4679" s="252"/>
      <c r="G4679" s="252"/>
      <c r="H4679" s="252"/>
      <c r="I4679" s="252"/>
      <c r="J4679" s="252"/>
      <c r="K4679" s="252"/>
      <c r="L4679"/>
      <c r="M4679"/>
    </row>
    <row r="4680" spans="1:13" s="79" customFormat="1" x14ac:dyDescent="0.35">
      <c r="A4680" s="251"/>
      <c r="B4680" s="22"/>
      <c r="C4680" s="252"/>
      <c r="D4680" s="252"/>
      <c r="E4680" s="252"/>
      <c r="F4680" s="252"/>
      <c r="G4680" s="252"/>
      <c r="H4680" s="252"/>
      <c r="I4680" s="252"/>
      <c r="J4680" s="252"/>
      <c r="K4680" s="252"/>
      <c r="L4680"/>
      <c r="M4680"/>
    </row>
    <row r="4681" spans="1:13" s="79" customFormat="1" x14ac:dyDescent="0.35">
      <c r="A4681" s="251"/>
      <c r="B4681" s="22"/>
      <c r="C4681" s="252"/>
      <c r="D4681" s="252"/>
      <c r="E4681" s="252"/>
      <c r="F4681" s="252"/>
      <c r="G4681" s="252"/>
      <c r="H4681" s="252"/>
      <c r="I4681" s="252"/>
      <c r="J4681" s="252"/>
      <c r="K4681" s="252"/>
      <c r="L4681"/>
      <c r="M4681"/>
    </row>
    <row r="4682" spans="1:13" s="79" customFormat="1" x14ac:dyDescent="0.35">
      <c r="A4682" s="251"/>
      <c r="B4682" s="22"/>
      <c r="C4682" s="252"/>
      <c r="D4682" s="252"/>
      <c r="E4682" s="252"/>
      <c r="F4682" s="252"/>
      <c r="G4682" s="252"/>
      <c r="H4682" s="252"/>
      <c r="I4682" s="252"/>
      <c r="J4682" s="252"/>
      <c r="K4682" s="252"/>
      <c r="L4682"/>
      <c r="M4682"/>
    </row>
    <row r="4683" spans="1:13" s="79" customFormat="1" x14ac:dyDescent="0.35">
      <c r="A4683" s="251"/>
      <c r="B4683" s="22"/>
      <c r="C4683" s="252"/>
      <c r="D4683" s="252"/>
      <c r="E4683" s="252"/>
      <c r="F4683" s="252"/>
      <c r="G4683" s="252"/>
      <c r="H4683" s="252"/>
      <c r="I4683" s="252"/>
      <c r="J4683" s="252"/>
      <c r="K4683" s="252"/>
      <c r="L4683"/>
      <c r="M4683"/>
    </row>
    <row r="4684" spans="1:13" s="79" customFormat="1" x14ac:dyDescent="0.35">
      <c r="A4684" s="251"/>
      <c r="B4684" s="22"/>
      <c r="C4684" s="252"/>
      <c r="D4684" s="252"/>
      <c r="E4684" s="252"/>
      <c r="F4684" s="252"/>
      <c r="G4684" s="252"/>
      <c r="H4684" s="252"/>
      <c r="I4684" s="252"/>
      <c r="J4684" s="252"/>
      <c r="K4684" s="252"/>
      <c r="L4684"/>
      <c r="M4684"/>
    </row>
    <row r="4685" spans="1:13" s="79" customFormat="1" x14ac:dyDescent="0.35">
      <c r="A4685" s="251"/>
      <c r="B4685" s="22"/>
      <c r="C4685" s="252"/>
      <c r="D4685" s="252"/>
      <c r="E4685" s="252"/>
      <c r="F4685" s="252"/>
      <c r="G4685" s="252"/>
      <c r="H4685" s="252"/>
      <c r="I4685" s="252"/>
      <c r="J4685" s="252"/>
      <c r="K4685" s="252"/>
      <c r="L4685"/>
      <c r="M4685"/>
    </row>
    <row r="4686" spans="1:13" s="79" customFormat="1" x14ac:dyDescent="0.35">
      <c r="A4686" s="251"/>
      <c r="B4686" s="22"/>
      <c r="C4686" s="252"/>
      <c r="D4686" s="252"/>
      <c r="E4686" s="252"/>
      <c r="F4686" s="252"/>
      <c r="G4686" s="252"/>
      <c r="H4686" s="252"/>
      <c r="I4686" s="252"/>
      <c r="J4686" s="252"/>
      <c r="K4686" s="252"/>
      <c r="L4686"/>
      <c r="M4686"/>
    </row>
    <row r="4687" spans="1:13" s="79" customFormat="1" x14ac:dyDescent="0.35">
      <c r="A4687" s="251"/>
      <c r="B4687" s="22"/>
      <c r="C4687" s="252"/>
      <c r="D4687" s="252"/>
      <c r="E4687" s="252"/>
      <c r="F4687" s="252"/>
      <c r="G4687" s="252"/>
      <c r="H4687" s="252"/>
      <c r="I4687" s="252"/>
      <c r="J4687" s="252"/>
      <c r="K4687" s="252"/>
      <c r="L4687"/>
      <c r="M4687"/>
    </row>
    <row r="4688" spans="1:13" s="79" customFormat="1" x14ac:dyDescent="0.35">
      <c r="A4688" s="251"/>
      <c r="B4688" s="22"/>
      <c r="C4688" s="252"/>
      <c r="D4688" s="252"/>
      <c r="E4688" s="252"/>
      <c r="F4688" s="252"/>
      <c r="G4688" s="252"/>
      <c r="H4688" s="252"/>
      <c r="I4688" s="252"/>
      <c r="J4688" s="252"/>
      <c r="K4688" s="252"/>
      <c r="L4688"/>
      <c r="M4688"/>
    </row>
    <row r="4689" spans="1:13" s="79" customFormat="1" x14ac:dyDescent="0.35">
      <c r="A4689" s="251"/>
      <c r="B4689" s="22"/>
      <c r="C4689" s="252"/>
      <c r="D4689" s="252"/>
      <c r="E4689" s="252"/>
      <c r="F4689" s="252"/>
      <c r="G4689" s="252"/>
      <c r="H4689" s="252"/>
      <c r="I4689" s="252"/>
      <c r="J4689" s="252"/>
      <c r="K4689" s="252"/>
      <c r="L4689"/>
      <c r="M4689"/>
    </row>
    <row r="4690" spans="1:13" s="79" customFormat="1" x14ac:dyDescent="0.35">
      <c r="A4690" s="251"/>
      <c r="B4690" s="22"/>
      <c r="C4690" s="252"/>
      <c r="D4690" s="252"/>
      <c r="E4690" s="252"/>
      <c r="F4690" s="252"/>
      <c r="G4690" s="252"/>
      <c r="H4690" s="252"/>
      <c r="I4690" s="252"/>
      <c r="J4690" s="252"/>
      <c r="K4690" s="252"/>
      <c r="L4690"/>
      <c r="M4690"/>
    </row>
    <row r="4691" spans="1:13" s="79" customFormat="1" x14ac:dyDescent="0.35">
      <c r="A4691" s="251"/>
      <c r="B4691" s="22"/>
      <c r="C4691" s="252"/>
      <c r="D4691" s="252"/>
      <c r="E4691" s="252"/>
      <c r="F4691" s="252"/>
      <c r="G4691" s="252"/>
      <c r="H4691" s="252"/>
      <c r="I4691" s="252"/>
      <c r="J4691" s="252"/>
      <c r="K4691" s="252"/>
      <c r="L4691"/>
      <c r="M4691"/>
    </row>
    <row r="4692" spans="1:13" s="79" customFormat="1" x14ac:dyDescent="0.35">
      <c r="A4692" s="251"/>
      <c r="B4692" s="22"/>
      <c r="C4692" s="252"/>
      <c r="D4692" s="252"/>
      <c r="E4692" s="252"/>
      <c r="F4692" s="252"/>
      <c r="G4692" s="252"/>
      <c r="H4692" s="252"/>
      <c r="I4692" s="252"/>
      <c r="J4692" s="252"/>
      <c r="K4692" s="252"/>
      <c r="L4692"/>
      <c r="M4692"/>
    </row>
    <row r="4693" spans="1:13" s="79" customFormat="1" x14ac:dyDescent="0.35">
      <c r="A4693" s="251"/>
      <c r="B4693" s="22"/>
      <c r="C4693" s="252"/>
      <c r="D4693" s="252"/>
      <c r="E4693" s="252"/>
      <c r="F4693" s="252"/>
      <c r="G4693" s="252"/>
      <c r="H4693" s="252"/>
      <c r="I4693" s="252"/>
      <c r="J4693" s="252"/>
      <c r="K4693" s="252"/>
      <c r="L4693"/>
      <c r="M4693"/>
    </row>
    <row r="4694" spans="1:13" s="79" customFormat="1" x14ac:dyDescent="0.35">
      <c r="A4694" s="251"/>
      <c r="B4694" s="22"/>
      <c r="C4694" s="252"/>
      <c r="D4694" s="252"/>
      <c r="E4694" s="252"/>
      <c r="F4694" s="252"/>
      <c r="G4694" s="252"/>
      <c r="H4694" s="252"/>
      <c r="I4694" s="252"/>
      <c r="J4694" s="252"/>
      <c r="K4694" s="252"/>
      <c r="L4694"/>
      <c r="M4694"/>
    </row>
    <row r="4695" spans="1:13" s="79" customFormat="1" x14ac:dyDescent="0.35">
      <c r="A4695" s="251"/>
      <c r="B4695" s="22"/>
      <c r="C4695" s="252"/>
      <c r="D4695" s="252"/>
      <c r="E4695" s="252"/>
      <c r="F4695" s="252"/>
      <c r="G4695" s="252"/>
      <c r="H4695" s="252"/>
      <c r="I4695" s="252"/>
      <c r="J4695" s="252"/>
      <c r="K4695" s="252"/>
      <c r="L4695"/>
      <c r="M4695"/>
    </row>
    <row r="4696" spans="1:13" s="79" customFormat="1" x14ac:dyDescent="0.35">
      <c r="A4696" s="251"/>
      <c r="B4696" s="22"/>
      <c r="C4696" s="252"/>
      <c r="D4696" s="252"/>
      <c r="E4696" s="252"/>
      <c r="F4696" s="252"/>
      <c r="G4696" s="252"/>
      <c r="H4696" s="252"/>
      <c r="I4696" s="252"/>
      <c r="J4696" s="252"/>
      <c r="K4696" s="252"/>
      <c r="L4696"/>
      <c r="M4696"/>
    </row>
    <row r="4697" spans="1:13" s="79" customFormat="1" x14ac:dyDescent="0.35">
      <c r="A4697" s="251"/>
      <c r="B4697" s="22"/>
      <c r="C4697" s="252"/>
      <c r="D4697" s="252"/>
      <c r="E4697" s="252"/>
      <c r="F4697" s="252"/>
      <c r="G4697" s="252"/>
      <c r="H4697" s="252"/>
      <c r="I4697" s="252"/>
      <c r="J4697" s="252"/>
      <c r="K4697" s="252"/>
      <c r="L4697"/>
      <c r="M4697"/>
    </row>
    <row r="4698" spans="1:13" s="79" customFormat="1" x14ac:dyDescent="0.35">
      <c r="A4698" s="251"/>
      <c r="B4698" s="22"/>
      <c r="C4698" s="252"/>
      <c r="D4698" s="252"/>
      <c r="E4698" s="252"/>
      <c r="F4698" s="252"/>
      <c r="G4698" s="252"/>
      <c r="H4698" s="252"/>
      <c r="I4698" s="252"/>
      <c r="J4698" s="252"/>
      <c r="K4698" s="252"/>
      <c r="L4698"/>
      <c r="M4698"/>
    </row>
    <row r="4699" spans="1:13" s="79" customFormat="1" x14ac:dyDescent="0.35">
      <c r="A4699" s="251"/>
      <c r="B4699" s="22"/>
      <c r="C4699" s="252"/>
      <c r="D4699" s="252"/>
      <c r="E4699" s="252"/>
      <c r="F4699" s="252"/>
      <c r="G4699" s="252"/>
      <c r="H4699" s="252"/>
      <c r="I4699" s="252"/>
      <c r="J4699" s="252"/>
      <c r="K4699" s="252"/>
      <c r="L4699"/>
      <c r="M4699"/>
    </row>
    <row r="4700" spans="1:13" s="79" customFormat="1" x14ac:dyDescent="0.35">
      <c r="A4700" s="251"/>
      <c r="B4700" s="22"/>
      <c r="C4700" s="252"/>
      <c r="D4700" s="252"/>
      <c r="E4700" s="252"/>
      <c r="F4700" s="252"/>
      <c r="G4700" s="252"/>
      <c r="H4700" s="252"/>
      <c r="I4700" s="252"/>
      <c r="J4700" s="252"/>
      <c r="K4700" s="252"/>
      <c r="L4700"/>
      <c r="M4700"/>
    </row>
    <row r="4701" spans="1:13" s="79" customFormat="1" x14ac:dyDescent="0.35">
      <c r="A4701" s="251"/>
      <c r="B4701" s="22"/>
      <c r="C4701" s="252"/>
      <c r="D4701" s="252"/>
      <c r="E4701" s="252"/>
      <c r="F4701" s="252"/>
      <c r="G4701" s="252"/>
      <c r="H4701" s="252"/>
      <c r="I4701" s="252"/>
      <c r="J4701" s="252"/>
      <c r="K4701" s="252"/>
      <c r="L4701"/>
      <c r="M4701"/>
    </row>
    <row r="4702" spans="1:13" s="79" customFormat="1" x14ac:dyDescent="0.35">
      <c r="A4702" s="251"/>
      <c r="B4702" s="22"/>
      <c r="C4702" s="252"/>
      <c r="D4702" s="252"/>
      <c r="E4702" s="252"/>
      <c r="F4702" s="252"/>
      <c r="G4702" s="252"/>
      <c r="H4702" s="252"/>
      <c r="I4702" s="252"/>
      <c r="J4702" s="252"/>
      <c r="K4702" s="252"/>
      <c r="L4702"/>
      <c r="M4702"/>
    </row>
    <row r="4703" spans="1:13" s="79" customFormat="1" x14ac:dyDescent="0.35">
      <c r="A4703" s="251"/>
      <c r="B4703" s="22"/>
      <c r="C4703" s="252"/>
      <c r="D4703" s="252"/>
      <c r="E4703" s="252"/>
      <c r="F4703" s="252"/>
      <c r="G4703" s="252"/>
      <c r="H4703" s="252"/>
      <c r="I4703" s="252"/>
      <c r="J4703" s="252"/>
      <c r="K4703" s="252"/>
      <c r="L4703"/>
      <c r="M4703"/>
    </row>
    <row r="4704" spans="1:13" s="79" customFormat="1" x14ac:dyDescent="0.35">
      <c r="A4704" s="251"/>
      <c r="B4704" s="22"/>
      <c r="C4704" s="252"/>
      <c r="D4704" s="252"/>
      <c r="E4704" s="252"/>
      <c r="F4704" s="252"/>
      <c r="G4704" s="252"/>
      <c r="H4704" s="252"/>
      <c r="I4704" s="252"/>
      <c r="J4704" s="252"/>
      <c r="K4704" s="252"/>
      <c r="L4704"/>
      <c r="M4704"/>
    </row>
    <row r="4705" spans="1:13" s="79" customFormat="1" x14ac:dyDescent="0.35">
      <c r="A4705" s="251"/>
      <c r="B4705" s="22"/>
      <c r="C4705" s="252"/>
      <c r="D4705" s="252"/>
      <c r="E4705" s="252"/>
      <c r="F4705" s="252"/>
      <c r="G4705" s="252"/>
      <c r="H4705" s="252"/>
      <c r="I4705" s="252"/>
      <c r="J4705" s="252"/>
      <c r="K4705" s="252"/>
      <c r="L4705"/>
      <c r="M4705"/>
    </row>
    <row r="4706" spans="1:13" s="79" customFormat="1" x14ac:dyDescent="0.35">
      <c r="A4706" s="251"/>
      <c r="B4706" s="22"/>
      <c r="C4706" s="252"/>
      <c r="D4706" s="252"/>
      <c r="E4706" s="252"/>
      <c r="F4706" s="252"/>
      <c r="G4706" s="252"/>
      <c r="H4706" s="252"/>
      <c r="I4706" s="252"/>
      <c r="J4706" s="252"/>
      <c r="K4706" s="252"/>
      <c r="L4706"/>
      <c r="M4706"/>
    </row>
    <row r="4707" spans="1:13" s="79" customFormat="1" x14ac:dyDescent="0.35">
      <c r="A4707" s="251"/>
      <c r="B4707" s="22"/>
      <c r="C4707" s="252"/>
      <c r="D4707" s="252"/>
      <c r="E4707" s="252"/>
      <c r="F4707" s="252"/>
      <c r="G4707" s="252"/>
      <c r="H4707" s="252"/>
      <c r="I4707" s="252"/>
      <c r="J4707" s="252"/>
      <c r="K4707" s="252"/>
      <c r="L4707"/>
      <c r="M4707"/>
    </row>
    <row r="4708" spans="1:13" s="79" customFormat="1" x14ac:dyDescent="0.35">
      <c r="A4708" s="251"/>
      <c r="B4708" s="22"/>
      <c r="C4708" s="252"/>
      <c r="D4708" s="252"/>
      <c r="E4708" s="252"/>
      <c r="F4708" s="252"/>
      <c r="G4708" s="252"/>
      <c r="H4708" s="252"/>
      <c r="I4708" s="252"/>
      <c r="J4708" s="252"/>
      <c r="K4708" s="252"/>
      <c r="L4708"/>
      <c r="M4708"/>
    </row>
    <row r="4709" spans="1:13" s="79" customFormat="1" x14ac:dyDescent="0.35">
      <c r="A4709" s="251"/>
      <c r="B4709" s="22"/>
      <c r="C4709" s="252"/>
      <c r="D4709" s="252"/>
      <c r="E4709" s="252"/>
      <c r="F4709" s="252"/>
      <c r="G4709" s="252"/>
      <c r="H4709" s="252"/>
      <c r="I4709" s="252"/>
      <c r="J4709" s="252"/>
      <c r="K4709" s="252"/>
      <c r="L4709"/>
      <c r="M4709"/>
    </row>
    <row r="4710" spans="1:13" s="79" customFormat="1" x14ac:dyDescent="0.35">
      <c r="A4710" s="251"/>
      <c r="B4710" s="22"/>
      <c r="C4710" s="252"/>
      <c r="D4710" s="252"/>
      <c r="E4710" s="252"/>
      <c r="F4710" s="252"/>
      <c r="G4710" s="252"/>
      <c r="H4710" s="252"/>
      <c r="I4710" s="252"/>
      <c r="J4710" s="252"/>
      <c r="K4710" s="252"/>
      <c r="L4710"/>
      <c r="M4710"/>
    </row>
    <row r="4711" spans="1:13" s="79" customFormat="1" x14ac:dyDescent="0.35">
      <c r="A4711" s="251"/>
      <c r="B4711" s="22"/>
      <c r="C4711" s="252"/>
      <c r="D4711" s="252"/>
      <c r="E4711" s="252"/>
      <c r="F4711" s="252"/>
      <c r="G4711" s="252"/>
      <c r="H4711" s="252"/>
      <c r="I4711" s="252"/>
      <c r="J4711" s="252"/>
      <c r="K4711" s="252"/>
      <c r="L4711"/>
      <c r="M4711"/>
    </row>
    <row r="4712" spans="1:13" s="79" customFormat="1" x14ac:dyDescent="0.35">
      <c r="A4712" s="251"/>
      <c r="B4712" s="22"/>
      <c r="C4712" s="252"/>
      <c r="D4712" s="252"/>
      <c r="E4712" s="252"/>
      <c r="F4712" s="252"/>
      <c r="G4712" s="252"/>
      <c r="H4712" s="252"/>
      <c r="I4712" s="252"/>
      <c r="J4712" s="252"/>
      <c r="K4712" s="252"/>
      <c r="L4712"/>
      <c r="M4712"/>
    </row>
    <row r="4713" spans="1:13" s="79" customFormat="1" x14ac:dyDescent="0.35">
      <c r="A4713" s="251"/>
      <c r="B4713" s="22"/>
      <c r="C4713" s="252"/>
      <c r="D4713" s="252"/>
      <c r="E4713" s="252"/>
      <c r="F4713" s="252"/>
      <c r="G4713" s="252"/>
      <c r="H4713" s="252"/>
      <c r="I4713" s="252"/>
      <c r="J4713" s="252"/>
      <c r="K4713" s="252"/>
      <c r="L4713"/>
      <c r="M4713"/>
    </row>
    <row r="4714" spans="1:13" s="79" customFormat="1" x14ac:dyDescent="0.35">
      <c r="A4714" s="251"/>
      <c r="B4714" s="22"/>
      <c r="C4714" s="252"/>
      <c r="D4714" s="252"/>
      <c r="E4714" s="252"/>
      <c r="F4714" s="252"/>
      <c r="G4714" s="252"/>
      <c r="H4714" s="252"/>
      <c r="I4714" s="252"/>
      <c r="J4714" s="252"/>
      <c r="K4714" s="252"/>
      <c r="L4714"/>
      <c r="M4714"/>
    </row>
    <row r="4715" spans="1:13" s="79" customFormat="1" x14ac:dyDescent="0.35">
      <c r="A4715" s="251"/>
      <c r="B4715" s="22"/>
      <c r="C4715" s="252"/>
      <c r="D4715" s="252"/>
      <c r="E4715" s="252"/>
      <c r="F4715" s="252"/>
      <c r="G4715" s="252"/>
      <c r="H4715" s="252"/>
      <c r="I4715" s="252"/>
      <c r="J4715" s="252"/>
      <c r="K4715" s="252"/>
      <c r="L4715"/>
      <c r="M4715"/>
    </row>
    <row r="4716" spans="1:13" s="79" customFormat="1" x14ac:dyDescent="0.35">
      <c r="A4716" s="251"/>
      <c r="B4716" s="22"/>
      <c r="C4716" s="252"/>
      <c r="D4716" s="252"/>
      <c r="E4716" s="252"/>
      <c r="F4716" s="252"/>
      <c r="G4716" s="252"/>
      <c r="H4716" s="252"/>
      <c r="I4716" s="252"/>
      <c r="J4716" s="252"/>
      <c r="K4716" s="252"/>
      <c r="L4716"/>
      <c r="M4716"/>
    </row>
    <row r="4717" spans="1:13" s="79" customFormat="1" x14ac:dyDescent="0.35">
      <c r="A4717" s="251"/>
      <c r="B4717" s="22"/>
      <c r="C4717" s="252"/>
      <c r="D4717" s="252"/>
      <c r="E4717" s="252"/>
      <c r="F4717" s="252"/>
      <c r="G4717" s="252"/>
      <c r="H4717" s="252"/>
      <c r="I4717" s="252"/>
      <c r="J4717" s="252"/>
      <c r="K4717" s="252"/>
      <c r="L4717"/>
      <c r="M4717"/>
    </row>
    <row r="4718" spans="1:13" s="79" customFormat="1" x14ac:dyDescent="0.35">
      <c r="A4718" s="251"/>
      <c r="B4718" s="22"/>
      <c r="C4718" s="252"/>
      <c r="D4718" s="252"/>
      <c r="E4718" s="252"/>
      <c r="F4718" s="252"/>
      <c r="G4718" s="252"/>
      <c r="H4718" s="252"/>
      <c r="I4718" s="252"/>
      <c r="J4718" s="252"/>
      <c r="K4718" s="252"/>
      <c r="L4718"/>
      <c r="M4718"/>
    </row>
    <row r="4719" spans="1:13" s="79" customFormat="1" x14ac:dyDescent="0.35">
      <c r="A4719" s="251"/>
      <c r="B4719" s="22"/>
      <c r="C4719" s="252"/>
      <c r="D4719" s="252"/>
      <c r="E4719" s="252"/>
      <c r="F4719" s="252"/>
      <c r="G4719" s="252"/>
      <c r="H4719" s="252"/>
      <c r="I4719" s="252"/>
      <c r="J4719" s="252"/>
      <c r="K4719" s="252"/>
      <c r="L4719"/>
      <c r="M4719"/>
    </row>
    <row r="4720" spans="1:13" s="79" customFormat="1" x14ac:dyDescent="0.35">
      <c r="A4720" s="251"/>
      <c r="B4720" s="22"/>
      <c r="C4720" s="252"/>
      <c r="D4720" s="252"/>
      <c r="E4720" s="252"/>
      <c r="F4720" s="252"/>
      <c r="G4720" s="252"/>
      <c r="H4720" s="252"/>
      <c r="I4720" s="252"/>
      <c r="J4720" s="252"/>
      <c r="K4720" s="252"/>
      <c r="L4720"/>
      <c r="M4720"/>
    </row>
    <row r="4721" spans="1:13" s="79" customFormat="1" x14ac:dyDescent="0.35">
      <c r="A4721" s="251"/>
      <c r="B4721" s="22"/>
      <c r="C4721" s="252"/>
      <c r="D4721" s="252"/>
      <c r="E4721" s="252"/>
      <c r="F4721" s="252"/>
      <c r="G4721" s="252"/>
      <c r="H4721" s="252"/>
      <c r="I4721" s="252"/>
      <c r="J4721" s="252"/>
      <c r="K4721" s="252"/>
      <c r="L4721"/>
      <c r="M4721"/>
    </row>
    <row r="4722" spans="1:13" s="79" customFormat="1" x14ac:dyDescent="0.35">
      <c r="A4722" s="251"/>
      <c r="B4722" s="22"/>
      <c r="C4722" s="252"/>
      <c r="D4722" s="252"/>
      <c r="E4722" s="252"/>
      <c r="F4722" s="252"/>
      <c r="G4722" s="252"/>
      <c r="H4722" s="252"/>
      <c r="I4722" s="252"/>
      <c r="J4722" s="252"/>
      <c r="K4722" s="252"/>
      <c r="L4722"/>
      <c r="M4722"/>
    </row>
    <row r="4723" spans="1:13" s="79" customFormat="1" x14ac:dyDescent="0.35">
      <c r="A4723" s="251"/>
      <c r="B4723" s="22"/>
      <c r="C4723" s="252"/>
      <c r="D4723" s="252"/>
      <c r="E4723" s="252"/>
      <c r="F4723" s="252"/>
      <c r="G4723" s="252"/>
      <c r="H4723" s="252"/>
      <c r="I4723" s="252"/>
      <c r="J4723" s="252"/>
      <c r="K4723" s="252"/>
      <c r="L4723"/>
      <c r="M4723"/>
    </row>
    <row r="4724" spans="1:13" s="79" customFormat="1" x14ac:dyDescent="0.35">
      <c r="A4724" s="251"/>
      <c r="B4724" s="22"/>
      <c r="C4724" s="252"/>
      <c r="D4724" s="252"/>
      <c r="E4724" s="252"/>
      <c r="F4724" s="252"/>
      <c r="G4724" s="252"/>
      <c r="H4724" s="252"/>
      <c r="I4724" s="252"/>
      <c r="J4724" s="252"/>
      <c r="K4724" s="252"/>
      <c r="L4724"/>
      <c r="M4724"/>
    </row>
    <row r="4725" spans="1:13" s="79" customFormat="1" x14ac:dyDescent="0.35">
      <c r="A4725" s="251"/>
      <c r="B4725" s="22"/>
      <c r="C4725" s="252"/>
      <c r="D4725" s="252"/>
      <c r="E4725" s="252"/>
      <c r="F4725" s="252"/>
      <c r="G4725" s="252"/>
      <c r="H4725" s="252"/>
      <c r="I4725" s="252"/>
      <c r="J4725" s="252"/>
      <c r="K4725" s="252"/>
      <c r="L4725"/>
      <c r="M4725"/>
    </row>
    <row r="4726" spans="1:13" s="79" customFormat="1" x14ac:dyDescent="0.35">
      <c r="A4726" s="251"/>
      <c r="B4726" s="22"/>
      <c r="C4726" s="252"/>
      <c r="D4726" s="252"/>
      <c r="E4726" s="252"/>
      <c r="F4726" s="252"/>
      <c r="G4726" s="252"/>
      <c r="H4726" s="252"/>
      <c r="I4726" s="252"/>
      <c r="J4726" s="252"/>
      <c r="K4726" s="252"/>
      <c r="L4726"/>
      <c r="M4726"/>
    </row>
    <row r="4727" spans="1:13" s="79" customFormat="1" x14ac:dyDescent="0.35">
      <c r="A4727" s="251"/>
      <c r="B4727" s="22"/>
      <c r="C4727" s="252"/>
      <c r="D4727" s="252"/>
      <c r="E4727" s="252"/>
      <c r="F4727" s="252"/>
      <c r="G4727" s="252"/>
      <c r="H4727" s="252"/>
      <c r="I4727" s="252"/>
      <c r="J4727" s="252"/>
      <c r="K4727" s="252"/>
      <c r="L4727"/>
      <c r="M4727"/>
    </row>
    <row r="4728" spans="1:13" s="79" customFormat="1" x14ac:dyDescent="0.35">
      <c r="A4728" s="251"/>
      <c r="B4728" s="22"/>
      <c r="C4728" s="252"/>
      <c r="D4728" s="252"/>
      <c r="E4728" s="252"/>
      <c r="F4728" s="252"/>
      <c r="G4728" s="252"/>
      <c r="H4728" s="252"/>
      <c r="I4728" s="252"/>
      <c r="J4728" s="252"/>
      <c r="K4728" s="252"/>
      <c r="L4728"/>
      <c r="M4728"/>
    </row>
    <row r="4729" spans="1:13" s="79" customFormat="1" x14ac:dyDescent="0.35">
      <c r="A4729" s="251"/>
      <c r="B4729" s="22"/>
      <c r="C4729" s="252"/>
      <c r="D4729" s="252"/>
      <c r="E4729" s="252"/>
      <c r="F4729" s="252"/>
      <c r="G4729" s="252"/>
      <c r="H4729" s="252"/>
      <c r="I4729" s="252"/>
      <c r="J4729" s="252"/>
      <c r="K4729" s="252"/>
      <c r="L4729"/>
      <c r="M4729"/>
    </row>
    <row r="4730" spans="1:13" s="79" customFormat="1" x14ac:dyDescent="0.35">
      <c r="A4730" s="251"/>
      <c r="B4730" s="22"/>
      <c r="C4730" s="252"/>
      <c r="D4730" s="252"/>
      <c r="E4730" s="252"/>
      <c r="F4730" s="252"/>
      <c r="G4730" s="252"/>
      <c r="H4730" s="252"/>
      <c r="I4730" s="252"/>
      <c r="J4730" s="252"/>
      <c r="K4730" s="252"/>
      <c r="L4730"/>
      <c r="M4730"/>
    </row>
    <row r="4731" spans="1:13" s="79" customFormat="1" x14ac:dyDescent="0.35">
      <c r="A4731" s="251"/>
      <c r="B4731" s="22"/>
      <c r="C4731" s="252"/>
      <c r="D4731" s="252"/>
      <c r="E4731" s="252"/>
      <c r="F4731" s="252"/>
      <c r="G4731" s="252"/>
      <c r="H4731" s="252"/>
      <c r="I4731" s="252"/>
      <c r="J4731" s="252"/>
      <c r="K4731" s="252"/>
      <c r="L4731"/>
      <c r="M4731"/>
    </row>
    <row r="4732" spans="1:13" s="79" customFormat="1" x14ac:dyDescent="0.35">
      <c r="A4732" s="251"/>
      <c r="B4732" s="22"/>
      <c r="C4732" s="252"/>
      <c r="D4732" s="252"/>
      <c r="E4732" s="252"/>
      <c r="F4732" s="252"/>
      <c r="G4732" s="252"/>
      <c r="H4732" s="252"/>
      <c r="I4732" s="252"/>
      <c r="J4732" s="252"/>
      <c r="K4732" s="252"/>
      <c r="L4732"/>
      <c r="M4732"/>
    </row>
    <row r="4733" spans="1:13" s="79" customFormat="1" x14ac:dyDescent="0.35">
      <c r="A4733" s="251"/>
      <c r="B4733" s="22"/>
      <c r="C4733" s="252"/>
      <c r="D4733" s="252"/>
      <c r="E4733" s="252"/>
      <c r="F4733" s="252"/>
      <c r="G4733" s="252"/>
      <c r="H4733" s="252"/>
      <c r="I4733" s="252"/>
      <c r="J4733" s="252"/>
      <c r="K4733" s="252"/>
      <c r="L4733"/>
      <c r="M4733"/>
    </row>
    <row r="4734" spans="1:13" s="79" customFormat="1" x14ac:dyDescent="0.35">
      <c r="A4734" s="251"/>
      <c r="B4734" s="22"/>
      <c r="C4734" s="252"/>
      <c r="D4734" s="252"/>
      <c r="E4734" s="252"/>
      <c r="F4734" s="252"/>
      <c r="G4734" s="252"/>
      <c r="H4734" s="252"/>
      <c r="I4734" s="252"/>
      <c r="J4734" s="252"/>
      <c r="K4734" s="252"/>
      <c r="L4734"/>
      <c r="M4734"/>
    </row>
    <row r="4735" spans="1:13" s="79" customFormat="1" x14ac:dyDescent="0.35">
      <c r="A4735" s="251"/>
      <c r="B4735" s="22"/>
      <c r="C4735" s="252"/>
      <c r="D4735" s="252"/>
      <c r="E4735" s="252"/>
      <c r="F4735" s="252"/>
      <c r="G4735" s="252"/>
      <c r="H4735" s="252"/>
      <c r="I4735" s="252"/>
      <c r="J4735" s="252"/>
      <c r="K4735" s="252"/>
      <c r="L4735"/>
      <c r="M4735"/>
    </row>
    <row r="4736" spans="1:13" s="79" customFormat="1" x14ac:dyDescent="0.35">
      <c r="A4736" s="251"/>
      <c r="B4736" s="22"/>
      <c r="C4736" s="252"/>
      <c r="D4736" s="252"/>
      <c r="E4736" s="252"/>
      <c r="F4736" s="252"/>
      <c r="G4736" s="252"/>
      <c r="H4736" s="252"/>
      <c r="I4736" s="252"/>
      <c r="J4736" s="252"/>
      <c r="K4736" s="252"/>
      <c r="L4736"/>
      <c r="M4736"/>
    </row>
    <row r="4737" spans="1:13" s="79" customFormat="1" x14ac:dyDescent="0.35">
      <c r="A4737" s="251"/>
      <c r="B4737" s="22"/>
      <c r="C4737" s="252"/>
      <c r="D4737" s="252"/>
      <c r="E4737" s="252"/>
      <c r="F4737" s="252"/>
      <c r="G4737" s="252"/>
      <c r="H4737" s="252"/>
      <c r="I4737" s="252"/>
      <c r="J4737" s="252"/>
      <c r="K4737" s="252"/>
      <c r="L4737"/>
      <c r="M4737"/>
    </row>
    <row r="4738" spans="1:13" s="79" customFormat="1" x14ac:dyDescent="0.35">
      <c r="A4738" s="251"/>
      <c r="B4738" s="22"/>
      <c r="C4738" s="252"/>
      <c r="D4738" s="252"/>
      <c r="E4738" s="252"/>
      <c r="F4738" s="252"/>
      <c r="G4738" s="252"/>
      <c r="H4738" s="252"/>
      <c r="I4738" s="252"/>
      <c r="J4738" s="252"/>
      <c r="K4738" s="252"/>
      <c r="L4738"/>
      <c r="M4738"/>
    </row>
    <row r="4739" spans="1:13" s="79" customFormat="1" x14ac:dyDescent="0.35">
      <c r="A4739" s="251"/>
      <c r="B4739" s="22"/>
      <c r="C4739" s="252"/>
      <c r="D4739" s="252"/>
      <c r="E4739" s="252"/>
      <c r="F4739" s="252"/>
      <c r="G4739" s="252"/>
      <c r="H4739" s="252"/>
      <c r="I4739" s="252"/>
      <c r="J4739" s="252"/>
      <c r="K4739" s="252"/>
      <c r="L4739"/>
      <c r="M4739"/>
    </row>
    <row r="4740" spans="1:13" s="79" customFormat="1" x14ac:dyDescent="0.35">
      <c r="A4740" s="251"/>
      <c r="B4740" s="22"/>
      <c r="C4740" s="252"/>
      <c r="D4740" s="252"/>
      <c r="E4740" s="252"/>
      <c r="F4740" s="252"/>
      <c r="G4740" s="252"/>
      <c r="H4740" s="252"/>
      <c r="I4740" s="252"/>
      <c r="J4740" s="252"/>
      <c r="K4740" s="252"/>
      <c r="L4740"/>
      <c r="M4740"/>
    </row>
    <row r="4741" spans="1:13" s="79" customFormat="1" x14ac:dyDescent="0.35">
      <c r="A4741" s="251"/>
      <c r="B4741" s="22"/>
      <c r="C4741" s="252"/>
      <c r="D4741" s="252"/>
      <c r="E4741" s="252"/>
      <c r="F4741" s="252"/>
      <c r="G4741" s="252"/>
      <c r="H4741" s="252"/>
      <c r="I4741" s="252"/>
      <c r="J4741" s="252"/>
      <c r="K4741" s="252"/>
      <c r="L4741"/>
      <c r="M4741"/>
    </row>
    <row r="4742" spans="1:13" s="79" customFormat="1" x14ac:dyDescent="0.35">
      <c r="A4742" s="251"/>
      <c r="B4742" s="22"/>
      <c r="C4742" s="252"/>
      <c r="D4742" s="252"/>
      <c r="E4742" s="252"/>
      <c r="F4742" s="252"/>
      <c r="G4742" s="252"/>
      <c r="H4742" s="252"/>
      <c r="I4742" s="252"/>
      <c r="J4742" s="252"/>
      <c r="K4742" s="252"/>
      <c r="L4742"/>
      <c r="M4742"/>
    </row>
    <row r="4743" spans="1:13" s="79" customFormat="1" x14ac:dyDescent="0.35">
      <c r="A4743" s="251"/>
      <c r="B4743" s="22"/>
      <c r="C4743" s="252"/>
      <c r="D4743" s="252"/>
      <c r="E4743" s="252"/>
      <c r="F4743" s="252"/>
      <c r="G4743" s="252"/>
      <c r="H4743" s="252"/>
      <c r="I4743" s="252"/>
      <c r="J4743" s="252"/>
      <c r="K4743" s="252"/>
      <c r="L4743"/>
      <c r="M4743"/>
    </row>
    <row r="4744" spans="1:13" s="79" customFormat="1" x14ac:dyDescent="0.35">
      <c r="A4744" s="251"/>
      <c r="B4744" s="22"/>
      <c r="C4744" s="252"/>
      <c r="D4744" s="252"/>
      <c r="E4744" s="252"/>
      <c r="F4744" s="252"/>
      <c r="G4744" s="252"/>
      <c r="H4744" s="252"/>
      <c r="I4744" s="252"/>
      <c r="J4744" s="252"/>
      <c r="K4744" s="252"/>
      <c r="L4744"/>
      <c r="M4744"/>
    </row>
    <row r="4745" spans="1:13" s="79" customFormat="1" x14ac:dyDescent="0.35">
      <c r="A4745" s="251"/>
      <c r="B4745" s="22"/>
      <c r="C4745" s="252"/>
      <c r="D4745" s="252"/>
      <c r="E4745" s="252"/>
      <c r="F4745" s="252"/>
      <c r="G4745" s="252"/>
      <c r="H4745" s="252"/>
      <c r="I4745" s="252"/>
      <c r="J4745" s="252"/>
      <c r="K4745" s="252"/>
      <c r="L4745"/>
      <c r="M4745"/>
    </row>
    <row r="4746" spans="1:13" s="79" customFormat="1" x14ac:dyDescent="0.35">
      <c r="A4746" s="251"/>
      <c r="B4746" s="22"/>
      <c r="C4746" s="252"/>
      <c r="D4746" s="252"/>
      <c r="E4746" s="252"/>
      <c r="F4746" s="252"/>
      <c r="G4746" s="252"/>
      <c r="H4746" s="252"/>
      <c r="I4746" s="252"/>
      <c r="J4746" s="252"/>
      <c r="K4746" s="252"/>
      <c r="L4746"/>
      <c r="M4746"/>
    </row>
    <row r="4747" spans="1:13" s="79" customFormat="1" x14ac:dyDescent="0.35">
      <c r="A4747" s="251"/>
      <c r="B4747" s="22"/>
      <c r="C4747" s="252"/>
      <c r="D4747" s="252"/>
      <c r="E4747" s="252"/>
      <c r="F4747" s="252"/>
      <c r="G4747" s="252"/>
      <c r="H4747" s="252"/>
      <c r="I4747" s="252"/>
      <c r="J4747" s="252"/>
      <c r="K4747" s="252"/>
      <c r="L4747"/>
      <c r="M4747"/>
    </row>
    <row r="4748" spans="1:13" s="79" customFormat="1" x14ac:dyDescent="0.35">
      <c r="A4748" s="251"/>
      <c r="B4748" s="22"/>
      <c r="C4748" s="252"/>
      <c r="D4748" s="252"/>
      <c r="E4748" s="252"/>
      <c r="F4748" s="252"/>
      <c r="G4748" s="252"/>
      <c r="H4748" s="252"/>
      <c r="I4748" s="252"/>
      <c r="J4748" s="252"/>
      <c r="K4748" s="252"/>
      <c r="L4748"/>
      <c r="M4748"/>
    </row>
    <row r="4749" spans="1:13" s="79" customFormat="1" x14ac:dyDescent="0.35">
      <c r="A4749" s="251"/>
      <c r="B4749" s="22"/>
      <c r="C4749" s="252"/>
      <c r="D4749" s="252"/>
      <c r="E4749" s="252"/>
      <c r="F4749" s="252"/>
      <c r="G4749" s="252"/>
      <c r="H4749" s="252"/>
      <c r="I4749" s="252"/>
      <c r="J4749" s="252"/>
      <c r="K4749" s="252"/>
      <c r="L4749"/>
      <c r="M4749"/>
    </row>
    <row r="4750" spans="1:13" s="79" customFormat="1" x14ac:dyDescent="0.35">
      <c r="A4750" s="251"/>
      <c r="B4750" s="22"/>
      <c r="C4750" s="252"/>
      <c r="D4750" s="252"/>
      <c r="E4750" s="252"/>
      <c r="F4750" s="252"/>
      <c r="G4750" s="252"/>
      <c r="H4750" s="252"/>
      <c r="I4750" s="252"/>
      <c r="J4750" s="252"/>
      <c r="K4750" s="252"/>
      <c r="L4750"/>
      <c r="M4750"/>
    </row>
    <row r="4751" spans="1:13" s="79" customFormat="1" x14ac:dyDescent="0.35">
      <c r="A4751" s="251"/>
      <c r="B4751" s="22"/>
      <c r="C4751" s="252"/>
      <c r="D4751" s="252"/>
      <c r="E4751" s="252"/>
      <c r="F4751" s="252"/>
      <c r="G4751" s="252"/>
      <c r="H4751" s="252"/>
      <c r="I4751" s="252"/>
      <c r="J4751" s="252"/>
      <c r="K4751" s="252"/>
      <c r="L4751"/>
      <c r="M4751"/>
    </row>
    <row r="4752" spans="1:13" s="79" customFormat="1" x14ac:dyDescent="0.35">
      <c r="A4752" s="251"/>
      <c r="B4752" s="22"/>
      <c r="C4752" s="252"/>
      <c r="D4752" s="252"/>
      <c r="E4752" s="252"/>
      <c r="F4752" s="252"/>
      <c r="G4752" s="252"/>
      <c r="H4752" s="252"/>
      <c r="I4752" s="252"/>
      <c r="J4752" s="252"/>
      <c r="K4752" s="252"/>
      <c r="L4752"/>
      <c r="M4752"/>
    </row>
    <row r="4753" spans="1:13" s="79" customFormat="1" x14ac:dyDescent="0.35">
      <c r="A4753" s="251"/>
      <c r="B4753" s="22"/>
      <c r="C4753" s="252"/>
      <c r="D4753" s="252"/>
      <c r="E4753" s="252"/>
      <c r="F4753" s="252"/>
      <c r="G4753" s="252"/>
      <c r="H4753" s="252"/>
      <c r="I4753" s="252"/>
      <c r="J4753" s="252"/>
      <c r="K4753" s="252"/>
      <c r="L4753"/>
      <c r="M4753"/>
    </row>
    <row r="4754" spans="1:13" s="79" customFormat="1" x14ac:dyDescent="0.35">
      <c r="A4754" s="251"/>
      <c r="B4754" s="22"/>
      <c r="C4754" s="252"/>
      <c r="D4754" s="252"/>
      <c r="E4754" s="252"/>
      <c r="F4754" s="252"/>
      <c r="G4754" s="252"/>
      <c r="H4754" s="252"/>
      <c r="I4754" s="252"/>
      <c r="J4754" s="252"/>
      <c r="K4754" s="252"/>
      <c r="L4754"/>
      <c r="M4754"/>
    </row>
    <row r="4755" spans="1:13" s="79" customFormat="1" x14ac:dyDescent="0.35">
      <c r="A4755" s="251"/>
      <c r="B4755" s="22"/>
      <c r="C4755" s="252"/>
      <c r="D4755" s="252"/>
      <c r="E4755" s="252"/>
      <c r="F4755" s="252"/>
      <c r="G4755" s="252"/>
      <c r="H4755" s="252"/>
      <c r="I4755" s="252"/>
      <c r="J4755" s="252"/>
      <c r="K4755" s="252"/>
      <c r="L4755"/>
      <c r="M4755"/>
    </row>
    <row r="4756" spans="1:13" s="79" customFormat="1" x14ac:dyDescent="0.35">
      <c r="A4756" s="251"/>
      <c r="B4756" s="22"/>
      <c r="C4756" s="252"/>
      <c r="D4756" s="252"/>
      <c r="E4756" s="252"/>
      <c r="F4756" s="252"/>
      <c r="G4756" s="252"/>
      <c r="H4756" s="252"/>
      <c r="I4756" s="252"/>
      <c r="J4756" s="252"/>
      <c r="K4756" s="252"/>
      <c r="L4756"/>
      <c r="M4756"/>
    </row>
    <row r="4757" spans="1:13" s="79" customFormat="1" x14ac:dyDescent="0.35">
      <c r="A4757" s="251"/>
      <c r="B4757" s="22"/>
      <c r="C4757" s="252"/>
      <c r="D4757" s="252"/>
      <c r="E4757" s="252"/>
      <c r="F4757" s="252"/>
      <c r="G4757" s="252"/>
      <c r="H4757" s="252"/>
      <c r="I4757" s="252"/>
      <c r="J4757" s="252"/>
      <c r="K4757" s="252"/>
      <c r="L4757"/>
      <c r="M4757"/>
    </row>
    <row r="4758" spans="1:13" s="79" customFormat="1" x14ac:dyDescent="0.35">
      <c r="A4758" s="251"/>
      <c r="B4758" s="22"/>
      <c r="C4758" s="252"/>
      <c r="D4758" s="252"/>
      <c r="E4758" s="252"/>
      <c r="F4758" s="252"/>
      <c r="G4758" s="252"/>
      <c r="H4758" s="252"/>
      <c r="I4758" s="252"/>
      <c r="J4758" s="252"/>
      <c r="K4758" s="252"/>
      <c r="L4758"/>
      <c r="M4758"/>
    </row>
    <row r="4759" spans="1:13" s="79" customFormat="1" x14ac:dyDescent="0.35">
      <c r="A4759" s="251"/>
      <c r="B4759" s="22"/>
      <c r="C4759" s="252"/>
      <c r="D4759" s="252"/>
      <c r="E4759" s="252"/>
      <c r="F4759" s="252"/>
      <c r="G4759" s="252"/>
      <c r="H4759" s="252"/>
      <c r="I4759" s="252"/>
      <c r="J4759" s="252"/>
      <c r="K4759" s="252"/>
      <c r="L4759"/>
      <c r="M4759"/>
    </row>
    <row r="4760" spans="1:13" s="79" customFormat="1" x14ac:dyDescent="0.35">
      <c r="A4760" s="251"/>
      <c r="B4760" s="22"/>
      <c r="C4760" s="252"/>
      <c r="D4760" s="252"/>
      <c r="E4760" s="252"/>
      <c r="F4760" s="252"/>
      <c r="G4760" s="252"/>
      <c r="H4760" s="252"/>
      <c r="I4760" s="252"/>
      <c r="J4760" s="252"/>
      <c r="K4760" s="252"/>
      <c r="L4760"/>
      <c r="M4760"/>
    </row>
    <row r="4761" spans="1:13" s="79" customFormat="1" x14ac:dyDescent="0.35">
      <c r="A4761" s="251"/>
      <c r="B4761" s="22"/>
      <c r="C4761" s="252"/>
      <c r="D4761" s="252"/>
      <c r="E4761" s="252"/>
      <c r="F4761" s="252"/>
      <c r="G4761" s="252"/>
      <c r="H4761" s="252"/>
      <c r="I4761" s="252"/>
      <c r="J4761" s="252"/>
      <c r="K4761" s="252"/>
      <c r="L4761"/>
      <c r="M4761"/>
    </row>
    <row r="4762" spans="1:13" s="79" customFormat="1" x14ac:dyDescent="0.35">
      <c r="A4762" s="251"/>
      <c r="B4762" s="22"/>
      <c r="C4762" s="252"/>
      <c r="D4762" s="252"/>
      <c r="E4762" s="252"/>
      <c r="F4762" s="252"/>
      <c r="G4762" s="252"/>
      <c r="H4762" s="252"/>
      <c r="I4762" s="252"/>
      <c r="J4762" s="252"/>
      <c r="K4762" s="252"/>
      <c r="L4762"/>
      <c r="M4762"/>
    </row>
    <row r="4763" spans="1:13" s="79" customFormat="1" x14ac:dyDescent="0.35">
      <c r="A4763" s="251"/>
      <c r="B4763" s="22"/>
      <c r="C4763" s="252"/>
      <c r="D4763" s="252"/>
      <c r="E4763" s="252"/>
      <c r="F4763" s="252"/>
      <c r="G4763" s="252"/>
      <c r="H4763" s="252"/>
      <c r="I4763" s="252"/>
      <c r="J4763" s="252"/>
      <c r="K4763" s="252"/>
      <c r="L4763"/>
      <c r="M4763"/>
    </row>
    <row r="4764" spans="1:13" s="79" customFormat="1" x14ac:dyDescent="0.35">
      <c r="A4764" s="251"/>
      <c r="B4764" s="22"/>
      <c r="C4764" s="252"/>
      <c r="D4764" s="252"/>
      <c r="E4764" s="252"/>
      <c r="F4764" s="252"/>
      <c r="G4764" s="252"/>
      <c r="H4764" s="252"/>
      <c r="I4764" s="252"/>
      <c r="J4764" s="252"/>
      <c r="K4764" s="252"/>
      <c r="L4764"/>
      <c r="M4764"/>
    </row>
    <row r="4765" spans="1:13" s="79" customFormat="1" x14ac:dyDescent="0.35">
      <c r="A4765" s="251"/>
      <c r="B4765" s="22"/>
      <c r="C4765" s="252"/>
      <c r="D4765" s="252"/>
      <c r="E4765" s="252"/>
      <c r="F4765" s="252"/>
      <c r="G4765" s="252"/>
      <c r="H4765" s="252"/>
      <c r="I4765" s="252"/>
      <c r="J4765" s="252"/>
      <c r="K4765" s="252"/>
      <c r="L4765"/>
      <c r="M4765"/>
    </row>
    <row r="4766" spans="1:13" s="79" customFormat="1" x14ac:dyDescent="0.35">
      <c r="A4766" s="251"/>
      <c r="B4766" s="22"/>
      <c r="C4766" s="252"/>
      <c r="D4766" s="252"/>
      <c r="E4766" s="252"/>
      <c r="F4766" s="252"/>
      <c r="G4766" s="252"/>
      <c r="H4766" s="252"/>
      <c r="I4766" s="252"/>
      <c r="J4766" s="252"/>
      <c r="K4766" s="252"/>
      <c r="L4766"/>
      <c r="M4766"/>
    </row>
    <row r="4767" spans="1:13" s="79" customFormat="1" x14ac:dyDescent="0.35">
      <c r="A4767" s="251"/>
      <c r="B4767" s="22"/>
      <c r="C4767" s="252"/>
      <c r="D4767" s="252"/>
      <c r="E4767" s="252"/>
      <c r="F4767" s="252"/>
      <c r="G4767" s="252"/>
      <c r="H4767" s="252"/>
      <c r="I4767" s="252"/>
      <c r="J4767" s="252"/>
      <c r="K4767" s="252"/>
      <c r="L4767"/>
      <c r="M4767"/>
    </row>
    <row r="4768" spans="1:13" s="79" customFormat="1" x14ac:dyDescent="0.35">
      <c r="A4768" s="251"/>
      <c r="B4768" s="22"/>
      <c r="C4768" s="252"/>
      <c r="D4768" s="252"/>
      <c r="E4768" s="252"/>
      <c r="F4768" s="252"/>
      <c r="G4768" s="252"/>
      <c r="H4768" s="252"/>
      <c r="I4768" s="252"/>
      <c r="J4768" s="252"/>
      <c r="K4768" s="252"/>
      <c r="L4768"/>
      <c r="M4768"/>
    </row>
    <row r="4769" spans="1:13" s="79" customFormat="1" x14ac:dyDescent="0.35">
      <c r="A4769" s="251"/>
      <c r="B4769" s="22"/>
      <c r="C4769" s="252"/>
      <c r="D4769" s="252"/>
      <c r="E4769" s="252"/>
      <c r="F4769" s="252"/>
      <c r="G4769" s="252"/>
      <c r="H4769" s="252"/>
      <c r="I4769" s="252"/>
      <c r="J4769" s="252"/>
      <c r="K4769" s="252"/>
      <c r="L4769"/>
      <c r="M4769"/>
    </row>
    <row r="4770" spans="1:13" s="79" customFormat="1" x14ac:dyDescent="0.35">
      <c r="A4770" s="251"/>
      <c r="B4770" s="22"/>
      <c r="C4770" s="252"/>
      <c r="D4770" s="252"/>
      <c r="E4770" s="252"/>
      <c r="F4770" s="252"/>
      <c r="G4770" s="252"/>
      <c r="H4770" s="252"/>
      <c r="I4770" s="252"/>
      <c r="J4770" s="252"/>
      <c r="K4770" s="252"/>
      <c r="L4770"/>
      <c r="M4770"/>
    </row>
    <row r="4771" spans="1:13" s="79" customFormat="1" x14ac:dyDescent="0.35">
      <c r="A4771" s="251"/>
      <c r="B4771" s="22"/>
      <c r="C4771" s="252"/>
      <c r="D4771" s="252"/>
      <c r="E4771" s="252"/>
      <c r="F4771" s="252"/>
      <c r="G4771" s="252"/>
      <c r="H4771" s="252"/>
      <c r="I4771" s="252"/>
      <c r="J4771" s="252"/>
      <c r="K4771" s="252"/>
      <c r="L4771"/>
      <c r="M4771"/>
    </row>
    <row r="4772" spans="1:13" s="79" customFormat="1" x14ac:dyDescent="0.35">
      <c r="A4772" s="251"/>
      <c r="B4772" s="22"/>
      <c r="C4772" s="252"/>
      <c r="D4772" s="252"/>
      <c r="E4772" s="252"/>
      <c r="F4772" s="252"/>
      <c r="G4772" s="252"/>
      <c r="H4772" s="252"/>
      <c r="I4772" s="252"/>
      <c r="J4772" s="252"/>
      <c r="K4772" s="252"/>
      <c r="L4772"/>
      <c r="M4772"/>
    </row>
    <row r="4773" spans="1:13" s="79" customFormat="1" x14ac:dyDescent="0.35">
      <c r="A4773" s="251"/>
      <c r="B4773" s="22"/>
      <c r="C4773" s="252"/>
      <c r="D4773" s="252"/>
      <c r="E4773" s="252"/>
      <c r="F4773" s="252"/>
      <c r="G4773" s="252"/>
      <c r="H4773" s="252"/>
      <c r="I4773" s="252"/>
      <c r="J4773" s="252"/>
      <c r="K4773" s="252"/>
      <c r="L4773"/>
      <c r="M4773"/>
    </row>
    <row r="4774" spans="1:13" s="79" customFormat="1" x14ac:dyDescent="0.35">
      <c r="A4774" s="251"/>
      <c r="B4774" s="22"/>
      <c r="C4774" s="252"/>
      <c r="D4774" s="252"/>
      <c r="E4774" s="252"/>
      <c r="F4774" s="252"/>
      <c r="G4774" s="252"/>
      <c r="H4774" s="252"/>
      <c r="I4774" s="252"/>
      <c r="J4774" s="252"/>
      <c r="K4774" s="252"/>
      <c r="L4774"/>
      <c r="M4774"/>
    </row>
    <row r="4775" spans="1:13" s="79" customFormat="1" x14ac:dyDescent="0.35">
      <c r="A4775" s="251"/>
      <c r="B4775" s="22"/>
      <c r="C4775" s="252"/>
      <c r="D4775" s="252"/>
      <c r="E4775" s="252"/>
      <c r="F4775" s="252"/>
      <c r="G4775" s="252"/>
      <c r="H4775" s="252"/>
      <c r="I4775" s="252"/>
      <c r="J4775" s="252"/>
      <c r="K4775" s="252"/>
      <c r="L4775"/>
      <c r="M4775"/>
    </row>
    <row r="4776" spans="1:13" s="79" customFormat="1" x14ac:dyDescent="0.35">
      <c r="A4776" s="251"/>
      <c r="B4776" s="22"/>
      <c r="C4776" s="252"/>
      <c r="D4776" s="252"/>
      <c r="E4776" s="252"/>
      <c r="F4776" s="252"/>
      <c r="G4776" s="252"/>
      <c r="H4776" s="252"/>
      <c r="I4776" s="252"/>
      <c r="J4776" s="252"/>
      <c r="K4776" s="252"/>
      <c r="L4776"/>
      <c r="M4776"/>
    </row>
    <row r="4777" spans="1:13" s="79" customFormat="1" x14ac:dyDescent="0.35">
      <c r="A4777" s="251"/>
      <c r="B4777" s="22"/>
      <c r="C4777" s="252"/>
      <c r="D4777" s="252"/>
      <c r="E4777" s="252"/>
      <c r="F4777" s="252"/>
      <c r="G4777" s="252"/>
      <c r="H4777" s="252"/>
      <c r="I4777" s="252"/>
      <c r="J4777" s="252"/>
      <c r="K4777" s="252"/>
      <c r="L4777"/>
      <c r="M4777"/>
    </row>
    <row r="4778" spans="1:13" s="79" customFormat="1" x14ac:dyDescent="0.35">
      <c r="A4778" s="251"/>
      <c r="B4778" s="22"/>
      <c r="C4778" s="252"/>
      <c r="D4778" s="252"/>
      <c r="E4778" s="252"/>
      <c r="F4778" s="252"/>
      <c r="G4778" s="252"/>
      <c r="H4778" s="252"/>
      <c r="I4778" s="252"/>
      <c r="J4778" s="252"/>
      <c r="K4778" s="252"/>
      <c r="L4778"/>
      <c r="M4778"/>
    </row>
    <row r="4779" spans="1:13" s="79" customFormat="1" x14ac:dyDescent="0.35">
      <c r="A4779" s="251"/>
      <c r="B4779" s="22"/>
      <c r="C4779" s="252"/>
      <c r="D4779" s="252"/>
      <c r="E4779" s="252"/>
      <c r="F4779" s="252"/>
      <c r="G4779" s="252"/>
      <c r="H4779" s="252"/>
      <c r="I4779" s="252"/>
      <c r="J4779" s="252"/>
      <c r="K4779" s="252"/>
      <c r="L4779"/>
      <c r="M4779"/>
    </row>
    <row r="4780" spans="1:13" s="79" customFormat="1" x14ac:dyDescent="0.35">
      <c r="A4780" s="251"/>
      <c r="B4780" s="22"/>
      <c r="C4780" s="252"/>
      <c r="D4780" s="252"/>
      <c r="E4780" s="252"/>
      <c r="F4780" s="252"/>
      <c r="G4780" s="252"/>
      <c r="H4780" s="252"/>
      <c r="I4780" s="252"/>
      <c r="J4780" s="252"/>
      <c r="K4780" s="252"/>
      <c r="L4780"/>
      <c r="M4780"/>
    </row>
    <row r="4781" spans="1:13" s="79" customFormat="1" x14ac:dyDescent="0.35">
      <c r="A4781" s="251"/>
      <c r="B4781" s="22"/>
      <c r="C4781" s="252"/>
      <c r="D4781" s="252"/>
      <c r="E4781" s="252"/>
      <c r="F4781" s="252"/>
      <c r="G4781" s="252"/>
      <c r="H4781" s="252"/>
      <c r="I4781" s="252"/>
      <c r="J4781" s="252"/>
      <c r="K4781" s="252"/>
      <c r="L4781"/>
      <c r="M4781"/>
    </row>
    <row r="4782" spans="1:13" s="79" customFormat="1" x14ac:dyDescent="0.35">
      <c r="A4782" s="251"/>
      <c r="B4782" s="22"/>
      <c r="C4782" s="252"/>
      <c r="D4782" s="252"/>
      <c r="E4782" s="252"/>
      <c r="F4782" s="252"/>
      <c r="G4782" s="252"/>
      <c r="H4782" s="252"/>
      <c r="I4782" s="252"/>
      <c r="J4782" s="252"/>
      <c r="K4782" s="252"/>
      <c r="L4782"/>
      <c r="M4782"/>
    </row>
    <row r="4783" spans="1:13" s="79" customFormat="1" x14ac:dyDescent="0.35">
      <c r="A4783" s="251"/>
      <c r="B4783" s="22"/>
      <c r="C4783" s="252"/>
      <c r="D4783" s="252"/>
      <c r="E4783" s="252"/>
      <c r="F4783" s="252"/>
      <c r="G4783" s="252"/>
      <c r="H4783" s="252"/>
      <c r="I4783" s="252"/>
      <c r="J4783" s="252"/>
      <c r="K4783" s="252"/>
      <c r="L4783"/>
      <c r="M4783"/>
    </row>
    <row r="4784" spans="1:13" s="79" customFormat="1" x14ac:dyDescent="0.35">
      <c r="A4784" s="251"/>
      <c r="B4784" s="22"/>
      <c r="C4784" s="252"/>
      <c r="D4784" s="252"/>
      <c r="E4784" s="252"/>
      <c r="F4784" s="252"/>
      <c r="G4784" s="252"/>
      <c r="H4784" s="252"/>
      <c r="I4784" s="252"/>
      <c r="J4784" s="252"/>
      <c r="K4784" s="252"/>
      <c r="L4784"/>
      <c r="M4784"/>
    </row>
    <row r="4785" spans="1:13" s="79" customFormat="1" x14ac:dyDescent="0.35">
      <c r="A4785" s="251"/>
      <c r="B4785" s="22"/>
      <c r="C4785" s="252"/>
      <c r="D4785" s="252"/>
      <c r="E4785" s="252"/>
      <c r="F4785" s="252"/>
      <c r="G4785" s="252"/>
      <c r="H4785" s="252"/>
      <c r="I4785" s="252"/>
      <c r="J4785" s="252"/>
      <c r="K4785" s="252"/>
      <c r="L4785"/>
      <c r="M4785"/>
    </row>
    <row r="4786" spans="1:13" s="79" customFormat="1" x14ac:dyDescent="0.35">
      <c r="A4786" s="251"/>
      <c r="B4786" s="22"/>
      <c r="C4786" s="252"/>
      <c r="D4786" s="252"/>
      <c r="E4786" s="252"/>
      <c r="F4786" s="252"/>
      <c r="G4786" s="252"/>
      <c r="H4786" s="252"/>
      <c r="I4786" s="252"/>
      <c r="J4786" s="252"/>
      <c r="K4786" s="252"/>
      <c r="L4786"/>
      <c r="M4786"/>
    </row>
    <row r="4787" spans="1:13" s="79" customFormat="1" x14ac:dyDescent="0.35">
      <c r="A4787" s="251"/>
      <c r="B4787" s="22"/>
      <c r="C4787" s="252"/>
      <c r="D4787" s="252"/>
      <c r="E4787" s="252"/>
      <c r="F4787" s="252"/>
      <c r="G4787" s="252"/>
      <c r="H4787" s="252"/>
      <c r="I4787" s="252"/>
      <c r="J4787" s="252"/>
      <c r="K4787" s="252"/>
      <c r="L4787"/>
      <c r="M4787"/>
    </row>
    <row r="4788" spans="1:13" s="79" customFormat="1" x14ac:dyDescent="0.35">
      <c r="A4788" s="251"/>
      <c r="B4788" s="22"/>
      <c r="C4788" s="252"/>
      <c r="D4788" s="252"/>
      <c r="E4788" s="252"/>
      <c r="F4788" s="252"/>
      <c r="G4788" s="252"/>
      <c r="H4788" s="252"/>
      <c r="I4788" s="252"/>
      <c r="J4788" s="252"/>
      <c r="K4788" s="252"/>
      <c r="L4788"/>
      <c r="M4788"/>
    </row>
    <row r="4789" spans="1:13" s="79" customFormat="1" x14ac:dyDescent="0.35">
      <c r="A4789" s="251"/>
      <c r="B4789" s="22"/>
      <c r="C4789" s="252"/>
      <c r="D4789" s="252"/>
      <c r="E4789" s="252"/>
      <c r="F4789" s="252"/>
      <c r="G4789" s="252"/>
      <c r="H4789" s="252"/>
      <c r="I4789" s="252"/>
      <c r="J4789" s="252"/>
      <c r="K4789" s="252"/>
      <c r="L4789"/>
      <c r="M4789"/>
    </row>
    <row r="4790" spans="1:13" s="79" customFormat="1" x14ac:dyDescent="0.35">
      <c r="A4790" s="251"/>
      <c r="B4790" s="22"/>
      <c r="C4790" s="252"/>
      <c r="D4790" s="252"/>
      <c r="E4790" s="252"/>
      <c r="F4790" s="252"/>
      <c r="G4790" s="252"/>
      <c r="H4790" s="252"/>
      <c r="I4790" s="252"/>
      <c r="J4790" s="252"/>
      <c r="K4790" s="252"/>
      <c r="L4790"/>
      <c r="M4790"/>
    </row>
    <row r="4791" spans="1:13" s="79" customFormat="1" x14ac:dyDescent="0.35">
      <c r="A4791" s="251"/>
      <c r="B4791" s="22"/>
      <c r="C4791" s="252"/>
      <c r="D4791" s="252"/>
      <c r="E4791" s="252"/>
      <c r="F4791" s="252"/>
      <c r="G4791" s="252"/>
      <c r="H4791" s="252"/>
      <c r="I4791" s="252"/>
      <c r="J4791" s="252"/>
      <c r="K4791" s="252"/>
      <c r="L4791"/>
      <c r="M4791"/>
    </row>
    <row r="4792" spans="1:13" s="79" customFormat="1" x14ac:dyDescent="0.35">
      <c r="A4792" s="251"/>
      <c r="B4792" s="22"/>
      <c r="C4792" s="252"/>
      <c r="D4792" s="252"/>
      <c r="E4792" s="252"/>
      <c r="F4792" s="252"/>
      <c r="G4792" s="252"/>
      <c r="H4792" s="252"/>
      <c r="I4792" s="252"/>
      <c r="J4792" s="252"/>
      <c r="K4792" s="252"/>
      <c r="L4792"/>
      <c r="M4792"/>
    </row>
    <row r="4793" spans="1:13" s="79" customFormat="1" x14ac:dyDescent="0.35">
      <c r="A4793" s="251"/>
      <c r="B4793" s="22"/>
      <c r="C4793" s="252"/>
      <c r="D4793" s="252"/>
      <c r="E4793" s="252"/>
      <c r="F4793" s="252"/>
      <c r="G4793" s="252"/>
      <c r="H4793" s="252"/>
      <c r="I4793" s="252"/>
      <c r="J4793" s="252"/>
      <c r="K4793" s="252"/>
      <c r="L4793"/>
      <c r="M4793"/>
    </row>
    <row r="4794" spans="1:13" s="79" customFormat="1" x14ac:dyDescent="0.35">
      <c r="A4794" s="251"/>
      <c r="B4794" s="22"/>
      <c r="C4794" s="252"/>
      <c r="D4794" s="252"/>
      <c r="E4794" s="252"/>
      <c r="F4794" s="252"/>
      <c r="G4794" s="252"/>
      <c r="H4794" s="252"/>
      <c r="I4794" s="252"/>
      <c r="J4794" s="252"/>
      <c r="K4794" s="252"/>
      <c r="L4794"/>
      <c r="M4794"/>
    </row>
    <row r="4795" spans="1:13" s="79" customFormat="1" x14ac:dyDescent="0.35">
      <c r="A4795" s="251"/>
      <c r="B4795" s="22"/>
      <c r="C4795" s="252"/>
      <c r="D4795" s="252"/>
      <c r="E4795" s="252"/>
      <c r="F4795" s="252"/>
      <c r="G4795" s="252"/>
      <c r="H4795" s="252"/>
      <c r="I4795" s="252"/>
      <c r="J4795" s="252"/>
      <c r="K4795" s="252"/>
      <c r="L4795"/>
      <c r="M4795"/>
    </row>
    <row r="4796" spans="1:13" s="79" customFormat="1" x14ac:dyDescent="0.35">
      <c r="A4796" s="251"/>
      <c r="B4796" s="22"/>
      <c r="C4796" s="252"/>
      <c r="D4796" s="252"/>
      <c r="E4796" s="252"/>
      <c r="F4796" s="252"/>
      <c r="G4796" s="252"/>
      <c r="H4796" s="252"/>
      <c r="I4796" s="252"/>
      <c r="J4796" s="252"/>
      <c r="K4796" s="252"/>
      <c r="L4796"/>
      <c r="M4796"/>
    </row>
    <row r="4797" spans="1:13" s="79" customFormat="1" x14ac:dyDescent="0.35">
      <c r="A4797" s="251"/>
      <c r="B4797" s="22"/>
      <c r="C4797" s="252"/>
      <c r="D4797" s="252"/>
      <c r="E4797" s="252"/>
      <c r="F4797" s="252"/>
      <c r="G4797" s="252"/>
      <c r="H4797" s="252"/>
      <c r="I4797" s="252"/>
      <c r="J4797" s="252"/>
      <c r="K4797" s="252"/>
      <c r="L4797"/>
      <c r="M4797"/>
    </row>
    <row r="4798" spans="1:13" s="79" customFormat="1" x14ac:dyDescent="0.35">
      <c r="A4798" s="251"/>
      <c r="B4798" s="22"/>
      <c r="C4798" s="252"/>
      <c r="D4798" s="252"/>
      <c r="E4798" s="252"/>
      <c r="F4798" s="252"/>
      <c r="G4798" s="252"/>
      <c r="H4798" s="252"/>
      <c r="I4798" s="252"/>
      <c r="J4798" s="252"/>
      <c r="K4798" s="252"/>
      <c r="L4798"/>
      <c r="M4798"/>
    </row>
    <row r="4799" spans="1:13" s="79" customFormat="1" x14ac:dyDescent="0.35">
      <c r="A4799" s="251"/>
      <c r="B4799" s="22"/>
      <c r="C4799" s="252"/>
      <c r="D4799" s="252"/>
      <c r="E4799" s="252"/>
      <c r="F4799" s="252"/>
      <c r="G4799" s="252"/>
      <c r="H4799" s="252"/>
      <c r="I4799" s="252"/>
      <c r="J4799" s="252"/>
      <c r="K4799" s="252"/>
      <c r="L4799"/>
      <c r="M4799"/>
    </row>
    <row r="4800" spans="1:13" s="79" customFormat="1" x14ac:dyDescent="0.35">
      <c r="A4800" s="251"/>
      <c r="B4800" s="22"/>
      <c r="C4800" s="252"/>
      <c r="D4800" s="252"/>
      <c r="E4800" s="252"/>
      <c r="F4800" s="252"/>
      <c r="G4800" s="252"/>
      <c r="H4800" s="252"/>
      <c r="I4800" s="252"/>
      <c r="J4800" s="252"/>
      <c r="K4800" s="252"/>
      <c r="L4800"/>
      <c r="M4800"/>
    </row>
    <row r="4801" spans="1:13" s="79" customFormat="1" x14ac:dyDescent="0.35">
      <c r="A4801" s="251"/>
      <c r="B4801" s="22"/>
      <c r="C4801" s="252"/>
      <c r="D4801" s="252"/>
      <c r="E4801" s="252"/>
      <c r="F4801" s="252"/>
      <c r="G4801" s="252"/>
      <c r="H4801" s="252"/>
      <c r="I4801" s="252"/>
      <c r="J4801" s="252"/>
      <c r="K4801" s="252"/>
      <c r="L4801"/>
      <c r="M4801"/>
    </row>
    <row r="4802" spans="1:13" s="79" customFormat="1" x14ac:dyDescent="0.35">
      <c r="A4802" s="251"/>
      <c r="B4802" s="22"/>
      <c r="C4802" s="252"/>
      <c r="D4802" s="252"/>
      <c r="E4802" s="252"/>
      <c r="F4802" s="252"/>
      <c r="G4802" s="252"/>
      <c r="H4802" s="252"/>
      <c r="I4802" s="252"/>
      <c r="J4802" s="252"/>
      <c r="K4802" s="252"/>
      <c r="L4802"/>
      <c r="M4802"/>
    </row>
    <row r="4803" spans="1:13" s="79" customFormat="1" x14ac:dyDescent="0.35">
      <c r="A4803" s="251"/>
      <c r="B4803" s="22"/>
      <c r="C4803" s="252"/>
      <c r="D4803" s="252"/>
      <c r="E4803" s="252"/>
      <c r="F4803" s="252"/>
      <c r="G4803" s="252"/>
      <c r="H4803" s="252"/>
      <c r="I4803" s="252"/>
      <c r="J4803" s="252"/>
      <c r="K4803" s="252"/>
      <c r="L4803"/>
      <c r="M4803"/>
    </row>
    <row r="4804" spans="1:13" s="79" customFormat="1" x14ac:dyDescent="0.35">
      <c r="A4804" s="251"/>
      <c r="B4804" s="22"/>
      <c r="C4804" s="252"/>
      <c r="D4804" s="252"/>
      <c r="E4804" s="252"/>
      <c r="F4804" s="252"/>
      <c r="G4804" s="252"/>
      <c r="H4804" s="252"/>
      <c r="I4804" s="252"/>
      <c r="J4804" s="252"/>
      <c r="K4804" s="252"/>
      <c r="L4804"/>
      <c r="M4804"/>
    </row>
    <row r="4805" spans="1:13" s="79" customFormat="1" x14ac:dyDescent="0.35">
      <c r="A4805" s="251"/>
      <c r="B4805" s="22"/>
      <c r="C4805" s="252"/>
      <c r="D4805" s="252"/>
      <c r="E4805" s="252"/>
      <c r="F4805" s="252"/>
      <c r="G4805" s="252"/>
      <c r="H4805" s="252"/>
      <c r="I4805" s="252"/>
      <c r="J4805" s="252"/>
      <c r="K4805" s="252"/>
      <c r="L4805"/>
      <c r="M4805"/>
    </row>
    <row r="4806" spans="1:13" s="79" customFormat="1" x14ac:dyDescent="0.35">
      <c r="A4806" s="251"/>
      <c r="B4806" s="22"/>
      <c r="C4806" s="252"/>
      <c r="D4806" s="252"/>
      <c r="E4806" s="252"/>
      <c r="F4806" s="252"/>
      <c r="G4806" s="252"/>
      <c r="H4806" s="252"/>
      <c r="I4806" s="252"/>
      <c r="J4806" s="252"/>
      <c r="K4806" s="252"/>
      <c r="L4806"/>
      <c r="M4806"/>
    </row>
    <row r="4807" spans="1:13" s="79" customFormat="1" x14ac:dyDescent="0.35">
      <c r="A4807" s="251"/>
      <c r="B4807" s="22"/>
      <c r="C4807" s="252"/>
      <c r="D4807" s="252"/>
      <c r="E4807" s="252"/>
      <c r="F4807" s="252"/>
      <c r="G4807" s="252"/>
      <c r="H4807" s="252"/>
      <c r="I4807" s="252"/>
      <c r="J4807" s="252"/>
      <c r="K4807" s="252"/>
      <c r="L4807"/>
      <c r="M4807"/>
    </row>
    <row r="4808" spans="1:13" s="79" customFormat="1" x14ac:dyDescent="0.35">
      <c r="A4808" s="251"/>
      <c r="B4808" s="22"/>
      <c r="C4808" s="252"/>
      <c r="D4808" s="252"/>
      <c r="E4808" s="252"/>
      <c r="F4808" s="252"/>
      <c r="G4808" s="252"/>
      <c r="H4808" s="252"/>
      <c r="I4808" s="252"/>
      <c r="J4808" s="252"/>
      <c r="K4808" s="252"/>
      <c r="L4808"/>
      <c r="M4808"/>
    </row>
    <row r="4809" spans="1:13" s="79" customFormat="1" x14ac:dyDescent="0.35">
      <c r="A4809" s="251"/>
      <c r="B4809" s="22"/>
      <c r="C4809" s="252"/>
      <c r="D4809" s="252"/>
      <c r="E4809" s="252"/>
      <c r="F4809" s="252"/>
      <c r="G4809" s="252"/>
      <c r="H4809" s="252"/>
      <c r="I4809" s="252"/>
      <c r="J4809" s="252"/>
      <c r="K4809" s="252"/>
      <c r="L4809"/>
      <c r="M4809"/>
    </row>
    <row r="4810" spans="1:13" s="79" customFormat="1" x14ac:dyDescent="0.35">
      <c r="A4810" s="251"/>
      <c r="B4810" s="22"/>
      <c r="C4810" s="252"/>
      <c r="D4810" s="252"/>
      <c r="E4810" s="252"/>
      <c r="F4810" s="252"/>
      <c r="G4810" s="252"/>
      <c r="H4810" s="252"/>
      <c r="I4810" s="252"/>
      <c r="J4810" s="252"/>
      <c r="K4810" s="252"/>
      <c r="L4810"/>
      <c r="M4810"/>
    </row>
    <row r="4811" spans="1:13" s="79" customFormat="1" x14ac:dyDescent="0.35">
      <c r="A4811" s="251"/>
      <c r="B4811" s="22"/>
      <c r="C4811" s="252"/>
      <c r="D4811" s="252"/>
      <c r="E4811" s="252"/>
      <c r="F4811" s="252"/>
      <c r="G4811" s="252"/>
      <c r="H4811" s="252"/>
      <c r="I4811" s="252"/>
      <c r="J4811" s="252"/>
      <c r="K4811" s="252"/>
      <c r="L4811"/>
      <c r="M4811"/>
    </row>
    <row r="4812" spans="1:13" s="79" customFormat="1" x14ac:dyDescent="0.35">
      <c r="A4812" s="251"/>
      <c r="B4812" s="22"/>
      <c r="C4812" s="252"/>
      <c r="D4812" s="252"/>
      <c r="E4812" s="252"/>
      <c r="F4812" s="252"/>
      <c r="G4812" s="252"/>
      <c r="H4812" s="252"/>
      <c r="I4812" s="252"/>
      <c r="J4812" s="252"/>
      <c r="K4812" s="252"/>
      <c r="L4812"/>
      <c r="M4812"/>
    </row>
    <row r="4813" spans="1:13" s="79" customFormat="1" x14ac:dyDescent="0.35">
      <c r="A4813" s="251"/>
      <c r="B4813" s="22"/>
      <c r="C4813" s="252"/>
      <c r="D4813" s="252"/>
      <c r="E4813" s="252"/>
      <c r="F4813" s="252"/>
      <c r="G4813" s="252"/>
      <c r="H4813" s="252"/>
      <c r="I4813" s="252"/>
      <c r="J4813" s="252"/>
      <c r="K4813" s="252"/>
      <c r="L4813"/>
      <c r="M4813"/>
    </row>
    <row r="4814" spans="1:13" s="79" customFormat="1" x14ac:dyDescent="0.35">
      <c r="A4814" s="251"/>
      <c r="B4814" s="22"/>
      <c r="C4814" s="252"/>
      <c r="D4814" s="252"/>
      <c r="E4814" s="252"/>
      <c r="F4814" s="252"/>
      <c r="G4814" s="252"/>
      <c r="H4814" s="252"/>
      <c r="I4814" s="252"/>
      <c r="J4814" s="252"/>
      <c r="K4814" s="252"/>
      <c r="L4814"/>
      <c r="M4814"/>
    </row>
    <row r="4815" spans="1:13" s="79" customFormat="1" x14ac:dyDescent="0.35">
      <c r="A4815" s="251"/>
      <c r="B4815" s="22"/>
      <c r="C4815" s="252"/>
      <c r="D4815" s="252"/>
      <c r="E4815" s="252"/>
      <c r="F4815" s="252"/>
      <c r="G4815" s="252"/>
      <c r="H4815" s="252"/>
      <c r="I4815" s="252"/>
      <c r="J4815" s="252"/>
      <c r="K4815" s="252"/>
      <c r="L4815"/>
      <c r="M4815"/>
    </row>
    <row r="4816" spans="1:13" s="79" customFormat="1" x14ac:dyDescent="0.35">
      <c r="A4816" s="251"/>
      <c r="B4816" s="22"/>
      <c r="C4816" s="252"/>
      <c r="D4816" s="252"/>
      <c r="E4816" s="252"/>
      <c r="F4816" s="252"/>
      <c r="G4816" s="252"/>
      <c r="H4816" s="252"/>
      <c r="I4816" s="252"/>
      <c r="J4816" s="252"/>
      <c r="K4816" s="252"/>
      <c r="L4816"/>
      <c r="M4816"/>
    </row>
    <row r="4817" spans="1:13" s="79" customFormat="1" x14ac:dyDescent="0.35">
      <c r="A4817" s="251"/>
      <c r="B4817" s="22"/>
      <c r="C4817" s="252"/>
      <c r="D4817" s="252"/>
      <c r="E4817" s="252"/>
      <c r="F4817" s="252"/>
      <c r="G4817" s="252"/>
      <c r="H4817" s="252"/>
      <c r="I4817" s="252"/>
      <c r="J4817" s="252"/>
      <c r="K4817" s="252"/>
      <c r="L4817"/>
      <c r="M4817"/>
    </row>
    <row r="4818" spans="1:13" s="79" customFormat="1" x14ac:dyDescent="0.35">
      <c r="A4818" s="251"/>
      <c r="B4818" s="22"/>
      <c r="C4818" s="252"/>
      <c r="D4818" s="252"/>
      <c r="E4818" s="252"/>
      <c r="F4818" s="252"/>
      <c r="G4818" s="252"/>
      <c r="H4818" s="252"/>
      <c r="I4818" s="252"/>
      <c r="J4818" s="252"/>
      <c r="K4818" s="252"/>
      <c r="L4818"/>
      <c r="M4818"/>
    </row>
    <row r="4819" spans="1:13" s="79" customFormat="1" x14ac:dyDescent="0.35">
      <c r="A4819" s="251"/>
      <c r="B4819" s="22"/>
      <c r="C4819" s="252"/>
      <c r="D4819" s="252"/>
      <c r="E4819" s="252"/>
      <c r="F4819" s="252"/>
      <c r="G4819" s="252"/>
      <c r="H4819" s="252"/>
      <c r="I4819" s="252"/>
      <c r="J4819" s="252"/>
      <c r="K4819" s="252"/>
      <c r="L4819"/>
      <c r="M4819"/>
    </row>
    <row r="4820" spans="1:13" s="79" customFormat="1" x14ac:dyDescent="0.35">
      <c r="A4820" s="251"/>
      <c r="B4820" s="22"/>
      <c r="C4820" s="252"/>
      <c r="D4820" s="252"/>
      <c r="E4820" s="252"/>
      <c r="F4820" s="252"/>
      <c r="G4820" s="252"/>
      <c r="H4820" s="252"/>
      <c r="I4820" s="252"/>
      <c r="J4820" s="252"/>
      <c r="K4820" s="252"/>
      <c r="L4820"/>
      <c r="M4820"/>
    </row>
    <row r="4821" spans="1:13" s="79" customFormat="1" x14ac:dyDescent="0.35">
      <c r="A4821" s="251"/>
      <c r="B4821" s="22"/>
      <c r="C4821" s="252"/>
      <c r="D4821" s="252"/>
      <c r="E4821" s="252"/>
      <c r="F4821" s="252"/>
      <c r="G4821" s="252"/>
      <c r="H4821" s="252"/>
      <c r="I4821" s="252"/>
      <c r="J4821" s="252"/>
      <c r="K4821" s="252"/>
      <c r="L4821"/>
      <c r="M4821"/>
    </row>
    <row r="4822" spans="1:13" s="79" customFormat="1" x14ac:dyDescent="0.35">
      <c r="A4822" s="251"/>
      <c r="B4822" s="22"/>
      <c r="C4822" s="252"/>
      <c r="D4822" s="252"/>
      <c r="E4822" s="252"/>
      <c r="F4822" s="252"/>
      <c r="G4822" s="252"/>
      <c r="H4822" s="252"/>
      <c r="I4822" s="252"/>
      <c r="J4822" s="252"/>
      <c r="K4822" s="252"/>
      <c r="L4822"/>
      <c r="M4822"/>
    </row>
    <row r="4823" spans="1:13" s="79" customFormat="1" x14ac:dyDescent="0.35">
      <c r="A4823" s="251"/>
      <c r="B4823" s="22"/>
      <c r="C4823" s="252"/>
      <c r="D4823" s="252"/>
      <c r="E4823" s="252"/>
      <c r="F4823" s="252"/>
      <c r="G4823" s="252"/>
      <c r="H4823" s="252"/>
      <c r="I4823" s="252"/>
      <c r="J4823" s="252"/>
      <c r="K4823" s="252"/>
      <c r="L4823"/>
      <c r="M4823"/>
    </row>
    <row r="4824" spans="1:13" s="79" customFormat="1" x14ac:dyDescent="0.35">
      <c r="A4824" s="251"/>
      <c r="B4824" s="22"/>
      <c r="C4824" s="252"/>
      <c r="D4824" s="252"/>
      <c r="E4824" s="252"/>
      <c r="F4824" s="252"/>
      <c r="G4824" s="252"/>
      <c r="H4824" s="252"/>
      <c r="I4824" s="252"/>
      <c r="J4824" s="252"/>
      <c r="K4824" s="252"/>
      <c r="L4824"/>
      <c r="M4824"/>
    </row>
    <row r="4825" spans="1:13" s="79" customFormat="1" x14ac:dyDescent="0.35">
      <c r="A4825" s="251"/>
      <c r="B4825" s="22"/>
      <c r="C4825" s="252"/>
      <c r="D4825" s="252"/>
      <c r="E4825" s="252"/>
      <c r="F4825" s="252"/>
      <c r="G4825" s="252"/>
      <c r="H4825" s="252"/>
      <c r="I4825" s="252"/>
      <c r="J4825" s="252"/>
      <c r="K4825" s="252"/>
      <c r="L4825"/>
      <c r="M4825"/>
    </row>
    <row r="4826" spans="1:13" s="79" customFormat="1" x14ac:dyDescent="0.35">
      <c r="A4826" s="251"/>
      <c r="B4826" s="22"/>
      <c r="C4826" s="252"/>
      <c r="D4826" s="252"/>
      <c r="E4826" s="252"/>
      <c r="F4826" s="252"/>
      <c r="G4826" s="252"/>
      <c r="H4826" s="252"/>
      <c r="I4826" s="252"/>
      <c r="J4826" s="252"/>
      <c r="K4826" s="252"/>
      <c r="L4826"/>
      <c r="M4826"/>
    </row>
    <row r="4827" spans="1:13" s="79" customFormat="1" x14ac:dyDescent="0.35">
      <c r="A4827" s="251"/>
      <c r="B4827" s="22"/>
      <c r="C4827" s="252"/>
      <c r="D4827" s="252"/>
      <c r="E4827" s="252"/>
      <c r="F4827" s="252"/>
      <c r="G4827" s="252"/>
      <c r="H4827" s="252"/>
      <c r="I4827" s="252"/>
      <c r="J4827" s="252"/>
      <c r="K4827" s="252"/>
      <c r="L4827"/>
      <c r="M4827"/>
    </row>
    <row r="4828" spans="1:13" s="79" customFormat="1" x14ac:dyDescent="0.35">
      <c r="A4828" s="251"/>
      <c r="B4828" s="22"/>
      <c r="C4828" s="252"/>
      <c r="D4828" s="252"/>
      <c r="E4828" s="252"/>
      <c r="F4828" s="252"/>
      <c r="G4828" s="252"/>
      <c r="H4828" s="252"/>
      <c r="I4828" s="252"/>
      <c r="J4828" s="252"/>
      <c r="K4828" s="252"/>
      <c r="L4828"/>
      <c r="M4828"/>
    </row>
    <row r="4829" spans="1:13" s="79" customFormat="1" x14ac:dyDescent="0.35">
      <c r="A4829" s="251"/>
      <c r="B4829" s="22"/>
      <c r="C4829" s="252"/>
      <c r="D4829" s="252"/>
      <c r="E4829" s="252"/>
      <c r="F4829" s="252"/>
      <c r="G4829" s="252"/>
      <c r="H4829" s="252"/>
      <c r="I4829" s="252"/>
      <c r="J4829" s="252"/>
      <c r="K4829" s="252"/>
      <c r="L4829"/>
      <c r="M4829"/>
    </row>
    <row r="4830" spans="1:13" s="79" customFormat="1" x14ac:dyDescent="0.35">
      <c r="A4830" s="251"/>
      <c r="B4830" s="22"/>
      <c r="C4830" s="252"/>
      <c r="D4830" s="252"/>
      <c r="E4830" s="252"/>
      <c r="F4830" s="252"/>
      <c r="G4830" s="252"/>
      <c r="H4830" s="252"/>
      <c r="I4830" s="252"/>
      <c r="J4830" s="252"/>
      <c r="K4830" s="252"/>
      <c r="L4830"/>
      <c r="M4830"/>
    </row>
    <row r="4831" spans="1:13" s="79" customFormat="1" x14ac:dyDescent="0.35">
      <c r="A4831" s="251"/>
      <c r="B4831" s="22"/>
      <c r="C4831" s="252"/>
      <c r="D4831" s="252"/>
      <c r="E4831" s="252"/>
      <c r="F4831" s="252"/>
      <c r="G4831" s="252"/>
      <c r="H4831" s="252"/>
      <c r="I4831" s="252"/>
      <c r="J4831" s="252"/>
      <c r="K4831" s="252"/>
      <c r="L4831"/>
      <c r="M4831"/>
    </row>
    <row r="4832" spans="1:13" s="79" customFormat="1" x14ac:dyDescent="0.35">
      <c r="A4832" s="251"/>
      <c r="B4832" s="22"/>
      <c r="C4832" s="252"/>
      <c r="D4832" s="252"/>
      <c r="E4832" s="252"/>
      <c r="F4832" s="252"/>
      <c r="G4832" s="252"/>
      <c r="H4832" s="252"/>
      <c r="I4832" s="252"/>
      <c r="J4832" s="252"/>
      <c r="K4832" s="252"/>
      <c r="L4832"/>
      <c r="M4832"/>
    </row>
    <row r="4833" spans="1:13" s="79" customFormat="1" x14ac:dyDescent="0.35">
      <c r="A4833" s="251"/>
      <c r="B4833" s="22"/>
      <c r="C4833" s="252"/>
      <c r="D4833" s="252"/>
      <c r="E4833" s="252"/>
      <c r="F4833" s="252"/>
      <c r="G4833" s="252"/>
      <c r="H4833" s="252"/>
      <c r="I4833" s="252"/>
      <c r="J4833" s="252"/>
      <c r="K4833" s="252"/>
      <c r="L4833"/>
      <c r="M4833"/>
    </row>
    <row r="4834" spans="1:13" s="79" customFormat="1" x14ac:dyDescent="0.35">
      <c r="A4834" s="251"/>
      <c r="B4834" s="22"/>
      <c r="C4834" s="252"/>
      <c r="D4834" s="252"/>
      <c r="E4834" s="252"/>
      <c r="F4834" s="252"/>
      <c r="G4834" s="252"/>
      <c r="H4834" s="252"/>
      <c r="I4834" s="252"/>
      <c r="J4834" s="252"/>
      <c r="K4834" s="252"/>
      <c r="L4834"/>
      <c r="M4834"/>
    </row>
    <row r="4835" spans="1:13" s="79" customFormat="1" x14ac:dyDescent="0.35">
      <c r="A4835" s="251"/>
      <c r="B4835" s="22"/>
      <c r="C4835" s="252"/>
      <c r="D4835" s="252"/>
      <c r="E4835" s="252"/>
      <c r="F4835" s="252"/>
      <c r="G4835" s="252"/>
      <c r="H4835" s="252"/>
      <c r="I4835" s="252"/>
      <c r="J4835" s="252"/>
      <c r="K4835" s="252"/>
      <c r="L4835"/>
      <c r="M4835"/>
    </row>
    <row r="4836" spans="1:13" s="79" customFormat="1" x14ac:dyDescent="0.35">
      <c r="A4836" s="251"/>
      <c r="B4836" s="22"/>
      <c r="C4836" s="252"/>
      <c r="D4836" s="252"/>
      <c r="E4836" s="252"/>
      <c r="F4836" s="252"/>
      <c r="G4836" s="252"/>
      <c r="H4836" s="252"/>
      <c r="I4836" s="252"/>
      <c r="J4836" s="252"/>
      <c r="K4836" s="252"/>
      <c r="L4836"/>
      <c r="M4836"/>
    </row>
    <row r="4837" spans="1:13" s="79" customFormat="1" x14ac:dyDescent="0.35">
      <c r="A4837" s="251"/>
      <c r="B4837" s="22"/>
      <c r="C4837" s="252"/>
      <c r="D4837" s="252"/>
      <c r="E4837" s="252"/>
      <c r="F4837" s="252"/>
      <c r="G4837" s="252"/>
      <c r="H4837" s="252"/>
      <c r="I4837" s="252"/>
      <c r="J4837" s="252"/>
      <c r="K4837" s="252"/>
      <c r="L4837"/>
      <c r="M4837"/>
    </row>
    <row r="4838" spans="1:13" s="79" customFormat="1" x14ac:dyDescent="0.35">
      <c r="A4838" s="251"/>
      <c r="B4838" s="22"/>
      <c r="C4838" s="252"/>
      <c r="D4838" s="252"/>
      <c r="E4838" s="252"/>
      <c r="F4838" s="252"/>
      <c r="G4838" s="252"/>
      <c r="H4838" s="252"/>
      <c r="I4838" s="252"/>
      <c r="J4838" s="252"/>
      <c r="K4838" s="252"/>
      <c r="L4838"/>
      <c r="M4838"/>
    </row>
    <row r="4839" spans="1:13" s="79" customFormat="1" x14ac:dyDescent="0.35">
      <c r="A4839" s="251"/>
      <c r="B4839" s="22"/>
      <c r="C4839" s="252"/>
      <c r="D4839" s="252"/>
      <c r="E4839" s="252"/>
      <c r="F4839" s="252"/>
      <c r="G4839" s="252"/>
      <c r="H4839" s="252"/>
      <c r="I4839" s="252"/>
      <c r="J4839" s="252"/>
      <c r="K4839" s="252"/>
      <c r="L4839"/>
      <c r="M4839"/>
    </row>
    <row r="4840" spans="1:13" s="79" customFormat="1" x14ac:dyDescent="0.35">
      <c r="A4840" s="251"/>
      <c r="B4840" s="22"/>
      <c r="C4840" s="252"/>
      <c r="D4840" s="252"/>
      <c r="E4840" s="252"/>
      <c r="F4840" s="252"/>
      <c r="G4840" s="252"/>
      <c r="H4840" s="252"/>
      <c r="I4840" s="252"/>
      <c r="J4840" s="252"/>
      <c r="K4840" s="252"/>
      <c r="L4840"/>
      <c r="M4840"/>
    </row>
    <row r="4841" spans="1:13" s="79" customFormat="1" x14ac:dyDescent="0.35">
      <c r="A4841" s="251"/>
      <c r="B4841" s="22"/>
      <c r="C4841" s="252"/>
      <c r="D4841" s="252"/>
      <c r="E4841" s="252"/>
      <c r="F4841" s="252"/>
      <c r="G4841" s="252"/>
      <c r="H4841" s="252"/>
      <c r="I4841" s="252"/>
      <c r="J4841" s="252"/>
      <c r="K4841" s="252"/>
      <c r="L4841"/>
      <c r="M4841"/>
    </row>
    <row r="4842" spans="1:13" s="79" customFormat="1" x14ac:dyDescent="0.35">
      <c r="A4842" s="251"/>
      <c r="B4842" s="22"/>
      <c r="C4842" s="252"/>
      <c r="D4842" s="252"/>
      <c r="E4842" s="252"/>
      <c r="F4842" s="252"/>
      <c r="G4842" s="252"/>
      <c r="H4842" s="252"/>
      <c r="I4842" s="252"/>
      <c r="J4842" s="252"/>
      <c r="K4842" s="252"/>
      <c r="L4842"/>
      <c r="M4842"/>
    </row>
    <row r="4843" spans="1:13" s="79" customFormat="1" x14ac:dyDescent="0.35">
      <c r="A4843" s="251"/>
      <c r="B4843" s="22"/>
      <c r="C4843" s="252"/>
      <c r="D4843" s="252"/>
      <c r="E4843" s="252"/>
      <c r="F4843" s="252"/>
      <c r="G4843" s="252"/>
      <c r="H4843" s="252"/>
      <c r="I4843" s="252"/>
      <c r="J4843" s="252"/>
      <c r="K4843" s="252"/>
      <c r="L4843"/>
      <c r="M4843"/>
    </row>
    <row r="4844" spans="1:13" s="79" customFormat="1" x14ac:dyDescent="0.35">
      <c r="A4844" s="251"/>
      <c r="B4844" s="22"/>
      <c r="C4844" s="252"/>
      <c r="D4844" s="252"/>
      <c r="E4844" s="252"/>
      <c r="F4844" s="252"/>
      <c r="G4844" s="252"/>
      <c r="H4844" s="252"/>
      <c r="I4844" s="252"/>
      <c r="J4844" s="252"/>
      <c r="K4844" s="252"/>
      <c r="L4844"/>
      <c r="M4844"/>
    </row>
    <row r="4845" spans="1:13" s="79" customFormat="1" x14ac:dyDescent="0.35">
      <c r="A4845" s="251"/>
      <c r="B4845" s="22"/>
      <c r="C4845" s="252"/>
      <c r="D4845" s="252"/>
      <c r="E4845" s="252"/>
      <c r="F4845" s="252"/>
      <c r="G4845" s="252"/>
      <c r="H4845" s="252"/>
      <c r="I4845" s="252"/>
      <c r="J4845" s="252"/>
      <c r="K4845" s="252"/>
      <c r="L4845"/>
      <c r="M4845"/>
    </row>
    <row r="4846" spans="1:13" s="79" customFormat="1" x14ac:dyDescent="0.35">
      <c r="A4846" s="251"/>
      <c r="B4846" s="22"/>
      <c r="C4846" s="252"/>
      <c r="D4846" s="252"/>
      <c r="E4846" s="252"/>
      <c r="F4846" s="252"/>
      <c r="G4846" s="252"/>
      <c r="H4846" s="252"/>
      <c r="I4846" s="252"/>
      <c r="J4846" s="252"/>
      <c r="K4846" s="252"/>
      <c r="L4846"/>
      <c r="M4846"/>
    </row>
    <row r="4847" spans="1:13" s="79" customFormat="1" x14ac:dyDescent="0.35">
      <c r="A4847" s="251"/>
      <c r="B4847" s="22"/>
      <c r="C4847" s="252"/>
      <c r="D4847" s="252"/>
      <c r="E4847" s="252"/>
      <c r="F4847" s="252"/>
      <c r="G4847" s="252"/>
      <c r="H4847" s="252"/>
      <c r="I4847" s="252"/>
      <c r="J4847" s="252"/>
      <c r="K4847" s="252"/>
      <c r="L4847"/>
      <c r="M4847"/>
    </row>
    <row r="4848" spans="1:13" s="79" customFormat="1" x14ac:dyDescent="0.35">
      <c r="A4848" s="251"/>
      <c r="B4848" s="22"/>
      <c r="C4848" s="252"/>
      <c r="D4848" s="252"/>
      <c r="E4848" s="252"/>
      <c r="F4848" s="252"/>
      <c r="G4848" s="252"/>
      <c r="H4848" s="252"/>
      <c r="I4848" s="252"/>
      <c r="J4848" s="252"/>
      <c r="K4848" s="252"/>
      <c r="L4848"/>
      <c r="M4848"/>
    </row>
    <row r="4849" spans="1:13" s="79" customFormat="1" x14ac:dyDescent="0.35">
      <c r="A4849" s="251"/>
      <c r="B4849" s="22"/>
      <c r="C4849" s="252"/>
      <c r="D4849" s="252"/>
      <c r="E4849" s="252"/>
      <c r="F4849" s="252"/>
      <c r="G4849" s="252"/>
      <c r="H4849" s="252"/>
      <c r="I4849" s="252"/>
      <c r="J4849" s="252"/>
      <c r="K4849" s="252"/>
      <c r="L4849"/>
      <c r="M4849"/>
    </row>
    <row r="4850" spans="1:13" s="79" customFormat="1" x14ac:dyDescent="0.35">
      <c r="A4850" s="251"/>
      <c r="B4850" s="22"/>
      <c r="C4850" s="252"/>
      <c r="D4850" s="252"/>
      <c r="E4850" s="252"/>
      <c r="F4850" s="252"/>
      <c r="G4850" s="252"/>
      <c r="H4850" s="252"/>
      <c r="I4850" s="252"/>
      <c r="J4850" s="252"/>
      <c r="K4850" s="252"/>
      <c r="L4850"/>
      <c r="M4850"/>
    </row>
    <row r="4851" spans="1:13" s="79" customFormat="1" x14ac:dyDescent="0.35">
      <c r="A4851" s="251"/>
      <c r="B4851" s="22"/>
      <c r="C4851" s="252"/>
      <c r="D4851" s="252"/>
      <c r="E4851" s="252"/>
      <c r="F4851" s="252"/>
      <c r="G4851" s="252"/>
      <c r="H4851" s="252"/>
      <c r="I4851" s="252"/>
      <c r="J4851" s="252"/>
      <c r="K4851" s="252"/>
      <c r="L4851"/>
      <c r="M4851"/>
    </row>
    <row r="4852" spans="1:13" s="79" customFormat="1" x14ac:dyDescent="0.35">
      <c r="A4852" s="251"/>
      <c r="B4852" s="22"/>
      <c r="C4852" s="252"/>
      <c r="D4852" s="252"/>
      <c r="E4852" s="252"/>
      <c r="F4852" s="252"/>
      <c r="G4852" s="252"/>
      <c r="H4852" s="252"/>
      <c r="I4852" s="252"/>
      <c r="J4852" s="252"/>
      <c r="K4852" s="252"/>
      <c r="L4852"/>
      <c r="M4852"/>
    </row>
    <row r="4853" spans="1:13" s="79" customFormat="1" x14ac:dyDescent="0.35">
      <c r="A4853" s="251"/>
      <c r="B4853" s="22"/>
      <c r="C4853" s="252"/>
      <c r="D4853" s="252"/>
      <c r="E4853" s="252"/>
      <c r="F4853" s="252"/>
      <c r="G4853" s="252"/>
      <c r="H4853" s="252"/>
      <c r="I4853" s="252"/>
      <c r="J4853" s="252"/>
      <c r="K4853" s="252"/>
      <c r="L4853"/>
      <c r="M4853"/>
    </row>
    <row r="4854" spans="1:13" s="79" customFormat="1" x14ac:dyDescent="0.35">
      <c r="A4854" s="251"/>
      <c r="B4854" s="22"/>
      <c r="C4854" s="252"/>
      <c r="D4854" s="252"/>
      <c r="E4854" s="252"/>
      <c r="F4854" s="252"/>
      <c r="G4854" s="252"/>
      <c r="H4854" s="252"/>
      <c r="I4854" s="252"/>
      <c r="J4854" s="252"/>
      <c r="K4854" s="252"/>
      <c r="L4854"/>
      <c r="M4854"/>
    </row>
    <row r="4855" spans="1:13" s="79" customFormat="1" x14ac:dyDescent="0.35">
      <c r="A4855" s="251"/>
      <c r="B4855" s="22"/>
      <c r="C4855" s="252"/>
      <c r="D4855" s="252"/>
      <c r="E4855" s="252"/>
      <c r="F4855" s="252"/>
      <c r="G4855" s="252"/>
      <c r="H4855" s="252"/>
      <c r="I4855" s="252"/>
      <c r="J4855" s="252"/>
      <c r="K4855" s="252"/>
      <c r="L4855"/>
      <c r="M4855"/>
    </row>
    <row r="4856" spans="1:13" s="79" customFormat="1" x14ac:dyDescent="0.35">
      <c r="A4856" s="251"/>
      <c r="B4856" s="22"/>
      <c r="C4856" s="252"/>
      <c r="D4856" s="252"/>
      <c r="E4856" s="252"/>
      <c r="F4856" s="252"/>
      <c r="G4856" s="252"/>
      <c r="H4856" s="252"/>
      <c r="I4856" s="252"/>
      <c r="J4856" s="252"/>
      <c r="K4856" s="252"/>
      <c r="L4856"/>
      <c r="M4856"/>
    </row>
    <row r="4857" spans="1:13" s="79" customFormat="1" x14ac:dyDescent="0.35">
      <c r="A4857" s="251"/>
      <c r="B4857" s="22"/>
      <c r="C4857" s="252"/>
      <c r="D4857" s="252"/>
      <c r="E4857" s="252"/>
      <c r="F4857" s="252"/>
      <c r="G4857" s="252"/>
      <c r="H4857" s="252"/>
      <c r="I4857" s="252"/>
      <c r="J4857" s="252"/>
      <c r="K4857" s="252"/>
      <c r="L4857"/>
      <c r="M4857"/>
    </row>
    <row r="4858" spans="1:13" s="79" customFormat="1" x14ac:dyDescent="0.35">
      <c r="A4858" s="251"/>
      <c r="B4858" s="22"/>
      <c r="C4858" s="252"/>
      <c r="D4858" s="252"/>
      <c r="E4858" s="252"/>
      <c r="F4858" s="252"/>
      <c r="G4858" s="252"/>
      <c r="H4858" s="252"/>
      <c r="I4858" s="252"/>
      <c r="J4858" s="252"/>
      <c r="K4858" s="252"/>
      <c r="L4858"/>
      <c r="M4858"/>
    </row>
    <row r="4859" spans="1:13" s="79" customFormat="1" x14ac:dyDescent="0.35">
      <c r="A4859" s="251"/>
      <c r="B4859" s="22"/>
      <c r="C4859" s="252"/>
      <c r="D4859" s="252"/>
      <c r="E4859" s="252"/>
      <c r="F4859" s="252"/>
      <c r="G4859" s="252"/>
      <c r="H4859" s="252"/>
      <c r="I4859" s="252"/>
      <c r="J4859" s="252"/>
      <c r="K4859" s="252"/>
      <c r="L4859"/>
      <c r="M4859"/>
    </row>
    <row r="4860" spans="1:13" s="79" customFormat="1" x14ac:dyDescent="0.35">
      <c r="A4860" s="251"/>
      <c r="B4860" s="22"/>
      <c r="C4860" s="252"/>
      <c r="D4860" s="252"/>
      <c r="E4860" s="252"/>
      <c r="F4860" s="252"/>
      <c r="G4860" s="252"/>
      <c r="H4860" s="252"/>
      <c r="I4860" s="252"/>
      <c r="J4860" s="252"/>
      <c r="K4860" s="252"/>
      <c r="L4860"/>
      <c r="M4860"/>
    </row>
    <row r="4861" spans="1:13" s="79" customFormat="1" x14ac:dyDescent="0.35">
      <c r="A4861" s="251"/>
      <c r="B4861" s="22"/>
      <c r="C4861" s="252"/>
      <c r="D4861" s="252"/>
      <c r="E4861" s="252"/>
      <c r="F4861" s="252"/>
      <c r="G4861" s="252"/>
      <c r="H4861" s="252"/>
      <c r="I4861" s="252"/>
      <c r="J4861" s="252"/>
      <c r="K4861" s="252"/>
      <c r="L4861"/>
      <c r="M4861"/>
    </row>
    <row r="4862" spans="1:13" s="79" customFormat="1" x14ac:dyDescent="0.35">
      <c r="A4862" s="251"/>
      <c r="B4862" s="22"/>
      <c r="C4862" s="252"/>
      <c r="D4862" s="252"/>
      <c r="E4862" s="252"/>
      <c r="F4862" s="252"/>
      <c r="G4862" s="252"/>
      <c r="H4862" s="252"/>
      <c r="I4862" s="252"/>
      <c r="J4862" s="252"/>
      <c r="K4862" s="252"/>
      <c r="L4862"/>
      <c r="M4862"/>
    </row>
    <row r="4863" spans="1:13" s="79" customFormat="1" x14ac:dyDescent="0.35">
      <c r="A4863" s="251"/>
      <c r="B4863" s="22"/>
      <c r="C4863" s="252"/>
      <c r="D4863" s="252"/>
      <c r="E4863" s="252"/>
      <c r="F4863" s="252"/>
      <c r="G4863" s="252"/>
      <c r="H4863" s="252"/>
      <c r="I4863" s="252"/>
      <c r="J4863" s="252"/>
      <c r="K4863" s="252"/>
      <c r="L4863"/>
      <c r="M4863"/>
    </row>
    <row r="4864" spans="1:13" s="79" customFormat="1" x14ac:dyDescent="0.35">
      <c r="A4864" s="251"/>
      <c r="B4864" s="22"/>
      <c r="C4864" s="252"/>
      <c r="D4864" s="252"/>
      <c r="E4864" s="252"/>
      <c r="F4864" s="252"/>
      <c r="G4864" s="252"/>
      <c r="H4864" s="252"/>
      <c r="I4864" s="252"/>
      <c r="J4864" s="252"/>
      <c r="K4864" s="252"/>
      <c r="L4864"/>
      <c r="M4864"/>
    </row>
    <row r="4865" spans="1:13" s="79" customFormat="1" x14ac:dyDescent="0.35">
      <c r="A4865" s="251"/>
      <c r="B4865" s="22"/>
      <c r="C4865" s="252"/>
      <c r="D4865" s="252"/>
      <c r="E4865" s="252"/>
      <c r="F4865" s="252"/>
      <c r="G4865" s="252"/>
      <c r="H4865" s="252"/>
      <c r="I4865" s="252"/>
      <c r="J4865" s="252"/>
      <c r="K4865" s="252"/>
      <c r="L4865"/>
      <c r="M4865"/>
    </row>
    <row r="4866" spans="1:13" s="79" customFormat="1" x14ac:dyDescent="0.35">
      <c r="A4866" s="251"/>
      <c r="B4866" s="22"/>
      <c r="C4866" s="252"/>
      <c r="D4866" s="252"/>
      <c r="E4866" s="252"/>
      <c r="F4866" s="252"/>
      <c r="G4866" s="252"/>
      <c r="H4866" s="252"/>
      <c r="I4866" s="252"/>
      <c r="J4866" s="252"/>
      <c r="K4866" s="252"/>
      <c r="L4866"/>
      <c r="M4866"/>
    </row>
    <row r="4867" spans="1:13" s="79" customFormat="1" x14ac:dyDescent="0.35">
      <c r="A4867" s="251"/>
      <c r="B4867" s="22"/>
      <c r="C4867" s="252"/>
      <c r="D4867" s="252"/>
      <c r="E4867" s="252"/>
      <c r="F4867" s="252"/>
      <c r="G4867" s="252"/>
      <c r="H4867" s="252"/>
      <c r="I4867" s="252"/>
      <c r="J4867" s="252"/>
      <c r="K4867" s="252"/>
      <c r="L4867"/>
      <c r="M4867"/>
    </row>
    <row r="4868" spans="1:13" s="79" customFormat="1" x14ac:dyDescent="0.35">
      <c r="A4868" s="251"/>
      <c r="B4868" s="22"/>
      <c r="C4868" s="252"/>
      <c r="D4868" s="252"/>
      <c r="E4868" s="252"/>
      <c r="F4868" s="252"/>
      <c r="G4868" s="252"/>
      <c r="H4868" s="252"/>
      <c r="I4868" s="252"/>
      <c r="J4868" s="252"/>
      <c r="K4868" s="252"/>
      <c r="L4868"/>
      <c r="M4868"/>
    </row>
    <row r="4869" spans="1:13" s="79" customFormat="1" x14ac:dyDescent="0.35">
      <c r="A4869" s="251"/>
      <c r="B4869" s="22"/>
      <c r="C4869" s="252"/>
      <c r="D4869" s="252"/>
      <c r="E4869" s="252"/>
      <c r="F4869" s="252"/>
      <c r="G4869" s="252"/>
      <c r="H4869" s="252"/>
      <c r="I4869" s="252"/>
      <c r="J4869" s="252"/>
      <c r="K4869" s="252"/>
      <c r="L4869"/>
      <c r="M4869"/>
    </row>
    <row r="4870" spans="1:13" s="79" customFormat="1" x14ac:dyDescent="0.35">
      <c r="A4870" s="251"/>
      <c r="B4870" s="22"/>
      <c r="C4870" s="252"/>
      <c r="D4870" s="252"/>
      <c r="E4870" s="252"/>
      <c r="F4870" s="252"/>
      <c r="G4870" s="252"/>
      <c r="H4870" s="252"/>
      <c r="I4870" s="252"/>
      <c r="J4870" s="252"/>
      <c r="K4870" s="252"/>
      <c r="L4870"/>
      <c r="M4870"/>
    </row>
    <row r="4871" spans="1:13" s="79" customFormat="1" x14ac:dyDescent="0.35">
      <c r="A4871" s="251"/>
      <c r="B4871" s="22"/>
      <c r="C4871" s="252"/>
      <c r="D4871" s="252"/>
      <c r="E4871" s="252"/>
      <c r="F4871" s="252"/>
      <c r="G4871" s="252"/>
      <c r="H4871" s="252"/>
      <c r="I4871" s="252"/>
      <c r="J4871" s="252"/>
      <c r="K4871" s="252"/>
      <c r="L4871"/>
      <c r="M4871"/>
    </row>
    <row r="4872" spans="1:13" s="79" customFormat="1" x14ac:dyDescent="0.35">
      <c r="A4872" s="251"/>
      <c r="B4872" s="22"/>
      <c r="C4872" s="252"/>
      <c r="D4872" s="252"/>
      <c r="E4872" s="252"/>
      <c r="F4872" s="252"/>
      <c r="G4872" s="252"/>
      <c r="H4872" s="252"/>
      <c r="I4872" s="252"/>
      <c r="J4872" s="252"/>
      <c r="K4872" s="252"/>
      <c r="L4872"/>
      <c r="M4872"/>
    </row>
    <row r="4873" spans="1:13" s="79" customFormat="1" x14ac:dyDescent="0.35">
      <c r="A4873" s="251"/>
      <c r="B4873" s="22"/>
      <c r="C4873" s="252"/>
      <c r="D4873" s="252"/>
      <c r="E4873" s="252"/>
      <c r="F4873" s="252"/>
      <c r="G4873" s="252"/>
      <c r="H4873" s="252"/>
      <c r="I4873" s="252"/>
      <c r="J4873" s="252"/>
      <c r="K4873" s="252"/>
      <c r="L4873"/>
      <c r="M4873"/>
    </row>
    <row r="4874" spans="1:13" s="79" customFormat="1" x14ac:dyDescent="0.35">
      <c r="A4874" s="251"/>
      <c r="B4874" s="22"/>
      <c r="C4874" s="252"/>
      <c r="D4874" s="252"/>
      <c r="E4874" s="252"/>
      <c r="F4874" s="252"/>
      <c r="G4874" s="252"/>
      <c r="H4874" s="252"/>
      <c r="I4874" s="252"/>
      <c r="J4874" s="252"/>
      <c r="K4874" s="252"/>
      <c r="L4874"/>
      <c r="M4874"/>
    </row>
    <row r="4875" spans="1:13" s="79" customFormat="1" x14ac:dyDescent="0.35">
      <c r="A4875" s="251"/>
      <c r="B4875" s="22"/>
      <c r="C4875" s="252"/>
      <c r="D4875" s="252"/>
      <c r="E4875" s="252"/>
      <c r="F4875" s="252"/>
      <c r="G4875" s="252"/>
      <c r="H4875" s="252"/>
      <c r="I4875" s="252"/>
      <c r="J4875" s="252"/>
      <c r="K4875" s="252"/>
      <c r="L4875"/>
      <c r="M4875"/>
    </row>
    <row r="4876" spans="1:13" s="79" customFormat="1" x14ac:dyDescent="0.35">
      <c r="A4876" s="251"/>
      <c r="B4876" s="22"/>
      <c r="C4876" s="252"/>
      <c r="D4876" s="252"/>
      <c r="E4876" s="252"/>
      <c r="F4876" s="252"/>
      <c r="G4876" s="252"/>
      <c r="H4876" s="252"/>
      <c r="I4876" s="252"/>
      <c r="J4876" s="252"/>
      <c r="K4876" s="252"/>
      <c r="L4876"/>
      <c r="M4876"/>
    </row>
    <row r="4877" spans="1:13" s="79" customFormat="1" x14ac:dyDescent="0.35">
      <c r="A4877" s="251"/>
      <c r="B4877" s="22"/>
      <c r="C4877" s="252"/>
      <c r="D4877" s="252"/>
      <c r="E4877" s="252"/>
      <c r="F4877" s="252"/>
      <c r="G4877" s="252"/>
      <c r="H4877" s="252"/>
      <c r="I4877" s="252"/>
      <c r="J4877" s="252"/>
      <c r="K4877" s="252"/>
      <c r="L4877"/>
      <c r="M4877"/>
    </row>
    <row r="4878" spans="1:13" s="79" customFormat="1" x14ac:dyDescent="0.35">
      <c r="A4878" s="251"/>
      <c r="B4878" s="22"/>
      <c r="C4878" s="252"/>
      <c r="D4878" s="252"/>
      <c r="E4878" s="252"/>
      <c r="F4878" s="252"/>
      <c r="G4878" s="252"/>
      <c r="H4878" s="252"/>
      <c r="I4878" s="252"/>
      <c r="J4878" s="252"/>
      <c r="K4878" s="252"/>
      <c r="L4878"/>
      <c r="M4878"/>
    </row>
    <row r="4879" spans="1:13" s="79" customFormat="1" x14ac:dyDescent="0.35">
      <c r="A4879" s="251"/>
      <c r="B4879" s="22"/>
      <c r="C4879" s="252"/>
      <c r="D4879" s="252"/>
      <c r="E4879" s="252"/>
      <c r="F4879" s="252"/>
      <c r="G4879" s="252"/>
      <c r="H4879" s="252"/>
      <c r="I4879" s="252"/>
      <c r="J4879" s="252"/>
      <c r="K4879" s="252"/>
      <c r="L4879"/>
      <c r="M4879"/>
    </row>
    <row r="4880" spans="1:13" s="79" customFormat="1" x14ac:dyDescent="0.35">
      <c r="A4880" s="251"/>
      <c r="B4880" s="22"/>
      <c r="C4880" s="252"/>
      <c r="D4880" s="252"/>
      <c r="E4880" s="252"/>
      <c r="F4880" s="252"/>
      <c r="G4880" s="252"/>
      <c r="H4880" s="252"/>
      <c r="I4880" s="252"/>
      <c r="J4880" s="252"/>
      <c r="K4880" s="252"/>
      <c r="L4880"/>
      <c r="M4880"/>
    </row>
    <row r="4881" spans="1:13" s="79" customFormat="1" x14ac:dyDescent="0.35">
      <c r="A4881" s="251"/>
      <c r="B4881" s="22"/>
      <c r="C4881" s="252"/>
      <c r="D4881" s="252"/>
      <c r="E4881" s="252"/>
      <c r="F4881" s="252"/>
      <c r="G4881" s="252"/>
      <c r="H4881" s="252"/>
      <c r="I4881" s="252"/>
      <c r="J4881" s="252"/>
      <c r="K4881" s="252"/>
      <c r="L4881"/>
      <c r="M4881"/>
    </row>
    <row r="4882" spans="1:13" s="79" customFormat="1" x14ac:dyDescent="0.35">
      <c r="A4882" s="251"/>
      <c r="B4882" s="22"/>
      <c r="C4882" s="252"/>
      <c r="D4882" s="252"/>
      <c r="E4882" s="252"/>
      <c r="F4882" s="252"/>
      <c r="G4882" s="252"/>
      <c r="H4882" s="252"/>
      <c r="I4882" s="252"/>
      <c r="J4882" s="252"/>
      <c r="K4882" s="252"/>
      <c r="L4882"/>
      <c r="M4882"/>
    </row>
    <row r="4883" spans="1:13" s="79" customFormat="1" x14ac:dyDescent="0.35">
      <c r="A4883" s="251"/>
      <c r="B4883" s="22"/>
      <c r="C4883" s="252"/>
      <c r="D4883" s="252"/>
      <c r="E4883" s="252"/>
      <c r="F4883" s="252"/>
      <c r="G4883" s="252"/>
      <c r="H4883" s="252"/>
      <c r="I4883" s="252"/>
      <c r="J4883" s="252"/>
      <c r="K4883" s="252"/>
      <c r="L4883"/>
      <c r="M4883"/>
    </row>
    <row r="4884" spans="1:13" s="79" customFormat="1" x14ac:dyDescent="0.35">
      <c r="A4884" s="251"/>
      <c r="B4884" s="22"/>
      <c r="C4884" s="252"/>
      <c r="D4884" s="252"/>
      <c r="E4884" s="252"/>
      <c r="F4884" s="252"/>
      <c r="G4884" s="252"/>
      <c r="H4884" s="252"/>
      <c r="I4884" s="252"/>
      <c r="J4884" s="252"/>
      <c r="K4884" s="252"/>
      <c r="L4884"/>
      <c r="M4884"/>
    </row>
    <row r="4885" spans="1:13" s="79" customFormat="1" x14ac:dyDescent="0.35">
      <c r="A4885" s="251"/>
      <c r="B4885" s="22"/>
      <c r="C4885" s="252"/>
      <c r="D4885" s="252"/>
      <c r="E4885" s="252"/>
      <c r="F4885" s="252"/>
      <c r="G4885" s="252"/>
      <c r="H4885" s="252"/>
      <c r="I4885" s="252"/>
      <c r="J4885" s="252"/>
      <c r="K4885" s="252"/>
      <c r="L4885"/>
      <c r="M4885"/>
    </row>
    <row r="4886" spans="1:13" s="79" customFormat="1" x14ac:dyDescent="0.35">
      <c r="A4886" s="251"/>
      <c r="B4886" s="22"/>
      <c r="C4886" s="252"/>
      <c r="D4886" s="252"/>
      <c r="E4886" s="252"/>
      <c r="F4886" s="252"/>
      <c r="G4886" s="252"/>
      <c r="H4886" s="252"/>
      <c r="I4886" s="252"/>
      <c r="J4886" s="252"/>
      <c r="K4886" s="252"/>
      <c r="L4886"/>
      <c r="M4886"/>
    </row>
    <row r="4887" spans="1:13" s="79" customFormat="1" x14ac:dyDescent="0.35">
      <c r="A4887" s="251"/>
      <c r="B4887" s="22"/>
      <c r="C4887" s="252"/>
      <c r="D4887" s="252"/>
      <c r="E4887" s="252"/>
      <c r="F4887" s="252"/>
      <c r="G4887" s="252"/>
      <c r="H4887" s="252"/>
      <c r="I4887" s="252"/>
      <c r="J4887" s="252"/>
      <c r="K4887" s="252"/>
      <c r="L4887"/>
      <c r="M4887"/>
    </row>
    <row r="4888" spans="1:13" s="79" customFormat="1" x14ac:dyDescent="0.35">
      <c r="A4888" s="251"/>
      <c r="B4888" s="22"/>
      <c r="C4888" s="252"/>
      <c r="D4888" s="252"/>
      <c r="E4888" s="252"/>
      <c r="F4888" s="252"/>
      <c r="G4888" s="252"/>
      <c r="H4888" s="252"/>
      <c r="I4888" s="252"/>
      <c r="J4888" s="252"/>
      <c r="K4888" s="252"/>
      <c r="L4888"/>
      <c r="M4888"/>
    </row>
    <row r="4889" spans="1:13" s="79" customFormat="1" x14ac:dyDescent="0.35">
      <c r="A4889" s="251"/>
      <c r="B4889" s="22"/>
      <c r="C4889" s="252"/>
      <c r="D4889" s="252"/>
      <c r="E4889" s="252"/>
      <c r="F4889" s="252"/>
      <c r="G4889" s="252"/>
      <c r="H4889" s="252"/>
      <c r="I4889" s="252"/>
      <c r="J4889" s="252"/>
      <c r="K4889" s="252"/>
      <c r="L4889"/>
      <c r="M4889"/>
    </row>
    <row r="4890" spans="1:13" s="79" customFormat="1" x14ac:dyDescent="0.35">
      <c r="A4890" s="251"/>
      <c r="B4890" s="22"/>
      <c r="C4890" s="252"/>
      <c r="D4890" s="252"/>
      <c r="E4890" s="252"/>
      <c r="F4890" s="252"/>
      <c r="G4890" s="252"/>
      <c r="H4890" s="252"/>
      <c r="I4890" s="252"/>
      <c r="J4890" s="252"/>
      <c r="K4890" s="252"/>
      <c r="L4890"/>
      <c r="M4890"/>
    </row>
    <row r="4891" spans="1:13" s="79" customFormat="1" x14ac:dyDescent="0.35">
      <c r="A4891" s="251"/>
      <c r="B4891" s="22"/>
      <c r="C4891" s="252"/>
      <c r="D4891" s="252"/>
      <c r="E4891" s="252"/>
      <c r="F4891" s="252"/>
      <c r="G4891" s="252"/>
      <c r="H4891" s="252"/>
      <c r="I4891" s="252"/>
      <c r="J4891" s="252"/>
      <c r="K4891" s="252"/>
      <c r="L4891"/>
      <c r="M4891"/>
    </row>
    <row r="4892" spans="1:13" s="79" customFormat="1" x14ac:dyDescent="0.35">
      <c r="A4892" s="251"/>
      <c r="B4892" s="22"/>
      <c r="C4892" s="252"/>
      <c r="D4892" s="252"/>
      <c r="E4892" s="252"/>
      <c r="F4892" s="252"/>
      <c r="G4892" s="252"/>
      <c r="H4892" s="252"/>
      <c r="I4892" s="252"/>
      <c r="J4892" s="252"/>
      <c r="K4892" s="252"/>
      <c r="L4892"/>
      <c r="M4892"/>
    </row>
    <row r="4893" spans="1:13" s="79" customFormat="1" x14ac:dyDescent="0.35">
      <c r="A4893" s="251"/>
      <c r="B4893" s="22"/>
      <c r="C4893" s="252"/>
      <c r="D4893" s="252"/>
      <c r="E4893" s="252"/>
      <c r="F4893" s="252"/>
      <c r="G4893" s="252"/>
      <c r="H4893" s="252"/>
      <c r="I4893" s="252"/>
      <c r="J4893" s="252"/>
      <c r="K4893" s="252"/>
      <c r="L4893"/>
      <c r="M4893"/>
    </row>
    <row r="4894" spans="1:13" s="79" customFormat="1" x14ac:dyDescent="0.35">
      <c r="A4894" s="251"/>
      <c r="B4894" s="22"/>
      <c r="C4894" s="252"/>
      <c r="D4894" s="252"/>
      <c r="E4894" s="252"/>
      <c r="F4894" s="252"/>
      <c r="G4894" s="252"/>
      <c r="H4894" s="252"/>
      <c r="I4894" s="252"/>
      <c r="J4894" s="252"/>
      <c r="K4894" s="252"/>
      <c r="L4894"/>
      <c r="M4894"/>
    </row>
    <row r="4895" spans="1:13" s="79" customFormat="1" x14ac:dyDescent="0.35">
      <c r="A4895" s="251"/>
      <c r="B4895" s="22"/>
      <c r="C4895" s="252"/>
      <c r="D4895" s="252"/>
      <c r="E4895" s="252"/>
      <c r="F4895" s="252"/>
      <c r="G4895" s="252"/>
      <c r="H4895" s="252"/>
      <c r="I4895" s="252"/>
      <c r="J4895" s="252"/>
      <c r="K4895" s="252"/>
      <c r="L4895"/>
      <c r="M4895"/>
    </row>
    <row r="4896" spans="1:13" s="79" customFormat="1" x14ac:dyDescent="0.35">
      <c r="A4896" s="251"/>
      <c r="B4896" s="22"/>
      <c r="C4896" s="252"/>
      <c r="D4896" s="252"/>
      <c r="E4896" s="252"/>
      <c r="F4896" s="252"/>
      <c r="G4896" s="252"/>
      <c r="H4896" s="252"/>
      <c r="I4896" s="252"/>
      <c r="J4896" s="252"/>
      <c r="K4896" s="252"/>
      <c r="L4896"/>
      <c r="M4896"/>
    </row>
    <row r="4897" spans="1:13" s="79" customFormat="1" x14ac:dyDescent="0.35">
      <c r="A4897" s="251"/>
      <c r="B4897" s="22"/>
      <c r="C4897" s="252"/>
      <c r="D4897" s="252"/>
      <c r="E4897" s="252"/>
      <c r="F4897" s="252"/>
      <c r="G4897" s="252"/>
      <c r="H4897" s="252"/>
      <c r="I4897" s="252"/>
      <c r="J4897" s="252"/>
      <c r="K4897" s="252"/>
      <c r="L4897"/>
      <c r="M4897"/>
    </row>
    <row r="4898" spans="1:13" s="79" customFormat="1" x14ac:dyDescent="0.35">
      <c r="A4898" s="251"/>
      <c r="B4898" s="22"/>
      <c r="C4898" s="252"/>
      <c r="D4898" s="252"/>
      <c r="E4898" s="252"/>
      <c r="F4898" s="252"/>
      <c r="G4898" s="252"/>
      <c r="H4898" s="252"/>
      <c r="I4898" s="252"/>
      <c r="J4898" s="252"/>
      <c r="K4898" s="252"/>
      <c r="L4898"/>
      <c r="M4898"/>
    </row>
    <row r="4899" spans="1:13" s="79" customFormat="1" x14ac:dyDescent="0.35">
      <c r="A4899" s="251"/>
      <c r="B4899" s="22"/>
      <c r="C4899" s="252"/>
      <c r="D4899" s="252"/>
      <c r="E4899" s="252"/>
      <c r="F4899" s="252"/>
      <c r="G4899" s="252"/>
      <c r="H4899" s="252"/>
      <c r="I4899" s="252"/>
      <c r="J4899" s="252"/>
      <c r="K4899" s="252"/>
      <c r="L4899"/>
      <c r="M4899"/>
    </row>
    <row r="4900" spans="1:13" s="79" customFormat="1" x14ac:dyDescent="0.35">
      <c r="A4900" s="251"/>
      <c r="B4900" s="22"/>
      <c r="C4900" s="252"/>
      <c r="D4900" s="252"/>
      <c r="E4900" s="252"/>
      <c r="F4900" s="252"/>
      <c r="G4900" s="252"/>
      <c r="H4900" s="252"/>
      <c r="I4900" s="252"/>
      <c r="J4900" s="252"/>
      <c r="K4900" s="252"/>
      <c r="L4900"/>
      <c r="M4900"/>
    </row>
    <row r="4901" spans="1:13" s="79" customFormat="1" x14ac:dyDescent="0.35">
      <c r="A4901" s="251"/>
      <c r="B4901" s="22"/>
      <c r="C4901" s="252"/>
      <c r="D4901" s="252"/>
      <c r="E4901" s="252"/>
      <c r="F4901" s="252"/>
      <c r="G4901" s="252"/>
      <c r="H4901" s="252"/>
      <c r="I4901" s="252"/>
      <c r="J4901" s="252"/>
      <c r="K4901" s="252"/>
      <c r="L4901"/>
      <c r="M4901"/>
    </row>
    <row r="4902" spans="1:13" s="79" customFormat="1" x14ac:dyDescent="0.35">
      <c r="A4902" s="251"/>
      <c r="B4902" s="22"/>
      <c r="C4902" s="252"/>
      <c r="D4902" s="252"/>
      <c r="E4902" s="252"/>
      <c r="F4902" s="252"/>
      <c r="G4902" s="252"/>
      <c r="H4902" s="252"/>
      <c r="I4902" s="252"/>
      <c r="J4902" s="252"/>
      <c r="K4902" s="252"/>
      <c r="L4902"/>
      <c r="M4902"/>
    </row>
    <row r="4903" spans="1:13" s="79" customFormat="1" x14ac:dyDescent="0.35">
      <c r="A4903" s="251"/>
      <c r="B4903" s="22"/>
      <c r="C4903" s="252"/>
      <c r="D4903" s="252"/>
      <c r="E4903" s="252"/>
      <c r="F4903" s="252"/>
      <c r="G4903" s="252"/>
      <c r="H4903" s="252"/>
      <c r="I4903" s="252"/>
      <c r="J4903" s="252"/>
      <c r="K4903" s="252"/>
      <c r="L4903"/>
      <c r="M4903"/>
    </row>
    <row r="4904" spans="1:13" s="79" customFormat="1" x14ac:dyDescent="0.35">
      <c r="A4904" s="251"/>
      <c r="B4904" s="22"/>
      <c r="C4904" s="252"/>
      <c r="D4904" s="252"/>
      <c r="E4904" s="252"/>
      <c r="F4904" s="252"/>
      <c r="G4904" s="252"/>
      <c r="H4904" s="252"/>
      <c r="I4904" s="252"/>
      <c r="J4904" s="252"/>
      <c r="K4904" s="252"/>
      <c r="L4904"/>
      <c r="M4904"/>
    </row>
    <row r="4905" spans="1:13" s="79" customFormat="1" x14ac:dyDescent="0.35">
      <c r="A4905" s="251"/>
      <c r="B4905" s="22"/>
      <c r="C4905" s="252"/>
      <c r="D4905" s="252"/>
      <c r="E4905" s="252"/>
      <c r="F4905" s="252"/>
      <c r="G4905" s="252"/>
      <c r="H4905" s="252"/>
      <c r="I4905" s="252"/>
      <c r="J4905" s="252"/>
      <c r="K4905" s="252"/>
      <c r="L4905"/>
      <c r="M4905"/>
    </row>
    <row r="4906" spans="1:13" s="79" customFormat="1" x14ac:dyDescent="0.35">
      <c r="A4906" s="251"/>
      <c r="B4906" s="22"/>
      <c r="C4906" s="252"/>
      <c r="D4906" s="252"/>
      <c r="E4906" s="252"/>
      <c r="F4906" s="252"/>
      <c r="G4906" s="252"/>
      <c r="H4906" s="252"/>
      <c r="I4906" s="252"/>
      <c r="J4906" s="252"/>
      <c r="K4906" s="252"/>
      <c r="L4906"/>
      <c r="M4906"/>
    </row>
    <row r="4907" spans="1:13" s="79" customFormat="1" x14ac:dyDescent="0.35">
      <c r="A4907" s="251"/>
      <c r="B4907" s="22"/>
      <c r="C4907" s="252"/>
      <c r="D4907" s="252"/>
      <c r="E4907" s="252"/>
      <c r="F4907" s="252"/>
      <c r="G4907" s="252"/>
      <c r="H4907" s="252"/>
      <c r="I4907" s="252"/>
      <c r="J4907" s="252"/>
      <c r="K4907" s="252"/>
      <c r="L4907"/>
      <c r="M4907"/>
    </row>
    <row r="4908" spans="1:13" s="79" customFormat="1" x14ac:dyDescent="0.35">
      <c r="A4908" s="251"/>
      <c r="B4908" s="22"/>
      <c r="C4908" s="252"/>
      <c r="D4908" s="252"/>
      <c r="E4908" s="252"/>
      <c r="F4908" s="252"/>
      <c r="G4908" s="252"/>
      <c r="H4908" s="252"/>
      <c r="I4908" s="252"/>
      <c r="J4908" s="252"/>
      <c r="K4908" s="252"/>
      <c r="L4908"/>
      <c r="M4908"/>
    </row>
    <row r="4909" spans="1:13" s="79" customFormat="1" x14ac:dyDescent="0.35">
      <c r="A4909" s="251"/>
      <c r="B4909" s="22"/>
      <c r="C4909" s="252"/>
      <c r="D4909" s="252"/>
      <c r="E4909" s="252"/>
      <c r="F4909" s="252"/>
      <c r="G4909" s="252"/>
      <c r="H4909" s="252"/>
      <c r="I4909" s="252"/>
      <c r="J4909" s="252"/>
      <c r="K4909" s="252"/>
      <c r="L4909"/>
      <c r="M4909"/>
    </row>
    <row r="4910" spans="1:13" s="79" customFormat="1" x14ac:dyDescent="0.35">
      <c r="A4910" s="251"/>
      <c r="B4910" s="22"/>
      <c r="C4910" s="252"/>
      <c r="D4910" s="252"/>
      <c r="E4910" s="252"/>
      <c r="F4910" s="252"/>
      <c r="G4910" s="252"/>
      <c r="H4910" s="252"/>
      <c r="I4910" s="252"/>
      <c r="J4910" s="252"/>
      <c r="K4910" s="252"/>
      <c r="L4910"/>
      <c r="M4910"/>
    </row>
    <row r="4911" spans="1:13" s="79" customFormat="1" x14ac:dyDescent="0.35">
      <c r="A4911" s="251"/>
      <c r="B4911" s="22"/>
      <c r="C4911" s="252"/>
      <c r="D4911" s="252"/>
      <c r="E4911" s="252"/>
      <c r="F4911" s="252"/>
      <c r="G4911" s="252"/>
      <c r="H4911" s="252"/>
      <c r="I4911" s="252"/>
      <c r="J4911" s="252"/>
      <c r="K4911" s="252"/>
      <c r="L4911"/>
      <c r="M4911"/>
    </row>
    <row r="4912" spans="1:13" s="79" customFormat="1" x14ac:dyDescent="0.35">
      <c r="A4912" s="251"/>
      <c r="B4912" s="22"/>
      <c r="C4912" s="252"/>
      <c r="D4912" s="252"/>
      <c r="E4912" s="252"/>
      <c r="F4912" s="252"/>
      <c r="G4912" s="252"/>
      <c r="H4912" s="252"/>
      <c r="I4912" s="252"/>
      <c r="J4912" s="252"/>
      <c r="K4912" s="252"/>
      <c r="L4912"/>
      <c r="M4912"/>
    </row>
    <row r="4913" spans="1:13" s="79" customFormat="1" x14ac:dyDescent="0.35">
      <c r="A4913" s="251"/>
      <c r="B4913" s="22"/>
      <c r="C4913" s="252"/>
      <c r="D4913" s="252"/>
      <c r="E4913" s="252"/>
      <c r="F4913" s="252"/>
      <c r="G4913" s="252"/>
      <c r="H4913" s="252"/>
      <c r="I4913" s="252"/>
      <c r="J4913" s="252"/>
      <c r="K4913" s="252"/>
      <c r="L4913"/>
      <c r="M4913"/>
    </row>
    <row r="4914" spans="1:13" s="79" customFormat="1" x14ac:dyDescent="0.35">
      <c r="A4914" s="251"/>
      <c r="B4914" s="22"/>
      <c r="C4914" s="252"/>
      <c r="D4914" s="252"/>
      <c r="E4914" s="252"/>
      <c r="F4914" s="252"/>
      <c r="G4914" s="252"/>
      <c r="H4914" s="252"/>
      <c r="I4914" s="252"/>
      <c r="J4914" s="252"/>
      <c r="K4914" s="252"/>
      <c r="L4914"/>
      <c r="M4914"/>
    </row>
    <row r="4915" spans="1:13" s="79" customFormat="1" x14ac:dyDescent="0.35">
      <c r="A4915" s="251"/>
      <c r="B4915" s="22"/>
      <c r="C4915" s="252"/>
      <c r="D4915" s="252"/>
      <c r="E4915" s="252"/>
      <c r="F4915" s="252"/>
      <c r="G4915" s="252"/>
      <c r="H4915" s="252"/>
      <c r="I4915" s="252"/>
      <c r="J4915" s="252"/>
      <c r="K4915" s="252"/>
      <c r="L4915"/>
      <c r="M4915"/>
    </row>
    <row r="4916" spans="1:13" s="79" customFormat="1" x14ac:dyDescent="0.35">
      <c r="A4916" s="251"/>
      <c r="B4916" s="22"/>
      <c r="C4916" s="252"/>
      <c r="D4916" s="252"/>
      <c r="E4916" s="252"/>
      <c r="F4916" s="252"/>
      <c r="G4916" s="252"/>
      <c r="H4916" s="252"/>
      <c r="I4916" s="252"/>
      <c r="J4916" s="252"/>
      <c r="K4916" s="252"/>
      <c r="L4916"/>
      <c r="M4916"/>
    </row>
    <row r="4917" spans="1:13" s="79" customFormat="1" x14ac:dyDescent="0.35">
      <c r="A4917" s="251"/>
      <c r="B4917" s="22"/>
      <c r="C4917" s="252"/>
      <c r="D4917" s="252"/>
      <c r="E4917" s="252"/>
      <c r="F4917" s="252"/>
      <c r="G4917" s="252"/>
      <c r="H4917" s="252"/>
      <c r="I4917" s="252"/>
      <c r="J4917" s="252"/>
      <c r="K4917" s="252"/>
      <c r="L4917"/>
      <c r="M4917"/>
    </row>
    <row r="4918" spans="1:13" s="79" customFormat="1" x14ac:dyDescent="0.35">
      <c r="A4918" s="251"/>
      <c r="B4918" s="22"/>
      <c r="C4918" s="252"/>
      <c r="D4918" s="252"/>
      <c r="E4918" s="252"/>
      <c r="F4918" s="252"/>
      <c r="G4918" s="252"/>
      <c r="H4918" s="252"/>
      <c r="I4918" s="252"/>
      <c r="J4918" s="252"/>
      <c r="K4918" s="252"/>
      <c r="L4918"/>
      <c r="M4918"/>
    </row>
    <row r="4919" spans="1:13" s="79" customFormat="1" x14ac:dyDescent="0.35">
      <c r="A4919" s="251"/>
      <c r="B4919" s="22"/>
      <c r="C4919" s="252"/>
      <c r="D4919" s="252"/>
      <c r="E4919" s="252"/>
      <c r="F4919" s="252"/>
      <c r="G4919" s="252"/>
      <c r="H4919" s="252"/>
      <c r="I4919" s="252"/>
      <c r="J4919" s="252"/>
      <c r="K4919" s="252"/>
      <c r="L4919"/>
      <c r="M4919"/>
    </row>
    <row r="4920" spans="1:13" s="79" customFormat="1" x14ac:dyDescent="0.35">
      <c r="A4920" s="251"/>
      <c r="B4920" s="22"/>
      <c r="C4920" s="252"/>
      <c r="D4920" s="252"/>
      <c r="E4920" s="252"/>
      <c r="F4920" s="252"/>
      <c r="G4920" s="252"/>
      <c r="H4920" s="252"/>
      <c r="I4920" s="252"/>
      <c r="J4920" s="252"/>
      <c r="K4920" s="252"/>
      <c r="L4920"/>
      <c r="M4920"/>
    </row>
    <row r="4921" spans="1:13" s="79" customFormat="1" x14ac:dyDescent="0.35">
      <c r="A4921" s="251"/>
      <c r="B4921" s="22"/>
      <c r="C4921" s="252"/>
      <c r="D4921" s="252"/>
      <c r="E4921" s="252"/>
      <c r="F4921" s="252"/>
      <c r="G4921" s="252"/>
      <c r="H4921" s="252"/>
      <c r="I4921" s="252"/>
      <c r="J4921" s="252"/>
      <c r="K4921" s="252"/>
      <c r="L4921"/>
      <c r="M4921"/>
    </row>
    <row r="4922" spans="1:13" s="79" customFormat="1" x14ac:dyDescent="0.35">
      <c r="A4922" s="251"/>
      <c r="B4922" s="22"/>
      <c r="C4922" s="252"/>
      <c r="D4922" s="252"/>
      <c r="E4922" s="252"/>
      <c r="F4922" s="252"/>
      <c r="G4922" s="252"/>
      <c r="H4922" s="252"/>
      <c r="I4922" s="252"/>
      <c r="J4922" s="252"/>
      <c r="K4922" s="252"/>
      <c r="L4922"/>
      <c r="M4922"/>
    </row>
    <row r="4923" spans="1:13" s="79" customFormat="1" x14ac:dyDescent="0.35">
      <c r="A4923" s="251"/>
      <c r="B4923" s="22"/>
      <c r="C4923" s="252"/>
      <c r="D4923" s="252"/>
      <c r="E4923" s="252"/>
      <c r="F4923" s="252"/>
      <c r="G4923" s="252"/>
      <c r="H4923" s="252"/>
      <c r="I4923" s="252"/>
      <c r="J4923" s="252"/>
      <c r="K4923" s="252"/>
      <c r="L4923"/>
      <c r="M4923"/>
    </row>
    <row r="4924" spans="1:13" s="79" customFormat="1" x14ac:dyDescent="0.35">
      <c r="A4924" s="251"/>
      <c r="B4924" s="22"/>
      <c r="C4924" s="252"/>
      <c r="D4924" s="252"/>
      <c r="E4924" s="252"/>
      <c r="F4924" s="252"/>
      <c r="G4924" s="252"/>
      <c r="H4924" s="252"/>
      <c r="I4924" s="252"/>
      <c r="J4924" s="252"/>
      <c r="K4924" s="252"/>
      <c r="L4924"/>
      <c r="M4924"/>
    </row>
    <row r="4925" spans="1:13" s="79" customFormat="1" x14ac:dyDescent="0.35">
      <c r="A4925" s="251"/>
      <c r="B4925" s="22"/>
      <c r="C4925" s="252"/>
      <c r="D4925" s="252"/>
      <c r="E4925" s="252"/>
      <c r="F4925" s="252"/>
      <c r="G4925" s="252"/>
      <c r="H4925" s="252"/>
      <c r="I4925" s="252"/>
      <c r="J4925" s="252"/>
      <c r="K4925" s="252"/>
      <c r="L4925"/>
      <c r="M4925"/>
    </row>
    <row r="4926" spans="1:13" s="79" customFormat="1" x14ac:dyDescent="0.35">
      <c r="A4926" s="251"/>
      <c r="B4926" s="22"/>
      <c r="C4926" s="252"/>
      <c r="D4926" s="252"/>
      <c r="E4926" s="252"/>
      <c r="F4926" s="252"/>
      <c r="G4926" s="252"/>
      <c r="H4926" s="252"/>
      <c r="I4926" s="252"/>
      <c r="J4926" s="252"/>
      <c r="K4926" s="252"/>
      <c r="L4926"/>
      <c r="M4926"/>
    </row>
    <row r="4927" spans="1:13" s="79" customFormat="1" x14ac:dyDescent="0.35">
      <c r="A4927" s="251"/>
      <c r="B4927" s="22"/>
      <c r="C4927" s="252"/>
      <c r="D4927" s="252"/>
      <c r="E4927" s="252"/>
      <c r="F4927" s="252"/>
      <c r="G4927" s="252"/>
      <c r="H4927" s="252"/>
      <c r="I4927" s="252"/>
      <c r="J4927" s="252"/>
      <c r="K4927" s="252"/>
      <c r="L4927"/>
      <c r="M4927"/>
    </row>
    <row r="4928" spans="1:13" s="79" customFormat="1" x14ac:dyDescent="0.35">
      <c r="A4928" s="251"/>
      <c r="B4928" s="22"/>
      <c r="C4928" s="252"/>
      <c r="D4928" s="252"/>
      <c r="E4928" s="252"/>
      <c r="F4928" s="252"/>
      <c r="G4928" s="252"/>
      <c r="H4928" s="252"/>
      <c r="I4928" s="252"/>
      <c r="J4928" s="252"/>
      <c r="K4928" s="252"/>
      <c r="L4928"/>
      <c r="M4928"/>
    </row>
    <row r="4929" spans="1:13" s="79" customFormat="1" x14ac:dyDescent="0.35">
      <c r="A4929" s="251"/>
      <c r="B4929" s="22"/>
      <c r="C4929" s="252"/>
      <c r="D4929" s="252"/>
      <c r="E4929" s="252"/>
      <c r="F4929" s="252"/>
      <c r="G4929" s="252"/>
      <c r="H4929" s="252"/>
      <c r="I4929" s="252"/>
      <c r="J4929" s="252"/>
      <c r="K4929" s="252"/>
      <c r="L4929"/>
      <c r="M4929"/>
    </row>
    <row r="4930" spans="1:13" s="79" customFormat="1" x14ac:dyDescent="0.35">
      <c r="A4930" s="251"/>
      <c r="B4930" s="22"/>
      <c r="C4930" s="252"/>
      <c r="D4930" s="252"/>
      <c r="E4930" s="252"/>
      <c r="F4930" s="252"/>
      <c r="G4930" s="252"/>
      <c r="H4930" s="252"/>
      <c r="I4930" s="252"/>
      <c r="J4930" s="252"/>
      <c r="K4930" s="252"/>
      <c r="L4930"/>
      <c r="M4930"/>
    </row>
    <row r="4931" spans="1:13" s="79" customFormat="1" x14ac:dyDescent="0.35">
      <c r="A4931" s="251"/>
      <c r="B4931" s="22"/>
      <c r="C4931" s="252"/>
      <c r="D4931" s="252"/>
      <c r="E4931" s="252"/>
      <c r="F4931" s="252"/>
      <c r="G4931" s="252"/>
      <c r="H4931" s="252"/>
      <c r="I4931" s="252"/>
      <c r="J4931" s="252"/>
      <c r="K4931" s="252"/>
      <c r="L4931"/>
      <c r="M4931"/>
    </row>
    <row r="4932" spans="1:13" s="79" customFormat="1" x14ac:dyDescent="0.35">
      <c r="A4932" s="251"/>
      <c r="B4932" s="22"/>
      <c r="C4932" s="252"/>
      <c r="D4932" s="252"/>
      <c r="E4932" s="252"/>
      <c r="F4932" s="252"/>
      <c r="G4932" s="252"/>
      <c r="H4932" s="252"/>
      <c r="I4932" s="252"/>
      <c r="J4932" s="252"/>
      <c r="K4932" s="252"/>
      <c r="L4932"/>
      <c r="M4932"/>
    </row>
    <row r="4933" spans="1:13" s="79" customFormat="1" x14ac:dyDescent="0.35">
      <c r="A4933" s="251"/>
      <c r="B4933" s="22"/>
      <c r="C4933" s="252"/>
      <c r="D4933" s="252"/>
      <c r="E4933" s="252"/>
      <c r="F4933" s="252"/>
      <c r="G4933" s="252"/>
      <c r="H4933" s="252"/>
      <c r="I4933" s="252"/>
      <c r="J4933" s="252"/>
      <c r="K4933" s="252"/>
      <c r="L4933"/>
      <c r="M4933"/>
    </row>
    <row r="4934" spans="1:13" s="79" customFormat="1" x14ac:dyDescent="0.35">
      <c r="A4934" s="251"/>
      <c r="B4934" s="22"/>
      <c r="C4934" s="252"/>
      <c r="D4934" s="252"/>
      <c r="E4934" s="252"/>
      <c r="F4934" s="252"/>
      <c r="G4934" s="252"/>
      <c r="H4934" s="252"/>
      <c r="I4934" s="252"/>
      <c r="J4934" s="252"/>
      <c r="K4934" s="252"/>
      <c r="L4934"/>
      <c r="M4934"/>
    </row>
    <row r="4935" spans="1:13" s="79" customFormat="1" x14ac:dyDescent="0.35">
      <c r="A4935" s="251"/>
      <c r="B4935" s="22"/>
      <c r="C4935" s="252"/>
      <c r="D4935" s="252"/>
      <c r="E4935" s="252"/>
      <c r="F4935" s="252"/>
      <c r="G4935" s="252"/>
      <c r="H4935" s="252"/>
      <c r="I4935" s="252"/>
      <c r="J4935" s="252"/>
      <c r="K4935" s="252"/>
      <c r="L4935"/>
      <c r="M4935"/>
    </row>
    <row r="4936" spans="1:13" s="79" customFormat="1" x14ac:dyDescent="0.35">
      <c r="A4936" s="251"/>
      <c r="B4936" s="22"/>
      <c r="C4936" s="252"/>
      <c r="D4936" s="252"/>
      <c r="E4936" s="252"/>
      <c r="F4936" s="252"/>
      <c r="G4936" s="252"/>
      <c r="H4936" s="252"/>
      <c r="I4936" s="252"/>
      <c r="J4936" s="252"/>
      <c r="K4936" s="252"/>
      <c r="L4936"/>
      <c r="M4936"/>
    </row>
    <row r="4937" spans="1:13" s="79" customFormat="1" x14ac:dyDescent="0.35">
      <c r="A4937" s="251"/>
      <c r="B4937" s="22"/>
      <c r="C4937" s="252"/>
      <c r="D4937" s="252"/>
      <c r="E4937" s="252"/>
      <c r="F4937" s="252"/>
      <c r="G4937" s="252"/>
      <c r="H4937" s="252"/>
      <c r="I4937" s="252"/>
      <c r="J4937" s="252"/>
      <c r="K4937" s="252"/>
      <c r="L4937"/>
      <c r="M4937"/>
    </row>
    <row r="4938" spans="1:13" s="79" customFormat="1" x14ac:dyDescent="0.35">
      <c r="A4938" s="251"/>
      <c r="B4938" s="22"/>
      <c r="C4938" s="252"/>
      <c r="D4938" s="252"/>
      <c r="E4938" s="252"/>
      <c r="F4938" s="252"/>
      <c r="G4938" s="252"/>
      <c r="H4938" s="252"/>
      <c r="I4938" s="252"/>
      <c r="J4938" s="252"/>
      <c r="K4938" s="252"/>
      <c r="L4938"/>
      <c r="M4938"/>
    </row>
    <row r="4939" spans="1:13" s="79" customFormat="1" x14ac:dyDescent="0.35">
      <c r="A4939" s="251"/>
      <c r="B4939" s="22"/>
      <c r="C4939" s="252"/>
      <c r="D4939" s="252"/>
      <c r="E4939" s="252"/>
      <c r="F4939" s="252"/>
      <c r="G4939" s="252"/>
      <c r="H4939" s="252"/>
      <c r="I4939" s="252"/>
      <c r="J4939" s="252"/>
      <c r="K4939" s="252"/>
      <c r="L4939"/>
      <c r="M4939"/>
    </row>
    <row r="4940" spans="1:13" s="79" customFormat="1" x14ac:dyDescent="0.35">
      <c r="A4940" s="251"/>
      <c r="B4940" s="22"/>
      <c r="C4940" s="252"/>
      <c r="D4940" s="252"/>
      <c r="E4940" s="252"/>
      <c r="F4940" s="252"/>
      <c r="G4940" s="252"/>
      <c r="H4940" s="252"/>
      <c r="I4940" s="252"/>
      <c r="J4940" s="252"/>
      <c r="K4940" s="252"/>
      <c r="L4940"/>
      <c r="M4940"/>
    </row>
    <row r="4941" spans="1:13" s="79" customFormat="1" x14ac:dyDescent="0.35">
      <c r="A4941" s="251"/>
      <c r="B4941" s="22"/>
      <c r="C4941" s="252"/>
      <c r="D4941" s="252"/>
      <c r="E4941" s="252"/>
      <c r="F4941" s="252"/>
      <c r="G4941" s="252"/>
      <c r="H4941" s="252"/>
      <c r="I4941" s="252"/>
      <c r="J4941" s="252"/>
      <c r="K4941" s="252"/>
      <c r="L4941"/>
      <c r="M4941"/>
    </row>
    <row r="4942" spans="1:13" s="79" customFormat="1" x14ac:dyDescent="0.35">
      <c r="A4942" s="251"/>
      <c r="B4942" s="22"/>
      <c r="C4942" s="252"/>
      <c r="D4942" s="252"/>
      <c r="E4942" s="252"/>
      <c r="F4942" s="252"/>
      <c r="G4942" s="252"/>
      <c r="H4942" s="252"/>
      <c r="I4942" s="252"/>
      <c r="J4942" s="252"/>
      <c r="K4942" s="252"/>
      <c r="L4942"/>
      <c r="M4942"/>
    </row>
    <row r="4943" spans="1:13" s="79" customFormat="1" x14ac:dyDescent="0.35">
      <c r="A4943" s="251"/>
      <c r="B4943" s="22"/>
      <c r="C4943" s="252"/>
      <c r="D4943" s="252"/>
      <c r="E4943" s="252"/>
      <c r="F4943" s="252"/>
      <c r="G4943" s="252"/>
      <c r="H4943" s="252"/>
      <c r="I4943" s="252"/>
      <c r="J4943" s="252"/>
      <c r="K4943" s="252"/>
      <c r="L4943"/>
      <c r="M4943"/>
    </row>
    <row r="4944" spans="1:13" s="79" customFormat="1" x14ac:dyDescent="0.35">
      <c r="A4944" s="251"/>
      <c r="B4944" s="22"/>
      <c r="C4944" s="252"/>
      <c r="D4944" s="252"/>
      <c r="E4944" s="252"/>
      <c r="F4944" s="252"/>
      <c r="G4944" s="252"/>
      <c r="H4944" s="252"/>
      <c r="I4944" s="252"/>
      <c r="J4944" s="252"/>
      <c r="K4944" s="252"/>
      <c r="L4944"/>
      <c r="M4944"/>
    </row>
    <row r="4945" spans="1:13" s="79" customFormat="1" x14ac:dyDescent="0.35">
      <c r="A4945" s="251"/>
      <c r="B4945" s="22"/>
      <c r="C4945" s="252"/>
      <c r="D4945" s="252"/>
      <c r="E4945" s="252"/>
      <c r="F4945" s="252"/>
      <c r="G4945" s="252"/>
      <c r="H4945" s="252"/>
      <c r="I4945" s="252"/>
      <c r="J4945" s="252"/>
      <c r="K4945" s="252"/>
      <c r="L4945"/>
      <c r="M4945"/>
    </row>
    <row r="4946" spans="1:13" s="79" customFormat="1" x14ac:dyDescent="0.35">
      <c r="A4946" s="251"/>
      <c r="B4946" s="22"/>
      <c r="C4946" s="252"/>
      <c r="D4946" s="252"/>
      <c r="E4946" s="252"/>
      <c r="F4946" s="252"/>
      <c r="G4946" s="252"/>
      <c r="H4946" s="252"/>
      <c r="I4946" s="252"/>
      <c r="J4946" s="252"/>
      <c r="K4946" s="252"/>
      <c r="L4946"/>
      <c r="M4946"/>
    </row>
    <row r="4947" spans="1:13" s="79" customFormat="1" x14ac:dyDescent="0.35">
      <c r="A4947" s="251"/>
      <c r="B4947" s="22"/>
      <c r="C4947" s="252"/>
      <c r="D4947" s="252"/>
      <c r="E4947" s="252"/>
      <c r="F4947" s="252"/>
      <c r="G4947" s="252"/>
      <c r="H4947" s="252"/>
      <c r="I4947" s="252"/>
      <c r="J4947" s="252"/>
      <c r="K4947" s="252"/>
      <c r="L4947"/>
      <c r="M4947"/>
    </row>
    <row r="4948" spans="1:13" s="79" customFormat="1" x14ac:dyDescent="0.35">
      <c r="A4948" s="251"/>
      <c r="B4948" s="22"/>
      <c r="C4948" s="252"/>
      <c r="D4948" s="252"/>
      <c r="E4948" s="252"/>
      <c r="F4948" s="252"/>
      <c r="G4948" s="252"/>
      <c r="H4948" s="252"/>
      <c r="I4948" s="252"/>
      <c r="J4948" s="252"/>
      <c r="K4948" s="252"/>
      <c r="L4948"/>
      <c r="M4948"/>
    </row>
    <row r="4949" spans="1:13" s="79" customFormat="1" x14ac:dyDescent="0.35">
      <c r="A4949" s="251"/>
      <c r="B4949" s="22"/>
      <c r="C4949" s="252"/>
      <c r="D4949" s="252"/>
      <c r="E4949" s="252"/>
      <c r="F4949" s="252"/>
      <c r="G4949" s="252"/>
      <c r="H4949" s="252"/>
      <c r="I4949" s="252"/>
      <c r="J4949" s="252"/>
      <c r="K4949" s="252"/>
      <c r="L4949"/>
      <c r="M4949"/>
    </row>
    <row r="4950" spans="1:13" s="79" customFormat="1" x14ac:dyDescent="0.35">
      <c r="A4950" s="251"/>
      <c r="B4950" s="22"/>
      <c r="C4950" s="252"/>
      <c r="D4950" s="252"/>
      <c r="E4950" s="252"/>
      <c r="F4950" s="252"/>
      <c r="G4950" s="252"/>
      <c r="H4950" s="252"/>
      <c r="I4950" s="252"/>
      <c r="J4950" s="252"/>
      <c r="K4950" s="252"/>
      <c r="L4950"/>
      <c r="M4950"/>
    </row>
    <row r="4951" spans="1:13" s="79" customFormat="1" x14ac:dyDescent="0.35">
      <c r="A4951" s="251"/>
      <c r="B4951" s="22"/>
      <c r="C4951" s="252"/>
      <c r="D4951" s="252"/>
      <c r="E4951" s="252"/>
      <c r="F4951" s="252"/>
      <c r="G4951" s="252"/>
      <c r="H4951" s="252"/>
      <c r="I4951" s="252"/>
      <c r="J4951" s="252"/>
      <c r="K4951" s="252"/>
      <c r="L4951"/>
      <c r="M4951"/>
    </row>
    <row r="4952" spans="1:13" s="79" customFormat="1" x14ac:dyDescent="0.35">
      <c r="A4952" s="251"/>
      <c r="B4952" s="22"/>
      <c r="C4952" s="252"/>
      <c r="D4952" s="252"/>
      <c r="E4952" s="252"/>
      <c r="F4952" s="252"/>
      <c r="G4952" s="252"/>
      <c r="H4952" s="252"/>
      <c r="I4952" s="252"/>
      <c r="J4952" s="252"/>
      <c r="K4952" s="252"/>
      <c r="L4952"/>
      <c r="M4952"/>
    </row>
    <row r="4953" spans="1:13" s="79" customFormat="1" x14ac:dyDescent="0.35">
      <c r="A4953" s="251"/>
      <c r="B4953" s="22"/>
      <c r="C4953" s="252"/>
      <c r="D4953" s="252"/>
      <c r="E4953" s="252"/>
      <c r="F4953" s="252"/>
      <c r="G4953" s="252"/>
      <c r="H4953" s="252"/>
      <c r="I4953" s="252"/>
      <c r="J4953" s="252"/>
      <c r="K4953" s="252"/>
      <c r="L4953"/>
      <c r="M4953"/>
    </row>
    <row r="4954" spans="1:13" s="79" customFormat="1" x14ac:dyDescent="0.35">
      <c r="A4954" s="251"/>
      <c r="B4954" s="22"/>
      <c r="C4954" s="252"/>
      <c r="D4954" s="252"/>
      <c r="E4954" s="252"/>
      <c r="F4954" s="252"/>
      <c r="G4954" s="252"/>
      <c r="H4954" s="252"/>
      <c r="I4954" s="252"/>
      <c r="J4954" s="252"/>
      <c r="K4954" s="252"/>
      <c r="L4954"/>
      <c r="M4954"/>
    </row>
    <row r="4955" spans="1:13" s="79" customFormat="1" x14ac:dyDescent="0.35">
      <c r="A4955" s="251"/>
      <c r="B4955" s="22"/>
      <c r="C4955" s="252"/>
      <c r="D4955" s="252"/>
      <c r="E4955" s="252"/>
      <c r="F4955" s="252"/>
      <c r="G4955" s="252"/>
      <c r="H4955" s="252"/>
      <c r="I4955" s="252"/>
      <c r="J4955" s="252"/>
      <c r="K4955" s="252"/>
      <c r="L4955"/>
      <c r="M4955"/>
    </row>
    <row r="4956" spans="1:13" s="79" customFormat="1" x14ac:dyDescent="0.35">
      <c r="A4956" s="251"/>
      <c r="B4956" s="22"/>
      <c r="C4956" s="252"/>
      <c r="D4956" s="252"/>
      <c r="E4956" s="252"/>
      <c r="F4956" s="252"/>
      <c r="G4956" s="252"/>
      <c r="H4956" s="252"/>
      <c r="I4956" s="252"/>
      <c r="J4956" s="252"/>
      <c r="K4956" s="252"/>
      <c r="L4956"/>
      <c r="M4956"/>
    </row>
    <row r="4957" spans="1:13" s="79" customFormat="1" x14ac:dyDescent="0.35">
      <c r="A4957" s="251"/>
      <c r="B4957" s="22"/>
      <c r="C4957" s="252"/>
      <c r="D4957" s="252"/>
      <c r="E4957" s="252"/>
      <c r="F4957" s="252"/>
      <c r="G4957" s="252"/>
      <c r="H4957" s="252"/>
      <c r="I4957" s="252"/>
      <c r="J4957" s="252"/>
      <c r="K4957" s="252"/>
      <c r="L4957"/>
      <c r="M4957"/>
    </row>
    <row r="4958" spans="1:13" s="79" customFormat="1" x14ac:dyDescent="0.35">
      <c r="A4958" s="251"/>
      <c r="B4958" s="22"/>
      <c r="C4958" s="252"/>
      <c r="D4958" s="252"/>
      <c r="E4958" s="252"/>
      <c r="F4958" s="252"/>
      <c r="G4958" s="252"/>
      <c r="H4958" s="252"/>
      <c r="I4958" s="252"/>
      <c r="J4958" s="252"/>
      <c r="K4958" s="252"/>
      <c r="L4958"/>
      <c r="M4958"/>
    </row>
    <row r="4959" spans="1:13" s="79" customFormat="1" x14ac:dyDescent="0.35">
      <c r="A4959" s="251"/>
      <c r="B4959" s="22"/>
      <c r="C4959" s="252"/>
      <c r="D4959" s="252"/>
      <c r="E4959" s="252"/>
      <c r="F4959" s="252"/>
      <c r="G4959" s="252"/>
      <c r="H4959" s="252"/>
      <c r="I4959" s="252"/>
      <c r="J4959" s="252"/>
      <c r="K4959" s="252"/>
      <c r="L4959"/>
      <c r="M4959"/>
    </row>
    <row r="4960" spans="1:13" s="79" customFormat="1" x14ac:dyDescent="0.35">
      <c r="A4960" s="251"/>
      <c r="B4960" s="22"/>
      <c r="C4960" s="252"/>
      <c r="D4960" s="252"/>
      <c r="E4960" s="252"/>
      <c r="F4960" s="252"/>
      <c r="G4960" s="252"/>
      <c r="H4960" s="252"/>
      <c r="I4960" s="252"/>
      <c r="J4960" s="252"/>
      <c r="K4960" s="252"/>
      <c r="L4960"/>
      <c r="M4960"/>
    </row>
    <row r="4961" spans="1:13" s="79" customFormat="1" x14ac:dyDescent="0.35">
      <c r="A4961" s="251"/>
      <c r="B4961" s="22"/>
      <c r="C4961" s="252"/>
      <c r="D4961" s="252"/>
      <c r="E4961" s="252"/>
      <c r="F4961" s="252"/>
      <c r="G4961" s="252"/>
      <c r="H4961" s="252"/>
      <c r="I4961" s="252"/>
      <c r="J4961" s="252"/>
      <c r="K4961" s="252"/>
      <c r="L4961"/>
      <c r="M4961"/>
    </row>
    <row r="4962" spans="1:13" s="79" customFormat="1" x14ac:dyDescent="0.35">
      <c r="A4962" s="251"/>
      <c r="B4962" s="22"/>
      <c r="C4962" s="252"/>
      <c r="D4962" s="252"/>
      <c r="E4962" s="252"/>
      <c r="F4962" s="252"/>
      <c r="G4962" s="252"/>
      <c r="H4962" s="252"/>
      <c r="I4962" s="252"/>
      <c r="J4962" s="252"/>
      <c r="K4962" s="252"/>
      <c r="L4962"/>
      <c r="M4962"/>
    </row>
    <row r="4963" spans="1:13" s="79" customFormat="1" x14ac:dyDescent="0.35">
      <c r="A4963" s="251"/>
      <c r="B4963" s="22"/>
      <c r="C4963" s="252"/>
      <c r="D4963" s="252"/>
      <c r="E4963" s="252"/>
      <c r="F4963" s="252"/>
      <c r="G4963" s="252"/>
      <c r="H4963" s="252"/>
      <c r="I4963" s="252"/>
      <c r="J4963" s="252"/>
      <c r="K4963" s="252"/>
      <c r="L4963"/>
      <c r="M4963"/>
    </row>
    <row r="4964" spans="1:13" s="79" customFormat="1" x14ac:dyDescent="0.35">
      <c r="A4964" s="251"/>
      <c r="B4964" s="22"/>
      <c r="C4964" s="252"/>
      <c r="D4964" s="252"/>
      <c r="E4964" s="252"/>
      <c r="F4964" s="252"/>
      <c r="G4964" s="252"/>
      <c r="H4964" s="252"/>
      <c r="I4964" s="252"/>
      <c r="J4964" s="252"/>
      <c r="K4964" s="252"/>
      <c r="L4964"/>
      <c r="M4964"/>
    </row>
    <row r="4965" spans="1:13" s="79" customFormat="1" x14ac:dyDescent="0.35">
      <c r="A4965" s="251"/>
      <c r="B4965" s="22"/>
      <c r="C4965" s="252"/>
      <c r="D4965" s="252"/>
      <c r="E4965" s="252"/>
      <c r="F4965" s="252"/>
      <c r="G4965" s="252"/>
      <c r="H4965" s="252"/>
      <c r="I4965" s="252"/>
      <c r="J4965" s="252"/>
      <c r="K4965" s="252"/>
      <c r="L4965"/>
      <c r="M4965"/>
    </row>
    <row r="4966" spans="1:13" s="79" customFormat="1" x14ac:dyDescent="0.35">
      <c r="A4966" s="251"/>
      <c r="B4966" s="22"/>
      <c r="C4966" s="252"/>
      <c r="D4966" s="252"/>
      <c r="E4966" s="252"/>
      <c r="F4966" s="252"/>
      <c r="G4966" s="252"/>
      <c r="H4966" s="252"/>
      <c r="I4966" s="252"/>
      <c r="J4966" s="252"/>
      <c r="K4966" s="252"/>
      <c r="L4966"/>
      <c r="M4966"/>
    </row>
    <row r="4967" spans="1:13" s="79" customFormat="1" x14ac:dyDescent="0.35">
      <c r="A4967" s="251"/>
      <c r="B4967" s="22"/>
      <c r="C4967" s="252"/>
      <c r="D4967" s="252"/>
      <c r="E4967" s="252"/>
      <c r="F4967" s="252"/>
      <c r="G4967" s="252"/>
      <c r="H4967" s="252"/>
      <c r="I4967" s="252"/>
      <c r="J4967" s="252"/>
      <c r="K4967" s="252"/>
      <c r="L4967"/>
      <c r="M4967"/>
    </row>
    <row r="4968" spans="1:13" s="79" customFormat="1" x14ac:dyDescent="0.35">
      <c r="A4968" s="251"/>
      <c r="B4968" s="22"/>
      <c r="C4968" s="252"/>
      <c r="D4968" s="252"/>
      <c r="E4968" s="252"/>
      <c r="F4968" s="252"/>
      <c r="G4968" s="252"/>
      <c r="H4968" s="252"/>
      <c r="I4968" s="252"/>
      <c r="J4968" s="252"/>
      <c r="K4968" s="252"/>
      <c r="L4968"/>
      <c r="M4968"/>
    </row>
    <row r="4969" spans="1:13" s="79" customFormat="1" x14ac:dyDescent="0.35">
      <c r="A4969" s="251"/>
      <c r="B4969" s="22"/>
      <c r="C4969" s="252"/>
      <c r="D4969" s="252"/>
      <c r="E4969" s="252"/>
      <c r="F4969" s="252"/>
      <c r="G4969" s="252"/>
      <c r="H4969" s="252"/>
      <c r="I4969" s="252"/>
      <c r="J4969" s="252"/>
      <c r="K4969" s="252"/>
      <c r="L4969"/>
      <c r="M4969"/>
    </row>
    <row r="4970" spans="1:13" s="79" customFormat="1" x14ac:dyDescent="0.35">
      <c r="A4970" s="251"/>
      <c r="B4970" s="22"/>
      <c r="C4970" s="252"/>
      <c r="D4970" s="252"/>
      <c r="E4970" s="252"/>
      <c r="F4970" s="252"/>
      <c r="G4970" s="252"/>
      <c r="H4970" s="252"/>
      <c r="I4970" s="252"/>
      <c r="J4970" s="252"/>
      <c r="K4970" s="252"/>
      <c r="L4970"/>
      <c r="M4970"/>
    </row>
    <row r="4971" spans="1:13" s="79" customFormat="1" x14ac:dyDescent="0.35">
      <c r="A4971" s="251"/>
      <c r="B4971" s="22"/>
      <c r="C4971" s="252"/>
      <c r="D4971" s="252"/>
      <c r="E4971" s="252"/>
      <c r="F4971" s="252"/>
      <c r="G4971" s="252"/>
      <c r="H4971" s="252"/>
      <c r="I4971" s="252"/>
      <c r="J4971" s="252"/>
      <c r="K4971" s="252"/>
      <c r="L4971"/>
      <c r="M4971"/>
    </row>
    <row r="4972" spans="1:13" s="79" customFormat="1" x14ac:dyDescent="0.35">
      <c r="A4972" s="251"/>
      <c r="B4972" s="22"/>
      <c r="C4972" s="252"/>
      <c r="D4972" s="252"/>
      <c r="E4972" s="252"/>
      <c r="F4972" s="252"/>
      <c r="G4972" s="252"/>
      <c r="H4972" s="252"/>
      <c r="I4972" s="252"/>
      <c r="J4972" s="252"/>
      <c r="K4972" s="252"/>
      <c r="L4972"/>
      <c r="M4972"/>
    </row>
    <row r="4973" spans="1:13" s="79" customFormat="1" x14ac:dyDescent="0.35">
      <c r="A4973" s="251"/>
      <c r="B4973" s="22"/>
      <c r="C4973" s="252"/>
      <c r="D4973" s="252"/>
      <c r="E4973" s="252"/>
      <c r="F4973" s="252"/>
      <c r="G4973" s="252"/>
      <c r="H4973" s="252"/>
      <c r="I4973" s="252"/>
      <c r="J4973" s="252"/>
      <c r="K4973" s="252"/>
      <c r="L4973"/>
      <c r="M4973"/>
    </row>
    <row r="4974" spans="1:13" s="79" customFormat="1" x14ac:dyDescent="0.35">
      <c r="A4974" s="251"/>
      <c r="B4974" s="22"/>
      <c r="C4974" s="252"/>
      <c r="D4974" s="252"/>
      <c r="E4974" s="252"/>
      <c r="F4974" s="252"/>
      <c r="G4974" s="252"/>
      <c r="H4974" s="252"/>
      <c r="I4974" s="252"/>
      <c r="J4974" s="252"/>
      <c r="K4974" s="252"/>
      <c r="L4974"/>
      <c r="M4974"/>
    </row>
    <row r="4975" spans="1:13" s="79" customFormat="1" x14ac:dyDescent="0.35">
      <c r="A4975" s="251"/>
      <c r="B4975" s="22"/>
      <c r="C4975" s="252"/>
      <c r="D4975" s="252"/>
      <c r="E4975" s="252"/>
      <c r="F4975" s="252"/>
      <c r="G4975" s="252"/>
      <c r="H4975" s="252"/>
      <c r="I4975" s="252"/>
      <c r="J4975" s="252"/>
      <c r="K4975" s="252"/>
      <c r="L4975"/>
      <c r="M4975"/>
    </row>
    <row r="4976" spans="1:13" s="79" customFormat="1" x14ac:dyDescent="0.35">
      <c r="A4976" s="251"/>
      <c r="B4976" s="22"/>
      <c r="C4976" s="252"/>
      <c r="D4976" s="252"/>
      <c r="E4976" s="252"/>
      <c r="F4976" s="252"/>
      <c r="G4976" s="252"/>
      <c r="H4976" s="252"/>
      <c r="I4976" s="252"/>
      <c r="J4976" s="252"/>
      <c r="K4976" s="252"/>
      <c r="L4976"/>
      <c r="M4976"/>
    </row>
    <row r="4977" spans="1:13" s="79" customFormat="1" x14ac:dyDescent="0.35">
      <c r="A4977" s="251"/>
      <c r="B4977" s="22"/>
      <c r="C4977" s="252"/>
      <c r="D4977" s="252"/>
      <c r="E4977" s="252"/>
      <c r="F4977" s="252"/>
      <c r="G4977" s="252"/>
      <c r="H4977" s="252"/>
      <c r="I4977" s="252"/>
      <c r="J4977" s="252"/>
      <c r="K4977" s="252"/>
      <c r="L4977"/>
      <c r="M4977"/>
    </row>
    <row r="4978" spans="1:13" s="79" customFormat="1" x14ac:dyDescent="0.35">
      <c r="A4978" s="251"/>
      <c r="B4978" s="22"/>
      <c r="C4978" s="252"/>
      <c r="D4978" s="252"/>
      <c r="E4978" s="252"/>
      <c r="F4978" s="252"/>
      <c r="G4978" s="252"/>
      <c r="H4978" s="252"/>
      <c r="I4978" s="252"/>
      <c r="J4978" s="252"/>
      <c r="K4978" s="252"/>
      <c r="L4978"/>
      <c r="M4978"/>
    </row>
    <row r="4979" spans="1:13" s="79" customFormat="1" x14ac:dyDescent="0.35">
      <c r="A4979" s="251"/>
      <c r="B4979" s="22"/>
      <c r="C4979" s="252"/>
      <c r="D4979" s="252"/>
      <c r="E4979" s="252"/>
      <c r="F4979" s="252"/>
      <c r="G4979" s="252"/>
      <c r="H4979" s="252"/>
      <c r="I4979" s="252"/>
      <c r="J4979" s="252"/>
      <c r="K4979" s="252"/>
      <c r="L4979"/>
      <c r="M4979"/>
    </row>
    <row r="4980" spans="1:13" s="79" customFormat="1" x14ac:dyDescent="0.35">
      <c r="A4980" s="251"/>
      <c r="B4980" s="22"/>
      <c r="C4980" s="252"/>
      <c r="D4980" s="252"/>
      <c r="E4980" s="252"/>
      <c r="F4980" s="252"/>
      <c r="G4980" s="252"/>
      <c r="H4980" s="252"/>
      <c r="I4980" s="252"/>
      <c r="J4980" s="252"/>
      <c r="K4980" s="252"/>
      <c r="L4980"/>
      <c r="M4980"/>
    </row>
    <row r="4981" spans="1:13" s="79" customFormat="1" x14ac:dyDescent="0.35">
      <c r="A4981" s="251"/>
      <c r="B4981" s="22"/>
      <c r="C4981" s="252"/>
      <c r="D4981" s="252"/>
      <c r="E4981" s="252"/>
      <c r="F4981" s="252"/>
      <c r="G4981" s="252"/>
      <c r="H4981" s="252"/>
      <c r="I4981" s="252"/>
      <c r="J4981" s="252"/>
      <c r="K4981" s="252"/>
      <c r="L4981"/>
      <c r="M4981"/>
    </row>
    <row r="4982" spans="1:13" s="79" customFormat="1" x14ac:dyDescent="0.35">
      <c r="A4982" s="251"/>
      <c r="B4982" s="22"/>
      <c r="C4982" s="252"/>
      <c r="D4982" s="252"/>
      <c r="E4982" s="252"/>
      <c r="F4982" s="252"/>
      <c r="G4982" s="252"/>
      <c r="H4982" s="252"/>
      <c r="I4982" s="252"/>
      <c r="J4982" s="252"/>
      <c r="K4982" s="252"/>
      <c r="L4982"/>
      <c r="M4982"/>
    </row>
    <row r="4983" spans="1:13" s="79" customFormat="1" x14ac:dyDescent="0.35">
      <c r="A4983" s="251"/>
      <c r="B4983" s="22"/>
      <c r="C4983" s="252"/>
      <c r="D4983" s="252"/>
      <c r="E4983" s="252"/>
      <c r="F4983" s="252"/>
      <c r="G4983" s="252"/>
      <c r="H4983" s="252"/>
      <c r="I4983" s="252"/>
      <c r="J4983" s="252"/>
      <c r="K4983" s="252"/>
      <c r="L4983"/>
      <c r="M4983"/>
    </row>
    <row r="4984" spans="1:13" s="79" customFormat="1" x14ac:dyDescent="0.35">
      <c r="A4984" s="251"/>
      <c r="B4984" s="22"/>
      <c r="C4984" s="252"/>
      <c r="D4984" s="252"/>
      <c r="E4984" s="252"/>
      <c r="F4984" s="252"/>
      <c r="G4984" s="252"/>
      <c r="H4984" s="252"/>
      <c r="I4984" s="252"/>
      <c r="J4984" s="252"/>
      <c r="K4984" s="252"/>
      <c r="L4984"/>
      <c r="M4984"/>
    </row>
    <row r="4985" spans="1:13" s="79" customFormat="1" x14ac:dyDescent="0.35">
      <c r="A4985" s="251"/>
      <c r="B4985" s="22"/>
      <c r="C4985" s="252"/>
      <c r="D4985" s="252"/>
      <c r="E4985" s="252"/>
      <c r="F4985" s="252"/>
      <c r="G4985" s="252"/>
      <c r="H4985" s="252"/>
      <c r="I4985" s="252"/>
      <c r="J4985" s="252"/>
      <c r="K4985" s="252"/>
      <c r="L4985"/>
      <c r="M4985"/>
    </row>
    <row r="4986" spans="1:13" s="79" customFormat="1" x14ac:dyDescent="0.35">
      <c r="A4986" s="251"/>
      <c r="B4986" s="22"/>
      <c r="C4986" s="252"/>
      <c r="D4986" s="252"/>
      <c r="E4986" s="252"/>
      <c r="F4986" s="252"/>
      <c r="G4986" s="252"/>
      <c r="H4986" s="252"/>
      <c r="I4986" s="252"/>
      <c r="J4986" s="252"/>
      <c r="K4986" s="252"/>
      <c r="L4986"/>
      <c r="M4986"/>
    </row>
    <row r="4987" spans="1:13" s="79" customFormat="1" x14ac:dyDescent="0.35">
      <c r="A4987" s="251"/>
      <c r="B4987" s="22"/>
      <c r="C4987" s="252"/>
      <c r="D4987" s="252"/>
      <c r="E4987" s="252"/>
      <c r="F4987" s="252"/>
      <c r="G4987" s="252"/>
      <c r="H4987" s="252"/>
      <c r="I4987" s="252"/>
      <c r="J4987" s="252"/>
      <c r="K4987" s="252"/>
      <c r="L4987"/>
      <c r="M4987"/>
    </row>
    <row r="4988" spans="1:13" s="79" customFormat="1" x14ac:dyDescent="0.35">
      <c r="A4988" s="251"/>
      <c r="B4988" s="22"/>
      <c r="C4988" s="252"/>
      <c r="D4988" s="252"/>
      <c r="E4988" s="252"/>
      <c r="F4988" s="252"/>
      <c r="G4988" s="252"/>
      <c r="H4988" s="252"/>
      <c r="I4988" s="252"/>
      <c r="J4988" s="252"/>
      <c r="K4988" s="252"/>
      <c r="L4988"/>
      <c r="M4988"/>
    </row>
    <row r="4989" spans="1:13" s="79" customFormat="1" x14ac:dyDescent="0.35">
      <c r="A4989" s="251"/>
      <c r="B4989" s="22"/>
      <c r="C4989" s="252"/>
      <c r="D4989" s="252"/>
      <c r="E4989" s="252"/>
      <c r="F4989" s="252"/>
      <c r="G4989" s="252"/>
      <c r="H4989" s="252"/>
      <c r="I4989" s="252"/>
      <c r="J4989" s="252"/>
      <c r="K4989" s="252"/>
      <c r="L4989"/>
      <c r="M4989"/>
    </row>
    <row r="4990" spans="1:13" s="79" customFormat="1" x14ac:dyDescent="0.35">
      <c r="A4990" s="251"/>
      <c r="B4990" s="22"/>
      <c r="C4990" s="252"/>
      <c r="D4990" s="252"/>
      <c r="E4990" s="252"/>
      <c r="F4990" s="252"/>
      <c r="G4990" s="252"/>
      <c r="H4990" s="252"/>
      <c r="I4990" s="252"/>
      <c r="J4990" s="252"/>
      <c r="K4990" s="252"/>
      <c r="L4990"/>
      <c r="M4990"/>
    </row>
    <row r="4991" spans="1:13" s="79" customFormat="1" x14ac:dyDescent="0.35">
      <c r="A4991" s="251"/>
      <c r="B4991" s="22"/>
      <c r="C4991" s="252"/>
      <c r="D4991" s="252"/>
      <c r="E4991" s="252"/>
      <c r="F4991" s="252"/>
      <c r="G4991" s="252"/>
      <c r="H4991" s="252"/>
      <c r="I4991" s="252"/>
      <c r="J4991" s="252"/>
      <c r="K4991" s="252"/>
      <c r="L4991"/>
      <c r="M4991"/>
    </row>
    <row r="4992" spans="1:13" s="79" customFormat="1" x14ac:dyDescent="0.35">
      <c r="A4992" s="251"/>
      <c r="B4992" s="22"/>
      <c r="C4992" s="252"/>
      <c r="D4992" s="252"/>
      <c r="E4992" s="252"/>
      <c r="F4992" s="252"/>
      <c r="G4992" s="252"/>
      <c r="H4992" s="252"/>
      <c r="I4992" s="252"/>
      <c r="J4992" s="252"/>
      <c r="K4992" s="252"/>
      <c r="L4992"/>
      <c r="M4992"/>
    </row>
    <row r="4993" spans="1:13" s="79" customFormat="1" x14ac:dyDescent="0.35">
      <c r="A4993" s="251"/>
      <c r="B4993" s="22"/>
      <c r="C4993" s="252"/>
      <c r="D4993" s="252"/>
      <c r="E4993" s="252"/>
      <c r="F4993" s="252"/>
      <c r="G4993" s="252"/>
      <c r="H4993" s="252"/>
      <c r="I4993" s="252"/>
      <c r="J4993" s="252"/>
      <c r="K4993" s="252"/>
      <c r="L4993"/>
      <c r="M4993"/>
    </row>
    <row r="4994" spans="1:13" s="79" customFormat="1" x14ac:dyDescent="0.35">
      <c r="A4994" s="251"/>
      <c r="B4994" s="22"/>
      <c r="C4994" s="252"/>
      <c r="D4994" s="252"/>
      <c r="E4994" s="252"/>
      <c r="F4994" s="252"/>
      <c r="G4994" s="252"/>
      <c r="H4994" s="252"/>
      <c r="I4994" s="252"/>
      <c r="J4994" s="252"/>
      <c r="K4994" s="252"/>
      <c r="L4994"/>
      <c r="M4994"/>
    </row>
    <row r="4995" spans="1:13" s="79" customFormat="1" x14ac:dyDescent="0.35">
      <c r="A4995" s="251"/>
      <c r="B4995" s="22"/>
      <c r="C4995" s="252"/>
      <c r="D4995" s="252"/>
      <c r="E4995" s="252"/>
      <c r="F4995" s="252"/>
      <c r="G4995" s="252"/>
      <c r="H4995" s="252"/>
      <c r="I4995" s="252"/>
      <c r="J4995" s="252"/>
      <c r="K4995" s="252"/>
      <c r="L4995"/>
      <c r="M4995"/>
    </row>
    <row r="4996" spans="1:13" s="79" customFormat="1" x14ac:dyDescent="0.35">
      <c r="A4996" s="251"/>
      <c r="B4996" s="22"/>
      <c r="C4996" s="252"/>
      <c r="D4996" s="252"/>
      <c r="E4996" s="252"/>
      <c r="F4996" s="252"/>
      <c r="G4996" s="252"/>
      <c r="H4996" s="252"/>
      <c r="I4996" s="252"/>
      <c r="J4996" s="252"/>
      <c r="K4996" s="252"/>
      <c r="L4996"/>
      <c r="M4996"/>
    </row>
    <row r="4997" spans="1:13" s="79" customFormat="1" x14ac:dyDescent="0.35">
      <c r="A4997" s="251"/>
      <c r="B4997" s="22"/>
      <c r="C4997" s="252"/>
      <c r="D4997" s="252"/>
      <c r="E4997" s="252"/>
      <c r="F4997" s="252"/>
      <c r="G4997" s="252"/>
      <c r="H4997" s="252"/>
      <c r="I4997" s="252"/>
      <c r="J4997" s="252"/>
      <c r="K4997" s="252"/>
      <c r="L4997"/>
      <c r="M4997"/>
    </row>
    <row r="4998" spans="1:13" s="79" customFormat="1" x14ac:dyDescent="0.35">
      <c r="A4998" s="251"/>
      <c r="B4998" s="22"/>
      <c r="C4998" s="252"/>
      <c r="D4998" s="252"/>
      <c r="E4998" s="252"/>
      <c r="F4998" s="252"/>
      <c r="G4998" s="252"/>
      <c r="H4998" s="252"/>
      <c r="I4998" s="252"/>
      <c r="J4998" s="252"/>
      <c r="K4998" s="252"/>
      <c r="L4998"/>
      <c r="M4998"/>
    </row>
  </sheetData>
  <conditionalFormatting sqref="B2:B4998">
    <cfRule type="expression" dxfId="217" priority="1">
      <formula>ROW()=CELL("row")</formula>
    </cfRule>
  </conditionalFormatting>
  <conditionalFormatting sqref="F1:F1048576">
    <cfRule type="containsText" dxfId="216" priority="2" operator="containsText" text="Unplanned_Loss">
      <formula>NOT(ISERROR(SEARCH("Unplanned_Loss",F1)))</formula>
    </cfRule>
    <cfRule type="containsText" dxfId="215" priority="3" operator="containsText" text="Planned_Loss">
      <formula>NOT(ISERROR(SEARCH("Planned_Loss",F1)))</formula>
    </cfRule>
  </conditionalFormatting>
  <conditionalFormatting sqref="F50">
    <cfRule type="containsText" dxfId="214" priority="4" operator="containsText" text="Unplanned_Loss">
      <formula>NOT(ISERROR(SEARCH("Unplanned_Loss",F50)))</formula>
    </cfRule>
    <cfRule type="containsText" dxfId="213" priority="5" operator="containsText" text="Planned_Loss">
      <formula>NOT(ISERROR(SEARCH("Planned_Loss",F50)))</formula>
    </cfRule>
  </conditionalFormatting>
  <dataValidations count="2">
    <dataValidation type="list" allowBlank="1" showInputMessage="1" showErrorMessage="1" sqref="E146:E4998 D147:D4998 G2:G4998 D2:E144" xr:uid="{53D7164E-3E94-49D4-AD5C-6B1AD77684E4}">
      <formula1>INDIRECT(C2)</formula1>
    </dataValidation>
    <dataValidation type="list" allowBlank="1" showInputMessage="1" showErrorMessage="1" sqref="B2:B4998" xr:uid="{40DD1501-98DC-4A4C-9D83-F1F4F3778EB3}">
      <formula1>"A,B,C"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11B7B92-2459-4CEB-A467-62E48AC04B96}">
          <x14:formula1>
            <xm:f>'Look up (2)'!$A$2:$A$17</xm:f>
          </x14:formula1>
          <xm:sqref>C149:C4998 C2:C144</xm:sqref>
        </x14:dataValidation>
        <x14:dataValidation type="list" allowBlank="1" showInputMessage="1" showErrorMessage="1" xr:uid="{51C22061-F003-4538-99A2-F9410F043710}">
          <x14:formula1>
            <xm:f>'Look up (2)'!$AZ$1:$BA$1</xm:f>
          </x14:formula1>
          <xm:sqref>F1:F1048576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0BF29-E63D-40B6-BE38-44C561F5C4C6}">
  <dimension ref="A1:BE373"/>
  <sheetViews>
    <sheetView topLeftCell="A268" zoomScale="80" zoomScaleNormal="80" workbookViewId="0">
      <pane xSplit="1" topLeftCell="C1" activePane="topRight" state="frozen"/>
      <selection activeCell="A29" sqref="A29"/>
      <selection pane="topRight" activeCell="C285" sqref="C285"/>
    </sheetView>
  </sheetViews>
  <sheetFormatPr defaultColWidth="14.453125" defaultRowHeight="14.5" x14ac:dyDescent="0.35"/>
  <cols>
    <col min="1" max="1" width="12.81640625" customWidth="1"/>
    <col min="2" max="2" width="13.1796875" hidden="1" customWidth="1"/>
    <col min="3" max="3" width="13.1796875" customWidth="1"/>
    <col min="4" max="4" width="18.7265625" customWidth="1"/>
    <col min="5" max="5" width="12.453125" customWidth="1"/>
    <col min="6" max="6" width="10.7265625" hidden="1" customWidth="1"/>
    <col min="7" max="7" width="17.453125" customWidth="1"/>
    <col min="8" max="8" width="12.81640625" customWidth="1"/>
    <col min="9" max="9" width="14" customWidth="1"/>
    <col min="10" max="10" width="15.81640625" hidden="1" customWidth="1"/>
    <col min="11" max="11" width="17.453125" hidden="1" customWidth="1"/>
    <col min="12" max="12" width="18.7265625" hidden="1" customWidth="1"/>
    <col min="13" max="13" width="18.26953125" customWidth="1"/>
    <col min="14" max="15" width="22.453125" hidden="1" customWidth="1"/>
    <col min="16" max="16" width="14.453125" hidden="1" customWidth="1"/>
    <col min="17" max="17" width="22.453125" hidden="1" customWidth="1"/>
    <col min="18" max="19" width="19.453125" hidden="1" customWidth="1"/>
    <col min="20" max="27" width="22.453125" customWidth="1"/>
    <col min="28" max="28" width="22.81640625" customWidth="1"/>
    <col min="29" max="29" width="24.453125" customWidth="1"/>
    <col min="30" max="36" width="22.453125" customWidth="1"/>
    <col min="37" max="42" width="22.453125" hidden="1" customWidth="1"/>
    <col min="43" max="43" width="25.81640625" hidden="1" customWidth="1"/>
    <col min="44" max="47" width="22.453125" hidden="1" customWidth="1"/>
    <col min="48" max="48" width="22.453125" style="68" hidden="1" customWidth="1"/>
    <col min="49" max="51" width="22.453125" style="220" hidden="1" customWidth="1"/>
    <col min="52" max="52" width="22.453125" hidden="1" customWidth="1"/>
    <col min="53" max="53" width="15.453125" hidden="1" customWidth="1"/>
    <col min="54" max="54" width="14.453125" customWidth="1"/>
  </cols>
  <sheetData>
    <row r="1" spans="1:57" ht="15" thickBot="1" x14ac:dyDescent="0.4">
      <c r="F1" s="18">
        <f>SUBTOTAL(9,Table110[Plan])</f>
        <v>5464.9472869999991</v>
      </c>
      <c r="G1" s="18">
        <f>SUBTOTAL(9,Table110[Volume Delivered (T)])</f>
        <v>5508.6195680000001</v>
      </c>
      <c r="H1" s="69">
        <f ca="1">SUBTOTAL(1,Table110[GE - Target])</f>
        <v>0.76445593451040028</v>
      </c>
      <c r="I1" s="69">
        <f ca="1">SUBTOTAL(1,Table110[GE - Actual])</f>
        <v>0.77841110917676304</v>
      </c>
      <c r="J1" s="18">
        <f>SUBTOTAL(9,Table110[Legal Non-Operating Time])</f>
        <v>0</v>
      </c>
      <c r="K1" s="18">
        <f>SUBTOTAL(9,Table110[No Demand Time])</f>
        <v>40</v>
      </c>
      <c r="L1" s="18">
        <f>SUBTOTAL(9,Table110[Force Majeure])</f>
        <v>4</v>
      </c>
      <c r="N1" s="20">
        <f>SUBTOTAL(1,Table110[waste (%) - MTD])</f>
        <v>4.1427461139896392E-2</v>
      </c>
      <c r="O1" s="72"/>
      <c r="Q1" s="72">
        <f>SUBTOTAL(9,Table110[TBM ACTIVITIES PLANNED])</f>
        <v>118</v>
      </c>
      <c r="R1" s="72">
        <f>SUBTOTAL(9,Table110[TBM ACTIVITIES COMPLETED])</f>
        <v>106</v>
      </c>
      <c r="S1" s="18">
        <f>SUBTOTAL(9,Table110[Hours Used])</f>
        <v>4804</v>
      </c>
      <c r="AJ1" s="18">
        <f ca="1">SUBTOTAL(9,Table110[Operating Time])</f>
        <v>3740.3775155775279</v>
      </c>
    </row>
    <row r="2" spans="1:57" ht="23.15" customHeight="1" x14ac:dyDescent="0.35">
      <c r="A2" s="236" t="s">
        <v>0</v>
      </c>
      <c r="B2" s="237" t="s">
        <v>54</v>
      </c>
      <c r="C2" s="237" t="s">
        <v>1</v>
      </c>
      <c r="D2" s="238" t="s">
        <v>55</v>
      </c>
      <c r="E2" s="238" t="s">
        <v>56</v>
      </c>
      <c r="F2" s="238" t="s">
        <v>57</v>
      </c>
      <c r="G2" s="238" t="s">
        <v>58</v>
      </c>
      <c r="H2" s="238" t="s">
        <v>59</v>
      </c>
      <c r="I2" s="238" t="s">
        <v>60</v>
      </c>
      <c r="J2" s="239" t="s">
        <v>61</v>
      </c>
      <c r="K2" s="239" t="s">
        <v>62</v>
      </c>
      <c r="L2" s="239" t="s">
        <v>63</v>
      </c>
      <c r="M2" s="240" t="s">
        <v>64</v>
      </c>
      <c r="N2" s="241" t="s">
        <v>65</v>
      </c>
      <c r="O2" s="241" t="s">
        <v>66</v>
      </c>
      <c r="P2" s="241" t="s">
        <v>67</v>
      </c>
      <c r="Q2" s="241" t="s">
        <v>68</v>
      </c>
      <c r="R2" s="1" t="s">
        <v>69</v>
      </c>
      <c r="S2" s="1" t="s">
        <v>70</v>
      </c>
      <c r="T2" s="242" t="s">
        <v>71</v>
      </c>
      <c r="U2" s="243" t="s">
        <v>72</v>
      </c>
      <c r="V2" s="243" t="s">
        <v>73</v>
      </c>
      <c r="W2" s="243" t="s">
        <v>74</v>
      </c>
      <c r="X2" s="243" t="s">
        <v>75</v>
      </c>
      <c r="Y2" s="243" t="s">
        <v>76</v>
      </c>
      <c r="Z2" s="243" t="s">
        <v>77</v>
      </c>
      <c r="AA2" s="243" t="s">
        <v>78</v>
      </c>
      <c r="AB2" s="244" t="s">
        <v>79</v>
      </c>
      <c r="AC2" s="245" t="s">
        <v>80</v>
      </c>
      <c r="AD2" s="245" t="s">
        <v>53</v>
      </c>
      <c r="AE2" s="245" t="s">
        <v>81</v>
      </c>
      <c r="AF2" s="245" t="s">
        <v>82</v>
      </c>
      <c r="AG2" s="245" t="s">
        <v>83</v>
      </c>
      <c r="AH2" s="245" t="s">
        <v>84</v>
      </c>
      <c r="AI2" s="246" t="s">
        <v>85</v>
      </c>
      <c r="AJ2" s="246" t="s">
        <v>86</v>
      </c>
      <c r="AK2" s="242" t="s">
        <v>87</v>
      </c>
      <c r="AL2" s="242" t="s">
        <v>88</v>
      </c>
      <c r="AM2" s="247" t="s">
        <v>89</v>
      </c>
      <c r="AN2" s="247" t="s">
        <v>90</v>
      </c>
      <c r="AO2" s="247" t="s">
        <v>91</v>
      </c>
      <c r="AP2" s="247" t="s">
        <v>92</v>
      </c>
      <c r="AQ2" s="247" t="s">
        <v>93</v>
      </c>
      <c r="AR2" s="247" t="s">
        <v>94</v>
      </c>
      <c r="AS2" s="247" t="s">
        <v>95</v>
      </c>
      <c r="AT2" s="2" t="s">
        <v>96</v>
      </c>
      <c r="AU2" s="247" t="s">
        <v>97</v>
      </c>
      <c r="AV2" s="248" t="s">
        <v>98</v>
      </c>
      <c r="AW2" s="249" t="s">
        <v>99</v>
      </c>
      <c r="AX2" s="249" t="s">
        <v>100</v>
      </c>
      <c r="AY2" s="249" t="s">
        <v>101</v>
      </c>
      <c r="AZ2" s="249" t="s">
        <v>102</v>
      </c>
      <c r="BA2" s="250" t="s">
        <v>103</v>
      </c>
    </row>
    <row r="3" spans="1:57" ht="20.149999999999999" customHeight="1" x14ac:dyDescent="0.35">
      <c r="A3" s="21">
        <v>46020</v>
      </c>
      <c r="B3" s="22" t="str">
        <f t="shared" ref="B3:B9" si="0">IF(A3="","",TEXT(A3,"dddddd"))</f>
        <v>Monday</v>
      </c>
      <c r="C3" s="22"/>
      <c r="D3" s="23" t="s">
        <v>104</v>
      </c>
      <c r="E3" s="24" cm="1">
        <f t="array" aca="1" ref="E3" ca="1">IFERROR(INDIRECT(D3),"")</f>
        <v>33.4</v>
      </c>
      <c r="F3" s="25">
        <v>14</v>
      </c>
      <c r="G3" s="26">
        <v>21.4</v>
      </c>
      <c r="H3" s="27">
        <f ca="1">IFERROR((Table110[[#This Row],[Plan]]/Table110[[#This Row],[Hours Used]])/(Table110[[#This Row],[SOC (TPD)]]/24),"")</f>
        <v>0.41916167664670662</v>
      </c>
      <c r="I3" s="27">
        <f ca="1">IFERROR((Table110[[#This Row],[Volume Delivered (T)]]/Table110[[#This Row],[Hours Used]])/(Table110[[#This Row],[SOC (TPD)]]/24),"")</f>
        <v>0.64071856287425144</v>
      </c>
      <c r="J3" s="28"/>
      <c r="K3" s="28"/>
      <c r="L3" s="28"/>
      <c r="M3" s="25"/>
      <c r="N3" s="29">
        <v>3.5000000000000003E-2</v>
      </c>
      <c r="O3" s="84"/>
      <c r="P3" s="25"/>
      <c r="Q3" s="25"/>
      <c r="R3" s="70">
        <v>1</v>
      </c>
      <c r="S3" s="71">
        <v>1</v>
      </c>
      <c r="T3" s="30">
        <f>IF(Table110[[#This Row],[SKU]]="",0,24-Table110[[#This Row],[Legal Non-Operating Time]]-Table110[[#This Row],[No Demand Time]]-Table110[[#This Row],[Force Majeure]])</f>
        <v>24</v>
      </c>
      <c r="U3" s="26"/>
      <c r="V3" s="26"/>
      <c r="W3" s="26">
        <v>9</v>
      </c>
      <c r="X3" s="26"/>
      <c r="Y3" s="26"/>
      <c r="Z3" s="26"/>
      <c r="AA3" s="26"/>
      <c r="AB3" s="30">
        <f>Table110[[#This Row],[Hours Used]]-SUM(Table110[[#This Row],[Planned Maintenance]:[Start and Finish Production]])</f>
        <v>15</v>
      </c>
      <c r="AC3" s="26"/>
      <c r="AD3" s="26"/>
      <c r="AE3" s="26"/>
      <c r="AF3" s="26"/>
      <c r="AG3" s="26"/>
      <c r="AH3" s="26"/>
      <c r="AI3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-0.12574850299401183</v>
      </c>
      <c r="AJ3" s="24">
        <f ca="1">IFERROR(IF(Table110[[#This Row],[SKU]]="",0,Table110[[#This Row],[Quality Loss (T)]]/(Table110[[#This Row],[SOC (TPD)]]/24)),"")</f>
        <v>0</v>
      </c>
      <c r="AK3" s="31">
        <f ca="1">IFERROR(IF(Table110[[#This Row],[SKU]]="",0,Table110[[#This Row],[Volume Delivered (T)]]/(Table110[[#This Row],[SOC (TPD)]]/24)),"")</f>
        <v>15.377245508982035</v>
      </c>
      <c r="AL3" s="31">
        <f ca="1">IFERROR(Table110[[#This Row],[Operating Time]]/Table110[[#This Row],[PRODUCTION HOURS]],"")</f>
        <v>1.0251497005988024</v>
      </c>
      <c r="AM3" s="32"/>
      <c r="AN3" s="32" t="s">
        <v>105</v>
      </c>
      <c r="AO3" s="32" t="s">
        <v>105</v>
      </c>
      <c r="AP3" s="32">
        <v>6</v>
      </c>
      <c r="AQ3" s="32">
        <v>6</v>
      </c>
      <c r="AR3" s="32">
        <v>6</v>
      </c>
      <c r="AS3" s="32" t="str">
        <f>IFERROR(SUMIFS(#REF!,#REF!,'Shift Wise-Data Sheet'!A:A,#REF!,"Samridhi Perk Line")/SUMIFS(#REF!,#REF!,'Shift Wise-Data Sheet'!A:A,#REF!,"Samridhi Perk Line"),"")</f>
        <v/>
      </c>
      <c r="AT3" s="32"/>
      <c r="AU3" s="32">
        <v>0</v>
      </c>
      <c r="AV3" s="211" t="str">
        <f>IFERROR(VLOOKUP(Table110[[#This Row],[Date]],'Overweight Data'!A1:G1096,6,FALSE),"")</f>
        <v/>
      </c>
      <c r="AW3" s="221">
        <f ca="1">IFERROR(
   IF(
      OR(Table110[[#This Row],[Operating Time]]=0, (Table110[[#This Row],[Operating Time]]/IF(AD3&lt;=1,AD3+1,AD3))*60=0),
      1,
      ((Table110[[#This Row],[Operating Time]])/IF(AD3&lt;=1,AD3+1,AD3))*60
   ),
"_")</f>
        <v>922.6347305389221</v>
      </c>
      <c r="AX3" s="221">
        <f>COUNTIFS('Downtime Data'!A:A,Table110[[#This Row],[Date]])</f>
        <v>1</v>
      </c>
      <c r="AY3" s="219">
        <f>IFERROR((SUM(Table110[[#This Row],[Minor Stoppages]:[Material Shortages]])/Table110[[#This Row],['# Stops]])*60,"")</f>
        <v>0</v>
      </c>
      <c r="AZ3" s="219"/>
      <c r="BA3" s="33">
        <v>46048</v>
      </c>
    </row>
    <row r="4" spans="1:57" ht="20.149999999999999" customHeight="1" x14ac:dyDescent="0.35">
      <c r="A4" s="21">
        <v>46021</v>
      </c>
      <c r="B4" s="22" t="str">
        <f t="shared" si="0"/>
        <v>Tuesday</v>
      </c>
      <c r="C4" s="22"/>
      <c r="D4" s="23" t="s">
        <v>106</v>
      </c>
      <c r="E4" s="24" cm="1">
        <f t="array" aca="1" ref="E4" ca="1">IFERROR(INDIRECT(D4),"")</f>
        <v>39.200000000000003</v>
      </c>
      <c r="F4" s="25">
        <v>32</v>
      </c>
      <c r="G4" s="26">
        <v>34.799999999999997</v>
      </c>
      <c r="H4" s="27">
        <f ca="1">IFERROR((Table110[[#This Row],[Plan]]/Table110[[#This Row],[Hours Used]])/(Table110[[#This Row],[SOC (TPD)]]/24),"")</f>
        <v>0.81632653061224481</v>
      </c>
      <c r="I4" s="27">
        <f ca="1">IFERROR((Table110[[#This Row],[Volume Delivered (T)]]/Table110[[#This Row],[Hours Used]])/(Table110[[#This Row],[SOC (TPD)]]/24),"")</f>
        <v>0.8877551020408162</v>
      </c>
      <c r="J4" s="28"/>
      <c r="K4" s="28"/>
      <c r="L4" s="28"/>
      <c r="M4" s="25"/>
      <c r="N4" s="29">
        <v>3.5000000000000003E-2</v>
      </c>
      <c r="O4" s="84"/>
      <c r="P4" s="25"/>
      <c r="Q4" s="25"/>
      <c r="R4" s="70">
        <v>1</v>
      </c>
      <c r="S4" s="71"/>
      <c r="T4" s="30">
        <f>IF(Table110[[#This Row],[SKU]]="",0,24-Table110[[#This Row],[Legal Non-Operating Time]]-Table110[[#This Row],[No Demand Time]]-Table110[[#This Row],[Force Majeure]])</f>
        <v>24</v>
      </c>
      <c r="U4" s="26"/>
      <c r="V4" s="26"/>
      <c r="W4" s="26"/>
      <c r="X4" s="26">
        <v>2</v>
      </c>
      <c r="Y4" s="26"/>
      <c r="Z4" s="26"/>
      <c r="AA4" s="26"/>
      <c r="AB4" s="30">
        <f>Table110[[#This Row],[Hours Used]]-SUM(Table110[[#This Row],[Planned Maintenance]:[Start and Finish Production]])</f>
        <v>22</v>
      </c>
      <c r="AC4" s="26"/>
      <c r="AD4" s="26">
        <v>0.5</v>
      </c>
      <c r="AE4" s="26"/>
      <c r="AF4" s="26"/>
      <c r="AG4" s="26"/>
      <c r="AH4" s="26"/>
      <c r="AI4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6.4625850340137944E-2</v>
      </c>
      <c r="AJ4" s="24">
        <f ca="1">IFERROR(IF(Table110[[#This Row],[SKU]]="",0,Table110[[#This Row],[Quality Loss (T)]]/(Table110[[#This Row],[SOC (TPD)]]/24)),"")</f>
        <v>0</v>
      </c>
      <c r="AK4" s="31">
        <f ca="1">IFERROR(IF(Table110[[#This Row],[SKU]]="",0,Table110[[#This Row],[Volume Delivered (T)]]/(Table110[[#This Row],[SOC (TPD)]]/24)),"")</f>
        <v>21.306122448979586</v>
      </c>
      <c r="AL4" s="31">
        <f ca="1">IFERROR(Table110[[#This Row],[Operating Time]]/Table110[[#This Row],[PRODUCTION HOURS]],"")</f>
        <v>0.96846011131725396</v>
      </c>
      <c r="AM4" s="32"/>
      <c r="AN4" s="32" t="s">
        <v>105</v>
      </c>
      <c r="AO4" s="32" t="s">
        <v>105</v>
      </c>
      <c r="AP4" s="32">
        <v>0</v>
      </c>
      <c r="AQ4" s="32">
        <v>0</v>
      </c>
      <c r="AR4" s="32"/>
      <c r="AS4" s="32" t="str">
        <f>IFERROR(SUMIFS(#REF!,#REF!,'Shift Wise-Data Sheet'!A:A,#REF!,"Samridhi Perk Line")/SUMIFS(#REF!,#REF!,'Shift Wise-Data Sheet'!A:A,#REF!,"Samridhi Perk Line"),"")</f>
        <v/>
      </c>
      <c r="AT4" s="32"/>
      <c r="AU4" s="32">
        <v>0</v>
      </c>
      <c r="AV4" s="211" t="str">
        <f>IFERROR(VLOOKUP(Table110[[#This Row],[Date]],'Overweight Data'!A2:G1097,6,FALSE),"")</f>
        <v/>
      </c>
      <c r="AW4" s="221">
        <f ca="1">IFERROR(
   IF(
      OR(Table110[[#This Row],[Operating Time]]=0, (Table110[[#This Row],[Operating Time]]/IF(AD4&lt;=1,AD4+1,AD4))*60=0),
      1,
      ((Table110[[#This Row],[Operating Time]])/IF(AD4&lt;=1,AD4+1,AD4))*60
   ),
"_")</f>
        <v>852.24489795918339</v>
      </c>
      <c r="AX4" s="221">
        <f>COUNTIFS('Downtime Data'!A:A,Table110[[#This Row],[Date]])</f>
        <v>1</v>
      </c>
      <c r="AY4" s="219">
        <f>IFERROR((SUM(Table110[[#This Row],[Minor Stoppages]:[Material Shortages]])/Table110[[#This Row],['# Stops]])*60,"")</f>
        <v>30</v>
      </c>
      <c r="AZ4" s="219"/>
      <c r="BA4" s="33">
        <v>46048</v>
      </c>
      <c r="BE4">
        <f>21*7</f>
        <v>147</v>
      </c>
    </row>
    <row r="5" spans="1:57" ht="20.149999999999999" customHeight="1" x14ac:dyDescent="0.35">
      <c r="A5" s="21">
        <v>46022</v>
      </c>
      <c r="B5" s="22" t="str">
        <f t="shared" si="0"/>
        <v>Wednesday</v>
      </c>
      <c r="C5" s="22"/>
      <c r="D5" s="23" t="s">
        <v>106</v>
      </c>
      <c r="E5" s="24" cm="1">
        <f t="array" aca="1" ref="E5" ca="1">IFERROR(INDIRECT(D5),"")</f>
        <v>39.200000000000003</v>
      </c>
      <c r="F5" s="25">
        <v>32</v>
      </c>
      <c r="G5" s="26">
        <v>38.299999999999997</v>
      </c>
      <c r="H5" s="27">
        <f ca="1">IFERROR((Table110[[#This Row],[Plan]]/Table110[[#This Row],[Hours Used]])/(Table110[[#This Row],[SOC (TPD)]]/24),"")</f>
        <v>0.81632653061224481</v>
      </c>
      <c r="I5" s="27">
        <f ca="1">IFERROR((Table110[[#This Row],[Volume Delivered (T)]]/Table110[[#This Row],[Hours Used]])/(Table110[[#This Row],[SOC (TPD)]]/24),"")</f>
        <v>0.97704081632653039</v>
      </c>
      <c r="J5" s="28"/>
      <c r="K5" s="28"/>
      <c r="L5" s="28"/>
      <c r="M5" s="25"/>
      <c r="N5" s="29">
        <v>3.5000000000000003E-2</v>
      </c>
      <c r="O5" s="84"/>
      <c r="P5" s="25"/>
      <c r="Q5" s="25"/>
      <c r="R5" s="70">
        <v>1</v>
      </c>
      <c r="S5" s="71">
        <v>1</v>
      </c>
      <c r="T5" s="30">
        <f>IF(Table110[[#This Row],[SKU]]="",0,24-Table110[[#This Row],[Legal Non-Operating Time]]-Table110[[#This Row],[No Demand Time]]-Table110[[#This Row],[Force Majeure]])</f>
        <v>24</v>
      </c>
      <c r="U5" s="26"/>
      <c r="V5" s="26"/>
      <c r="W5" s="26"/>
      <c r="X5" s="26"/>
      <c r="Y5" s="26"/>
      <c r="Z5" s="26"/>
      <c r="AA5" s="26"/>
      <c r="AB5" s="30">
        <f>Table110[[#This Row],[Hours Used]]-SUM(Table110[[#This Row],[Planned Maintenance]:[Start and Finish Production]])</f>
        <v>24</v>
      </c>
      <c r="AC5" s="26"/>
      <c r="AD5" s="26"/>
      <c r="AE5" s="26"/>
      <c r="AF5" s="26"/>
      <c r="AG5" s="26"/>
      <c r="AH5" s="26"/>
      <c r="AI5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0.18367346938775717</v>
      </c>
      <c r="AJ5" s="24">
        <f ca="1">IFERROR(IF(Table110[[#This Row],[SKU]]="",0,Table110[[#This Row],[Quality Loss (T)]]/(Table110[[#This Row],[SOC (TPD)]]/24)),"")</f>
        <v>0</v>
      </c>
      <c r="AK5" s="31">
        <f ca="1">IFERROR(IF(Table110[[#This Row],[SKU]]="",0,Table110[[#This Row],[Volume Delivered (T)]]/(Table110[[#This Row],[SOC (TPD)]]/24)),"")</f>
        <v>23.448979591836729</v>
      </c>
      <c r="AL5" s="31">
        <f ca="1">IFERROR(Table110[[#This Row],[Operating Time]]/Table110[[#This Row],[PRODUCTION HOURS]],"")</f>
        <v>0.97704081632653039</v>
      </c>
      <c r="AM5" s="32"/>
      <c r="AN5" s="32" t="s">
        <v>105</v>
      </c>
      <c r="AO5" s="32" t="s">
        <v>105</v>
      </c>
      <c r="AP5" s="32">
        <v>0</v>
      </c>
      <c r="AQ5" s="32">
        <v>0</v>
      </c>
      <c r="AR5" s="32"/>
      <c r="AS5" s="32" t="str">
        <f>IFERROR(SUMIFS(#REF!,#REF!,'Shift Wise-Data Sheet'!A:A,#REF!,"Samridhi Perk Line")/SUMIFS(#REF!,#REF!,'Shift Wise-Data Sheet'!A:A,#REF!,"Samridhi Perk Line"),"")</f>
        <v/>
      </c>
      <c r="AT5" s="32"/>
      <c r="AU5" s="32">
        <v>0</v>
      </c>
      <c r="AV5" s="211" t="str">
        <f>IFERROR(VLOOKUP(Table110[[#This Row],[Date]],'Overweight Data'!A3:G1098,6,FALSE),"")</f>
        <v/>
      </c>
      <c r="AW5" s="221">
        <f ca="1">IFERROR(
   IF(
      OR(Table110[[#This Row],[Operating Time]]=0, (Table110[[#This Row],[Operating Time]]/IF(AD5&lt;=1,AD5+1,AD5))*60=0),
      1,
      ((Table110[[#This Row],[Operating Time]])/IF(AD5&lt;=1,AD5+1,AD5))*60
   ),
"_")</f>
        <v>1406.9387755102036</v>
      </c>
      <c r="AX5" s="221">
        <f>COUNTIFS('Downtime Data'!A:A,Table110[[#This Row],[Date]])</f>
        <v>0</v>
      </c>
      <c r="AY5" s="219" t="str">
        <f>IFERROR((SUM(Table110[[#This Row],[Minor Stoppages]:[Material Shortages]])/Table110[[#This Row],['# Stops]])*60,"")</f>
        <v/>
      </c>
      <c r="AZ5" s="219"/>
      <c r="BA5" s="33">
        <v>46048</v>
      </c>
    </row>
    <row r="6" spans="1:57" ht="20.149999999999999" customHeight="1" x14ac:dyDescent="0.35">
      <c r="A6" s="21">
        <v>46023</v>
      </c>
      <c r="B6" s="22" t="str">
        <f t="shared" si="0"/>
        <v>Thursday</v>
      </c>
      <c r="C6" s="22"/>
      <c r="D6" s="23" t="s">
        <v>106</v>
      </c>
      <c r="E6" s="24" cm="1">
        <f t="array" aca="1" ref="E6" ca="1">IFERROR(INDIRECT(D6),"")</f>
        <v>39.200000000000003</v>
      </c>
      <c r="F6" s="25">
        <v>27.5</v>
      </c>
      <c r="G6" s="26">
        <v>35.5</v>
      </c>
      <c r="H6" s="27">
        <f ca="1">IFERROR((Table110[[#This Row],[Plan]]/Table110[[#This Row],[Hours Used]])/(Table110[[#This Row],[SOC (TPD)]]/24),"")</f>
        <v>0.70153061224489788</v>
      </c>
      <c r="I6" s="27">
        <f ca="1">IFERROR((Table110[[#This Row],[Volume Delivered (T)]]/Table110[[#This Row],[Hours Used]])/(Table110[[#This Row],[SOC (TPD)]]/24),"")</f>
        <v>0.90561224489795911</v>
      </c>
      <c r="J6" s="28"/>
      <c r="K6" s="28"/>
      <c r="L6" s="28"/>
      <c r="M6" s="25">
        <v>1.756</v>
      </c>
      <c r="N6" s="29">
        <v>3.5000000000000003E-2</v>
      </c>
      <c r="O6" s="84"/>
      <c r="P6" s="25"/>
      <c r="Q6" s="25"/>
      <c r="R6" s="70">
        <v>0</v>
      </c>
      <c r="S6" s="71">
        <v>0</v>
      </c>
      <c r="T6" s="30">
        <f>IF(Table110[[#This Row],[SKU]]="",0,24-Table110[[#This Row],[Legal Non-Operating Time]]-Table110[[#This Row],[No Demand Time]]-Table110[[#This Row],[Force Majeure]])</f>
        <v>24</v>
      </c>
      <c r="U6" s="26"/>
      <c r="V6" s="26"/>
      <c r="W6" s="26"/>
      <c r="X6" s="26">
        <v>1</v>
      </c>
      <c r="Y6" s="26"/>
      <c r="Z6" s="26"/>
      <c r="AA6" s="26"/>
      <c r="AB6" s="30">
        <f>Table110[[#This Row],[Hours Used]]-SUM(Table110[[#This Row],[Planned Maintenance]:[Start and Finish Production]])</f>
        <v>23</v>
      </c>
      <c r="AC6" s="26"/>
      <c r="AD6" s="26"/>
      <c r="AE6" s="26"/>
      <c r="AF6" s="26"/>
      <c r="AG6" s="26"/>
      <c r="AH6" s="26"/>
      <c r="AI6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6.3401360544219187E-2</v>
      </c>
      <c r="AJ6" s="24">
        <f ca="1">IFERROR(IF(Table110[[#This Row],[SKU]]="",0,Table110[[#This Row],[Quality Loss (T)]]/(Table110[[#This Row],[SOC (TPD)]]/24)),"")</f>
        <v>1.0751020408163263</v>
      </c>
      <c r="AK6" s="31">
        <f ca="1">IFERROR(IF(Table110[[#This Row],[SKU]]="",0,Table110[[#This Row],[Volume Delivered (T)]]/(Table110[[#This Row],[SOC (TPD)]]/24)),"")</f>
        <v>21.734693877551017</v>
      </c>
      <c r="AL6" s="31">
        <f ca="1">IFERROR(Table110[[#This Row],[Operating Time]]/Table110[[#This Row],[PRODUCTION HOURS]],"")</f>
        <v>0.94498669032830507</v>
      </c>
      <c r="AM6" s="32">
        <v>96</v>
      </c>
      <c r="AN6" s="32" t="s">
        <v>107</v>
      </c>
      <c r="AO6" s="32" t="s">
        <v>105</v>
      </c>
      <c r="AP6" s="32">
        <v>23</v>
      </c>
      <c r="AQ6" s="32">
        <v>23</v>
      </c>
      <c r="AR6" s="32"/>
      <c r="AS6" s="32" t="str">
        <f>IFERROR(SUMIFS(#REF!,#REF!,'Shift Wise-Data Sheet'!A:A,#REF!,"Samridhi Perk Line")/SUMIFS(#REF!,#REF!,'Shift Wise-Data Sheet'!A:A,#REF!,"Samridhi Perk Line"),"")</f>
        <v/>
      </c>
      <c r="AT6" s="32">
        <v>13</v>
      </c>
      <c r="AU6" s="32">
        <v>0</v>
      </c>
      <c r="AV6" s="211" t="str">
        <f>IFERROR(VLOOKUP(Table110[[#This Row],[Date]],'Overweight Data'!A4:G1099,6,FALSE),"")</f>
        <v/>
      </c>
      <c r="AW6" s="221">
        <f ca="1">IFERROR(
   IF(
      OR(Table110[[#This Row],[Operating Time]]=0, (Table110[[#This Row],[Operating Time]]/IF(AD6&lt;=1,AD6+1,AD6))*60=0),
      1,
      ((Table110[[#This Row],[Operating Time]])/IF(AD6&lt;=1,AD6+1,AD6))*60
   ),
"_")</f>
        <v>1304.081632653061</v>
      </c>
      <c r="AX6" s="221">
        <f>COUNTIFS('Downtime Data'!A:A,Table110[[#This Row],[Date]])</f>
        <v>1</v>
      </c>
      <c r="AY6" s="219">
        <f>IFERROR((SUM(Table110[[#This Row],[Minor Stoppages]:[Material Shortages]])/Table110[[#This Row],['# Stops]])*60,"")</f>
        <v>0</v>
      </c>
      <c r="AZ6" s="219"/>
      <c r="BA6" s="33">
        <v>46048</v>
      </c>
    </row>
    <row r="7" spans="1:57" ht="20.149999999999999" customHeight="1" x14ac:dyDescent="0.35">
      <c r="A7" s="21">
        <v>46024</v>
      </c>
      <c r="B7" s="22" t="str">
        <f t="shared" si="0"/>
        <v>Friday</v>
      </c>
      <c r="C7" s="22"/>
      <c r="D7" s="23" t="s">
        <v>106</v>
      </c>
      <c r="E7" s="24" cm="1">
        <f t="array" aca="1" ref="E7" ca="1">IFERROR(INDIRECT(D7),"")</f>
        <v>39.200000000000003</v>
      </c>
      <c r="F7" s="25">
        <v>33.5</v>
      </c>
      <c r="G7" s="26">
        <v>35.1</v>
      </c>
      <c r="H7" s="27">
        <f ca="1">IFERROR((Table110[[#This Row],[Plan]]/Table110[[#This Row],[Hours Used]])/(Table110[[#This Row],[SOC (TPD)]]/24),"")</f>
        <v>0.85459183673469374</v>
      </c>
      <c r="I7" s="27">
        <f ca="1">IFERROR((Table110[[#This Row],[Volume Delivered (T)]]/Table110[[#This Row],[Hours Used]])/(Table110[[#This Row],[SOC (TPD)]]/24),"")</f>
        <v>0.89540816326530615</v>
      </c>
      <c r="J7" s="28"/>
      <c r="K7" s="28"/>
      <c r="L7" s="28"/>
      <c r="M7" s="25">
        <v>1.3859999999999999</v>
      </c>
      <c r="N7" s="29">
        <v>3.5000000000000003E-2</v>
      </c>
      <c r="O7" s="84"/>
      <c r="P7" s="25"/>
      <c r="Q7" s="25"/>
      <c r="R7" s="70">
        <v>1</v>
      </c>
      <c r="S7" s="71">
        <v>1</v>
      </c>
      <c r="T7" s="30">
        <f>IF(Table110[[#This Row],[SKU]]="",0,24-Table110[[#This Row],[Legal Non-Operating Time]]-Table110[[#This Row],[No Demand Time]]-Table110[[#This Row],[Force Majeure]])</f>
        <v>24</v>
      </c>
      <c r="U7" s="26"/>
      <c r="V7" s="26">
        <v>1</v>
      </c>
      <c r="W7" s="26"/>
      <c r="X7" s="26"/>
      <c r="Y7" s="26"/>
      <c r="Z7" s="26"/>
      <c r="AA7" s="26"/>
      <c r="AB7" s="30">
        <f>Table110[[#This Row],[Hours Used]]-SUM(Table110[[#This Row],[Planned Maintenance]:[Start and Finish Production]])</f>
        <v>23</v>
      </c>
      <c r="AC7" s="26">
        <v>0.18333333333333332</v>
      </c>
      <c r="AD7" s="26"/>
      <c r="AE7" s="26">
        <v>0.25</v>
      </c>
      <c r="AF7" s="26"/>
      <c r="AG7" s="26"/>
      <c r="AH7" s="26"/>
      <c r="AI7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7.6099773242630661E-2</v>
      </c>
      <c r="AJ7" s="24">
        <f ca="1">IFERROR(IF(Table110[[#This Row],[SKU]]="",0,Table110[[#This Row],[Quality Loss (T)]]/(Table110[[#This Row],[SOC (TPD)]]/24)),"")</f>
        <v>0.84857142857142842</v>
      </c>
      <c r="AK7" s="31">
        <f ca="1">IFERROR(IF(Table110[[#This Row],[SKU]]="",0,Table110[[#This Row],[Volume Delivered (T)]]/(Table110[[#This Row],[SOC (TPD)]]/24)),"")</f>
        <v>21.489795918367346</v>
      </c>
      <c r="AL7" s="31">
        <f ca="1">IFERROR(Table110[[#This Row],[Operating Time]]/Table110[[#This Row],[PRODUCTION HOURS]],"")</f>
        <v>0.93433895297249325</v>
      </c>
      <c r="AM7" s="32">
        <v>89</v>
      </c>
      <c r="AN7" s="32" t="s">
        <v>107</v>
      </c>
      <c r="AO7" s="32" t="s">
        <v>105</v>
      </c>
      <c r="AP7" s="32">
        <v>26</v>
      </c>
      <c r="AQ7" s="32">
        <v>26</v>
      </c>
      <c r="AR7" s="32">
        <v>1</v>
      </c>
      <c r="AS7" s="32" t="str">
        <f>IFERROR(SUMIFS(#REF!,#REF!,'Shift Wise-Data Sheet'!A:A,#REF!,"Samridhi Perk Line")/SUMIFS(#REF!,#REF!,'Shift Wise-Data Sheet'!A:A,#REF!,"Samridhi Perk Line"),"")</f>
        <v/>
      </c>
      <c r="AT7" s="32">
        <v>4</v>
      </c>
      <c r="AU7" s="32">
        <v>0</v>
      </c>
      <c r="AV7" s="211">
        <f>IFERROR(VLOOKUP(Table110[[#This Row],[Date]],'Overweight Data'!A5:G1100,6,FALSE),"")</f>
        <v>2.8879210220673648E-2</v>
      </c>
      <c r="AW7" s="221">
        <f ca="1">IFERROR(
   IF(
      OR(Table110[[#This Row],[Operating Time]]=0, (Table110[[#This Row],[Operating Time]]/IF(AD7&lt;=1,AD7+1,AD7))*60=0),
      1,
      ((Table110[[#This Row],[Operating Time]])/IF(AD7&lt;=1,AD7+1,AD7))*60
   ),
"_")</f>
        <v>1289.3877551020407</v>
      </c>
      <c r="AX7" s="221">
        <f>COUNTIFS('Downtime Data'!A:A,Table110[[#This Row],[Date]])</f>
        <v>2</v>
      </c>
      <c r="AY7" s="219">
        <f>IFERROR((SUM(Table110[[#This Row],[Minor Stoppages]:[Material Shortages]])/Table110[[#This Row],['# Stops]])*60,"")</f>
        <v>13</v>
      </c>
      <c r="AZ7" s="219"/>
      <c r="BA7" s="33">
        <v>46048</v>
      </c>
    </row>
    <row r="8" spans="1:57" ht="20.149999999999999" customHeight="1" x14ac:dyDescent="0.35">
      <c r="A8" s="21">
        <v>46025</v>
      </c>
      <c r="B8" s="22" t="str">
        <f t="shared" si="0"/>
        <v>Saturday</v>
      </c>
      <c r="C8" s="22"/>
      <c r="D8" s="23" t="s">
        <v>106</v>
      </c>
      <c r="E8" s="24" cm="1">
        <f t="array" aca="1" ref="E8" ca="1">IFERROR(INDIRECT(D8),"")</f>
        <v>39.200000000000003</v>
      </c>
      <c r="F8" s="25">
        <v>33.5</v>
      </c>
      <c r="G8" s="26">
        <v>35.1</v>
      </c>
      <c r="H8" s="27">
        <f ca="1">IFERROR((Table110[[#This Row],[Plan]]/Table110[[#This Row],[Hours Used]])/(Table110[[#This Row],[SOC (TPD)]]/24),"")</f>
        <v>0.85459183673469374</v>
      </c>
      <c r="I8" s="27">
        <f ca="1">IFERROR((Table110[[#This Row],[Volume Delivered (T)]]/Table110[[#This Row],[Hours Used]])/(Table110[[#This Row],[SOC (TPD)]]/24),"")</f>
        <v>0.89540816326530615</v>
      </c>
      <c r="J8" s="28"/>
      <c r="K8" s="28"/>
      <c r="L8" s="28"/>
      <c r="M8" s="25">
        <v>2.0379999999999998</v>
      </c>
      <c r="N8" s="29">
        <v>3.5000000000000003E-2</v>
      </c>
      <c r="O8" s="84"/>
      <c r="P8" s="25"/>
      <c r="Q8" s="25"/>
      <c r="R8" s="70">
        <v>0</v>
      </c>
      <c r="S8" s="71">
        <v>0</v>
      </c>
      <c r="T8" s="30">
        <f>IF(Table110[[#This Row],[SKU]]="",0,24-Table110[[#This Row],[Legal Non-Operating Time]]-Table110[[#This Row],[No Demand Time]]-Table110[[#This Row],[Force Majeure]])</f>
        <v>24</v>
      </c>
      <c r="U8" s="26"/>
      <c r="V8" s="26"/>
      <c r="W8" s="26"/>
      <c r="X8" s="26"/>
      <c r="Y8" s="26"/>
      <c r="Z8" s="26"/>
      <c r="AA8" s="26"/>
      <c r="AB8" s="30">
        <f>Table110[[#This Row],[Hours Used]]-SUM(Table110[[#This Row],[Planned Maintenance]:[Start and Finish Production]])</f>
        <v>24</v>
      </c>
      <c r="AC8" s="26">
        <v>0.3</v>
      </c>
      <c r="AD8" s="26">
        <v>0.29166666666666669</v>
      </c>
      <c r="AE8" s="26">
        <v>0.25</v>
      </c>
      <c r="AF8" s="26"/>
      <c r="AG8" s="26"/>
      <c r="AH8" s="26"/>
      <c r="AI8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0.14026077097505762</v>
      </c>
      <c r="AJ8" s="24">
        <f ca="1">IFERROR(IF(Table110[[#This Row],[SKU]]="",0,Table110[[#This Row],[Quality Loss (T)]]/(Table110[[#This Row],[SOC (TPD)]]/24)),"")</f>
        <v>1.247755102040816</v>
      </c>
      <c r="AK8" s="31">
        <f ca="1">IFERROR(IF(Table110[[#This Row],[SKU]]="",0,Table110[[#This Row],[Volume Delivered (T)]]/(Table110[[#This Row],[SOC (TPD)]]/24)),"")</f>
        <v>21.489795918367346</v>
      </c>
      <c r="AL8" s="31">
        <f ca="1">IFERROR(Table110[[#This Row],[Operating Time]]/Table110[[#This Row],[PRODUCTION HOURS]],"")</f>
        <v>0.89540816326530603</v>
      </c>
      <c r="AM8" s="32">
        <v>103</v>
      </c>
      <c r="AN8" s="32" t="s">
        <v>105</v>
      </c>
      <c r="AO8" s="32" t="s">
        <v>105</v>
      </c>
      <c r="AP8" s="32">
        <v>0</v>
      </c>
      <c r="AQ8" s="32">
        <v>0</v>
      </c>
      <c r="AR8" s="32"/>
      <c r="AS8" s="32" t="str">
        <f>IFERROR(SUMIFS(#REF!,#REF!,'Shift Wise-Data Sheet'!A:A,#REF!,"Samridhi Perk Line")/SUMIFS(#REF!,#REF!,'Shift Wise-Data Sheet'!A:A,#REF!,"Samridhi Perk Line"),"")</f>
        <v/>
      </c>
      <c r="AT8" s="32">
        <v>2</v>
      </c>
      <c r="AU8" s="32">
        <v>0</v>
      </c>
      <c r="AV8" s="211">
        <f>IFERROR(VLOOKUP(Table110[[#This Row],[Date]],'Overweight Data'!A6:G1101,6,FALSE),"")</f>
        <v>3.6184668989547066E-2</v>
      </c>
      <c r="AW8" s="221">
        <f ca="1">IFERROR(
   IF(
      OR(Table110[[#This Row],[Operating Time]]=0, (Table110[[#This Row],[Operating Time]]/IF(AD8&lt;=1,AD8+1,AD8))*60=0),
      1,
      ((Table110[[#This Row],[Operating Time]])/IF(AD8&lt;=1,AD8+1,AD8))*60
   ),
"_")</f>
        <v>998.23568136932181</v>
      </c>
      <c r="AX8" s="221">
        <f>COUNTIFS('Downtime Data'!A:A,Table110[[#This Row],[Date]])</f>
        <v>3</v>
      </c>
      <c r="AY8" s="219">
        <f>IFERROR((SUM(Table110[[#This Row],[Minor Stoppages]:[Material Shortages]])/Table110[[#This Row],['# Stops]])*60,"")</f>
        <v>16.833333333333332</v>
      </c>
      <c r="AZ8" s="219"/>
      <c r="BA8" s="33">
        <v>46048</v>
      </c>
    </row>
    <row r="9" spans="1:57" ht="20.149999999999999" customHeight="1" x14ac:dyDescent="0.35">
      <c r="A9" s="21">
        <v>46026</v>
      </c>
      <c r="B9" s="22" t="str">
        <f t="shared" si="0"/>
        <v>Sunday</v>
      </c>
      <c r="C9" s="22"/>
      <c r="D9" s="23" t="s">
        <v>106</v>
      </c>
      <c r="E9" s="24" cm="1">
        <f t="array" aca="1" ref="E9" ca="1">IFERROR(INDIRECT(D9),"")</f>
        <v>39.200000000000003</v>
      </c>
      <c r="F9" s="25">
        <v>33.5</v>
      </c>
      <c r="G9" s="26">
        <v>38.1</v>
      </c>
      <c r="H9" s="27">
        <f ca="1">IFERROR((Table110[[#This Row],[Plan]]/Table110[[#This Row],[Hours Used]])/(Table110[[#This Row],[SOC (TPD)]]/24),"")</f>
        <v>0.85459183673469374</v>
      </c>
      <c r="I9" s="27">
        <f ca="1">IFERROR((Table110[[#This Row],[Volume Delivered (T)]]/Table110[[#This Row],[Hours Used]])/(Table110[[#This Row],[SOC (TPD)]]/24),"")</f>
        <v>0.97193877551020402</v>
      </c>
      <c r="J9" s="28"/>
      <c r="K9" s="28"/>
      <c r="L9" s="28"/>
      <c r="M9" s="25">
        <v>0.5</v>
      </c>
      <c r="N9" s="29">
        <v>3.5000000000000003E-2</v>
      </c>
      <c r="O9" s="84"/>
      <c r="P9" s="25"/>
      <c r="Q9" s="25"/>
      <c r="R9" s="70">
        <v>0</v>
      </c>
      <c r="S9" s="71">
        <v>0</v>
      </c>
      <c r="T9" s="30">
        <f>IF(Table110[[#This Row],[SKU]]="",0,24-Table110[[#This Row],[Legal Non-Operating Time]]-Table110[[#This Row],[No Demand Time]]-Table110[[#This Row],[Force Majeure]])</f>
        <v>24</v>
      </c>
      <c r="U9" s="26"/>
      <c r="V9" s="26"/>
      <c r="W9" s="26"/>
      <c r="X9" s="26"/>
      <c r="Y9" s="26"/>
      <c r="Z9" s="26"/>
      <c r="AA9" s="26"/>
      <c r="AB9" s="30">
        <f>Table110[[#This Row],[Hours Used]]-SUM(Table110[[#This Row],[Planned Maintenance]:[Start and Finish Production]])</f>
        <v>24</v>
      </c>
      <c r="AC9" s="26"/>
      <c r="AD9" s="26"/>
      <c r="AE9" s="26"/>
      <c r="AF9" s="26"/>
      <c r="AG9" s="26"/>
      <c r="AH9" s="26"/>
      <c r="AI9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0.12244897959183731</v>
      </c>
      <c r="AJ9" s="24">
        <f ca="1">IFERROR(IF(Table110[[#This Row],[SKU]]="",0,Table110[[#This Row],[Quality Loss (T)]]/(Table110[[#This Row],[SOC (TPD)]]/24)),"")</f>
        <v>0.30612244897959179</v>
      </c>
      <c r="AK9" s="31">
        <f ca="1">IFERROR(IF(Table110[[#This Row],[SKU]]="",0,Table110[[#This Row],[Volume Delivered (T)]]/(Table110[[#This Row],[SOC (TPD)]]/24)),"")</f>
        <v>23.326530612244895</v>
      </c>
      <c r="AL9" s="31">
        <f ca="1">IFERROR(Table110[[#This Row],[Operating Time]]/Table110[[#This Row],[PRODUCTION HOURS]],"")</f>
        <v>0.97193877551020391</v>
      </c>
      <c r="AM9" s="32">
        <v>110</v>
      </c>
      <c r="AN9" s="32" t="s">
        <v>107</v>
      </c>
      <c r="AO9" s="32" t="s">
        <v>107</v>
      </c>
      <c r="AP9" s="32">
        <v>0</v>
      </c>
      <c r="AQ9" s="32">
        <v>0</v>
      </c>
      <c r="AR9" s="32"/>
      <c r="AS9" s="32" t="str">
        <f>IFERROR(SUMIFS(#REF!,#REF!,'Shift Wise-Data Sheet'!A:A,#REF!,"Samridhi Perk Line")/SUMIFS(#REF!,#REF!,'Shift Wise-Data Sheet'!A:A,#REF!,"Samridhi Perk Line"),"")</f>
        <v/>
      </c>
      <c r="AT9" s="32">
        <v>10</v>
      </c>
      <c r="AU9" s="32">
        <v>0</v>
      </c>
      <c r="AV9" s="211">
        <f>IFERROR(VLOOKUP(Table110[[#This Row],[Date]],'Overweight Data'!A7:G1102,6,FALSE),"")</f>
        <v>2.7462253193960489E-2</v>
      </c>
      <c r="AW9" s="221">
        <f ca="1">IFERROR(
   IF(
      OR(Table110[[#This Row],[Operating Time]]=0, (Table110[[#This Row],[Operating Time]]/IF(AD9&lt;=1,AD9+1,AD9))*60=0),
      1,
      ((Table110[[#This Row],[Operating Time]])/IF(AD9&lt;=1,AD9+1,AD9))*60
   ),
"_")</f>
        <v>1399.5918367346937</v>
      </c>
      <c r="AX9" s="221">
        <f>COUNTIFS('Downtime Data'!A:A,Table110[[#This Row],[Date]])</f>
        <v>0</v>
      </c>
      <c r="AY9" s="219" t="str">
        <f>IFERROR((SUM(Table110[[#This Row],[Minor Stoppages]:[Material Shortages]])/Table110[[#This Row],['# Stops]])*60,"")</f>
        <v/>
      </c>
      <c r="AZ9" s="219"/>
      <c r="BA9" s="33">
        <v>46048</v>
      </c>
    </row>
    <row r="10" spans="1:57" ht="20.149999999999999" customHeight="1" x14ac:dyDescent="0.35">
      <c r="A10" s="21">
        <v>46027</v>
      </c>
      <c r="B10" s="22" t="str">
        <f>IF(A10="","",TEXT(A10,"dddddd"))</f>
        <v>Monday</v>
      </c>
      <c r="C10" s="22"/>
      <c r="D10" s="23" t="s">
        <v>108</v>
      </c>
      <c r="E10" s="24" cm="1">
        <f t="array" aca="1" ref="E10" ca="1">IFERROR(INDIRECT(D10),"")</f>
        <v>34.200000000000003</v>
      </c>
      <c r="F10" s="25">
        <v>29.5</v>
      </c>
      <c r="G10" s="26">
        <v>29.740486999999998</v>
      </c>
      <c r="H10" s="27">
        <f ca="1">IFERROR((Table110[[#This Row],[Plan]]/Table110[[#This Row],[Hours Used]])/(Table110[[#This Row],[SOC (TPD)]]/24),"")</f>
        <v>0.86257309941520466</v>
      </c>
      <c r="I10" s="27">
        <f ca="1">IFERROR((Table110[[#This Row],[Volume Delivered (T)]]/Table110[[#This Row],[Hours Used]])/(Table110[[#This Row],[SOC (TPD)]]/24),"")</f>
        <v>0.86960488304093564</v>
      </c>
      <c r="J10" s="28"/>
      <c r="K10" s="28"/>
      <c r="L10" s="28"/>
      <c r="M10" s="25">
        <v>1.367</v>
      </c>
      <c r="N10" s="29">
        <v>6.5000000000000002E-2</v>
      </c>
      <c r="O10" s="84"/>
      <c r="P10" s="25"/>
      <c r="Q10" s="25"/>
      <c r="R10" s="70">
        <v>0</v>
      </c>
      <c r="S10" s="71">
        <v>0</v>
      </c>
      <c r="T10" s="30">
        <f>IF(Table110[[#This Row],[SKU]]="",0,24-Table110[[#This Row],[Legal Non-Operating Time]]-Table110[[#This Row],[No Demand Time]]-Table110[[#This Row],[Force Majeure]])</f>
        <v>24</v>
      </c>
      <c r="U10" s="26"/>
      <c r="V10" s="26"/>
      <c r="W10" s="26"/>
      <c r="X10" s="26">
        <v>2</v>
      </c>
      <c r="Y10" s="26"/>
      <c r="Z10" s="26"/>
      <c r="AA10" s="26"/>
      <c r="AB10" s="30">
        <f>Table110[[#This Row],[Hours Used]]-SUM(Table110[[#This Row],[Planned Maintenance]:[Start and Finish Production]])</f>
        <v>22</v>
      </c>
      <c r="AC10" s="26"/>
      <c r="AD10" s="26"/>
      <c r="AE10" s="26">
        <v>0.2</v>
      </c>
      <c r="AF10" s="26"/>
      <c r="AG10" s="26"/>
      <c r="AH10" s="26"/>
      <c r="AI10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-9.9384795321633135E-3</v>
      </c>
      <c r="AJ10" s="24">
        <f ca="1">IFERROR(IF(Table110[[#This Row],[SKU]]="",0,Table110[[#This Row],[Quality Loss (T)]]/(Table110[[#This Row],[SOC (TPD)]]/24)),"")</f>
        <v>0.95929824561403509</v>
      </c>
      <c r="AK10" s="31">
        <f ca="1">IFERROR(IF(Table110[[#This Row],[SKU]]="",0,Table110[[#This Row],[Volume Delivered (T)]]/(Table110[[#This Row],[SOC (TPD)]]/24)),"")</f>
        <v>20.870517192982454</v>
      </c>
      <c r="AL10" s="31">
        <f ca="1">IFERROR(Table110[[#This Row],[Operating Time]]/Table110[[#This Row],[PRODUCTION HOURS]],"")</f>
        <v>0.94865987240829341</v>
      </c>
      <c r="AM10" s="32">
        <v>107</v>
      </c>
      <c r="AN10" s="32" t="s">
        <v>107</v>
      </c>
      <c r="AO10" s="32" t="s">
        <v>107</v>
      </c>
      <c r="AP10" s="32">
        <v>0</v>
      </c>
      <c r="AQ10" s="32">
        <v>0</v>
      </c>
      <c r="AR10" s="32"/>
      <c r="AS10" s="32" t="str">
        <f>IFERROR(SUMIFS(#REF!,#REF!,'Shift Wise-Data Sheet'!A:A,#REF!,"Samridhi Perk Line")/SUMIFS(#REF!,#REF!,'Shift Wise-Data Sheet'!A:A,#REF!,"Samridhi Perk Line"),"")</f>
        <v/>
      </c>
      <c r="AT10" s="32">
        <v>20</v>
      </c>
      <c r="AU10" s="32">
        <v>0</v>
      </c>
      <c r="AV10" s="211">
        <f>IFERROR(VLOOKUP(Table110[[#This Row],[Date]],'Overweight Data'!A8:G1103,6,FALSE),"")</f>
        <v>2.2648083623693315E-2</v>
      </c>
      <c r="AW10" s="221">
        <f ca="1">IFERROR(
   IF(
      OR(Table110[[#This Row],[Operating Time]]=0, (Table110[[#This Row],[Operating Time]]/IF(AD10&lt;=1,AD10+1,AD10))*60=0),
      1,
      ((Table110[[#This Row],[Operating Time]])/IF(AD10&lt;=1,AD10+1,AD10))*60
   ),
"_")</f>
        <v>1252.2310315789473</v>
      </c>
      <c r="AX10" s="221">
        <f>COUNTIFS('Downtime Data'!A:A,Table110[[#This Row],[Date]])</f>
        <v>2</v>
      </c>
      <c r="AY10" s="219">
        <f>IFERROR((SUM(Table110[[#This Row],[Minor Stoppages]:[Material Shortages]])/Table110[[#This Row],['# Stops]])*60,"")</f>
        <v>6</v>
      </c>
      <c r="AZ10" s="219"/>
      <c r="BA10" s="33">
        <v>46048</v>
      </c>
    </row>
    <row r="11" spans="1:57" ht="20.149999999999999" customHeight="1" x14ac:dyDescent="0.35">
      <c r="A11" s="21">
        <v>46028</v>
      </c>
      <c r="B11" s="22" t="str">
        <f t="shared" ref="B11:B74" si="1">IF(A11="","",TEXT(A11,"dddddd"))</f>
        <v>Tuesday</v>
      </c>
      <c r="C11" s="22"/>
      <c r="D11" s="23" t="s">
        <v>108</v>
      </c>
      <c r="E11" s="24" cm="1">
        <f t="array" aca="1" ref="E11" ca="1">IFERROR(INDIRECT(D11),"")</f>
        <v>34.200000000000003</v>
      </c>
      <c r="F11" s="25">
        <v>30</v>
      </c>
      <c r="G11" s="26">
        <v>29.884616000000001</v>
      </c>
      <c r="H11" s="27">
        <f ca="1">IFERROR((Table110[[#This Row],[Plan]]/Table110[[#This Row],[Hours Used]])/(Table110[[#This Row],[SOC (TPD)]]/24),"")</f>
        <v>0.8771929824561403</v>
      </c>
      <c r="I11" s="27">
        <f ca="1">IFERROR((Table110[[#This Row],[Volume Delivered (T)]]/Table110[[#This Row],[Hours Used]])/(Table110[[#This Row],[SOC (TPD)]]/24),"")</f>
        <v>0.87381918128654978</v>
      </c>
      <c r="J11" s="28"/>
      <c r="K11" s="28"/>
      <c r="L11" s="28"/>
      <c r="M11" s="25"/>
      <c r="N11" s="29">
        <v>6.2E-2</v>
      </c>
      <c r="O11" s="84"/>
      <c r="P11" s="25"/>
      <c r="Q11" s="25"/>
      <c r="R11" s="70">
        <v>15</v>
      </c>
      <c r="S11" s="71">
        <v>15</v>
      </c>
      <c r="T11" s="30">
        <f>IF(Table110[[#This Row],[SKU]]="",0,24-Table110[[#This Row],[Legal Non-Operating Time]]-Table110[[#This Row],[No Demand Time]]-Table110[[#This Row],[Force Majeure]])</f>
        <v>24</v>
      </c>
      <c r="U11" s="26">
        <v>1.8</v>
      </c>
      <c r="V11" s="26"/>
      <c r="W11" s="26"/>
      <c r="X11" s="26">
        <v>1.5</v>
      </c>
      <c r="Y11" s="26"/>
      <c r="Z11" s="26"/>
      <c r="AA11" s="26"/>
      <c r="AB11" s="30">
        <f>Table110[[#This Row],[Hours Used]]-SUM(Table110[[#This Row],[Planned Maintenance]:[Start and Finish Production]])</f>
        <v>20.7</v>
      </c>
      <c r="AC11" s="26"/>
      <c r="AD11" s="26"/>
      <c r="AE11" s="26"/>
      <c r="AF11" s="26"/>
      <c r="AG11" s="26"/>
      <c r="AH11" s="26"/>
      <c r="AI11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-9.055345029239821E-2</v>
      </c>
      <c r="AJ11" s="24">
        <f ca="1">IFERROR(IF(Table110[[#This Row],[SKU]]="",0,Table110[[#This Row],[Quality Loss (T)]]/(Table110[[#This Row],[SOC (TPD)]]/24)),"")</f>
        <v>0</v>
      </c>
      <c r="AK11" s="31">
        <f ca="1">IFERROR(IF(Table110[[#This Row],[SKU]]="",0,Table110[[#This Row],[Volume Delivered (T)]]/(Table110[[#This Row],[SOC (TPD)]]/24)),"")</f>
        <v>20.971660350877194</v>
      </c>
      <c r="AL11" s="31">
        <f ca="1">IFERROR(Table110[[#This Row],[Operating Time]]/Table110[[#This Row],[PRODUCTION HOURS]],"")</f>
        <v>1.0131236884481736</v>
      </c>
      <c r="AM11" s="32">
        <v>130</v>
      </c>
      <c r="AN11" s="32" t="s">
        <v>107</v>
      </c>
      <c r="AO11" s="32" t="s">
        <v>107</v>
      </c>
      <c r="AP11" s="32">
        <v>60</v>
      </c>
      <c r="AQ11" s="32">
        <v>60</v>
      </c>
      <c r="AR11" s="32">
        <v>13</v>
      </c>
      <c r="AS11" s="32" t="str">
        <f>IFERROR(SUMIFS(#REF!,#REF!,'Shift Wise-Data Sheet'!A:A,#REF!,"Samridhi Perk Line")/SUMIFS(#REF!,#REF!,'Shift Wise-Data Sheet'!A:A,#REF!,"Samridhi Perk Line"),"")</f>
        <v/>
      </c>
      <c r="AT11" s="32">
        <v>47</v>
      </c>
      <c r="AU11" s="32">
        <v>0</v>
      </c>
      <c r="AV11" s="211">
        <f>IFERROR(VLOOKUP(Table110[[#This Row],[Date]],'Overweight Data'!A9:G1104,6,FALSE),"")</f>
        <v>1.8388357364236579E-2</v>
      </c>
      <c r="AW11" s="221">
        <f ca="1">IFERROR(
   IF(
      OR(Table110[[#This Row],[Operating Time]]=0, (Table110[[#This Row],[Operating Time]]/IF(AD11&lt;=1,AD11+1,AD11))*60=0),
      1,
      ((Table110[[#This Row],[Operating Time]])/IF(AD11&lt;=1,AD11+1,AD11))*60
   ),
"_")</f>
        <v>1258.2996210526317</v>
      </c>
      <c r="AX11" s="221">
        <f>COUNTIFS('Downtime Data'!A:A,Table110[[#This Row],[Date]])</f>
        <v>1</v>
      </c>
      <c r="AY11" s="219">
        <f>IFERROR((SUM(Table110[[#This Row],[Minor Stoppages]:[Material Shortages]])/Table110[[#This Row],['# Stops]])*60,"")</f>
        <v>0</v>
      </c>
      <c r="AZ11" s="219"/>
      <c r="BA11" s="33">
        <v>46048</v>
      </c>
    </row>
    <row r="12" spans="1:57" ht="20.149999999999999" customHeight="1" x14ac:dyDescent="0.35">
      <c r="A12" s="21">
        <v>46029</v>
      </c>
      <c r="B12" s="22" t="str">
        <f t="shared" si="1"/>
        <v>Wednesday</v>
      </c>
      <c r="C12" s="22"/>
      <c r="D12" s="23" t="s">
        <v>108</v>
      </c>
      <c r="E12" s="24" cm="1">
        <f t="array" aca="1" ref="E12" ca="1">IFERROR(INDIRECT(D12),"")</f>
        <v>34.200000000000003</v>
      </c>
      <c r="F12" s="25">
        <v>30</v>
      </c>
      <c r="G12" s="26">
        <v>28.848798000000002</v>
      </c>
      <c r="H12" s="27">
        <f ca="1">IFERROR((Table110[[#This Row],[Plan]]/Table110[[#This Row],[Hours Used]])/(Table110[[#This Row],[SOC (TPD)]]/24),"")</f>
        <v>0.8771929824561403</v>
      </c>
      <c r="I12" s="27">
        <f ca="1">IFERROR((Table110[[#This Row],[Volume Delivered (T)]]/Table110[[#This Row],[Hours Used]])/(Table110[[#This Row],[SOC (TPD)]]/24),"")</f>
        <v>0.84353210526315803</v>
      </c>
      <c r="J12" s="28"/>
      <c r="K12" s="28"/>
      <c r="L12" s="28"/>
      <c r="M12" s="25">
        <v>1.609</v>
      </c>
      <c r="N12" s="29">
        <v>5.5E-2</v>
      </c>
      <c r="O12" s="84"/>
      <c r="P12" s="25"/>
      <c r="Q12" s="25"/>
      <c r="R12" s="70">
        <v>15</v>
      </c>
      <c r="S12" s="71">
        <v>15</v>
      </c>
      <c r="T12" s="30">
        <f>IF(Table110[[#This Row],[SKU]]="",0,24-Table110[[#This Row],[Legal Non-Operating Time]]-Table110[[#This Row],[No Demand Time]]-Table110[[#This Row],[Force Majeure]])</f>
        <v>24</v>
      </c>
      <c r="U12" s="26">
        <v>1</v>
      </c>
      <c r="V12" s="26"/>
      <c r="W12" s="26"/>
      <c r="X12" s="26"/>
      <c r="Y12" s="26"/>
      <c r="Z12" s="26"/>
      <c r="AA12" s="26"/>
      <c r="AB12" s="30">
        <f>Table110[[#This Row],[Hours Used]]-SUM(Table110[[#This Row],[Planned Maintenance]:[Start and Finish Production]])</f>
        <v>23</v>
      </c>
      <c r="AC12" s="26"/>
      <c r="AD12" s="26"/>
      <c r="AE12" s="26">
        <v>1.5</v>
      </c>
      <c r="AF12" s="26"/>
      <c r="AG12" s="26"/>
      <c r="AH12" s="26"/>
      <c r="AI12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4.2035555555555014E-2</v>
      </c>
      <c r="AJ12" s="24">
        <f ca="1">IFERROR(IF(Table110[[#This Row],[SKU]]="",0,Table110[[#This Row],[Quality Loss (T)]]/(Table110[[#This Row],[SOC (TPD)]]/24)),"")</f>
        <v>1.1291228070175439</v>
      </c>
      <c r="AK12" s="31">
        <f ca="1">IFERROR(IF(Table110[[#This Row],[SKU]]="",0,Table110[[#This Row],[Volume Delivered (T)]]/(Table110[[#This Row],[SOC (TPD)]]/24)),"")</f>
        <v>20.24477052631579</v>
      </c>
      <c r="AL12" s="31">
        <f ca="1">IFERROR(Table110[[#This Row],[Operating Time]]/Table110[[#This Row],[PRODUCTION HOURS]],"")</f>
        <v>0.88020741418764303</v>
      </c>
      <c r="AM12" s="32">
        <v>120</v>
      </c>
      <c r="AN12" s="32" t="s">
        <v>107</v>
      </c>
      <c r="AO12" s="32" t="s">
        <v>107</v>
      </c>
      <c r="AP12" s="32">
        <v>0</v>
      </c>
      <c r="AQ12" s="32">
        <v>0</v>
      </c>
      <c r="AR12" s="32">
        <v>13</v>
      </c>
      <c r="AS12" s="32" t="str">
        <f>IFERROR(SUMIFS(#REF!,#REF!,'Shift Wise-Data Sheet'!A:A,#REF!,"Samridhi Perk Line")/SUMIFS(#REF!,#REF!,'Shift Wise-Data Sheet'!A:A,#REF!,"Samridhi Perk Line"),"")</f>
        <v/>
      </c>
      <c r="AT12" s="32">
        <v>15</v>
      </c>
      <c r="AU12" s="32">
        <v>0</v>
      </c>
      <c r="AV12" s="211">
        <f>IFERROR(VLOOKUP(Table110[[#This Row],[Date]],'Overweight Data'!A10:G1105,6,FALSE),"")</f>
        <v>1.7863720073664803E-2</v>
      </c>
      <c r="AW12" s="221">
        <f ca="1">IFERROR(
   IF(
      OR(Table110[[#This Row],[Operating Time]]=0, (Table110[[#This Row],[Operating Time]]/IF(AD12&lt;=1,AD12+1,AD12))*60=0),
      1,
      ((Table110[[#This Row],[Operating Time]])/IF(AD12&lt;=1,AD12+1,AD12))*60
   ),
"_")</f>
        <v>1214.6862315789474</v>
      </c>
      <c r="AX12" s="221">
        <f>COUNTIFS('Downtime Data'!A:A,Table110[[#This Row],[Date]])</f>
        <v>1</v>
      </c>
      <c r="AY12" s="219">
        <f>IFERROR((SUM(Table110[[#This Row],[Minor Stoppages]:[Material Shortages]])/Table110[[#This Row],['# Stops]])*60,"")</f>
        <v>90</v>
      </c>
      <c r="AZ12" s="219"/>
      <c r="BA12" s="33">
        <v>46048</v>
      </c>
    </row>
    <row r="13" spans="1:57" ht="20.149999999999999" customHeight="1" x14ac:dyDescent="0.35">
      <c r="A13" s="21">
        <v>46030</v>
      </c>
      <c r="B13" s="22" t="str">
        <f t="shared" si="1"/>
        <v>Thursday</v>
      </c>
      <c r="C13" s="22"/>
      <c r="D13" s="23" t="s">
        <v>108</v>
      </c>
      <c r="E13" s="24" cm="1">
        <f t="array" aca="1" ref="E13" ca="1">IFERROR(INDIRECT(D13),"")</f>
        <v>34.200000000000003</v>
      </c>
      <c r="F13" s="25">
        <v>30</v>
      </c>
      <c r="G13" s="26">
        <v>32.847983999999997</v>
      </c>
      <c r="H13" s="27">
        <f ca="1">IFERROR((Table110[[#This Row],[Plan]]/Table110[[#This Row],[Hours Used]])/(Table110[[#This Row],[SOC (TPD)]]/24),"")</f>
        <v>0.8771929824561403</v>
      </c>
      <c r="I13" s="27">
        <f ca="1">IFERROR((Table110[[#This Row],[Volume Delivered (T)]]/Table110[[#This Row],[Hours Used]])/(Table110[[#This Row],[SOC (TPD)]]/24),"")</f>
        <v>0.96046736842105251</v>
      </c>
      <c r="J13" s="28"/>
      <c r="K13" s="28"/>
      <c r="L13" s="28"/>
      <c r="M13" s="25">
        <v>1.2</v>
      </c>
      <c r="N13" s="29">
        <v>5.1999999999999998E-2</v>
      </c>
      <c r="O13" s="84"/>
      <c r="P13" s="25"/>
      <c r="Q13" s="25"/>
      <c r="R13" s="70">
        <v>4</v>
      </c>
      <c r="S13" s="71">
        <v>4</v>
      </c>
      <c r="T13" s="30">
        <f>IF(Table110[[#This Row],[SKU]]="",0,24-Table110[[#This Row],[Legal Non-Operating Time]]-Table110[[#This Row],[No Demand Time]]-Table110[[#This Row],[Force Majeure]])</f>
        <v>24</v>
      </c>
      <c r="U13" s="26"/>
      <c r="V13" s="26"/>
      <c r="W13" s="26"/>
      <c r="X13" s="26"/>
      <c r="Y13" s="26"/>
      <c r="Z13" s="26"/>
      <c r="AA13" s="26"/>
      <c r="AB13" s="30">
        <f>Table110[[#This Row],[Hours Used]]-SUM(Table110[[#This Row],[Planned Maintenance]:[Start and Finish Production]])</f>
        <v>24</v>
      </c>
      <c r="AC13" s="26"/>
      <c r="AD13" s="26"/>
      <c r="AE13" s="26"/>
      <c r="AF13" s="26"/>
      <c r="AG13" s="26"/>
      <c r="AH13" s="26"/>
      <c r="AI13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3.5559298245615878E-2</v>
      </c>
      <c r="AJ13" s="24">
        <f ca="1">IFERROR(IF(Table110[[#This Row],[SKU]]="",0,Table110[[#This Row],[Quality Loss (T)]]/(Table110[[#This Row],[SOC (TPD)]]/24)),"")</f>
        <v>0.84210526315789469</v>
      </c>
      <c r="AK13" s="31">
        <f ca="1">IFERROR(IF(Table110[[#This Row],[SKU]]="",0,Table110[[#This Row],[Volume Delivered (T)]]/(Table110[[#This Row],[SOC (TPD)]]/24)),"")</f>
        <v>23.051216842105259</v>
      </c>
      <c r="AL13" s="31">
        <f ca="1">IFERROR(Table110[[#This Row],[Operating Time]]/Table110[[#This Row],[PRODUCTION HOURS]],"")</f>
        <v>0.9604673684210524</v>
      </c>
      <c r="AM13" s="32">
        <v>132</v>
      </c>
      <c r="AN13" s="32" t="s">
        <v>107</v>
      </c>
      <c r="AO13" s="32" t="s">
        <v>107</v>
      </c>
      <c r="AP13" s="32">
        <v>0</v>
      </c>
      <c r="AQ13" s="32">
        <v>0</v>
      </c>
      <c r="AR13" s="32">
        <v>3</v>
      </c>
      <c r="AS13" s="32" t="str">
        <f>IFERROR(SUMIFS(#REF!,#REF!,'Shift Wise-Data Sheet'!A:A,#REF!,"Samridhi Perk Line")/SUMIFS(#REF!,#REF!,'Shift Wise-Data Sheet'!A:A,#REF!,"Samridhi Perk Line"),"")</f>
        <v/>
      </c>
      <c r="AT13" s="32">
        <v>25</v>
      </c>
      <c r="AU13" s="32">
        <v>0</v>
      </c>
      <c r="AV13" s="211">
        <f>IFERROR(VLOOKUP(Table110[[#This Row],[Date]],'Overweight Data'!A11:G1106,6,FALSE),"")</f>
        <v>2.5497237569060773E-2</v>
      </c>
      <c r="AW13" s="221">
        <f ca="1">IFERROR(
   IF(
      OR(Table110[[#This Row],[Operating Time]]=0, (Table110[[#This Row],[Operating Time]]/IF(AD13&lt;=1,AD13+1,AD13))*60=0),
      1,
      ((Table110[[#This Row],[Operating Time]])/IF(AD13&lt;=1,AD13+1,AD13))*60
   ),
"_")</f>
        <v>1383.0730105263156</v>
      </c>
      <c r="AX13" s="221">
        <f>COUNTIFS('Downtime Data'!A:A,Table110[[#This Row],[Date]])</f>
        <v>0</v>
      </c>
      <c r="AY13" s="219" t="str">
        <f>IFERROR((SUM(Table110[[#This Row],[Minor Stoppages]:[Material Shortages]])/Table110[[#This Row],['# Stops]])*60,"")</f>
        <v/>
      </c>
      <c r="AZ13" s="219"/>
      <c r="BA13" s="33">
        <v>46048</v>
      </c>
    </row>
    <row r="14" spans="1:57" ht="20.149999999999999" customHeight="1" x14ac:dyDescent="0.35">
      <c r="A14" s="21">
        <v>46031</v>
      </c>
      <c r="B14" s="22" t="str">
        <f t="shared" si="1"/>
        <v>Friday</v>
      </c>
      <c r="C14" s="22"/>
      <c r="D14" s="23" t="s">
        <v>108</v>
      </c>
      <c r="E14" s="24" cm="1">
        <f t="array" aca="1" ref="E14" ca="1">IFERROR(INDIRECT(D14),"")</f>
        <v>34.200000000000003</v>
      </c>
      <c r="F14" s="25">
        <v>30</v>
      </c>
      <c r="G14" s="26">
        <v>24.2</v>
      </c>
      <c r="H14" s="27">
        <f ca="1">IFERROR((Table110[[#This Row],[Plan]]/Table110[[#This Row],[Hours Used]])/(Table110[[#This Row],[SOC (TPD)]]/24),"")</f>
        <v>0.8771929824561403</v>
      </c>
      <c r="I14" s="27">
        <f ca="1">IFERROR((Table110[[#This Row],[Volume Delivered (T)]]/Table110[[#This Row],[Hours Used]])/(Table110[[#This Row],[SOC (TPD)]]/24),"")</f>
        <v>0.70760233918128645</v>
      </c>
      <c r="J14" s="28"/>
      <c r="K14" s="28"/>
      <c r="L14" s="28"/>
      <c r="M14" s="25">
        <v>1.363</v>
      </c>
      <c r="N14" s="29">
        <v>4.7E-2</v>
      </c>
      <c r="O14" s="84"/>
      <c r="P14" s="25"/>
      <c r="Q14" s="25"/>
      <c r="R14" s="70">
        <v>0</v>
      </c>
      <c r="S14" s="71">
        <v>0</v>
      </c>
      <c r="T14" s="30">
        <f>IF(Table110[[#This Row],[SKU]]="",0,24-Table110[[#This Row],[Legal Non-Operating Time]]-Table110[[#This Row],[No Demand Time]]-Table110[[#This Row],[Force Majeure]])</f>
        <v>24</v>
      </c>
      <c r="U14" s="26"/>
      <c r="V14" s="26"/>
      <c r="W14" s="26"/>
      <c r="X14" s="26"/>
      <c r="Y14" s="26"/>
      <c r="Z14" s="26"/>
      <c r="AA14" s="26"/>
      <c r="AB14" s="30">
        <f>Table110[[#This Row],[Hours Used]]-SUM(Table110[[#This Row],[Planned Maintenance]:[Start and Finish Production]])</f>
        <v>24</v>
      </c>
      <c r="AC14" s="26"/>
      <c r="AD14" s="26">
        <v>6</v>
      </c>
      <c r="AE14" s="26"/>
      <c r="AF14" s="26"/>
      <c r="AG14" s="26"/>
      <c r="AH14" s="26"/>
      <c r="AI14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2.0350877192983081E-2</v>
      </c>
      <c r="AJ14" s="24">
        <f ca="1">IFERROR(IF(Table110[[#This Row],[SKU]]="",0,Table110[[#This Row],[Quality Loss (T)]]/(Table110[[#This Row],[SOC (TPD)]]/24)),"")</f>
        <v>0.95649122807017539</v>
      </c>
      <c r="AK14" s="31">
        <f ca="1">IFERROR(IF(Table110[[#This Row],[SKU]]="",0,Table110[[#This Row],[Volume Delivered (T)]]/(Table110[[#This Row],[SOC (TPD)]]/24)),"")</f>
        <v>16.982456140350877</v>
      </c>
      <c r="AL14" s="31">
        <f ca="1">IFERROR(Table110[[#This Row],[Operating Time]]/Table110[[#This Row],[PRODUCTION HOURS]],"")</f>
        <v>0.70760233918128657</v>
      </c>
      <c r="AM14" s="32"/>
      <c r="AN14" s="32" t="s">
        <v>107</v>
      </c>
      <c r="AO14" s="32" t="s">
        <v>107</v>
      </c>
      <c r="AP14" s="32">
        <v>0</v>
      </c>
      <c r="AQ14" s="32">
        <v>0</v>
      </c>
      <c r="AR14" s="32"/>
      <c r="AS14" s="32" t="str">
        <f>IFERROR(SUMIFS(#REF!,#REF!,'Shift Wise-Data Sheet'!A:A,#REF!,"Samridhi Perk Line")/SUMIFS(#REF!,#REF!,'Shift Wise-Data Sheet'!A:A,#REF!,"Samridhi Perk Line"),"")</f>
        <v/>
      </c>
      <c r="AT14" s="32">
        <v>12</v>
      </c>
      <c r="AU14" s="32">
        <v>0</v>
      </c>
      <c r="AV14" s="211">
        <f>IFERROR(VLOOKUP(Table110[[#This Row],[Date]],'Overweight Data'!A12:G1107,6,FALSE),"")</f>
        <v>2.7108655616942961E-2</v>
      </c>
      <c r="AW14" s="221">
        <f ca="1">IFERROR(
   IF(
      OR(Table110[[#This Row],[Operating Time]]=0, (Table110[[#This Row],[Operating Time]]/IF(AD14&lt;=1,AD14+1,AD14))*60=0),
      1,
      ((Table110[[#This Row],[Operating Time]])/IF(AD14&lt;=1,AD14+1,AD14))*60
   ),
"_")</f>
        <v>169.82456140350877</v>
      </c>
      <c r="AX14" s="221">
        <f>COUNTIFS('Downtime Data'!A:A,Table110[[#This Row],[Date]])</f>
        <v>1</v>
      </c>
      <c r="AY14" s="219">
        <f>IFERROR((SUM(Table110[[#This Row],[Minor Stoppages]:[Material Shortages]])/Table110[[#This Row],['# Stops]])*60,"")</f>
        <v>360</v>
      </c>
      <c r="AZ14" s="219"/>
      <c r="BA14" s="33">
        <v>46048</v>
      </c>
    </row>
    <row r="15" spans="1:57" ht="20.149999999999999" customHeight="1" x14ac:dyDescent="0.35">
      <c r="A15" s="21">
        <v>46032</v>
      </c>
      <c r="B15" s="22" t="str">
        <f t="shared" si="1"/>
        <v>Saturday</v>
      </c>
      <c r="C15" s="22"/>
      <c r="D15" s="23" t="s">
        <v>108</v>
      </c>
      <c r="E15" s="24" cm="1">
        <f t="array" aca="1" ref="E15" ca="1">IFERROR(INDIRECT(D15),"")</f>
        <v>34.200000000000003</v>
      </c>
      <c r="F15" s="25">
        <v>15</v>
      </c>
      <c r="G15" s="26">
        <v>17</v>
      </c>
      <c r="H15" s="27">
        <f ca="1">IFERROR((Table110[[#This Row],[Plan]]/Table110[[#This Row],[Hours Used]])/(Table110[[#This Row],[SOC (TPD)]]/24),"")</f>
        <v>0.43859649122807015</v>
      </c>
      <c r="I15" s="27">
        <f ca="1">IFERROR((Table110[[#This Row],[Volume Delivered (T)]]/Table110[[#This Row],[Hours Used]])/(Table110[[#This Row],[SOC (TPD)]]/24),"")</f>
        <v>0.49707602339181289</v>
      </c>
      <c r="J15" s="28"/>
      <c r="K15" s="28"/>
      <c r="L15" s="28"/>
      <c r="M15" s="25"/>
      <c r="N15" s="29">
        <v>4.2000000000000003E-2</v>
      </c>
      <c r="O15" s="84"/>
      <c r="P15" s="25"/>
      <c r="Q15" s="25"/>
      <c r="R15" s="70">
        <v>0</v>
      </c>
      <c r="S15" s="71">
        <v>0</v>
      </c>
      <c r="T15" s="30">
        <f>IF(Table110[[#This Row],[SKU]]="",0,24-Table110[[#This Row],[Legal Non-Operating Time]]-Table110[[#This Row],[No Demand Time]]-Table110[[#This Row],[Force Majeure]])</f>
        <v>24</v>
      </c>
      <c r="U15" s="26"/>
      <c r="V15" s="26"/>
      <c r="W15" s="26">
        <v>12</v>
      </c>
      <c r="X15" s="26"/>
      <c r="Y15" s="26"/>
      <c r="Z15" s="26"/>
      <c r="AA15" s="26"/>
      <c r="AB15" s="30">
        <f>Table110[[#This Row],[Hours Used]]-SUM(Table110[[#This Row],[Planned Maintenance]:[Start and Finish Production]])</f>
        <v>12</v>
      </c>
      <c r="AC15" s="26"/>
      <c r="AD15" s="26"/>
      <c r="AE15" s="26"/>
      <c r="AF15" s="26"/>
      <c r="AG15" s="26"/>
      <c r="AH15" s="26"/>
      <c r="AI15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2.3391812865497148E-2</v>
      </c>
      <c r="AJ15" s="24">
        <f ca="1">IFERROR(IF(Table110[[#This Row],[SKU]]="",0,Table110[[#This Row],[Quality Loss (T)]]/(Table110[[#This Row],[SOC (TPD)]]/24)),"")</f>
        <v>0</v>
      </c>
      <c r="AK15" s="31">
        <f ca="1">IFERROR(IF(Table110[[#This Row],[SKU]]="",0,Table110[[#This Row],[Volume Delivered (T)]]/(Table110[[#This Row],[SOC (TPD)]]/24)),"")</f>
        <v>11.929824561403509</v>
      </c>
      <c r="AL15" s="31">
        <f ca="1">IFERROR(Table110[[#This Row],[Operating Time]]/Table110[[#This Row],[PRODUCTION HOURS]],"")</f>
        <v>0.99415204678362568</v>
      </c>
      <c r="AM15" s="32">
        <v>131</v>
      </c>
      <c r="AN15" s="32" t="s">
        <v>107</v>
      </c>
      <c r="AO15" s="32" t="s">
        <v>107</v>
      </c>
      <c r="AP15" s="32">
        <v>0</v>
      </c>
      <c r="AQ15" s="32">
        <v>0</v>
      </c>
      <c r="AR15" s="32"/>
      <c r="AS15" s="32" t="str">
        <f>IFERROR(SUMIFS(#REF!,#REF!,'Shift Wise-Data Sheet'!A:A,#REF!,"Samridhi Perk Line")/SUMIFS(#REF!,#REF!,'Shift Wise-Data Sheet'!A:A,#REF!,"Samridhi Perk Line"),"")</f>
        <v/>
      </c>
      <c r="AT15" s="32">
        <v>9</v>
      </c>
      <c r="AU15" s="32">
        <v>0</v>
      </c>
      <c r="AV15" s="211">
        <f>IFERROR(VLOOKUP(Table110[[#This Row],[Date]],'Overweight Data'!A13:G1108,6,FALSE),"")</f>
        <v>3.1372007366482497E-2</v>
      </c>
      <c r="AW15" s="221">
        <f ca="1">IFERROR(
   IF(
      OR(Table110[[#This Row],[Operating Time]]=0, (Table110[[#This Row],[Operating Time]]/IF(AD15&lt;=1,AD15+1,AD15))*60=0),
      1,
      ((Table110[[#This Row],[Operating Time]])/IF(AD15&lt;=1,AD15+1,AD15))*60
   ),
"_")</f>
        <v>715.78947368421052</v>
      </c>
      <c r="AX15" s="221">
        <f>COUNTIFS('Downtime Data'!A:A,Table110[[#This Row],[Date]])</f>
        <v>0</v>
      </c>
      <c r="AY15" s="219" t="str">
        <f>IFERROR((SUM(Table110[[#This Row],[Minor Stoppages]:[Material Shortages]])/Table110[[#This Row],['# Stops]])*60,"")</f>
        <v/>
      </c>
      <c r="AZ15" s="219"/>
      <c r="BA15" s="33">
        <v>46048</v>
      </c>
    </row>
    <row r="16" spans="1:57" ht="20.149999999999999" customHeight="1" x14ac:dyDescent="0.35">
      <c r="A16" s="21">
        <v>46033</v>
      </c>
      <c r="B16" s="22" t="str">
        <f t="shared" si="1"/>
        <v>Sunday</v>
      </c>
      <c r="C16" s="22"/>
      <c r="D16" s="23" t="s">
        <v>108</v>
      </c>
      <c r="E16" s="24" cm="1">
        <f t="array" aca="1" ref="E16" ca="1">IFERROR(INDIRECT(D16),"")</f>
        <v>34.200000000000003</v>
      </c>
      <c r="F16" s="25">
        <v>30</v>
      </c>
      <c r="G16" s="26">
        <v>31.506096000000003</v>
      </c>
      <c r="H16" s="27">
        <f ca="1">IFERROR((Table110[[#This Row],[Plan]]/Table110[[#This Row],[Hours Used]])/(Table110[[#This Row],[SOC (TPD)]]/24),"")</f>
        <v>0.8771929824561403</v>
      </c>
      <c r="I16" s="27">
        <f ca="1">IFERROR((Table110[[#This Row],[Volume Delivered (T)]]/Table110[[#This Row],[Hours Used]])/(Table110[[#This Row],[SOC (TPD)]]/24),"")</f>
        <v>0.92123087719298258</v>
      </c>
      <c r="J16" s="28"/>
      <c r="K16" s="28"/>
      <c r="L16" s="28"/>
      <c r="M16" s="25">
        <v>1.603</v>
      </c>
      <c r="N16" s="29">
        <v>3.9E-2</v>
      </c>
      <c r="O16" s="84"/>
      <c r="P16" s="25"/>
      <c r="Q16" s="25"/>
      <c r="R16" s="70">
        <v>1</v>
      </c>
      <c r="S16" s="71">
        <v>1</v>
      </c>
      <c r="T16" s="30">
        <f>IF(Table110[[#This Row],[SKU]]="",0,24-Table110[[#This Row],[Legal Non-Operating Time]]-Table110[[#This Row],[No Demand Time]]-Table110[[#This Row],[Force Majeure]])</f>
        <v>24</v>
      </c>
      <c r="U16" s="26"/>
      <c r="V16" s="26"/>
      <c r="W16" s="26"/>
      <c r="X16" s="26"/>
      <c r="Y16" s="26"/>
      <c r="Z16" s="26"/>
      <c r="AA16" s="26"/>
      <c r="AB16" s="30">
        <f>Table110[[#This Row],[Hours Used]]-SUM(Table110[[#This Row],[Planned Maintenance]:[Start and Finish Production]])</f>
        <v>24</v>
      </c>
      <c r="AC16" s="26"/>
      <c r="AD16" s="26">
        <v>0.60416666666666663</v>
      </c>
      <c r="AE16" s="26"/>
      <c r="AF16" s="26"/>
      <c r="AG16" s="26"/>
      <c r="AH16" s="26"/>
      <c r="AI16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5.3793333333332548E-2</v>
      </c>
      <c r="AJ16" s="24">
        <f ca="1">IFERROR(IF(Table110[[#This Row],[SKU]]="",0,Table110[[#This Row],[Quality Loss (T)]]/(Table110[[#This Row],[SOC (TPD)]]/24)),"")</f>
        <v>1.1249122807017544</v>
      </c>
      <c r="AK16" s="31">
        <f ca="1">IFERROR(IF(Table110[[#This Row],[SKU]]="",0,Table110[[#This Row],[Volume Delivered (T)]]/(Table110[[#This Row],[SOC (TPD)]]/24)),"")</f>
        <v>22.109541052631581</v>
      </c>
      <c r="AL16" s="31">
        <f ca="1">IFERROR(Table110[[#This Row],[Operating Time]]/Table110[[#This Row],[PRODUCTION HOURS]],"")</f>
        <v>0.92123087719298258</v>
      </c>
      <c r="AM16" s="32">
        <v>107</v>
      </c>
      <c r="AN16" s="32" t="s">
        <v>107</v>
      </c>
      <c r="AO16" s="32" t="s">
        <v>107</v>
      </c>
      <c r="AP16" s="32">
        <v>2</v>
      </c>
      <c r="AQ16" s="32">
        <v>0</v>
      </c>
      <c r="AR16" s="32">
        <v>1</v>
      </c>
      <c r="AS16" s="32" t="str">
        <f>IFERROR(SUMIFS(#REF!,#REF!,'Shift Wise-Data Sheet'!A:A,#REF!,"Samridhi Perk Line")/SUMIFS(#REF!,#REF!,'Shift Wise-Data Sheet'!A:A,#REF!,"Samridhi Perk Line"),"")</f>
        <v/>
      </c>
      <c r="AT16" s="32">
        <v>4</v>
      </c>
      <c r="AU16" s="32">
        <v>0</v>
      </c>
      <c r="AV16" s="211">
        <f>IFERROR(VLOOKUP(Table110[[#This Row],[Date]],'Overweight Data'!A14:G1109,6,FALSE),"")</f>
        <v>1.355432780847148E-2</v>
      </c>
      <c r="AW16" s="221">
        <f ca="1">IFERROR(
   IF(
      OR(Table110[[#This Row],[Operating Time]]=0, (Table110[[#This Row],[Operating Time]]/IF(AD16&lt;=1,AD16+1,AD16))*60=0),
      1,
      ((Table110[[#This Row],[Operating Time]])/IF(AD16&lt;=1,AD16+1,AD16))*60
   ),
"_")</f>
        <v>826.95426274777867</v>
      </c>
      <c r="AX16" s="221">
        <f>COUNTIFS('Downtime Data'!A:A,Table110[[#This Row],[Date]])</f>
        <v>1</v>
      </c>
      <c r="AY16" s="219">
        <f>IFERROR((SUM(Table110[[#This Row],[Minor Stoppages]:[Material Shortages]])/Table110[[#This Row],['# Stops]])*60,"")</f>
        <v>36.25</v>
      </c>
      <c r="AZ16" s="219"/>
      <c r="BA16" s="33">
        <v>46048</v>
      </c>
    </row>
    <row r="17" spans="1:53" ht="20.149999999999999" customHeight="1" x14ac:dyDescent="0.35">
      <c r="A17" s="21">
        <v>46034</v>
      </c>
      <c r="B17" s="22" t="str">
        <f t="shared" si="1"/>
        <v>Monday</v>
      </c>
      <c r="C17" s="22"/>
      <c r="D17" s="23" t="s">
        <v>108</v>
      </c>
      <c r="E17" s="24" cm="1">
        <f t="array" aca="1" ref="E17" ca="1">IFERROR(INDIRECT(D17),"")</f>
        <v>34.200000000000003</v>
      </c>
      <c r="F17" s="25">
        <v>30</v>
      </c>
      <c r="G17" s="26">
        <v>28.5</v>
      </c>
      <c r="H17" s="27">
        <f ca="1">IFERROR((Table110[[#This Row],[Plan]]/Table110[[#This Row],[Hours Used]])/(Table110[[#This Row],[SOC (TPD)]]/24),"")</f>
        <v>0.8771929824561403</v>
      </c>
      <c r="I17" s="27">
        <f ca="1">IFERROR((Table110[[#This Row],[Volume Delivered (T)]]/Table110[[#This Row],[Hours Used]])/(Table110[[#This Row],[SOC (TPD)]]/24),"")</f>
        <v>0.83333333333333326</v>
      </c>
      <c r="J17" s="28"/>
      <c r="K17" s="28"/>
      <c r="L17" s="28"/>
      <c r="M17" s="25"/>
      <c r="N17" s="29">
        <v>3.5999999999999997E-2</v>
      </c>
      <c r="O17" s="84"/>
      <c r="P17" s="25"/>
      <c r="Q17" s="25"/>
      <c r="R17" s="70">
        <v>1</v>
      </c>
      <c r="S17" s="71">
        <v>1</v>
      </c>
      <c r="T17" s="30">
        <f>IF(Table110[[#This Row],[SKU]]="",0,24-Table110[[#This Row],[Legal Non-Operating Time]]-Table110[[#This Row],[No Demand Time]]-Table110[[#This Row],[Force Majeure]])</f>
        <v>24</v>
      </c>
      <c r="U17" s="26"/>
      <c r="V17" s="26"/>
      <c r="W17" s="26"/>
      <c r="X17" s="26">
        <v>1.1000000000000001</v>
      </c>
      <c r="Y17" s="26"/>
      <c r="Z17" s="26"/>
      <c r="AA17" s="26"/>
      <c r="AB17" s="30">
        <f>Table110[[#This Row],[Hours Used]]-SUM(Table110[[#This Row],[Planned Maintenance]:[Start and Finish Production]])</f>
        <v>22.9</v>
      </c>
      <c r="AC17" s="26"/>
      <c r="AD17" s="26">
        <v>3</v>
      </c>
      <c r="AE17" s="26"/>
      <c r="AF17" s="26"/>
      <c r="AG17" s="26"/>
      <c r="AH17" s="26"/>
      <c r="AI17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-3.3333333333333805E-2</v>
      </c>
      <c r="AJ17" s="24">
        <f ca="1">IFERROR(IF(Table110[[#This Row],[SKU]]="",0,Table110[[#This Row],[Quality Loss (T)]]/(Table110[[#This Row],[SOC (TPD)]]/24)),"")</f>
        <v>0</v>
      </c>
      <c r="AK17" s="31">
        <f ca="1">IFERROR(IF(Table110[[#This Row],[SKU]]="",0,Table110[[#This Row],[Volume Delivered (T)]]/(Table110[[#This Row],[SOC (TPD)]]/24)),"")</f>
        <v>20</v>
      </c>
      <c r="AL17" s="31">
        <f ca="1">IFERROR(Table110[[#This Row],[Operating Time]]/Table110[[#This Row],[PRODUCTION HOURS]],"")</f>
        <v>0.8733624454148472</v>
      </c>
      <c r="AM17" s="32">
        <v>94</v>
      </c>
      <c r="AN17" s="32" t="s">
        <v>107</v>
      </c>
      <c r="AO17" s="32" t="s">
        <v>107</v>
      </c>
      <c r="AP17" s="32">
        <v>1</v>
      </c>
      <c r="AQ17" s="32">
        <v>1</v>
      </c>
      <c r="AR17" s="32">
        <v>1</v>
      </c>
      <c r="AS17" s="32" t="str">
        <f>IFERROR(SUMIFS(#REF!,#REF!,'Shift Wise-Data Sheet'!A:A,#REF!,"Samridhi Perk Line")/SUMIFS(#REF!,#REF!,'Shift Wise-Data Sheet'!A:A,#REF!,"Samridhi Perk Line"),"")</f>
        <v/>
      </c>
      <c r="AT17" s="32">
        <v>17</v>
      </c>
      <c r="AU17" s="32">
        <v>0</v>
      </c>
      <c r="AV17" s="211">
        <f>IFERROR(VLOOKUP(Table110[[#This Row],[Date]],'Overweight Data'!A15:G1110,6,FALSE),"")</f>
        <v>2.3304104824789368E-2</v>
      </c>
      <c r="AW17" s="221">
        <f ca="1">IFERROR(
   IF(
      OR(Table110[[#This Row],[Operating Time]]=0, (Table110[[#This Row],[Operating Time]]/IF(AD17&lt;=1,AD17+1,AD17))*60=0),
      1,
      ((Table110[[#This Row],[Operating Time]])/IF(AD17&lt;=1,AD17+1,AD17))*60
   ),
"_")</f>
        <v>400</v>
      </c>
      <c r="AX17" s="221">
        <f>COUNTIFS('Downtime Data'!A:A,Table110[[#This Row],[Date]])</f>
        <v>2</v>
      </c>
      <c r="AY17" s="219">
        <f>IFERROR((SUM(Table110[[#This Row],[Minor Stoppages]:[Material Shortages]])/Table110[[#This Row],['# Stops]])*60,"")</f>
        <v>90</v>
      </c>
      <c r="AZ17" s="219"/>
      <c r="BA17" s="33">
        <v>46048</v>
      </c>
    </row>
    <row r="18" spans="1:53" ht="20.149999999999999" customHeight="1" x14ac:dyDescent="0.35">
      <c r="A18" s="21">
        <v>46035</v>
      </c>
      <c r="B18" s="22" t="str">
        <f t="shared" si="1"/>
        <v>Tuesday</v>
      </c>
      <c r="C18" s="22"/>
      <c r="D18" s="23" t="s">
        <v>108</v>
      </c>
      <c r="E18" s="24" cm="1">
        <f t="array" aca="1" ref="E18" ca="1">IFERROR(INDIRECT(D18),"")</f>
        <v>34.200000000000003</v>
      </c>
      <c r="F18" s="25">
        <v>30</v>
      </c>
      <c r="G18" s="26">
        <v>32.700000000000003</v>
      </c>
      <c r="H18" s="27">
        <f ca="1">IFERROR((Table110[[#This Row],[Plan]]/Table110[[#This Row],[Hours Used]])/(Table110[[#This Row],[SOC (TPD)]]/24),"")</f>
        <v>0.8771929824561403</v>
      </c>
      <c r="I18" s="27">
        <f ca="1">IFERROR((Table110[[#This Row],[Volume Delivered (T)]]/Table110[[#This Row],[Hours Used]])/(Table110[[#This Row],[SOC (TPD)]]/24),"")</f>
        <v>0.95614035087719296</v>
      </c>
      <c r="J18" s="28"/>
      <c r="K18" s="28"/>
      <c r="L18" s="28"/>
      <c r="M18" s="25">
        <v>1.3620000000000001</v>
      </c>
      <c r="N18" s="29">
        <v>3.5000000000000003E-2</v>
      </c>
      <c r="O18" s="84"/>
      <c r="P18" s="25"/>
      <c r="Q18" s="25"/>
      <c r="R18" s="70">
        <v>0</v>
      </c>
      <c r="S18" s="71">
        <v>0</v>
      </c>
      <c r="T18" s="30">
        <f>IF(Table110[[#This Row],[SKU]]="",0,24-Table110[[#This Row],[Legal Non-Operating Time]]-Table110[[#This Row],[No Demand Time]]-Table110[[#This Row],[Force Majeure]])</f>
        <v>24</v>
      </c>
      <c r="U18" s="26"/>
      <c r="V18" s="26"/>
      <c r="W18" s="26"/>
      <c r="X18" s="26"/>
      <c r="Y18" s="26"/>
      <c r="Z18" s="26"/>
      <c r="AA18" s="26"/>
      <c r="AB18" s="30">
        <f>Table110[[#This Row],[Hours Used]]-SUM(Table110[[#This Row],[Planned Maintenance]:[Start and Finish Production]])</f>
        <v>24</v>
      </c>
      <c r="AC18" s="26"/>
      <c r="AD18" s="26"/>
      <c r="AE18" s="26"/>
      <c r="AF18" s="26"/>
      <c r="AG18" s="26"/>
      <c r="AH18" s="26"/>
      <c r="AI18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3.2280701754385653E-2</v>
      </c>
      <c r="AJ18" s="24">
        <f ca="1">IFERROR(IF(Table110[[#This Row],[SKU]]="",0,Table110[[#This Row],[Quality Loss (T)]]/(Table110[[#This Row],[SOC (TPD)]]/24)),"")</f>
        <v>0.95578947368421052</v>
      </c>
      <c r="AK18" s="31">
        <f ca="1">IFERROR(IF(Table110[[#This Row],[SKU]]="",0,Table110[[#This Row],[Volume Delivered (T)]]/(Table110[[#This Row],[SOC (TPD)]]/24)),"")</f>
        <v>22.947368421052634</v>
      </c>
      <c r="AL18" s="31">
        <f ca="1">IFERROR(Table110[[#This Row],[Operating Time]]/Table110[[#This Row],[PRODUCTION HOURS]],"")</f>
        <v>0.95614035087719307</v>
      </c>
      <c r="AM18" s="32">
        <v>100</v>
      </c>
      <c r="AN18" s="32" t="s">
        <v>107</v>
      </c>
      <c r="AO18" s="32" t="s">
        <v>107</v>
      </c>
      <c r="AP18" s="32">
        <v>46</v>
      </c>
      <c r="AQ18" s="32">
        <v>45</v>
      </c>
      <c r="AR18" s="32"/>
      <c r="AS18" s="32" t="str">
        <f>IFERROR(SUMIFS(#REF!,#REF!,'Shift Wise-Data Sheet'!A:A,#REF!,"Samridhi Perk Line")/SUMIFS(#REF!,#REF!,'Shift Wise-Data Sheet'!A:A,#REF!,"Samridhi Perk Line"),"")</f>
        <v/>
      </c>
      <c r="AT18" s="32">
        <v>21</v>
      </c>
      <c r="AU18" s="32">
        <v>0</v>
      </c>
      <c r="AV18" s="211">
        <f>IFERROR(VLOOKUP(Table110[[#This Row],[Date]],'Overweight Data'!A16:G1111,6,FALSE),"")</f>
        <v>2.1852497096399536E-2</v>
      </c>
      <c r="AW18" s="221">
        <f ca="1">IFERROR(
   IF(
      OR(Table110[[#This Row],[Operating Time]]=0, (Table110[[#This Row],[Operating Time]]/IF(AD18&lt;=1,AD18+1,AD18))*60=0),
      1,
      ((Table110[[#This Row],[Operating Time]])/IF(AD18&lt;=1,AD18+1,AD18))*60
   ),
"_")</f>
        <v>1376.8421052631579</v>
      </c>
      <c r="AX18" s="221">
        <f>COUNTIFS('Downtime Data'!A:A,Table110[[#This Row],[Date]])</f>
        <v>0</v>
      </c>
      <c r="AY18" s="219" t="str">
        <f>IFERROR((SUM(Table110[[#This Row],[Minor Stoppages]:[Material Shortages]])/Table110[[#This Row],['# Stops]])*60,"")</f>
        <v/>
      </c>
      <c r="AZ18" s="219"/>
      <c r="BA18" s="33">
        <v>46048</v>
      </c>
    </row>
    <row r="19" spans="1:53" ht="20.149999999999999" customHeight="1" x14ac:dyDescent="0.35">
      <c r="A19" s="21">
        <v>46036</v>
      </c>
      <c r="B19" s="22" t="str">
        <f t="shared" si="1"/>
        <v>Wednesday</v>
      </c>
      <c r="C19" s="22"/>
      <c r="D19" s="23" t="s">
        <v>108</v>
      </c>
      <c r="E19" s="24" cm="1">
        <f t="array" aca="1" ref="E19" ca="1">IFERROR(INDIRECT(D19),"")</f>
        <v>34.200000000000003</v>
      </c>
      <c r="F19" s="25">
        <v>30</v>
      </c>
      <c r="G19" s="26">
        <v>30</v>
      </c>
      <c r="H19" s="27">
        <f ca="1">IFERROR((Table110[[#This Row],[Plan]]/Table110[[#This Row],[Hours Used]])/(Table110[[#This Row],[SOC (TPD)]]/24),"")</f>
        <v>0.8771929824561403</v>
      </c>
      <c r="I19" s="27">
        <f ca="1">IFERROR((Table110[[#This Row],[Volume Delivered (T)]]/Table110[[#This Row],[Hours Used]])/(Table110[[#This Row],[SOC (TPD)]]/24),"")</f>
        <v>0.8771929824561403</v>
      </c>
      <c r="J19" s="28"/>
      <c r="K19" s="28"/>
      <c r="L19" s="28"/>
      <c r="M19" s="25">
        <v>2.1269999999999998</v>
      </c>
      <c r="N19" s="29">
        <v>3.5000000000000003E-2</v>
      </c>
      <c r="O19" s="84"/>
      <c r="P19" s="25"/>
      <c r="Q19" s="25"/>
      <c r="R19" s="70">
        <v>0</v>
      </c>
      <c r="S19" s="71">
        <v>0</v>
      </c>
      <c r="T19" s="30">
        <f>IF(Table110[[#This Row],[SKU]]="",0,24-Table110[[#This Row],[Legal Non-Operating Time]]-Table110[[#This Row],[No Demand Time]]-Table110[[#This Row],[Force Majeure]])</f>
        <v>24</v>
      </c>
      <c r="U19" s="26"/>
      <c r="V19" s="26"/>
      <c r="W19" s="26"/>
      <c r="X19" s="26">
        <v>1</v>
      </c>
      <c r="Y19" s="26"/>
      <c r="Z19" s="26"/>
      <c r="AA19" s="26"/>
      <c r="AB19" s="30">
        <f>Table110[[#This Row],[Hours Used]]-SUM(Table110[[#This Row],[Planned Maintenance]:[Start and Finish Production]])</f>
        <v>23</v>
      </c>
      <c r="AC19" s="26"/>
      <c r="AD19" s="26"/>
      <c r="AE19" s="26">
        <v>0.45</v>
      </c>
      <c r="AF19" s="26"/>
      <c r="AG19" s="26"/>
      <c r="AH19" s="26"/>
      <c r="AI19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1.5789473684222344E-3</v>
      </c>
      <c r="AJ19" s="24">
        <f ca="1">IFERROR(IF(Table110[[#This Row],[SKU]]="",0,Table110[[#This Row],[Quality Loss (T)]]/(Table110[[#This Row],[SOC (TPD)]]/24)),"")</f>
        <v>1.4926315789473683</v>
      </c>
      <c r="AK19" s="31">
        <f ca="1">IFERROR(IF(Table110[[#This Row],[SKU]]="",0,Table110[[#This Row],[Volume Delivered (T)]]/(Table110[[#This Row],[SOC (TPD)]]/24)),"")</f>
        <v>21.052631578947366</v>
      </c>
      <c r="AL19" s="31">
        <f ca="1">IFERROR(Table110[[#This Row],[Operating Time]]/Table110[[#This Row],[PRODUCTION HOURS]],"")</f>
        <v>0.91533180778032031</v>
      </c>
      <c r="AM19" s="32">
        <v>92</v>
      </c>
      <c r="AN19" s="32" t="s">
        <v>107</v>
      </c>
      <c r="AO19" s="32" t="s">
        <v>107</v>
      </c>
      <c r="AP19" s="32">
        <v>0</v>
      </c>
      <c r="AQ19" s="32">
        <v>0</v>
      </c>
      <c r="AR19" s="32"/>
      <c r="AS19" s="32" t="str">
        <f>IFERROR(SUMIFS(#REF!,#REF!,'Shift Wise-Data Sheet'!A:A,#REF!,"Samridhi Perk Line")/SUMIFS(#REF!,#REF!,'Shift Wise-Data Sheet'!A:A,#REF!,"Samridhi Perk Line"),"")</f>
        <v/>
      </c>
      <c r="AT19" s="32">
        <v>18</v>
      </c>
      <c r="AU19" s="32">
        <v>0</v>
      </c>
      <c r="AV19" s="211">
        <f>IFERROR(VLOOKUP(Table110[[#This Row],[Date]],'Overweight Data'!A17:G1112,6,FALSE),"")</f>
        <v>1.9628659980364532E-2</v>
      </c>
      <c r="AW19" s="221">
        <f ca="1">IFERROR(
   IF(
      OR(Table110[[#This Row],[Operating Time]]=0, (Table110[[#This Row],[Operating Time]]/IF(AD19&lt;=1,AD19+1,AD19))*60=0),
      1,
      ((Table110[[#This Row],[Operating Time]])/IF(AD19&lt;=1,AD19+1,AD19))*60
   ),
"_")</f>
        <v>1263.1578947368421</v>
      </c>
      <c r="AX19" s="221">
        <f>COUNTIFS('Downtime Data'!A:A,Table110[[#This Row],[Date]])</f>
        <v>2</v>
      </c>
      <c r="AY19" s="219">
        <f>IFERROR((SUM(Table110[[#This Row],[Minor Stoppages]:[Material Shortages]])/Table110[[#This Row],['# Stops]])*60,"")</f>
        <v>13.5</v>
      </c>
      <c r="AZ19" s="219"/>
      <c r="BA19" s="33">
        <v>46048</v>
      </c>
    </row>
    <row r="20" spans="1:53" ht="20.149999999999999" customHeight="1" x14ac:dyDescent="0.35">
      <c r="A20" s="21">
        <v>46037</v>
      </c>
      <c r="B20" s="22" t="str">
        <f t="shared" si="1"/>
        <v>Thursday</v>
      </c>
      <c r="C20" s="22"/>
      <c r="D20" s="23" t="s">
        <v>108</v>
      </c>
      <c r="E20" s="24" cm="1">
        <f t="array" aca="1" ref="E20" ca="1">IFERROR(INDIRECT(D20),"")</f>
        <v>34.200000000000003</v>
      </c>
      <c r="F20" s="25">
        <v>30</v>
      </c>
      <c r="G20" s="26">
        <v>31.5</v>
      </c>
      <c r="H20" s="27">
        <f ca="1">IFERROR((Table110[[#This Row],[Plan]]/Table110[[#This Row],[Hours Used]])/(Table110[[#This Row],[SOC (TPD)]]/24),"")</f>
        <v>0.8771929824561403</v>
      </c>
      <c r="I20" s="27">
        <f ca="1">IFERROR((Table110[[#This Row],[Volume Delivered (T)]]/Table110[[#This Row],[Hours Used]])/(Table110[[#This Row],[SOC (TPD)]]/24),"")</f>
        <v>0.92105263157894735</v>
      </c>
      <c r="J20" s="28"/>
      <c r="K20" s="28"/>
      <c r="L20" s="28"/>
      <c r="M20" s="25"/>
      <c r="N20" s="29">
        <v>3.5000000000000003E-2</v>
      </c>
      <c r="O20" s="84"/>
      <c r="P20" s="25"/>
      <c r="Q20" s="25"/>
      <c r="R20" s="70">
        <v>0</v>
      </c>
      <c r="S20" s="71">
        <v>0</v>
      </c>
      <c r="T20" s="30">
        <f>IF(Table110[[#This Row],[SKU]]="",0,24-Table110[[#This Row],[Legal Non-Operating Time]]-Table110[[#This Row],[No Demand Time]]-Table110[[#This Row],[Force Majeure]])</f>
        <v>24</v>
      </c>
      <c r="U20" s="26"/>
      <c r="V20" s="26"/>
      <c r="W20" s="26"/>
      <c r="X20" s="26">
        <v>2.2000000000000002</v>
      </c>
      <c r="Y20" s="26"/>
      <c r="Z20" s="26"/>
      <c r="AA20" s="26"/>
      <c r="AB20" s="30">
        <f>Table110[[#This Row],[Hours Used]]-SUM(Table110[[#This Row],[Planned Maintenance]:[Start and Finish Production]])</f>
        <v>21.8</v>
      </c>
      <c r="AC20" s="26"/>
      <c r="AD20" s="26"/>
      <c r="AE20" s="26"/>
      <c r="AF20" s="26"/>
      <c r="AG20" s="26"/>
      <c r="AH20" s="26"/>
      <c r="AI20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-0.10175438596491186</v>
      </c>
      <c r="AJ20" s="24">
        <f ca="1">IFERROR(IF(Table110[[#This Row],[SKU]]="",0,Table110[[#This Row],[Quality Loss (T)]]/(Table110[[#This Row],[SOC (TPD)]]/24)),"")</f>
        <v>0</v>
      </c>
      <c r="AK20" s="31">
        <f ca="1">IFERROR(IF(Table110[[#This Row],[SKU]]="",0,Table110[[#This Row],[Volume Delivered (T)]]/(Table110[[#This Row],[SOC (TPD)]]/24)),"")</f>
        <v>22.105263157894736</v>
      </c>
      <c r="AL20" s="31">
        <f ca="1">IFERROR(Table110[[#This Row],[Operating Time]]/Table110[[#This Row],[PRODUCTION HOURS]],"")</f>
        <v>1.0140028971511346</v>
      </c>
      <c r="AM20" s="32">
        <v>114</v>
      </c>
      <c r="AN20" s="32" t="s">
        <v>107</v>
      </c>
      <c r="AO20" s="32" t="s">
        <v>107</v>
      </c>
      <c r="AP20" s="32">
        <v>2</v>
      </c>
      <c r="AQ20" s="32">
        <v>2</v>
      </c>
      <c r="AR20" s="32"/>
      <c r="AS20" s="32" t="str">
        <f>IFERROR(SUMIFS(#REF!,#REF!,'Shift Wise-Data Sheet'!A:A,#REF!,"Samridhi Perk Line")/SUMIFS(#REF!,#REF!,'Shift Wise-Data Sheet'!A:A,#REF!,"Samridhi Perk Line"),"")</f>
        <v/>
      </c>
      <c r="AT20" s="32">
        <v>7</v>
      </c>
      <c r="AU20" s="32">
        <v>0</v>
      </c>
      <c r="AV20" s="211">
        <f>IFERROR(VLOOKUP(Table110[[#This Row],[Date]],'Overweight Data'!A18:G1113,6,FALSE),"")</f>
        <v>2.3287292817679578E-2</v>
      </c>
      <c r="AW20" s="221">
        <f ca="1">IFERROR(
   IF(
      OR(Table110[[#This Row],[Operating Time]]=0, (Table110[[#This Row],[Operating Time]]/IF(AD20&lt;=1,AD20+1,AD20))*60=0),
      1,
      ((Table110[[#This Row],[Operating Time]])/IF(AD20&lt;=1,AD20+1,AD20))*60
   ),
"_")</f>
        <v>1326.3157894736842</v>
      </c>
      <c r="AX20" s="221">
        <f>COUNTIFS('Downtime Data'!A:A,Table110[[#This Row],[Date]])</f>
        <v>1</v>
      </c>
      <c r="AY20" s="219">
        <f>IFERROR((SUM(Table110[[#This Row],[Minor Stoppages]:[Material Shortages]])/Table110[[#This Row],['# Stops]])*60,"")</f>
        <v>0</v>
      </c>
      <c r="AZ20" s="219"/>
      <c r="BA20" s="33">
        <v>46048</v>
      </c>
    </row>
    <row r="21" spans="1:53" ht="20.149999999999999" customHeight="1" x14ac:dyDescent="0.35">
      <c r="A21" s="21">
        <v>46038</v>
      </c>
      <c r="B21" s="22" t="str">
        <f t="shared" si="1"/>
        <v>Friday</v>
      </c>
      <c r="C21" s="22"/>
      <c r="D21" s="23" t="s">
        <v>106</v>
      </c>
      <c r="E21" s="24" cm="1">
        <f t="array" aca="1" ref="E21" ca="1">IFERROR(INDIRECT(D21),"")</f>
        <v>39.200000000000003</v>
      </c>
      <c r="F21" s="25">
        <v>32</v>
      </c>
      <c r="G21" s="26">
        <v>38.6</v>
      </c>
      <c r="H21" s="27">
        <f ca="1">IFERROR((Table110[[#This Row],[Plan]]/Table110[[#This Row],[Hours Used]])/(Table110[[#This Row],[SOC (TPD)]]/24),"")</f>
        <v>0.81632653061224481</v>
      </c>
      <c r="I21" s="27">
        <f ca="1">IFERROR((Table110[[#This Row],[Volume Delivered (T)]]/Table110[[#This Row],[Hours Used]])/(Table110[[#This Row],[SOC (TPD)]]/24),"")</f>
        <v>0.98469387755102034</v>
      </c>
      <c r="J21" s="28"/>
      <c r="K21" s="28"/>
      <c r="L21" s="28"/>
      <c r="M21" s="25"/>
      <c r="N21" s="29">
        <v>3.5000000000000003E-2</v>
      </c>
      <c r="O21" s="84"/>
      <c r="P21" s="25"/>
      <c r="Q21" s="25"/>
      <c r="R21" s="70">
        <v>0</v>
      </c>
      <c r="S21" s="71">
        <v>0</v>
      </c>
      <c r="T21" s="30">
        <f>IF(Table110[[#This Row],[SKU]]="",0,24-Table110[[#This Row],[Legal Non-Operating Time]]-Table110[[#This Row],[No Demand Time]]-Table110[[#This Row],[Force Majeure]])</f>
        <v>24</v>
      </c>
      <c r="U21" s="26"/>
      <c r="V21" s="26"/>
      <c r="W21" s="26"/>
      <c r="X21" s="26"/>
      <c r="Y21" s="26"/>
      <c r="Z21" s="26"/>
      <c r="AA21" s="26"/>
      <c r="AB21" s="30">
        <f>Table110[[#This Row],[Hours Used]]-SUM(Table110[[#This Row],[Planned Maintenance]:[Start and Finish Production]])</f>
        <v>24</v>
      </c>
      <c r="AC21" s="26"/>
      <c r="AD21" s="26"/>
      <c r="AE21" s="26"/>
      <c r="AF21" s="26"/>
      <c r="AG21" s="26"/>
      <c r="AH21" s="26"/>
      <c r="AI21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0.12244897959183731</v>
      </c>
      <c r="AJ21" s="24">
        <f ca="1">IFERROR(IF(Table110[[#This Row],[SKU]]="",0,Table110[[#This Row],[Quality Loss (T)]]/(Table110[[#This Row],[SOC (TPD)]]/24)),"")</f>
        <v>0</v>
      </c>
      <c r="AK21" s="31">
        <f ca="1">IFERROR(IF(Table110[[#This Row],[SKU]]="",0,Table110[[#This Row],[Volume Delivered (T)]]/(Table110[[#This Row],[SOC (TPD)]]/24)),"")</f>
        <v>23.632653061224488</v>
      </c>
      <c r="AL21" s="31">
        <f ca="1">IFERROR(Table110[[#This Row],[Operating Time]]/Table110[[#This Row],[PRODUCTION HOURS]],"")</f>
        <v>0.98469387755102034</v>
      </c>
      <c r="AM21" s="32">
        <v>119</v>
      </c>
      <c r="AN21" s="32" t="s">
        <v>107</v>
      </c>
      <c r="AO21" s="32" t="s">
        <v>107</v>
      </c>
      <c r="AP21" s="32">
        <v>0</v>
      </c>
      <c r="AQ21" s="32">
        <v>0</v>
      </c>
      <c r="AR21" s="32"/>
      <c r="AS21" s="32" t="str">
        <f>IFERROR(SUMIFS(#REF!,#REF!,'Shift Wise-Data Sheet'!A:A,#REF!,"Samridhi Perk Line")/SUMIFS(#REF!,#REF!,'Shift Wise-Data Sheet'!A:A,#REF!,"Samridhi Perk Line"),"")</f>
        <v/>
      </c>
      <c r="AT21" s="32">
        <v>8</v>
      </c>
      <c r="AU21" s="32">
        <v>0</v>
      </c>
      <c r="AV21" s="211">
        <f>IFERROR(VLOOKUP(Table110[[#This Row],[Date]],'Overweight Data'!A19:G1114,6,FALSE),"")</f>
        <v>2.5580110497237598E-2</v>
      </c>
      <c r="AW21" s="221">
        <f ca="1">IFERROR(
   IF(
      OR(Table110[[#This Row],[Operating Time]]=0, (Table110[[#This Row],[Operating Time]]/IF(AD21&lt;=1,AD21+1,AD21))*60=0),
      1,
      ((Table110[[#This Row],[Operating Time]])/IF(AD21&lt;=1,AD21+1,AD21))*60
   ),
"_")</f>
        <v>1417.9591836734694</v>
      </c>
      <c r="AX21" s="221">
        <f>COUNTIFS('Downtime Data'!A:A,Table110[[#This Row],[Date]])</f>
        <v>0</v>
      </c>
      <c r="AY21" s="219" t="str">
        <f>IFERROR((SUM(Table110[[#This Row],[Minor Stoppages]:[Material Shortages]])/Table110[[#This Row],['# Stops]])*60,"")</f>
        <v/>
      </c>
      <c r="AZ21" s="219"/>
      <c r="BA21" s="33">
        <v>46048</v>
      </c>
    </row>
    <row r="22" spans="1:53" ht="20.149999999999999" customHeight="1" x14ac:dyDescent="0.35">
      <c r="A22" s="21">
        <v>46039</v>
      </c>
      <c r="B22" s="22" t="str">
        <f t="shared" si="1"/>
        <v>Saturday</v>
      </c>
      <c r="C22" s="22"/>
      <c r="D22" s="23" t="s">
        <v>106</v>
      </c>
      <c r="E22" s="24" cm="1">
        <f t="array" aca="1" ref="E22" ca="1">IFERROR(INDIRECT(D22),"")</f>
        <v>39.200000000000003</v>
      </c>
      <c r="F22" s="25">
        <v>32</v>
      </c>
      <c r="G22" s="26">
        <v>35.200000000000003</v>
      </c>
      <c r="H22" s="27">
        <f ca="1">IFERROR((Table110[[#This Row],[Plan]]/Table110[[#This Row],[Hours Used]])/(Table110[[#This Row],[SOC (TPD)]]/24),"")</f>
        <v>0.81632653061224481</v>
      </c>
      <c r="I22" s="27">
        <f ca="1">IFERROR((Table110[[#This Row],[Volume Delivered (T)]]/Table110[[#This Row],[Hours Used]])/(Table110[[#This Row],[SOC (TPD)]]/24),"")</f>
        <v>0.89795918367346939</v>
      </c>
      <c r="J22" s="28"/>
      <c r="K22" s="28"/>
      <c r="L22" s="28"/>
      <c r="M22" s="25">
        <v>0.2</v>
      </c>
      <c r="N22" s="29">
        <v>3.5000000000000003E-2</v>
      </c>
      <c r="O22" s="84"/>
      <c r="P22" s="25"/>
      <c r="Q22" s="25"/>
      <c r="R22" s="70">
        <v>0</v>
      </c>
      <c r="S22" s="71">
        <v>0</v>
      </c>
      <c r="T22" s="30">
        <f>IF(Table110[[#This Row],[SKU]]="",0,24-Table110[[#This Row],[Legal Non-Operating Time]]-Table110[[#This Row],[No Demand Time]]-Table110[[#This Row],[Force Majeure]])</f>
        <v>24</v>
      </c>
      <c r="U22" s="26"/>
      <c r="V22" s="26"/>
      <c r="W22" s="26"/>
      <c r="X22" s="26"/>
      <c r="Y22" s="26"/>
      <c r="Z22" s="26"/>
      <c r="AA22" s="26"/>
      <c r="AB22" s="30">
        <f>Table110[[#This Row],[Hours Used]]-SUM(Table110[[#This Row],[Planned Maintenance]:[Start and Finish Production]])</f>
        <v>24</v>
      </c>
      <c r="AC22" s="26"/>
      <c r="AD22" s="26"/>
      <c r="AE22" s="26">
        <v>1</v>
      </c>
      <c r="AF22" s="26"/>
      <c r="AG22" s="26"/>
      <c r="AH22" s="26"/>
      <c r="AI22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0.44217687074829942</v>
      </c>
      <c r="AJ22" s="24">
        <f ca="1">IFERROR(IF(Table110[[#This Row],[SKU]]="",0,Table110[[#This Row],[Quality Loss (T)]]/(Table110[[#This Row],[SOC (TPD)]]/24)),"")</f>
        <v>0.12244897959183673</v>
      </c>
      <c r="AK22" s="31">
        <f ca="1">IFERROR(IF(Table110[[#This Row],[SKU]]="",0,Table110[[#This Row],[Volume Delivered (T)]]/(Table110[[#This Row],[SOC (TPD)]]/24)),"")</f>
        <v>21.551020408163264</v>
      </c>
      <c r="AL22" s="31">
        <f ca="1">IFERROR(Table110[[#This Row],[Operating Time]]/Table110[[#This Row],[PRODUCTION HOURS]],"")</f>
        <v>0.89795918367346939</v>
      </c>
      <c r="AM22" s="32">
        <v>111</v>
      </c>
      <c r="AN22" s="32" t="s">
        <v>107</v>
      </c>
      <c r="AO22" s="32" t="s">
        <v>107</v>
      </c>
      <c r="AP22" s="32">
        <v>0</v>
      </c>
      <c r="AQ22" s="32">
        <v>0</v>
      </c>
      <c r="AR22" s="32"/>
      <c r="AS22" s="32" t="str">
        <f>IFERROR(SUMIFS(#REF!,#REF!,'Shift Wise-Data Sheet'!A:A,#REF!,"Samridhi Perk Line")/SUMIFS(#REF!,#REF!,'Shift Wise-Data Sheet'!A:A,#REF!,"Samridhi Perk Line"),"")</f>
        <v/>
      </c>
      <c r="AT22" s="32">
        <v>35</v>
      </c>
      <c r="AU22" s="32">
        <v>0</v>
      </c>
      <c r="AV22" s="211">
        <f>IFERROR(VLOOKUP(Table110[[#This Row],[Date]],'Overweight Data'!A20:G1115,6,FALSE),"")</f>
        <v>3.1058931860036793E-2</v>
      </c>
      <c r="AW22" s="221">
        <f ca="1">IFERROR(
   IF(
      OR(Table110[[#This Row],[Operating Time]]=0, (Table110[[#This Row],[Operating Time]]/IF(AD22&lt;=1,AD22+1,AD22))*60=0),
      1,
      ((Table110[[#This Row],[Operating Time]])/IF(AD22&lt;=1,AD22+1,AD22))*60
   ),
"_")</f>
        <v>1293.0612244897959</v>
      </c>
      <c r="AX22" s="221">
        <f>COUNTIFS('Downtime Data'!A:A,Table110[[#This Row],[Date]])</f>
        <v>1</v>
      </c>
      <c r="AY22" s="219">
        <f>IFERROR((SUM(Table110[[#This Row],[Minor Stoppages]:[Material Shortages]])/Table110[[#This Row],['# Stops]])*60,"")</f>
        <v>60</v>
      </c>
      <c r="AZ22" s="219"/>
      <c r="BA22" s="33">
        <v>46048</v>
      </c>
    </row>
    <row r="23" spans="1:53" ht="20.149999999999999" customHeight="1" x14ac:dyDescent="0.35">
      <c r="A23" s="21">
        <v>46040</v>
      </c>
      <c r="B23" s="22" t="str">
        <f t="shared" si="1"/>
        <v>Sunday</v>
      </c>
      <c r="C23" s="22"/>
      <c r="D23" s="23" t="s">
        <v>106</v>
      </c>
      <c r="E23" s="24" cm="1">
        <f t="array" aca="1" ref="E23" ca="1">IFERROR(INDIRECT(D23),"")</f>
        <v>39.200000000000003</v>
      </c>
      <c r="F23" s="25">
        <v>32</v>
      </c>
      <c r="G23" s="26">
        <v>32.590000000000003</v>
      </c>
      <c r="H23" s="27">
        <f ca="1">IFERROR((Table110[[#This Row],[Plan]]/Table110[[#This Row],[Hours Used]])/(Table110[[#This Row],[SOC (TPD)]]/24),"")</f>
        <v>0.81632653061224481</v>
      </c>
      <c r="I23" s="27">
        <f ca="1">IFERROR((Table110[[#This Row],[Volume Delivered (T)]]/Table110[[#This Row],[Hours Used]])/(Table110[[#This Row],[SOC (TPD)]]/24),"")</f>
        <v>0.83137755102040822</v>
      </c>
      <c r="J23" s="28"/>
      <c r="K23" s="28"/>
      <c r="L23" s="28"/>
      <c r="M23" s="25">
        <v>1.72</v>
      </c>
      <c r="N23" s="29">
        <v>3.5000000000000003E-2</v>
      </c>
      <c r="O23" s="84"/>
      <c r="P23" s="25"/>
      <c r="Q23" s="25"/>
      <c r="R23" s="70">
        <v>0</v>
      </c>
      <c r="S23" s="71">
        <v>0</v>
      </c>
      <c r="T23" s="30">
        <f>IF(Table110[[#This Row],[SKU]]="",0,24-Table110[[#This Row],[Legal Non-Operating Time]]-Table110[[#This Row],[No Demand Time]]-Table110[[#This Row],[Force Majeure]])</f>
        <v>24</v>
      </c>
      <c r="U23" s="26"/>
      <c r="V23" s="26"/>
      <c r="W23" s="26"/>
      <c r="X23" s="26"/>
      <c r="Y23" s="26"/>
      <c r="Z23" s="26"/>
      <c r="AA23" s="26"/>
      <c r="AB23" s="30">
        <f>Table110[[#This Row],[Hours Used]]-SUM(Table110[[#This Row],[Planned Maintenance]:[Start and Finish Production]])</f>
        <v>24</v>
      </c>
      <c r="AC23" s="26">
        <v>0.5</v>
      </c>
      <c r="AD23" s="26">
        <v>1</v>
      </c>
      <c r="AE23" s="26">
        <v>0.75</v>
      </c>
      <c r="AF23" s="26"/>
      <c r="AG23" s="26"/>
      <c r="AH23" s="26"/>
      <c r="AI23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0.24795918367346914</v>
      </c>
      <c r="AJ23" s="24">
        <f ca="1">IFERROR(IF(Table110[[#This Row],[SKU]]="",0,Table110[[#This Row],[Quality Loss (T)]]/(Table110[[#This Row],[SOC (TPD)]]/24)),"")</f>
        <v>1.0530612244897959</v>
      </c>
      <c r="AK23" s="31">
        <f ca="1">IFERROR(IF(Table110[[#This Row],[SKU]]="",0,Table110[[#This Row],[Volume Delivered (T)]]/(Table110[[#This Row],[SOC (TPD)]]/24)),"")</f>
        <v>19.953061224489797</v>
      </c>
      <c r="AL23" s="31">
        <f ca="1">IFERROR(Table110[[#This Row],[Operating Time]]/Table110[[#This Row],[PRODUCTION HOURS]],"")</f>
        <v>0.83137755102040822</v>
      </c>
      <c r="AM23" s="32">
        <v>97</v>
      </c>
      <c r="AN23" s="32" t="s">
        <v>107</v>
      </c>
      <c r="AO23" s="32" t="s">
        <v>107</v>
      </c>
      <c r="AP23" s="32">
        <v>0</v>
      </c>
      <c r="AQ23" s="32">
        <v>0</v>
      </c>
      <c r="AR23" s="32"/>
      <c r="AS23" s="32" t="str">
        <f>IFERROR(SUMIFS(#REF!,#REF!,'Shift Wise-Data Sheet'!A:A,#REF!,"Samridhi Perk Line")/SUMIFS(#REF!,#REF!,'Shift Wise-Data Sheet'!A:A,#REF!,"Samridhi Perk Line"),"")</f>
        <v/>
      </c>
      <c r="AT23" s="32">
        <v>2</v>
      </c>
      <c r="AU23" s="32">
        <v>0</v>
      </c>
      <c r="AV23" s="211">
        <f>IFERROR(VLOOKUP(Table110[[#This Row],[Date]],'Overweight Data'!A21:G1116,6,FALSE),"")</f>
        <v>1.8075506445672185E-2</v>
      </c>
      <c r="AW23" s="221">
        <f ca="1">IFERROR(
   IF(
      OR(Table110[[#This Row],[Operating Time]]=0, (Table110[[#This Row],[Operating Time]]/IF(AD23&lt;=1,AD23+1,AD23))*60=0),
      1,
      ((Table110[[#This Row],[Operating Time]])/IF(AD23&lt;=1,AD23+1,AD23))*60
   ),
"_")</f>
        <v>598.59183673469397</v>
      </c>
      <c r="AX23" s="221">
        <f>COUNTIFS('Downtime Data'!A:A,Table110[[#This Row],[Date]])</f>
        <v>4</v>
      </c>
      <c r="AY23" s="219">
        <f>IFERROR((SUM(Table110[[#This Row],[Minor Stoppages]:[Material Shortages]])/Table110[[#This Row],['# Stops]])*60,"")</f>
        <v>33.75</v>
      </c>
      <c r="AZ23" s="219"/>
      <c r="BA23" s="33">
        <v>46048</v>
      </c>
    </row>
    <row r="24" spans="1:53" ht="20.149999999999999" customHeight="1" x14ac:dyDescent="0.35">
      <c r="A24" s="21">
        <v>46041</v>
      </c>
      <c r="B24" s="22" t="str">
        <f t="shared" si="1"/>
        <v>Monday</v>
      </c>
      <c r="C24" s="22"/>
      <c r="D24" s="23" t="s">
        <v>106</v>
      </c>
      <c r="E24" s="24" cm="1">
        <f t="array" aca="1" ref="E24" ca="1">IFERROR(INDIRECT(D24),"")</f>
        <v>39.200000000000003</v>
      </c>
      <c r="F24" s="25">
        <v>32</v>
      </c>
      <c r="G24" s="26">
        <v>31.8</v>
      </c>
      <c r="H24" s="27">
        <f ca="1">IFERROR((Table110[[#This Row],[Plan]]/Table110[[#This Row],[Hours Used]])/(Table110[[#This Row],[SOC (TPD)]]/24),"")</f>
        <v>0.81632653061224481</v>
      </c>
      <c r="I24" s="27">
        <f ca="1">IFERROR((Table110[[#This Row],[Volume Delivered (T)]]/Table110[[#This Row],[Hours Used]])/(Table110[[#This Row],[SOC (TPD)]]/24),"")</f>
        <v>0.81122448979591821</v>
      </c>
      <c r="J24" s="28"/>
      <c r="K24" s="28"/>
      <c r="L24" s="28"/>
      <c r="M24" s="25">
        <v>2.048</v>
      </c>
      <c r="N24" s="29">
        <v>3.5000000000000003E-2</v>
      </c>
      <c r="O24" s="84"/>
      <c r="P24" s="25"/>
      <c r="Q24" s="25"/>
      <c r="R24" s="70">
        <v>3</v>
      </c>
      <c r="S24" s="71">
        <v>3</v>
      </c>
      <c r="T24" s="30">
        <f>IF(Table110[[#This Row],[SKU]]="",0,24-Table110[[#This Row],[Legal Non-Operating Time]]-Table110[[#This Row],[No Demand Time]]-Table110[[#This Row],[Force Majeure]])</f>
        <v>24</v>
      </c>
      <c r="U24" s="26"/>
      <c r="V24" s="26"/>
      <c r="W24" s="26"/>
      <c r="X24" s="26"/>
      <c r="Y24" s="26"/>
      <c r="Z24" s="26"/>
      <c r="AA24" s="26"/>
      <c r="AB24" s="30">
        <f>Table110[[#This Row],[Hours Used]]-SUM(Table110[[#This Row],[Planned Maintenance]:[Start and Finish Production]])</f>
        <v>24</v>
      </c>
      <c r="AC24" s="26">
        <v>1</v>
      </c>
      <c r="AD24" s="26">
        <v>0.5</v>
      </c>
      <c r="AE24" s="26">
        <v>1</v>
      </c>
      <c r="AF24" s="26"/>
      <c r="AG24" s="26"/>
      <c r="AH24" s="26"/>
      <c r="AI24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0.25891156462585013</v>
      </c>
      <c r="AJ24" s="24">
        <f ca="1">IFERROR(IF(Table110[[#This Row],[SKU]]="",0,Table110[[#This Row],[Quality Loss (T)]]/(Table110[[#This Row],[SOC (TPD)]]/24)),"")</f>
        <v>1.2538775510204081</v>
      </c>
      <c r="AK24" s="31">
        <f ca="1">IFERROR(IF(Table110[[#This Row],[SKU]]="",0,Table110[[#This Row],[Volume Delivered (T)]]/(Table110[[#This Row],[SOC (TPD)]]/24)),"")</f>
        <v>19.469387755102041</v>
      </c>
      <c r="AL24" s="31">
        <f ca="1">IFERROR(Table110[[#This Row],[Operating Time]]/Table110[[#This Row],[PRODUCTION HOURS]],"")</f>
        <v>0.81122448979591832</v>
      </c>
      <c r="AM24" s="32">
        <v>84</v>
      </c>
      <c r="AN24" s="32" t="s">
        <v>107</v>
      </c>
      <c r="AO24" s="32" t="s">
        <v>107</v>
      </c>
      <c r="AP24" s="32">
        <v>3</v>
      </c>
      <c r="AQ24" s="32">
        <v>0</v>
      </c>
      <c r="AR24" s="32"/>
      <c r="AS24" s="32" t="str">
        <f>IFERROR(SUMIFS(#REF!,#REF!,'Shift Wise-Data Sheet'!A:A,#REF!,"Samridhi Perk Line")/SUMIFS(#REF!,#REF!,'Shift Wise-Data Sheet'!A:A,#REF!,"Samridhi Perk Line"),"")</f>
        <v/>
      </c>
      <c r="AT24" s="32">
        <v>7</v>
      </c>
      <c r="AU24" s="32">
        <v>0</v>
      </c>
      <c r="AV24" s="211">
        <f>IFERROR(VLOOKUP(Table110[[#This Row],[Date]],'Overweight Data'!A22:G1117,6,FALSE),"")</f>
        <v>2.0856353591160254E-2</v>
      </c>
      <c r="AW24" s="221">
        <f ca="1">IFERROR(
   IF(
      OR(Table110[[#This Row],[Operating Time]]=0, (Table110[[#This Row],[Operating Time]]/IF(AD24&lt;=1,AD24+1,AD24))*60=0),
      1,
      ((Table110[[#This Row],[Operating Time]])/IF(AD24&lt;=1,AD24+1,AD24))*60
   ),
"_")</f>
        <v>778.77551020408157</v>
      </c>
      <c r="AX24" s="221">
        <f>COUNTIFS('Downtime Data'!A:A,Table110[[#This Row],[Date]])</f>
        <v>3</v>
      </c>
      <c r="AY24" s="219">
        <f>IFERROR((SUM(Table110[[#This Row],[Minor Stoppages]:[Material Shortages]])/Table110[[#This Row],['# Stops]])*60,"")</f>
        <v>50</v>
      </c>
      <c r="AZ24" s="219"/>
      <c r="BA24" s="33">
        <v>46048</v>
      </c>
    </row>
    <row r="25" spans="1:53" ht="20.149999999999999" customHeight="1" x14ac:dyDescent="0.35">
      <c r="A25" s="21">
        <v>46042</v>
      </c>
      <c r="B25" s="22" t="str">
        <f t="shared" si="1"/>
        <v>Tuesday</v>
      </c>
      <c r="C25" s="22"/>
      <c r="D25" s="23" t="s">
        <v>106</v>
      </c>
      <c r="E25" s="24" cm="1">
        <f t="array" aca="1" ref="E25" ca="1">IFERROR(INDIRECT(D25),"")</f>
        <v>39.200000000000003</v>
      </c>
      <c r="F25" s="25">
        <v>32</v>
      </c>
      <c r="G25" s="26">
        <v>36.36</v>
      </c>
      <c r="H25" s="27">
        <f ca="1">IFERROR((Table110[[#This Row],[Plan]]/Table110[[#This Row],[Hours Used]])/(Table110[[#This Row],[SOC (TPD)]]/24),"")</f>
        <v>0.81632653061224481</v>
      </c>
      <c r="I25" s="27">
        <f ca="1">IFERROR((Table110[[#This Row],[Volume Delivered (T)]]/Table110[[#This Row],[Hours Used]])/(Table110[[#This Row],[SOC (TPD)]]/24),"")</f>
        <v>0.92755102040816306</v>
      </c>
      <c r="J25" s="28"/>
      <c r="K25" s="28"/>
      <c r="L25" s="28"/>
      <c r="M25" s="25">
        <v>2.1230000000000002</v>
      </c>
      <c r="N25" s="29">
        <v>3.5000000000000003E-2</v>
      </c>
      <c r="O25" s="84"/>
      <c r="P25" s="25"/>
      <c r="Q25" s="25"/>
      <c r="R25" s="70">
        <v>0</v>
      </c>
      <c r="S25" s="71">
        <v>0</v>
      </c>
      <c r="T25" s="30">
        <f>IF(Table110[[#This Row],[SKU]]="",0,24-Table110[[#This Row],[Legal Non-Operating Time]]-Table110[[#This Row],[No Demand Time]]-Table110[[#This Row],[Force Majeure]])</f>
        <v>24</v>
      </c>
      <c r="U25" s="26"/>
      <c r="V25" s="26"/>
      <c r="W25" s="26"/>
      <c r="X25" s="26"/>
      <c r="Y25" s="26"/>
      <c r="Z25" s="26"/>
      <c r="AA25" s="26"/>
      <c r="AB25" s="30">
        <f>Table110[[#This Row],[Hours Used]]-SUM(Table110[[#This Row],[Planned Maintenance]:[Start and Finish Production]])</f>
        <v>24</v>
      </c>
      <c r="AC25" s="26"/>
      <c r="AD25" s="26">
        <v>0.2</v>
      </c>
      <c r="AE25" s="26"/>
      <c r="AF25" s="26"/>
      <c r="AG25" s="26"/>
      <c r="AH25" s="26"/>
      <c r="AI25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7.9659863945579445E-2</v>
      </c>
      <c r="AJ25" s="24">
        <f ca="1">IFERROR(IF(Table110[[#This Row],[SKU]]="",0,Table110[[#This Row],[Quality Loss (T)]]/(Table110[[#This Row],[SOC (TPD)]]/24)),"")</f>
        <v>1.2997959183673469</v>
      </c>
      <c r="AK25" s="31">
        <f ca="1">IFERROR(IF(Table110[[#This Row],[SKU]]="",0,Table110[[#This Row],[Volume Delivered (T)]]/(Table110[[#This Row],[SOC (TPD)]]/24)),"")</f>
        <v>22.261224489795914</v>
      </c>
      <c r="AL25" s="31">
        <f ca="1">IFERROR(Table110[[#This Row],[Operating Time]]/Table110[[#This Row],[PRODUCTION HOURS]],"")</f>
        <v>0.92755102040816306</v>
      </c>
      <c r="AM25" s="32">
        <v>102</v>
      </c>
      <c r="AN25" s="32" t="s">
        <v>107</v>
      </c>
      <c r="AO25" s="32" t="s">
        <v>107</v>
      </c>
      <c r="AP25" s="32">
        <v>0</v>
      </c>
      <c r="AQ25" s="32">
        <v>0</v>
      </c>
      <c r="AR25" s="32"/>
      <c r="AS25" s="32" t="str">
        <f>IFERROR(SUMIFS(#REF!,#REF!,'Shift Wise-Data Sheet'!A:A,#REF!,"Samridhi Perk Line")/SUMIFS(#REF!,#REF!,'Shift Wise-Data Sheet'!A:A,#REF!,"Samridhi Perk Line"),"")</f>
        <v/>
      </c>
      <c r="AT25" s="32">
        <v>17</v>
      </c>
      <c r="AU25" s="32">
        <v>0</v>
      </c>
      <c r="AV25" s="211">
        <f>IFERROR(VLOOKUP(Table110[[#This Row],[Date]],'Overweight Data'!A23:G1118,6,FALSE),"")</f>
        <v>2.8775322283609576E-2</v>
      </c>
      <c r="AW25" s="221">
        <f ca="1">IFERROR(
   IF(
      OR(Table110[[#This Row],[Operating Time]]=0, (Table110[[#This Row],[Operating Time]]/IF(AD25&lt;=1,AD25+1,AD25))*60=0),
      1,
      ((Table110[[#This Row],[Operating Time]])/IF(AD25&lt;=1,AD25+1,AD25))*60
   ),
"_")</f>
        <v>1113.0612244897959</v>
      </c>
      <c r="AX25" s="221">
        <f>COUNTIFS('Downtime Data'!A:A,Table110[[#This Row],[Date]])</f>
        <v>1</v>
      </c>
      <c r="AY25" s="219">
        <f>IFERROR((SUM(Table110[[#This Row],[Minor Stoppages]:[Material Shortages]])/Table110[[#This Row],['# Stops]])*60,"")</f>
        <v>12</v>
      </c>
      <c r="AZ25" s="219"/>
      <c r="BA25" s="33">
        <v>46048</v>
      </c>
    </row>
    <row r="26" spans="1:53" ht="20.149999999999999" customHeight="1" x14ac:dyDescent="0.35">
      <c r="A26" s="21">
        <v>46043</v>
      </c>
      <c r="B26" s="22" t="str">
        <f t="shared" si="1"/>
        <v>Wednesday</v>
      </c>
      <c r="C26" s="22"/>
      <c r="D26" s="23" t="s">
        <v>109</v>
      </c>
      <c r="E26" s="24" cm="1">
        <f t="array" aca="1" ref="E26" ca="1">IFERROR(INDIRECT(D26),"")</f>
        <v>24.5</v>
      </c>
      <c r="F26" s="25">
        <v>6</v>
      </c>
      <c r="G26" s="26">
        <v>8</v>
      </c>
      <c r="H26" s="27">
        <f ca="1">IFERROR((Table110[[#This Row],[Plan]]/Table110[[#This Row],[Hours Used]])/(Table110[[#This Row],[SOC (TPD)]]/24),"")</f>
        <v>0.48979591836734698</v>
      </c>
      <c r="I26" s="27">
        <f ca="1">IFERROR((Table110[[#This Row],[Volume Delivered (T)]]/Table110[[#This Row],[Hours Used]])/(Table110[[#This Row],[SOC (TPD)]]/24),"")</f>
        <v>0.65306122448979598</v>
      </c>
      <c r="J26" s="28"/>
      <c r="K26" s="28">
        <v>12</v>
      </c>
      <c r="L26" s="28"/>
      <c r="M26" s="25">
        <v>0.2</v>
      </c>
      <c r="N26" s="29">
        <v>3.5000000000000003E-2</v>
      </c>
      <c r="O26" s="84"/>
      <c r="P26" s="25"/>
      <c r="Q26" s="25"/>
      <c r="R26" s="70">
        <v>0</v>
      </c>
      <c r="S26" s="71">
        <v>0</v>
      </c>
      <c r="T26" s="30">
        <f>IF(Table110[[#This Row],[SKU]]="",0,24-Table110[[#This Row],[Legal Non-Operating Time]]-Table110[[#This Row],[No Demand Time]]-Table110[[#This Row],[Force Majeure]])</f>
        <v>12</v>
      </c>
      <c r="U26" s="26"/>
      <c r="V26" s="26"/>
      <c r="W26" s="26">
        <v>4</v>
      </c>
      <c r="X26" s="26"/>
      <c r="Y26" s="26"/>
      <c r="Z26" s="26"/>
      <c r="AA26" s="26"/>
      <c r="AB26" s="30">
        <f>Table110[[#This Row],[Hours Used]]-SUM(Table110[[#This Row],[Planned Maintenance]:[Start and Finish Production]])</f>
        <v>8</v>
      </c>
      <c r="AC26" s="26"/>
      <c r="AD26" s="26"/>
      <c r="AE26" s="26"/>
      <c r="AF26" s="26"/>
      <c r="AG26" s="26"/>
      <c r="AH26" s="26"/>
      <c r="AI26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-1.088435374149673E-2</v>
      </c>
      <c r="AJ26" s="24">
        <f ca="1">IFERROR(IF(Table110[[#This Row],[SKU]]="",0,Table110[[#This Row],[Quality Loss (T)]]/(Table110[[#This Row],[SOC (TPD)]]/24)),"")</f>
        <v>0.19591836734693879</v>
      </c>
      <c r="AK26" s="31">
        <f ca="1">IFERROR(IF(Table110[[#This Row],[SKU]]="",0,Table110[[#This Row],[Volume Delivered (T)]]/(Table110[[#This Row],[SOC (TPD)]]/24)),"")</f>
        <v>7.8367346938775517</v>
      </c>
      <c r="AL26" s="31">
        <f ca="1">IFERROR(Table110[[#This Row],[Operating Time]]/Table110[[#This Row],[PRODUCTION HOURS]],"")</f>
        <v>0.97959183673469397</v>
      </c>
      <c r="AM26" s="32">
        <v>96</v>
      </c>
      <c r="AN26" s="32" t="s">
        <v>107</v>
      </c>
      <c r="AO26" s="32" t="s">
        <v>107</v>
      </c>
      <c r="AP26" s="32">
        <v>18</v>
      </c>
      <c r="AQ26" s="32">
        <v>18</v>
      </c>
      <c r="AR26" s="32"/>
      <c r="AS26" s="32" t="str">
        <f>IFERROR(SUMIFS(#REF!,#REF!,'Shift Wise-Data Sheet'!A:A,#REF!,"Samridhi Perk Line")/SUMIFS(#REF!,#REF!,'Shift Wise-Data Sheet'!A:A,#REF!,"Samridhi Perk Line"),"")</f>
        <v/>
      </c>
      <c r="AT26" s="32">
        <v>13</v>
      </c>
      <c r="AU26" s="32">
        <v>0</v>
      </c>
      <c r="AV26" s="211">
        <f>IFERROR(VLOOKUP(Table110[[#This Row],[Date]],'Overweight Data'!A24:G1119,6,FALSE),"")</f>
        <v>2.2812174013831472E-2</v>
      </c>
      <c r="AW26" s="221">
        <f ca="1">IFERROR(
   IF(
      OR(Table110[[#This Row],[Operating Time]]=0, (Table110[[#This Row],[Operating Time]]/IF(AD26&lt;=1,AD26+1,AD26))*60=0),
      1,
      ((Table110[[#This Row],[Operating Time]])/IF(AD26&lt;=1,AD26+1,AD26))*60
   ),
"_")</f>
        <v>470.20408163265313</v>
      </c>
      <c r="AX26" s="221">
        <f>COUNTIFS('Downtime Data'!A:A,Table110[[#This Row],[Date]])</f>
        <v>1</v>
      </c>
      <c r="AY26" s="219">
        <f>IFERROR((SUM(Table110[[#This Row],[Minor Stoppages]:[Material Shortages]])/Table110[[#This Row],['# Stops]])*60,"")</f>
        <v>0</v>
      </c>
      <c r="AZ26" s="219"/>
      <c r="BA26" s="33">
        <v>46048</v>
      </c>
    </row>
    <row r="27" spans="1:53" ht="20.149999999999999" customHeight="1" x14ac:dyDescent="0.35">
      <c r="A27" s="21">
        <v>46044</v>
      </c>
      <c r="B27" s="22" t="str">
        <f t="shared" si="1"/>
        <v>Thursday</v>
      </c>
      <c r="C27" s="22"/>
      <c r="D27" s="23" t="s">
        <v>109</v>
      </c>
      <c r="E27" s="24" cm="1">
        <f t="array" aca="1" ref="E27" ca="1">IFERROR(INDIRECT(D27),"")</f>
        <v>24.5</v>
      </c>
      <c r="F27" s="25">
        <v>20</v>
      </c>
      <c r="G27" s="26">
        <v>21.160000000000004</v>
      </c>
      <c r="H27" s="27">
        <f ca="1">IFERROR((Table110[[#This Row],[Plan]]/Table110[[#This Row],[Hours Used]])/(Table110[[#This Row],[SOC (TPD)]]/24),"")</f>
        <v>0.81632653061224503</v>
      </c>
      <c r="I27" s="27">
        <f ca="1">IFERROR((Table110[[#This Row],[Volume Delivered (T)]]/Table110[[#This Row],[Hours Used]])/(Table110[[#This Row],[SOC (TPD)]]/24),"")</f>
        <v>0.86367346938775535</v>
      </c>
      <c r="J27" s="28"/>
      <c r="K27" s="28"/>
      <c r="L27" s="28"/>
      <c r="M27" s="25">
        <v>1.2</v>
      </c>
      <c r="N27" s="29">
        <v>3.5000000000000003E-2</v>
      </c>
      <c r="O27" s="84"/>
      <c r="P27" s="25"/>
      <c r="Q27" s="25"/>
      <c r="R27" s="70">
        <v>0</v>
      </c>
      <c r="S27" s="71">
        <v>0</v>
      </c>
      <c r="T27" s="30">
        <f>IF(Table110[[#This Row],[SKU]]="",0,24-Table110[[#This Row],[Legal Non-Operating Time]]-Table110[[#This Row],[No Demand Time]]-Table110[[#This Row],[Force Majeure]])</f>
        <v>24</v>
      </c>
      <c r="U27" s="26"/>
      <c r="V27" s="26"/>
      <c r="W27" s="26"/>
      <c r="X27" s="26"/>
      <c r="Y27" s="26"/>
      <c r="Z27" s="26"/>
      <c r="AA27" s="26"/>
      <c r="AB27" s="30">
        <f>Table110[[#This Row],[Hours Used]]-SUM(Table110[[#This Row],[Planned Maintenance]:[Start and Finish Production]])</f>
        <v>24</v>
      </c>
      <c r="AC27" s="26">
        <v>0.7</v>
      </c>
      <c r="AD27" s="26"/>
      <c r="AE27" s="26">
        <v>1</v>
      </c>
      <c r="AF27" s="26"/>
      <c r="AG27" s="26"/>
      <c r="AH27" s="26"/>
      <c r="AI27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0.13210884353741412</v>
      </c>
      <c r="AJ27" s="24">
        <f ca="1">IFERROR(IF(Table110[[#This Row],[SKU]]="",0,Table110[[#This Row],[Quality Loss (T)]]/(Table110[[#This Row],[SOC (TPD)]]/24)),"")</f>
        <v>1.1755102040816328</v>
      </c>
      <c r="AK27" s="31">
        <f ca="1">IFERROR(IF(Table110[[#This Row],[SKU]]="",0,Table110[[#This Row],[Volume Delivered (T)]]/(Table110[[#This Row],[SOC (TPD)]]/24)),"")</f>
        <v>20.728163265306126</v>
      </c>
      <c r="AL27" s="31">
        <f ca="1">IFERROR(Table110[[#This Row],[Operating Time]]/Table110[[#This Row],[PRODUCTION HOURS]],"")</f>
        <v>0.86367346938775524</v>
      </c>
      <c r="AM27" s="32">
        <v>131</v>
      </c>
      <c r="AN27" s="32" t="s">
        <v>107</v>
      </c>
      <c r="AO27" s="32" t="s">
        <v>107</v>
      </c>
      <c r="AP27" s="32">
        <v>0</v>
      </c>
      <c r="AQ27" s="32">
        <v>0</v>
      </c>
      <c r="AR27" s="32"/>
      <c r="AS27" s="32" t="str">
        <f>IFERROR(SUMIFS(#REF!,#REF!,'Shift Wise-Data Sheet'!A:A,#REF!,"Samridhi Perk Line")/SUMIFS(#REF!,#REF!,'Shift Wise-Data Sheet'!A:A,#REF!,"Samridhi Perk Line"),"")</f>
        <v/>
      </c>
      <c r="AT27" s="32">
        <v>6</v>
      </c>
      <c r="AU27" s="32">
        <v>1</v>
      </c>
      <c r="AV27" s="211" t="str">
        <f>IFERROR(VLOOKUP(Table110[[#This Row],[Date]],'Overweight Data'!A25:G1120,6,FALSE),"")</f>
        <v/>
      </c>
      <c r="AW27" s="221">
        <f ca="1">IFERROR(
   IF(
      OR(Table110[[#This Row],[Operating Time]]=0, (Table110[[#This Row],[Operating Time]]/IF(AD27&lt;=1,AD27+1,AD27))*60=0),
      1,
      ((Table110[[#This Row],[Operating Time]])/IF(AD27&lt;=1,AD27+1,AD27))*60
   ),
"_")</f>
        <v>1243.6897959183675</v>
      </c>
      <c r="AX27" s="221">
        <f>COUNTIFS('Downtime Data'!A:A,Table110[[#This Row],[Date]])</f>
        <v>1</v>
      </c>
      <c r="AY27" s="219">
        <f>IFERROR((SUM(Table110[[#This Row],[Minor Stoppages]:[Material Shortages]])/Table110[[#This Row],['# Stops]])*60,"")</f>
        <v>102</v>
      </c>
      <c r="AZ27" s="219"/>
      <c r="BA27" s="33">
        <v>46048</v>
      </c>
    </row>
    <row r="28" spans="1:53" ht="20.149999999999999" customHeight="1" x14ac:dyDescent="0.35">
      <c r="A28" s="21">
        <v>46045</v>
      </c>
      <c r="B28" s="22" t="str">
        <f t="shared" si="1"/>
        <v>Friday</v>
      </c>
      <c r="C28" s="22"/>
      <c r="D28" s="23" t="s">
        <v>109</v>
      </c>
      <c r="E28" s="24" cm="1">
        <f t="array" aca="1" ref="E28" ca="1">IFERROR(INDIRECT(D28),"")</f>
        <v>24.5</v>
      </c>
      <c r="F28" s="25">
        <v>20</v>
      </c>
      <c r="G28" s="26">
        <v>17.600000000000001</v>
      </c>
      <c r="H28" s="27">
        <f ca="1">IFERROR((Table110[[#This Row],[Plan]]/Table110[[#This Row],[Hours Used]])/(Table110[[#This Row],[SOC (TPD)]]/24),"")</f>
        <v>0.81632653061224503</v>
      </c>
      <c r="I28" s="27">
        <f ca="1">IFERROR((Table110[[#This Row],[Volume Delivered (T)]]/Table110[[#This Row],[Hours Used]])/(Table110[[#This Row],[SOC (TPD)]]/24),"")</f>
        <v>0.71836734693877558</v>
      </c>
      <c r="J28" s="28"/>
      <c r="K28" s="28"/>
      <c r="L28" s="28"/>
      <c r="M28" s="25">
        <v>2.1309999999999998</v>
      </c>
      <c r="N28" s="29">
        <v>3.4000000000000002E-2</v>
      </c>
      <c r="O28" s="84"/>
      <c r="P28" s="25"/>
      <c r="Q28" s="25"/>
      <c r="R28" s="70">
        <v>0</v>
      </c>
      <c r="S28" s="71">
        <v>0</v>
      </c>
      <c r="T28" s="30">
        <f>IF(Table110[[#This Row],[SKU]]="",0,24-Table110[[#This Row],[Legal Non-Operating Time]]-Table110[[#This Row],[No Demand Time]]-Table110[[#This Row],[Force Majeure]])</f>
        <v>24</v>
      </c>
      <c r="U28" s="26"/>
      <c r="V28" s="26"/>
      <c r="W28" s="26"/>
      <c r="X28" s="26"/>
      <c r="Y28" s="26"/>
      <c r="Z28" s="26"/>
      <c r="AA28" s="26"/>
      <c r="AB28" s="30">
        <f>Table110[[#This Row],[Hours Used]]-SUM(Table110[[#This Row],[Planned Maintenance]:[Start and Finish Production]])</f>
        <v>24</v>
      </c>
      <c r="AC28" s="26">
        <v>1</v>
      </c>
      <c r="AD28" s="26"/>
      <c r="AE28" s="26"/>
      <c r="AF28" s="26"/>
      <c r="AG28" s="26"/>
      <c r="AH28" s="26">
        <v>3</v>
      </c>
      <c r="AI28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0.22389115646258398</v>
      </c>
      <c r="AJ28" s="24">
        <f ca="1">IFERROR(IF(Table110[[#This Row],[SKU]]="",0,Table110[[#This Row],[Quality Loss (T)]]/(Table110[[#This Row],[SOC (TPD)]]/24)),"")</f>
        <v>2.0875102040816325</v>
      </c>
      <c r="AK28" s="31">
        <f ca="1">IFERROR(IF(Table110[[#This Row],[SKU]]="",0,Table110[[#This Row],[Volume Delivered (T)]]/(Table110[[#This Row],[SOC (TPD)]]/24)),"")</f>
        <v>17.240816326530616</v>
      </c>
      <c r="AL28" s="31">
        <f ca="1">IFERROR(Table110[[#This Row],[Operating Time]]/Table110[[#This Row],[PRODUCTION HOURS]],"")</f>
        <v>0.71836734693877569</v>
      </c>
      <c r="AM28" s="32">
        <v>130</v>
      </c>
      <c r="AN28" s="32" t="s">
        <v>107</v>
      </c>
      <c r="AO28" s="32" t="s">
        <v>107</v>
      </c>
      <c r="AP28" s="32">
        <v>0</v>
      </c>
      <c r="AQ28" s="32">
        <v>0</v>
      </c>
      <c r="AR28" s="32"/>
      <c r="AS28" s="32" t="str">
        <f>IFERROR(SUMIFS(#REF!,#REF!,'Shift Wise-Data Sheet'!A:A,#REF!,"Samridhi Perk Line")/SUMIFS(#REF!,#REF!,'Shift Wise-Data Sheet'!A:A,#REF!,"Samridhi Perk Line"),"")</f>
        <v/>
      </c>
      <c r="AT28" s="32">
        <v>10</v>
      </c>
      <c r="AU28" s="32">
        <v>0</v>
      </c>
      <c r="AV28" s="211" t="str">
        <f>IFERROR(VLOOKUP(Table110[[#This Row],[Date]],'Overweight Data'!A26:G1121,6,FALSE),"")</f>
        <v/>
      </c>
      <c r="AW28" s="221">
        <f ca="1">IFERROR(
   IF(
      OR(Table110[[#This Row],[Operating Time]]=0, (Table110[[#This Row],[Operating Time]]/IF(AD28&lt;=1,AD28+1,AD28))*60=0),
      1,
      ((Table110[[#This Row],[Operating Time]])/IF(AD28&lt;=1,AD28+1,AD28))*60
   ),
"_")</f>
        <v>1034.4489795918371</v>
      </c>
      <c r="AX28" s="221">
        <f>COUNTIFS('Downtime Data'!A:A,Table110[[#This Row],[Date]])</f>
        <v>1</v>
      </c>
      <c r="AY28" s="219">
        <f>IFERROR((SUM(Table110[[#This Row],[Minor Stoppages]:[Material Shortages]])/Table110[[#This Row],['# Stops]])*60,"")</f>
        <v>240</v>
      </c>
      <c r="AZ28" s="219"/>
      <c r="BA28" s="33">
        <v>46048</v>
      </c>
    </row>
    <row r="29" spans="1:53" ht="20.149999999999999" customHeight="1" x14ac:dyDescent="0.35">
      <c r="A29" s="21">
        <v>46046</v>
      </c>
      <c r="B29" s="22" t="str">
        <f t="shared" si="1"/>
        <v>Saturday</v>
      </c>
      <c r="C29" s="22"/>
      <c r="D29" s="23" t="s">
        <v>109</v>
      </c>
      <c r="E29" s="24" cm="1">
        <f t="array" aca="1" ref="E29" ca="1">IFERROR(INDIRECT(D29),"")</f>
        <v>24.5</v>
      </c>
      <c r="F29" s="25">
        <v>20</v>
      </c>
      <c r="G29" s="26">
        <v>16.100000000000001</v>
      </c>
      <c r="H29" s="27">
        <f ca="1">IFERROR((Table110[[#This Row],[Plan]]/Table110[[#This Row],[Hours Used]])/(Table110[[#This Row],[SOC (TPD)]]/24),"")</f>
        <v>0.81632653061224503</v>
      </c>
      <c r="I29" s="27">
        <f ca="1">IFERROR((Table110[[#This Row],[Volume Delivered (T)]]/Table110[[#This Row],[Hours Used]])/(Table110[[#This Row],[SOC (TPD)]]/24),"")</f>
        <v>0.65714285714285725</v>
      </c>
      <c r="J29" s="28"/>
      <c r="K29" s="28"/>
      <c r="L29" s="28"/>
      <c r="M29" s="25">
        <v>1.726</v>
      </c>
      <c r="N29" s="29"/>
      <c r="O29" s="84"/>
      <c r="P29" s="25"/>
      <c r="Q29" s="25"/>
      <c r="R29" s="70">
        <v>0</v>
      </c>
      <c r="S29" s="71">
        <v>0</v>
      </c>
      <c r="T29" s="30">
        <f>IF(Table110[[#This Row],[SKU]]="",0,24-Table110[[#This Row],[Legal Non-Operating Time]]-Table110[[#This Row],[No Demand Time]]-Table110[[#This Row],[Force Majeure]])</f>
        <v>24</v>
      </c>
      <c r="U29" s="26"/>
      <c r="V29" s="26">
        <v>1</v>
      </c>
      <c r="W29" s="26"/>
      <c r="X29" s="26"/>
      <c r="Y29" s="26"/>
      <c r="Z29" s="26"/>
      <c r="AA29" s="26"/>
      <c r="AB29" s="30">
        <f>Table110[[#This Row],[Hours Used]]-SUM(Table110[[#This Row],[Planned Maintenance]:[Start and Finish Production]])</f>
        <v>23</v>
      </c>
      <c r="AC29" s="26">
        <v>1</v>
      </c>
      <c r="AD29" s="26">
        <v>1</v>
      </c>
      <c r="AE29" s="26">
        <v>0.5</v>
      </c>
      <c r="AF29" s="26"/>
      <c r="AG29" s="26"/>
      <c r="AH29" s="26"/>
      <c r="AI29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1.012598639455782</v>
      </c>
      <c r="AJ29" s="24">
        <f ca="1">IFERROR(IF(Table110[[#This Row],[SKU]]="",0,Table110[[#This Row],[Quality Loss (T)]]/(Table110[[#This Row],[SOC (TPD)]]/24)),"")</f>
        <v>1.6907755102040818</v>
      </c>
      <c r="AK29" s="31">
        <f ca="1">IFERROR(IF(Table110[[#This Row],[SKU]]="",0,Table110[[#This Row],[Volume Delivered (T)]]/(Table110[[#This Row],[SOC (TPD)]]/24)),"")</f>
        <v>15.771428571428574</v>
      </c>
      <c r="AL29" s="31">
        <f ca="1">IFERROR(Table110[[#This Row],[Operating Time]]/Table110[[#This Row],[PRODUCTION HOURS]],"")</f>
        <v>0.68571428571428583</v>
      </c>
      <c r="AM29" s="32">
        <v>121</v>
      </c>
      <c r="AN29" s="32" t="s">
        <v>107</v>
      </c>
      <c r="AO29" s="32" t="s">
        <v>107</v>
      </c>
      <c r="AP29" s="32">
        <v>0</v>
      </c>
      <c r="AQ29" s="32">
        <v>0</v>
      </c>
      <c r="AR29" s="32"/>
      <c r="AS29" s="32" t="str">
        <f>IFERROR(SUMIFS(#REF!,#REF!,'Shift Wise-Data Sheet'!A:A,#REF!,"Samridhi Perk Line")/SUMIFS(#REF!,#REF!,'Shift Wise-Data Sheet'!A:A,#REF!,"Samridhi Perk Line"),"")</f>
        <v/>
      </c>
      <c r="AT29" s="32">
        <v>8</v>
      </c>
      <c r="AU29" s="32">
        <v>0</v>
      </c>
      <c r="AV29" s="211" t="str">
        <f>IFERROR(VLOOKUP(Table110[[#This Row],[Date]],'Overweight Data'!A27:G1122,6,FALSE),"")</f>
        <v/>
      </c>
      <c r="AW29" s="221">
        <f ca="1">IFERROR(
   IF(
      OR(Table110[[#This Row],[Operating Time]]=0, (Table110[[#This Row],[Operating Time]]/IF(AD29&lt;=1,AD29+1,AD29))*60=0),
      1,
      ((Table110[[#This Row],[Operating Time]])/IF(AD29&lt;=1,AD29+1,AD29))*60
   ),
"_")</f>
        <v>473.14285714285722</v>
      </c>
      <c r="AX29" s="221">
        <f>COUNTIFS('Downtime Data'!A:A,Table110[[#This Row],[Date]])</f>
        <v>2</v>
      </c>
      <c r="AY29" s="219">
        <f>IFERROR((SUM(Table110[[#This Row],[Minor Stoppages]:[Material Shortages]])/Table110[[#This Row],['# Stops]])*60,"")</f>
        <v>75</v>
      </c>
      <c r="AZ29" s="219"/>
      <c r="BA29" s="33">
        <v>46048</v>
      </c>
    </row>
    <row r="30" spans="1:53" ht="20.149999999999999" customHeight="1" x14ac:dyDescent="0.35">
      <c r="A30" s="21">
        <v>46047</v>
      </c>
      <c r="B30" s="22" t="str">
        <f t="shared" si="1"/>
        <v>Sunday</v>
      </c>
      <c r="C30" s="22"/>
      <c r="D30" s="23" t="s">
        <v>109</v>
      </c>
      <c r="E30" s="24" cm="1">
        <f t="array" aca="1" ref="E30" ca="1">IFERROR(INDIRECT(D30),"")</f>
        <v>24.5</v>
      </c>
      <c r="F30" s="25">
        <v>20</v>
      </c>
      <c r="G30" s="26">
        <v>13.59</v>
      </c>
      <c r="H30" s="27">
        <f ca="1">IFERROR((Table110[[#This Row],[Plan]]/Table110[[#This Row],[Hours Used]])/(Table110[[#This Row],[SOC (TPD)]]/24),"")</f>
        <v>0.81632653061224503</v>
      </c>
      <c r="I30" s="27">
        <f ca="1">IFERROR((Table110[[#This Row],[Volume Delivered (T)]]/Table110[[#This Row],[Hours Used]])/(Table110[[#This Row],[SOC (TPD)]]/24),"")</f>
        <v>0.55469387755102051</v>
      </c>
      <c r="J30" s="28"/>
      <c r="K30" s="28"/>
      <c r="L30" s="28"/>
      <c r="M30" s="25">
        <v>1.6359999999999999</v>
      </c>
      <c r="N30" s="29"/>
      <c r="O30" s="84"/>
      <c r="P30" s="25"/>
      <c r="Q30" s="25"/>
      <c r="R30" s="70">
        <v>0</v>
      </c>
      <c r="S30" s="71">
        <v>0</v>
      </c>
      <c r="T30" s="30">
        <f>IF(Table110[[#This Row],[SKU]]="",0,24-Table110[[#This Row],[Legal Non-Operating Time]]-Table110[[#This Row],[No Demand Time]]-Table110[[#This Row],[Force Majeure]])</f>
        <v>24</v>
      </c>
      <c r="U30" s="26">
        <v>2</v>
      </c>
      <c r="V30" s="26"/>
      <c r="W30" s="26">
        <v>3</v>
      </c>
      <c r="X30" s="26"/>
      <c r="Y30" s="26"/>
      <c r="Z30" s="26"/>
      <c r="AA30" s="26">
        <v>2</v>
      </c>
      <c r="AB30" s="30">
        <f>Table110[[#This Row],[Hours Used]]-SUM(Table110[[#This Row],[Planned Maintenance]:[Start and Finish Production]])</f>
        <v>17</v>
      </c>
      <c r="AC30" s="26">
        <v>1</v>
      </c>
      <c r="AD30" s="26"/>
      <c r="AE30" s="26"/>
      <c r="AF30" s="26"/>
      <c r="AG30" s="26"/>
      <c r="AH30" s="26"/>
      <c r="AI30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0.36157823129251671</v>
      </c>
      <c r="AJ30" s="24">
        <f ca="1">IFERROR(IF(Table110[[#This Row],[SKU]]="",0,Table110[[#This Row],[Quality Loss (T)]]/(Table110[[#This Row],[SOC (TPD)]]/24)),"")</f>
        <v>1.6026122448979592</v>
      </c>
      <c r="AK30" s="31">
        <f ca="1">IFERROR(IF(Table110[[#This Row],[SKU]]="",0,Table110[[#This Row],[Volume Delivered (T)]]/(Table110[[#This Row],[SOC (TPD)]]/24)),"")</f>
        <v>13.312653061224491</v>
      </c>
      <c r="AL30" s="31">
        <f ca="1">IFERROR(Table110[[#This Row],[Operating Time]]/Table110[[#This Row],[PRODUCTION HOURS]],"")</f>
        <v>0.78309723889555827</v>
      </c>
      <c r="AM30" s="32">
        <v>125</v>
      </c>
      <c r="AN30" s="32" t="s">
        <v>107</v>
      </c>
      <c r="AO30" s="32" t="s">
        <v>107</v>
      </c>
      <c r="AP30" s="32">
        <v>0</v>
      </c>
      <c r="AQ30" s="32">
        <v>0</v>
      </c>
      <c r="AR30" s="32"/>
      <c r="AS30" s="32" t="str">
        <f>IFERROR(SUMIFS(#REF!,#REF!,'Shift Wise-Data Sheet'!A:A,#REF!,"Samridhi Perk Line")/SUMIFS(#REF!,#REF!,'Shift Wise-Data Sheet'!A:A,#REF!,"Samridhi Perk Line"),"")</f>
        <v/>
      </c>
      <c r="AT30" s="32">
        <v>4</v>
      </c>
      <c r="AU30" s="32">
        <v>0</v>
      </c>
      <c r="AV30" s="211" t="str">
        <f>IFERROR(VLOOKUP(Table110[[#This Row],[Date]],'Overweight Data'!A28:G1123,6,FALSE),"")</f>
        <v/>
      </c>
      <c r="AW30" s="221">
        <f ca="1">IFERROR(
   IF(
      OR(Table110[[#This Row],[Operating Time]]=0, (Table110[[#This Row],[Operating Time]]/IF(AD30&lt;=1,AD30+1,AD30))*60=0),
      1,
      ((Table110[[#This Row],[Operating Time]])/IF(AD30&lt;=1,AD30+1,AD30))*60
   ),
"_")</f>
        <v>798.75918367346947</v>
      </c>
      <c r="AX30" s="221">
        <f>COUNTIFS('Downtime Data'!A:A,Table110[[#This Row],[Date]])</f>
        <v>0</v>
      </c>
      <c r="AY30" s="219" t="str">
        <f>IFERROR((SUM(Table110[[#This Row],[Minor Stoppages]:[Material Shortages]])/Table110[[#This Row],['# Stops]])*60,"")</f>
        <v/>
      </c>
      <c r="AZ30" s="219"/>
      <c r="BA30" s="33">
        <v>46048</v>
      </c>
    </row>
    <row r="31" spans="1:53" ht="20.149999999999999" customHeight="1" x14ac:dyDescent="0.35">
      <c r="A31" s="21">
        <v>46048</v>
      </c>
      <c r="B31" s="22" t="str">
        <f t="shared" si="1"/>
        <v>Monday</v>
      </c>
      <c r="C31" s="22"/>
      <c r="D31" s="23"/>
      <c r="E31" s="24" t="str" cm="1">
        <f t="array" aca="1" ref="E31" ca="1">IFERROR(INDIRECT(D31),"")</f>
        <v/>
      </c>
      <c r="F31" s="25"/>
      <c r="G31" s="26"/>
      <c r="H31" s="27" t="str">
        <f ca="1">IFERROR((Table110[[#This Row],[Plan]]/Table110[[#This Row],[Hours Used]])/(Table110[[#This Row],[SOC (TPD)]]/24),"")</f>
        <v/>
      </c>
      <c r="I31" s="27" t="str">
        <f ca="1">IFERROR((Table110[[#This Row],[Volume Delivered (T)]]/Table110[[#This Row],[Hours Used]])/(Table110[[#This Row],[SOC (TPD)]]/24),"")</f>
        <v/>
      </c>
      <c r="J31" s="28"/>
      <c r="K31" s="28"/>
      <c r="L31" s="28"/>
      <c r="M31" s="25">
        <v>0</v>
      </c>
      <c r="N31" s="29"/>
      <c r="O31" s="84"/>
      <c r="P31" s="25"/>
      <c r="Q31" s="25"/>
      <c r="R31" s="70">
        <v>0</v>
      </c>
      <c r="S31" s="71">
        <v>0</v>
      </c>
      <c r="T31" s="30">
        <f>IF(Table110[[#This Row],[SKU]]="",0,24-Table110[[#This Row],[Legal Non-Operating Time]]-Table110[[#This Row],[No Demand Time]]-Table110[[#This Row],[Force Majeure]])</f>
        <v>0</v>
      </c>
      <c r="U31" s="26"/>
      <c r="V31" s="26"/>
      <c r="W31" s="26"/>
      <c r="X31" s="26"/>
      <c r="Y31" s="26"/>
      <c r="Z31" s="26"/>
      <c r="AA31" s="26"/>
      <c r="AB31" s="30">
        <f>Table110[[#This Row],[Hours Used]]-SUM(Table110[[#This Row],[Planned Maintenance]:[Start and Finish Production]])</f>
        <v>0</v>
      </c>
      <c r="AC31" s="26"/>
      <c r="AD31" s="26"/>
      <c r="AE31" s="26"/>
      <c r="AF31" s="26"/>
      <c r="AG31" s="26"/>
      <c r="AH31" s="26"/>
      <c r="AI31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31" s="24">
        <f>IFERROR(IF(Table110[[#This Row],[SKU]]="",0,Table110[[#This Row],[Quality Loss (T)]]/(Table110[[#This Row],[SOC (TPD)]]/24)),"")</f>
        <v>0</v>
      </c>
      <c r="AK31" s="31">
        <f>IFERROR(IF(Table110[[#This Row],[SKU]]="",0,Table110[[#This Row],[Volume Delivered (T)]]/(Table110[[#This Row],[SOC (TPD)]]/24)),"")</f>
        <v>0</v>
      </c>
      <c r="AL31" s="31" t="str">
        <f>IFERROR(Table110[[#This Row],[Operating Time]]/Table110[[#This Row],[PRODUCTION HOURS]],"")</f>
        <v/>
      </c>
      <c r="AM31" s="32"/>
      <c r="AN31" s="32"/>
      <c r="AO31" s="32"/>
      <c r="AP31" s="32">
        <v>0</v>
      </c>
      <c r="AQ31" s="32">
        <v>0</v>
      </c>
      <c r="AR31" s="32"/>
      <c r="AS31" s="32" t="str">
        <f>IFERROR(SUMIFS(#REF!,#REF!,'Shift Wise-Data Sheet'!A:A,#REF!,"Samridhi Perk Line")/SUMIFS(#REF!,#REF!,'Shift Wise-Data Sheet'!A:A,#REF!,"Samridhi Perk Line"),"")</f>
        <v/>
      </c>
      <c r="AT31" s="32">
        <v>7</v>
      </c>
      <c r="AU31" s="32">
        <v>0</v>
      </c>
      <c r="AV31" s="211" t="str">
        <f>IFERROR(VLOOKUP(Table110[[#This Row],[Date]],'Overweight Data'!A29:G1124,6,FALSE),"")</f>
        <v/>
      </c>
      <c r="AW31" s="221">
        <f>IFERROR(
   IF(
      OR(Table110[[#This Row],[Operating Time]]=0, (Table110[[#This Row],[Operating Time]]/IF(AD31&lt;=1,AD31+1,AD31))*60=0),
      1,
      ((Table110[[#This Row],[Operating Time]])/IF(AD31&lt;=1,AD31+1,AD31))*60
   ),
"_")</f>
        <v>1</v>
      </c>
      <c r="AX31" s="221">
        <f>COUNTIFS('Downtime Data'!A:A,Table110[[#This Row],[Date]])</f>
        <v>0</v>
      </c>
      <c r="AY31" s="219" t="str">
        <f>IFERROR((SUM(Table110[[#This Row],[Minor Stoppages]:[Material Shortages]])/Table110[[#This Row],['# Stops]])*60,"")</f>
        <v/>
      </c>
      <c r="AZ31" s="219"/>
      <c r="BA31" s="33">
        <v>46048</v>
      </c>
    </row>
    <row r="32" spans="1:53" ht="20.149999999999999" customHeight="1" x14ac:dyDescent="0.35">
      <c r="A32" s="21">
        <v>46049</v>
      </c>
      <c r="B32" s="22" t="str">
        <f t="shared" si="1"/>
        <v>Tuesday</v>
      </c>
      <c r="C32" s="22"/>
      <c r="D32" s="23" t="s">
        <v>106</v>
      </c>
      <c r="E32" s="24" cm="1">
        <f t="array" aca="1" ref="E32" ca="1">IFERROR(INDIRECT(D32),"")</f>
        <v>39.200000000000003</v>
      </c>
      <c r="F32" s="25">
        <v>15</v>
      </c>
      <c r="G32" s="26">
        <v>13.3</v>
      </c>
      <c r="H32" s="27">
        <f ca="1">IFERROR((Table110[[#This Row],[Plan]]/Table110[[#This Row],[Hours Used]])/(Table110[[#This Row],[SOC (TPD)]]/24),"")</f>
        <v>0.38265306122448978</v>
      </c>
      <c r="I32" s="27">
        <f ca="1">IFERROR((Table110[[#This Row],[Volume Delivered (T)]]/Table110[[#This Row],[Hours Used]])/(Table110[[#This Row],[SOC (TPD)]]/24),"")</f>
        <v>0.33928571428571425</v>
      </c>
      <c r="J32" s="28"/>
      <c r="K32" s="28"/>
      <c r="L32" s="28"/>
      <c r="M32" s="25">
        <v>1.8660000000000001</v>
      </c>
      <c r="N32" s="29">
        <v>3.5000000000000003E-2</v>
      </c>
      <c r="O32" s="84"/>
      <c r="P32" s="25"/>
      <c r="Q32" s="25"/>
      <c r="R32" s="70">
        <v>0</v>
      </c>
      <c r="S32" s="71">
        <v>0</v>
      </c>
      <c r="T32" s="30">
        <f>IF(Table110[[#This Row],[SKU]]="",0,24-Table110[[#This Row],[Legal Non-Operating Time]]-Table110[[#This Row],[No Demand Time]]-Table110[[#This Row],[Force Majeure]])</f>
        <v>24</v>
      </c>
      <c r="U32" s="26"/>
      <c r="V32" s="26"/>
      <c r="W32" s="26">
        <v>2</v>
      </c>
      <c r="X32" s="26">
        <v>1</v>
      </c>
      <c r="Y32" s="26"/>
      <c r="Z32" s="26"/>
      <c r="AA32" s="26">
        <v>4</v>
      </c>
      <c r="AB32" s="30">
        <f>Table110[[#This Row],[Hours Used]]-SUM(Table110[[#This Row],[Planned Maintenance]:[Start and Finish Production]])</f>
        <v>17</v>
      </c>
      <c r="AC32" s="26"/>
      <c r="AD32" s="26">
        <v>7.6</v>
      </c>
      <c r="AE32" s="26"/>
      <c r="AF32" s="26"/>
      <c r="AG32" s="26"/>
      <c r="AH32" s="26"/>
      <c r="AI32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3.8231292517007041E-2</v>
      </c>
      <c r="AJ32" s="24">
        <f ca="1">IFERROR(IF(Table110[[#This Row],[SKU]]="",0,Table110[[#This Row],[Quality Loss (T)]]/(Table110[[#This Row],[SOC (TPD)]]/24)),"")</f>
        <v>1.1424489795918367</v>
      </c>
      <c r="AK32" s="31">
        <f ca="1">IFERROR(IF(Table110[[#This Row],[SKU]]="",0,Table110[[#This Row],[Volume Delivered (T)]]/(Table110[[#This Row],[SOC (TPD)]]/24)),"")</f>
        <v>8.1428571428571423</v>
      </c>
      <c r="AL32" s="31">
        <f ca="1">IFERROR(Table110[[#This Row],[Operating Time]]/Table110[[#This Row],[PRODUCTION HOURS]],"")</f>
        <v>0.47899159663865543</v>
      </c>
      <c r="AM32" s="32">
        <v>111</v>
      </c>
      <c r="AN32" s="32" t="s">
        <v>107</v>
      </c>
      <c r="AO32" s="32" t="s">
        <v>107</v>
      </c>
      <c r="AP32" s="32">
        <v>0</v>
      </c>
      <c r="AQ32" s="32">
        <v>0</v>
      </c>
      <c r="AR32" s="32"/>
      <c r="AS32" s="32" t="str">
        <f>IFERROR(SUMIFS(#REF!,#REF!,'Shift Wise-Data Sheet'!A:A,#REF!,"Samridhi Perk Line")/SUMIFS(#REF!,#REF!,'Shift Wise-Data Sheet'!A:A,#REF!,"Samridhi Perk Line"),"")</f>
        <v/>
      </c>
      <c r="AT32" s="32">
        <v>26</v>
      </c>
      <c r="AU32" s="32">
        <v>0</v>
      </c>
      <c r="AV32" s="211">
        <f>IFERROR(VLOOKUP(Table110[[#This Row],[Date]],'Overweight Data'!A30:G1125,6,FALSE),"")</f>
        <v>4.8388501742160236E-2</v>
      </c>
      <c r="AW32" s="221">
        <f ca="1">IFERROR(
   IF(
      OR(Table110[[#This Row],[Operating Time]]=0, (Table110[[#This Row],[Operating Time]]/IF(AD32&lt;=1,AD32+1,AD32))*60=0),
      1,
      ((Table110[[#This Row],[Operating Time]])/IF(AD32&lt;=1,AD32+1,AD32))*60
   ),
"_")</f>
        <v>64.285714285714278</v>
      </c>
      <c r="AX32" s="221">
        <f>COUNTIFS('Downtime Data'!A:A,Table110[[#This Row],[Date]])</f>
        <v>1</v>
      </c>
      <c r="AY32" s="219">
        <f>IFERROR((SUM(Table110[[#This Row],[Minor Stoppages]:[Material Shortages]])/Table110[[#This Row],['# Stops]])*60,"")</f>
        <v>456</v>
      </c>
      <c r="AZ32" s="219"/>
      <c r="BA32" s="33">
        <v>46048</v>
      </c>
    </row>
    <row r="33" spans="1:53" ht="20.149999999999999" customHeight="1" x14ac:dyDescent="0.35">
      <c r="A33" s="21">
        <v>46050</v>
      </c>
      <c r="B33" s="22" t="str">
        <f t="shared" si="1"/>
        <v>Wednesday</v>
      </c>
      <c r="C33" s="22"/>
      <c r="D33" s="23" t="s">
        <v>106</v>
      </c>
      <c r="E33" s="24" cm="1">
        <f t="array" aca="1" ref="E33" ca="1">IFERROR(INDIRECT(D33),"")</f>
        <v>39.200000000000003</v>
      </c>
      <c r="F33" s="25">
        <v>32</v>
      </c>
      <c r="G33" s="26">
        <v>29.509999999999998</v>
      </c>
      <c r="H33" s="27">
        <f ca="1">IFERROR((Table110[[#This Row],[Plan]]/Table110[[#This Row],[Hours Used]])/(Table110[[#This Row],[SOC (TPD)]]/24),"")</f>
        <v>0.81632653061224481</v>
      </c>
      <c r="I33" s="27">
        <f ca="1">IFERROR((Table110[[#This Row],[Volume Delivered (T)]]/Table110[[#This Row],[Hours Used]])/(Table110[[#This Row],[SOC (TPD)]]/24),"")</f>
        <v>0.75280612244897949</v>
      </c>
      <c r="J33" s="28"/>
      <c r="K33" s="28"/>
      <c r="L33" s="28"/>
      <c r="M33" s="25">
        <v>1.94</v>
      </c>
      <c r="N33" s="29">
        <v>3.5000000000000003E-2</v>
      </c>
      <c r="O33" s="84"/>
      <c r="P33" s="25"/>
      <c r="Q33" s="25"/>
      <c r="R33" s="70">
        <v>0</v>
      </c>
      <c r="S33" s="71">
        <v>0</v>
      </c>
      <c r="T33" s="30">
        <f>IF(Table110[[#This Row],[SKU]]="",0,24-Table110[[#This Row],[Legal Non-Operating Time]]-Table110[[#This Row],[No Demand Time]]-Table110[[#This Row],[Force Majeure]])</f>
        <v>24</v>
      </c>
      <c r="U33" s="26">
        <v>2</v>
      </c>
      <c r="V33" s="26"/>
      <c r="W33" s="26"/>
      <c r="X33" s="26"/>
      <c r="Y33" s="26"/>
      <c r="Z33" s="26"/>
      <c r="AA33" s="26"/>
      <c r="AB33" s="30">
        <f>Table110[[#This Row],[Hours Used]]-SUM(Table110[[#This Row],[Planned Maintenance]:[Start and Finish Production]])</f>
        <v>22</v>
      </c>
      <c r="AC33" s="26">
        <v>1</v>
      </c>
      <c r="AD33" s="26">
        <v>1.5</v>
      </c>
      <c r="AE33" s="26"/>
      <c r="AF33" s="26"/>
      <c r="AG33" s="26"/>
      <c r="AH33" s="26"/>
      <c r="AI33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8.1632653061224872E-2</v>
      </c>
      <c r="AJ33" s="24">
        <f ca="1">IFERROR(IF(Table110[[#This Row],[SKU]]="",0,Table110[[#This Row],[Quality Loss (T)]]/(Table110[[#This Row],[SOC (TPD)]]/24)),"")</f>
        <v>1.1877551020408161</v>
      </c>
      <c r="AK33" s="31">
        <f ca="1">IFERROR(IF(Table110[[#This Row],[SKU]]="",0,Table110[[#This Row],[Volume Delivered (T)]]/(Table110[[#This Row],[SOC (TPD)]]/24)),"")</f>
        <v>18.067346938775508</v>
      </c>
      <c r="AL33" s="31">
        <f ca="1">IFERROR(Table110[[#This Row],[Operating Time]]/Table110[[#This Row],[PRODUCTION HOURS]],"")</f>
        <v>0.82124304267161397</v>
      </c>
      <c r="AM33" s="32">
        <v>137</v>
      </c>
      <c r="AN33" s="32" t="s">
        <v>107</v>
      </c>
      <c r="AO33" s="32" t="s">
        <v>107</v>
      </c>
      <c r="AP33" s="32">
        <v>18</v>
      </c>
      <c r="AQ33" s="32">
        <v>18</v>
      </c>
      <c r="AR33" s="32"/>
      <c r="AS33" s="32" t="str">
        <f>IFERROR(SUMIFS(#REF!,#REF!,'Shift Wise-Data Sheet'!A:A,#REF!,"Samridhi Perk Line")/SUMIFS(#REF!,#REF!,'Shift Wise-Data Sheet'!A:A,#REF!,"Samridhi Perk Line"),"")</f>
        <v/>
      </c>
      <c r="AT33" s="32">
        <v>18</v>
      </c>
      <c r="AU33" s="32">
        <v>0</v>
      </c>
      <c r="AV33" s="211">
        <f>IFERROR(VLOOKUP(Table110[[#This Row],[Date]],'Overweight Data'!A31:G1126,6,FALSE),"")</f>
        <v>3.1713124274099891E-2</v>
      </c>
      <c r="AW33" s="221">
        <f ca="1">IFERROR(
   IF(
      OR(Table110[[#This Row],[Operating Time]]=0, (Table110[[#This Row],[Operating Time]]/IF(AD33&lt;=1,AD33+1,AD33))*60=0),
      1,
      ((Table110[[#This Row],[Operating Time]])/IF(AD33&lt;=1,AD33+1,AD33))*60
   ),
"_")</f>
        <v>722.69387755102025</v>
      </c>
      <c r="AX33" s="221">
        <f>COUNTIFS('Downtime Data'!A:A,Table110[[#This Row],[Date]])</f>
        <v>1</v>
      </c>
      <c r="AY33" s="219">
        <f>IFERROR((SUM(Table110[[#This Row],[Minor Stoppages]:[Material Shortages]])/Table110[[#This Row],['# Stops]])*60,"")</f>
        <v>150</v>
      </c>
      <c r="AZ33" s="219"/>
      <c r="BA33" s="33">
        <v>46048</v>
      </c>
    </row>
    <row r="34" spans="1:53" ht="20.149999999999999" customHeight="1" x14ac:dyDescent="0.35">
      <c r="A34" s="21">
        <v>46051</v>
      </c>
      <c r="B34" s="22" t="str">
        <f t="shared" si="1"/>
        <v>Thursday</v>
      </c>
      <c r="C34" s="22"/>
      <c r="D34" s="23" t="s">
        <v>106</v>
      </c>
      <c r="E34" s="24" cm="1">
        <f t="array" aca="1" ref="E34" ca="1">IFERROR(INDIRECT(D34),"")</f>
        <v>39.200000000000003</v>
      </c>
      <c r="F34" s="25">
        <v>32</v>
      </c>
      <c r="G34" s="26">
        <v>28.71</v>
      </c>
      <c r="H34" s="27">
        <f ca="1">IFERROR((Table110[[#This Row],[Plan]]/Table110[[#This Row],[Hours Used]])/(Table110[[#This Row],[SOC (TPD)]]/24),"")</f>
        <v>0.81632653061224481</v>
      </c>
      <c r="I34" s="27">
        <f ca="1">IFERROR((Table110[[#This Row],[Volume Delivered (T)]]/Table110[[#This Row],[Hours Used]])/(Table110[[#This Row],[SOC (TPD)]]/24),"")</f>
        <v>0.73239795918367345</v>
      </c>
      <c r="J34" s="28"/>
      <c r="K34" s="28"/>
      <c r="L34" s="28"/>
      <c r="M34" s="25">
        <v>1.8440000000000001</v>
      </c>
      <c r="N34" s="29">
        <v>3.4000000000000002E-2</v>
      </c>
      <c r="O34" s="84"/>
      <c r="P34" s="25"/>
      <c r="Q34" s="25"/>
      <c r="R34" s="70">
        <v>0</v>
      </c>
      <c r="S34" s="71">
        <v>0</v>
      </c>
      <c r="T34" s="30">
        <f>IF(Table110[[#This Row],[SKU]]="",0,24-Table110[[#This Row],[Legal Non-Operating Time]]-Table110[[#This Row],[No Demand Time]]-Table110[[#This Row],[Force Majeure]])</f>
        <v>24</v>
      </c>
      <c r="U34" s="26">
        <v>2</v>
      </c>
      <c r="V34" s="26"/>
      <c r="W34" s="26"/>
      <c r="X34" s="26">
        <v>1</v>
      </c>
      <c r="Y34" s="26"/>
      <c r="Z34" s="26"/>
      <c r="AA34" s="26"/>
      <c r="AB34" s="30">
        <f>Table110[[#This Row],[Hours Used]]-SUM(Table110[[#This Row],[Planned Maintenance]:[Start and Finish Production]])</f>
        <v>21</v>
      </c>
      <c r="AC34" s="26"/>
      <c r="AD34" s="26">
        <v>2</v>
      </c>
      <c r="AE34" s="26"/>
      <c r="AF34" s="26"/>
      <c r="AG34" s="26"/>
      <c r="AH34" s="26"/>
      <c r="AI34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9.7823129251700891E-2</v>
      </c>
      <c r="AJ34" s="24">
        <f ca="1">IFERROR(IF(Table110[[#This Row],[SKU]]="",0,Table110[[#This Row],[Quality Loss (T)]]/(Table110[[#This Row],[SOC (TPD)]]/24)),"")</f>
        <v>1.1289795918367347</v>
      </c>
      <c r="AK34" s="31">
        <f ca="1">IFERROR(IF(Table110[[#This Row],[SKU]]="",0,Table110[[#This Row],[Volume Delivered (T)]]/(Table110[[#This Row],[SOC (TPD)]]/24)),"")</f>
        <v>17.577551020408162</v>
      </c>
      <c r="AL34" s="31">
        <f ca="1">IFERROR(Table110[[#This Row],[Operating Time]]/Table110[[#This Row],[PRODUCTION HOURS]],"")</f>
        <v>0.83702623906705531</v>
      </c>
      <c r="AM34" s="32">
        <v>153</v>
      </c>
      <c r="AN34" s="32" t="s">
        <v>107</v>
      </c>
      <c r="AO34" s="32" t="s">
        <v>107</v>
      </c>
      <c r="AP34" s="32">
        <v>0</v>
      </c>
      <c r="AQ34" s="32">
        <v>0</v>
      </c>
      <c r="AR34" s="32"/>
      <c r="AS34" s="32" t="str">
        <f>IFERROR(SUMIFS(#REF!,#REF!,'Shift Wise-Data Sheet'!A:A,#REF!,"Samridhi Perk Line")/SUMIFS(#REF!,#REF!,'Shift Wise-Data Sheet'!A:A,#REF!,"Samridhi Perk Line"),"")</f>
        <v/>
      </c>
      <c r="AT34" s="32"/>
      <c r="AU34" s="32">
        <v>0</v>
      </c>
      <c r="AV34" s="211" t="str">
        <f>IFERROR(VLOOKUP(Table110[[#This Row],[Date]],'Overweight Data'!A32:G1127,6,FALSE),"")</f>
        <v/>
      </c>
      <c r="AW34" s="221">
        <f ca="1">IFERROR(
   IF(
      OR(Table110[[#This Row],[Operating Time]]=0, (Table110[[#This Row],[Operating Time]]/IF(AD34&lt;=1,AD34+1,AD34))*60=0),
      1,
      ((Table110[[#This Row],[Operating Time]])/IF(AD34&lt;=1,AD34+1,AD34))*60
   ),
"_")</f>
        <v>527.32653061224482</v>
      </c>
      <c r="AX34" s="221">
        <f>COUNTIFS('Downtime Data'!A:A,Table110[[#This Row],[Date]])</f>
        <v>4</v>
      </c>
      <c r="AY34" s="219">
        <f>IFERROR((SUM(Table110[[#This Row],[Minor Stoppages]:[Material Shortages]])/Table110[[#This Row],['# Stops]])*60,"")</f>
        <v>30</v>
      </c>
      <c r="AZ34" s="219"/>
      <c r="BA34" s="33">
        <v>46048</v>
      </c>
    </row>
    <row r="35" spans="1:53" ht="20.149999999999999" customHeight="1" x14ac:dyDescent="0.35">
      <c r="A35" s="21">
        <v>46052</v>
      </c>
      <c r="B35" s="22" t="str">
        <f t="shared" si="1"/>
        <v>Friday</v>
      </c>
      <c r="C35" s="22"/>
      <c r="D35" s="23" t="s">
        <v>106</v>
      </c>
      <c r="E35" s="24" cm="1">
        <f t="array" aca="1" ref="E35" ca="1">IFERROR(INDIRECT(D35),"")</f>
        <v>39.200000000000003</v>
      </c>
      <c r="F35" s="25">
        <v>32</v>
      </c>
      <c r="G35" s="26">
        <v>34.1</v>
      </c>
      <c r="H35" s="27">
        <f ca="1">IFERROR((Table110[[#This Row],[Plan]]/Table110[[#This Row],[Hours Used]])/(Table110[[#This Row],[SOC (TPD)]]/24),"")</f>
        <v>0.81632653061224481</v>
      </c>
      <c r="I35" s="27">
        <f ca="1">IFERROR((Table110[[#This Row],[Volume Delivered (T)]]/Table110[[#This Row],[Hours Used]])/(Table110[[#This Row],[SOC (TPD)]]/24),"")</f>
        <v>0.86989795918367341</v>
      </c>
      <c r="J35" s="28"/>
      <c r="K35" s="28"/>
      <c r="L35" s="28"/>
      <c r="M35" s="25">
        <v>2.2000000000000002</v>
      </c>
      <c r="N35" s="29">
        <v>3.4000000000000002E-2</v>
      </c>
      <c r="O35" s="84"/>
      <c r="P35" s="25"/>
      <c r="Q35" s="25"/>
      <c r="R35" s="70">
        <v>0</v>
      </c>
      <c r="S35" s="71">
        <v>0</v>
      </c>
      <c r="T35" s="30">
        <f>IF(Table110[[#This Row],[SKU]]="",0,24-Table110[[#This Row],[Legal Non-Operating Time]]-Table110[[#This Row],[No Demand Time]]-Table110[[#This Row],[Force Majeure]])</f>
        <v>24</v>
      </c>
      <c r="U35" s="26"/>
      <c r="V35" s="26">
        <v>0.6</v>
      </c>
      <c r="W35" s="26"/>
      <c r="X35" s="26"/>
      <c r="Y35" s="26"/>
      <c r="Z35" s="26"/>
      <c r="AA35" s="26"/>
      <c r="AB35" s="30">
        <f>Table110[[#This Row],[Hours Used]]-SUM(Table110[[#This Row],[Planned Maintenance]:[Start and Finish Production]])</f>
        <v>23.4</v>
      </c>
      <c r="AC35" s="26"/>
      <c r="AD35" s="26">
        <v>1</v>
      </c>
      <c r="AE35" s="26"/>
      <c r="AF35" s="26"/>
      <c r="AG35" s="26"/>
      <c r="AH35" s="26"/>
      <c r="AI35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5.8503401360544181E-2</v>
      </c>
      <c r="AJ35" s="24">
        <f ca="1">IFERROR(IF(Table110[[#This Row],[SKU]]="",0,Table110[[#This Row],[Quality Loss (T)]]/(Table110[[#This Row],[SOC (TPD)]]/24)),"")</f>
        <v>1.346938775510204</v>
      </c>
      <c r="AK35" s="31">
        <f ca="1">IFERROR(IF(Table110[[#This Row],[SKU]]="",0,Table110[[#This Row],[Volume Delivered (T)]]/(Table110[[#This Row],[SOC (TPD)]]/24)),"")</f>
        <v>20.877551020408163</v>
      </c>
      <c r="AL35" s="31">
        <f ca="1">IFERROR(Table110[[#This Row],[Operating Time]]/Table110[[#This Row],[PRODUCTION HOURS]],"")</f>
        <v>0.89220303506017795</v>
      </c>
      <c r="AM35" s="32">
        <v>159</v>
      </c>
      <c r="AN35" s="32" t="s">
        <v>107</v>
      </c>
      <c r="AO35" s="32" t="s">
        <v>107</v>
      </c>
      <c r="AP35" s="32">
        <v>1</v>
      </c>
      <c r="AQ35" s="32">
        <v>0</v>
      </c>
      <c r="AR35" s="32"/>
      <c r="AS35" s="32" t="str">
        <f>IFERROR(SUMIFS(#REF!,#REF!,'Shift Wise-Data Sheet'!A:A,#REF!,"Samridhi Perk Line")/SUMIFS(#REF!,#REF!,'Shift Wise-Data Sheet'!A:A,#REF!,"Samridhi Perk Line"),"")</f>
        <v/>
      </c>
      <c r="AT35" s="32"/>
      <c r="AU35" s="32">
        <v>0</v>
      </c>
      <c r="AV35" s="211">
        <f>IFERROR(VLOOKUP(Table110[[#This Row],[Date]],'Overweight Data'!A33:G1128,6,FALSE),"")</f>
        <v>2.813075506445668E-2</v>
      </c>
      <c r="AW35" s="221">
        <f ca="1">IFERROR(
   IF(
      OR(Table110[[#This Row],[Operating Time]]=0, (Table110[[#This Row],[Operating Time]]/IF(AD35&lt;=1,AD35+1,AD35))*60=0),
      1,
      ((Table110[[#This Row],[Operating Time]])/IF(AD35&lt;=1,AD35+1,AD35))*60
   ),
"_")</f>
        <v>626.32653061224482</v>
      </c>
      <c r="AX35" s="221">
        <f>COUNTIFS('Downtime Data'!A:A,Table110[[#This Row],[Date]])</f>
        <v>2</v>
      </c>
      <c r="AY35" s="219">
        <f>IFERROR((SUM(Table110[[#This Row],[Minor Stoppages]:[Material Shortages]])/Table110[[#This Row],['# Stops]])*60,"")</f>
        <v>30</v>
      </c>
      <c r="AZ35" s="219"/>
      <c r="BA35" s="33">
        <v>46048</v>
      </c>
    </row>
    <row r="36" spans="1:53" ht="20.149999999999999" customHeight="1" x14ac:dyDescent="0.35">
      <c r="A36" s="21">
        <v>46053</v>
      </c>
      <c r="B36" s="22" t="str">
        <f t="shared" si="1"/>
        <v>Saturday</v>
      </c>
      <c r="C36" s="22"/>
      <c r="D36" s="23" t="s">
        <v>106</v>
      </c>
      <c r="E36" s="24" cm="1">
        <f t="array" aca="1" ref="E36" ca="1">IFERROR(INDIRECT(D36),"")</f>
        <v>39.200000000000003</v>
      </c>
      <c r="F36" s="25">
        <v>32</v>
      </c>
      <c r="G36" s="26">
        <v>29.3</v>
      </c>
      <c r="H36" s="27">
        <f ca="1">IFERROR((Table110[[#This Row],[Plan]]/Table110[[#This Row],[Hours Used]])/(Table110[[#This Row],[SOC (TPD)]]/24),"")</f>
        <v>0.81632653061224481</v>
      </c>
      <c r="I36" s="27">
        <f ca="1">IFERROR((Table110[[#This Row],[Volume Delivered (T)]]/Table110[[#This Row],[Hours Used]])/(Table110[[#This Row],[SOC (TPD)]]/24),"")</f>
        <v>0.74744897959183676</v>
      </c>
      <c r="J36" s="28"/>
      <c r="K36" s="28"/>
      <c r="L36" s="28"/>
      <c r="M36" s="25">
        <v>1.7</v>
      </c>
      <c r="N36" s="29">
        <v>3.4000000000000002E-2</v>
      </c>
      <c r="O36" s="84"/>
      <c r="P36" s="25"/>
      <c r="Q36" s="25"/>
      <c r="R36" s="70">
        <v>0</v>
      </c>
      <c r="S36" s="71">
        <v>0</v>
      </c>
      <c r="T36" s="30">
        <f>IF(Table110[[#This Row],[SKU]]="",0,24-Table110[[#This Row],[Legal Non-Operating Time]]-Table110[[#This Row],[No Demand Time]]-Table110[[#This Row],[Force Majeure]])</f>
        <v>24</v>
      </c>
      <c r="U36" s="26"/>
      <c r="V36" s="26"/>
      <c r="W36" s="26"/>
      <c r="X36" s="26"/>
      <c r="Y36" s="26"/>
      <c r="Z36" s="26"/>
      <c r="AA36" s="26"/>
      <c r="AB36" s="30">
        <f>Table110[[#This Row],[Hours Used]]-SUM(Table110[[#This Row],[Planned Maintenance]:[Start and Finish Production]])</f>
        <v>24</v>
      </c>
      <c r="AC36" s="26"/>
      <c r="AD36" s="26">
        <v>4.8</v>
      </c>
      <c r="AE36" s="26"/>
      <c r="AF36" s="26"/>
      <c r="AG36" s="26"/>
      <c r="AH36" s="26"/>
      <c r="AI36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7.3469387755101437E-2</v>
      </c>
      <c r="AJ36" s="24">
        <f ca="1">IFERROR(IF(Table110[[#This Row],[SKU]]="",0,Table110[[#This Row],[Quality Loss (T)]]/(Table110[[#This Row],[SOC (TPD)]]/24)),"")</f>
        <v>1.0408163265306121</v>
      </c>
      <c r="AK36" s="31">
        <f ca="1">IFERROR(IF(Table110[[#This Row],[SKU]]="",0,Table110[[#This Row],[Volume Delivered (T)]]/(Table110[[#This Row],[SOC (TPD)]]/24)),"")</f>
        <v>17.938775510204081</v>
      </c>
      <c r="AL36" s="31">
        <f ca="1">IFERROR(Table110[[#This Row],[Operating Time]]/Table110[[#This Row],[PRODUCTION HOURS]],"")</f>
        <v>0.74744897959183676</v>
      </c>
      <c r="AM36" s="32">
        <v>95</v>
      </c>
      <c r="AN36" s="32" t="s">
        <v>107</v>
      </c>
      <c r="AO36" s="32" t="s">
        <v>107</v>
      </c>
      <c r="AP36" s="32">
        <v>0</v>
      </c>
      <c r="AQ36" s="32">
        <v>0</v>
      </c>
      <c r="AR36" s="32"/>
      <c r="AS36" s="32" t="str">
        <f>IFERROR(SUMIFS(#REF!,#REF!,'Shift Wise-Data Sheet'!A:A,#REF!,"Samridhi Perk Line")/SUMIFS(#REF!,#REF!,'Shift Wise-Data Sheet'!A:A,#REF!,"Samridhi Perk Line"),"")</f>
        <v/>
      </c>
      <c r="AT36" s="32"/>
      <c r="AU36" s="32">
        <v>0</v>
      </c>
      <c r="AV36" s="211" t="str">
        <f>IFERROR(VLOOKUP(Table110[[#This Row],[Date]],'Overweight Data'!A34:G1129,6,FALSE),"")</f>
        <v/>
      </c>
      <c r="AW36" s="221">
        <f ca="1">IFERROR(
   IF(
      OR(Table110[[#This Row],[Operating Time]]=0, (Table110[[#This Row],[Operating Time]]/IF(AD36&lt;=1,AD36+1,AD36))*60=0),
      1,
      ((Table110[[#This Row],[Operating Time]])/IF(AD36&lt;=1,AD36+1,AD36))*60
   ),
"_")</f>
        <v>224.23469387755102</v>
      </c>
      <c r="AX36" s="221">
        <f>COUNTIFS('Downtime Data'!A:A,Table110[[#This Row],[Date]])</f>
        <v>1</v>
      </c>
      <c r="AY36" s="219">
        <f>IFERROR((SUM(Table110[[#This Row],[Minor Stoppages]:[Material Shortages]])/Table110[[#This Row],['# Stops]])*60,"")</f>
        <v>288</v>
      </c>
      <c r="AZ36" s="219"/>
      <c r="BA36" s="33">
        <v>46048</v>
      </c>
    </row>
    <row r="37" spans="1:53" ht="20.149999999999999" customHeight="1" x14ac:dyDescent="0.35">
      <c r="A37" s="21">
        <v>46054</v>
      </c>
      <c r="B37" s="22" t="str">
        <f t="shared" si="1"/>
        <v>Sunday</v>
      </c>
      <c r="C37" s="22"/>
      <c r="D37" s="23" t="s">
        <v>108</v>
      </c>
      <c r="E37" s="24" cm="1">
        <f t="array" aca="1" ref="E37" ca="1">IFERROR(INDIRECT(D37),"")</f>
        <v>34.200000000000003</v>
      </c>
      <c r="F37" s="25">
        <v>27.8</v>
      </c>
      <c r="G37" s="26">
        <v>29.3</v>
      </c>
      <c r="H37" s="27">
        <f ca="1">IFERROR((Table110[[#This Row],[Plan]]/Table110[[#This Row],[Hours Used]])/(Table110[[#This Row],[SOC (TPD)]]/24),"")</f>
        <v>0.8128654970760234</v>
      </c>
      <c r="I37" s="27">
        <f ca="1">IFERROR((Table110[[#This Row],[Volume Delivered (T)]]/Table110[[#This Row],[Hours Used]])/(Table110[[#This Row],[SOC (TPD)]]/24),"")</f>
        <v>0.85672514619883045</v>
      </c>
      <c r="J37" s="234"/>
      <c r="K37" s="234"/>
      <c r="L37" s="28"/>
      <c r="M37" s="25">
        <v>1.603</v>
      </c>
      <c r="N37" s="29">
        <v>3.3000000000000002E-2</v>
      </c>
      <c r="O37" s="84"/>
      <c r="P37" s="25"/>
      <c r="Q37" s="25"/>
      <c r="R37" s="70">
        <v>0</v>
      </c>
      <c r="S37" s="71">
        <v>0</v>
      </c>
      <c r="T37" s="30">
        <f>IF(Table110[[#This Row],[SKU]]="",0,24-Table110[[#This Row],[Legal Non-Operating Time]]-Table110[[#This Row],[No Demand Time]]-Table110[[#This Row],[Force Majeure]])</f>
        <v>24</v>
      </c>
      <c r="U37" s="26"/>
      <c r="V37" s="26"/>
      <c r="W37" s="26"/>
      <c r="X37" s="26">
        <v>2</v>
      </c>
      <c r="Y37" s="26"/>
      <c r="Z37" s="26"/>
      <c r="AA37" s="26"/>
      <c r="AB37" s="30">
        <f>Table110[[#This Row],[Hours Used]]-SUM(Table110[[#This Row],[Planned Maintenance]:[Start and Finish Production]])</f>
        <v>22</v>
      </c>
      <c r="AC37" s="26"/>
      <c r="AD37" s="26"/>
      <c r="AE37" s="26"/>
      <c r="AF37" s="26"/>
      <c r="AG37" s="26"/>
      <c r="AH37" s="26"/>
      <c r="AI37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0.10456140350877281</v>
      </c>
      <c r="AJ37" s="24">
        <f ca="1">IFERROR(IF(Table110[[#This Row],[SKU]]="",0,Table110[[#This Row],[Quality Loss (T)]]/(Table110[[#This Row],[SOC (TPD)]]/24)),"")</f>
        <v>1.1249122807017544</v>
      </c>
      <c r="AK37" s="31">
        <f ca="1">IFERROR(IF(Table110[[#This Row],[SKU]]="",0,Table110[[#This Row],[Volume Delivered (T)]]/(Table110[[#This Row],[SOC (TPD)]]/24)),"")</f>
        <v>20.561403508771928</v>
      </c>
      <c r="AL37" s="31">
        <f ca="1">IFERROR(Table110[[#This Row],[Operating Time]]/Table110[[#This Row],[PRODUCTION HOURS]],"")</f>
        <v>0.934609250398724</v>
      </c>
      <c r="AM37" s="32">
        <v>92</v>
      </c>
      <c r="AN37" s="32" t="s">
        <v>107</v>
      </c>
      <c r="AO37" s="32" t="s">
        <v>107</v>
      </c>
      <c r="AP37" s="32">
        <v>0</v>
      </c>
      <c r="AQ37" s="32">
        <v>0</v>
      </c>
      <c r="AR37" s="32"/>
      <c r="AS37" s="32" t="str">
        <f>IFERROR(SUMIFS(#REF!,#REF!,'Shift Wise-Data Sheet'!A:A,#REF!,"Samridhi Perk Line")/SUMIFS(#REF!,#REF!,'Shift Wise-Data Sheet'!A:A,#REF!,"Samridhi Perk Line"),"")</f>
        <v/>
      </c>
      <c r="AT37" s="32">
        <v>13</v>
      </c>
      <c r="AU37" s="32">
        <v>0</v>
      </c>
      <c r="AV37" s="211" t="str">
        <f>IFERROR(VLOOKUP(Table110[[#This Row],[Date]],'Overweight Data'!A35:G1130,6,FALSE),"")</f>
        <v/>
      </c>
      <c r="AW37" s="221">
        <f ca="1">IFERROR(
   IF(
      OR(Table110[[#This Row],[Operating Time]]=0, (Table110[[#This Row],[Operating Time]]/IF(AD37&lt;=1,AD37+1,AD37))*60=0),
      1,
      ((Table110[[#This Row],[Operating Time]])/IF(AD37&lt;=1,AD37+1,AD37))*60
   ),
"_")</f>
        <v>1233.6842105263156</v>
      </c>
      <c r="AX37" s="221">
        <f>COUNTIFS('Downtime Data'!A:A,Table110[[#This Row],[Date]])</f>
        <v>0</v>
      </c>
      <c r="AY37" s="219" t="str">
        <f>IFERROR((SUM(Table110[[#This Row],[Minor Stoppages]:[Material Shortages]])/Table110[[#This Row],['# Stops]])*60,"")</f>
        <v/>
      </c>
      <c r="AZ37" s="219"/>
      <c r="BA37" s="33">
        <v>46048</v>
      </c>
    </row>
    <row r="38" spans="1:53" ht="20.149999999999999" customHeight="1" x14ac:dyDescent="0.35">
      <c r="A38" s="21">
        <v>46055</v>
      </c>
      <c r="B38" s="22" t="str">
        <f t="shared" si="1"/>
        <v>Monday</v>
      </c>
      <c r="C38" s="22"/>
      <c r="D38" s="23" t="s">
        <v>108</v>
      </c>
      <c r="E38" s="24" cm="1">
        <f t="array" aca="1" ref="E38" ca="1">IFERROR(INDIRECT(D38),"")</f>
        <v>34.200000000000003</v>
      </c>
      <c r="F38" s="25">
        <v>15</v>
      </c>
      <c r="G38" s="26">
        <v>20.892528000000002</v>
      </c>
      <c r="H38" s="27">
        <f ca="1">IFERROR((Table110[[#This Row],[Plan]]/Table110[[#This Row],[Hours Used]])/(Table110[[#This Row],[SOC (TPD)]]/24),"")</f>
        <v>0.43859649122807015</v>
      </c>
      <c r="I38" s="27">
        <f ca="1">IFERROR((Table110[[#This Row],[Volume Delivered (T)]]/Table110[[#This Row],[Hours Used]])/(Table110[[#This Row],[SOC (TPD)]]/24),"")</f>
        <v>0.61089263157894746</v>
      </c>
      <c r="J38" s="234"/>
      <c r="K38" s="234"/>
      <c r="L38" s="28"/>
      <c r="M38" s="25">
        <v>1.2509999999999999</v>
      </c>
      <c r="N38" s="29">
        <v>3.5999999999999997E-2</v>
      </c>
      <c r="O38" s="84"/>
      <c r="P38" s="25"/>
      <c r="Q38" s="25"/>
      <c r="R38" s="70">
        <v>9</v>
      </c>
      <c r="S38" s="71">
        <v>5</v>
      </c>
      <c r="T38" s="30">
        <f>IF(Table110[[#This Row],[SKU]]="",0,24-Table110[[#This Row],[Legal Non-Operating Time]]-Table110[[#This Row],[No Demand Time]]-Table110[[#This Row],[Force Majeure]])</f>
        <v>24</v>
      </c>
      <c r="U38" s="26"/>
      <c r="V38" s="26"/>
      <c r="W38" s="26">
        <v>8.5</v>
      </c>
      <c r="X38" s="26"/>
      <c r="Y38" s="26"/>
      <c r="Z38" s="26"/>
      <c r="AA38" s="26"/>
      <c r="AB38" s="30">
        <f>Table110[[#This Row],[Hours Used]]-SUM(Table110[[#This Row],[Planned Maintenance]:[Start and Finish Production]])</f>
        <v>15.5</v>
      </c>
      <c r="AC38" s="26"/>
      <c r="AD38" s="26"/>
      <c r="AE38" s="26"/>
      <c r="AF38" s="26"/>
      <c r="AG38" s="26"/>
      <c r="AH38" s="26"/>
      <c r="AI38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-1.3105964912281109E-2</v>
      </c>
      <c r="AJ38" s="24">
        <f ca="1">IFERROR(IF(Table110[[#This Row],[SKU]]="",0,Table110[[#This Row],[Quality Loss (T)]]/(Table110[[#This Row],[SOC (TPD)]]/24)),"")</f>
        <v>0.87789473684210517</v>
      </c>
      <c r="AK38" s="31">
        <f ca="1">IFERROR(IF(Table110[[#This Row],[SKU]]="",0,Table110[[#This Row],[Volume Delivered (T)]]/(Table110[[#This Row],[SOC (TPD)]]/24)),"")</f>
        <v>14.661423157894738</v>
      </c>
      <c r="AL38" s="31">
        <f ca="1">IFERROR(Table110[[#This Row],[Operating Time]]/Table110[[#This Row],[PRODUCTION HOURS]],"")</f>
        <v>0.94589826825127343</v>
      </c>
      <c r="AM38" s="32">
        <v>91</v>
      </c>
      <c r="AN38" s="32" t="s">
        <v>107</v>
      </c>
      <c r="AO38" s="32"/>
      <c r="AP38" s="32">
        <v>6</v>
      </c>
      <c r="AQ38" s="32">
        <v>5</v>
      </c>
      <c r="AR38" s="32"/>
      <c r="AS38" s="32" t="str">
        <f>IFERROR(SUMIFS(#REF!,#REF!,'Shift Wise-Data Sheet'!A:A,#REF!,"Samridhi Perk Line")/SUMIFS(#REF!,#REF!,'Shift Wise-Data Sheet'!A:A,#REF!,"Samridhi Perk Line"),"")</f>
        <v/>
      </c>
      <c r="AT38" s="32">
        <v>18</v>
      </c>
      <c r="AU38" s="32">
        <v>0</v>
      </c>
      <c r="AV38" s="211">
        <f>IFERROR(VLOOKUP(Table110[[#This Row],[Date]],'Overweight Data'!A36:G1131,6,FALSE),"")</f>
        <v>2.9226519337016608E-2</v>
      </c>
      <c r="AW38" s="221">
        <f ca="1">IFERROR(
   IF(
      OR(Table110[[#This Row],[Operating Time]]=0, (Table110[[#This Row],[Operating Time]]/IF(AD38&lt;=1,AD38+1,AD38))*60=0),
      1,
      ((Table110[[#This Row],[Operating Time]])/IF(AD38&lt;=1,AD38+1,AD38))*60
   ),
"_")</f>
        <v>879.68538947368427</v>
      </c>
      <c r="AX38" s="221">
        <f>COUNTIFS('Downtime Data'!A:A,Table110[[#This Row],[Date]])</f>
        <v>1</v>
      </c>
      <c r="AY38" s="219">
        <f>IFERROR((SUM(Table110[[#This Row],[Minor Stoppages]:[Material Shortages]])/Table110[[#This Row],['# Stops]])*60,"")</f>
        <v>0</v>
      </c>
      <c r="AZ38" s="219"/>
      <c r="BA38" s="33">
        <v>46079</v>
      </c>
    </row>
    <row r="39" spans="1:53" ht="20.149999999999999" customHeight="1" x14ac:dyDescent="0.35">
      <c r="A39" s="21">
        <v>46056</v>
      </c>
      <c r="B39" s="22" t="str">
        <f t="shared" si="1"/>
        <v>Tuesday</v>
      </c>
      <c r="C39" s="22"/>
      <c r="D39" s="23" t="s">
        <v>108</v>
      </c>
      <c r="E39" s="24" cm="1">
        <f t="array" aca="1" ref="E39" ca="1">IFERROR(INDIRECT(D39),"")</f>
        <v>34.200000000000003</v>
      </c>
      <c r="F39" s="25">
        <v>28</v>
      </c>
      <c r="G39" s="26">
        <v>26.46912</v>
      </c>
      <c r="H39" s="27">
        <f ca="1">IFERROR((Table110[[#This Row],[Plan]]/Table110[[#This Row],[Hours Used]])/(Table110[[#This Row],[SOC (TPD)]]/24),"")</f>
        <v>0.81871345029239773</v>
      </c>
      <c r="I39" s="27">
        <f ca="1">IFERROR((Table110[[#This Row],[Volume Delivered (T)]]/Table110[[#This Row],[Hours Used]])/(Table110[[#This Row],[SOC (TPD)]]/24),"")</f>
        <v>0.7739508771929825</v>
      </c>
      <c r="J39" s="234"/>
      <c r="K39" s="234"/>
      <c r="L39" s="28"/>
      <c r="M39" s="25">
        <v>2.1850000000000001</v>
      </c>
      <c r="N39" s="29">
        <v>3.5999999999999997E-2</v>
      </c>
      <c r="O39" s="84"/>
      <c r="P39" s="25"/>
      <c r="Q39" s="25"/>
      <c r="R39" s="70">
        <v>4</v>
      </c>
      <c r="S39" s="71">
        <v>5</v>
      </c>
      <c r="T39" s="30">
        <f>IF(Table110[[#This Row],[SKU]]="",0,24-Table110[[#This Row],[Legal Non-Operating Time]]-Table110[[#This Row],[No Demand Time]]-Table110[[#This Row],[Force Majeure]])</f>
        <v>24</v>
      </c>
      <c r="U39" s="26"/>
      <c r="V39" s="26">
        <v>0.5</v>
      </c>
      <c r="W39" s="26"/>
      <c r="X39" s="26"/>
      <c r="Y39" s="26"/>
      <c r="Z39" s="26"/>
      <c r="AA39" s="26"/>
      <c r="AB39" s="30">
        <f>Table110[[#This Row],[Hours Used]]-SUM(Table110[[#This Row],[Planned Maintenance]:[Start and Finish Production]])</f>
        <v>23.5</v>
      </c>
      <c r="AC39" s="26"/>
      <c r="AD39" s="26">
        <v>1</v>
      </c>
      <c r="AE39" s="26">
        <v>1</v>
      </c>
      <c r="AF39" s="26"/>
      <c r="AG39" s="26"/>
      <c r="AH39" s="26"/>
      <c r="AI39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0.46394853801169705</v>
      </c>
      <c r="AJ39" s="24">
        <f ca="1">IFERROR(IF(Table110[[#This Row],[SKU]]="",0,Table110[[#This Row],[Quality Loss (T)]]/(Table110[[#This Row],[SOC (TPD)]]/24)),"")</f>
        <v>1.5333333333333332</v>
      </c>
      <c r="AK39" s="31">
        <f ca="1">IFERROR(IF(Table110[[#This Row],[SKU]]="",0,Table110[[#This Row],[Volume Delivered (T)]]/(Table110[[#This Row],[SOC (TPD)]]/24)),"")</f>
        <v>18.574821052631577</v>
      </c>
      <c r="AL39" s="31">
        <f ca="1">IFERROR(Table110[[#This Row],[Operating Time]]/Table110[[#This Row],[PRODUCTION HOURS]],"")</f>
        <v>0.7904179171332586</v>
      </c>
      <c r="AM39" s="32">
        <v>88</v>
      </c>
      <c r="AN39" s="32" t="s">
        <v>107</v>
      </c>
      <c r="AO39" s="32" t="s">
        <v>107</v>
      </c>
      <c r="AP39" s="32">
        <v>4</v>
      </c>
      <c r="AQ39" s="32">
        <v>0</v>
      </c>
      <c r="AR39" s="32">
        <v>5</v>
      </c>
      <c r="AS39" s="32" t="str">
        <f>IFERROR(SUMIFS(#REF!,#REF!,'Shift Wise-Data Sheet'!A:A,#REF!,"Samridhi Perk Line")/SUMIFS(#REF!,#REF!,'Shift Wise-Data Sheet'!A:A,#REF!,"Samridhi Perk Line"),"")</f>
        <v/>
      </c>
      <c r="AT39" s="32">
        <v>1</v>
      </c>
      <c r="AU39" s="32">
        <v>0</v>
      </c>
      <c r="AV39" s="211">
        <f>IFERROR(VLOOKUP(Table110[[#This Row],[Date]],'Overweight Data'!A37:G1132,6,FALSE),"")</f>
        <v>3.0322283609576433E-2</v>
      </c>
      <c r="AW39" s="221">
        <f ca="1">IFERROR(
   IF(
      OR(Table110[[#This Row],[Operating Time]]=0, (Table110[[#This Row],[Operating Time]]/IF(AD39&lt;=1,AD39+1,AD39))*60=0),
      1,
      ((Table110[[#This Row],[Operating Time]])/IF(AD39&lt;=1,AD39+1,AD39))*60
   ),
"_")</f>
        <v>557.24463157894729</v>
      </c>
      <c r="AX39" s="221">
        <f>COUNTIFS('Downtime Data'!A:A,Table110[[#This Row],[Date]])</f>
        <v>1</v>
      </c>
      <c r="AY39" s="219">
        <f>IFERROR((SUM(Table110[[#This Row],[Minor Stoppages]:[Material Shortages]])/Table110[[#This Row],['# Stops]])*60,"")</f>
        <v>120</v>
      </c>
      <c r="AZ39" s="219"/>
      <c r="BA39" s="33">
        <v>46079</v>
      </c>
    </row>
    <row r="40" spans="1:53" ht="20.149999999999999" customHeight="1" x14ac:dyDescent="0.35">
      <c r="A40" s="21">
        <v>46057</v>
      </c>
      <c r="B40" s="22" t="str">
        <f t="shared" si="1"/>
        <v>Wednesday</v>
      </c>
      <c r="C40" s="22"/>
      <c r="D40" s="23" t="s">
        <v>108</v>
      </c>
      <c r="E40" s="24" cm="1">
        <f t="array" aca="1" ref="E40" ca="1">IFERROR(INDIRECT(D40),"")</f>
        <v>34.200000000000003</v>
      </c>
      <c r="F40" s="25">
        <v>28</v>
      </c>
      <c r="G40" s="26">
        <v>26.854152000000003</v>
      </c>
      <c r="H40" s="27">
        <f ca="1">IFERROR((Table110[[#This Row],[Plan]]/Table110[[#This Row],[Hours Used]])/(Table110[[#This Row],[SOC (TPD)]]/24),"")</f>
        <v>0.81871345029239773</v>
      </c>
      <c r="I40" s="27">
        <f ca="1">IFERROR((Table110[[#This Row],[Volume Delivered (T)]]/Table110[[#This Row],[Hours Used]])/(Table110[[#This Row],[SOC (TPD)]]/24),"")</f>
        <v>0.7852091228070176</v>
      </c>
      <c r="J40" s="234"/>
      <c r="K40" s="234"/>
      <c r="L40" s="28"/>
      <c r="M40" s="25">
        <v>1.68</v>
      </c>
      <c r="N40" s="29">
        <v>3.5000000000000003E-2</v>
      </c>
      <c r="O40" s="84"/>
      <c r="P40" s="25"/>
      <c r="Q40" s="25"/>
      <c r="R40" s="70">
        <v>0</v>
      </c>
      <c r="S40" s="71">
        <v>0</v>
      </c>
      <c r="T40" s="30">
        <f>IF(Table110[[#This Row],[SKU]]="",0,24-Table110[[#This Row],[Legal Non-Operating Time]]-Table110[[#This Row],[No Demand Time]]-Table110[[#This Row],[Force Majeure]])</f>
        <v>24</v>
      </c>
      <c r="U40" s="26">
        <v>1</v>
      </c>
      <c r="V40" s="26">
        <v>0.5</v>
      </c>
      <c r="W40" s="26"/>
      <c r="X40" s="26"/>
      <c r="Y40" s="26"/>
      <c r="Z40" s="26"/>
      <c r="AA40" s="26"/>
      <c r="AB40" s="30">
        <f>Table110[[#This Row],[Hours Used]]-SUM(Table110[[#This Row],[Planned Maintenance]:[Start and Finish Production]])</f>
        <v>22.5</v>
      </c>
      <c r="AC40" s="26"/>
      <c r="AD40" s="26">
        <v>0.8</v>
      </c>
      <c r="AE40" s="26">
        <v>1.6</v>
      </c>
      <c r="AF40" s="26"/>
      <c r="AG40" s="26"/>
      <c r="AH40" s="26"/>
      <c r="AI40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2.5344561403508454E-2</v>
      </c>
      <c r="AJ40" s="24">
        <f ca="1">IFERROR(IF(Table110[[#This Row],[SKU]]="",0,Table110[[#This Row],[Quality Loss (T)]]/(Table110[[#This Row],[SOC (TPD)]]/24)),"")</f>
        <v>1.1789473684210525</v>
      </c>
      <c r="AK40" s="31">
        <f ca="1">IFERROR(IF(Table110[[#This Row],[SKU]]="",0,Table110[[#This Row],[Volume Delivered (T)]]/(Table110[[#This Row],[SOC (TPD)]]/24)),"")</f>
        <v>18.845018947368423</v>
      </c>
      <c r="AL40" s="31">
        <f ca="1">IFERROR(Table110[[#This Row],[Operating Time]]/Table110[[#This Row],[PRODUCTION HOURS]],"")</f>
        <v>0.8375563976608188</v>
      </c>
      <c r="AM40" s="32">
        <v>89</v>
      </c>
      <c r="AN40" s="32" t="s">
        <v>107</v>
      </c>
      <c r="AO40" s="32" t="s">
        <v>105</v>
      </c>
      <c r="AP40" s="32">
        <v>0</v>
      </c>
      <c r="AQ40" s="32">
        <v>0</v>
      </c>
      <c r="AR40" s="32"/>
      <c r="AS40" s="32" t="str">
        <f>IFERROR(SUMIFS(#REF!,#REF!,'Shift Wise-Data Sheet'!A:A,#REF!,"Samridhi Perk Line")/SUMIFS(#REF!,#REF!,'Shift Wise-Data Sheet'!A:A,#REF!,"Samridhi Perk Line"),"")</f>
        <v/>
      </c>
      <c r="AT40" s="32">
        <v>6</v>
      </c>
      <c r="AU40" s="32">
        <v>0</v>
      </c>
      <c r="AV40" s="211">
        <f>IFERROR(VLOOKUP(Table110[[#This Row],[Date]],'Overweight Data'!A38:G1133,6,FALSE),"")</f>
        <v>3.4263351749539574E-2</v>
      </c>
      <c r="AW40" s="221">
        <f ca="1">IFERROR(
   IF(
      OR(Table110[[#This Row],[Operating Time]]=0, (Table110[[#This Row],[Operating Time]]/IF(AD40&lt;=1,AD40+1,AD40))*60=0),
      1,
      ((Table110[[#This Row],[Operating Time]])/IF(AD40&lt;=1,AD40+1,AD40))*60
   ),
"_")</f>
        <v>628.16729824561412</v>
      </c>
      <c r="AX40" s="221">
        <f>COUNTIFS('Downtime Data'!A:A,Table110[[#This Row],[Date]])</f>
        <v>2</v>
      </c>
      <c r="AY40" s="219">
        <f>IFERROR((SUM(Table110[[#This Row],[Minor Stoppages]:[Material Shortages]])/Table110[[#This Row],['# Stops]])*60,"")</f>
        <v>72.000000000000014</v>
      </c>
      <c r="AZ40" s="219"/>
      <c r="BA40" s="33">
        <v>46079</v>
      </c>
    </row>
    <row r="41" spans="1:53" ht="20.149999999999999" customHeight="1" x14ac:dyDescent="0.35">
      <c r="A41" s="21">
        <v>46058</v>
      </c>
      <c r="B41" s="22" t="str">
        <f t="shared" si="1"/>
        <v>Thursday</v>
      </c>
      <c r="C41" s="22"/>
      <c r="D41" s="23" t="s">
        <v>108</v>
      </c>
      <c r="E41" s="24" cm="1">
        <f t="array" aca="1" ref="E41" ca="1">IFERROR(INDIRECT(D41),"")</f>
        <v>34.200000000000003</v>
      </c>
      <c r="F41" s="25">
        <v>28</v>
      </c>
      <c r="G41" s="26">
        <v>24.434616000000002</v>
      </c>
      <c r="H41" s="27">
        <f ca="1">IFERROR((Table110[[#This Row],[Plan]]/Table110[[#This Row],[Hours Used]])/(Table110[[#This Row],[SOC (TPD)]]/24),"")</f>
        <v>0.81871345029239773</v>
      </c>
      <c r="I41" s="27">
        <f ca="1">IFERROR((Table110[[#This Row],[Volume Delivered (T)]]/Table110[[#This Row],[Hours Used]])/(Table110[[#This Row],[SOC (TPD)]]/24),"")</f>
        <v>0.71446245614035098</v>
      </c>
      <c r="J41" s="234"/>
      <c r="K41" s="234"/>
      <c r="L41" s="28"/>
      <c r="M41" s="25">
        <v>1.6479999999999999</v>
      </c>
      <c r="N41" s="29">
        <v>3.5999999999999997E-2</v>
      </c>
      <c r="O41" s="84"/>
      <c r="P41" s="25"/>
      <c r="Q41" s="25"/>
      <c r="R41" s="70">
        <v>1</v>
      </c>
      <c r="S41" s="71">
        <v>1</v>
      </c>
      <c r="T41" s="30">
        <f>IF(Table110[[#This Row],[SKU]]="",0,24-Table110[[#This Row],[Legal Non-Operating Time]]-Table110[[#This Row],[No Demand Time]]-Table110[[#This Row],[Force Majeure]])</f>
        <v>24</v>
      </c>
      <c r="U41" s="26"/>
      <c r="V41" s="26">
        <v>0.5</v>
      </c>
      <c r="W41" s="26"/>
      <c r="X41" s="26"/>
      <c r="Y41" s="26"/>
      <c r="Z41" s="26"/>
      <c r="AA41" s="26"/>
      <c r="AB41" s="30">
        <f>Table110[[#This Row],[Hours Used]]-SUM(Table110[[#This Row],[Planned Maintenance]:[Start and Finish Production]])</f>
        <v>23.5</v>
      </c>
      <c r="AC41" s="26"/>
      <c r="AD41" s="26">
        <v>4</v>
      </c>
      <c r="AE41" s="26"/>
      <c r="AF41" s="26"/>
      <c r="AG41" s="26">
        <v>1</v>
      </c>
      <c r="AH41" s="26"/>
      <c r="AI41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6.5469941520466549E-2</v>
      </c>
      <c r="AJ41" s="24">
        <f ca="1">IFERROR(IF(Table110[[#This Row],[SKU]]="",0,Table110[[#This Row],[Quality Loss (T)]]/(Table110[[#This Row],[SOC (TPD)]]/24)),"")</f>
        <v>1.1564912280701753</v>
      </c>
      <c r="AK41" s="31">
        <f ca="1">IFERROR(IF(Table110[[#This Row],[SKU]]="",0,Table110[[#This Row],[Volume Delivered (T)]]/(Table110[[#This Row],[SOC (TPD)]]/24)),"")</f>
        <v>17.147098947368423</v>
      </c>
      <c r="AL41" s="31">
        <f ca="1">IFERROR(Table110[[#This Row],[Operating Time]]/Table110[[#This Row],[PRODUCTION HOURS]],"")</f>
        <v>0.72966378499440099</v>
      </c>
      <c r="AM41" s="32">
        <v>90</v>
      </c>
      <c r="AN41" s="32" t="s">
        <v>107</v>
      </c>
      <c r="AO41" s="32" t="s">
        <v>107</v>
      </c>
      <c r="AP41" s="32">
        <v>0</v>
      </c>
      <c r="AQ41" s="32">
        <v>0</v>
      </c>
      <c r="AR41" s="32">
        <v>1</v>
      </c>
      <c r="AS41" s="32" t="str">
        <f>IFERROR(SUMIFS(#REF!,#REF!,'Shift Wise-Data Sheet'!A:A,#REF!,"Samridhi Perk Line")/SUMIFS(#REF!,#REF!,'Shift Wise-Data Sheet'!A:A,#REF!,"Samridhi Perk Line"),"")</f>
        <v/>
      </c>
      <c r="AT41" s="32">
        <v>11</v>
      </c>
      <c r="AU41" s="32">
        <v>0</v>
      </c>
      <c r="AV41" s="211">
        <f>IFERROR(VLOOKUP(Table110[[#This Row],[Date]],'Overweight Data'!A39:G1134,6,FALSE),"")</f>
        <v>3.334254143646407E-2</v>
      </c>
      <c r="AW41" s="221">
        <f ca="1">IFERROR(
   IF(
      OR(Table110[[#This Row],[Operating Time]]=0, (Table110[[#This Row],[Operating Time]]/IF(AD41&lt;=1,AD41+1,AD41))*60=0),
      1,
      ((Table110[[#This Row],[Operating Time]])/IF(AD41&lt;=1,AD41+1,AD41))*60
   ),
"_")</f>
        <v>257.20648421052636</v>
      </c>
      <c r="AX41" s="221">
        <f>COUNTIFS('Downtime Data'!A:A,Table110[[#This Row],[Date]])</f>
        <v>2</v>
      </c>
      <c r="AY41" s="219">
        <f>IFERROR((SUM(Table110[[#This Row],[Minor Stoppages]:[Material Shortages]])/Table110[[#This Row],['# Stops]])*60,"")</f>
        <v>150</v>
      </c>
      <c r="AZ41" s="219"/>
      <c r="BA41" s="33">
        <v>46079</v>
      </c>
    </row>
    <row r="42" spans="1:53" ht="20.149999999999999" customHeight="1" x14ac:dyDescent="0.35">
      <c r="A42" s="21">
        <v>46059</v>
      </c>
      <c r="B42" s="22" t="str">
        <f t="shared" si="1"/>
        <v>Friday</v>
      </c>
      <c r="C42" s="22"/>
      <c r="D42" s="23" t="s">
        <v>108</v>
      </c>
      <c r="E42" s="24" cm="1">
        <f t="array" aca="1" ref="E42" ca="1">IFERROR(INDIRECT(D42),"")</f>
        <v>34.200000000000003</v>
      </c>
      <c r="F42" s="25">
        <v>28</v>
      </c>
      <c r="G42" s="26">
        <v>25.569528000000002</v>
      </c>
      <c r="H42" s="27">
        <f ca="1">IFERROR((Table110[[#This Row],[Plan]]/Table110[[#This Row],[Hours Used]])/(Table110[[#This Row],[SOC (TPD)]]/24),"")</f>
        <v>0.81871345029239773</v>
      </c>
      <c r="I42" s="27">
        <f ca="1">IFERROR((Table110[[#This Row],[Volume Delivered (T)]]/Table110[[#This Row],[Hours Used]])/(Table110[[#This Row],[SOC (TPD)]]/24),"")</f>
        <v>0.74764701754385976</v>
      </c>
      <c r="J42" s="234"/>
      <c r="K42" s="234"/>
      <c r="L42" s="28"/>
      <c r="M42" s="25">
        <v>1.849</v>
      </c>
      <c r="N42" s="29">
        <v>4.4999999999999998E-2</v>
      </c>
      <c r="O42" s="84"/>
      <c r="P42" s="25"/>
      <c r="Q42" s="25"/>
      <c r="R42" s="70">
        <v>0</v>
      </c>
      <c r="S42" s="71">
        <v>0</v>
      </c>
      <c r="T42" s="30">
        <f>IF(Table110[[#This Row],[SKU]]="",0,24-Table110[[#This Row],[Legal Non-Operating Time]]-Table110[[#This Row],[No Demand Time]]-Table110[[#This Row],[Force Majeure]])</f>
        <v>24</v>
      </c>
      <c r="U42" s="26"/>
      <c r="V42" s="26">
        <v>1</v>
      </c>
      <c r="W42" s="26"/>
      <c r="X42" s="26"/>
      <c r="Y42" s="26"/>
      <c r="Z42" s="26"/>
      <c r="AA42" s="26"/>
      <c r="AB42" s="30">
        <f>Table110[[#This Row],[Hours Used]]-SUM(Table110[[#This Row],[Planned Maintenance]:[Start and Finish Production]])</f>
        <v>23</v>
      </c>
      <c r="AC42" s="26"/>
      <c r="AD42" s="26"/>
      <c r="AE42" s="26">
        <v>1</v>
      </c>
      <c r="AF42" s="26"/>
      <c r="AG42" s="26">
        <v>2.5</v>
      </c>
      <c r="AH42" s="26"/>
      <c r="AI42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8.6309239766080736E-2</v>
      </c>
      <c r="AJ42" s="24">
        <f ca="1">IFERROR(IF(Table110[[#This Row],[SKU]]="",0,Table110[[#This Row],[Quality Loss (T)]]/(Table110[[#This Row],[SOC (TPD)]]/24)),"")</f>
        <v>1.2975438596491227</v>
      </c>
      <c r="AK42" s="31">
        <f ca="1">IFERROR(IF(Table110[[#This Row],[SKU]]="",0,Table110[[#This Row],[Volume Delivered (T)]]/(Table110[[#This Row],[SOC (TPD)]]/24)),"")</f>
        <v>17.943528421052633</v>
      </c>
      <c r="AL42" s="31">
        <f ca="1">IFERROR(Table110[[#This Row],[Operating Time]]/Table110[[#This Row],[PRODUCTION HOURS]],"")</f>
        <v>0.78015340961098401</v>
      </c>
      <c r="AM42" s="32">
        <v>88</v>
      </c>
      <c r="AN42" s="32" t="s">
        <v>107</v>
      </c>
      <c r="AO42" s="32"/>
      <c r="AP42" s="32">
        <v>18</v>
      </c>
      <c r="AQ42" s="32">
        <v>19</v>
      </c>
      <c r="AR42" s="32"/>
      <c r="AS42" s="32" t="str">
        <f>IFERROR(SUMIFS(#REF!,#REF!,'Shift Wise-Data Sheet'!A:A,#REF!,"Samridhi Perk Line")/SUMIFS(#REF!,#REF!,'Shift Wise-Data Sheet'!A:A,#REF!,"Samridhi Perk Line"),"")</f>
        <v/>
      </c>
      <c r="AT42" s="32">
        <v>33</v>
      </c>
      <c r="AU42" s="32">
        <v>0</v>
      </c>
      <c r="AV42" s="211">
        <f>IFERROR(VLOOKUP(Table110[[#This Row],[Date]],'Overweight Data'!A40:G1135,6,FALSE),"")</f>
        <v>4.4401473296500897E-2</v>
      </c>
      <c r="AW42" s="221">
        <f ca="1">IFERROR(
   IF(
      OR(Table110[[#This Row],[Operating Time]]=0, (Table110[[#This Row],[Operating Time]]/IF(AD42&lt;=1,AD42+1,AD42))*60=0),
      1,
      ((Table110[[#This Row],[Operating Time]])/IF(AD42&lt;=1,AD42+1,AD42))*60
   ),
"_")</f>
        <v>1076.611705263158</v>
      </c>
      <c r="AX42" s="221">
        <f>COUNTIFS('Downtime Data'!A:A,Table110[[#This Row],[Date]])</f>
        <v>1</v>
      </c>
      <c r="AY42" s="219">
        <f>IFERROR((SUM(Table110[[#This Row],[Minor Stoppages]:[Material Shortages]])/Table110[[#This Row],['# Stops]])*60,"")</f>
        <v>210</v>
      </c>
      <c r="AZ42" s="219"/>
      <c r="BA42" s="33">
        <v>46079</v>
      </c>
    </row>
    <row r="43" spans="1:53" ht="20.149999999999999" customHeight="1" x14ac:dyDescent="0.35">
      <c r="A43" s="21">
        <v>46060</v>
      </c>
      <c r="B43" s="22" t="str">
        <f t="shared" si="1"/>
        <v>Saturday</v>
      </c>
      <c r="C43" s="22"/>
      <c r="D43" s="23" t="s">
        <v>108</v>
      </c>
      <c r="E43" s="24" cm="1">
        <f t="array" aca="1" ref="E43" ca="1">IFERROR(INDIRECT(D43),"")</f>
        <v>34.200000000000003</v>
      </c>
      <c r="F43" s="25">
        <v>28</v>
      </c>
      <c r="G43" s="26">
        <v>24.286992000000001</v>
      </c>
      <c r="H43" s="27">
        <f ca="1">IFERROR((Table110[[#This Row],[Plan]]/Table110[[#This Row],[Hours Used]])/(Table110[[#This Row],[SOC (TPD)]]/24),"")</f>
        <v>0.81871345029239773</v>
      </c>
      <c r="I43" s="27">
        <f ca="1">IFERROR((Table110[[#This Row],[Volume Delivered (T)]]/Table110[[#This Row],[Hours Used]])/(Table110[[#This Row],[SOC (TPD)]]/24),"")</f>
        <v>0.71014596491228077</v>
      </c>
      <c r="J43" s="234"/>
      <c r="K43" s="234"/>
      <c r="L43" s="28"/>
      <c r="M43" s="25">
        <v>1.823</v>
      </c>
      <c r="N43" s="29">
        <v>4.4999999999999998E-2</v>
      </c>
      <c r="O43" s="84"/>
      <c r="P43" s="25"/>
      <c r="Q43" s="25"/>
      <c r="R43" s="70">
        <v>7</v>
      </c>
      <c r="S43" s="71">
        <v>0</v>
      </c>
      <c r="T43" s="30">
        <f>IF(Table110[[#This Row],[SKU]]="",0,24-Table110[[#This Row],[Legal Non-Operating Time]]-Table110[[#This Row],[No Demand Time]]-Table110[[#This Row],[Force Majeure]])</f>
        <v>24</v>
      </c>
      <c r="U43" s="26"/>
      <c r="V43" s="26">
        <v>1</v>
      </c>
      <c r="W43" s="26"/>
      <c r="X43" s="26"/>
      <c r="Y43" s="26"/>
      <c r="Z43" s="26"/>
      <c r="AA43" s="26"/>
      <c r="AB43" s="30">
        <f>Table110[[#This Row],[Hours Used]]-SUM(Table110[[#This Row],[Planned Maintenance]:[Start and Finish Production]])</f>
        <v>23</v>
      </c>
      <c r="AC43" s="26"/>
      <c r="AD43" s="26">
        <v>4.5</v>
      </c>
      <c r="AE43" s="26"/>
      <c r="AF43" s="26"/>
      <c r="AG43" s="26"/>
      <c r="AH43" s="26"/>
      <c r="AI43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5.9066198830408943E-2</v>
      </c>
      <c r="AJ43" s="24">
        <f ca="1">IFERROR(IF(Table110[[#This Row],[SKU]]="",0,Table110[[#This Row],[Quality Loss (T)]]/(Table110[[#This Row],[SOC (TPD)]]/24)),"")</f>
        <v>1.2792982456140349</v>
      </c>
      <c r="AK43" s="31">
        <f ca="1">IFERROR(IF(Table110[[#This Row],[SKU]]="",0,Table110[[#This Row],[Volume Delivered (T)]]/(Table110[[#This Row],[SOC (TPD)]]/24)),"")</f>
        <v>17.043503157894737</v>
      </c>
      <c r="AL43" s="31">
        <f ca="1">IFERROR(Table110[[#This Row],[Operating Time]]/Table110[[#This Row],[PRODUCTION HOURS]],"")</f>
        <v>0.74102187643020589</v>
      </c>
      <c r="AM43" s="32">
        <v>90</v>
      </c>
      <c r="AN43" s="32" t="s">
        <v>107</v>
      </c>
      <c r="AO43" s="32"/>
      <c r="AP43" s="32">
        <v>7</v>
      </c>
      <c r="AQ43" s="32">
        <v>5</v>
      </c>
      <c r="AR43" s="32"/>
      <c r="AS43" s="32" t="str">
        <f>IFERROR(SUMIFS(#REF!,#REF!,'Shift Wise-Data Sheet'!A:A,#REF!,"Samridhi Perk Line")/SUMIFS(#REF!,#REF!,'Shift Wise-Data Sheet'!A:A,#REF!,"Samridhi Perk Line"),"")</f>
        <v/>
      </c>
      <c r="AT43" s="32">
        <v>12</v>
      </c>
      <c r="AU43" s="32">
        <v>0</v>
      </c>
      <c r="AV43" s="211">
        <f>IFERROR(VLOOKUP(Table110[[#This Row],[Date]],'Overweight Data'!A41:G1136,6,FALSE),"")</f>
        <v>4.5027624309392243E-2</v>
      </c>
      <c r="AW43" s="221">
        <f ca="1">IFERROR(
   IF(
      OR(Table110[[#This Row],[Operating Time]]=0, (Table110[[#This Row],[Operating Time]]/IF(AD43&lt;=1,AD43+1,AD43))*60=0),
      1,
      ((Table110[[#This Row],[Operating Time]])/IF(AD43&lt;=1,AD43+1,AD43))*60
   ),
"_")</f>
        <v>227.24670877192983</v>
      </c>
      <c r="AX43" s="221">
        <f>COUNTIFS('Downtime Data'!A:A,Table110[[#This Row],[Date]])</f>
        <v>1</v>
      </c>
      <c r="AY43" s="219">
        <f>IFERROR((SUM(Table110[[#This Row],[Minor Stoppages]:[Material Shortages]])/Table110[[#This Row],['# Stops]])*60,"")</f>
        <v>270</v>
      </c>
      <c r="AZ43" s="219"/>
      <c r="BA43" s="33">
        <v>46079</v>
      </c>
    </row>
    <row r="44" spans="1:53" ht="20.149999999999999" customHeight="1" x14ac:dyDescent="0.35">
      <c r="A44" s="21">
        <v>46061</v>
      </c>
      <c r="B44" s="22" t="str">
        <f t="shared" si="1"/>
        <v>Sunday</v>
      </c>
      <c r="C44" s="22"/>
      <c r="D44" s="23" t="s">
        <v>108</v>
      </c>
      <c r="E44" s="24" cm="1">
        <f t="array" aca="1" ref="E44" ca="1">IFERROR(INDIRECT(D44),"")</f>
        <v>34.200000000000003</v>
      </c>
      <c r="F44" s="25">
        <v>28</v>
      </c>
      <c r="G44" s="26">
        <v>27.078699999999998</v>
      </c>
      <c r="H44" s="27">
        <f ca="1">IFERROR((Table110[[#This Row],[Plan]]/Table110[[#This Row],[Hours Used]])/(Table110[[#This Row],[SOC (TPD)]]/24),"")</f>
        <v>0.81871345029239773</v>
      </c>
      <c r="I44" s="27">
        <f ca="1">IFERROR((Table110[[#This Row],[Volume Delivered (T)]]/Table110[[#This Row],[Hours Used]])/(Table110[[#This Row],[SOC (TPD)]]/24),"")</f>
        <v>0.79177485380116941</v>
      </c>
      <c r="J44" s="234"/>
      <c r="K44" s="234"/>
      <c r="L44" s="28"/>
      <c r="M44" s="25">
        <v>1.885</v>
      </c>
      <c r="N44" s="29">
        <v>4.4999999999999998E-2</v>
      </c>
      <c r="O44" s="84"/>
      <c r="P44" s="25"/>
      <c r="Q44" s="25"/>
      <c r="R44" s="70">
        <v>0</v>
      </c>
      <c r="S44" s="71">
        <v>0</v>
      </c>
      <c r="T44" s="30">
        <f>IF(Table110[[#This Row],[SKU]]="",0,24-Table110[[#This Row],[Legal Non-Operating Time]]-Table110[[#This Row],[No Demand Time]]-Table110[[#This Row],[Force Majeure]])</f>
        <v>24</v>
      </c>
      <c r="U44" s="26"/>
      <c r="V44" s="26">
        <v>0.5</v>
      </c>
      <c r="W44" s="26"/>
      <c r="X44" s="26">
        <v>2</v>
      </c>
      <c r="Y44" s="26"/>
      <c r="Z44" s="26"/>
      <c r="AA44" s="26"/>
      <c r="AB44" s="30">
        <f>Table110[[#This Row],[Hours Used]]-SUM(Table110[[#This Row],[Planned Maintenance]:[Start and Finish Production]])</f>
        <v>21.5</v>
      </c>
      <c r="AC44" s="26">
        <v>0.72070131944444404</v>
      </c>
      <c r="AD44" s="26"/>
      <c r="AE44" s="26"/>
      <c r="AF44" s="26"/>
      <c r="AG44" s="26"/>
      <c r="AH44" s="26"/>
      <c r="AI44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0.15129839059454278</v>
      </c>
      <c r="AJ44" s="24">
        <f ca="1">IFERROR(IF(Table110[[#This Row],[SKU]]="",0,Table110[[#This Row],[Quality Loss (T)]]/(Table110[[#This Row],[SOC (TPD)]]/24)),"")</f>
        <v>1.3228070175438595</v>
      </c>
      <c r="AK44" s="31">
        <f ca="1">IFERROR(IF(Table110[[#This Row],[SKU]]="",0,Table110[[#This Row],[Volume Delivered (T)]]/(Table110[[#This Row],[SOC (TPD)]]/24)),"")</f>
        <v>19.002596491228068</v>
      </c>
      <c r="AL44" s="31">
        <f ca="1">IFERROR(Table110[[#This Row],[Operating Time]]/Table110[[#This Row],[PRODUCTION HOURS]],"")</f>
        <v>0.88384169726642181</v>
      </c>
      <c r="AM44" s="32">
        <v>94</v>
      </c>
      <c r="AN44" s="32" t="s">
        <v>107</v>
      </c>
      <c r="AO44" s="32"/>
      <c r="AP44" s="32">
        <v>0</v>
      </c>
      <c r="AQ44" s="32">
        <v>0</v>
      </c>
      <c r="AR44" s="32"/>
      <c r="AS44" s="32" t="str">
        <f>IFERROR(SUMIFS(#REF!,#REF!,'Shift Wise-Data Sheet'!A:A,#REF!,"Samridhi Perk Line")/SUMIFS(#REF!,#REF!,'Shift Wise-Data Sheet'!A:A,#REF!,"Samridhi Perk Line"),"")</f>
        <v/>
      </c>
      <c r="AT44" s="32">
        <v>10</v>
      </c>
      <c r="AU44" s="32">
        <v>0</v>
      </c>
      <c r="AV44" s="211">
        <f>IFERROR(VLOOKUP(Table110[[#This Row],[Date]],'Overweight Data'!A42:G1137,6,FALSE),"")</f>
        <v>3.9049030742872547E-2</v>
      </c>
      <c r="AW44" s="221">
        <f ca="1">IFERROR(
   IF(
      OR(Table110[[#This Row],[Operating Time]]=0, (Table110[[#This Row],[Operating Time]]/IF(AD44&lt;=1,AD44+1,AD44))*60=0),
      1,
      ((Table110[[#This Row],[Operating Time]])/IF(AD44&lt;=1,AD44+1,AD44))*60
   ),
"_")</f>
        <v>1140.1557894736841</v>
      </c>
      <c r="AX44" s="221">
        <f>COUNTIFS('Downtime Data'!A:A,Table110[[#This Row],[Date]])</f>
        <v>1</v>
      </c>
      <c r="AY44" s="219">
        <f>IFERROR((SUM(Table110[[#This Row],[Minor Stoppages]:[Material Shortages]])/Table110[[#This Row],['# Stops]])*60,"")</f>
        <v>43.242079166666642</v>
      </c>
      <c r="AZ44" s="219"/>
      <c r="BA44" s="33">
        <v>46079</v>
      </c>
    </row>
    <row r="45" spans="1:53" ht="20.149999999999999" customHeight="1" x14ac:dyDescent="0.35">
      <c r="A45" s="21">
        <v>46062</v>
      </c>
      <c r="B45" s="22" t="str">
        <f t="shared" si="1"/>
        <v>Monday</v>
      </c>
      <c r="C45" s="22"/>
      <c r="D45" s="23" t="s">
        <v>108</v>
      </c>
      <c r="E45" s="24" cm="1">
        <f t="array" aca="1" ref="E45" ca="1">IFERROR(INDIRECT(D45),"")</f>
        <v>34.200000000000003</v>
      </c>
      <c r="F45" s="25">
        <v>28</v>
      </c>
      <c r="G45" s="26">
        <v>26.074651999999997</v>
      </c>
      <c r="H45" s="27">
        <f ca="1">IFERROR((Table110[[#This Row],[Plan]]/Table110[[#This Row],[Hours Used]])/(Table110[[#This Row],[SOC (TPD)]]/24),"")</f>
        <v>0.81871345029239773</v>
      </c>
      <c r="I45" s="27">
        <f ca="1">IFERROR((Table110[[#This Row],[Volume Delivered (T)]]/Table110[[#This Row],[Hours Used]])/(Table110[[#This Row],[SOC (TPD)]]/24),"")</f>
        <v>0.76241672514619874</v>
      </c>
      <c r="J45" s="234"/>
      <c r="K45" s="234"/>
      <c r="L45" s="28"/>
      <c r="M45" s="25">
        <v>1.3069999999999999</v>
      </c>
      <c r="N45" s="29">
        <v>4.4999999999999998E-2</v>
      </c>
      <c r="O45" s="84"/>
      <c r="P45" s="25"/>
      <c r="Q45" s="25"/>
      <c r="R45" s="70">
        <v>0</v>
      </c>
      <c r="S45" s="71">
        <v>0</v>
      </c>
      <c r="T45" s="30">
        <f>IF(Table110[[#This Row],[SKU]]="",0,24-Table110[[#This Row],[Legal Non-Operating Time]]-Table110[[#This Row],[No Demand Time]]-Table110[[#This Row],[Force Majeure]])</f>
        <v>24</v>
      </c>
      <c r="U45" s="26"/>
      <c r="V45" s="26">
        <v>0.8</v>
      </c>
      <c r="W45" s="26"/>
      <c r="X45" s="26"/>
      <c r="Y45" s="26"/>
      <c r="Z45" s="26"/>
      <c r="AA45" s="26"/>
      <c r="AB45" s="30">
        <f>Table110[[#This Row],[Hours Used]]-SUM(Table110[[#This Row],[Planned Maintenance]:[Start and Finish Production]])</f>
        <v>23.2</v>
      </c>
      <c r="AC45" s="26">
        <v>0.45703465277777872</v>
      </c>
      <c r="AD45" s="26"/>
      <c r="AE45" s="26">
        <v>1</v>
      </c>
      <c r="AF45" s="26"/>
      <c r="AG45" s="26">
        <v>2.5</v>
      </c>
      <c r="AH45" s="26"/>
      <c r="AI45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9.256987085770163E-3</v>
      </c>
      <c r="AJ45" s="24">
        <f ca="1">IFERROR(IF(Table110[[#This Row],[SKU]]="",0,Table110[[#This Row],[Quality Loss (T)]]/(Table110[[#This Row],[SOC (TPD)]]/24)),"")</f>
        <v>0.91719298245614023</v>
      </c>
      <c r="AK45" s="31">
        <f ca="1">IFERROR(IF(Table110[[#This Row],[SKU]]="",0,Table110[[#This Row],[Volume Delivered (T)]]/(Table110[[#This Row],[SOC (TPD)]]/24)),"")</f>
        <v>18.298001403508771</v>
      </c>
      <c r="AL45" s="31">
        <f ca="1">IFERROR(Table110[[#This Row],[Operating Time]]/Table110[[#This Row],[PRODUCTION HOURS]],"")</f>
        <v>0.78870695704779181</v>
      </c>
      <c r="AM45" s="32">
        <v>83</v>
      </c>
      <c r="AN45" s="32" t="s">
        <v>107</v>
      </c>
      <c r="AO45" s="32" t="s">
        <v>107</v>
      </c>
      <c r="AP45" s="32">
        <v>0</v>
      </c>
      <c r="AQ45" s="32">
        <v>0</v>
      </c>
      <c r="AR45" s="32"/>
      <c r="AS45" s="32" t="str">
        <f>IFERROR(SUMIFS(#REF!,#REF!,'Shift Wise-Data Sheet'!A:A,#REF!,"Samridhi Perk Line")/SUMIFS(#REF!,#REF!,'Shift Wise-Data Sheet'!A:A,#REF!,"Samridhi Perk Line"),"")</f>
        <v/>
      </c>
      <c r="AT45" s="32">
        <v>17</v>
      </c>
      <c r="AU45" s="32">
        <v>0</v>
      </c>
      <c r="AV45" s="211">
        <f>IFERROR(VLOOKUP(Table110[[#This Row],[Date]],'Overweight Data'!A43:G1138,6,FALSE),"")</f>
        <v>3.3344947735191609E-2</v>
      </c>
      <c r="AW45" s="221">
        <f ca="1">IFERROR(
   IF(
      OR(Table110[[#This Row],[Operating Time]]=0, (Table110[[#This Row],[Operating Time]]/IF(AD45&lt;=1,AD45+1,AD45))*60=0),
      1,
      ((Table110[[#This Row],[Operating Time]])/IF(AD45&lt;=1,AD45+1,AD45))*60
   ),
"_")</f>
        <v>1097.8800842105263</v>
      </c>
      <c r="AX45" s="221">
        <f>COUNTIFS('Downtime Data'!A:A,Table110[[#This Row],[Date]])</f>
        <v>1</v>
      </c>
      <c r="AY45" s="219">
        <f>IFERROR((SUM(Table110[[#This Row],[Minor Stoppages]:[Material Shortages]])/Table110[[#This Row],['# Stops]])*60,"")</f>
        <v>237.42207916666672</v>
      </c>
      <c r="AZ45" s="219"/>
      <c r="BA45" s="33">
        <v>46079</v>
      </c>
    </row>
    <row r="46" spans="1:53" ht="20.149999999999999" customHeight="1" x14ac:dyDescent="0.35">
      <c r="A46" s="21">
        <v>46063</v>
      </c>
      <c r="B46" s="22" t="str">
        <f t="shared" si="1"/>
        <v>Tuesday</v>
      </c>
      <c r="C46" s="22"/>
      <c r="D46" s="23" t="s">
        <v>108</v>
      </c>
      <c r="E46" s="24" cm="1">
        <f t="array" aca="1" ref="E46" ca="1">IFERROR(INDIRECT(D46),"")</f>
        <v>34.200000000000003</v>
      </c>
      <c r="F46" s="25">
        <v>28</v>
      </c>
      <c r="G46" s="26">
        <v>23.8</v>
      </c>
      <c r="H46" s="27">
        <f ca="1">IFERROR((Table110[[#This Row],[Plan]]/Table110[[#This Row],[Hours Used]])/(Table110[[#This Row],[SOC (TPD)]]/24),"")</f>
        <v>0.81871345029239773</v>
      </c>
      <c r="I46" s="27">
        <f ca="1">IFERROR((Table110[[#This Row],[Volume Delivered (T)]]/Table110[[#This Row],[Hours Used]])/(Table110[[#This Row],[SOC (TPD)]]/24),"")</f>
        <v>0.69590643274853803</v>
      </c>
      <c r="J46" s="234"/>
      <c r="K46" s="234"/>
      <c r="L46" s="28"/>
      <c r="M46" s="25">
        <v>1.419</v>
      </c>
      <c r="N46" s="29">
        <v>4.5999999999999999E-2</v>
      </c>
      <c r="O46" s="84"/>
      <c r="P46" s="25"/>
      <c r="Q46" s="25"/>
      <c r="R46" s="70">
        <v>0</v>
      </c>
      <c r="S46" s="71">
        <v>0</v>
      </c>
      <c r="T46" s="30">
        <f>IF(Table110[[#This Row],[SKU]]="",0,24-Table110[[#This Row],[Legal Non-Operating Time]]-Table110[[#This Row],[No Demand Time]]-Table110[[#This Row],[Force Majeure]])</f>
        <v>24</v>
      </c>
      <c r="U46" s="26"/>
      <c r="V46" s="26">
        <v>0.9</v>
      </c>
      <c r="W46" s="26"/>
      <c r="X46" s="26"/>
      <c r="Y46" s="26"/>
      <c r="Z46" s="26"/>
      <c r="AA46" s="26"/>
      <c r="AB46" s="30">
        <f>Table110[[#This Row],[Hours Used]]-SUM(Table110[[#This Row],[Planned Maintenance]:[Start and Finish Production]])</f>
        <v>23.1</v>
      </c>
      <c r="AC46" s="26">
        <v>0.1</v>
      </c>
      <c r="AD46" s="26"/>
      <c r="AE46" s="26"/>
      <c r="AF46" s="26">
        <v>3.1</v>
      </c>
      <c r="AG46" s="26">
        <v>2.2000000000000002</v>
      </c>
      <c r="AH46" s="26"/>
      <c r="AI46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8.1871345029327358E-4</v>
      </c>
      <c r="AJ46" s="24">
        <f ca="1">IFERROR(IF(Table110[[#This Row],[SKU]]="",0,Table110[[#This Row],[Quality Loss (T)]]/(Table110[[#This Row],[SOC (TPD)]]/24)),"")</f>
        <v>0.99578947368421056</v>
      </c>
      <c r="AK46" s="31">
        <f ca="1">IFERROR(IF(Table110[[#This Row],[SKU]]="",0,Table110[[#This Row],[Volume Delivered (T)]]/(Table110[[#This Row],[SOC (TPD)]]/24)),"")</f>
        <v>16.701754385964911</v>
      </c>
      <c r="AL46" s="31">
        <f ca="1">IFERROR(Table110[[#This Row],[Operating Time]]/Table110[[#This Row],[PRODUCTION HOURS]],"")</f>
        <v>0.72301967038809134</v>
      </c>
      <c r="AM46" s="32">
        <v>64</v>
      </c>
      <c r="AN46" s="32" t="s">
        <v>107</v>
      </c>
      <c r="AO46" s="32" t="s">
        <v>105</v>
      </c>
      <c r="AP46" s="32">
        <v>0</v>
      </c>
      <c r="AQ46" s="32">
        <v>0</v>
      </c>
      <c r="AR46" s="32"/>
      <c r="AS46" s="32" t="str">
        <f>IFERROR(SUMIFS(#REF!,#REF!,'Shift Wise-Data Sheet'!A:A,#REF!,"Samridhi Perk Line")/SUMIFS(#REF!,#REF!,'Shift Wise-Data Sheet'!A:A,#REF!,"Samridhi Perk Line"),"")</f>
        <v/>
      </c>
      <c r="AT46" s="32">
        <v>28</v>
      </c>
      <c r="AU46" s="32">
        <v>0</v>
      </c>
      <c r="AV46" s="211">
        <f>IFERROR(VLOOKUP(Table110[[#This Row],[Date]],'Overweight Data'!A44:G1139,6,FALSE),"")</f>
        <v>2.462833914053424E-2</v>
      </c>
      <c r="AW46" s="221">
        <f ca="1">IFERROR(
   IF(
      OR(Table110[[#This Row],[Operating Time]]=0, (Table110[[#This Row],[Operating Time]]/IF(AD46&lt;=1,AD46+1,AD46))*60=0),
      1,
      ((Table110[[#This Row],[Operating Time]])/IF(AD46&lt;=1,AD46+1,AD46))*60
   ),
"_")</f>
        <v>1002.1052631578947</v>
      </c>
      <c r="AX46" s="221">
        <f>COUNTIFS('Downtime Data'!A:A,Table110[[#This Row],[Date]])</f>
        <v>1</v>
      </c>
      <c r="AY46" s="219">
        <f>IFERROR((SUM(Table110[[#This Row],[Minor Stoppages]:[Material Shortages]])/Table110[[#This Row],['# Stops]])*60,"")</f>
        <v>324</v>
      </c>
      <c r="AZ46" s="219"/>
      <c r="BA46" s="33">
        <v>46079</v>
      </c>
    </row>
    <row r="47" spans="1:53" ht="20.149999999999999" customHeight="1" x14ac:dyDescent="0.35">
      <c r="A47" s="21">
        <v>46064</v>
      </c>
      <c r="B47" s="22" t="str">
        <f t="shared" si="1"/>
        <v>Wednesday</v>
      </c>
      <c r="C47" s="22"/>
      <c r="D47" s="23" t="s">
        <v>108</v>
      </c>
      <c r="E47" s="24" cm="1">
        <f t="array" aca="1" ref="E47" ca="1">IFERROR(INDIRECT(D47),"")</f>
        <v>34.200000000000003</v>
      </c>
      <c r="F47" s="25">
        <v>27</v>
      </c>
      <c r="G47" s="26">
        <v>22.2</v>
      </c>
      <c r="H47" s="27">
        <f ca="1">IFERROR((Table110[[#This Row],[Plan]]/Table110[[#This Row],[Hours Used]])/(Table110[[#This Row],[SOC (TPD)]]/24),"")</f>
        <v>0.78947368421052633</v>
      </c>
      <c r="I47" s="27">
        <f ca="1">IFERROR((Table110[[#This Row],[Volume Delivered (T)]]/Table110[[#This Row],[Hours Used]])/(Table110[[#This Row],[SOC (TPD)]]/24),"")</f>
        <v>0.64912280701754377</v>
      </c>
      <c r="J47" s="234"/>
      <c r="K47" s="234"/>
      <c r="L47" s="28"/>
      <c r="M47" s="25">
        <v>1.589</v>
      </c>
      <c r="N47" s="29">
        <v>4.5999999999999999E-2</v>
      </c>
      <c r="O47" s="84">
        <v>36</v>
      </c>
      <c r="P47" s="25"/>
      <c r="Q47" s="25">
        <v>4</v>
      </c>
      <c r="R47" s="70">
        <v>0</v>
      </c>
      <c r="S47" s="71">
        <v>0</v>
      </c>
      <c r="T47" s="30">
        <f>IF(Table110[[#This Row],[SKU]]="",0,24-Table110[[#This Row],[Legal Non-Operating Time]]-Table110[[#This Row],[No Demand Time]]-Table110[[#This Row],[Force Majeure]])</f>
        <v>24</v>
      </c>
      <c r="U47" s="26">
        <v>1</v>
      </c>
      <c r="V47" s="26"/>
      <c r="W47" s="26"/>
      <c r="X47" s="26"/>
      <c r="Y47" s="26"/>
      <c r="Z47" s="26"/>
      <c r="AA47" s="26"/>
      <c r="AB47" s="30">
        <f>Table110[[#This Row],[Hours Used]]-SUM(Table110[[#This Row],[Planned Maintenance]:[Start and Finish Production]])</f>
        <v>23</v>
      </c>
      <c r="AC47" s="26">
        <v>0.2506066666666667</v>
      </c>
      <c r="AD47" s="26">
        <v>5.5</v>
      </c>
      <c r="AE47" s="26"/>
      <c r="AF47" s="26"/>
      <c r="AG47" s="26">
        <v>0.5</v>
      </c>
      <c r="AH47" s="26"/>
      <c r="AI47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1.8452748538012525E-2</v>
      </c>
      <c r="AJ47" s="24">
        <f ca="1">IFERROR(IF(Table110[[#This Row],[SKU]]="",0,Table110[[#This Row],[Quality Loss (T)]]/(Table110[[#This Row],[SOC (TPD)]]/24)),"")</f>
        <v>1.1150877192982456</v>
      </c>
      <c r="AK47" s="31">
        <f ca="1">IFERROR(IF(Table110[[#This Row],[SKU]]="",0,Table110[[#This Row],[Volume Delivered (T)]]/(Table110[[#This Row],[SOC (TPD)]]/24)),"")</f>
        <v>15.578947368421051</v>
      </c>
      <c r="AL47" s="31">
        <f ca="1">IFERROR(Table110[[#This Row],[Operating Time]]/Table110[[#This Row],[PRODUCTION HOURS]],"")</f>
        <v>0.677345537757437</v>
      </c>
      <c r="AM47" s="32">
        <v>64</v>
      </c>
      <c r="AN47" s="32" t="s">
        <v>107</v>
      </c>
      <c r="AO47" s="32" t="s">
        <v>105</v>
      </c>
      <c r="AP47" s="32">
        <v>0</v>
      </c>
      <c r="AQ47" s="32">
        <v>3</v>
      </c>
      <c r="AR47" s="32"/>
      <c r="AS47" s="32" t="str">
        <f>IFERROR(SUMIFS(#REF!,#REF!,'Shift Wise-Data Sheet'!A:A,#REF!,"Samridhi Perk Line")/SUMIFS(#REF!,#REF!,'Shift Wise-Data Sheet'!A:A,#REF!,"Samridhi Perk Line"),"")</f>
        <v/>
      </c>
      <c r="AT47" s="32">
        <v>10</v>
      </c>
      <c r="AU47" s="32">
        <v>0</v>
      </c>
      <c r="AV47" s="211" t="str">
        <f>IFERROR(VLOOKUP(Table110[[#This Row],[Date]],'Overweight Data'!A45:G1140,6,FALSE),"")</f>
        <v/>
      </c>
      <c r="AW47" s="221">
        <f ca="1">IFERROR(
   IF(
      OR(Table110[[#This Row],[Operating Time]]=0, (Table110[[#This Row],[Operating Time]]/IF(AD47&lt;=1,AD47+1,AD47))*60=0),
      1,
      ((Table110[[#This Row],[Operating Time]])/IF(AD47&lt;=1,AD47+1,AD47))*60
   ),
"_")</f>
        <v>169.95215311004782</v>
      </c>
      <c r="AX47" s="221">
        <f>COUNTIFS('Downtime Data'!A:A,Table110[[#This Row],[Date]])</f>
        <v>1</v>
      </c>
      <c r="AY47" s="219">
        <f>IFERROR((SUM(Table110[[#This Row],[Minor Stoppages]:[Material Shortages]])/Table110[[#This Row],['# Stops]])*60,"")</f>
        <v>375.03640000000001</v>
      </c>
      <c r="AZ47" s="219"/>
      <c r="BA47" s="33">
        <v>46079</v>
      </c>
    </row>
    <row r="48" spans="1:53" ht="20.149999999999999" customHeight="1" x14ac:dyDescent="0.35">
      <c r="A48" s="21">
        <v>46065</v>
      </c>
      <c r="B48" s="22" t="str">
        <f t="shared" si="1"/>
        <v>Thursday</v>
      </c>
      <c r="C48" s="22"/>
      <c r="D48" s="23" t="s">
        <v>108</v>
      </c>
      <c r="E48" s="24" cm="1">
        <f t="array" aca="1" ref="E48" ca="1">IFERROR(INDIRECT(D48),"")</f>
        <v>34.200000000000003</v>
      </c>
      <c r="F48" s="25"/>
      <c r="G48" s="26">
        <v>24.057955999999997</v>
      </c>
      <c r="H48" s="27">
        <f ca="1">IFERROR((Table110[[#This Row],[Plan]]/Table110[[#This Row],[Hours Used]])/(Table110[[#This Row],[SOC (TPD)]]/24),"")</f>
        <v>0</v>
      </c>
      <c r="I48" s="27">
        <f ca="1">IFERROR((Table110[[#This Row],[Volume Delivered (T)]]/Table110[[#This Row],[Hours Used]])/(Table110[[#This Row],[SOC (TPD)]]/24),"")</f>
        <v>0.70344900584795311</v>
      </c>
      <c r="J48" s="234"/>
      <c r="K48" s="234"/>
      <c r="L48" s="28"/>
      <c r="M48" s="25">
        <v>2.0710000000000002</v>
      </c>
      <c r="N48" s="29">
        <v>4.5999999999999999E-2</v>
      </c>
      <c r="O48" s="84"/>
      <c r="P48" s="25"/>
      <c r="Q48" s="25"/>
      <c r="R48" s="70">
        <v>0</v>
      </c>
      <c r="S48" s="71">
        <v>0</v>
      </c>
      <c r="T48" s="30">
        <f>IF(Table110[[#This Row],[SKU]]="",0,24-Table110[[#This Row],[Legal Non-Operating Time]]-Table110[[#This Row],[No Demand Time]]-Table110[[#This Row],[Force Majeure]])</f>
        <v>24</v>
      </c>
      <c r="U48" s="26">
        <v>1</v>
      </c>
      <c r="V48" s="26">
        <v>0.3</v>
      </c>
      <c r="W48" s="26"/>
      <c r="X48" s="26">
        <v>0.5</v>
      </c>
      <c r="Y48" s="26"/>
      <c r="Z48" s="26"/>
      <c r="AA48" s="26"/>
      <c r="AB48" s="30">
        <f>Table110[[#This Row],[Hours Used]]-SUM(Table110[[#This Row],[Planned Maintenance]:[Start and Finish Production]])</f>
        <v>22.2</v>
      </c>
      <c r="AC48" s="26"/>
      <c r="AD48" s="26">
        <v>0.6</v>
      </c>
      <c r="AE48" s="26">
        <v>1.1000000000000001</v>
      </c>
      <c r="AF48" s="26"/>
      <c r="AG48" s="26">
        <v>2.2000000000000002</v>
      </c>
      <c r="AH48" s="26"/>
      <c r="AI48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-1.2036491228069934E-2</v>
      </c>
      <c r="AJ48" s="24">
        <f ca="1">IFERROR(IF(Table110[[#This Row],[SKU]]="",0,Table110[[#This Row],[Quality Loss (T)]]/(Table110[[#This Row],[SOC (TPD)]]/24)),"")</f>
        <v>1.4533333333333334</v>
      </c>
      <c r="AK48" s="31">
        <f ca="1">IFERROR(IF(Table110[[#This Row],[SKU]]="",0,Table110[[#This Row],[Volume Delivered (T)]]/(Table110[[#This Row],[SOC (TPD)]]/24)),"")</f>
        <v>16.882776140350874</v>
      </c>
      <c r="AL48" s="31">
        <f ca="1">IFERROR(Table110[[#This Row],[Operating Time]]/Table110[[#This Row],[PRODUCTION HOURS]],"")</f>
        <v>0.76048541172751682</v>
      </c>
      <c r="AM48" s="32">
        <v>64</v>
      </c>
      <c r="AN48" s="32" t="s">
        <v>107</v>
      </c>
      <c r="AO48" s="32" t="s">
        <v>105</v>
      </c>
      <c r="AP48" s="32">
        <v>0</v>
      </c>
      <c r="AQ48" s="32">
        <v>0</v>
      </c>
      <c r="AR48" s="32"/>
      <c r="AS48" s="32" t="str">
        <f>IFERROR(SUMIFS(#REF!,#REF!,'Shift Wise-Data Sheet'!A:A,#REF!,"Samridhi Perk Line")/SUMIFS(#REF!,#REF!,'Shift Wise-Data Sheet'!A:A,#REF!,"Samridhi Perk Line"),"")</f>
        <v/>
      </c>
      <c r="AT48" s="32">
        <v>17</v>
      </c>
      <c r="AU48" s="32">
        <v>0</v>
      </c>
      <c r="AV48" s="211">
        <f>IFERROR(VLOOKUP(Table110[[#This Row],[Date]],'Overweight Data'!A46:G1141,6,FALSE),"")</f>
        <v>2.0438620132057654E-2</v>
      </c>
      <c r="AW48" s="221">
        <f ca="1">IFERROR(
   IF(
      OR(Table110[[#This Row],[Operating Time]]=0, (Table110[[#This Row],[Operating Time]]/IF(AD48&lt;=1,AD48+1,AD48))*60=0),
      1,
      ((Table110[[#This Row],[Operating Time]])/IF(AD48&lt;=1,AD48+1,AD48))*60
   ),
"_")</f>
        <v>633.10410526315775</v>
      </c>
      <c r="AX48" s="221">
        <f>COUNTIFS('Downtime Data'!A:A,Table110[[#This Row],[Date]])</f>
        <v>2</v>
      </c>
      <c r="AY48" s="219">
        <f>IFERROR((SUM(Table110[[#This Row],[Minor Stoppages]:[Material Shortages]])/Table110[[#This Row],['# Stops]])*60,"")</f>
        <v>117.00000000000001</v>
      </c>
      <c r="AZ48" s="219"/>
      <c r="BA48" s="33">
        <v>46079</v>
      </c>
    </row>
    <row r="49" spans="1:53" ht="20.149999999999999" customHeight="1" x14ac:dyDescent="0.35">
      <c r="A49" s="21">
        <v>46066</v>
      </c>
      <c r="B49" s="22" t="str">
        <f t="shared" si="1"/>
        <v>Friday</v>
      </c>
      <c r="C49" s="22"/>
      <c r="D49" s="23" t="s">
        <v>108</v>
      </c>
      <c r="E49" s="24" cm="1">
        <f t="array" aca="1" ref="E49" ca="1">IFERROR(INDIRECT(D49),"")</f>
        <v>34.200000000000003</v>
      </c>
      <c r="F49" s="25">
        <v>28</v>
      </c>
      <c r="G49" s="26">
        <v>29.1</v>
      </c>
      <c r="H49" s="27">
        <f ca="1">IFERROR((Table110[[#This Row],[Plan]]/Table110[[#This Row],[Hours Used]])/(Table110[[#This Row],[SOC (TPD)]]/24),"")</f>
        <v>0.81871345029239773</v>
      </c>
      <c r="I49" s="27">
        <f ca="1">IFERROR((Table110[[#This Row],[Volume Delivered (T)]]/Table110[[#This Row],[Hours Used]])/(Table110[[#This Row],[SOC (TPD)]]/24),"")</f>
        <v>0.85087719298245623</v>
      </c>
      <c r="J49" s="234"/>
      <c r="K49" s="234"/>
      <c r="L49" s="28"/>
      <c r="M49" s="25">
        <v>1.774</v>
      </c>
      <c r="N49" s="29">
        <v>4.7E-2</v>
      </c>
      <c r="O49" s="84">
        <v>39</v>
      </c>
      <c r="P49" s="25"/>
      <c r="Q49" s="25">
        <v>2</v>
      </c>
      <c r="R49" s="70">
        <v>1</v>
      </c>
      <c r="S49" s="71">
        <v>1</v>
      </c>
      <c r="T49" s="30">
        <f>IF(Table110[[#This Row],[SKU]]="",0,24-Table110[[#This Row],[Legal Non-Operating Time]]-Table110[[#This Row],[No Demand Time]]-Table110[[#This Row],[Force Majeure]])</f>
        <v>24</v>
      </c>
      <c r="U49" s="26"/>
      <c r="V49" s="26">
        <v>0.4</v>
      </c>
      <c r="W49" s="26"/>
      <c r="X49" s="26">
        <v>0.5</v>
      </c>
      <c r="Y49" s="26"/>
      <c r="Z49" s="26"/>
      <c r="AA49" s="26"/>
      <c r="AB49" s="30">
        <f>Table110[[#This Row],[Hours Used]]-SUM(Table110[[#This Row],[Planned Maintenance]:[Start and Finish Production]])</f>
        <v>23.1</v>
      </c>
      <c r="AC49" s="26"/>
      <c r="AD49" s="26"/>
      <c r="AE49" s="26">
        <v>1.4</v>
      </c>
      <c r="AF49" s="26"/>
      <c r="AG49" s="26"/>
      <c r="AH49" s="26"/>
      <c r="AI49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1.1345029239766546E-2</v>
      </c>
      <c r="AJ49" s="24">
        <f ca="1">IFERROR(IF(Table110[[#This Row],[SKU]]="",0,Table110[[#This Row],[Quality Loss (T)]]/(Table110[[#This Row],[SOC (TPD)]]/24)),"")</f>
        <v>1.2449122807017543</v>
      </c>
      <c r="AK49" s="31">
        <f ca="1">IFERROR(IF(Table110[[#This Row],[SKU]]="",0,Table110[[#This Row],[Volume Delivered (T)]]/(Table110[[#This Row],[SOC (TPD)]]/24)),"")</f>
        <v>20.421052631578949</v>
      </c>
      <c r="AL49" s="31">
        <f ca="1">IFERROR(Table110[[#This Row],[Operating Time]]/Table110[[#This Row],[PRODUCTION HOURS]],"")</f>
        <v>0.88402825244930505</v>
      </c>
      <c r="AM49" s="32">
        <v>86</v>
      </c>
      <c r="AN49" s="32" t="s">
        <v>107</v>
      </c>
      <c r="AO49" s="32" t="s">
        <v>105</v>
      </c>
      <c r="AP49" s="32">
        <v>19</v>
      </c>
      <c r="AQ49" s="32">
        <v>18</v>
      </c>
      <c r="AR49" s="32"/>
      <c r="AS49" s="32" t="str">
        <f>IFERROR(SUMIFS(#REF!,#REF!,'Shift Wise-Data Sheet'!A:A,#REF!,"Samridhi Perk Line")/SUMIFS(#REF!,#REF!,'Shift Wise-Data Sheet'!A:A,#REF!,"Samridhi Perk Line"),"")</f>
        <v/>
      </c>
      <c r="AT49" s="32">
        <v>8</v>
      </c>
      <c r="AU49" s="32">
        <v>0</v>
      </c>
      <c r="AV49" s="211">
        <f>IFERROR(VLOOKUP(Table110[[#This Row],[Date]],'Overweight Data'!A47:G1142,6,FALSE),"")</f>
        <v>2.7357274401473328E-2</v>
      </c>
      <c r="AW49" s="221">
        <f ca="1">IFERROR(
   IF(
      OR(Table110[[#This Row],[Operating Time]]=0, (Table110[[#This Row],[Operating Time]]/IF(AD49&lt;=1,AD49+1,AD49))*60=0),
      1,
      ((Table110[[#This Row],[Operating Time]])/IF(AD49&lt;=1,AD49+1,AD49))*60
   ),
"_")</f>
        <v>1225.2631578947369</v>
      </c>
      <c r="AX49" s="221">
        <f>COUNTIFS('Downtime Data'!A:A,Table110[[#This Row],[Date]])</f>
        <v>0</v>
      </c>
      <c r="AY49" s="219" t="str">
        <f>IFERROR((SUM(Table110[[#This Row],[Minor Stoppages]:[Material Shortages]])/Table110[[#This Row],['# Stops]])*60,"")</f>
        <v/>
      </c>
      <c r="AZ49" s="219"/>
      <c r="BA49" s="33">
        <v>46079</v>
      </c>
    </row>
    <row r="50" spans="1:53" ht="20.149999999999999" customHeight="1" x14ac:dyDescent="0.35">
      <c r="A50" s="21">
        <v>46067</v>
      </c>
      <c r="B50" s="22" t="str">
        <f t="shared" si="1"/>
        <v>Saturday</v>
      </c>
      <c r="C50" s="22"/>
      <c r="D50" s="23" t="s">
        <v>108</v>
      </c>
      <c r="E50" s="24" cm="1">
        <f t="array" aca="1" ref="E50" ca="1">IFERROR(INDIRECT(D50),"")</f>
        <v>34.200000000000003</v>
      </c>
      <c r="F50" s="25">
        <v>28</v>
      </c>
      <c r="G50" s="26">
        <v>22.2</v>
      </c>
      <c r="H50" s="27">
        <f ca="1">IFERROR((Table110[[#This Row],[Plan]]/Table110[[#This Row],[Hours Used]])/(Table110[[#This Row],[SOC (TPD)]]/24),"")</f>
        <v>0.81871345029239773</v>
      </c>
      <c r="I50" s="27">
        <f ca="1">IFERROR((Table110[[#This Row],[Volume Delivered (T)]]/Table110[[#This Row],[Hours Used]])/(Table110[[#This Row],[SOC (TPD)]]/24),"")</f>
        <v>0.64912280701754377</v>
      </c>
      <c r="J50" s="234"/>
      <c r="K50" s="234"/>
      <c r="L50" s="28"/>
      <c r="M50" s="25">
        <v>1.1639999999999999</v>
      </c>
      <c r="N50" s="29">
        <v>4.5999999999999999E-2</v>
      </c>
      <c r="O50" s="84">
        <v>35</v>
      </c>
      <c r="P50" s="25"/>
      <c r="Q50" s="25"/>
      <c r="R50" s="70">
        <v>6</v>
      </c>
      <c r="S50" s="71">
        <v>6</v>
      </c>
      <c r="T50" s="30">
        <f>IF(Table110[[#This Row],[SKU]]="",0,24-Table110[[#This Row],[Legal Non-Operating Time]]-Table110[[#This Row],[No Demand Time]]-Table110[[#This Row],[Force Majeure]])</f>
        <v>24</v>
      </c>
      <c r="U50" s="26">
        <v>1</v>
      </c>
      <c r="V50" s="26"/>
      <c r="W50" s="26">
        <v>8.5</v>
      </c>
      <c r="X50" s="26"/>
      <c r="Y50" s="26"/>
      <c r="Z50" s="26"/>
      <c r="AA50" s="26"/>
      <c r="AB50" s="30">
        <f>Table110[[#This Row],[Hours Used]]-SUM(Table110[[#This Row],[Planned Maintenance]:[Start and Finish Production]])</f>
        <v>14.5</v>
      </c>
      <c r="AC50" s="26">
        <v>0.25860465277777739</v>
      </c>
      <c r="AD50" s="26">
        <v>0.9</v>
      </c>
      <c r="AE50" s="26">
        <v>1.5</v>
      </c>
      <c r="AF50" s="26"/>
      <c r="AG50" s="26"/>
      <c r="AH50" s="26"/>
      <c r="AI50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-1.5181313754873287</v>
      </c>
      <c r="AJ50" s="24">
        <f ca="1">IFERROR(IF(Table110[[#This Row],[SKU]]="",0,Table110[[#This Row],[Quality Loss (T)]]/(Table110[[#This Row],[SOC (TPD)]]/24)),"")</f>
        <v>0.81684210526315781</v>
      </c>
      <c r="AK50" s="31">
        <f ca="1">IFERROR(IF(Table110[[#This Row],[SKU]]="",0,Table110[[#This Row],[Volume Delivered (T)]]/(Table110[[#This Row],[SOC (TPD)]]/24)),"")</f>
        <v>15.578947368421051</v>
      </c>
      <c r="AL50" s="31">
        <f ca="1">IFERROR(Table110[[#This Row],[Operating Time]]/Table110[[#This Row],[PRODUCTION HOURS]],"")</f>
        <v>1.0744101633393828</v>
      </c>
      <c r="AM50" s="32">
        <v>88</v>
      </c>
      <c r="AN50" s="32" t="s">
        <v>105</v>
      </c>
      <c r="AO50" s="32" t="s">
        <v>105</v>
      </c>
      <c r="AP50" s="32">
        <v>5</v>
      </c>
      <c r="AQ50" s="32">
        <v>0</v>
      </c>
      <c r="AR50" s="32">
        <v>6</v>
      </c>
      <c r="AS50" s="32" t="str">
        <f>IFERROR(SUMIFS(#REF!,#REF!,'Shift Wise-Data Sheet'!A:A,#REF!,"Samridhi Perk Line")/SUMIFS(#REF!,#REF!,'Shift Wise-Data Sheet'!A:A,#REF!,"Samridhi Perk Line"),"")</f>
        <v/>
      </c>
      <c r="AT50" s="32">
        <v>29</v>
      </c>
      <c r="AU50" s="32">
        <v>0</v>
      </c>
      <c r="AV50" s="211">
        <f>IFERROR(VLOOKUP(Table110[[#This Row],[Date]],'Overweight Data'!A48:G1143,6,FALSE),"")</f>
        <v>4.7651933701657462E-2</v>
      </c>
      <c r="AW50" s="221">
        <f ca="1">IFERROR(
   IF(
      OR(Table110[[#This Row],[Operating Time]]=0, (Table110[[#This Row],[Operating Time]]/IF(AD50&lt;=1,AD50+1,AD50))*60=0),
      1,
      ((Table110[[#This Row],[Operating Time]])/IF(AD50&lt;=1,AD50+1,AD50))*60
   ),
"_")</f>
        <v>491.96675900277006</v>
      </c>
      <c r="AX50" s="221">
        <f>COUNTIFS('Downtime Data'!A:A,Table110[[#This Row],[Date]])</f>
        <v>0</v>
      </c>
      <c r="AY50" s="219" t="str">
        <f>IFERROR((SUM(Table110[[#This Row],[Minor Stoppages]:[Material Shortages]])/Table110[[#This Row],['# Stops]])*60,"")</f>
        <v/>
      </c>
      <c r="AZ50" s="219"/>
      <c r="BA50" s="33">
        <v>46079</v>
      </c>
    </row>
    <row r="51" spans="1:53" ht="20.149999999999999" customHeight="1" x14ac:dyDescent="0.35">
      <c r="A51" s="21">
        <v>46068</v>
      </c>
      <c r="B51" s="22" t="str">
        <f t="shared" si="1"/>
        <v>Sunday</v>
      </c>
      <c r="C51" s="22"/>
      <c r="D51" s="23" t="s">
        <v>106</v>
      </c>
      <c r="E51" s="24" cm="1">
        <f t="array" aca="1" ref="E51" ca="1">IFERROR(INDIRECT(D51),"")</f>
        <v>39.200000000000003</v>
      </c>
      <c r="F51" s="25">
        <v>28</v>
      </c>
      <c r="G51" s="26">
        <v>30.719088000000003</v>
      </c>
      <c r="H51" s="27">
        <f ca="1">IFERROR((Table110[[#This Row],[Plan]]/Table110[[#This Row],[Hours Used]])/(Table110[[#This Row],[SOC (TPD)]]/24),"")</f>
        <v>0.7142857142857143</v>
      </c>
      <c r="I51" s="27">
        <f ca="1">IFERROR((Table110[[#This Row],[Volume Delivered (T)]]/Table110[[#This Row],[Hours Used]])/(Table110[[#This Row],[SOC (TPD)]]/24),"")</f>
        <v>0.78365020408163255</v>
      </c>
      <c r="J51" s="234"/>
      <c r="K51" s="234"/>
      <c r="L51" s="28"/>
      <c r="M51" s="25">
        <v>1</v>
      </c>
      <c r="N51" s="29">
        <v>4.3999999999999997E-2</v>
      </c>
      <c r="O51" s="84">
        <v>30</v>
      </c>
      <c r="P51" s="25"/>
      <c r="Q51" s="25"/>
      <c r="R51" s="70">
        <v>42</v>
      </c>
      <c r="S51" s="71">
        <v>42</v>
      </c>
      <c r="T51" s="30">
        <f>IF(Table110[[#This Row],[SKU]]="",0,24-Table110[[#This Row],[Legal Non-Operating Time]]-Table110[[#This Row],[No Demand Time]]-Table110[[#This Row],[Force Majeure]])</f>
        <v>24</v>
      </c>
      <c r="U51" s="26"/>
      <c r="V51" s="26"/>
      <c r="W51" s="26"/>
      <c r="X51" s="26"/>
      <c r="Y51" s="26"/>
      <c r="Z51" s="26"/>
      <c r="AA51" s="26"/>
      <c r="AB51" s="30">
        <f>Table110[[#This Row],[Hours Used]]-SUM(Table110[[#This Row],[Planned Maintenance]:[Start and Finish Production]])</f>
        <v>24</v>
      </c>
      <c r="AC51" s="26"/>
      <c r="AD51" s="26"/>
      <c r="AE51" s="26">
        <v>2.2999999999999998</v>
      </c>
      <c r="AF51" s="26"/>
      <c r="AG51" s="26">
        <v>2</v>
      </c>
      <c r="AH51" s="26"/>
      <c r="AI51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9.3383401360544127E-2</v>
      </c>
      <c r="AJ51" s="24">
        <f ca="1">IFERROR(IF(Table110[[#This Row],[SKU]]="",0,Table110[[#This Row],[Quality Loss (T)]]/(Table110[[#This Row],[SOC (TPD)]]/24)),"")</f>
        <v>0.61224489795918358</v>
      </c>
      <c r="AK51" s="31">
        <f ca="1">IFERROR(IF(Table110[[#This Row],[SKU]]="",0,Table110[[#This Row],[Volume Delivered (T)]]/(Table110[[#This Row],[SOC (TPD)]]/24)),"")</f>
        <v>18.807604897959184</v>
      </c>
      <c r="AL51" s="31">
        <f ca="1">IFERROR(Table110[[#This Row],[Operating Time]]/Table110[[#This Row],[PRODUCTION HOURS]],"")</f>
        <v>0.78365020408163266</v>
      </c>
      <c r="AM51" s="32">
        <v>87</v>
      </c>
      <c r="AN51" s="32" t="s">
        <v>107</v>
      </c>
      <c r="AO51" s="32" t="s">
        <v>105</v>
      </c>
      <c r="AP51" s="32">
        <v>0</v>
      </c>
      <c r="AQ51" s="32">
        <v>0</v>
      </c>
      <c r="AR51" s="32">
        <v>41</v>
      </c>
      <c r="AS51" s="32" t="str">
        <f>IFERROR(SUMIFS(#REF!,#REF!,'Shift Wise-Data Sheet'!A:A,#REF!,"Samridhi Perk Line")/SUMIFS(#REF!,#REF!,'Shift Wise-Data Sheet'!A:A,#REF!,"Samridhi Perk Line"),"")</f>
        <v/>
      </c>
      <c r="AT51" s="32">
        <v>18</v>
      </c>
      <c r="AU51" s="32">
        <v>0</v>
      </c>
      <c r="AV51" s="211">
        <f>IFERROR(VLOOKUP(Table110[[#This Row],[Date]],'Overweight Data'!A49:G1144,6,FALSE),"")</f>
        <v>4.1077348066298348E-2</v>
      </c>
      <c r="AW51" s="221">
        <f ca="1">IFERROR(
   IF(
      OR(Table110[[#This Row],[Operating Time]]=0, (Table110[[#This Row],[Operating Time]]/IF(AD51&lt;=1,AD51+1,AD51))*60=0),
      1,
      ((Table110[[#This Row],[Operating Time]])/IF(AD51&lt;=1,AD51+1,AD51))*60
   ),
"_")</f>
        <v>1128.4562938775509</v>
      </c>
      <c r="AX51" s="221">
        <f>COUNTIFS('Downtime Data'!A:A,Table110[[#This Row],[Date]])</f>
        <v>0</v>
      </c>
      <c r="AY51" s="219" t="str">
        <f>IFERROR((SUM(Table110[[#This Row],[Minor Stoppages]:[Material Shortages]])/Table110[[#This Row],['# Stops]])*60,"")</f>
        <v/>
      </c>
      <c r="AZ51" s="219"/>
      <c r="BA51" s="33">
        <v>46079</v>
      </c>
    </row>
    <row r="52" spans="1:53" ht="20.149999999999999" customHeight="1" x14ac:dyDescent="0.35">
      <c r="A52" s="21">
        <v>46069</v>
      </c>
      <c r="B52" s="22" t="str">
        <f t="shared" si="1"/>
        <v>Monday</v>
      </c>
      <c r="C52" s="22"/>
      <c r="D52" s="23" t="s">
        <v>106</v>
      </c>
      <c r="E52" s="24" cm="1">
        <f t="array" aca="1" ref="E52" ca="1">IFERROR(INDIRECT(D52),"")</f>
        <v>39.200000000000003</v>
      </c>
      <c r="F52" s="25">
        <v>28</v>
      </c>
      <c r="G52" s="26">
        <v>35.720472000000001</v>
      </c>
      <c r="H52" s="27">
        <f ca="1">IFERROR((Table110[[#This Row],[Plan]]/Table110[[#This Row],[Hours Used]])/(Table110[[#This Row],[SOC (TPD)]]/24),"")</f>
        <v>0.7142857142857143</v>
      </c>
      <c r="I52" s="27">
        <f ca="1">IFERROR((Table110[[#This Row],[Volume Delivered (T)]]/Table110[[#This Row],[Hours Used]])/(Table110[[#This Row],[SOC (TPD)]]/24),"")</f>
        <v>0.91123653061224485</v>
      </c>
      <c r="J52" s="234"/>
      <c r="K52" s="234"/>
      <c r="L52" s="28"/>
      <c r="M52" s="25">
        <v>1.5680000000000001</v>
      </c>
      <c r="N52" s="29">
        <v>4.1000000000000002E-2</v>
      </c>
      <c r="O52" s="84">
        <v>24</v>
      </c>
      <c r="P52" s="25"/>
      <c r="Q52" s="25">
        <v>3</v>
      </c>
      <c r="R52" s="70">
        <v>0</v>
      </c>
      <c r="S52" s="71">
        <v>0</v>
      </c>
      <c r="T52" s="30">
        <f>IF(Table110[[#This Row],[SKU]]="",0,24-Table110[[#This Row],[Legal Non-Operating Time]]-Table110[[#This Row],[No Demand Time]]-Table110[[#This Row],[Force Majeure]])</f>
        <v>24</v>
      </c>
      <c r="U52" s="26"/>
      <c r="V52" s="26">
        <v>0.3</v>
      </c>
      <c r="W52" s="26"/>
      <c r="X52" s="26"/>
      <c r="Y52" s="26"/>
      <c r="Z52" s="26"/>
      <c r="AA52" s="26"/>
      <c r="AB52" s="30">
        <f>Table110[[#This Row],[Hours Used]]-SUM(Table110[[#This Row],[Planned Maintenance]:[Start and Finish Production]])</f>
        <v>23.7</v>
      </c>
      <c r="AC52" s="26"/>
      <c r="AD52" s="26">
        <v>0.3</v>
      </c>
      <c r="AE52" s="26">
        <v>0.3</v>
      </c>
      <c r="AF52" s="26"/>
      <c r="AG52" s="26"/>
      <c r="AH52" s="26"/>
      <c r="AI52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9.0107755102040457E-2</v>
      </c>
      <c r="AJ52" s="24">
        <f ca="1">IFERROR(IF(Table110[[#This Row],[SKU]]="",0,Table110[[#This Row],[Quality Loss (T)]]/(Table110[[#This Row],[SOC (TPD)]]/24)),"")</f>
        <v>0.96</v>
      </c>
      <c r="AK52" s="31">
        <f ca="1">IFERROR(IF(Table110[[#This Row],[SKU]]="",0,Table110[[#This Row],[Volume Delivered (T)]]/(Table110[[#This Row],[SOC (TPD)]]/24)),"")</f>
        <v>21.869676734693876</v>
      </c>
      <c r="AL52" s="31">
        <f ca="1">IFERROR(Table110[[#This Row],[Operating Time]]/Table110[[#This Row],[PRODUCTION HOURS]],"")</f>
        <v>0.92277117024024791</v>
      </c>
      <c r="AM52" s="32">
        <v>99</v>
      </c>
      <c r="AN52" s="32" t="s">
        <v>107</v>
      </c>
      <c r="AO52" s="32" t="s">
        <v>105</v>
      </c>
      <c r="AP52" s="32">
        <v>0</v>
      </c>
      <c r="AQ52" s="32">
        <v>0</v>
      </c>
      <c r="AR52" s="32"/>
      <c r="AS52" s="32" t="str">
        <f>IFERROR(SUMIFS(#REF!,#REF!,'Shift Wise-Data Sheet'!A:A,#REF!,"Samridhi Perk Line")/SUMIFS(#REF!,#REF!,'Shift Wise-Data Sheet'!A:A,#REF!,"Samridhi Perk Line"),"")</f>
        <v/>
      </c>
      <c r="AT52" s="32">
        <v>12</v>
      </c>
      <c r="AU52" s="32">
        <v>0</v>
      </c>
      <c r="AV52" s="211">
        <f>IFERROR(VLOOKUP(Table110[[#This Row],[Date]],'Overweight Data'!A50:G1145,6,FALSE),"")</f>
        <v>4.6086556169429062E-2</v>
      </c>
      <c r="AW52" s="221">
        <f ca="1">IFERROR(
   IF(
      OR(Table110[[#This Row],[Operating Time]]=0, (Table110[[#This Row],[Operating Time]]/IF(AD52&lt;=1,AD52+1,AD52))*60=0),
      1,
      ((Table110[[#This Row],[Operating Time]])/IF(AD52&lt;=1,AD52+1,AD52))*60
   ),
"_")</f>
        <v>1009.3696954474096</v>
      </c>
      <c r="AX52" s="221">
        <f>COUNTIFS('Downtime Data'!A:A,Table110[[#This Row],[Date]])</f>
        <v>0</v>
      </c>
      <c r="AY52" s="219" t="str">
        <f>IFERROR((SUM(Table110[[#This Row],[Minor Stoppages]:[Material Shortages]])/Table110[[#This Row],['# Stops]])*60,"")</f>
        <v/>
      </c>
      <c r="AZ52" s="219"/>
      <c r="BA52" s="33">
        <v>46079</v>
      </c>
    </row>
    <row r="53" spans="1:53" ht="20.149999999999999" customHeight="1" x14ac:dyDescent="0.35">
      <c r="A53" s="21">
        <v>46070</v>
      </c>
      <c r="B53" s="22" t="str">
        <f t="shared" si="1"/>
        <v>Tuesday</v>
      </c>
      <c r="C53" s="22"/>
      <c r="D53" s="23" t="s">
        <v>106</v>
      </c>
      <c r="E53" s="24" cm="1">
        <f t="array" aca="1" ref="E53" ca="1">IFERROR(INDIRECT(D53),"")</f>
        <v>39.200000000000003</v>
      </c>
      <c r="F53" s="25">
        <v>28</v>
      </c>
      <c r="G53" s="26">
        <v>36.928536000000001</v>
      </c>
      <c r="H53" s="27">
        <f ca="1">IFERROR((Table110[[#This Row],[Plan]]/Table110[[#This Row],[Hours Used]])/(Table110[[#This Row],[SOC (TPD)]]/24),"")</f>
        <v>0.7142857142857143</v>
      </c>
      <c r="I53" s="27">
        <f ca="1">IFERROR((Table110[[#This Row],[Volume Delivered (T)]]/Table110[[#This Row],[Hours Used]])/(Table110[[#This Row],[SOC (TPD)]]/24),"")</f>
        <v>0.94205448979591822</v>
      </c>
      <c r="J53" s="234"/>
      <c r="K53" s="234"/>
      <c r="L53" s="28"/>
      <c r="M53" s="25">
        <v>1.28</v>
      </c>
      <c r="N53" s="29">
        <v>0.04</v>
      </c>
      <c r="O53" s="84">
        <v>21.5</v>
      </c>
      <c r="P53" s="25"/>
      <c r="Q53" s="25">
        <v>2.5</v>
      </c>
      <c r="R53" s="70">
        <v>0</v>
      </c>
      <c r="S53" s="71">
        <v>0</v>
      </c>
      <c r="T53" s="30">
        <f>IF(Table110[[#This Row],[SKU]]="",0,24-Table110[[#This Row],[Legal Non-Operating Time]]-Table110[[#This Row],[No Demand Time]]-Table110[[#This Row],[Force Majeure]])</f>
        <v>24</v>
      </c>
      <c r="U53" s="26"/>
      <c r="V53" s="26">
        <v>0.4</v>
      </c>
      <c r="W53" s="26"/>
      <c r="X53" s="26"/>
      <c r="Y53" s="26"/>
      <c r="Z53" s="26"/>
      <c r="AA53" s="26"/>
      <c r="AB53" s="30">
        <f>Table110[[#This Row],[Hours Used]]-SUM(Table110[[#This Row],[Planned Maintenance]:[Start and Finish Production]])</f>
        <v>23.6</v>
      </c>
      <c r="AC53" s="26"/>
      <c r="AD53" s="26"/>
      <c r="AE53" s="26"/>
      <c r="AF53" s="26"/>
      <c r="AG53" s="26"/>
      <c r="AH53" s="26"/>
      <c r="AI53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6.9006258503403473E-2</v>
      </c>
      <c r="AJ53" s="24">
        <f ca="1">IFERROR(IF(Table110[[#This Row],[SKU]]="",0,Table110[[#This Row],[Quality Loss (T)]]/(Table110[[#This Row],[SOC (TPD)]]/24)),"")</f>
        <v>0.78367346938775506</v>
      </c>
      <c r="AK53" s="31">
        <f ca="1">IFERROR(IF(Table110[[#This Row],[SKU]]="",0,Table110[[#This Row],[Volume Delivered (T)]]/(Table110[[#This Row],[SOC (TPD)]]/24)),"")</f>
        <v>22.609307755102037</v>
      </c>
      <c r="AL53" s="31">
        <f ca="1">IFERROR(Table110[[#This Row],[Operating Time]]/Table110[[#This Row],[PRODUCTION HOURS]],"")</f>
        <v>0.95802151504669641</v>
      </c>
      <c r="AM53" s="32">
        <v>102</v>
      </c>
      <c r="AN53" s="32" t="s">
        <v>107</v>
      </c>
      <c r="AO53" s="32" t="s">
        <v>105</v>
      </c>
      <c r="AP53" s="32">
        <v>0</v>
      </c>
      <c r="AQ53" s="32">
        <v>0</v>
      </c>
      <c r="AR53" s="32"/>
      <c r="AS53" s="32" t="str">
        <f>IFERROR(SUMIFS(#REF!,#REF!,'Shift Wise-Data Sheet'!A:A,#REF!,"Samridhi Perk Line")/SUMIFS(#REF!,#REF!,'Shift Wise-Data Sheet'!A:A,#REF!,"Samridhi Perk Line"),"")</f>
        <v/>
      </c>
      <c r="AT53" s="32">
        <v>3</v>
      </c>
      <c r="AU53" s="32">
        <v>0</v>
      </c>
      <c r="AV53" s="211">
        <f>IFERROR(VLOOKUP(Table110[[#This Row],[Date]],'Overweight Data'!A51:G1146,6,FALSE),"")</f>
        <v>2.6252302025782676E-2</v>
      </c>
      <c r="AW53" s="221">
        <f ca="1">IFERROR(
   IF(
      OR(Table110[[#This Row],[Operating Time]]=0, (Table110[[#This Row],[Operating Time]]/IF(AD53&lt;=1,AD53+1,AD53))*60=0),
      1,
      ((Table110[[#This Row],[Operating Time]])/IF(AD53&lt;=1,AD53+1,AD53))*60
   ),
"_")</f>
        <v>1356.5584653061223</v>
      </c>
      <c r="AX53" s="221">
        <f>COUNTIFS('Downtime Data'!A:A,Table110[[#This Row],[Date]])</f>
        <v>0</v>
      </c>
      <c r="AY53" s="219" t="str">
        <f>IFERROR((SUM(Table110[[#This Row],[Minor Stoppages]:[Material Shortages]])/Table110[[#This Row],['# Stops]])*60,"")</f>
        <v/>
      </c>
      <c r="AZ53" s="219"/>
      <c r="BA53" s="33">
        <v>46079</v>
      </c>
    </row>
    <row r="54" spans="1:53" ht="20.149999999999999" customHeight="1" x14ac:dyDescent="0.35">
      <c r="A54" s="21">
        <v>46071</v>
      </c>
      <c r="B54" s="22" t="str">
        <f t="shared" si="1"/>
        <v>Wednesday</v>
      </c>
      <c r="C54" s="22"/>
      <c r="D54" s="23" t="s">
        <v>106</v>
      </c>
      <c r="E54" s="24" cm="1">
        <f t="array" aca="1" ref="E54" ca="1">IFERROR(INDIRECT(D54),"")</f>
        <v>39.200000000000003</v>
      </c>
      <c r="F54" s="25">
        <v>28</v>
      </c>
      <c r="G54" s="26">
        <v>34.985112000000001</v>
      </c>
      <c r="H54" s="27">
        <f ca="1">IFERROR((Table110[[#This Row],[Plan]]/Table110[[#This Row],[Hours Used]])/(Table110[[#This Row],[SOC (TPD)]]/24),"")</f>
        <v>0.7142857142857143</v>
      </c>
      <c r="I54" s="27">
        <f ca="1">IFERROR((Table110[[#This Row],[Volume Delivered (T)]]/Table110[[#This Row],[Hours Used]])/(Table110[[#This Row],[SOC (TPD)]]/24),"")</f>
        <v>0.89247734693877545</v>
      </c>
      <c r="J54" s="234"/>
      <c r="K54" s="234"/>
      <c r="L54" s="28"/>
      <c r="M54" s="25">
        <v>1.4</v>
      </c>
      <c r="N54" s="29">
        <v>0.04</v>
      </c>
      <c r="O54" s="84">
        <v>17.5</v>
      </c>
      <c r="P54" s="25"/>
      <c r="Q54" s="25"/>
      <c r="R54" s="70">
        <v>3</v>
      </c>
      <c r="S54" s="71">
        <v>3</v>
      </c>
      <c r="T54" s="30">
        <f>IF(Table110[[#This Row],[SKU]]="",0,24-Table110[[#This Row],[Legal Non-Operating Time]]-Table110[[#This Row],[No Demand Time]]-Table110[[#This Row],[Force Majeure]])</f>
        <v>24</v>
      </c>
      <c r="U54" s="26"/>
      <c r="V54" s="26">
        <v>0.3</v>
      </c>
      <c r="W54" s="26"/>
      <c r="X54" s="26"/>
      <c r="Y54" s="26"/>
      <c r="Z54" s="26"/>
      <c r="AA54" s="26"/>
      <c r="AB54" s="30">
        <f>Table110[[#This Row],[Hours Used]]-SUM(Table110[[#This Row],[Planned Maintenance]:[Start and Finish Production]])</f>
        <v>23.7</v>
      </c>
      <c r="AC54" s="26"/>
      <c r="AD54" s="26">
        <v>1.25</v>
      </c>
      <c r="AE54" s="26"/>
      <c r="AF54" s="26"/>
      <c r="AG54" s="26"/>
      <c r="AH54" s="26"/>
      <c r="AI54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5.7800272108843607E-2</v>
      </c>
      <c r="AJ54" s="24">
        <f ca="1">IFERROR(IF(Table110[[#This Row],[SKU]]="",0,Table110[[#This Row],[Quality Loss (T)]]/(Table110[[#This Row],[SOC (TPD)]]/24)),"")</f>
        <v>0.85714285714285698</v>
      </c>
      <c r="AK54" s="31">
        <f ca="1">IFERROR(IF(Table110[[#This Row],[SKU]]="",0,Table110[[#This Row],[Volume Delivered (T)]]/(Table110[[#This Row],[SOC (TPD)]]/24)),"")</f>
        <v>21.419456326530611</v>
      </c>
      <c r="AL54" s="31">
        <f ca="1">IFERROR(Table110[[#This Row],[Operating Time]]/Table110[[#This Row],[PRODUCTION HOURS]],"")</f>
        <v>0.90377452854559537</v>
      </c>
      <c r="AM54" s="32"/>
      <c r="AN54" s="32" t="s">
        <v>107</v>
      </c>
      <c r="AO54" s="32" t="s">
        <v>105</v>
      </c>
      <c r="AP54" s="32">
        <v>3</v>
      </c>
      <c r="AQ54" s="32">
        <v>3</v>
      </c>
      <c r="AR54" s="32">
        <v>3</v>
      </c>
      <c r="AS54" s="32" t="str">
        <f>IFERROR(SUMIFS(#REF!,#REF!,'Shift Wise-Data Sheet'!A:A,#REF!,"Samridhi Perk Line")/SUMIFS(#REF!,#REF!,'Shift Wise-Data Sheet'!A:A,#REF!,"Samridhi Perk Line"),"")</f>
        <v/>
      </c>
      <c r="AT54" s="32"/>
      <c r="AU54" s="32">
        <v>0</v>
      </c>
      <c r="AV54" s="211">
        <f>IFERROR(VLOOKUP(Table110[[#This Row],[Date]],'Overweight Data'!A52:G1147,6,FALSE),"")</f>
        <v>3.1583793738489879E-2</v>
      </c>
      <c r="AW54" s="221">
        <f ca="1">IFERROR(
   IF(
      OR(Table110[[#This Row],[Operating Time]]=0, (Table110[[#This Row],[Operating Time]]/IF(AD54&lt;=1,AD54+1,AD54))*60=0),
      1,
      ((Table110[[#This Row],[Operating Time]])/IF(AD54&lt;=1,AD54+1,AD54))*60
   ),
"_")</f>
        <v>1028.1339036734694</v>
      </c>
      <c r="AX54" s="221">
        <f>COUNTIFS('Downtime Data'!A:A,Table110[[#This Row],[Date]])</f>
        <v>0</v>
      </c>
      <c r="AY54" s="219" t="str">
        <f>IFERROR((SUM(Table110[[#This Row],[Minor Stoppages]:[Material Shortages]])/Table110[[#This Row],['# Stops]])*60,"")</f>
        <v/>
      </c>
      <c r="AZ54" s="219"/>
      <c r="BA54" s="33">
        <v>46079</v>
      </c>
    </row>
    <row r="55" spans="1:53" ht="20.149999999999999" customHeight="1" x14ac:dyDescent="0.35">
      <c r="A55" s="21">
        <v>46072</v>
      </c>
      <c r="B55" s="22" t="str">
        <f t="shared" si="1"/>
        <v>Thursday</v>
      </c>
      <c r="C55" s="22"/>
      <c r="D55" s="23" t="s">
        <v>106</v>
      </c>
      <c r="E55" s="24" cm="1">
        <f t="array" aca="1" ref="E55" ca="1">IFERROR(INDIRECT(D55),"")</f>
        <v>39.200000000000003</v>
      </c>
      <c r="F55" s="25">
        <v>28</v>
      </c>
      <c r="G55" s="26">
        <v>36.534626000000003</v>
      </c>
      <c r="H55" s="27">
        <f ca="1">IFERROR((Table110[[#This Row],[Plan]]/Table110[[#This Row],[Hours Used]])/(Table110[[#This Row],[SOC (TPD)]]/24),"")</f>
        <v>0.7142857142857143</v>
      </c>
      <c r="I55" s="27">
        <f ca="1">IFERROR((Table110[[#This Row],[Volume Delivered (T)]]/Table110[[#This Row],[Hours Used]])/(Table110[[#This Row],[SOC (TPD)]]/24),"")</f>
        <v>0.93200576530612245</v>
      </c>
      <c r="J55" s="234"/>
      <c r="K55" s="234"/>
      <c r="L55" s="28"/>
      <c r="M55" s="25">
        <v>0.8</v>
      </c>
      <c r="N55" s="29">
        <v>0.04</v>
      </c>
      <c r="O55" s="84">
        <v>13</v>
      </c>
      <c r="P55" s="25"/>
      <c r="Q55" s="25"/>
      <c r="R55" s="70">
        <v>1</v>
      </c>
      <c r="S55" s="71">
        <v>0</v>
      </c>
      <c r="T55" s="30">
        <f>IF(Table110[[#This Row],[SKU]]="",0,24-Table110[[#This Row],[Legal Non-Operating Time]]-Table110[[#This Row],[No Demand Time]]-Table110[[#This Row],[Force Majeure]])</f>
        <v>24</v>
      </c>
      <c r="U55" s="26"/>
      <c r="V55" s="26">
        <v>0.3</v>
      </c>
      <c r="W55" s="26"/>
      <c r="X55" s="26"/>
      <c r="Y55" s="26"/>
      <c r="Z55" s="26"/>
      <c r="AA55" s="26"/>
      <c r="AB55" s="30">
        <f>Table110[[#This Row],[Hours Used]]-SUM(Table110[[#This Row],[Planned Maintenance]:[Start and Finish Production]])</f>
        <v>23.7</v>
      </c>
      <c r="AC55" s="26"/>
      <c r="AD55" s="26">
        <v>0.65</v>
      </c>
      <c r="AE55" s="26"/>
      <c r="AF55" s="26"/>
      <c r="AG55" s="26"/>
      <c r="AH55" s="26"/>
      <c r="AI55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6.4021904761906015E-2</v>
      </c>
      <c r="AJ55" s="24">
        <f ca="1">IFERROR(IF(Table110[[#This Row],[SKU]]="",0,Table110[[#This Row],[Quality Loss (T)]]/(Table110[[#This Row],[SOC (TPD)]]/24)),"")</f>
        <v>0.48979591836734693</v>
      </c>
      <c r="AK55" s="31">
        <f ca="1">IFERROR(IF(Table110[[#This Row],[SKU]]="",0,Table110[[#This Row],[Volume Delivered (T)]]/(Table110[[#This Row],[SOC (TPD)]]/24)),"")</f>
        <v>22.368138367346937</v>
      </c>
      <c r="AL55" s="31">
        <f ca="1">IFERROR(Table110[[#This Row],[Operating Time]]/Table110[[#This Row],[PRODUCTION HOURS]],"")</f>
        <v>0.94380330663911127</v>
      </c>
      <c r="AM55" s="32"/>
      <c r="AN55" s="32" t="s">
        <v>107</v>
      </c>
      <c r="AO55" s="32" t="s">
        <v>107</v>
      </c>
      <c r="AP55" s="32">
        <v>0</v>
      </c>
      <c r="AQ55" s="32">
        <v>0</v>
      </c>
      <c r="AR55" s="32"/>
      <c r="AS55" s="32" t="str">
        <f>IFERROR(SUMIFS(#REF!,#REF!,'Shift Wise-Data Sheet'!A:A,#REF!,"Samridhi Perk Line")/SUMIFS(#REF!,#REF!,'Shift Wise-Data Sheet'!A:A,#REF!,"Samridhi Perk Line"),"")</f>
        <v/>
      </c>
      <c r="AT55" s="32">
        <v>29</v>
      </c>
      <c r="AU55" s="32">
        <v>0</v>
      </c>
      <c r="AV55" s="211">
        <f>IFERROR(VLOOKUP(Table110[[#This Row],[Date]],'Overweight Data'!A53:G1148,6,FALSE),"")</f>
        <v>3.7660596377076673E-2</v>
      </c>
      <c r="AW55" s="221">
        <f ca="1">IFERROR(
   IF(
      OR(Table110[[#This Row],[Operating Time]]=0, (Table110[[#This Row],[Operating Time]]/IF(AD55&lt;=1,AD55+1,AD55))*60=0),
      1,
      ((Table110[[#This Row],[Operating Time]])/IF(AD55&lt;=1,AD55+1,AD55))*60
   ),
"_")</f>
        <v>813.38684972170677</v>
      </c>
      <c r="AX55" s="221">
        <f>COUNTIFS('Downtime Data'!A:A,Table110[[#This Row],[Date]])</f>
        <v>0</v>
      </c>
      <c r="AY55" s="219" t="str">
        <f>IFERROR((SUM(Table110[[#This Row],[Minor Stoppages]:[Material Shortages]])/Table110[[#This Row],['# Stops]])*60,"")</f>
        <v/>
      </c>
      <c r="AZ55" s="219"/>
      <c r="BA55" s="33">
        <v>46079</v>
      </c>
    </row>
    <row r="56" spans="1:53" ht="20.149999999999999" customHeight="1" x14ac:dyDescent="0.35">
      <c r="A56" s="21">
        <v>46073</v>
      </c>
      <c r="B56" s="22" t="str">
        <f t="shared" si="1"/>
        <v>Friday</v>
      </c>
      <c r="C56" s="22"/>
      <c r="D56" s="23" t="s">
        <v>106</v>
      </c>
      <c r="E56" s="24" cm="1">
        <f t="array" aca="1" ref="E56" ca="1">IFERROR(INDIRECT(D56),"")</f>
        <v>39.200000000000003</v>
      </c>
      <c r="F56" s="25">
        <v>28</v>
      </c>
      <c r="G56" s="26">
        <v>35.914012999999997</v>
      </c>
      <c r="H56" s="27">
        <f ca="1">IFERROR((Table110[[#This Row],[Plan]]/Table110[[#This Row],[Hours Used]])/(Table110[[#This Row],[SOC (TPD)]]/24),"")</f>
        <v>0.7142857142857143</v>
      </c>
      <c r="I56" s="27">
        <f ca="1">IFERROR((Table110[[#This Row],[Volume Delivered (T)]]/Table110[[#This Row],[Hours Used]])/(Table110[[#This Row],[SOC (TPD)]]/24),"")</f>
        <v>0.91617380102040791</v>
      </c>
      <c r="J56" s="234"/>
      <c r="K56" s="234"/>
      <c r="L56" s="28"/>
      <c r="M56" s="25">
        <v>1.3</v>
      </c>
      <c r="N56" s="29">
        <v>0.04</v>
      </c>
      <c r="O56" s="84">
        <v>18</v>
      </c>
      <c r="P56" s="25"/>
      <c r="Q56" s="25"/>
      <c r="R56" s="70">
        <v>0</v>
      </c>
      <c r="S56" s="71">
        <v>0</v>
      </c>
      <c r="T56" s="30">
        <f>IF(Table110[[#This Row],[SKU]]="",0,24-Table110[[#This Row],[Legal Non-Operating Time]]-Table110[[#This Row],[No Demand Time]]-Table110[[#This Row],[Force Majeure]])</f>
        <v>24</v>
      </c>
      <c r="U56" s="26"/>
      <c r="V56" s="26">
        <v>0.4</v>
      </c>
      <c r="W56" s="26"/>
      <c r="X56" s="26"/>
      <c r="Y56" s="26"/>
      <c r="Z56" s="26"/>
      <c r="AA56" s="26"/>
      <c r="AB56" s="30">
        <f>Table110[[#This Row],[Hours Used]]-SUM(Table110[[#This Row],[Planned Maintenance]:[Start and Finish Production]])</f>
        <v>23.6</v>
      </c>
      <c r="AC56" s="26"/>
      <c r="AD56" s="26">
        <v>0.6</v>
      </c>
      <c r="AE56" s="26"/>
      <c r="AF56" s="26"/>
      <c r="AG56" s="26"/>
      <c r="AH56" s="26"/>
      <c r="AI56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7.1970136054423747E-2</v>
      </c>
      <c r="AJ56" s="24">
        <f ca="1">IFERROR(IF(Table110[[#This Row],[SKU]]="",0,Table110[[#This Row],[Quality Loss (T)]]/(Table110[[#This Row],[SOC (TPD)]]/24)),"")</f>
        <v>0.79591836734693866</v>
      </c>
      <c r="AK56" s="31">
        <f ca="1">IFERROR(IF(Table110[[#This Row],[SKU]]="",0,Table110[[#This Row],[Volume Delivered (T)]]/(Table110[[#This Row],[SOC (TPD)]]/24)),"")</f>
        <v>21.98817122448979</v>
      </c>
      <c r="AL56" s="31">
        <f ca="1">IFERROR(Table110[[#This Row],[Operating Time]]/Table110[[#This Row],[PRODUCTION HOURS]],"")</f>
        <v>0.93170217052922832</v>
      </c>
      <c r="AM56" s="32"/>
      <c r="AN56" s="32" t="s">
        <v>107</v>
      </c>
      <c r="AO56" s="32" t="s">
        <v>107</v>
      </c>
      <c r="AP56" s="32">
        <v>0</v>
      </c>
      <c r="AQ56" s="32">
        <v>0</v>
      </c>
      <c r="AR56" s="32"/>
      <c r="AS56" s="32" t="str">
        <f>IFERROR(SUMIFS(#REF!,#REF!,'Shift Wise-Data Sheet'!A:A,#REF!,"Samridhi Perk Line")/SUMIFS(#REF!,#REF!,'Shift Wise-Data Sheet'!A:A,#REF!,"Samridhi Perk Line"),"")</f>
        <v/>
      </c>
      <c r="AT56" s="32">
        <v>18</v>
      </c>
      <c r="AU56" s="32">
        <v>0</v>
      </c>
      <c r="AV56" s="211">
        <f>IFERROR(VLOOKUP(Table110[[#This Row],[Date]],'Overweight Data'!A54:G1149,6,FALSE),"")</f>
        <v>3.7229965156794435E-2</v>
      </c>
      <c r="AW56" s="221">
        <f ca="1">IFERROR(
   IF(
      OR(Table110[[#This Row],[Operating Time]]=0, (Table110[[#This Row],[Operating Time]]/IF(AD56&lt;=1,AD56+1,AD56))*60=0),
      1,
      ((Table110[[#This Row],[Operating Time]])/IF(AD56&lt;=1,AD56+1,AD56))*60
   ),
"_")</f>
        <v>824.55642091836717</v>
      </c>
      <c r="AX56" s="221">
        <f>COUNTIFS('Downtime Data'!A:A,Table110[[#This Row],[Date]])</f>
        <v>0</v>
      </c>
      <c r="AY56" s="219" t="str">
        <f>IFERROR((SUM(Table110[[#This Row],[Minor Stoppages]:[Material Shortages]])/Table110[[#This Row],['# Stops]])*60,"")</f>
        <v/>
      </c>
      <c r="AZ56" s="219"/>
      <c r="BA56" s="33">
        <v>46079</v>
      </c>
    </row>
    <row r="57" spans="1:53" ht="20.149999999999999" customHeight="1" x14ac:dyDescent="0.35">
      <c r="A57" s="21">
        <v>46074</v>
      </c>
      <c r="B57" s="22" t="str">
        <f t="shared" si="1"/>
        <v>Saturday</v>
      </c>
      <c r="C57" s="22"/>
      <c r="D57" s="23" t="s">
        <v>106</v>
      </c>
      <c r="E57" s="24" cm="1">
        <f t="array" aca="1" ref="E57" ca="1">IFERROR(INDIRECT(D57),"")</f>
        <v>39.200000000000003</v>
      </c>
      <c r="F57" s="25">
        <v>28</v>
      </c>
      <c r="G57" s="26">
        <v>34.729198000000004</v>
      </c>
      <c r="H57" s="27">
        <f ca="1">IFERROR((Table110[[#This Row],[Plan]]/Table110[[#This Row],[Hours Used]])/(Table110[[#This Row],[SOC (TPD)]]/24),"")</f>
        <v>0.7142857142857143</v>
      </c>
      <c r="I57" s="27">
        <f ca="1">IFERROR((Table110[[#This Row],[Volume Delivered (T)]]/Table110[[#This Row],[Hours Used]])/(Table110[[#This Row],[SOC (TPD)]]/24),"")</f>
        <v>0.8859489285714286</v>
      </c>
      <c r="J57" s="234"/>
      <c r="K57" s="234"/>
      <c r="L57" s="28"/>
      <c r="M57" s="25">
        <v>1.2</v>
      </c>
      <c r="N57" s="29">
        <v>3.9E-2</v>
      </c>
      <c r="O57" s="84">
        <v>12</v>
      </c>
      <c r="P57" s="25"/>
      <c r="Q57" s="25"/>
      <c r="R57" s="70">
        <v>1</v>
      </c>
      <c r="S57" s="71">
        <v>1</v>
      </c>
      <c r="T57" s="30">
        <f>IF(Table110[[#This Row],[SKU]]="",0,24-Table110[[#This Row],[Legal Non-Operating Time]]-Table110[[#This Row],[No Demand Time]]-Table110[[#This Row],[Force Majeure]])</f>
        <v>24</v>
      </c>
      <c r="U57" s="26"/>
      <c r="V57" s="26"/>
      <c r="W57" s="26"/>
      <c r="X57" s="26">
        <v>1</v>
      </c>
      <c r="Y57" s="26"/>
      <c r="Z57" s="26"/>
      <c r="AA57" s="26"/>
      <c r="AB57" s="30">
        <f>Table110[[#This Row],[Hours Used]]-SUM(Table110[[#This Row],[Planned Maintenance]:[Start and Finish Production]])</f>
        <v>23</v>
      </c>
      <c r="AC57" s="26"/>
      <c r="AD57" s="26">
        <v>0.4</v>
      </c>
      <c r="AE57" s="26">
        <v>0.3</v>
      </c>
      <c r="AF57" s="26"/>
      <c r="AG57" s="26"/>
      <c r="AH57" s="26"/>
      <c r="AI57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0.10084394557823136</v>
      </c>
      <c r="AJ57" s="24">
        <f ca="1">IFERROR(IF(Table110[[#This Row],[SKU]]="",0,Table110[[#This Row],[Quality Loss (T)]]/(Table110[[#This Row],[SOC (TPD)]]/24)),"")</f>
        <v>0.73469387755102034</v>
      </c>
      <c r="AK57" s="31">
        <f ca="1">IFERROR(IF(Table110[[#This Row],[SKU]]="",0,Table110[[#This Row],[Volume Delivered (T)]]/(Table110[[#This Row],[SOC (TPD)]]/24)),"")</f>
        <v>21.262774285714286</v>
      </c>
      <c r="AL57" s="31">
        <f ca="1">IFERROR(Table110[[#This Row],[Operating Time]]/Table110[[#This Row],[PRODUCTION HOURS]],"")</f>
        <v>0.92446844720496901</v>
      </c>
      <c r="AM57" s="32"/>
      <c r="AN57" s="32" t="s">
        <v>107</v>
      </c>
      <c r="AO57" s="32" t="s">
        <v>107</v>
      </c>
      <c r="AP57" s="32">
        <v>2</v>
      </c>
      <c r="AQ57" s="32">
        <v>2</v>
      </c>
      <c r="AR57" s="32">
        <v>1</v>
      </c>
      <c r="AS57" s="32" t="str">
        <f>IFERROR(SUMIFS(#REF!,#REF!,'Shift Wise-Data Sheet'!A:A,#REF!,"Samridhi Perk Line")/SUMIFS(#REF!,#REF!,'Shift Wise-Data Sheet'!A:A,#REF!,"Samridhi Perk Line"),"")</f>
        <v/>
      </c>
      <c r="AT57" s="32">
        <v>3</v>
      </c>
      <c r="AU57" s="32">
        <v>0</v>
      </c>
      <c r="AV57" s="211">
        <f>IFERROR(VLOOKUP(Table110[[#This Row],[Date]],'Overweight Data'!A55:G1150,6,FALSE),"")</f>
        <v>3.3649825783972118E-2</v>
      </c>
      <c r="AW57" s="221">
        <f ca="1">IFERROR(
   IF(
      OR(Table110[[#This Row],[Operating Time]]=0, (Table110[[#This Row],[Operating Time]]/IF(AD57&lt;=1,AD57+1,AD57))*60=0),
      1,
      ((Table110[[#This Row],[Operating Time]])/IF(AD57&lt;=1,AD57+1,AD57))*60
   ),
"_")</f>
        <v>911.26175510204087</v>
      </c>
      <c r="AX57" s="221">
        <f>COUNTIFS('Downtime Data'!A:A,Table110[[#This Row],[Date]])</f>
        <v>1</v>
      </c>
      <c r="AY57" s="219">
        <f>IFERROR((SUM(Table110[[#This Row],[Minor Stoppages]:[Material Shortages]])/Table110[[#This Row],['# Stops]])*60,"")</f>
        <v>42</v>
      </c>
      <c r="AZ57" s="219"/>
      <c r="BA57" s="33">
        <v>46079</v>
      </c>
    </row>
    <row r="58" spans="1:53" ht="20.149999999999999" customHeight="1" x14ac:dyDescent="0.35">
      <c r="A58" s="21">
        <v>46075</v>
      </c>
      <c r="B58" s="22" t="str">
        <f t="shared" si="1"/>
        <v>Sunday</v>
      </c>
      <c r="C58" s="22"/>
      <c r="D58" s="23" t="s">
        <v>108</v>
      </c>
      <c r="E58" s="24" cm="1">
        <f t="array" aca="1" ref="E58" ca="1">IFERROR(INDIRECT(D58),"")</f>
        <v>34.200000000000003</v>
      </c>
      <c r="F58" s="25">
        <v>32</v>
      </c>
      <c r="G58" s="26">
        <v>31.5</v>
      </c>
      <c r="H58" s="27">
        <f ca="1">IFERROR((Table110[[#This Row],[Plan]]/Table110[[#This Row],[Hours Used]])/(Table110[[#This Row],[SOC (TPD)]]/24),"")</f>
        <v>0.93567251461988299</v>
      </c>
      <c r="I58" s="27">
        <f ca="1">IFERROR((Table110[[#This Row],[Volume Delivered (T)]]/Table110[[#This Row],[Hours Used]])/(Table110[[#This Row],[SOC (TPD)]]/24),"")</f>
        <v>0.92105263157894735</v>
      </c>
      <c r="J58" s="234"/>
      <c r="K58" s="234"/>
      <c r="L58" s="28"/>
      <c r="M58" s="25">
        <v>1.2</v>
      </c>
      <c r="N58" s="29">
        <v>3.9E-2</v>
      </c>
      <c r="O58" s="84">
        <v>12</v>
      </c>
      <c r="P58" s="25"/>
      <c r="Q58" s="25"/>
      <c r="R58" s="70"/>
      <c r="S58" s="71"/>
      <c r="T58" s="30">
        <f>IF(Table110[[#This Row],[SKU]]="",0,24-Table110[[#This Row],[Legal Non-Operating Time]]-Table110[[#This Row],[No Demand Time]]-Table110[[#This Row],[Force Majeure]])</f>
        <v>24</v>
      </c>
      <c r="U58" s="26"/>
      <c r="V58" s="26"/>
      <c r="W58" s="26"/>
      <c r="X58" s="26">
        <v>1</v>
      </c>
      <c r="Y58" s="26"/>
      <c r="Z58" s="26"/>
      <c r="AA58" s="26"/>
      <c r="AB58" s="30">
        <f>Table110[[#This Row],[Hours Used]]-SUM(Table110[[#This Row],[Planned Maintenance]:[Start and Finish Production]])</f>
        <v>23</v>
      </c>
      <c r="AC58" s="26"/>
      <c r="AD58" s="26"/>
      <c r="AE58" s="26"/>
      <c r="AF58" s="26"/>
      <c r="AG58" s="26"/>
      <c r="AH58" s="26"/>
      <c r="AI58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1.7543859649123306E-2</v>
      </c>
      <c r="AJ58" s="24">
        <f ca="1">IFERROR(IF(Table110[[#This Row],[SKU]]="",0,Table110[[#This Row],[Quality Loss (T)]]/(Table110[[#This Row],[SOC (TPD)]]/24)),"")</f>
        <v>0.84210526315789469</v>
      </c>
      <c r="AK58" s="31">
        <f ca="1">IFERROR(IF(Table110[[#This Row],[SKU]]="",0,Table110[[#This Row],[Volume Delivered (T)]]/(Table110[[#This Row],[SOC (TPD)]]/24)),"")</f>
        <v>22.105263157894736</v>
      </c>
      <c r="AL58" s="31">
        <f ca="1">IFERROR(Table110[[#This Row],[Operating Time]]/Table110[[#This Row],[PRODUCTION HOURS]],"")</f>
        <v>0.9610983981693364</v>
      </c>
      <c r="AM58" s="32"/>
      <c r="AN58" s="32" t="s">
        <v>105</v>
      </c>
      <c r="AO58" s="32" t="s">
        <v>107</v>
      </c>
      <c r="AP58" s="32">
        <v>0</v>
      </c>
      <c r="AQ58" s="32">
        <v>0</v>
      </c>
      <c r="AR58" s="32"/>
      <c r="AS58" s="32" t="str">
        <f>IFERROR(SUMIFS(#REF!,#REF!,'Shift Wise-Data Sheet'!A:A,#REF!,"Samridhi Perk Line")/SUMIFS(#REF!,#REF!,'Shift Wise-Data Sheet'!A:A,#REF!,"Samridhi Perk Line"),"")</f>
        <v/>
      </c>
      <c r="AT58" s="32"/>
      <c r="AU58" s="32"/>
      <c r="AV58" s="211">
        <f>IFERROR(VLOOKUP(Table110[[#This Row],[Date]],'Overweight Data'!A56:G1151,6,FALSE),"")</f>
        <v>4.2292817679558066E-2</v>
      </c>
      <c r="AW58" s="221">
        <f ca="1">IFERROR(
   IF(
      OR(Table110[[#This Row],[Operating Time]]=0, (Table110[[#This Row],[Operating Time]]/IF(AD58&lt;=1,AD58+1,AD58))*60=0),
      1,
      ((Table110[[#This Row],[Operating Time]])/IF(AD58&lt;=1,AD58+1,AD58))*60
   ),
"_")</f>
        <v>1326.3157894736842</v>
      </c>
      <c r="AX58" s="221">
        <f>COUNTIFS('Downtime Data'!A:A,Table110[[#This Row],[Date]])</f>
        <v>0</v>
      </c>
      <c r="AY58" s="219" t="str">
        <f>IFERROR((SUM(Table110[[#This Row],[Minor Stoppages]:[Material Shortages]])/Table110[[#This Row],['# Stops]])*60,"")</f>
        <v/>
      </c>
      <c r="AZ58" s="219"/>
      <c r="BA58" s="33">
        <v>46079</v>
      </c>
    </row>
    <row r="59" spans="1:53" ht="20.149999999999999" customHeight="1" x14ac:dyDescent="0.35">
      <c r="A59" s="21">
        <v>46076</v>
      </c>
      <c r="B59" s="22" t="str">
        <f t="shared" si="1"/>
        <v>Monday</v>
      </c>
      <c r="C59" s="22"/>
      <c r="D59" s="23" t="s">
        <v>108</v>
      </c>
      <c r="E59" s="24" cm="1">
        <f t="array" aca="1" ref="E59" ca="1">IFERROR(INDIRECT(D59),"")</f>
        <v>34.200000000000003</v>
      </c>
      <c r="F59" s="25">
        <v>31</v>
      </c>
      <c r="G59" s="26">
        <v>32.9</v>
      </c>
      <c r="H59" s="27">
        <f ca="1">IFERROR((Table110[[#This Row],[Plan]]/Table110[[#This Row],[Hours Used]])/(Table110[[#This Row],[SOC (TPD)]]/24),"")</f>
        <v>0.9064327485380117</v>
      </c>
      <c r="I59" s="27">
        <f ca="1">IFERROR((Table110[[#This Row],[Volume Delivered (T)]]/Table110[[#This Row],[Hours Used]])/(Table110[[#This Row],[SOC (TPD)]]/24),"")</f>
        <v>0.96198830409356728</v>
      </c>
      <c r="J59" s="234"/>
      <c r="K59" s="234"/>
      <c r="L59" s="28"/>
      <c r="M59" s="25">
        <v>1.4</v>
      </c>
      <c r="N59" s="29">
        <v>3.7999999999999999E-2</v>
      </c>
      <c r="O59" s="84">
        <v>13</v>
      </c>
      <c r="P59" s="25"/>
      <c r="Q59" s="25"/>
      <c r="R59" s="70"/>
      <c r="S59" s="71"/>
      <c r="T59" s="30">
        <f>IF(Table110[[#This Row],[SKU]]="",0,24-Table110[[#This Row],[Legal Non-Operating Time]]-Table110[[#This Row],[No Demand Time]]-Table110[[#This Row],[Force Majeure]])</f>
        <v>24</v>
      </c>
      <c r="U59" s="26"/>
      <c r="V59" s="26"/>
      <c r="W59" s="26"/>
      <c r="X59" s="26"/>
      <c r="Y59" s="26"/>
      <c r="Z59" s="26"/>
      <c r="AA59" s="26"/>
      <c r="AB59" s="30">
        <f>Table110[[#This Row],[Hours Used]]-SUM(Table110[[#This Row],[Planned Maintenance]:[Start and Finish Production]])</f>
        <v>24</v>
      </c>
      <c r="AC59" s="26"/>
      <c r="AD59" s="26"/>
      <c r="AE59" s="26"/>
      <c r="AF59" s="26"/>
      <c r="AG59" s="26"/>
      <c r="AH59" s="26"/>
      <c r="AI59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-2.3391812865496558E-2</v>
      </c>
      <c r="AJ59" s="24">
        <f ca="1">IFERROR(IF(Table110[[#This Row],[SKU]]="",0,Table110[[#This Row],[Quality Loss (T)]]/(Table110[[#This Row],[SOC (TPD)]]/24)),"")</f>
        <v>0.98245614035087714</v>
      </c>
      <c r="AK59" s="31">
        <f ca="1">IFERROR(IF(Table110[[#This Row],[SKU]]="",0,Table110[[#This Row],[Volume Delivered (T)]]/(Table110[[#This Row],[SOC (TPD)]]/24)),"")</f>
        <v>23.087719298245613</v>
      </c>
      <c r="AL59" s="31">
        <f ca="1">IFERROR(Table110[[#This Row],[Operating Time]]/Table110[[#This Row],[PRODUCTION HOURS]],"")</f>
        <v>0.96198830409356717</v>
      </c>
      <c r="AM59" s="32"/>
      <c r="AN59" s="32" t="s">
        <v>107</v>
      </c>
      <c r="AO59" s="32" t="s">
        <v>107</v>
      </c>
      <c r="AP59" s="32">
        <v>0</v>
      </c>
      <c r="AQ59" s="32">
        <v>0</v>
      </c>
      <c r="AR59" s="32"/>
      <c r="AS59" s="32" t="str">
        <f>IFERROR(SUMIFS(#REF!,#REF!,'Shift Wise-Data Sheet'!A:A,#REF!,"Samridhi Perk Line")/SUMIFS(#REF!,#REF!,'Shift Wise-Data Sheet'!A:A,#REF!,"Samridhi Perk Line"),"")</f>
        <v/>
      </c>
      <c r="AT59" s="32"/>
      <c r="AU59" s="32"/>
      <c r="AV59" s="211">
        <f>IFERROR(VLOOKUP(Table110[[#This Row],[Date]],'Overweight Data'!A57:G1152,6,FALSE),"")</f>
        <v>2.6169429097605851E-2</v>
      </c>
      <c r="AW59" s="221">
        <f ca="1">IFERROR(
   IF(
      OR(Table110[[#This Row],[Operating Time]]=0, (Table110[[#This Row],[Operating Time]]/IF(AD59&lt;=1,AD59+1,AD59))*60=0),
      1,
      ((Table110[[#This Row],[Operating Time]])/IF(AD59&lt;=1,AD59+1,AD59))*60
   ),
"_")</f>
        <v>1385.2631578947369</v>
      </c>
      <c r="AX59" s="221">
        <f>COUNTIFS('Downtime Data'!A:A,Table110[[#This Row],[Date]])</f>
        <v>0</v>
      </c>
      <c r="AY59" s="219" t="str">
        <f>IFERROR((SUM(Table110[[#This Row],[Minor Stoppages]:[Material Shortages]])/Table110[[#This Row],['# Stops]])*60,"")</f>
        <v/>
      </c>
      <c r="AZ59" s="219"/>
      <c r="BA59" s="33">
        <v>46079</v>
      </c>
    </row>
    <row r="60" spans="1:53" ht="20.149999999999999" customHeight="1" x14ac:dyDescent="0.35">
      <c r="A60" s="21">
        <v>46077</v>
      </c>
      <c r="B60" s="22" t="str">
        <f t="shared" si="1"/>
        <v>Tuesday</v>
      </c>
      <c r="C60" s="22"/>
      <c r="D60" s="23" t="s">
        <v>108</v>
      </c>
      <c r="E60" s="24" cm="1">
        <f t="array" aca="1" ref="E60" ca="1">IFERROR(INDIRECT(D60),"")</f>
        <v>34.200000000000003</v>
      </c>
      <c r="F60" s="25">
        <v>30</v>
      </c>
      <c r="G60" s="26">
        <v>33.200000000000003</v>
      </c>
      <c r="H60" s="27">
        <f ca="1">IFERROR((Table110[[#This Row],[Plan]]/Table110[[#This Row],[Hours Used]])/(Table110[[#This Row],[SOC (TPD)]]/24),"")</f>
        <v>0.8771929824561403</v>
      </c>
      <c r="I60" s="27">
        <f ca="1">IFERROR((Table110[[#This Row],[Volume Delivered (T)]]/Table110[[#This Row],[Hours Used]])/(Table110[[#This Row],[SOC (TPD)]]/24),"")</f>
        <v>0.97076023391812871</v>
      </c>
      <c r="J60" s="234"/>
      <c r="K60" s="234"/>
      <c r="L60" s="28"/>
      <c r="M60" s="25">
        <v>1.1000000000000001</v>
      </c>
      <c r="N60" s="29">
        <v>3.6999999999999998E-2</v>
      </c>
      <c r="O60" s="84">
        <v>12</v>
      </c>
      <c r="P60" s="25"/>
      <c r="Q60" s="25"/>
      <c r="R60" s="70"/>
      <c r="S60" s="71"/>
      <c r="T60" s="30">
        <f>IF(Table110[[#This Row],[SKU]]="",0,24-Table110[[#This Row],[Legal Non-Operating Time]]-Table110[[#This Row],[No Demand Time]]-Table110[[#This Row],[Force Majeure]])</f>
        <v>24</v>
      </c>
      <c r="U60" s="26"/>
      <c r="V60" s="26"/>
      <c r="W60" s="26"/>
      <c r="X60" s="26"/>
      <c r="Y60" s="26"/>
      <c r="Z60" s="26"/>
      <c r="AA60" s="26"/>
      <c r="AB60" s="30">
        <f>Table110[[#This Row],[Hours Used]]-SUM(Table110[[#This Row],[Planned Maintenance]:[Start and Finish Production]])</f>
        <v>24</v>
      </c>
      <c r="AC60" s="26"/>
      <c r="AD60" s="26"/>
      <c r="AE60" s="26"/>
      <c r="AF60" s="26"/>
      <c r="AG60" s="26"/>
      <c r="AH60" s="26"/>
      <c r="AI60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-2.3391812865497741E-2</v>
      </c>
      <c r="AJ60" s="24">
        <f ca="1">IFERROR(IF(Table110[[#This Row],[SKU]]="",0,Table110[[#This Row],[Quality Loss (T)]]/(Table110[[#This Row],[SOC (TPD)]]/24)),"")</f>
        <v>0.77192982456140358</v>
      </c>
      <c r="AK60" s="31">
        <f ca="1">IFERROR(IF(Table110[[#This Row],[SKU]]="",0,Table110[[#This Row],[Volume Delivered (T)]]/(Table110[[#This Row],[SOC (TPD)]]/24)),"")</f>
        <v>23.298245614035089</v>
      </c>
      <c r="AL60" s="31">
        <f ca="1">IFERROR(Table110[[#This Row],[Operating Time]]/Table110[[#This Row],[PRODUCTION HOURS]],"")</f>
        <v>0.97076023391812871</v>
      </c>
      <c r="AM60" s="32"/>
      <c r="AN60" s="32" t="s">
        <v>107</v>
      </c>
      <c r="AO60" s="32" t="s">
        <v>107</v>
      </c>
      <c r="AP60" s="32">
        <v>0</v>
      </c>
      <c r="AQ60" s="32">
        <v>0</v>
      </c>
      <c r="AR60" s="32"/>
      <c r="AS60" s="32" t="str">
        <f>IFERROR(SUMIFS(#REF!,#REF!,'Shift Wise-Data Sheet'!A:A,#REF!,"Samridhi Perk Line")/SUMIFS(#REF!,#REF!,'Shift Wise-Data Sheet'!A:A,#REF!,"Samridhi Perk Line"),"")</f>
        <v/>
      </c>
      <c r="AT60" s="32"/>
      <c r="AU60" s="32"/>
      <c r="AV60" s="211">
        <f>IFERROR(VLOOKUP(Table110[[#This Row],[Date]],'Overweight Data'!A58:G1153,6,FALSE),"")</f>
        <v>2.9189686924493544E-2</v>
      </c>
      <c r="AW60" s="221">
        <f ca="1">IFERROR(
   IF(
      OR(Table110[[#This Row],[Operating Time]]=0, (Table110[[#This Row],[Operating Time]]/IF(AD60&lt;=1,AD60+1,AD60))*60=0),
      1,
      ((Table110[[#This Row],[Operating Time]])/IF(AD60&lt;=1,AD60+1,AD60))*60
   ),
"_")</f>
        <v>1397.8947368421054</v>
      </c>
      <c r="AX60" s="221">
        <f>COUNTIFS('Downtime Data'!A:A,Table110[[#This Row],[Date]])</f>
        <v>0</v>
      </c>
      <c r="AY60" s="219" t="str">
        <f>IFERROR((SUM(Table110[[#This Row],[Minor Stoppages]:[Material Shortages]])/Table110[[#This Row],['# Stops]])*60,"")</f>
        <v/>
      </c>
      <c r="AZ60" s="219"/>
      <c r="BA60" s="33">
        <v>46079</v>
      </c>
    </row>
    <row r="61" spans="1:53" ht="20.149999999999999" customHeight="1" x14ac:dyDescent="0.35">
      <c r="A61" s="21">
        <v>46078</v>
      </c>
      <c r="B61" s="22" t="str">
        <f t="shared" si="1"/>
        <v>Wednesday</v>
      </c>
      <c r="C61" s="22"/>
      <c r="D61" s="23" t="s">
        <v>108</v>
      </c>
      <c r="E61" s="24" cm="1">
        <f t="array" aca="1" ref="E61" ca="1">IFERROR(INDIRECT(D61),"")</f>
        <v>34.200000000000003</v>
      </c>
      <c r="F61" s="25">
        <v>30</v>
      </c>
      <c r="G61" s="26">
        <v>26.5</v>
      </c>
      <c r="H61" s="27">
        <f ca="1">IFERROR((Table110[[#This Row],[Plan]]/Table110[[#This Row],[Hours Used]])/(Table110[[#This Row],[SOC (TPD)]]/24),"")</f>
        <v>0.8771929824561403</v>
      </c>
      <c r="I61" s="27">
        <f ca="1">IFERROR((Table110[[#This Row],[Volume Delivered (T)]]/Table110[[#This Row],[Hours Used]])/(Table110[[#This Row],[SOC (TPD)]]/24),"")</f>
        <v>0.77485380116959068</v>
      </c>
      <c r="J61" s="234"/>
      <c r="K61" s="234"/>
      <c r="L61" s="28"/>
      <c r="M61" s="25">
        <v>1.1000000000000001</v>
      </c>
      <c r="N61" s="29">
        <v>3.6999999999999998E-2</v>
      </c>
      <c r="O61" s="84">
        <v>12</v>
      </c>
      <c r="P61" s="25"/>
      <c r="Q61" s="25"/>
      <c r="R61" s="70"/>
      <c r="S61" s="71"/>
      <c r="T61" s="30">
        <f>IF(Table110[[#This Row],[SKU]]="",0,24-Table110[[#This Row],[Legal Non-Operating Time]]-Table110[[#This Row],[No Demand Time]]-Table110[[#This Row],[Force Majeure]])</f>
        <v>24</v>
      </c>
      <c r="U61" s="26"/>
      <c r="V61" s="26"/>
      <c r="W61" s="26"/>
      <c r="X61" s="26"/>
      <c r="Y61" s="26"/>
      <c r="Z61" s="26"/>
      <c r="AA61" s="26"/>
      <c r="AB61" s="30">
        <f>Table110[[#This Row],[Hours Used]]-SUM(Table110[[#This Row],[Planned Maintenance]:[Start and Finish Production]])</f>
        <v>24</v>
      </c>
      <c r="AC61" s="26"/>
      <c r="AD61" s="26"/>
      <c r="AE61" s="26"/>
      <c r="AF61" s="26"/>
      <c r="AG61" s="26"/>
      <c r="AH61" s="26"/>
      <c r="AI61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1.5438596491228072</v>
      </c>
      <c r="AJ61" s="24">
        <f ca="1">IFERROR(IF(Table110[[#This Row],[SKU]]="",0,Table110[[#This Row],[Quality Loss (T)]]/(Table110[[#This Row],[SOC (TPD)]]/24)),"")</f>
        <v>0.77192982456140358</v>
      </c>
      <c r="AK61" s="31">
        <f ca="1">IFERROR(IF(Table110[[#This Row],[SKU]]="",0,Table110[[#This Row],[Volume Delivered (T)]]/(Table110[[#This Row],[SOC (TPD)]]/24)),"")</f>
        <v>18.596491228070175</v>
      </c>
      <c r="AL61" s="31">
        <f ca="1">IFERROR(Table110[[#This Row],[Operating Time]]/Table110[[#This Row],[PRODUCTION HOURS]],"")</f>
        <v>0.77485380116959057</v>
      </c>
      <c r="AM61" s="32"/>
      <c r="AN61" s="32"/>
      <c r="AO61" s="32"/>
      <c r="AP61" s="32">
        <v>0</v>
      </c>
      <c r="AQ61" s="32">
        <v>0</v>
      </c>
      <c r="AR61" s="32"/>
      <c r="AS61" s="32" t="str">
        <f>IFERROR(SUMIFS(#REF!,#REF!,'Shift Wise-Data Sheet'!A:A,#REF!,"Samridhi Perk Line")/SUMIFS(#REF!,#REF!,'Shift Wise-Data Sheet'!A:A,#REF!,"Samridhi Perk Line"),"")</f>
        <v/>
      </c>
      <c r="AT61" s="32"/>
      <c r="AU61" s="32"/>
      <c r="AV61" s="211" t="str">
        <f>IFERROR(VLOOKUP(Table110[[#This Row],[Date]],'Overweight Data'!A59:G1154,6,FALSE),"")</f>
        <v/>
      </c>
      <c r="AW61" s="221">
        <f ca="1">IFERROR(
   IF(
      OR(Table110[[#This Row],[Operating Time]]=0, (Table110[[#This Row],[Operating Time]]/IF(AD61&lt;=1,AD61+1,AD61))*60=0),
      1,
      ((Table110[[#This Row],[Operating Time]])/IF(AD61&lt;=1,AD61+1,AD61))*60
   ),
"_")</f>
        <v>1115.7894736842104</v>
      </c>
      <c r="AX61" s="221">
        <f>COUNTIFS('Downtime Data'!A:A,Table110[[#This Row],[Date]])</f>
        <v>0</v>
      </c>
      <c r="AY61" s="219" t="str">
        <f>IFERROR((SUM(Table110[[#This Row],[Minor Stoppages]:[Material Shortages]])/Table110[[#This Row],['# Stops]])*60,"")</f>
        <v/>
      </c>
      <c r="AZ61" s="219"/>
      <c r="BA61" s="33">
        <v>46079</v>
      </c>
    </row>
    <row r="62" spans="1:53" ht="20.149999999999999" customHeight="1" x14ac:dyDescent="0.35">
      <c r="A62" s="21">
        <v>46079</v>
      </c>
      <c r="B62" s="22" t="str">
        <f t="shared" si="1"/>
        <v>Thursday</v>
      </c>
      <c r="C62" s="22"/>
      <c r="D62" s="23" t="s">
        <v>108</v>
      </c>
      <c r="E62" s="24" cm="1">
        <f t="array" aca="1" ref="E62" ca="1">IFERROR(INDIRECT(D62),"")</f>
        <v>34.200000000000003</v>
      </c>
      <c r="F62" s="25">
        <v>27</v>
      </c>
      <c r="G62" s="26">
        <f>24.1-6.6</f>
        <v>17.5</v>
      </c>
      <c r="H62" s="27">
        <f ca="1">IFERROR((Table110[[#This Row],[Plan]]/Table110[[#This Row],[Hours Used]])/(Table110[[#This Row],[SOC (TPD)]]/24),"")</f>
        <v>1.1842105263157894</v>
      </c>
      <c r="I62" s="27">
        <f ca="1">IFERROR((Table110[[#This Row],[Volume Delivered (T)]]/Table110[[#This Row],[Hours Used]])/(Table110[[#This Row],[SOC (TPD)]]/24),"")</f>
        <v>0.76754385964912275</v>
      </c>
      <c r="J62" s="234"/>
      <c r="K62" s="234">
        <v>8</v>
      </c>
      <c r="L62" s="28"/>
      <c r="M62" s="25">
        <v>1.1000000000000001</v>
      </c>
      <c r="N62" s="29">
        <v>3.5999999999999997E-2</v>
      </c>
      <c r="O62" s="84">
        <v>11</v>
      </c>
      <c r="P62" s="25"/>
      <c r="Q62" s="25"/>
      <c r="R62" s="70"/>
      <c r="S62" s="71"/>
      <c r="T62" s="30">
        <f>IF(Table110[[#This Row],[SKU]]="",0,24-Table110[[#This Row],[Legal Non-Operating Time]]-Table110[[#This Row],[No Demand Time]]-Table110[[#This Row],[Force Majeure]])</f>
        <v>16</v>
      </c>
      <c r="U62" s="26"/>
      <c r="V62" s="26"/>
      <c r="W62" s="26">
        <v>2.2999999999999998</v>
      </c>
      <c r="X62" s="26"/>
      <c r="Y62" s="26"/>
      <c r="Z62" s="26"/>
      <c r="AA62" s="26"/>
      <c r="AB62" s="30">
        <f>Table110[[#This Row],[Hours Used]]-SUM(Table110[[#This Row],[Planned Maintenance]:[Start and Finish Production]])</f>
        <v>13.7</v>
      </c>
      <c r="AC62" s="26"/>
      <c r="AD62" s="26"/>
      <c r="AE62" s="26"/>
      <c r="AF62" s="26"/>
      <c r="AG62" s="26"/>
      <c r="AH62" s="26"/>
      <c r="AI62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0.21578947368421039</v>
      </c>
      <c r="AJ62" s="24">
        <f ca="1">IFERROR(IF(Table110[[#This Row],[SKU]]="",0,Table110[[#This Row],[Quality Loss (T)]]/(Table110[[#This Row],[SOC (TPD)]]/24)),"")</f>
        <v>0.77192982456140358</v>
      </c>
      <c r="AK62" s="31">
        <f ca="1">IFERROR(IF(Table110[[#This Row],[SKU]]="",0,Table110[[#This Row],[Volume Delivered (T)]]/(Table110[[#This Row],[SOC (TPD)]]/24)),"")</f>
        <v>12.280701754385964</v>
      </c>
      <c r="AL62" s="31">
        <f ca="1">IFERROR(Table110[[#This Row],[Operating Time]]/Table110[[#This Row],[PRODUCTION HOURS]],"")</f>
        <v>0.89640158791138425</v>
      </c>
      <c r="AM62" s="32"/>
      <c r="AN62" s="32"/>
      <c r="AO62" s="32"/>
      <c r="AP62" s="32">
        <v>0</v>
      </c>
      <c r="AQ62" s="32">
        <v>0</v>
      </c>
      <c r="AR62" s="32"/>
      <c r="AS62" s="32" t="str">
        <f>IFERROR(SUMIFS(#REF!,#REF!,'Shift Wise-Data Sheet'!A:A,#REF!,"Samridhi Perk Line")/SUMIFS(#REF!,#REF!,'Shift Wise-Data Sheet'!A:A,#REF!,"Samridhi Perk Line"),"")</f>
        <v/>
      </c>
      <c r="AT62" s="32"/>
      <c r="AU62" s="32"/>
      <c r="AV62" s="211" t="str">
        <f>IFERROR(VLOOKUP(Table110[[#This Row],[Date]],'Overweight Data'!A60:G1155,6,FALSE),"")</f>
        <v/>
      </c>
      <c r="AW62" s="221">
        <f ca="1">IFERROR(
   IF(
      OR(Table110[[#This Row],[Operating Time]]=0, (Table110[[#This Row],[Operating Time]]/IF(AD62&lt;=1,AD62+1,AD62))*60=0),
      1,
      ((Table110[[#This Row],[Operating Time]])/IF(AD62&lt;=1,AD62+1,AD62))*60
   ),
"_")</f>
        <v>736.8421052631578</v>
      </c>
      <c r="AX62" s="221">
        <f>COUNTIFS('Downtime Data'!A:A,Table110[[#This Row],[Date]])</f>
        <v>0</v>
      </c>
      <c r="AY62" s="219" t="str">
        <f>IFERROR((SUM(Table110[[#This Row],[Minor Stoppages]:[Material Shortages]])/Table110[[#This Row],['# Stops]])*60,"")</f>
        <v/>
      </c>
      <c r="AZ62" s="219"/>
      <c r="BA62" s="33">
        <v>46079</v>
      </c>
    </row>
    <row r="63" spans="1:53" ht="20.149999999999999" customHeight="1" x14ac:dyDescent="0.35">
      <c r="A63" s="21">
        <v>46080</v>
      </c>
      <c r="B63" s="22" t="str">
        <f t="shared" si="1"/>
        <v>Friday</v>
      </c>
      <c r="C63" s="22"/>
      <c r="D63" s="23"/>
      <c r="E63" s="24" t="str" cm="1">
        <f t="array" aca="1" ref="E63" ca="1">IFERROR(INDIRECT(D63),"")</f>
        <v/>
      </c>
      <c r="F63" s="25"/>
      <c r="G63" s="26"/>
      <c r="H63" s="27" t="str">
        <f ca="1">IFERROR((Table110[[#This Row],[Plan]]/Table110[[#This Row],[Hours Used]])/(Table110[[#This Row],[SOC (TPD)]]/24),"")</f>
        <v/>
      </c>
      <c r="I63" s="27" t="str">
        <f ca="1">IFERROR((Table110[[#This Row],[Volume Delivered (T)]]/Table110[[#This Row],[Hours Used]])/(Table110[[#This Row],[SOC (TPD)]]/24),"")</f>
        <v/>
      </c>
      <c r="J63" s="234"/>
      <c r="K63" s="234"/>
      <c r="L63" s="28"/>
      <c r="M63" s="25"/>
      <c r="N63" s="29"/>
      <c r="O63" s="84"/>
      <c r="P63" s="25"/>
      <c r="Q63" s="25"/>
      <c r="R63" s="70"/>
      <c r="S63" s="71"/>
      <c r="T63" s="30">
        <f>IF(Table110[[#This Row],[SKU]]="",0,24-Table110[[#This Row],[Legal Non-Operating Time]]-Table110[[#This Row],[No Demand Time]]-Table110[[#This Row],[Force Majeure]])</f>
        <v>0</v>
      </c>
      <c r="U63" s="26"/>
      <c r="V63" s="26"/>
      <c r="W63" s="26"/>
      <c r="X63" s="26"/>
      <c r="Y63" s="26"/>
      <c r="Z63" s="26"/>
      <c r="AA63" s="26"/>
      <c r="AB63" s="30">
        <f>Table110[[#This Row],[Hours Used]]-SUM(Table110[[#This Row],[Planned Maintenance]:[Start and Finish Production]])</f>
        <v>0</v>
      </c>
      <c r="AC63" s="26"/>
      <c r="AD63" s="26"/>
      <c r="AE63" s="26"/>
      <c r="AF63" s="26"/>
      <c r="AG63" s="26"/>
      <c r="AH63" s="26"/>
      <c r="AI63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63" s="24">
        <f>IFERROR(IF(Table110[[#This Row],[SKU]]="",0,Table110[[#This Row],[Quality Loss (T)]]/(Table110[[#This Row],[SOC (TPD)]]/24)),"")</f>
        <v>0</v>
      </c>
      <c r="AK63" s="31">
        <f>IFERROR(IF(Table110[[#This Row],[SKU]]="",0,Table110[[#This Row],[Volume Delivered (T)]]/(Table110[[#This Row],[SOC (TPD)]]/24)),"")</f>
        <v>0</v>
      </c>
      <c r="AL63" s="31" t="str">
        <f>IFERROR(Table110[[#This Row],[Operating Time]]/Table110[[#This Row],[PRODUCTION HOURS]],"")</f>
        <v/>
      </c>
      <c r="AM63" s="32"/>
      <c r="AN63" s="32"/>
      <c r="AO63" s="32"/>
      <c r="AP63" s="32">
        <v>0</v>
      </c>
      <c r="AQ63" s="32">
        <v>0</v>
      </c>
      <c r="AR63" s="32"/>
      <c r="AS63" s="32" t="str">
        <f>IFERROR(SUMIFS(#REF!,#REF!,'Shift Wise-Data Sheet'!A:A,#REF!,"Samridhi Perk Line")/SUMIFS(#REF!,#REF!,'Shift Wise-Data Sheet'!A:A,#REF!,"Samridhi Perk Line"),"")</f>
        <v/>
      </c>
      <c r="AT63" s="32"/>
      <c r="AU63" s="32"/>
      <c r="AV63" s="211" t="str">
        <f>IFERROR(VLOOKUP(Table110[[#This Row],[Date]],'Overweight Data'!A61:G1156,6,FALSE),"")</f>
        <v/>
      </c>
      <c r="AW63" s="221">
        <f>IFERROR(
   IF(
      OR(Table110[[#This Row],[Operating Time]]=0, (Table110[[#This Row],[Operating Time]]/IF(AD63&lt;=1,AD63+1,AD63))*60=0),
      1,
      ((Table110[[#This Row],[Operating Time]])/IF(AD63&lt;=1,AD63+1,AD63))*60
   ),
"_")</f>
        <v>1</v>
      </c>
      <c r="AX63" s="221">
        <f>COUNTIFS('Downtime Data'!A:A,Table110[[#This Row],[Date]])</f>
        <v>0</v>
      </c>
      <c r="AY63" s="219" t="str">
        <f>IFERROR((SUM(Table110[[#This Row],[Minor Stoppages]:[Material Shortages]])/Table110[[#This Row],['# Stops]])*60,"")</f>
        <v/>
      </c>
      <c r="AZ63" s="219"/>
      <c r="BA63" s="33">
        <v>46079</v>
      </c>
    </row>
    <row r="64" spans="1:53" ht="20.149999999999999" customHeight="1" x14ac:dyDescent="0.35">
      <c r="A64" s="21">
        <v>46081</v>
      </c>
      <c r="B64" s="22" t="str">
        <f t="shared" si="1"/>
        <v>Saturday</v>
      </c>
      <c r="C64" s="22"/>
      <c r="D64" s="23"/>
      <c r="E64" s="24" t="str" cm="1">
        <f t="array" aca="1" ref="E64" ca="1">IFERROR(INDIRECT(D64),"")</f>
        <v/>
      </c>
      <c r="F64" s="25"/>
      <c r="G64" s="26"/>
      <c r="H64" s="27" t="str">
        <f ca="1">IFERROR((Table110[[#This Row],[Plan]]/Table110[[#This Row],[Hours Used]])/(Table110[[#This Row],[SOC (TPD)]]/24),"")</f>
        <v/>
      </c>
      <c r="I64" s="27" t="str">
        <f ca="1">IFERROR((Table110[[#This Row],[Volume Delivered (T)]]/Table110[[#This Row],[Hours Used]])/(Table110[[#This Row],[SOC (TPD)]]/24),"")</f>
        <v/>
      </c>
      <c r="J64" s="234"/>
      <c r="K64" s="234"/>
      <c r="L64" s="28"/>
      <c r="M64" s="25"/>
      <c r="N64" s="29"/>
      <c r="O64" s="84"/>
      <c r="P64" s="25"/>
      <c r="Q64" s="25"/>
      <c r="R64" s="70"/>
      <c r="S64" s="71"/>
      <c r="T64" s="30">
        <f>IF(Table110[[#This Row],[SKU]]="",0,24-Table110[[#This Row],[Legal Non-Operating Time]]-Table110[[#This Row],[No Demand Time]]-Table110[[#This Row],[Force Majeure]])</f>
        <v>0</v>
      </c>
      <c r="U64" s="26"/>
      <c r="V64" s="26"/>
      <c r="W64" s="26"/>
      <c r="X64" s="26"/>
      <c r="Y64" s="26"/>
      <c r="Z64" s="26"/>
      <c r="AA64" s="26"/>
      <c r="AB64" s="30">
        <f>Table110[[#This Row],[Hours Used]]-SUM(Table110[[#This Row],[Planned Maintenance]:[Start and Finish Production]])</f>
        <v>0</v>
      </c>
      <c r="AC64" s="26"/>
      <c r="AD64" s="26"/>
      <c r="AE64" s="26"/>
      <c r="AF64" s="26"/>
      <c r="AG64" s="26"/>
      <c r="AH64" s="26"/>
      <c r="AI64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64" s="24">
        <f>IFERROR(IF(Table110[[#This Row],[SKU]]="",0,Table110[[#This Row],[Quality Loss (T)]]/(Table110[[#This Row],[SOC (TPD)]]/24)),"")</f>
        <v>0</v>
      </c>
      <c r="AK64" s="31">
        <f>IFERROR(IF(Table110[[#This Row],[SKU]]="",0,Table110[[#This Row],[Volume Delivered (T)]]/(Table110[[#This Row],[SOC (TPD)]]/24)),"")</f>
        <v>0</v>
      </c>
      <c r="AL64" s="31" t="str">
        <f>IFERROR(Table110[[#This Row],[Operating Time]]/Table110[[#This Row],[PRODUCTION HOURS]],"")</f>
        <v/>
      </c>
      <c r="AM64" s="32"/>
      <c r="AN64" s="32"/>
      <c r="AO64" s="32"/>
      <c r="AP64" s="32">
        <v>4</v>
      </c>
      <c r="AQ64" s="32">
        <v>4</v>
      </c>
      <c r="AR64" s="32"/>
      <c r="AS64" s="32" t="str">
        <f>IFERROR(SUMIFS(#REF!,#REF!,'Shift Wise-Data Sheet'!A:A,#REF!,"Samridhi Perk Line")/SUMIFS(#REF!,#REF!,'Shift Wise-Data Sheet'!A:A,#REF!,"Samridhi Perk Line"),"")</f>
        <v/>
      </c>
      <c r="AT64" s="32"/>
      <c r="AU64" s="32"/>
      <c r="AV64" s="211" t="str">
        <f>IFERROR(VLOOKUP(Table110[[#This Row],[Date]],'Overweight Data'!A62:G1157,6,FALSE),"")</f>
        <v/>
      </c>
      <c r="AW64" s="221">
        <f>IFERROR(
   IF(
      OR(Table110[[#This Row],[Operating Time]]=0, (Table110[[#This Row],[Operating Time]]/IF(AD64&lt;=1,AD64+1,AD64))*60=0),
      1,
      ((Table110[[#This Row],[Operating Time]])/IF(AD64&lt;=1,AD64+1,AD64))*60
   ),
"_")</f>
        <v>1</v>
      </c>
      <c r="AX64" s="221">
        <f>COUNTIFS('Downtime Data'!A:A,Table110[[#This Row],[Date]])</f>
        <v>0</v>
      </c>
      <c r="AY64" s="219" t="str">
        <f>IFERROR((SUM(Table110[[#This Row],[Minor Stoppages]:[Material Shortages]])/Table110[[#This Row],['# Stops]])*60,"")</f>
        <v/>
      </c>
      <c r="AZ64" s="219"/>
      <c r="BA64" s="33">
        <v>46079</v>
      </c>
    </row>
    <row r="65" spans="1:53" ht="20.149999999999999" customHeight="1" x14ac:dyDescent="0.35">
      <c r="A65" s="21">
        <v>46082</v>
      </c>
      <c r="B65" s="22" t="str">
        <f t="shared" si="1"/>
        <v>Sunday</v>
      </c>
      <c r="C65" s="22"/>
      <c r="D65" s="23"/>
      <c r="E65" s="24" t="str" cm="1">
        <f t="array" aca="1" ref="E65" ca="1">IFERROR(INDIRECT(D65),"")</f>
        <v/>
      </c>
      <c r="F65" s="25"/>
      <c r="G65" s="26"/>
      <c r="H65" s="27" t="str">
        <f ca="1">IFERROR((Table110[[#This Row],[Plan]]/Table110[[#This Row],[Hours Used]])/(Table110[[#This Row],[SOC (TPD)]]/24),"")</f>
        <v/>
      </c>
      <c r="I65" s="27" t="str">
        <f ca="1">IFERROR((Table110[[#This Row],[Volume Delivered (T)]]/Table110[[#This Row],[Hours Used]])/(Table110[[#This Row],[SOC (TPD)]]/24),"")</f>
        <v/>
      </c>
      <c r="J65" s="28"/>
      <c r="K65" s="28"/>
      <c r="L65" s="28"/>
      <c r="M65" s="25"/>
      <c r="N65" s="29">
        <v>3.9E-2</v>
      </c>
      <c r="O65" s="84"/>
      <c r="P65" s="25"/>
      <c r="Q65" s="25"/>
      <c r="R65" s="70"/>
      <c r="S65" s="71"/>
      <c r="T65" s="30">
        <f>IF(Table110[[#This Row],[SKU]]="",0,24-Table110[[#This Row],[Legal Non-Operating Time]]-Table110[[#This Row],[No Demand Time]]-Table110[[#This Row],[Force Majeure]])</f>
        <v>0</v>
      </c>
      <c r="U65" s="26"/>
      <c r="V65" s="26"/>
      <c r="W65" s="26"/>
      <c r="X65" s="26"/>
      <c r="Y65" s="26"/>
      <c r="Z65" s="26"/>
      <c r="AA65" s="26"/>
      <c r="AB65" s="30">
        <f>Table110[[#This Row],[Hours Used]]-SUM(Table110[[#This Row],[Planned Maintenance]:[Start and Finish Production]])</f>
        <v>0</v>
      </c>
      <c r="AC65" s="26"/>
      <c r="AD65" s="26"/>
      <c r="AE65" s="26"/>
      <c r="AF65" s="26"/>
      <c r="AG65" s="26"/>
      <c r="AH65" s="26"/>
      <c r="AI65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65" s="24">
        <f>IFERROR(IF(Table110[[#This Row],[SKU]]="",0,Table110[[#This Row],[Quality Loss (T)]]/(Table110[[#This Row],[SOC (TPD)]]/24)),"")</f>
        <v>0</v>
      </c>
      <c r="AK65" s="31">
        <f>IFERROR(IF(Table110[[#This Row],[SKU]]="",0,Table110[[#This Row],[Volume Delivered (T)]]/(Table110[[#This Row],[SOC (TPD)]]/24)),"")</f>
        <v>0</v>
      </c>
      <c r="AL65" s="31" t="str">
        <f>IFERROR(Table110[[#This Row],[Operating Time]]/Table110[[#This Row],[PRODUCTION HOURS]],"")</f>
        <v/>
      </c>
      <c r="AM65" s="32">
        <v>69</v>
      </c>
      <c r="AN65" s="32" t="s">
        <v>107</v>
      </c>
      <c r="AO65" s="32" t="s">
        <v>107</v>
      </c>
      <c r="AP65" s="32">
        <v>0</v>
      </c>
      <c r="AQ65" s="32">
        <v>0</v>
      </c>
      <c r="AR65" s="32"/>
      <c r="AS65" s="32" t="str">
        <f>IFERROR(SUMIFS(#REF!,#REF!,'Shift Wise-Data Sheet'!A:A,#REF!,"Samridhi Perk Line")/SUMIFS(#REF!,#REF!,'Shift Wise-Data Sheet'!A:A,#REF!,"Samridhi Perk Line"),"")</f>
        <v/>
      </c>
      <c r="AT65" s="32"/>
      <c r="AU65" s="32"/>
      <c r="AV65" s="211" t="str">
        <f>IFERROR(VLOOKUP(Table110[[#This Row],[Date]],'Overweight Data'!A63:G1158,6,FALSE),"")</f>
        <v/>
      </c>
      <c r="AW65" s="221">
        <f>IFERROR(
   IF(
      OR(Table110[[#This Row],[Operating Time]]=0, (Table110[[#This Row],[Operating Time]]/IF(AD65&lt;=1,AD65+1,AD65))*60=0),
      1,
      ((Table110[[#This Row],[Operating Time]])/IF(AD65&lt;=1,AD65+1,AD65))*60
   ),
"_")</f>
        <v>1</v>
      </c>
      <c r="AX65" s="221">
        <f>COUNTIFS('Downtime Data'!A:A,Table110[[#This Row],[Date]])</f>
        <v>0</v>
      </c>
      <c r="AY65" s="219" t="str">
        <f>IFERROR((SUM(Table110[[#This Row],[Minor Stoppages]:[Material Shortages]])/Table110[[#This Row],['# Stops]])*60,"")</f>
        <v/>
      </c>
      <c r="AZ65" s="219"/>
      <c r="BA65" s="33">
        <v>46079</v>
      </c>
    </row>
    <row r="66" spans="1:53" ht="20.149999999999999" customHeight="1" x14ac:dyDescent="0.35">
      <c r="A66" s="21">
        <v>46083</v>
      </c>
      <c r="B66" s="22" t="str">
        <f t="shared" si="1"/>
        <v>Monday</v>
      </c>
      <c r="C66" s="22"/>
      <c r="D66" s="23" t="s">
        <v>108</v>
      </c>
      <c r="E66" s="24" cm="1">
        <f t="array" aca="1" ref="E66" ca="1">IFERROR(INDIRECT(D66),"")</f>
        <v>34.200000000000003</v>
      </c>
      <c r="F66" s="25">
        <v>4</v>
      </c>
      <c r="G66" s="26">
        <v>4.3959999999999999</v>
      </c>
      <c r="H66" s="27">
        <f ca="1">IFERROR((Table110[[#This Row],[Plan]]/Table110[[#This Row],[Hours Used]])/(Table110[[#This Row],[SOC (TPD)]]/24),"")</f>
        <v>0.70175438596491224</v>
      </c>
      <c r="I66" s="27">
        <f ca="1">IFERROR((Table110[[#This Row],[Volume Delivered (T)]]/Table110[[#This Row],[Hours Used]])/(Table110[[#This Row],[SOC (TPD)]]/24),"")</f>
        <v>0.7712280701754386</v>
      </c>
      <c r="J66" s="28"/>
      <c r="K66" s="28">
        <v>20</v>
      </c>
      <c r="L66" s="28"/>
      <c r="M66" s="25"/>
      <c r="N66" s="29">
        <v>3.9E-2</v>
      </c>
      <c r="O66" s="84">
        <v>10</v>
      </c>
      <c r="P66" s="25"/>
      <c r="Q66" s="25"/>
      <c r="R66" s="70"/>
      <c r="S66" s="71"/>
      <c r="T66" s="30">
        <f>IF(Table110[[#This Row],[SKU]]="",0,24-Table110[[#This Row],[Legal Non-Operating Time]]-Table110[[#This Row],[No Demand Time]]-Table110[[#This Row],[Force Majeure]])</f>
        <v>4</v>
      </c>
      <c r="U66" s="26"/>
      <c r="V66" s="26"/>
      <c r="W66" s="26"/>
      <c r="X66" s="26"/>
      <c r="Y66" s="26"/>
      <c r="Z66" s="26"/>
      <c r="AA66" s="26"/>
      <c r="AB66" s="30">
        <f>Table110[[#This Row],[Hours Used]]-SUM(Table110[[#This Row],[Planned Maintenance]:[Start and Finish Production]])</f>
        <v>4</v>
      </c>
      <c r="AC66" s="26"/>
      <c r="AD66" s="26"/>
      <c r="AE66" s="26"/>
      <c r="AF66" s="26"/>
      <c r="AG66" s="26"/>
      <c r="AH66" s="26"/>
      <c r="AI66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0.30502923976608187</v>
      </c>
      <c r="AJ66" s="24">
        <f ca="1">IFERROR(IF(Table110[[#This Row],[SKU]]="",0,Table110[[#This Row],[Quality Loss (T)]]/(Table110[[#This Row],[SOC (TPD)]]/24)),"")</f>
        <v>0</v>
      </c>
      <c r="AK66" s="31">
        <f ca="1">IFERROR(IF(Table110[[#This Row],[SKU]]="",0,Table110[[#This Row],[Volume Delivered (T)]]/(Table110[[#This Row],[SOC (TPD)]]/24)),"")</f>
        <v>3.0849122807017544</v>
      </c>
      <c r="AL66" s="31">
        <f ca="1">IFERROR(Table110[[#This Row],[Operating Time]]/Table110[[#This Row],[PRODUCTION HOURS]],"")</f>
        <v>0.7712280701754386</v>
      </c>
      <c r="AM66" s="32">
        <v>45</v>
      </c>
      <c r="AN66" s="32" t="s">
        <v>107</v>
      </c>
      <c r="AO66" s="32" t="s">
        <v>107</v>
      </c>
      <c r="AP66" s="32">
        <v>0</v>
      </c>
      <c r="AQ66" s="32">
        <v>0</v>
      </c>
      <c r="AR66" s="32"/>
      <c r="AS66" s="32" t="str">
        <f>IFERROR(SUMIFS(#REF!,#REF!,'Shift Wise-Data Sheet'!A:A,#REF!,"Samridhi Perk Line")/SUMIFS(#REF!,#REF!,'Shift Wise-Data Sheet'!A:A,#REF!,"Samridhi Perk Line"),"")</f>
        <v/>
      </c>
      <c r="AT66" s="32"/>
      <c r="AU66" s="32"/>
      <c r="AV66" s="211" t="str">
        <f>IFERROR(VLOOKUP(Table110[[#This Row],[Date]],'Overweight Data'!A64:G1159,6,FALSE),"")</f>
        <v/>
      </c>
      <c r="AW66" s="221">
        <f ca="1">IFERROR(
   IF(
      OR(Table110[[#This Row],[Operating Time]]=0, (Table110[[#This Row],[Operating Time]]/IF(AD66&lt;=1,AD66+1,AD66))*60=0),
      1,
      ((Table110[[#This Row],[Operating Time]])/IF(AD66&lt;=1,AD66+1,AD66))*60
   ),
"_")</f>
        <v>185.09473684210525</v>
      </c>
      <c r="AX66" s="221">
        <f>COUNTIFS('Downtime Data'!A:A,Table110[[#This Row],[Date]])</f>
        <v>0</v>
      </c>
      <c r="AY66" s="219" t="str">
        <f>IFERROR((SUM(Table110[[#This Row],[Minor Stoppages]:[Material Shortages]])/Table110[[#This Row],['# Stops]])*60,"")</f>
        <v/>
      </c>
      <c r="AZ66" s="219"/>
      <c r="BA66" s="33">
        <v>46107</v>
      </c>
    </row>
    <row r="67" spans="1:53" ht="20.149999999999999" customHeight="1" x14ac:dyDescent="0.35">
      <c r="A67" s="21">
        <v>46084</v>
      </c>
      <c r="B67" s="22" t="str">
        <f t="shared" si="1"/>
        <v>Tuesday</v>
      </c>
      <c r="C67" s="22"/>
      <c r="D67" s="23" t="s">
        <v>108</v>
      </c>
      <c r="E67" s="24" cm="1">
        <f t="array" aca="1" ref="E67" ca="1">IFERROR(INDIRECT(D67),"")</f>
        <v>34.200000000000003</v>
      </c>
      <c r="F67" s="26">
        <v>28.6</v>
      </c>
      <c r="G67" s="26">
        <f>28.6-4.4</f>
        <v>24.200000000000003</v>
      </c>
      <c r="H67" s="27">
        <f ca="1">IFERROR((Table110[[#This Row],[Plan]]/Table110[[#This Row],[Hours Used]])/(Table110[[#This Row],[SOC (TPD)]]/24),"")</f>
        <v>0.83625730994152048</v>
      </c>
      <c r="I67" s="27">
        <f ca="1">IFERROR((Table110[[#This Row],[Volume Delivered (T)]]/Table110[[#This Row],[Hours Used]])/(Table110[[#This Row],[SOC (TPD)]]/24),"")</f>
        <v>0.70760233918128668</v>
      </c>
      <c r="J67" s="28"/>
      <c r="K67" s="28"/>
      <c r="L67" s="28"/>
      <c r="M67" s="25"/>
      <c r="N67" s="29">
        <v>3.9E-2</v>
      </c>
      <c r="O67" s="84">
        <v>5</v>
      </c>
      <c r="P67" s="25"/>
      <c r="Q67" s="25">
        <v>4.5</v>
      </c>
      <c r="R67" s="70"/>
      <c r="S67" s="71"/>
      <c r="T67" s="30">
        <f>IF(Table110[[#This Row],[SKU]]="",0,24-Table110[[#This Row],[Legal Non-Operating Time]]-Table110[[#This Row],[No Demand Time]]-Table110[[#This Row],[Force Majeure]])</f>
        <v>24</v>
      </c>
      <c r="U67" s="26"/>
      <c r="V67" s="26"/>
      <c r="W67" s="26"/>
      <c r="X67" s="26"/>
      <c r="Y67" s="26"/>
      <c r="Z67" s="26"/>
      <c r="AA67" s="26">
        <v>4</v>
      </c>
      <c r="AB67" s="30">
        <f>Table110[[#This Row],[Hours Used]]-SUM(Table110[[#This Row],[Planned Maintenance]:[Start and Finish Production]])</f>
        <v>20</v>
      </c>
      <c r="AC67" s="26"/>
      <c r="AD67" s="26"/>
      <c r="AE67" s="26"/>
      <c r="AF67" s="26"/>
      <c r="AG67" s="26"/>
      <c r="AH67" s="26"/>
      <c r="AI67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1.0058479532163733</v>
      </c>
      <c r="AJ67" s="24">
        <f ca="1">IFERROR(IF(Table110[[#This Row],[SKU]]="",0,Table110[[#This Row],[Quality Loss (T)]]/(Table110[[#This Row],[SOC (TPD)]]/24)),"")</f>
        <v>0</v>
      </c>
      <c r="AK67" s="31">
        <f ca="1">IFERROR(IF(Table110[[#This Row],[SKU]]="",0,Table110[[#This Row],[Volume Delivered (T)]]/(Table110[[#This Row],[SOC (TPD)]]/24)),"")</f>
        <v>16.98245614035088</v>
      </c>
      <c r="AL67" s="31">
        <f ca="1">IFERROR(Table110[[#This Row],[Operating Time]]/Table110[[#This Row],[PRODUCTION HOURS]],"")</f>
        <v>0.84912280701754406</v>
      </c>
      <c r="AM67" s="32">
        <v>85</v>
      </c>
      <c r="AN67" s="32" t="s">
        <v>107</v>
      </c>
      <c r="AO67" s="32" t="s">
        <v>107</v>
      </c>
      <c r="AP67" s="32">
        <v>14</v>
      </c>
      <c r="AQ67" s="32">
        <v>12</v>
      </c>
      <c r="AR67" s="32">
        <v>12</v>
      </c>
      <c r="AS67" s="32" t="str">
        <f>IFERROR(SUMIFS(#REF!,#REF!,'Shift Wise-Data Sheet'!A:A,#REF!,"Samridhi Perk Line")/SUMIFS(#REF!,#REF!,'Shift Wise-Data Sheet'!A:A,#REF!,"Samridhi Perk Line"),"")</f>
        <v/>
      </c>
      <c r="AT67" s="32"/>
      <c r="AU67" s="32"/>
      <c r="AV67" s="211" t="str">
        <f>IFERROR(VLOOKUP(Table110[[#This Row],[Date]],'Overweight Data'!A65:G1160,6,FALSE),"")</f>
        <v/>
      </c>
      <c r="AW67" s="221">
        <f ca="1">IFERROR(
   IF(
      OR(Table110[[#This Row],[Operating Time]]=0, (Table110[[#This Row],[Operating Time]]/IF(AD67&lt;=1,AD67+1,AD67))*60=0),
      1,
      ((Table110[[#This Row],[Operating Time]])/IF(AD67&lt;=1,AD67+1,AD67))*60
   ),
"_")</f>
        <v>1018.9473684210528</v>
      </c>
      <c r="AX67" s="221">
        <f>COUNTIFS('Downtime Data'!A:A,Table110[[#This Row],[Date]])</f>
        <v>0</v>
      </c>
      <c r="AY67" s="219" t="str">
        <f>IFERROR((SUM(Table110[[#This Row],[Minor Stoppages]:[Material Shortages]])/Table110[[#This Row],['# Stops]])*60,"")</f>
        <v/>
      </c>
      <c r="AZ67" s="219"/>
      <c r="BA67" s="33">
        <v>46107</v>
      </c>
    </row>
    <row r="68" spans="1:53" ht="20.149999999999999" customHeight="1" x14ac:dyDescent="0.35">
      <c r="A68" s="21">
        <v>46085</v>
      </c>
      <c r="B68" s="22" t="str">
        <f t="shared" si="1"/>
        <v>Wednesday</v>
      </c>
      <c r="C68" s="22"/>
      <c r="D68" s="23"/>
      <c r="E68" s="24"/>
      <c r="F68" s="26"/>
      <c r="G68" s="26"/>
      <c r="H68" s="27"/>
      <c r="I68" s="27"/>
      <c r="J68" s="28"/>
      <c r="K68" s="28"/>
      <c r="L68" s="28"/>
      <c r="M68" s="25"/>
      <c r="N68" s="29">
        <v>3.9E-2</v>
      </c>
      <c r="O68" s="84"/>
      <c r="P68" s="25"/>
      <c r="Q68" s="25"/>
      <c r="R68" s="70"/>
      <c r="S68" s="71"/>
      <c r="T68" s="30">
        <f>IF(Table110[[#This Row],[SKU]]="",0,24-Table110[[#This Row],[Legal Non-Operating Time]]-Table110[[#This Row],[No Demand Time]]-Table110[[#This Row],[Force Majeure]])</f>
        <v>0</v>
      </c>
      <c r="U68" s="26"/>
      <c r="V68" s="26"/>
      <c r="W68" s="26"/>
      <c r="X68" s="26"/>
      <c r="Y68" s="26"/>
      <c r="Z68" s="26"/>
      <c r="AA68" s="26"/>
      <c r="AB68" s="30">
        <f>Table110[[#This Row],[Hours Used]]-SUM(Table110[[#This Row],[Planned Maintenance]:[Start and Finish Production]])</f>
        <v>0</v>
      </c>
      <c r="AC68" s="26"/>
      <c r="AD68" s="26"/>
      <c r="AE68" s="26"/>
      <c r="AF68" s="26"/>
      <c r="AG68" s="26"/>
      <c r="AH68" s="26"/>
      <c r="AI68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68" s="24">
        <f>IFERROR(IF(Table110[[#This Row],[SKU]]="",0,Table110[[#This Row],[Quality Loss (T)]]/(Table110[[#This Row],[SOC (TPD)]]/24)),"")</f>
        <v>0</v>
      </c>
      <c r="AK68" s="31">
        <f>IFERROR(IF(Table110[[#This Row],[SKU]]="",0,Table110[[#This Row],[Volume Delivered (T)]]/(Table110[[#This Row],[SOC (TPD)]]/24)),"")</f>
        <v>0</v>
      </c>
      <c r="AL68" s="31" t="str">
        <f>IFERROR(Table110[[#This Row],[Operating Time]]/Table110[[#This Row],[PRODUCTION HOURS]],"")</f>
        <v/>
      </c>
      <c r="AM68" s="32">
        <v>0</v>
      </c>
      <c r="AN68" s="32"/>
      <c r="AO68" s="32"/>
      <c r="AP68" s="32">
        <v>0</v>
      </c>
      <c r="AQ68" s="32">
        <v>0</v>
      </c>
      <c r="AR68" s="32"/>
      <c r="AS68" s="32" t="str">
        <f>IFERROR(SUMIFS(#REF!,#REF!,'Shift Wise-Data Sheet'!A:A,#REF!,"Samridhi Perk Line")/SUMIFS(#REF!,#REF!,'Shift Wise-Data Sheet'!A:A,#REF!,"Samridhi Perk Line"),"")</f>
        <v/>
      </c>
      <c r="AT68" s="32"/>
      <c r="AU68" s="32"/>
      <c r="AV68" s="211" t="str">
        <f>IFERROR(VLOOKUP(Table110[[#This Row],[Date]],'Overweight Data'!A66:G1161,6,FALSE),"")</f>
        <v/>
      </c>
      <c r="AW68" s="221">
        <f>IFERROR(
   IF(
      OR(Table110[[#This Row],[Operating Time]]=0, (Table110[[#This Row],[Operating Time]]/IF(AD68&lt;=1,AD68+1,AD68))*60=0),
      1,
      ((Table110[[#This Row],[Operating Time]])/IF(AD68&lt;=1,AD68+1,AD68))*60
   ),
"_")</f>
        <v>1</v>
      </c>
      <c r="AX68" s="221">
        <f>COUNTIFS('Downtime Data'!A:A,Table110[[#This Row],[Date]])</f>
        <v>0</v>
      </c>
      <c r="AY68" s="219" t="str">
        <f>IFERROR((SUM(Table110[[#This Row],[Minor Stoppages]:[Material Shortages]])/Table110[[#This Row],['# Stops]])*60,"")</f>
        <v/>
      </c>
      <c r="AZ68" s="219"/>
      <c r="BA68" s="33">
        <v>46107</v>
      </c>
    </row>
    <row r="69" spans="1:53" ht="20.149999999999999" customHeight="1" x14ac:dyDescent="0.35">
      <c r="A69" s="21">
        <v>46086</v>
      </c>
      <c r="B69" s="22" t="str">
        <f t="shared" si="1"/>
        <v>Thursday</v>
      </c>
      <c r="C69" s="22"/>
      <c r="D69" s="23" t="s">
        <v>106</v>
      </c>
      <c r="E69" s="24" cm="1">
        <f t="array" aca="1" ref="E69" ca="1">IFERROR(INDIRECT(D69),"")</f>
        <v>39.200000000000003</v>
      </c>
      <c r="F69" s="26">
        <v>27.1</v>
      </c>
      <c r="G69" s="26">
        <v>27.1</v>
      </c>
      <c r="H69" s="27">
        <f ca="1">IFERROR((Table110[[#This Row],[Plan]]/Table110[[#This Row],[Hours Used]])/(Table110[[#This Row],[SOC (TPD)]]/24),"")</f>
        <v>0.69132653061224481</v>
      </c>
      <c r="I69" s="27">
        <f ca="1">IFERROR((Table110[[#This Row],[Volume Delivered (T)]]/Table110[[#This Row],[Hours Used]])/(Table110[[#This Row],[SOC (TPD)]]/24),"")</f>
        <v>0.69132653061224481</v>
      </c>
      <c r="J69" s="28"/>
      <c r="K69" s="28"/>
      <c r="L69" s="28"/>
      <c r="M69" s="25">
        <v>1</v>
      </c>
      <c r="N69" s="29">
        <v>3.9E-2</v>
      </c>
      <c r="O69" s="84"/>
      <c r="P69" s="25"/>
      <c r="Q69" s="25"/>
      <c r="R69" s="70"/>
      <c r="S69" s="71"/>
      <c r="T69" s="30">
        <f>IF(Table110[[#This Row],[SKU]]="",0,24-Table110[[#This Row],[Legal Non-Operating Time]]-Table110[[#This Row],[No Demand Time]]-Table110[[#This Row],[Force Majeure]])</f>
        <v>24</v>
      </c>
      <c r="U69" s="26"/>
      <c r="V69" s="26"/>
      <c r="W69" s="26">
        <v>2</v>
      </c>
      <c r="X69" s="26"/>
      <c r="Y69" s="26"/>
      <c r="Z69" s="26"/>
      <c r="AA69" s="26">
        <v>4</v>
      </c>
      <c r="AB69" s="30">
        <f>Table110[[#This Row],[Hours Used]]-SUM(Table110[[#This Row],[Planned Maintenance]:[Start and Finish Production]])</f>
        <v>18</v>
      </c>
      <c r="AC69" s="26"/>
      <c r="AD69" s="26"/>
      <c r="AE69" s="26"/>
      <c r="AF69" s="26"/>
      <c r="AG69" s="26">
        <v>0.6</v>
      </c>
      <c r="AH69" s="26"/>
      <c r="AI69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6.5306122448979195E-2</v>
      </c>
      <c r="AJ69" s="24">
        <f ca="1">IFERROR(IF(Table110[[#This Row],[SKU]]="",0,Table110[[#This Row],[Quality Loss (T)]]/(Table110[[#This Row],[SOC (TPD)]]/24)),"")</f>
        <v>0.61224489795918358</v>
      </c>
      <c r="AK69" s="31">
        <f ca="1">IFERROR(IF(Table110[[#This Row],[SKU]]="",0,Table110[[#This Row],[Volume Delivered (T)]]/(Table110[[#This Row],[SOC (TPD)]]/24)),"")</f>
        <v>16.591836734693878</v>
      </c>
      <c r="AL69" s="31">
        <f ca="1">IFERROR(Table110[[#This Row],[Operating Time]]/Table110[[#This Row],[PRODUCTION HOURS]],"")</f>
        <v>0.92176870748299322</v>
      </c>
      <c r="AM69" s="32">
        <v>79</v>
      </c>
      <c r="AN69" s="32" t="s">
        <v>107</v>
      </c>
      <c r="AO69" s="32" t="s">
        <v>107</v>
      </c>
      <c r="AP69" s="32">
        <v>0</v>
      </c>
      <c r="AQ69" s="32">
        <v>0</v>
      </c>
      <c r="AR69" s="32"/>
      <c r="AS69" s="32" t="str">
        <f>IFERROR(SUMIFS(#REF!,#REF!,'Shift Wise-Data Sheet'!A:A,#REF!,"Samridhi Perk Line")/SUMIFS(#REF!,#REF!,'Shift Wise-Data Sheet'!A:A,#REF!,"Samridhi Perk Line"),"")</f>
        <v/>
      </c>
      <c r="AT69" s="32"/>
      <c r="AU69" s="32"/>
      <c r="AV69" s="211">
        <f>IFERROR(VLOOKUP(Table110[[#This Row],[Date]],'Overweight Data'!A67:G1162,6,FALSE),"")</f>
        <v>1.8107734806629854E-2</v>
      </c>
      <c r="AW69" s="221">
        <f ca="1">IFERROR(
   IF(
      OR(Table110[[#This Row],[Operating Time]]=0, (Table110[[#This Row],[Operating Time]]/IF(AD69&lt;=1,AD69+1,AD69))*60=0),
      1,
      ((Table110[[#This Row],[Operating Time]])/IF(AD69&lt;=1,AD69+1,AD69))*60
   ),
"_")</f>
        <v>995.51020408163265</v>
      </c>
      <c r="AX69" s="221">
        <f>COUNTIFS('Downtime Data'!A:A,Table110[[#This Row],[Date]])</f>
        <v>1</v>
      </c>
      <c r="AY69" s="219">
        <f>IFERROR((SUM(Table110[[#This Row],[Minor Stoppages]:[Material Shortages]])/Table110[[#This Row],['# Stops]])*60,"")</f>
        <v>36</v>
      </c>
      <c r="AZ69" s="219"/>
      <c r="BA69" s="33">
        <v>46107</v>
      </c>
    </row>
    <row r="70" spans="1:53" ht="20.149999999999999" customHeight="1" x14ac:dyDescent="0.35">
      <c r="A70" s="21">
        <v>46087</v>
      </c>
      <c r="B70" s="22" t="str">
        <f t="shared" si="1"/>
        <v>Friday</v>
      </c>
      <c r="C70" s="22"/>
      <c r="D70" s="23" t="s">
        <v>106</v>
      </c>
      <c r="E70" s="24" cm="1">
        <f t="array" aca="1" ref="E70" ca="1">IFERROR(INDIRECT(D70),"")</f>
        <v>39.200000000000003</v>
      </c>
      <c r="F70" s="26">
        <v>30.520959999999999</v>
      </c>
      <c r="G70" s="26">
        <v>30.520959999999999</v>
      </c>
      <c r="H70" s="27">
        <f ca="1">IFERROR((Table110[[#This Row],[Plan]]/Table110[[#This Row],[Hours Used]])/(Table110[[#This Row],[SOC (TPD)]]/24),"")</f>
        <v>0.77859591836734676</v>
      </c>
      <c r="I70" s="27">
        <f ca="1">IFERROR((Table110[[#This Row],[Volume Delivered (T)]]/Table110[[#This Row],[Hours Used]])/(Table110[[#This Row],[SOC (TPD)]]/24),"")</f>
        <v>0.77859591836734676</v>
      </c>
      <c r="J70" s="28"/>
      <c r="K70" s="28"/>
      <c r="L70" s="28"/>
      <c r="M70" s="25">
        <f>0.4+1.34+0.18+0.33-0.28-0.65</f>
        <v>1.3199999999999998</v>
      </c>
      <c r="N70" s="29">
        <v>3.9E-2</v>
      </c>
      <c r="O70" s="84"/>
      <c r="P70" s="25"/>
      <c r="Q70" s="25"/>
      <c r="R70" s="70"/>
      <c r="S70" s="71"/>
      <c r="T70" s="30">
        <f>IF(Table110[[#This Row],[SKU]]="",0,24-Table110[[#This Row],[Legal Non-Operating Time]]-Table110[[#This Row],[No Demand Time]]-Table110[[#This Row],[Force Majeure]])</f>
        <v>24</v>
      </c>
      <c r="U70" s="26">
        <v>1</v>
      </c>
      <c r="V70" s="26">
        <v>1</v>
      </c>
      <c r="W70" s="26"/>
      <c r="X70" s="26"/>
      <c r="Y70" s="26"/>
      <c r="Z70" s="26"/>
      <c r="AA70" s="26"/>
      <c r="AB70" s="30">
        <f>Table110[[#This Row],[Hours Used]]-SUM(Table110[[#This Row],[Planned Maintenance]:[Start and Finish Production]])</f>
        <v>22</v>
      </c>
      <c r="AC70" s="26"/>
      <c r="AD70" s="26">
        <v>2</v>
      </c>
      <c r="AE70" s="26"/>
      <c r="AF70" s="26"/>
      <c r="AG70" s="26"/>
      <c r="AH70" s="26"/>
      <c r="AI70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0.16851156462585237</v>
      </c>
      <c r="AJ70" s="24">
        <f ca="1">IFERROR(IF(Table110[[#This Row],[SKU]]="",0,Table110[[#This Row],[Quality Loss (T)]]/(Table110[[#This Row],[SOC (TPD)]]/24)),"")</f>
        <v>0.80816326530612226</v>
      </c>
      <c r="AK70" s="31">
        <f ca="1">IFERROR(IF(Table110[[#This Row],[SKU]]="",0,Table110[[#This Row],[Volume Delivered (T)]]/(Table110[[#This Row],[SOC (TPD)]]/24)),"")</f>
        <v>18.686302040816322</v>
      </c>
      <c r="AL70" s="31">
        <f ca="1">IFERROR(Table110[[#This Row],[Operating Time]]/Table110[[#This Row],[PRODUCTION HOURS]],"")</f>
        <v>0.84937736549165099</v>
      </c>
      <c r="AM70" s="32">
        <v>83</v>
      </c>
      <c r="AN70" s="32" t="s">
        <v>107</v>
      </c>
      <c r="AO70" s="32" t="s">
        <v>107</v>
      </c>
      <c r="AP70" s="32">
        <v>0</v>
      </c>
      <c r="AQ70" s="32">
        <v>0</v>
      </c>
      <c r="AR70" s="32"/>
      <c r="AS70" s="32" t="str">
        <f>IFERROR(SUMIFS(#REF!,#REF!,'Shift Wise-Data Sheet'!A:A,#REF!,"Samridhi Perk Line")/SUMIFS(#REF!,#REF!,'Shift Wise-Data Sheet'!A:A,#REF!,"Samridhi Perk Line"),"")</f>
        <v/>
      </c>
      <c r="AT70" s="32">
        <v>8</v>
      </c>
      <c r="AU70" s="32"/>
      <c r="AV70" s="211">
        <f>IFERROR(VLOOKUP(Table110[[#This Row],[Date]],'Overweight Data'!A68:G1163,6,FALSE),"")</f>
        <v>2.233885819521178E-2</v>
      </c>
      <c r="AW70" s="221">
        <f ca="1">IFERROR(
   IF(
      OR(Table110[[#This Row],[Operating Time]]=0, (Table110[[#This Row],[Operating Time]]/IF(AD70&lt;=1,AD70+1,AD70))*60=0),
      1,
      ((Table110[[#This Row],[Operating Time]])/IF(AD70&lt;=1,AD70+1,AD70))*60
   ),
"_")</f>
        <v>560.58906122448968</v>
      </c>
      <c r="AX70" s="221">
        <f>COUNTIFS('Downtime Data'!A:A,Table110[[#This Row],[Date]])</f>
        <v>1</v>
      </c>
      <c r="AY70" s="219">
        <f>IFERROR((SUM(Table110[[#This Row],[Minor Stoppages]:[Material Shortages]])/Table110[[#This Row],['# Stops]])*60,"")</f>
        <v>120</v>
      </c>
      <c r="AZ70" s="219"/>
      <c r="BA70" s="33">
        <v>46107</v>
      </c>
    </row>
    <row r="71" spans="1:53" ht="20.149999999999999" customHeight="1" x14ac:dyDescent="0.35">
      <c r="A71" s="21">
        <v>46088</v>
      </c>
      <c r="B71" s="22" t="str">
        <f t="shared" si="1"/>
        <v>Saturday</v>
      </c>
      <c r="C71" s="22"/>
      <c r="D71" s="23" t="s">
        <v>106</v>
      </c>
      <c r="E71" s="24" cm="1">
        <f t="array" aca="1" ref="E71" ca="1">IFERROR(INDIRECT(D71),"")</f>
        <v>39.200000000000003</v>
      </c>
      <c r="F71" s="26">
        <v>31.857418000000003</v>
      </c>
      <c r="G71" s="26">
        <v>31.857418000000003</v>
      </c>
      <c r="H71" s="27">
        <f ca="1">IFERROR((Table110[[#This Row],[Plan]]/Table110[[#This Row],[Hours Used]])/(Table110[[#This Row],[SOC (TPD)]]/24),"")</f>
        <v>0.81268923469387755</v>
      </c>
      <c r="I71" s="27">
        <f ca="1">IFERROR((Table110[[#This Row],[Volume Delivered (T)]]/Table110[[#This Row],[Hours Used]])/(Table110[[#This Row],[SOC (TPD)]]/24),"")</f>
        <v>0.81268923469387755</v>
      </c>
      <c r="J71" s="28"/>
      <c r="K71" s="28"/>
      <c r="L71" s="28"/>
      <c r="M71" s="25">
        <v>1.4</v>
      </c>
      <c r="N71" s="29">
        <v>3.9E-2</v>
      </c>
      <c r="O71" s="84"/>
      <c r="P71" s="25"/>
      <c r="Q71" s="25"/>
      <c r="R71" s="70"/>
      <c r="S71" s="71"/>
      <c r="T71" s="30">
        <f>IF(Table110[[#This Row],[SKU]]="",0,24-Table110[[#This Row],[Legal Non-Operating Time]]-Table110[[#This Row],[No Demand Time]]-Table110[[#This Row],[Force Majeure]])</f>
        <v>24</v>
      </c>
      <c r="U71" s="26">
        <v>0.5</v>
      </c>
      <c r="V71" s="26">
        <v>1</v>
      </c>
      <c r="W71" s="26"/>
      <c r="X71" s="26">
        <v>1</v>
      </c>
      <c r="Y71" s="26"/>
      <c r="Z71" s="26"/>
      <c r="AA71" s="26"/>
      <c r="AB71" s="30">
        <f>Table110[[#This Row],[Hours Used]]-SUM(Table110[[#This Row],[Planned Maintenance]:[Start and Finish Production]])</f>
        <v>21.5</v>
      </c>
      <c r="AC71" s="26"/>
      <c r="AD71" s="26">
        <v>0.95</v>
      </c>
      <c r="AE71" s="26"/>
      <c r="AF71" s="26"/>
      <c r="AG71" s="26"/>
      <c r="AH71" s="26"/>
      <c r="AI71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6.2771836734693665E-2</v>
      </c>
      <c r="AJ71" s="24">
        <f ca="1">IFERROR(IF(Table110[[#This Row],[SKU]]="",0,Table110[[#This Row],[Quality Loss (T)]]/(Table110[[#This Row],[SOC (TPD)]]/24)),"")</f>
        <v>0.85714285714285698</v>
      </c>
      <c r="AK71" s="31">
        <f ca="1">IFERROR(IF(Table110[[#This Row],[SKU]]="",0,Table110[[#This Row],[Volume Delivered (T)]]/(Table110[[#This Row],[SOC (TPD)]]/24)),"")</f>
        <v>19.504541632653062</v>
      </c>
      <c r="AL71" s="31">
        <f ca="1">IFERROR(Table110[[#This Row],[Operating Time]]/Table110[[#This Row],[PRODUCTION HOURS]],"")</f>
        <v>0.90718798291409586</v>
      </c>
      <c r="AM71" s="32">
        <v>81</v>
      </c>
      <c r="AN71" s="32" t="s">
        <v>107</v>
      </c>
      <c r="AO71" s="32" t="s">
        <v>107</v>
      </c>
      <c r="AP71" s="32">
        <v>0</v>
      </c>
      <c r="AQ71" s="32">
        <v>0</v>
      </c>
      <c r="AR71" s="32"/>
      <c r="AS71" s="32" t="str">
        <f>IFERROR(SUMIFS(#REF!,#REF!,'Shift Wise-Data Sheet'!A:A,#REF!,"Samridhi Perk Line")/SUMIFS(#REF!,#REF!,'Shift Wise-Data Sheet'!A:A,#REF!,"Samridhi Perk Line"),"")</f>
        <v/>
      </c>
      <c r="AT71" s="32">
        <v>2</v>
      </c>
      <c r="AU71" s="32"/>
      <c r="AV71" s="211">
        <f>IFERROR(VLOOKUP(Table110[[#This Row],[Date]],'Overweight Data'!A69:G1164,6,FALSE),"")</f>
        <v>3.2680652680652705E-2</v>
      </c>
      <c r="AW71" s="221">
        <f ca="1">IFERROR(
   IF(
      OR(Table110[[#This Row],[Operating Time]]=0, (Table110[[#This Row],[Operating Time]]/IF(AD71&lt;=1,AD71+1,AD71))*60=0),
      1,
      ((Table110[[#This Row],[Operating Time]])/IF(AD71&lt;=1,AD71+1,AD71))*60
   ),
"_")</f>
        <v>600.13974254317122</v>
      </c>
      <c r="AX71" s="221">
        <f>COUNTIFS('Downtime Data'!A:A,Table110[[#This Row],[Date]])</f>
        <v>1</v>
      </c>
      <c r="AY71" s="219">
        <f>IFERROR((SUM(Table110[[#This Row],[Minor Stoppages]:[Material Shortages]])/Table110[[#This Row],['# Stops]])*60,"")</f>
        <v>57</v>
      </c>
      <c r="AZ71" s="219"/>
      <c r="BA71" s="33">
        <v>46107</v>
      </c>
    </row>
    <row r="72" spans="1:53" ht="20.149999999999999" customHeight="1" x14ac:dyDescent="0.35">
      <c r="A72" s="21">
        <v>46089</v>
      </c>
      <c r="B72" s="22" t="str">
        <f t="shared" si="1"/>
        <v>Sunday</v>
      </c>
      <c r="C72" s="22"/>
      <c r="D72" s="23" t="s">
        <v>106</v>
      </c>
      <c r="E72" s="24" cm="1">
        <f t="array" aca="1" ref="E72" ca="1">IFERROR(INDIRECT(D72),"")</f>
        <v>39.200000000000003</v>
      </c>
      <c r="F72" s="26">
        <v>31.326063000000001</v>
      </c>
      <c r="G72" s="26">
        <v>31.326063000000001</v>
      </c>
      <c r="H72" s="27">
        <f ca="1">IFERROR((Table110[[#This Row],[Plan]]/Table110[[#This Row],[Hours Used]])/(Table110[[#This Row],[SOC (TPD)]]/24),"")</f>
        <v>0.79913426020408163</v>
      </c>
      <c r="I72" s="27">
        <f ca="1">IFERROR((Table110[[#This Row],[Volume Delivered (T)]]/Table110[[#This Row],[Hours Used]])/(Table110[[#This Row],[SOC (TPD)]]/24),"")</f>
        <v>0.79913426020408163</v>
      </c>
      <c r="J72" s="28"/>
      <c r="K72" s="28"/>
      <c r="L72" s="28"/>
      <c r="M72" s="25">
        <v>1.5</v>
      </c>
      <c r="N72" s="29">
        <v>3.9E-2</v>
      </c>
      <c r="O72" s="84"/>
      <c r="P72" s="25"/>
      <c r="Q72" s="25"/>
      <c r="R72" s="70"/>
      <c r="S72" s="71"/>
      <c r="T72" s="30">
        <f>IF(Table110[[#This Row],[SKU]]="",0,24-Table110[[#This Row],[Legal Non-Operating Time]]-Table110[[#This Row],[No Demand Time]]-Table110[[#This Row],[Force Majeure]])</f>
        <v>24</v>
      </c>
      <c r="U72" s="26"/>
      <c r="V72" s="26"/>
      <c r="W72" s="26"/>
      <c r="X72" s="26"/>
      <c r="Y72" s="26"/>
      <c r="Z72" s="26"/>
      <c r="AA72" s="26"/>
      <c r="AB72" s="30">
        <f>Table110[[#This Row],[Hours Used]]-SUM(Table110[[#This Row],[Planned Maintenance]:[Start and Finish Production]])</f>
        <v>24</v>
      </c>
      <c r="AC72" s="26"/>
      <c r="AD72" s="26">
        <v>1.5</v>
      </c>
      <c r="AE72" s="26">
        <v>1.5</v>
      </c>
      <c r="AF72" s="26"/>
      <c r="AG72" s="26"/>
      <c r="AH72" s="26"/>
      <c r="AI72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0.30080346938775548</v>
      </c>
      <c r="AJ72" s="24">
        <f ca="1">IFERROR(IF(Table110[[#This Row],[SKU]]="",0,Table110[[#This Row],[Quality Loss (T)]]/(Table110[[#This Row],[SOC (TPD)]]/24)),"")</f>
        <v>0.91836734693877542</v>
      </c>
      <c r="AK72" s="31">
        <f ca="1">IFERROR(IF(Table110[[#This Row],[SKU]]="",0,Table110[[#This Row],[Volume Delivered (T)]]/(Table110[[#This Row],[SOC (TPD)]]/24)),"")</f>
        <v>19.179222244897957</v>
      </c>
      <c r="AL72" s="31">
        <f ca="1">IFERROR(Table110[[#This Row],[Operating Time]]/Table110[[#This Row],[PRODUCTION HOURS]],"")</f>
        <v>0.79913426020408151</v>
      </c>
      <c r="AM72" s="32">
        <v>88</v>
      </c>
      <c r="AN72" s="32" t="s">
        <v>107</v>
      </c>
      <c r="AO72" s="32" t="s">
        <v>107</v>
      </c>
      <c r="AP72" s="32">
        <v>0</v>
      </c>
      <c r="AQ72" s="32">
        <v>0</v>
      </c>
      <c r="AR72" s="235"/>
      <c r="AS72" s="32" t="str">
        <f>IFERROR(SUMIFS(#REF!,#REF!,'Shift Wise-Data Sheet'!A:A,#REF!,"Samridhi Perk Line")/SUMIFS(#REF!,#REF!,'Shift Wise-Data Sheet'!A:A,#REF!,"Samridhi Perk Line"),"")</f>
        <v/>
      </c>
      <c r="AT72" s="32"/>
      <c r="AU72" s="32"/>
      <c r="AV72" s="211">
        <f>IFERROR(VLOOKUP(Table110[[#This Row],[Date]],'Overweight Data'!A70:G1165,6,FALSE),"")</f>
        <v>2.1620046620046563E-2</v>
      </c>
      <c r="AW72" s="221">
        <f ca="1">IFERROR(
   IF(
      OR(Table110[[#This Row],[Operating Time]]=0, (Table110[[#This Row],[Operating Time]]/IF(AD72&lt;=1,AD72+1,AD72))*60=0),
      1,
      ((Table110[[#This Row],[Operating Time]])/IF(AD72&lt;=1,AD72+1,AD72))*60
   ),
"_")</f>
        <v>767.16888979591829</v>
      </c>
      <c r="AX72" s="221">
        <f>COUNTIFS('Downtime Data'!A:A,Table110[[#This Row],[Date]])</f>
        <v>2</v>
      </c>
      <c r="AY72" s="219">
        <f>IFERROR((SUM(Table110[[#This Row],[Minor Stoppages]:[Material Shortages]])/Table110[[#This Row],['# Stops]])*60,"")</f>
        <v>90</v>
      </c>
      <c r="AZ72" s="219"/>
      <c r="BA72" s="33">
        <v>46107</v>
      </c>
    </row>
    <row r="73" spans="1:53" ht="20.149999999999999" customHeight="1" x14ac:dyDescent="0.35">
      <c r="A73" s="21">
        <v>46090</v>
      </c>
      <c r="B73" s="22" t="str">
        <f t="shared" si="1"/>
        <v>Monday</v>
      </c>
      <c r="C73" s="22"/>
      <c r="D73" s="23" t="s">
        <v>106</v>
      </c>
      <c r="E73" s="24" cm="1">
        <f t="array" aca="1" ref="E73" ca="1">IFERROR(INDIRECT(D73),"")</f>
        <v>39.200000000000003</v>
      </c>
      <c r="F73" s="26">
        <v>25.385524999999998</v>
      </c>
      <c r="G73" s="26">
        <v>25.385524999999998</v>
      </c>
      <c r="H73" s="27">
        <f ca="1">IFERROR((Table110[[#This Row],[Plan]]/Table110[[#This Row],[Hours Used]])/(Table110[[#This Row],[SOC (TPD)]]/24),"")</f>
        <v>0.64758992346938771</v>
      </c>
      <c r="I73" s="27">
        <f ca="1">IFERROR((Table110[[#This Row],[Volume Delivered (T)]]/Table110[[#This Row],[Hours Used]])/(Table110[[#This Row],[SOC (TPD)]]/24),"")</f>
        <v>0.64758992346938771</v>
      </c>
      <c r="J73" s="28"/>
      <c r="K73" s="28"/>
      <c r="L73" s="28"/>
      <c r="M73" s="25">
        <v>1.4</v>
      </c>
      <c r="N73" s="29">
        <v>3.9E-2</v>
      </c>
      <c r="O73" s="84"/>
      <c r="P73" s="25"/>
      <c r="Q73" s="25"/>
      <c r="R73" s="70"/>
      <c r="S73" s="71"/>
      <c r="T73" s="30">
        <f>IF(Table110[[#This Row],[SKU]]="",0,24-Table110[[#This Row],[Legal Non-Operating Time]]-Table110[[#This Row],[No Demand Time]]-Table110[[#This Row],[Force Majeure]])</f>
        <v>24</v>
      </c>
      <c r="U73" s="26">
        <v>0.5</v>
      </c>
      <c r="V73" s="26">
        <v>1</v>
      </c>
      <c r="W73" s="26"/>
      <c r="X73" s="26">
        <v>3</v>
      </c>
      <c r="Y73" s="26"/>
      <c r="Z73" s="26"/>
      <c r="AA73" s="26"/>
      <c r="AB73" s="30">
        <f>Table110[[#This Row],[Hours Used]]-SUM(Table110[[#This Row],[Planned Maintenance]:[Start and Finish Production]])</f>
        <v>19.5</v>
      </c>
      <c r="AC73" s="26">
        <v>0.5</v>
      </c>
      <c r="AD73" s="26">
        <f>70/60</f>
        <v>1.1666666666666667</v>
      </c>
      <c r="AE73" s="26">
        <v>0.5</v>
      </c>
      <c r="AF73" s="26"/>
      <c r="AG73" s="26"/>
      <c r="AH73" s="26"/>
      <c r="AI73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0.31134410430839071</v>
      </c>
      <c r="AJ73" s="24">
        <f ca="1">IFERROR(IF(Table110[[#This Row],[SKU]]="",0,Table110[[#This Row],[Quality Loss (T)]]/(Table110[[#This Row],[SOC (TPD)]]/24)),"")</f>
        <v>0.85714285714285698</v>
      </c>
      <c r="AK73" s="31">
        <f ca="1">IFERROR(IF(Table110[[#This Row],[SKU]]="",0,Table110[[#This Row],[Volume Delivered (T)]]/(Table110[[#This Row],[SOC (TPD)]]/24)),"")</f>
        <v>15.542158163265302</v>
      </c>
      <c r="AL73" s="31">
        <f ca="1">IFERROR(Table110[[#This Row],[Operating Time]]/Table110[[#This Row],[PRODUCTION HOURS]],"")</f>
        <v>0.79703375196232318</v>
      </c>
      <c r="AM73" s="32">
        <v>76</v>
      </c>
      <c r="AN73" s="32" t="s">
        <v>107</v>
      </c>
      <c r="AO73" s="32" t="s">
        <v>107</v>
      </c>
      <c r="AP73" s="32">
        <v>0</v>
      </c>
      <c r="AQ73" s="32">
        <v>0</v>
      </c>
      <c r="AR73" s="235"/>
      <c r="AS73" s="32" t="str">
        <f>IFERROR(SUMIFS(#REF!,#REF!,'Shift Wise-Data Sheet'!A:A,#REF!,"Samridhi Perk Line")/SUMIFS(#REF!,#REF!,'Shift Wise-Data Sheet'!A:A,#REF!,"Samridhi Perk Line"),"")</f>
        <v/>
      </c>
      <c r="AT73" s="32"/>
      <c r="AU73" s="32"/>
      <c r="AV73" s="211">
        <f>IFERROR(VLOOKUP(Table110[[#This Row],[Date]],'Overweight Data'!A71:G1166,6,FALSE),"")</f>
        <v>1.5489510489510513E-2</v>
      </c>
      <c r="AW73" s="221">
        <f ca="1">IFERROR(
   IF(
      OR(Table110[[#This Row],[Operating Time]]=0, (Table110[[#This Row],[Operating Time]]/IF(AD73&lt;=1,AD73+1,AD73))*60=0),
      1,
      ((Table110[[#This Row],[Operating Time]])/IF(AD73&lt;=1,AD73+1,AD73))*60
   ),
"_")</f>
        <v>799.31099125364415</v>
      </c>
      <c r="AX73" s="221">
        <f>COUNTIFS('Downtime Data'!A:A,Table110[[#This Row],[Date]])</f>
        <v>2</v>
      </c>
      <c r="AY73" s="219">
        <f>IFERROR((SUM(Table110[[#This Row],[Minor Stoppages]:[Material Shortages]])/Table110[[#This Row],['# Stops]])*60,"")</f>
        <v>65.000000000000014</v>
      </c>
      <c r="AZ73" s="219"/>
      <c r="BA73" s="33">
        <v>46107</v>
      </c>
    </row>
    <row r="74" spans="1:53" ht="20.149999999999999" customHeight="1" x14ac:dyDescent="0.35">
      <c r="A74" s="21">
        <v>46091</v>
      </c>
      <c r="B74" s="22" t="str">
        <f t="shared" si="1"/>
        <v>Tuesday</v>
      </c>
      <c r="C74" s="22"/>
      <c r="D74" s="23" t="s">
        <v>106</v>
      </c>
      <c r="E74" s="24" cm="1">
        <f t="array" aca="1" ref="E74" ca="1">IFERROR(INDIRECT(D74),"")</f>
        <v>39.200000000000003</v>
      </c>
      <c r="F74" s="26">
        <v>31.262485000000002</v>
      </c>
      <c r="G74" s="26">
        <v>31.262485000000002</v>
      </c>
      <c r="H74" s="27">
        <f ca="1">IFERROR((Table110[[#This Row],[Plan]]/Table110[[#This Row],[Hours Used]])/(Table110[[#This Row],[SOC (TPD)]]/24),"")</f>
        <v>0.79751237244897955</v>
      </c>
      <c r="I74" s="27">
        <f ca="1">IFERROR((Table110[[#This Row],[Volume Delivered (T)]]/Table110[[#This Row],[Hours Used]])/(Table110[[#This Row],[SOC (TPD)]]/24),"")</f>
        <v>0.79751237244897955</v>
      </c>
      <c r="J74" s="28"/>
      <c r="K74" s="28"/>
      <c r="L74" s="28"/>
      <c r="M74" s="25">
        <v>1.3</v>
      </c>
      <c r="N74" s="29">
        <v>3.9E-2</v>
      </c>
      <c r="O74" s="84"/>
      <c r="P74" s="25"/>
      <c r="Q74" s="25"/>
      <c r="R74" s="70"/>
      <c r="S74" s="71"/>
      <c r="T74" s="30">
        <f>IF(Table110[[#This Row],[SKU]]="",0,24-Table110[[#This Row],[Legal Non-Operating Time]]-Table110[[#This Row],[No Demand Time]]-Table110[[#This Row],[Force Majeure]])</f>
        <v>24</v>
      </c>
      <c r="U74" s="26">
        <v>0.5</v>
      </c>
      <c r="V74" s="26"/>
      <c r="W74" s="26"/>
      <c r="X74" s="26"/>
      <c r="Y74" s="26"/>
      <c r="Z74" s="26"/>
      <c r="AA74" s="26"/>
      <c r="AB74" s="30">
        <f>Table110[[#This Row],[Hours Used]]-SUM(Table110[[#This Row],[Planned Maintenance]:[Start and Finish Production]])</f>
        <v>23.5</v>
      </c>
      <c r="AC74" s="26"/>
      <c r="AD74" s="26">
        <v>2</v>
      </c>
      <c r="AE74" s="26"/>
      <c r="AF74" s="26"/>
      <c r="AG74" s="26"/>
      <c r="AH74" s="26"/>
      <c r="AI74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0.52126156462585038</v>
      </c>
      <c r="AJ74" s="24">
        <f ca="1">IFERROR(IF(Table110[[#This Row],[SKU]]="",0,Table110[[#This Row],[Quality Loss (T)]]/(Table110[[#This Row],[SOC (TPD)]]/24)),"")</f>
        <v>0.79591836734693866</v>
      </c>
      <c r="AK74" s="31">
        <f ca="1">IFERROR(IF(Table110[[#This Row],[SKU]]="",0,Table110[[#This Row],[Volume Delivered (T)]]/(Table110[[#This Row],[SOC (TPD)]]/24)),"")</f>
        <v>19.14029693877551</v>
      </c>
      <c r="AL74" s="31">
        <f ca="1">IFERROR(Table110[[#This Row],[Operating Time]]/Table110[[#This Row],[PRODUCTION HOURS]],"")</f>
        <v>0.81448072079895784</v>
      </c>
      <c r="AM74" s="32">
        <v>87</v>
      </c>
      <c r="AN74" s="32" t="s">
        <v>107</v>
      </c>
      <c r="AO74" s="32" t="s">
        <v>107</v>
      </c>
      <c r="AP74" s="32">
        <v>0</v>
      </c>
      <c r="AQ74" s="32">
        <v>0</v>
      </c>
      <c r="AR74" s="32"/>
      <c r="AS74" s="32" t="str">
        <f>IFERROR(SUMIFS(#REF!,#REF!,'Shift Wise-Data Sheet'!A:A,#REF!,"Samridhi Perk Line")/SUMIFS(#REF!,#REF!,'Shift Wise-Data Sheet'!A:A,#REF!,"Samridhi Perk Line"),"")</f>
        <v/>
      </c>
      <c r="AT74" s="32"/>
      <c r="AU74" s="32"/>
      <c r="AV74" s="211">
        <f>IFERROR(VLOOKUP(Table110[[#This Row],[Date]],'Overweight Data'!A72:G1167,6,FALSE),"")</f>
        <v>2.383977900552485E-2</v>
      </c>
      <c r="AW74" s="221">
        <f ca="1">IFERROR(
   IF(
      OR(Table110[[#This Row],[Operating Time]]=0, (Table110[[#This Row],[Operating Time]]/IF(AD74&lt;=1,AD74+1,AD74))*60=0),
      1,
      ((Table110[[#This Row],[Operating Time]])/IF(AD74&lt;=1,AD74+1,AD74))*60
   ),
"_")</f>
        <v>574.20890816326528</v>
      </c>
      <c r="AX74" s="221">
        <f>COUNTIFS('Downtime Data'!A:A,Table110[[#This Row],[Date]])</f>
        <v>1</v>
      </c>
      <c r="AY74" s="219">
        <f>IFERROR((SUM(Table110[[#This Row],[Minor Stoppages]:[Material Shortages]])/Table110[[#This Row],['# Stops]])*60,"")</f>
        <v>120</v>
      </c>
      <c r="AZ74" s="219"/>
      <c r="BA74" s="33">
        <v>46107</v>
      </c>
    </row>
    <row r="75" spans="1:53" ht="20.149999999999999" customHeight="1" x14ac:dyDescent="0.35">
      <c r="A75" s="21">
        <v>46092</v>
      </c>
      <c r="B75" s="22" t="str">
        <f t="shared" ref="B75:B138" si="2">IF(A75="","",TEXT(A75,"dddddd"))</f>
        <v>Wednesday</v>
      </c>
      <c r="C75" s="22"/>
      <c r="D75" s="23" t="s">
        <v>106</v>
      </c>
      <c r="E75" s="24" cm="1">
        <f t="array" aca="1" ref="E75" ca="1">IFERROR(INDIRECT(D75),"")</f>
        <v>39.200000000000003</v>
      </c>
      <c r="F75" s="26">
        <v>33.093372000000002</v>
      </c>
      <c r="G75" s="26">
        <v>33.093372000000002</v>
      </c>
      <c r="H75" s="27">
        <f ca="1">IFERROR((Table110[[#This Row],[Plan]]/Table110[[#This Row],[Hours Used]])/(Table110[[#This Row],[SOC (TPD)]]/24),"")</f>
        <v>0.84421867346938761</v>
      </c>
      <c r="I75" s="27">
        <f ca="1">IFERROR((Table110[[#This Row],[Volume Delivered (T)]]/Table110[[#This Row],[Hours Used]])/(Table110[[#This Row],[SOC (TPD)]]/24),"")</f>
        <v>0.84421867346938761</v>
      </c>
      <c r="J75" s="28"/>
      <c r="K75" s="28"/>
      <c r="L75" s="28"/>
      <c r="M75" s="25">
        <v>1.3</v>
      </c>
      <c r="N75" s="29">
        <v>3.9E-2</v>
      </c>
      <c r="O75" s="84"/>
      <c r="P75" s="25"/>
      <c r="Q75" s="25"/>
      <c r="R75" s="70"/>
      <c r="S75" s="71"/>
      <c r="T75" s="30">
        <f>IF(Table110[[#This Row],[SKU]]="",0,24-Table110[[#This Row],[Legal Non-Operating Time]]-Table110[[#This Row],[No Demand Time]]-Table110[[#This Row],[Force Majeure]])</f>
        <v>24</v>
      </c>
      <c r="U75" s="26"/>
      <c r="V75" s="26"/>
      <c r="W75" s="26"/>
      <c r="X75" s="26"/>
      <c r="Y75" s="26"/>
      <c r="Z75" s="26"/>
      <c r="AA75" s="26"/>
      <c r="AB75" s="30">
        <f>Table110[[#This Row],[Hours Used]]-SUM(Table110[[#This Row],[Planned Maintenance]:[Start and Finish Production]])</f>
        <v>24</v>
      </c>
      <c r="AC75" s="26">
        <v>1</v>
      </c>
      <c r="AD75" s="26"/>
      <c r="AE75" s="26">
        <v>1.5</v>
      </c>
      <c r="AF75" s="26"/>
      <c r="AG75" s="26"/>
      <c r="AH75" s="26"/>
      <c r="AI75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0.1476111564625858</v>
      </c>
      <c r="AJ75" s="24">
        <f ca="1">IFERROR(IF(Table110[[#This Row],[SKU]]="",0,Table110[[#This Row],[Quality Loss (T)]]/(Table110[[#This Row],[SOC (TPD)]]/24)),"")</f>
        <v>0.79591836734693866</v>
      </c>
      <c r="AK75" s="31">
        <f ca="1">IFERROR(IF(Table110[[#This Row],[SKU]]="",0,Table110[[#This Row],[Volume Delivered (T)]]/(Table110[[#This Row],[SOC (TPD)]]/24)),"")</f>
        <v>20.261248163265304</v>
      </c>
      <c r="AL75" s="31">
        <f ca="1">IFERROR(Table110[[#This Row],[Operating Time]]/Table110[[#This Row],[PRODUCTION HOURS]],"")</f>
        <v>0.84421867346938761</v>
      </c>
      <c r="AM75" s="32">
        <v>92</v>
      </c>
      <c r="AN75" s="32" t="s">
        <v>107</v>
      </c>
      <c r="AO75" s="32" t="s">
        <v>107</v>
      </c>
      <c r="AP75" s="32">
        <v>0</v>
      </c>
      <c r="AQ75" s="32">
        <v>0</v>
      </c>
      <c r="AR75" s="32"/>
      <c r="AS75" s="32" t="str">
        <f>IFERROR(SUMIFS(#REF!,#REF!,'Shift Wise-Data Sheet'!A:A,#REF!,"Samridhi Perk Line")/SUMIFS(#REF!,#REF!,'Shift Wise-Data Sheet'!A:A,#REF!,"Samridhi Perk Line"),"")</f>
        <v/>
      </c>
      <c r="AT75" s="32"/>
      <c r="AU75" s="32"/>
      <c r="AV75" s="211">
        <f>IFERROR(VLOOKUP(Table110[[#This Row],[Date]],'Overweight Data'!A73:G1168,6,FALSE),"")</f>
        <v>2.3941068139963165E-2</v>
      </c>
      <c r="AW75" s="221">
        <f ca="1">IFERROR(
   IF(
      OR(Table110[[#This Row],[Operating Time]]=0, (Table110[[#This Row],[Operating Time]]/IF(AD75&lt;=1,AD75+1,AD75))*60=0),
      1,
      ((Table110[[#This Row],[Operating Time]])/IF(AD75&lt;=1,AD75+1,AD75))*60
   ),
"_")</f>
        <v>1215.6748897959183</v>
      </c>
      <c r="AX75" s="221">
        <f>COUNTIFS('Downtime Data'!A:A,Table110[[#This Row],[Date]])</f>
        <v>0</v>
      </c>
      <c r="AY75" s="219" t="str">
        <f>IFERROR((SUM(Table110[[#This Row],[Minor Stoppages]:[Material Shortages]])/Table110[[#This Row],['# Stops]])*60,"")</f>
        <v/>
      </c>
      <c r="AZ75" s="219"/>
      <c r="BA75" s="33">
        <v>46107</v>
      </c>
    </row>
    <row r="76" spans="1:53" ht="20.149999999999999" customHeight="1" x14ac:dyDescent="0.35">
      <c r="A76" s="21">
        <v>46093</v>
      </c>
      <c r="B76" s="22" t="str">
        <f t="shared" si="2"/>
        <v>Thursday</v>
      </c>
      <c r="C76" s="22"/>
      <c r="D76" s="23" t="s">
        <v>106</v>
      </c>
      <c r="E76" s="24" cm="1">
        <f t="array" aca="1" ref="E76" ca="1">IFERROR(INDIRECT(D76),"")</f>
        <v>39.200000000000003</v>
      </c>
      <c r="F76" s="26">
        <v>32.4</v>
      </c>
      <c r="G76" s="26">
        <v>32.4</v>
      </c>
      <c r="H76" s="27">
        <f ca="1">IFERROR((Table110[[#This Row],[Plan]]/Table110[[#This Row],[Hours Used]])/(Table110[[#This Row],[SOC (TPD)]]/24),"")</f>
        <v>0.82653061224489777</v>
      </c>
      <c r="I76" s="27">
        <f ca="1">IFERROR((Table110[[#This Row],[Volume Delivered (T)]]/Table110[[#This Row],[Hours Used]])/(Table110[[#This Row],[SOC (TPD)]]/24),"")</f>
        <v>0.82653061224489777</v>
      </c>
      <c r="J76" s="28"/>
      <c r="K76" s="28"/>
      <c r="L76" s="28"/>
      <c r="M76" s="25">
        <v>1.35</v>
      </c>
      <c r="N76" s="29">
        <v>3.9E-2</v>
      </c>
      <c r="O76" s="84"/>
      <c r="P76" s="25"/>
      <c r="Q76" s="25"/>
      <c r="R76" s="70"/>
      <c r="S76" s="71"/>
      <c r="T76" s="30">
        <f>IF(Table110[[#This Row],[SKU]]="",0,24-Table110[[#This Row],[Legal Non-Operating Time]]-Table110[[#This Row],[No Demand Time]]-Table110[[#This Row],[Force Majeure]])</f>
        <v>24</v>
      </c>
      <c r="U76" s="26"/>
      <c r="V76" s="26"/>
      <c r="W76" s="26"/>
      <c r="X76" s="26"/>
      <c r="Y76" s="26"/>
      <c r="Z76" s="26"/>
      <c r="AA76" s="26"/>
      <c r="AB76" s="30">
        <f>Table110[[#This Row],[Hours Used]]-SUM(Table110[[#This Row],[Planned Maintenance]:[Start and Finish Production]])</f>
        <v>24</v>
      </c>
      <c r="AC76" s="26"/>
      <c r="AD76" s="26"/>
      <c r="AE76" s="26"/>
      <c r="AF76" s="26"/>
      <c r="AG76" s="26"/>
      <c r="AH76" s="26"/>
      <c r="AI76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1.1122448979591841</v>
      </c>
      <c r="AJ76" s="24">
        <f ca="1">IFERROR(IF(Table110[[#This Row],[SKU]]="",0,Table110[[#This Row],[Quality Loss (T)]]/(Table110[[#This Row],[SOC (TPD)]]/24)),"")</f>
        <v>0.82653061224489788</v>
      </c>
      <c r="AK76" s="31">
        <f ca="1">IFERROR(IF(Table110[[#This Row],[SKU]]="",0,Table110[[#This Row],[Volume Delivered (T)]]/(Table110[[#This Row],[SOC (TPD)]]/24)),"")</f>
        <v>19.836734693877549</v>
      </c>
      <c r="AL76" s="31">
        <f ca="1">IFERROR(Table110[[#This Row],[Operating Time]]/Table110[[#This Row],[PRODUCTION HOURS]],"")</f>
        <v>0.82653061224489788</v>
      </c>
      <c r="AM76" s="32">
        <v>74</v>
      </c>
      <c r="AN76" s="32" t="s">
        <v>107</v>
      </c>
      <c r="AO76" s="32" t="s">
        <v>107</v>
      </c>
      <c r="AP76" s="32">
        <v>1</v>
      </c>
      <c r="AQ76" s="32">
        <v>0</v>
      </c>
      <c r="AR76" s="32"/>
      <c r="AS76" s="32" t="str">
        <f>IFERROR(SUMIFS(#REF!,#REF!,'Shift Wise-Data Sheet'!A:A,#REF!,"Samridhi Perk Line")/SUMIFS(#REF!,#REF!,'Shift Wise-Data Sheet'!A:A,#REF!,"Samridhi Perk Line"),"")</f>
        <v/>
      </c>
      <c r="AT76" s="32"/>
      <c r="AU76" s="32"/>
      <c r="AV76" s="211">
        <f>IFERROR(VLOOKUP(Table110[[#This Row],[Date]],'Overweight Data'!A74:G1169,6,FALSE),"")</f>
        <v>3.6878453038673993E-2</v>
      </c>
      <c r="AW76" s="221">
        <f ca="1">IFERROR(
   IF(
      OR(Table110[[#This Row],[Operating Time]]=0, (Table110[[#This Row],[Operating Time]]/IF(AD76&lt;=1,AD76+1,AD76))*60=0),
      1,
      ((Table110[[#This Row],[Operating Time]])/IF(AD76&lt;=1,AD76+1,AD76))*60
   ),
"_")</f>
        <v>1190.204081632653</v>
      </c>
      <c r="AX76" s="221">
        <f>COUNTIFS('Downtime Data'!A:A,Table110[[#This Row],[Date]])</f>
        <v>0</v>
      </c>
      <c r="AY76" s="219" t="str">
        <f>IFERROR((SUM(Table110[[#This Row],[Minor Stoppages]:[Material Shortages]])/Table110[[#This Row],['# Stops]])*60,"")</f>
        <v/>
      </c>
      <c r="AZ76" s="219">
        <v>5</v>
      </c>
      <c r="BA76" s="33">
        <v>46107</v>
      </c>
    </row>
    <row r="77" spans="1:53" ht="20.149999999999999" customHeight="1" x14ac:dyDescent="0.35">
      <c r="A77" s="21">
        <v>46094</v>
      </c>
      <c r="B77" s="22" t="str">
        <f t="shared" si="2"/>
        <v>Friday</v>
      </c>
      <c r="C77" s="22"/>
      <c r="D77" s="23" t="s">
        <v>106</v>
      </c>
      <c r="E77" s="24" cm="1">
        <f t="array" aca="1" ref="E77" ca="1">IFERROR(INDIRECT(D77),"")</f>
        <v>39.200000000000003</v>
      </c>
      <c r="F77" s="26">
        <v>30.991464000000001</v>
      </c>
      <c r="G77" s="26">
        <v>30.991464000000001</v>
      </c>
      <c r="H77" s="27">
        <f ca="1">IFERROR((Table110[[#This Row],[Plan]]/Table110[[#This Row],[Hours Used]])/(Table110[[#This Row],[SOC (TPD)]]/24),"")</f>
        <v>0.79059857142857137</v>
      </c>
      <c r="I77" s="27">
        <f ca="1">IFERROR((Table110[[#This Row],[Volume Delivered (T)]]/Table110[[#This Row],[Hours Used]])/(Table110[[#This Row],[SOC (TPD)]]/24),"")</f>
        <v>0.79059857142857137</v>
      </c>
      <c r="J77" s="28"/>
      <c r="K77" s="28"/>
      <c r="L77" s="28"/>
      <c r="M77" s="25">
        <v>1.5</v>
      </c>
      <c r="N77" s="29">
        <v>3.9E-2</v>
      </c>
      <c r="O77" s="84"/>
      <c r="P77" s="25"/>
      <c r="Q77" s="25"/>
      <c r="R77" s="70"/>
      <c r="S77" s="71"/>
      <c r="T77" s="30">
        <f>IF(Table110[[#This Row],[SKU]]="",0,24-Table110[[#This Row],[Legal Non-Operating Time]]-Table110[[#This Row],[No Demand Time]]-Table110[[#This Row],[Force Majeure]])</f>
        <v>24</v>
      </c>
      <c r="U77" s="26"/>
      <c r="V77" s="26">
        <v>1</v>
      </c>
      <c r="W77" s="26"/>
      <c r="X77" s="26"/>
      <c r="Y77" s="26"/>
      <c r="Z77" s="26"/>
      <c r="AA77" s="26"/>
      <c r="AB77" s="30">
        <f>Table110[[#This Row],[Hours Used]]-SUM(Table110[[#This Row],[Planned Maintenance]:[Start and Finish Production]])</f>
        <v>23</v>
      </c>
      <c r="AC77" s="26">
        <v>0.5</v>
      </c>
      <c r="AD77" s="26">
        <f>70/60</f>
        <v>1.1666666666666667</v>
      </c>
      <c r="AE77" s="26"/>
      <c r="AF77" s="26"/>
      <c r="AG77" s="26"/>
      <c r="AH77" s="26"/>
      <c r="AI77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0.48020009070294734</v>
      </c>
      <c r="AJ77" s="24">
        <f ca="1">IFERROR(IF(Table110[[#This Row],[SKU]]="",0,Table110[[#This Row],[Quality Loss (T)]]/(Table110[[#This Row],[SOC (TPD)]]/24)),"")</f>
        <v>0.91836734693877542</v>
      </c>
      <c r="AK77" s="31">
        <f ca="1">IFERROR(IF(Table110[[#This Row],[SKU]]="",0,Table110[[#This Row],[Volume Delivered (T)]]/(Table110[[#This Row],[SOC (TPD)]]/24)),"")</f>
        <v>18.974365714285714</v>
      </c>
      <c r="AL77" s="31">
        <f ca="1">IFERROR(Table110[[#This Row],[Operating Time]]/Table110[[#This Row],[PRODUCTION HOURS]],"")</f>
        <v>0.82497242236024848</v>
      </c>
      <c r="AM77" s="32">
        <v>100</v>
      </c>
      <c r="AN77" s="32" t="s">
        <v>107</v>
      </c>
      <c r="AO77" s="32" t="s">
        <v>107</v>
      </c>
      <c r="AP77" s="32">
        <v>0</v>
      </c>
      <c r="AQ77" s="32">
        <v>0</v>
      </c>
      <c r="AR77" s="32"/>
      <c r="AS77" s="32" t="str">
        <f>IFERROR(SUMIFS(#REF!,#REF!,'Shift Wise-Data Sheet'!A:A,#REF!,"Samridhi Perk Line")/SUMIFS(#REF!,#REF!,'Shift Wise-Data Sheet'!A:A,#REF!,"Samridhi Perk Line"),"")</f>
        <v/>
      </c>
      <c r="AT77" s="32"/>
      <c r="AU77" s="32"/>
      <c r="AV77" s="211">
        <f>IFERROR(VLOOKUP(Table110[[#This Row],[Date]],'Overweight Data'!A75:G1170,6,FALSE),"")</f>
        <v>3.6022099447513757E-2</v>
      </c>
      <c r="AW77" s="221">
        <f ca="1">IFERROR(
   IF(
      OR(Table110[[#This Row],[Operating Time]]=0, (Table110[[#This Row],[Operating Time]]/IF(AD77&lt;=1,AD77+1,AD77))*60=0),
      1,
      ((Table110[[#This Row],[Operating Time]])/IF(AD77&lt;=1,AD77+1,AD77))*60
   ),
"_")</f>
        <v>975.82452244897945</v>
      </c>
      <c r="AX77" s="221">
        <f>COUNTIFS('Downtime Data'!A:A,Table110[[#This Row],[Date]])</f>
        <v>2</v>
      </c>
      <c r="AY77" s="219">
        <f>IFERROR((SUM(Table110[[#This Row],[Minor Stoppages]:[Material Shortages]])/Table110[[#This Row],['# Stops]])*60,"")</f>
        <v>50</v>
      </c>
      <c r="AZ77" s="219">
        <v>5</v>
      </c>
      <c r="BA77" s="33">
        <v>46107</v>
      </c>
    </row>
    <row r="78" spans="1:53" ht="20.149999999999999" customHeight="1" x14ac:dyDescent="0.35">
      <c r="A78" s="21">
        <v>46095</v>
      </c>
      <c r="B78" s="22" t="str">
        <f t="shared" si="2"/>
        <v>Saturday</v>
      </c>
      <c r="C78" s="22"/>
      <c r="D78" s="23" t="s">
        <v>108</v>
      </c>
      <c r="E78" s="24" cm="1">
        <f t="array" aca="1" ref="E78" ca="1">IFERROR(INDIRECT(D78),"")</f>
        <v>34.200000000000003</v>
      </c>
      <c r="F78" s="26">
        <v>11.530000000000001</v>
      </c>
      <c r="G78" s="26">
        <f>10.38+1.15</f>
        <v>11.530000000000001</v>
      </c>
      <c r="H78" s="27">
        <f ca="1">IFERROR((Table110[[#This Row],[Plan]]/Table110[[#This Row],[Hours Used]])/(Table110[[#This Row],[SOC (TPD)]]/24),"")</f>
        <v>0.33713450292397662</v>
      </c>
      <c r="I78" s="27">
        <f ca="1">IFERROR((Table110[[#This Row],[Volume Delivered (T)]]/Table110[[#This Row],[Hours Used]])/(Table110[[#This Row],[SOC (TPD)]]/24),"")</f>
        <v>0.33713450292397662</v>
      </c>
      <c r="J78" s="28"/>
      <c r="K78" s="28"/>
      <c r="L78" s="28"/>
      <c r="M78" s="25">
        <v>1.3</v>
      </c>
      <c r="N78" s="29">
        <v>3.9E-2</v>
      </c>
      <c r="O78" s="84"/>
      <c r="P78" s="25"/>
      <c r="Q78" s="25"/>
      <c r="R78" s="70"/>
      <c r="S78" s="71"/>
      <c r="T78" s="30">
        <f>IF(Table110[[#This Row],[SKU]]="",0,24-Table110[[#This Row],[Legal Non-Operating Time]]-Table110[[#This Row],[No Demand Time]]-Table110[[#This Row],[Force Majeure]])</f>
        <v>24</v>
      </c>
      <c r="U78" s="26"/>
      <c r="V78" s="26"/>
      <c r="W78" s="26">
        <v>12</v>
      </c>
      <c r="X78" s="26"/>
      <c r="Y78" s="26"/>
      <c r="Z78" s="26"/>
      <c r="AA78" s="26"/>
      <c r="AB78" s="30">
        <f>Table110[[#This Row],[Hours Used]]-SUM(Table110[[#This Row],[Planned Maintenance]:[Start and Finish Production]])</f>
        <v>12</v>
      </c>
      <c r="AC78" s="26"/>
      <c r="AD78" s="26">
        <v>2</v>
      </c>
      <c r="AE78" s="26">
        <v>1</v>
      </c>
      <c r="AF78" s="26"/>
      <c r="AG78" s="26"/>
      <c r="AH78" s="26"/>
      <c r="AI78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-1.1695906432750054E-3</v>
      </c>
      <c r="AJ78" s="24">
        <f ca="1">IFERROR(IF(Table110[[#This Row],[SKU]]="",0,Table110[[#This Row],[Quality Loss (T)]]/(Table110[[#This Row],[SOC (TPD)]]/24)),"")</f>
        <v>0.91228070175438591</v>
      </c>
      <c r="AK78" s="31">
        <f ca="1">IFERROR(IF(Table110[[#This Row],[SKU]]="",0,Table110[[#This Row],[Volume Delivered (T)]]/(Table110[[#This Row],[SOC (TPD)]]/24)),"")</f>
        <v>8.0912280701754398</v>
      </c>
      <c r="AL78" s="31">
        <f ca="1">IFERROR(Table110[[#This Row],[Operating Time]]/Table110[[#This Row],[PRODUCTION HOURS]],"")</f>
        <v>0.67426900584795335</v>
      </c>
      <c r="AM78" s="32">
        <v>71</v>
      </c>
      <c r="AN78" s="32" t="s">
        <v>107</v>
      </c>
      <c r="AO78" s="32" t="s">
        <v>107</v>
      </c>
      <c r="AP78" s="32">
        <v>0</v>
      </c>
      <c r="AQ78" s="32">
        <v>0</v>
      </c>
      <c r="AR78" s="32"/>
      <c r="AS78" s="32" t="str">
        <f>IFERROR(SUMIFS(#REF!,#REF!,'Shift Wise-Data Sheet'!A:A,#REF!,"Samridhi Perk Line")/SUMIFS(#REF!,#REF!,'Shift Wise-Data Sheet'!A:A,#REF!,"Samridhi Perk Line"),"")</f>
        <v/>
      </c>
      <c r="AT78" s="32"/>
      <c r="AU78" s="32"/>
      <c r="AV78" s="211" t="str">
        <f>IFERROR(VLOOKUP(Table110[[#This Row],[Date]],'Overweight Data'!A76:G1171,6,FALSE),"")</f>
        <v/>
      </c>
      <c r="AW78" s="221">
        <f ca="1">IFERROR(
   IF(
      OR(Table110[[#This Row],[Operating Time]]=0, (Table110[[#This Row],[Operating Time]]/IF(AD78&lt;=1,AD78+1,AD78))*60=0),
      1,
      ((Table110[[#This Row],[Operating Time]])/IF(AD78&lt;=1,AD78+1,AD78))*60
   ),
"_")</f>
        <v>242.73684210526318</v>
      </c>
      <c r="AX78" s="221">
        <f>COUNTIFS('Downtime Data'!A:A,Table110[[#This Row],[Date]])</f>
        <v>1</v>
      </c>
      <c r="AY78" s="219">
        <f>IFERROR((SUM(Table110[[#This Row],[Minor Stoppages]:[Material Shortages]])/Table110[[#This Row],['# Stops]])*60,"")</f>
        <v>180</v>
      </c>
      <c r="AZ78" s="219"/>
      <c r="BA78" s="33">
        <v>46107</v>
      </c>
    </row>
    <row r="79" spans="1:53" ht="20.149999999999999" customHeight="1" x14ac:dyDescent="0.35">
      <c r="A79" s="21">
        <v>46096</v>
      </c>
      <c r="B79" s="22" t="str">
        <f t="shared" si="2"/>
        <v>Sunday</v>
      </c>
      <c r="C79" s="22"/>
      <c r="D79" s="23" t="s">
        <v>108</v>
      </c>
      <c r="E79" s="24" cm="1">
        <f t="array" aca="1" ref="E79" ca="1">IFERROR(INDIRECT(D79),"")</f>
        <v>34.200000000000003</v>
      </c>
      <c r="F79" s="26">
        <v>30.7</v>
      </c>
      <c r="G79" s="26">
        <v>30.7</v>
      </c>
      <c r="H79" s="27">
        <f ca="1">IFERROR((Table110[[#This Row],[Plan]]/Table110[[#This Row],[Hours Used]])/(Table110[[#This Row],[SOC (TPD)]]/24),"")</f>
        <v>0.89766081871345016</v>
      </c>
      <c r="I79" s="27">
        <f ca="1">IFERROR((Table110[[#This Row],[Volume Delivered (T)]]/Table110[[#This Row],[Hours Used]])/(Table110[[#This Row],[SOC (TPD)]]/24),"")</f>
        <v>0.89766081871345016</v>
      </c>
      <c r="J79" s="28"/>
      <c r="K79" s="28"/>
      <c r="L79" s="28"/>
      <c r="M79" s="25">
        <f>0.53+1.26+0.17+0.42-0.26-0.58</f>
        <v>1.54</v>
      </c>
      <c r="N79" s="29">
        <v>3.9E-2</v>
      </c>
      <c r="O79" s="84"/>
      <c r="P79" s="25"/>
      <c r="Q79" s="25"/>
      <c r="R79" s="70"/>
      <c r="S79" s="71"/>
      <c r="T79" s="30">
        <f>IF(Table110[[#This Row],[SKU]]="",0,24-Table110[[#This Row],[Legal Non-Operating Time]]-Table110[[#This Row],[No Demand Time]]-Table110[[#This Row],[Force Majeure]])</f>
        <v>24</v>
      </c>
      <c r="U79" s="26"/>
      <c r="V79" s="26"/>
      <c r="W79" s="26"/>
      <c r="X79" s="26"/>
      <c r="Y79" s="26"/>
      <c r="Z79" s="26"/>
      <c r="AA79" s="26"/>
      <c r="AB79" s="30">
        <f>Table110[[#This Row],[Hours Used]]-SUM(Table110[[#This Row],[Planned Maintenance]:[Start and Finish Production]])</f>
        <v>24</v>
      </c>
      <c r="AC79" s="26"/>
      <c r="AD79" s="26">
        <v>1.5</v>
      </c>
      <c r="AE79" s="26"/>
      <c r="AF79" s="26"/>
      <c r="AG79" s="26"/>
      <c r="AH79" s="26"/>
      <c r="AI79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-4.1520467836257069E-2</v>
      </c>
      <c r="AJ79" s="24">
        <f ca="1">IFERROR(IF(Table110[[#This Row],[SKU]]="",0,Table110[[#This Row],[Quality Loss (T)]]/(Table110[[#This Row],[SOC (TPD)]]/24)),"")</f>
        <v>1.0807017543859649</v>
      </c>
      <c r="AK79" s="31">
        <f ca="1">IFERROR(IF(Table110[[#This Row],[SKU]]="",0,Table110[[#This Row],[Volume Delivered (T)]]/(Table110[[#This Row],[SOC (TPD)]]/24)),"")</f>
        <v>21.543859649122805</v>
      </c>
      <c r="AL79" s="31">
        <f ca="1">IFERROR(Table110[[#This Row],[Operating Time]]/Table110[[#This Row],[PRODUCTION HOURS]],"")</f>
        <v>0.89766081871345016</v>
      </c>
      <c r="AM79" s="32">
        <v>66</v>
      </c>
      <c r="AN79" s="32" t="s">
        <v>105</v>
      </c>
      <c r="AO79" s="32" t="s">
        <v>105</v>
      </c>
      <c r="AP79" s="32">
        <v>0</v>
      </c>
      <c r="AQ79" s="32">
        <v>0</v>
      </c>
      <c r="AR79" s="32"/>
      <c r="AS79" s="32" t="str">
        <f>IFERROR(SUMIFS(#REF!,#REF!,'Shift Wise-Data Sheet'!A:A,#REF!,"Samridhi Perk Line")/SUMIFS(#REF!,#REF!,'Shift Wise-Data Sheet'!A:A,#REF!,"Samridhi Perk Line"),"")</f>
        <v/>
      </c>
      <c r="AT79" s="32"/>
      <c r="AU79" s="32"/>
      <c r="AV79" s="211">
        <f>IFERROR(VLOOKUP(Table110[[#This Row],[Date]],'Overweight Data'!A77:G1172,6,FALSE),"")</f>
        <v>2.593531468531475E-2</v>
      </c>
      <c r="AW79" s="221">
        <f ca="1">IFERROR(
   IF(
      OR(Table110[[#This Row],[Operating Time]]=0, (Table110[[#This Row],[Operating Time]]/IF(AD79&lt;=1,AD79+1,AD79))*60=0),
      1,
      ((Table110[[#This Row],[Operating Time]])/IF(AD79&lt;=1,AD79+1,AD79))*60
   ),
"_")</f>
        <v>861.7543859649121</v>
      </c>
      <c r="AX79" s="221">
        <f>COUNTIFS('Downtime Data'!A:A,Table110[[#This Row],[Date]])</f>
        <v>1</v>
      </c>
      <c r="AY79" s="219">
        <f>IFERROR((SUM(Table110[[#This Row],[Minor Stoppages]:[Material Shortages]])/Table110[[#This Row],['# Stops]])*60,"")</f>
        <v>90</v>
      </c>
      <c r="AZ79" s="219"/>
      <c r="BA79" s="33">
        <v>46107</v>
      </c>
    </row>
    <row r="80" spans="1:53" ht="20.149999999999999" customHeight="1" x14ac:dyDescent="0.35">
      <c r="A80" s="21">
        <v>46097</v>
      </c>
      <c r="B80" s="22" t="str">
        <f t="shared" si="2"/>
        <v>Monday</v>
      </c>
      <c r="C80" s="22"/>
      <c r="D80" s="23" t="s">
        <v>108</v>
      </c>
      <c r="E80" s="24" cm="1">
        <f t="array" aca="1" ref="E80" ca="1">IFERROR(INDIRECT(D80),"")</f>
        <v>34.200000000000003</v>
      </c>
      <c r="F80" s="26">
        <v>26.2</v>
      </c>
      <c r="G80" s="26">
        <v>26.2</v>
      </c>
      <c r="H80" s="27">
        <f ca="1">IFERROR((Table110[[#This Row],[Plan]]/Table110[[#This Row],[Hours Used]])/(Table110[[#This Row],[SOC (TPD)]]/24),"")</f>
        <v>0.76608187134502914</v>
      </c>
      <c r="I80" s="27">
        <f ca="1">IFERROR((Table110[[#This Row],[Volume Delivered (T)]]/Table110[[#This Row],[Hours Used]])/(Table110[[#This Row],[SOC (TPD)]]/24),"")</f>
        <v>0.76608187134502914</v>
      </c>
      <c r="J80" s="28"/>
      <c r="K80" s="28"/>
      <c r="L80" s="28"/>
      <c r="M80" s="25">
        <v>1.5</v>
      </c>
      <c r="N80" s="29">
        <v>3.9E-2</v>
      </c>
      <c r="O80" s="84">
        <v>26</v>
      </c>
      <c r="P80" s="25"/>
      <c r="Q80" s="25">
        <v>4</v>
      </c>
      <c r="R80" s="70"/>
      <c r="S80" s="71"/>
      <c r="T80" s="30">
        <f>IF(Table110[[#This Row],[SKU]]="",0,24-Table110[[#This Row],[Legal Non-Operating Time]]-Table110[[#This Row],[No Demand Time]]-Table110[[#This Row],[Force Majeure]])</f>
        <v>24</v>
      </c>
      <c r="U80" s="26"/>
      <c r="V80" s="26">
        <v>1</v>
      </c>
      <c r="W80" s="26"/>
      <c r="X80" s="26"/>
      <c r="Y80" s="26"/>
      <c r="Z80" s="26"/>
      <c r="AA80" s="26"/>
      <c r="AB80" s="30">
        <f>Table110[[#This Row],[Hours Used]]-SUM(Table110[[#This Row],[Planned Maintenance]:[Start and Finish Production]])</f>
        <v>23</v>
      </c>
      <c r="AC80" s="26">
        <v>0.5</v>
      </c>
      <c r="AD80" s="26">
        <v>1</v>
      </c>
      <c r="AE80" s="26">
        <v>0.33333333333333331</v>
      </c>
      <c r="AF80" s="26"/>
      <c r="AG80" s="26">
        <v>0.75</v>
      </c>
      <c r="AH80" s="26"/>
      <c r="AI80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0.32602339181286527</v>
      </c>
      <c r="AJ80" s="24">
        <f ca="1">IFERROR(IF(Table110[[#This Row],[SKU]]="",0,Table110[[#This Row],[Quality Loss (T)]]/(Table110[[#This Row],[SOC (TPD)]]/24)),"")</f>
        <v>1.0526315789473684</v>
      </c>
      <c r="AK80" s="31">
        <f ca="1">IFERROR(IF(Table110[[#This Row],[SKU]]="",0,Table110[[#This Row],[Volume Delivered (T)]]/(Table110[[#This Row],[SOC (TPD)]]/24)),"")</f>
        <v>18.385964912280702</v>
      </c>
      <c r="AL80" s="31">
        <f ca="1">IFERROR(Table110[[#This Row],[Operating Time]]/Table110[[#This Row],[PRODUCTION HOURS]],"")</f>
        <v>0.7993897787948131</v>
      </c>
      <c r="AM80" s="32">
        <v>78</v>
      </c>
      <c r="AN80" s="32" t="s">
        <v>107</v>
      </c>
      <c r="AO80" s="32" t="s">
        <v>107</v>
      </c>
      <c r="AP80" s="32">
        <v>0</v>
      </c>
      <c r="AQ80" s="32">
        <v>0</v>
      </c>
      <c r="AR80" s="32"/>
      <c r="AS80" s="32" t="str">
        <f>IFERROR(SUMIFS(#REF!,#REF!,'Shift Wise-Data Sheet'!A:A,#REF!,"Samridhi Perk Line")/SUMIFS(#REF!,#REF!,'Shift Wise-Data Sheet'!A:A,#REF!,"Samridhi Perk Line"),"")</f>
        <v/>
      </c>
      <c r="AT80" s="32"/>
      <c r="AU80" s="32"/>
      <c r="AV80" s="211">
        <f>IFERROR(VLOOKUP(Table110[[#This Row],[Date]],'Overweight Data'!A78:G1173,6,FALSE),"")</f>
        <v>2.0052447552447603E-2</v>
      </c>
      <c r="AW80" s="221">
        <f ca="1">IFERROR(
   IF(
      OR(Table110[[#This Row],[Operating Time]]=0, (Table110[[#This Row],[Operating Time]]/IF(AD80&lt;=1,AD80+1,AD80))*60=0),
      1,
      ((Table110[[#This Row],[Operating Time]])/IF(AD80&lt;=1,AD80+1,AD80))*60
   ),
"_")</f>
        <v>551.57894736842104</v>
      </c>
      <c r="AX80" s="221">
        <f>COUNTIFS('Downtime Data'!A:A,Table110[[#This Row],[Date]])</f>
        <v>2</v>
      </c>
      <c r="AY80" s="219">
        <f>IFERROR((SUM(Table110[[#This Row],[Minor Stoppages]:[Material Shortages]])/Table110[[#This Row],['# Stops]])*60,"")</f>
        <v>77.499999999999986</v>
      </c>
      <c r="AZ80" s="219"/>
      <c r="BA80" s="33">
        <v>46107</v>
      </c>
    </row>
    <row r="81" spans="1:53" ht="20.149999999999999" customHeight="1" x14ac:dyDescent="0.35">
      <c r="A81" s="21">
        <v>46098</v>
      </c>
      <c r="B81" s="22" t="str">
        <f t="shared" si="2"/>
        <v>Tuesday</v>
      </c>
      <c r="C81" s="22"/>
      <c r="D81" s="23" t="s">
        <v>108</v>
      </c>
      <c r="E81" s="24" cm="1">
        <f t="array" aca="1" ref="E81" ca="1">IFERROR(INDIRECT(D81),"")</f>
        <v>34.200000000000003</v>
      </c>
      <c r="F81" s="26">
        <v>27.54</v>
      </c>
      <c r="G81" s="26">
        <v>27.54</v>
      </c>
      <c r="H81" s="27">
        <f ca="1">IFERROR((Table110[[#This Row],[Plan]]/Table110[[#This Row],[Hours Used]])/(Table110[[#This Row],[SOC (TPD)]]/24),"")</f>
        <v>0.80526315789473679</v>
      </c>
      <c r="I81" s="27">
        <f ca="1">IFERROR((Table110[[#This Row],[Volume Delivered (T)]]/Table110[[#This Row],[Hours Used]])/(Table110[[#This Row],[SOC (TPD)]]/24),"")</f>
        <v>0.80526315789473679</v>
      </c>
      <c r="J81" s="28"/>
      <c r="K81" s="28"/>
      <c r="L81" s="28"/>
      <c r="M81" s="25">
        <f>0.5+1.4+0.2+0.3-0.2-0.5</f>
        <v>1.6999999999999997</v>
      </c>
      <c r="N81" s="29">
        <v>3.9E-2</v>
      </c>
      <c r="O81" s="84"/>
      <c r="P81" s="25"/>
      <c r="Q81" s="25"/>
      <c r="R81" s="70"/>
      <c r="S81" s="71"/>
      <c r="T81" s="30">
        <f>IF(Table110[[#This Row],[SKU]]="",0,24-Table110[[#This Row],[Legal Non-Operating Time]]-Table110[[#This Row],[No Demand Time]]-Table110[[#This Row],[Force Majeure]])</f>
        <v>24</v>
      </c>
      <c r="U81" s="26"/>
      <c r="V81" s="26">
        <v>1</v>
      </c>
      <c r="W81" s="26"/>
      <c r="X81" s="26"/>
      <c r="Y81" s="26"/>
      <c r="Z81" s="26"/>
      <c r="AA81" s="26"/>
      <c r="AB81" s="30">
        <f>Table110[[#This Row],[Hours Used]]-SUM(Table110[[#This Row],[Planned Maintenance]:[Start and Finish Production]])</f>
        <v>23</v>
      </c>
      <c r="AC81" s="26"/>
      <c r="AD81" s="26">
        <v>2.4500000000000002</v>
      </c>
      <c r="AE81" s="26"/>
      <c r="AF81" s="26"/>
      <c r="AG81" s="26"/>
      <c r="AH81" s="26"/>
      <c r="AI81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1.0233918128656446E-2</v>
      </c>
      <c r="AJ81" s="24">
        <f ca="1">IFERROR(IF(Table110[[#This Row],[SKU]]="",0,Table110[[#This Row],[Quality Loss (T)]]/(Table110[[#This Row],[SOC (TPD)]]/24)),"")</f>
        <v>1.1929824561403506</v>
      </c>
      <c r="AK81" s="31">
        <f ca="1">IFERROR(IF(Table110[[#This Row],[SKU]]="",0,Table110[[#This Row],[Volume Delivered (T)]]/(Table110[[#This Row],[SOC (TPD)]]/24)),"")</f>
        <v>19.326315789473682</v>
      </c>
      <c r="AL81" s="31">
        <f ca="1">IFERROR(Table110[[#This Row],[Operating Time]]/Table110[[#This Row],[PRODUCTION HOURS]],"")</f>
        <v>0.84027459954233397</v>
      </c>
      <c r="AM81" s="32">
        <v>88</v>
      </c>
      <c r="AN81" s="32" t="s">
        <v>107</v>
      </c>
      <c r="AO81" s="32" t="s">
        <v>105</v>
      </c>
      <c r="AP81" s="32">
        <v>0</v>
      </c>
      <c r="AQ81" s="32">
        <v>0</v>
      </c>
      <c r="AR81" s="32">
        <v>1</v>
      </c>
      <c r="AS81" s="32" t="str">
        <f>IFERROR(SUMIFS(#REF!,#REF!,'Shift Wise-Data Sheet'!A:A,#REF!,"Samridhi Perk Line")/SUMIFS(#REF!,#REF!,'Shift Wise-Data Sheet'!A:A,#REF!,"Samridhi Perk Line"),"")</f>
        <v/>
      </c>
      <c r="AT81" s="32"/>
      <c r="AU81" s="32"/>
      <c r="AV81" s="211">
        <f>IFERROR(VLOOKUP(Table110[[#This Row],[Date]],'Overweight Data'!A79:G1174,6,FALSE),"")</f>
        <v>2.7638121546961311E-2</v>
      </c>
      <c r="AW81" s="221">
        <f ca="1">IFERROR(
   IF(
      OR(Table110[[#This Row],[Operating Time]]=0, (Table110[[#This Row],[Operating Time]]/IF(AD81&lt;=1,AD81+1,AD81))*60=0),
      1,
      ((Table110[[#This Row],[Operating Time]])/IF(AD81&lt;=1,AD81+1,AD81))*60
   ),
"_")</f>
        <v>473.29752953813096</v>
      </c>
      <c r="AX81" s="221">
        <f>COUNTIFS('Downtime Data'!A:A,Table110[[#This Row],[Date]])</f>
        <v>1</v>
      </c>
      <c r="AY81" s="219">
        <f>IFERROR((SUM(Table110[[#This Row],[Minor Stoppages]:[Material Shortages]])/Table110[[#This Row],['# Stops]])*60,"")</f>
        <v>147</v>
      </c>
      <c r="AZ81" s="221"/>
      <c r="BA81" s="33">
        <v>46107</v>
      </c>
    </row>
    <row r="82" spans="1:53" ht="20.149999999999999" customHeight="1" x14ac:dyDescent="0.35">
      <c r="A82" s="21">
        <v>46099</v>
      </c>
      <c r="B82" s="22" t="str">
        <f t="shared" si="2"/>
        <v>Wednesday</v>
      </c>
      <c r="C82" s="22"/>
      <c r="D82" s="23" t="s">
        <v>108</v>
      </c>
      <c r="E82" s="24" cm="1">
        <f t="array" aca="1" ref="E82" ca="1">IFERROR(INDIRECT(D82),"")</f>
        <v>34.200000000000003</v>
      </c>
      <c r="F82" s="26">
        <v>30.2</v>
      </c>
      <c r="G82" s="26">
        <v>30.2</v>
      </c>
      <c r="H82" s="27">
        <f ca="1">IFERROR((Table110[[#This Row],[Plan]]/Table110[[#This Row],[Hours Used]])/(Table110[[#This Row],[SOC (TPD)]]/24),"")</f>
        <v>0.88304093567251463</v>
      </c>
      <c r="I82" s="27">
        <f ca="1">IFERROR((Table110[[#This Row],[Volume Delivered (T)]]/Table110[[#This Row],[Hours Used]])/(Table110[[#This Row],[SOC (TPD)]]/24),"")</f>
        <v>0.88304093567251463</v>
      </c>
      <c r="J82" s="28"/>
      <c r="K82" s="28"/>
      <c r="L82" s="28"/>
      <c r="M82" s="25">
        <f>0.46+1.5+0.18+0.36-0.24-0.68</f>
        <v>1.5799999999999996</v>
      </c>
      <c r="N82" s="29">
        <v>3.9E-2</v>
      </c>
      <c r="O82" s="84">
        <v>32</v>
      </c>
      <c r="P82" s="25"/>
      <c r="Q82" s="25">
        <v>3</v>
      </c>
      <c r="R82" s="70"/>
      <c r="S82" s="71"/>
      <c r="T82" s="30">
        <f>IF(Table110[[#This Row],[SKU]]="",0,24-Table110[[#This Row],[Legal Non-Operating Time]]-Table110[[#This Row],[No Demand Time]]-Table110[[#This Row],[Force Majeure]])</f>
        <v>24</v>
      </c>
      <c r="U82" s="26"/>
      <c r="V82" s="26">
        <v>0.5</v>
      </c>
      <c r="W82" s="26"/>
      <c r="X82" s="26"/>
      <c r="Y82" s="26"/>
      <c r="Z82" s="26"/>
      <c r="AA82" s="26"/>
      <c r="AB82" s="30">
        <f>Table110[[#This Row],[Hours Used]]-SUM(Table110[[#This Row],[Planned Maintenance]:[Start and Finish Production]])</f>
        <v>23.5</v>
      </c>
      <c r="AC82" s="26"/>
      <c r="AD82" s="26">
        <v>0.3</v>
      </c>
      <c r="AE82" s="26">
        <v>1</v>
      </c>
      <c r="AF82" s="26"/>
      <c r="AG82" s="26"/>
      <c r="AH82" s="26"/>
      <c r="AI82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-3.3918128654969827E-2</v>
      </c>
      <c r="AJ82" s="24">
        <f ca="1">IFERROR(IF(Table110[[#This Row],[SKU]]="",0,Table110[[#This Row],[Quality Loss (T)]]/(Table110[[#This Row],[SOC (TPD)]]/24)),"")</f>
        <v>1.1087719298245611</v>
      </c>
      <c r="AK82" s="31">
        <f ca="1">IFERROR(IF(Table110[[#This Row],[SKU]]="",0,Table110[[#This Row],[Volume Delivered (T)]]/(Table110[[#This Row],[SOC (TPD)]]/24)),"")</f>
        <v>21.192982456140349</v>
      </c>
      <c r="AL82" s="31">
        <f ca="1">IFERROR(Table110[[#This Row],[Operating Time]]/Table110[[#This Row],[PRODUCTION HOURS]],"")</f>
        <v>0.90182904068682335</v>
      </c>
      <c r="AM82" s="32">
        <v>89</v>
      </c>
      <c r="AN82" s="32" t="s">
        <v>107</v>
      </c>
      <c r="AO82" s="32" t="s">
        <v>107</v>
      </c>
      <c r="AP82" s="32">
        <v>0</v>
      </c>
      <c r="AQ82" s="32">
        <v>0</v>
      </c>
      <c r="AR82" s="32"/>
      <c r="AS82" s="32" t="str">
        <f>IFERROR(SUMIFS(#REF!,#REF!,'Shift Wise-Data Sheet'!A:A,#REF!,"Samridhi Perk Line")/SUMIFS(#REF!,#REF!,'Shift Wise-Data Sheet'!A:A,#REF!,"Samridhi Perk Line"),"")</f>
        <v/>
      </c>
      <c r="AT82" s="32">
        <v>87</v>
      </c>
      <c r="AU82" s="32"/>
      <c r="AV82" s="211">
        <f>IFERROR(VLOOKUP(Table110[[#This Row],[Date]],'Overweight Data'!A80:G1175,6,FALSE),"")</f>
        <v>2.6386946386946372E-2</v>
      </c>
      <c r="AW82" s="221">
        <f ca="1">IFERROR(
   IF(
      OR(Table110[[#This Row],[Operating Time]]=0, (Table110[[#This Row],[Operating Time]]/IF(AD82&lt;=1,AD82+1,AD82))*60=0),
      1,
      ((Table110[[#This Row],[Operating Time]])/IF(AD82&lt;=1,AD82+1,AD82))*60
   ),
"_")</f>
        <v>978.13765182186228</v>
      </c>
      <c r="AX82" s="221">
        <f>COUNTIFS('Downtime Data'!A:A,Table110[[#This Row],[Date]])</f>
        <v>3</v>
      </c>
      <c r="AY82" s="219">
        <f>IFERROR((SUM(Table110[[#This Row],[Minor Stoppages]:[Material Shortages]])/Table110[[#This Row],['# Stops]])*60,"")</f>
        <v>26</v>
      </c>
      <c r="AZ82" s="219"/>
      <c r="BA82" s="33">
        <v>46107</v>
      </c>
    </row>
    <row r="83" spans="1:53" ht="20.149999999999999" customHeight="1" x14ac:dyDescent="0.35">
      <c r="A83" s="21">
        <v>46100</v>
      </c>
      <c r="B83" s="22" t="str">
        <f t="shared" si="2"/>
        <v>Thursday</v>
      </c>
      <c r="C83" s="22"/>
      <c r="D83" s="23" t="s">
        <v>108</v>
      </c>
      <c r="E83" s="24" cm="1">
        <f t="array" aca="1" ref="E83" ca="1">IFERROR(INDIRECT(D83),"")</f>
        <v>34.200000000000003</v>
      </c>
      <c r="F83" s="26">
        <v>28.5</v>
      </c>
      <c r="G83" s="26">
        <v>28.5</v>
      </c>
      <c r="H83" s="27">
        <f ca="1">IFERROR((Table110[[#This Row],[Plan]]/Table110[[#This Row],[Hours Used]])/(Table110[[#This Row],[SOC (TPD)]]/24),"")</f>
        <v>0.83333333333333326</v>
      </c>
      <c r="I83" s="27">
        <f ca="1">IFERROR((Table110[[#This Row],[Volume Delivered (T)]]/Table110[[#This Row],[Hours Used]])/(Table110[[#This Row],[SOC (TPD)]]/24),"")</f>
        <v>0.83333333333333326</v>
      </c>
      <c r="J83" s="28"/>
      <c r="K83" s="28"/>
      <c r="L83" s="28"/>
      <c r="M83" s="25">
        <f>0.49+1.28+0.17+0.26-0.26-0.58</f>
        <v>1.3600000000000003</v>
      </c>
      <c r="N83" s="29">
        <v>3.9E-2</v>
      </c>
      <c r="O83" s="84">
        <v>36</v>
      </c>
      <c r="P83" s="25"/>
      <c r="Q83" s="25">
        <v>3</v>
      </c>
      <c r="R83" s="70"/>
      <c r="S83" s="71"/>
      <c r="T83" s="30">
        <f>IF(Table110[[#This Row],[SKU]]="",0,24-Table110[[#This Row],[Legal Non-Operating Time]]-Table110[[#This Row],[No Demand Time]]-Table110[[#This Row],[Force Majeure]])</f>
        <v>24</v>
      </c>
      <c r="U83" s="26">
        <v>1</v>
      </c>
      <c r="V83" s="26"/>
      <c r="W83" s="26"/>
      <c r="X83" s="26"/>
      <c r="Y83" s="26"/>
      <c r="Z83" s="26"/>
      <c r="AA83" s="26"/>
      <c r="AB83" s="30">
        <f>Table110[[#This Row],[Hours Used]]-SUM(Table110[[#This Row],[Planned Maintenance]:[Start and Finish Production]])</f>
        <v>23</v>
      </c>
      <c r="AC83" s="26">
        <v>0.5</v>
      </c>
      <c r="AD83" s="26">
        <v>0.25</v>
      </c>
      <c r="AE83" s="26"/>
      <c r="AF83" s="26"/>
      <c r="AG83" s="26"/>
      <c r="AH83" s="26"/>
      <c r="AI83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0.43187134502923996</v>
      </c>
      <c r="AJ83" s="24">
        <f ca="1">IFERROR(IF(Table110[[#This Row],[SKU]]="",0,Table110[[#This Row],[Quality Loss (T)]]/(Table110[[#This Row],[SOC (TPD)]]/24)),"")</f>
        <v>0.95438596491228089</v>
      </c>
      <c r="AK83" s="31">
        <f ca="1">IFERROR(IF(Table110[[#This Row],[SKU]]="",0,Table110[[#This Row],[Volume Delivered (T)]]/(Table110[[#This Row],[SOC (TPD)]]/24)),"")</f>
        <v>20</v>
      </c>
      <c r="AL83" s="31">
        <f ca="1">IFERROR(Table110[[#This Row],[Operating Time]]/Table110[[#This Row],[PRODUCTION HOURS]],"")</f>
        <v>0.86956521739130432</v>
      </c>
      <c r="AM83" s="32">
        <v>88</v>
      </c>
      <c r="AN83" s="32" t="s">
        <v>107</v>
      </c>
      <c r="AO83" s="32" t="s">
        <v>105</v>
      </c>
      <c r="AP83" s="32">
        <v>0</v>
      </c>
      <c r="AQ83" s="32">
        <v>0</v>
      </c>
      <c r="AR83" s="32"/>
      <c r="AS83" s="32" t="str">
        <f>IFERROR(SUMIFS(#REF!,#REF!,'Shift Wise-Data Sheet'!A:A,#REF!,"Samridhi Perk Line")/SUMIFS(#REF!,#REF!,'Shift Wise-Data Sheet'!A:A,#REF!,"Samridhi Perk Line"),"")</f>
        <v/>
      </c>
      <c r="AT83" s="32"/>
      <c r="AU83" s="32"/>
      <c r="AV83" s="211">
        <f>IFERROR(VLOOKUP(Table110[[#This Row],[Date]],'Overweight Data'!A81:G1176,6,FALSE),"")</f>
        <v>1.8420745920745996E-2</v>
      </c>
      <c r="AW83" s="221">
        <f ca="1">IFERROR(
   IF(
      OR(Table110[[#This Row],[Operating Time]]=0, (Table110[[#This Row],[Operating Time]]/IF(AD83&lt;=1,AD83+1,AD83))*60=0),
      1,
      ((Table110[[#This Row],[Operating Time]])/IF(AD83&lt;=1,AD83+1,AD83))*60
   ),
"_")</f>
        <v>960</v>
      </c>
      <c r="AX83" s="221">
        <f>COUNTIFS('Downtime Data'!A:A,Table110[[#This Row],[Date]])</f>
        <v>1</v>
      </c>
      <c r="AY83" s="219">
        <f>IFERROR((SUM(Table110[[#This Row],[Minor Stoppages]:[Material Shortages]])/Table110[[#This Row],['# Stops]])*60,"")</f>
        <v>45</v>
      </c>
      <c r="AZ83" s="219"/>
      <c r="BA83" s="33">
        <v>46107</v>
      </c>
    </row>
    <row r="84" spans="1:53" ht="20.149999999999999" customHeight="1" x14ac:dyDescent="0.35">
      <c r="A84" s="21">
        <v>46101</v>
      </c>
      <c r="B84" s="22" t="str">
        <f t="shared" si="2"/>
        <v>Friday</v>
      </c>
      <c r="C84" s="22"/>
      <c r="D84" s="23" t="s">
        <v>108</v>
      </c>
      <c r="E84" s="24" cm="1">
        <f t="array" aca="1" ref="E84" ca="1">IFERROR(INDIRECT(D84),"")</f>
        <v>34.200000000000003</v>
      </c>
      <c r="F84" s="26">
        <v>29</v>
      </c>
      <c r="G84" s="26">
        <v>29</v>
      </c>
      <c r="H84" s="27">
        <f ca="1">IFERROR((Table110[[#This Row],[Plan]]/Table110[[#This Row],[Hours Used]])/(Table110[[#This Row],[SOC (TPD)]]/24),"")</f>
        <v>0.8479532163742689</v>
      </c>
      <c r="I84" s="27">
        <f ca="1">IFERROR((Table110[[#This Row],[Volume Delivered (T)]]/Table110[[#This Row],[Hours Used]])/(Table110[[#This Row],[SOC (TPD)]]/24),"")</f>
        <v>0.8479532163742689</v>
      </c>
      <c r="J84" s="28"/>
      <c r="K84" s="28"/>
      <c r="L84" s="28"/>
      <c r="M84" s="25">
        <f>0.49+1.46+0.16+0.82-0.2-0.6</f>
        <v>2.1299999999999994</v>
      </c>
      <c r="N84" s="29">
        <v>3.9E-2</v>
      </c>
      <c r="O84" s="84"/>
      <c r="P84" s="25"/>
      <c r="Q84" s="25"/>
      <c r="R84" s="70"/>
      <c r="S84" s="71"/>
      <c r="T84" s="30">
        <f>IF(Table110[[#This Row],[SKU]]="",0,24-Table110[[#This Row],[Legal Non-Operating Time]]-Table110[[#This Row],[No Demand Time]]-Table110[[#This Row],[Force Majeure]])</f>
        <v>24</v>
      </c>
      <c r="U84" s="26"/>
      <c r="V84" s="26"/>
      <c r="W84" s="26"/>
      <c r="X84" s="26"/>
      <c r="Y84" s="26">
        <v>0.5</v>
      </c>
      <c r="Z84" s="26"/>
      <c r="AA84" s="26"/>
      <c r="AB84" s="30">
        <f>Table110[[#This Row],[Hours Used]]-SUM(Table110[[#This Row],[Planned Maintenance]:[Start and Finish Production]])</f>
        <v>23.5</v>
      </c>
      <c r="AC84" s="26"/>
      <c r="AD84" s="26"/>
      <c r="AE84" s="26">
        <v>0.25</v>
      </c>
      <c r="AF84" s="26"/>
      <c r="AG84" s="26"/>
      <c r="AH84" s="26"/>
      <c r="AI84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0.468128654970761</v>
      </c>
      <c r="AJ84" s="24">
        <f ca="1">IFERROR(IF(Table110[[#This Row],[SKU]]="",0,Table110[[#This Row],[Quality Loss (T)]]/(Table110[[#This Row],[SOC (TPD)]]/24)),"")</f>
        <v>1.4947368421052627</v>
      </c>
      <c r="AK84" s="31">
        <f ca="1">IFERROR(IF(Table110[[#This Row],[SKU]]="",0,Table110[[#This Row],[Volume Delivered (T)]]/(Table110[[#This Row],[SOC (TPD)]]/24)),"")</f>
        <v>20.350877192982455</v>
      </c>
      <c r="AL84" s="31">
        <f ca="1">IFERROR(Table110[[#This Row],[Operating Time]]/Table110[[#This Row],[PRODUCTION HOURS]],"")</f>
        <v>0.86599477416946624</v>
      </c>
      <c r="AM84" s="32">
        <v>93</v>
      </c>
      <c r="AN84" s="32" t="s">
        <v>107</v>
      </c>
      <c r="AO84" s="32" t="s">
        <v>107</v>
      </c>
      <c r="AP84" s="32">
        <v>3</v>
      </c>
      <c r="AQ84" s="32">
        <v>3</v>
      </c>
      <c r="AR84" s="32"/>
      <c r="AS84" s="32" t="str">
        <f>IFERROR(SUMIFS(#REF!,#REF!,'Shift Wise-Data Sheet'!A:A,#REF!,"Samridhi Perk Line")/SUMIFS(#REF!,#REF!,'Shift Wise-Data Sheet'!A:A,#REF!,"Samridhi Perk Line"),"")</f>
        <v/>
      </c>
      <c r="AT84" s="32"/>
      <c r="AU84" s="32"/>
      <c r="AV84" s="211">
        <f>IFERROR(VLOOKUP(Table110[[#This Row],[Date]],'Overweight Data'!A82:G1177,6,FALSE),"")</f>
        <v>2.5697465517907497E-2</v>
      </c>
      <c r="AW84" s="221">
        <f ca="1">IFERROR(
   IF(
      OR(Table110[[#This Row],[Operating Time]]=0, (Table110[[#This Row],[Operating Time]]/IF(AD84&lt;=1,AD84+1,AD84))*60=0),
      1,
      ((Table110[[#This Row],[Operating Time]])/IF(AD84&lt;=1,AD84+1,AD84))*60
   ),
"_")</f>
        <v>1221.0526315789473</v>
      </c>
      <c r="AX84" s="221">
        <f>COUNTIFS('Downtime Data'!A:A,Table110[[#This Row],[Date]])</f>
        <v>2</v>
      </c>
      <c r="AY84" s="219">
        <f>IFERROR((SUM(Table110[[#This Row],[Minor Stoppages]:[Material Shortages]])/Table110[[#This Row],['# Stops]])*60,"")</f>
        <v>7.5</v>
      </c>
      <c r="AZ84" s="219"/>
      <c r="BA84" s="33">
        <v>46107</v>
      </c>
    </row>
    <row r="85" spans="1:53" ht="20.149999999999999" customHeight="1" x14ac:dyDescent="0.35">
      <c r="A85" s="21">
        <v>46102</v>
      </c>
      <c r="B85" s="22" t="str">
        <f t="shared" si="2"/>
        <v>Saturday</v>
      </c>
      <c r="C85" s="22"/>
      <c r="D85" s="23" t="s">
        <v>108</v>
      </c>
      <c r="E85" s="24" cm="1">
        <f t="array" aca="1" ref="E85" ca="1">IFERROR(INDIRECT(D85),"")</f>
        <v>34.200000000000003</v>
      </c>
      <c r="F85" s="26">
        <v>25.16</v>
      </c>
      <c r="G85" s="26">
        <v>25.16</v>
      </c>
      <c r="H85" s="27">
        <f ca="1">IFERROR((Table110[[#This Row],[Plan]]/Table110[[#This Row],[Hours Used]])/(Table110[[#This Row],[SOC (TPD)]]/24),"")</f>
        <v>0.73567251461988303</v>
      </c>
      <c r="I85" s="27">
        <f ca="1">IFERROR((Table110[[#This Row],[Volume Delivered (T)]]/Table110[[#This Row],[Hours Used]])/(Table110[[#This Row],[SOC (TPD)]]/24),"")</f>
        <v>0.73567251461988303</v>
      </c>
      <c r="J85" s="28"/>
      <c r="K85" s="28"/>
      <c r="L85" s="28"/>
      <c r="M85" s="25">
        <f>0.36+1.17+0.15+0.47-0.21-0.6</f>
        <v>1.3399999999999994</v>
      </c>
      <c r="N85" s="29">
        <v>3.9E-2</v>
      </c>
      <c r="O85" s="84"/>
      <c r="P85" s="25"/>
      <c r="Q85" s="25"/>
      <c r="R85" s="70"/>
      <c r="S85" s="71"/>
      <c r="T85" s="30">
        <f>IF(Table110[[#This Row],[SKU]]="",0,24-Table110[[#This Row],[Legal Non-Operating Time]]-Table110[[#This Row],[No Demand Time]]-Table110[[#This Row],[Force Majeure]])</f>
        <v>24</v>
      </c>
      <c r="U85" s="26"/>
      <c r="V85" s="26"/>
      <c r="W85" s="26"/>
      <c r="X85" s="26"/>
      <c r="Y85" s="26"/>
      <c r="Z85" s="26"/>
      <c r="AA85" s="26"/>
      <c r="AB85" s="30">
        <f>Table110[[#This Row],[Hours Used]]-SUM(Table110[[#This Row],[Planned Maintenance]:[Start and Finish Production]])</f>
        <v>24</v>
      </c>
      <c r="AC85" s="26"/>
      <c r="AD85" s="26">
        <f>215/60</f>
        <v>3.5833333333333335</v>
      </c>
      <c r="AE85" s="26">
        <f>50/60</f>
        <v>0.83333333333333337</v>
      </c>
      <c r="AF85" s="26"/>
      <c r="AG85" s="26"/>
      <c r="AH85" s="26"/>
      <c r="AI85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0.32894736842105249</v>
      </c>
      <c r="AJ85" s="24">
        <f ca="1">IFERROR(IF(Table110[[#This Row],[SKU]]="",0,Table110[[#This Row],[Quality Loss (T)]]/(Table110[[#This Row],[SOC (TPD)]]/24)),"")</f>
        <v>0.94035087719298205</v>
      </c>
      <c r="AK85" s="31">
        <f ca="1">IFERROR(IF(Table110[[#This Row],[SKU]]="",0,Table110[[#This Row],[Volume Delivered (T)]]/(Table110[[#This Row],[SOC (TPD)]]/24)),"")</f>
        <v>17.656140350877191</v>
      </c>
      <c r="AL85" s="31">
        <f ca="1">IFERROR(Table110[[#This Row],[Operating Time]]/Table110[[#This Row],[PRODUCTION HOURS]],"")</f>
        <v>0.73567251461988292</v>
      </c>
      <c r="AM85" s="32">
        <v>95</v>
      </c>
      <c r="AN85" s="32" t="s">
        <v>107</v>
      </c>
      <c r="AO85" s="32" t="s">
        <v>107</v>
      </c>
      <c r="AP85" s="32">
        <v>0</v>
      </c>
      <c r="AQ85" s="32">
        <v>0</v>
      </c>
      <c r="AR85" s="32"/>
      <c r="AS85" s="32" t="str">
        <f>IFERROR(SUMIFS(#REF!,#REF!,'Shift Wise-Data Sheet'!A:A,#REF!,"Samridhi Perk Line")/SUMIFS(#REF!,#REF!,'Shift Wise-Data Sheet'!A:A,#REF!,"Samridhi Perk Line"),"")</f>
        <v/>
      </c>
      <c r="AT85" s="32"/>
      <c r="AU85" s="32"/>
      <c r="AV85" s="211">
        <f>IFERROR(VLOOKUP(Table110[[#This Row],[Date]],'Overweight Data'!A83:G1178,6,FALSE),"")</f>
        <v>3.8047882136279972E-2</v>
      </c>
      <c r="AW85" s="221">
        <f ca="1">IFERROR(
   IF(
      OR(Table110[[#This Row],[Operating Time]]=0, (Table110[[#This Row],[Operating Time]]/IF(AD85&lt;=1,AD85+1,AD85))*60=0),
      1,
      ((Table110[[#This Row],[Operating Time]])/IF(AD85&lt;=1,AD85+1,AD85))*60
   ),
"_")</f>
        <v>295.63769889840876</v>
      </c>
      <c r="AX85" s="221">
        <f>COUNTIFS('Downtime Data'!A:A,Table110[[#This Row],[Date]])</f>
        <v>2</v>
      </c>
      <c r="AY85" s="219">
        <f>IFERROR((SUM(Table110[[#This Row],[Minor Stoppages]:[Material Shortages]])/Table110[[#This Row],['# Stops]])*60,"")</f>
        <v>132.5</v>
      </c>
      <c r="AZ85" s="219"/>
      <c r="BA85" s="33">
        <v>46107</v>
      </c>
    </row>
    <row r="86" spans="1:53" ht="20.149999999999999" customHeight="1" x14ac:dyDescent="0.35">
      <c r="A86" s="21">
        <v>46103</v>
      </c>
      <c r="B86" s="22" t="str">
        <f t="shared" si="2"/>
        <v>Sunday</v>
      </c>
      <c r="C86" s="22"/>
      <c r="D86" s="23" t="s">
        <v>108</v>
      </c>
      <c r="E86" s="24" cm="1">
        <f t="array" aca="1" ref="E86" ca="1">IFERROR(INDIRECT(D86),"")</f>
        <v>34.200000000000003</v>
      </c>
      <c r="F86" s="26">
        <v>31.88</v>
      </c>
      <c r="G86" s="26">
        <v>31.88</v>
      </c>
      <c r="H86" s="27">
        <f ca="1">IFERROR((Table110[[#This Row],[Plan]]/Table110[[#This Row],[Hours Used]])/(Table110[[#This Row],[SOC (TPD)]]/24),"")</f>
        <v>0.93216374269005853</v>
      </c>
      <c r="I86" s="27">
        <f ca="1">IFERROR((Table110[[#This Row],[Volume Delivered (T)]]/Table110[[#This Row],[Hours Used]])/(Table110[[#This Row],[SOC (TPD)]]/24),"")</f>
        <v>0.93216374269005853</v>
      </c>
      <c r="J86" s="28"/>
      <c r="K86" s="28"/>
      <c r="L86" s="28"/>
      <c r="M86" s="25">
        <v>1.3</v>
      </c>
      <c r="N86" s="29">
        <v>3.9E-2</v>
      </c>
      <c r="O86" s="84">
        <v>40</v>
      </c>
      <c r="P86" s="25"/>
      <c r="Q86" s="25"/>
      <c r="R86" s="70"/>
      <c r="S86" s="71"/>
      <c r="T86" s="30">
        <f>IF(Table110[[#This Row],[SKU]]="",0,24-Table110[[#This Row],[Legal Non-Operating Time]]-Table110[[#This Row],[No Demand Time]]-Table110[[#This Row],[Force Majeure]])</f>
        <v>24</v>
      </c>
      <c r="U86" s="26"/>
      <c r="V86" s="26"/>
      <c r="W86" s="26"/>
      <c r="X86" s="26"/>
      <c r="Y86" s="26"/>
      <c r="Z86" s="26"/>
      <c r="AA86" s="26"/>
      <c r="AB86" s="30">
        <f>Table110[[#This Row],[Hours Used]]-SUM(Table110[[#This Row],[Planned Maintenance]:[Start and Finish Production]])</f>
        <v>24</v>
      </c>
      <c r="AC86" s="26"/>
      <c r="AD86" s="26"/>
      <c r="AE86" s="26"/>
      <c r="AF86" s="26"/>
      <c r="AG86" s="26"/>
      <c r="AH86" s="26"/>
      <c r="AI86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0.23859649122807033</v>
      </c>
      <c r="AJ86" s="24">
        <f ca="1">IFERROR(IF(Table110[[#This Row],[SKU]]="",0,Table110[[#This Row],[Quality Loss (T)]]/(Table110[[#This Row],[SOC (TPD)]]/24)),"")</f>
        <v>0.91228070175438591</v>
      </c>
      <c r="AK86" s="31">
        <f ca="1">IFERROR(IF(Table110[[#This Row],[SKU]]="",0,Table110[[#This Row],[Volume Delivered (T)]]/(Table110[[#This Row],[SOC (TPD)]]/24)),"")</f>
        <v>22.371929824561402</v>
      </c>
      <c r="AL86" s="31">
        <f ca="1">IFERROR(Table110[[#This Row],[Operating Time]]/Table110[[#This Row],[PRODUCTION HOURS]],"")</f>
        <v>0.93216374269005842</v>
      </c>
      <c r="AM86" s="32">
        <v>88</v>
      </c>
      <c r="AN86" s="32" t="s">
        <v>107</v>
      </c>
      <c r="AO86" s="32" t="s">
        <v>107</v>
      </c>
      <c r="AP86" s="32">
        <v>0</v>
      </c>
      <c r="AQ86" s="32">
        <v>0</v>
      </c>
      <c r="AR86" s="32"/>
      <c r="AS86" s="32" t="str">
        <f>IFERROR(SUMIFS(#REF!,#REF!,'Shift Wise-Data Sheet'!A:A,#REF!,"Samridhi Perk Line")/SUMIFS(#REF!,#REF!,'Shift Wise-Data Sheet'!A:A,#REF!,"Samridhi Perk Line"),"")</f>
        <v/>
      </c>
      <c r="AT86" s="32"/>
      <c r="AU86" s="32"/>
      <c r="AV86" s="211">
        <f>IFERROR(VLOOKUP(Table110[[#This Row],[Date]],'Overweight Data'!A84:G1179,6,FALSE),"")</f>
        <v>2.2357274401473323E-2</v>
      </c>
      <c r="AW86" s="221">
        <f ca="1">IFERROR(
   IF(
      OR(Table110[[#This Row],[Operating Time]]=0, (Table110[[#This Row],[Operating Time]]/IF(AD86&lt;=1,AD86+1,AD86))*60=0),
      1,
      ((Table110[[#This Row],[Operating Time]])/IF(AD86&lt;=1,AD86+1,AD86))*60
   ),
"_")</f>
        <v>1342.3157894736842</v>
      </c>
      <c r="AX86" s="221">
        <f>COUNTIFS('Downtime Data'!A:A,Table110[[#This Row],[Date]])</f>
        <v>0</v>
      </c>
      <c r="AY86" s="219" t="str">
        <f>IFERROR((SUM(Table110[[#This Row],[Minor Stoppages]:[Material Shortages]])/Table110[[#This Row],['# Stops]])*60,"")</f>
        <v/>
      </c>
      <c r="AZ86" s="219"/>
      <c r="BA86" s="33">
        <v>46107</v>
      </c>
    </row>
    <row r="87" spans="1:53" ht="20.149999999999999" customHeight="1" x14ac:dyDescent="0.35">
      <c r="A87" s="21">
        <v>46104</v>
      </c>
      <c r="B87" s="22" t="str">
        <f t="shared" si="2"/>
        <v>Monday</v>
      </c>
      <c r="C87" s="22"/>
      <c r="D87" s="23" t="s">
        <v>110</v>
      </c>
      <c r="E87" s="24" cm="1">
        <f t="array" aca="1" ref="E87" ca="1">IFERROR(INDIRECT(D87),"")</f>
        <v>20.9</v>
      </c>
      <c r="F87" s="26">
        <v>20</v>
      </c>
      <c r="G87" s="26">
        <v>20</v>
      </c>
      <c r="H87" s="27">
        <f ca="1">IFERROR((Table110[[#This Row],[Plan]]/Table110[[#This Row],[Hours Used]])/(Table110[[#This Row],[SOC (TPD)]]/24),"")</f>
        <v>0.95693779904306231</v>
      </c>
      <c r="I87" s="27">
        <f ca="1">IFERROR((Table110[[#This Row],[Volume Delivered (T)]]/Table110[[#This Row],[Hours Used]])/(Table110[[#This Row],[SOC (TPD)]]/24),"")</f>
        <v>0.95693779904306231</v>
      </c>
      <c r="J87" s="28"/>
      <c r="K87" s="28"/>
      <c r="L87" s="28"/>
      <c r="M87" s="25"/>
      <c r="N87" s="29">
        <v>3.9E-2</v>
      </c>
      <c r="O87" s="84">
        <v>45</v>
      </c>
      <c r="P87" s="25"/>
      <c r="Q87" s="25"/>
      <c r="R87" s="70"/>
      <c r="S87" s="71"/>
      <c r="T87" s="30">
        <f>IF(Table110[[#This Row],[SKU]]="",0,24-Table110[[#This Row],[Legal Non-Operating Time]]-Table110[[#This Row],[No Demand Time]]-Table110[[#This Row],[Force Majeure]])</f>
        <v>24</v>
      </c>
      <c r="U87" s="26"/>
      <c r="V87" s="26"/>
      <c r="W87" s="26"/>
      <c r="X87" s="26">
        <v>1</v>
      </c>
      <c r="Y87" s="26"/>
      <c r="Z87" s="26"/>
      <c r="AA87" s="26"/>
      <c r="AB87" s="30">
        <f>Table110[[#This Row],[Hours Used]]-SUM(Table110[[#This Row],[Planned Maintenance]:[Start and Finish Production]])</f>
        <v>23</v>
      </c>
      <c r="AC87" s="26"/>
      <c r="AD87" s="26"/>
      <c r="AE87" s="26"/>
      <c r="AF87" s="26"/>
      <c r="AG87" s="26"/>
      <c r="AH87" s="26"/>
      <c r="AI87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1.1164274322168192E-2</v>
      </c>
      <c r="AJ87" s="24">
        <f ca="1">IFERROR(IF(Table110[[#This Row],[SKU]]="",0,Table110[[#This Row],[Quality Loss (T)]]/(Table110[[#This Row],[SOC (TPD)]]/24)),"")</f>
        <v>0</v>
      </c>
      <c r="AK87" s="31">
        <f ca="1">IFERROR(IF(Table110[[#This Row],[SKU]]="",0,Table110[[#This Row],[Volume Delivered (T)]]/(Table110[[#This Row],[SOC (TPD)]]/24)),"")</f>
        <v>22.966507177033495</v>
      </c>
      <c r="AL87" s="31">
        <f ca="1">IFERROR(Table110[[#This Row],[Operating Time]]/Table110[[#This Row],[PRODUCTION HOURS]],"")</f>
        <v>0.9985437903058042</v>
      </c>
      <c r="AM87" s="32">
        <v>93</v>
      </c>
      <c r="AN87" s="32" t="s">
        <v>107</v>
      </c>
      <c r="AO87" s="32" t="s">
        <v>107</v>
      </c>
      <c r="AP87" s="32">
        <v>17</v>
      </c>
      <c r="AQ87" s="32">
        <v>17</v>
      </c>
      <c r="AR87" s="32"/>
      <c r="AS87" s="32" t="str">
        <f>IFERROR(SUMIFS(#REF!,#REF!,'Shift Wise-Data Sheet'!A:A,#REF!,"Samridhi Perk Line")/SUMIFS(#REF!,#REF!,'Shift Wise-Data Sheet'!A:A,#REF!,"Samridhi Perk Line"),"")</f>
        <v/>
      </c>
      <c r="AT87" s="32"/>
      <c r="AU87" s="32"/>
      <c r="AV87" s="211" t="str">
        <f>IFERROR(VLOOKUP(Table110[[#This Row],[Date]],'Overweight Data'!A85:G1180,6,FALSE),"")</f>
        <v/>
      </c>
      <c r="AW87" s="221">
        <f ca="1">IFERROR(
   IF(
      OR(Table110[[#This Row],[Operating Time]]=0, (Table110[[#This Row],[Operating Time]]/IF(AD87&lt;=1,AD87+1,AD87))*60=0),
      1,
      ((Table110[[#This Row],[Operating Time]])/IF(AD87&lt;=1,AD87+1,AD87))*60
   ),
"_")</f>
        <v>1377.9904306220096</v>
      </c>
      <c r="AX87" s="221">
        <f>COUNTIFS('Downtime Data'!A:A,Table110[[#This Row],[Date]])</f>
        <v>1</v>
      </c>
      <c r="AY87" s="219">
        <f>IFERROR((SUM(Table110[[#This Row],[Minor Stoppages]:[Material Shortages]])/Table110[[#This Row],['# Stops]])*60,"")</f>
        <v>0</v>
      </c>
      <c r="AZ87" s="219"/>
      <c r="BA87" s="33">
        <v>46107</v>
      </c>
    </row>
    <row r="88" spans="1:53" ht="20.149999999999999" customHeight="1" x14ac:dyDescent="0.35">
      <c r="A88" s="21">
        <v>46105</v>
      </c>
      <c r="B88" s="22" t="str">
        <f t="shared" si="2"/>
        <v>Tuesday</v>
      </c>
      <c r="C88" s="22"/>
      <c r="D88" s="23" t="s">
        <v>111</v>
      </c>
      <c r="E88" s="24" cm="1">
        <f t="array" aca="1" ref="E88" ca="1">IFERROR(INDIRECT(D88),"")</f>
        <v>24.5</v>
      </c>
      <c r="F88" s="26">
        <v>20</v>
      </c>
      <c r="G88" s="26">
        <v>20</v>
      </c>
      <c r="H88" s="27">
        <f ca="1">IFERROR((Table110[[#This Row],[Plan]]/Table110[[#This Row],[Hours Used]])/(Table110[[#This Row],[SOC (TPD)]]/24),"")</f>
        <v>0.81632653061224503</v>
      </c>
      <c r="I88" s="27">
        <f ca="1">IFERROR((Table110[[#This Row],[Volume Delivered (T)]]/Table110[[#This Row],[Hours Used]])/(Table110[[#This Row],[SOC (TPD)]]/24),"")</f>
        <v>0.81632653061224503</v>
      </c>
      <c r="J88" s="28"/>
      <c r="K88" s="28"/>
      <c r="L88" s="28"/>
      <c r="M88" s="25"/>
      <c r="N88" s="29">
        <v>3.9E-2</v>
      </c>
      <c r="O88" s="84"/>
      <c r="P88" s="25"/>
      <c r="Q88" s="25"/>
      <c r="R88" s="70"/>
      <c r="S88" s="71"/>
      <c r="T88" s="30">
        <f>IF(Table110[[#This Row],[SKU]]="",0,24-Table110[[#This Row],[Legal Non-Operating Time]]-Table110[[#This Row],[No Demand Time]]-Table110[[#This Row],[Force Majeure]])</f>
        <v>24</v>
      </c>
      <c r="U88" s="26"/>
      <c r="V88" s="26"/>
      <c r="W88" s="26">
        <v>4.4000000000000004</v>
      </c>
      <c r="X88" s="26"/>
      <c r="Y88" s="26"/>
      <c r="Z88" s="26"/>
      <c r="AA88" s="26"/>
      <c r="AB88" s="30">
        <f>Table110[[#This Row],[Hours Used]]-SUM(Table110[[#This Row],[Planned Maintenance]:[Start and Finish Production]])</f>
        <v>19.600000000000001</v>
      </c>
      <c r="AC88" s="26"/>
      <c r="AD88" s="26"/>
      <c r="AE88" s="26"/>
      <c r="AF88" s="26"/>
      <c r="AG88" s="26"/>
      <c r="AH88" s="26"/>
      <c r="AI88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2.7210884353744782E-3</v>
      </c>
      <c r="AJ88" s="24">
        <f ca="1">IFERROR(IF(Table110[[#This Row],[SKU]]="",0,Table110[[#This Row],[Quality Loss (T)]]/(Table110[[#This Row],[SOC (TPD)]]/24)),"")</f>
        <v>0</v>
      </c>
      <c r="AK88" s="31">
        <f ca="1">IFERROR(IF(Table110[[#This Row],[SKU]]="",0,Table110[[#This Row],[Volume Delivered (T)]]/(Table110[[#This Row],[SOC (TPD)]]/24)),"")</f>
        <v>19.591836734693878</v>
      </c>
      <c r="AL88" s="31">
        <f ca="1">IFERROR(Table110[[#This Row],[Operating Time]]/Table110[[#This Row],[PRODUCTION HOURS]],"")</f>
        <v>0.9995835068721366</v>
      </c>
      <c r="AM88" s="32">
        <v>131</v>
      </c>
      <c r="AN88" s="32" t="s">
        <v>107</v>
      </c>
      <c r="AO88" s="32" t="s">
        <v>105</v>
      </c>
      <c r="AP88" s="32">
        <v>10</v>
      </c>
      <c r="AQ88" s="32">
        <v>10</v>
      </c>
      <c r="AR88" s="32"/>
      <c r="AS88" s="32" t="str">
        <f>IFERROR(SUMIFS(#REF!,#REF!,'Shift Wise-Data Sheet'!A:A,#REF!,"Samridhi Perk Line")/SUMIFS(#REF!,#REF!,'Shift Wise-Data Sheet'!A:A,#REF!,"Samridhi Perk Line"),"")</f>
        <v/>
      </c>
      <c r="AT88" s="32"/>
      <c r="AU88" s="32"/>
      <c r="AV88" s="211" t="str">
        <f>IFERROR(VLOOKUP(Table110[[#This Row],[Date]],'Overweight Data'!A86:G1181,6,FALSE),"")</f>
        <v/>
      </c>
      <c r="AW88" s="221">
        <f ca="1">IFERROR(
   IF(
      OR(Table110[[#This Row],[Operating Time]]=0, (Table110[[#This Row],[Operating Time]]/IF(AD88&lt;=1,AD88+1,AD88))*60=0),
      1,
      ((Table110[[#This Row],[Operating Time]])/IF(AD88&lt;=1,AD88+1,AD88))*60
   ),
"_")</f>
        <v>1175.5102040816328</v>
      </c>
      <c r="AX88" s="221">
        <f>COUNTIFS('Downtime Data'!A:A,Table110[[#This Row],[Date]])</f>
        <v>0</v>
      </c>
      <c r="AY88" s="219" t="str">
        <f>IFERROR((SUM(Table110[[#This Row],[Minor Stoppages]:[Material Shortages]])/Table110[[#This Row],['# Stops]])*60,"")</f>
        <v/>
      </c>
      <c r="AZ88" s="219"/>
      <c r="BA88" s="33">
        <v>46107</v>
      </c>
    </row>
    <row r="89" spans="1:53" ht="20.149999999999999" customHeight="1" x14ac:dyDescent="0.35">
      <c r="A89" s="21">
        <v>46106</v>
      </c>
      <c r="B89" s="22" t="str">
        <f t="shared" si="2"/>
        <v>Wednesday</v>
      </c>
      <c r="C89" s="22"/>
      <c r="D89" s="23" t="s">
        <v>106</v>
      </c>
      <c r="E89" s="24" cm="1">
        <f t="array" aca="1" ref="E89" ca="1">IFERROR(INDIRECT(D89),"")</f>
        <v>39.200000000000003</v>
      </c>
      <c r="F89" s="26">
        <v>31.8</v>
      </c>
      <c r="G89" s="26">
        <v>31.8</v>
      </c>
      <c r="H89" s="27">
        <f ca="1">IFERROR((Table110[[#This Row],[Plan]]/Table110[[#This Row],[Hours Used]])/(Table110[[#This Row],[SOC (TPD)]]/24),"")</f>
        <v>0.81122448979591821</v>
      </c>
      <c r="I89" s="27">
        <f ca="1">IFERROR((Table110[[#This Row],[Volume Delivered (T)]]/Table110[[#This Row],[Hours Used]])/(Table110[[#This Row],[SOC (TPD)]]/24),"")</f>
        <v>0.81122448979591821</v>
      </c>
      <c r="J89" s="28"/>
      <c r="K89" s="28"/>
      <c r="L89" s="28"/>
      <c r="M89" s="25">
        <f>0.5+1.17+0.17+0.28-0.29-0.63</f>
        <v>1.2000000000000002</v>
      </c>
      <c r="N89" s="29">
        <v>3.9E-2</v>
      </c>
      <c r="O89" s="84"/>
      <c r="P89" s="25"/>
      <c r="Q89" s="25"/>
      <c r="R89" s="70"/>
      <c r="S89" s="71"/>
      <c r="T89" s="30">
        <f>IF(Table110[[#This Row],[SKU]]="",0,24-Table110[[#This Row],[Legal Non-Operating Time]]-Table110[[#This Row],[No Demand Time]]-Table110[[#This Row],[Force Majeure]])</f>
        <v>24</v>
      </c>
      <c r="U89" s="26"/>
      <c r="V89" s="26">
        <v>1</v>
      </c>
      <c r="W89" s="26"/>
      <c r="X89" s="26"/>
      <c r="Y89" s="26"/>
      <c r="Z89" s="26"/>
      <c r="AA89" s="26"/>
      <c r="AB89" s="30">
        <f>Table110[[#This Row],[Hours Used]]-SUM(Table110[[#This Row],[Planned Maintenance]:[Start and Finish Production]])</f>
        <v>23</v>
      </c>
      <c r="AC89" s="26"/>
      <c r="AD89" s="26">
        <v>1</v>
      </c>
      <c r="AE89" s="26"/>
      <c r="AF89" s="26">
        <v>1</v>
      </c>
      <c r="AG89" s="26"/>
      <c r="AH89" s="26"/>
      <c r="AI89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0.26530612244897966</v>
      </c>
      <c r="AJ89" s="24">
        <f ca="1">IFERROR(IF(Table110[[#This Row],[SKU]]="",0,Table110[[#This Row],[Quality Loss (T)]]/(Table110[[#This Row],[SOC (TPD)]]/24)),"")</f>
        <v>0.73469387755102045</v>
      </c>
      <c r="AK89" s="31">
        <f ca="1">IFERROR(IF(Table110[[#This Row],[SKU]]="",0,Table110[[#This Row],[Volume Delivered (T)]]/(Table110[[#This Row],[SOC (TPD)]]/24)),"")</f>
        <v>19.469387755102041</v>
      </c>
      <c r="AL89" s="31">
        <f ca="1">IFERROR(Table110[[#This Row],[Operating Time]]/Table110[[#This Row],[PRODUCTION HOURS]],"")</f>
        <v>0.84649511978704528</v>
      </c>
      <c r="AM89" s="32">
        <v>136</v>
      </c>
      <c r="AN89" s="32" t="s">
        <v>107</v>
      </c>
      <c r="AO89" s="32" t="s">
        <v>105</v>
      </c>
      <c r="AP89" s="32">
        <v>0</v>
      </c>
      <c r="AQ89" s="32">
        <v>0</v>
      </c>
      <c r="AR89" s="32"/>
      <c r="AS89" s="32" t="str">
        <f>IFERROR(SUMIFS(#REF!,#REF!,'Shift Wise-Data Sheet'!A:A,#REF!,"Samridhi Perk Line")/SUMIFS(#REF!,#REF!,'Shift Wise-Data Sheet'!A:A,#REF!,"Samridhi Perk Line"),"")</f>
        <v/>
      </c>
      <c r="AT89" s="32"/>
      <c r="AU89" s="32"/>
      <c r="AV89" s="211">
        <f>IFERROR(VLOOKUP(Table110[[#This Row],[Date]],'Overweight Data'!A87:G1182,6,FALSE),"")</f>
        <v>3.4318600368324112E-2</v>
      </c>
      <c r="AW89" s="221">
        <f ca="1">IFERROR(
   IF(
      OR(Table110[[#This Row],[Operating Time]]=0, (Table110[[#This Row],[Operating Time]]/IF(AD89&lt;=1,AD89+1,AD89))*60=0),
      1,
      ((Table110[[#This Row],[Operating Time]])/IF(AD89&lt;=1,AD89+1,AD89))*60
   ),
"_")</f>
        <v>584.08163265306121</v>
      </c>
      <c r="AX89" s="221">
        <f>COUNTIFS('Downtime Data'!A:A,Table110[[#This Row],[Date]])</f>
        <v>3</v>
      </c>
      <c r="AY89" s="219">
        <f>IFERROR((SUM(Table110[[#This Row],[Minor Stoppages]:[Material Shortages]])/Table110[[#This Row],['# Stops]])*60,"")</f>
        <v>40</v>
      </c>
      <c r="AZ89" s="219"/>
      <c r="BA89" s="33">
        <v>46107</v>
      </c>
    </row>
    <row r="90" spans="1:53" ht="20.149999999999999" customHeight="1" x14ac:dyDescent="0.35">
      <c r="A90" s="21">
        <v>46107</v>
      </c>
      <c r="B90" s="22" t="str">
        <f t="shared" si="2"/>
        <v>Thursday</v>
      </c>
      <c r="C90" s="22"/>
      <c r="D90" s="23" t="s">
        <v>106</v>
      </c>
      <c r="E90" s="24" cm="1">
        <f t="array" aca="1" ref="E90" ca="1">IFERROR(INDIRECT(D90),"")</f>
        <v>39.200000000000003</v>
      </c>
      <c r="F90" s="26">
        <v>35</v>
      </c>
      <c r="G90" s="26">
        <f>41.3-6.3</f>
        <v>35</v>
      </c>
      <c r="H90" s="27">
        <f ca="1">IFERROR((Table110[[#This Row],[Plan]]/Table110[[#This Row],[Hours Used]])/(Table110[[#This Row],[SOC (TPD)]]/24),"")</f>
        <v>0.89285714285714268</v>
      </c>
      <c r="I90" s="27">
        <f ca="1">IFERROR((Table110[[#This Row],[Volume Delivered (T)]]/Table110[[#This Row],[Hours Used]])/(Table110[[#This Row],[SOC (TPD)]]/24),"")</f>
        <v>0.89285714285714268</v>
      </c>
      <c r="J90" s="28"/>
      <c r="K90" s="28"/>
      <c r="L90" s="28"/>
      <c r="M90" s="25">
        <f>0.45+1.39+0.17+0.42-0.27-0.49</f>
        <v>1.6699999999999997</v>
      </c>
      <c r="N90" s="29">
        <v>3.9E-2</v>
      </c>
      <c r="O90" s="84"/>
      <c r="P90" s="25"/>
      <c r="Q90" s="25"/>
      <c r="R90" s="70"/>
      <c r="S90" s="71"/>
      <c r="T90" s="30">
        <f>IF(Table110[[#This Row],[SKU]]="",0,24-Table110[[#This Row],[Legal Non-Operating Time]]-Table110[[#This Row],[No Demand Time]]-Table110[[#This Row],[Force Majeure]])</f>
        <v>24</v>
      </c>
      <c r="U90" s="26"/>
      <c r="V90" s="26">
        <v>1</v>
      </c>
      <c r="W90" s="26"/>
      <c r="X90" s="26"/>
      <c r="Y90" s="26"/>
      <c r="Z90" s="26"/>
      <c r="AA90" s="26"/>
      <c r="AB90" s="30">
        <f>Table110[[#This Row],[Hours Used]]-SUM(Table110[[#This Row],[Planned Maintenance]:[Start and Finish Production]])</f>
        <v>23</v>
      </c>
      <c r="AC90" s="26"/>
      <c r="AD90" s="26"/>
      <c r="AE90" s="26"/>
      <c r="AF90" s="26"/>
      <c r="AG90" s="26"/>
      <c r="AH90" s="26"/>
      <c r="AI90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0.18299319727891236</v>
      </c>
      <c r="AJ90" s="24">
        <f ca="1">IFERROR(IF(Table110[[#This Row],[SKU]]="",0,Table110[[#This Row],[Quality Loss (T)]]/(Table110[[#This Row],[SOC (TPD)]]/24)),"")</f>
        <v>1.0224489795918363</v>
      </c>
      <c r="AK90" s="31">
        <f ca="1">IFERROR(IF(Table110[[#This Row],[SKU]]="",0,Table110[[#This Row],[Volume Delivered (T)]]/(Table110[[#This Row],[SOC (TPD)]]/24)),"")</f>
        <v>21.428571428571427</v>
      </c>
      <c r="AL90" s="31">
        <f ca="1">IFERROR(Table110[[#This Row],[Operating Time]]/Table110[[#This Row],[PRODUCTION HOURS]],"")</f>
        <v>0.93167701863354035</v>
      </c>
      <c r="AM90" s="32">
        <v>131</v>
      </c>
      <c r="AN90" s="32" t="s">
        <v>107</v>
      </c>
      <c r="AO90" s="32" t="s">
        <v>107</v>
      </c>
      <c r="AP90" s="32">
        <v>0</v>
      </c>
      <c r="AQ90" s="32">
        <v>0</v>
      </c>
      <c r="AR90" s="32"/>
      <c r="AS90" s="32" t="str">
        <f>IFERROR(SUMIFS(#REF!,#REF!,'Shift Wise-Data Sheet'!A:A,#REF!,"Samridhi Perk Line")/SUMIFS(#REF!,#REF!,'Shift Wise-Data Sheet'!A:A,#REF!,"Samridhi Perk Line"),"")</f>
        <v/>
      </c>
      <c r="AT90" s="32"/>
      <c r="AU90" s="32"/>
      <c r="AV90" s="211">
        <f>IFERROR(VLOOKUP(Table110[[#This Row],[Date]],'Overweight Data'!A88:G1183,6,FALSE),"")</f>
        <v>2.5911602209944744E-2</v>
      </c>
      <c r="AW90" s="221">
        <f ca="1">IFERROR(
   IF(
      OR(Table110[[#This Row],[Operating Time]]=0, (Table110[[#This Row],[Operating Time]]/IF(AD90&lt;=1,AD90+1,AD90))*60=0),
      1,
      ((Table110[[#This Row],[Operating Time]])/IF(AD90&lt;=1,AD90+1,AD90))*60
   ),
"_")</f>
        <v>1285.7142857142856</v>
      </c>
      <c r="AX90" s="221">
        <f>COUNTIFS('Downtime Data'!A:A,Table110[[#This Row],[Date]])</f>
        <v>0</v>
      </c>
      <c r="AY90" s="219" t="str">
        <f>IFERROR((SUM(Table110[[#This Row],[Minor Stoppages]:[Material Shortages]])/Table110[[#This Row],['# Stops]])*60,"")</f>
        <v/>
      </c>
      <c r="AZ90" s="219"/>
      <c r="BA90" s="33">
        <v>46107</v>
      </c>
    </row>
    <row r="91" spans="1:53" ht="20.149999999999999" customHeight="1" x14ac:dyDescent="0.35">
      <c r="A91" s="21">
        <v>46108</v>
      </c>
      <c r="B91" s="22" t="str">
        <f t="shared" si="2"/>
        <v>Friday</v>
      </c>
      <c r="C91" s="22"/>
      <c r="D91" s="23" t="s">
        <v>106</v>
      </c>
      <c r="E91" s="24" cm="1">
        <f t="array" aca="1" ref="E91" ca="1">IFERROR(INDIRECT(D91),"")</f>
        <v>39.200000000000003</v>
      </c>
      <c r="F91" s="26">
        <v>33.5</v>
      </c>
      <c r="G91" s="26">
        <f>25.2+11.3</f>
        <v>36.5</v>
      </c>
      <c r="H91" s="27">
        <f ca="1">IFERROR((Table110[[#This Row],[Plan]]/Table110[[#This Row],[Hours Used]])/(Table110[[#This Row],[SOC (TPD)]]/24),"")</f>
        <v>0.85459183673469374</v>
      </c>
      <c r="I91" s="27">
        <f ca="1">IFERROR((Table110[[#This Row],[Volume Delivered (T)]]/Table110[[#This Row],[Hours Used]])/(Table110[[#This Row],[SOC (TPD)]]/24),"")</f>
        <v>0.93112244897959173</v>
      </c>
      <c r="J91" s="28"/>
      <c r="K91" s="28"/>
      <c r="L91" s="28"/>
      <c r="M91" s="25">
        <f>0.49+1.07+0.15+0.28-0.2-0.65</f>
        <v>1.1400000000000001</v>
      </c>
      <c r="N91" s="29">
        <v>3.9E-2</v>
      </c>
      <c r="O91" s="84"/>
      <c r="P91" s="25"/>
      <c r="Q91" s="25"/>
      <c r="R91" s="70"/>
      <c r="S91" s="71"/>
      <c r="T91" s="30">
        <f>IF(Table110[[#This Row],[SKU]]="",0,24-Table110[[#This Row],[Legal Non-Operating Time]]-Table110[[#This Row],[No Demand Time]]-Table110[[#This Row],[Force Majeure]])</f>
        <v>24</v>
      </c>
      <c r="U91" s="26"/>
      <c r="V91" s="26">
        <v>0.5</v>
      </c>
      <c r="W91" s="26"/>
      <c r="X91" s="26"/>
      <c r="Y91" s="26"/>
      <c r="Z91" s="26"/>
      <c r="AA91" s="26"/>
      <c r="AB91" s="30">
        <f>Table110[[#This Row],[Hours Used]]-SUM(Table110[[#This Row],[Planned Maintenance]:[Start and Finish Production]])</f>
        <v>23.5</v>
      </c>
      <c r="AC91" s="26"/>
      <c r="AD91" s="26">
        <v>0.25</v>
      </c>
      <c r="AE91" s="26"/>
      <c r="AF91" s="26"/>
      <c r="AG91" s="26"/>
      <c r="AH91" s="26"/>
      <c r="AI91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6.836734693877726E-2</v>
      </c>
      <c r="AJ91" s="24">
        <f ca="1">IFERROR(IF(Table110[[#This Row],[SKU]]="",0,Table110[[#This Row],[Quality Loss (T)]]/(Table110[[#This Row],[SOC (TPD)]]/24)),"")</f>
        <v>0.69795918367346943</v>
      </c>
      <c r="AK91" s="31">
        <f ca="1">IFERROR(IF(Table110[[#This Row],[SKU]]="",0,Table110[[#This Row],[Volume Delivered (T)]]/(Table110[[#This Row],[SOC (TPD)]]/24)),"")</f>
        <v>22.3469387755102</v>
      </c>
      <c r="AL91" s="31">
        <f ca="1">IFERROR(Table110[[#This Row],[Operating Time]]/Table110[[#This Row],[PRODUCTION HOURS]],"")</f>
        <v>0.95093356491532766</v>
      </c>
      <c r="AM91" s="32">
        <v>105</v>
      </c>
      <c r="AN91" s="32" t="s">
        <v>107</v>
      </c>
      <c r="AO91" s="32" t="s">
        <v>107</v>
      </c>
      <c r="AP91" s="32">
        <v>0</v>
      </c>
      <c r="AQ91" s="32">
        <v>0</v>
      </c>
      <c r="AR91" s="32"/>
      <c r="AS91" s="32" t="str">
        <f>IFERROR(SUMIFS(#REF!,#REF!,'Shift Wise-Data Sheet'!A:A,#REF!,"Samridhi Perk Line")/SUMIFS(#REF!,#REF!,'Shift Wise-Data Sheet'!A:A,#REF!,"Samridhi Perk Line"),"")</f>
        <v/>
      </c>
      <c r="AT91" s="32"/>
      <c r="AU91" s="32"/>
      <c r="AV91" s="211">
        <f>IFERROR(VLOOKUP(Table110[[#This Row],[Date]],'Overweight Data'!A89:G1184,6,FALSE),"")</f>
        <v>2.5294659300184135E-2</v>
      </c>
      <c r="AW91" s="221">
        <f ca="1">IFERROR(
   IF(
      OR(Table110[[#This Row],[Operating Time]]=0, (Table110[[#This Row],[Operating Time]]/IF(AD91&lt;=1,AD91+1,AD91))*60=0),
      1,
      ((Table110[[#This Row],[Operating Time]])/IF(AD91&lt;=1,AD91+1,AD91))*60
   ),
"_")</f>
        <v>1072.6530612244896</v>
      </c>
      <c r="AX91" s="221">
        <f>COUNTIFS('Downtime Data'!A:A,Table110[[#This Row],[Date]])</f>
        <v>1</v>
      </c>
      <c r="AY91" s="219">
        <f>IFERROR((SUM(Table110[[#This Row],[Minor Stoppages]:[Material Shortages]])/Table110[[#This Row],['# Stops]])*60,"")</f>
        <v>15</v>
      </c>
      <c r="AZ91" s="219"/>
      <c r="BA91" s="33">
        <v>46107</v>
      </c>
    </row>
    <row r="92" spans="1:53" ht="20.149999999999999" customHeight="1" x14ac:dyDescent="0.35">
      <c r="A92" s="21">
        <v>46109</v>
      </c>
      <c r="B92" s="22" t="str">
        <f t="shared" si="2"/>
        <v>Saturday</v>
      </c>
      <c r="C92" s="22"/>
      <c r="D92" s="23" t="s">
        <v>106</v>
      </c>
      <c r="E92" s="24" cm="1">
        <f t="array" aca="1" ref="E92" ca="1">IFERROR(INDIRECT(D92),"")</f>
        <v>39.200000000000003</v>
      </c>
      <c r="F92" s="26">
        <v>34</v>
      </c>
      <c r="G92" s="26">
        <v>34</v>
      </c>
      <c r="H92" s="27">
        <f ca="1">IFERROR((Table110[[#This Row],[Plan]]/Table110[[#This Row],[Hours Used]])/(Table110[[#This Row],[SOC (TPD)]]/24),"")</f>
        <v>0.86734693877551017</v>
      </c>
      <c r="I92" s="27">
        <f ca="1">IFERROR((Table110[[#This Row],[Volume Delivered (T)]]/Table110[[#This Row],[Hours Used]])/(Table110[[#This Row],[SOC (TPD)]]/24),"")</f>
        <v>0.86734693877551017</v>
      </c>
      <c r="J92" s="28"/>
      <c r="K92" s="28"/>
      <c r="L92" s="28"/>
      <c r="M92" s="25">
        <v>1.6</v>
      </c>
      <c r="N92" s="29">
        <v>3.9E-2</v>
      </c>
      <c r="O92" s="84"/>
      <c r="P92" s="25"/>
      <c r="Q92" s="25"/>
      <c r="R92" s="70"/>
      <c r="S92" s="71"/>
      <c r="T92" s="30">
        <f>IF(Table110[[#This Row],[SKU]]="",0,24-Table110[[#This Row],[Legal Non-Operating Time]]-Table110[[#This Row],[No Demand Time]]-Table110[[#This Row],[Force Majeure]])</f>
        <v>24</v>
      </c>
      <c r="U92" s="26">
        <v>2</v>
      </c>
      <c r="V92" s="26"/>
      <c r="W92" s="26"/>
      <c r="X92" s="26"/>
      <c r="Y92" s="26"/>
      <c r="Z92" s="26"/>
      <c r="AA92" s="26"/>
      <c r="AB92" s="30">
        <f>Table110[[#This Row],[Hours Used]]-SUM(Table110[[#This Row],[Planned Maintenance]:[Start and Finish Production]])</f>
        <v>22</v>
      </c>
      <c r="AC92" s="26"/>
      <c r="AD92" s="26"/>
      <c r="AE92" s="26"/>
      <c r="AF92" s="26"/>
      <c r="AG92" s="26"/>
      <c r="AH92" s="26"/>
      <c r="AI92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6.8027210884353664E-2</v>
      </c>
      <c r="AJ92" s="24">
        <f ca="1">IFERROR(IF(Table110[[#This Row],[SKU]]="",0,Table110[[#This Row],[Quality Loss (T)]]/(Table110[[#This Row],[SOC (TPD)]]/24)),"")</f>
        <v>0.97959183673469385</v>
      </c>
      <c r="AK92" s="31">
        <f ca="1">IFERROR(IF(Table110[[#This Row],[SKU]]="",0,Table110[[#This Row],[Volume Delivered (T)]]/(Table110[[#This Row],[SOC (TPD)]]/24)),"")</f>
        <v>20.816326530612244</v>
      </c>
      <c r="AL92" s="31">
        <f ca="1">IFERROR(Table110[[#This Row],[Operating Time]]/Table110[[#This Row],[PRODUCTION HOURS]],"")</f>
        <v>0.94619666048237472</v>
      </c>
      <c r="AM92" s="32">
        <v>111</v>
      </c>
      <c r="AN92" s="32" t="s">
        <v>107</v>
      </c>
      <c r="AO92" s="32" t="s">
        <v>107</v>
      </c>
      <c r="AP92" s="32">
        <v>0</v>
      </c>
      <c r="AQ92" s="32">
        <v>0</v>
      </c>
      <c r="AR92" s="32"/>
      <c r="AS92" s="32" t="str">
        <f>IFERROR(SUMIFS(#REF!,#REF!,'Shift Wise-Data Sheet'!A:A,#REF!,"Samridhi Perk Line")/SUMIFS(#REF!,#REF!,'Shift Wise-Data Sheet'!A:A,#REF!,"Samridhi Perk Line"),"")</f>
        <v/>
      </c>
      <c r="AT92" s="32"/>
      <c r="AU92" s="32"/>
      <c r="AV92" s="211">
        <f>IFERROR(VLOOKUP(Table110[[#This Row],[Date]],'Overweight Data'!A90:G1185,6,FALSE),"")</f>
        <v>2.5909799224716378E-2</v>
      </c>
      <c r="AW92" s="221">
        <f ca="1">IFERROR(
   IF(
      OR(Table110[[#This Row],[Operating Time]]=0, (Table110[[#This Row],[Operating Time]]/IF(AD92&lt;=1,AD92+1,AD92))*60=0),
      1,
      ((Table110[[#This Row],[Operating Time]])/IF(AD92&lt;=1,AD92+1,AD92))*60
   ),
"_")</f>
        <v>1248.9795918367347</v>
      </c>
      <c r="AX92" s="221">
        <f>COUNTIFS('Downtime Data'!A:A,Table110[[#This Row],[Date]])</f>
        <v>0</v>
      </c>
      <c r="AY92" s="219" t="str">
        <f>IFERROR((SUM(Table110[[#This Row],[Minor Stoppages]:[Material Shortages]])/Table110[[#This Row],['# Stops]])*60,"")</f>
        <v/>
      </c>
      <c r="AZ92" s="219"/>
      <c r="BA92" s="33">
        <v>46107</v>
      </c>
    </row>
    <row r="93" spans="1:53" ht="20.149999999999999" customHeight="1" x14ac:dyDescent="0.35">
      <c r="A93" s="21">
        <v>46110</v>
      </c>
      <c r="B93" s="22" t="str">
        <f t="shared" si="2"/>
        <v>Sunday</v>
      </c>
      <c r="C93" s="22"/>
      <c r="D93" s="23" t="s">
        <v>106</v>
      </c>
      <c r="E93" s="24" cm="1">
        <f t="array" aca="1" ref="E93" ca="1">IFERROR(INDIRECT(D93),"")</f>
        <v>39.200000000000003</v>
      </c>
      <c r="F93" s="26">
        <v>37.5</v>
      </c>
      <c r="G93" s="26">
        <v>37.5</v>
      </c>
      <c r="H93" s="27">
        <f ca="1">IFERROR((Table110[[#This Row],[Plan]]/Table110[[#This Row],[Hours Used]])/(Table110[[#This Row],[SOC (TPD)]]/24),"")</f>
        <v>0.95663265306122436</v>
      </c>
      <c r="I93" s="27">
        <f ca="1">IFERROR((Table110[[#This Row],[Volume Delivered (T)]]/Table110[[#This Row],[Hours Used]])/(Table110[[#This Row],[SOC (TPD)]]/24),"")</f>
        <v>0.95663265306122436</v>
      </c>
      <c r="J93" s="28"/>
      <c r="K93" s="28"/>
      <c r="L93" s="28"/>
      <c r="M93" s="25">
        <v>1.3</v>
      </c>
      <c r="N93" s="29">
        <v>3.9E-2</v>
      </c>
      <c r="O93" s="84"/>
      <c r="P93" s="25"/>
      <c r="Q93" s="25"/>
      <c r="R93" s="70"/>
      <c r="S93" s="71"/>
      <c r="T93" s="30">
        <f>IF(Table110[[#This Row],[SKU]]="",0,24-Table110[[#This Row],[Legal Non-Operating Time]]-Table110[[#This Row],[No Demand Time]]-Table110[[#This Row],[Force Majeure]])</f>
        <v>24</v>
      </c>
      <c r="U93" s="26"/>
      <c r="V93" s="26"/>
      <c r="W93" s="26"/>
      <c r="X93" s="26"/>
      <c r="Y93" s="26"/>
      <c r="Z93" s="26"/>
      <c r="AA93" s="26"/>
      <c r="AB93" s="30">
        <f>Table110[[#This Row],[Hours Used]]-SUM(Table110[[#This Row],[Planned Maintenance]:[Start and Finish Production]])</f>
        <v>24</v>
      </c>
      <c r="AC93" s="26"/>
      <c r="AD93" s="26"/>
      <c r="AE93" s="26"/>
      <c r="AF93" s="26"/>
      <c r="AG93" s="26"/>
      <c r="AH93" s="26"/>
      <c r="AI93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8.1632653061224872E-2</v>
      </c>
      <c r="AJ93" s="24">
        <f ca="1">IFERROR(IF(Table110[[#This Row],[SKU]]="",0,Table110[[#This Row],[Quality Loss (T)]]/(Table110[[#This Row],[SOC (TPD)]]/24)),"")</f>
        <v>0.79591836734693866</v>
      </c>
      <c r="AK93" s="31">
        <f ca="1">IFERROR(IF(Table110[[#This Row],[SKU]]="",0,Table110[[#This Row],[Volume Delivered (T)]]/(Table110[[#This Row],[SOC (TPD)]]/24)),"")</f>
        <v>22.959183673469386</v>
      </c>
      <c r="AL93" s="31">
        <f ca="1">IFERROR(Table110[[#This Row],[Operating Time]]/Table110[[#This Row],[PRODUCTION HOURS]],"")</f>
        <v>0.95663265306122447</v>
      </c>
      <c r="AM93" s="32">
        <v>117</v>
      </c>
      <c r="AN93" s="32" t="s">
        <v>107</v>
      </c>
      <c r="AO93" s="32" t="s">
        <v>107</v>
      </c>
      <c r="AP93" s="32">
        <v>3</v>
      </c>
      <c r="AQ93" s="32">
        <v>2</v>
      </c>
      <c r="AR93" s="32"/>
      <c r="AS93" s="32" t="str">
        <f>IFERROR(SUMIFS(#REF!,#REF!,'Shift Wise-Data Sheet'!A:A,#REF!,"Samridhi Perk Line")/SUMIFS(#REF!,#REF!,'Shift Wise-Data Sheet'!A:A,#REF!,"Samridhi Perk Line"),"")</f>
        <v/>
      </c>
      <c r="AT93" s="32"/>
      <c r="AU93" s="32"/>
      <c r="AV93" s="211">
        <f>IFERROR(VLOOKUP(Table110[[#This Row],[Date]],'Overweight Data'!A91:G1186,6,FALSE),"")</f>
        <v>2.0530303030303041E-2</v>
      </c>
      <c r="AW93" s="221">
        <f ca="1">IFERROR(
   IF(
      OR(Table110[[#This Row],[Operating Time]]=0, (Table110[[#This Row],[Operating Time]]/IF(AD93&lt;=1,AD93+1,AD93))*60=0),
      1,
      ((Table110[[#This Row],[Operating Time]])/IF(AD93&lt;=1,AD93+1,AD93))*60
   ),
"_")</f>
        <v>1377.5510204081631</v>
      </c>
      <c r="AX93" s="221">
        <f>COUNTIFS('Downtime Data'!A:A,Table110[[#This Row],[Date]])</f>
        <v>0</v>
      </c>
      <c r="AY93" s="219" t="str">
        <f>IFERROR((SUM(Table110[[#This Row],[Minor Stoppages]:[Material Shortages]])/Table110[[#This Row],['# Stops]])*60,"")</f>
        <v/>
      </c>
      <c r="AZ93" s="219"/>
      <c r="BA93" s="33">
        <v>46107</v>
      </c>
    </row>
    <row r="94" spans="1:53" ht="20.149999999999999" customHeight="1" x14ac:dyDescent="0.35">
      <c r="A94" s="21">
        <v>46111</v>
      </c>
      <c r="B94" s="22" t="str">
        <f t="shared" si="2"/>
        <v>Monday</v>
      </c>
      <c r="C94" s="22"/>
      <c r="D94" s="23" t="s">
        <v>106</v>
      </c>
      <c r="E94" s="24" cm="1">
        <f t="array" aca="1" ref="E94" ca="1">IFERROR(INDIRECT(D94),"")</f>
        <v>39.200000000000003</v>
      </c>
      <c r="F94" s="26">
        <v>31.5</v>
      </c>
      <c r="G94" s="26">
        <v>26.77</v>
      </c>
      <c r="H94" s="27">
        <f ca="1">IFERROR((Table110[[#This Row],[Plan]]/Table110[[#This Row],[Hours Used]])/(Table110[[#This Row],[SOC (TPD)]]/24),"")</f>
        <v>0.80357142857142849</v>
      </c>
      <c r="I94" s="27">
        <f ca="1">IFERROR((Table110[[#This Row],[Volume Delivered (T)]]/Table110[[#This Row],[Hours Used]])/(Table110[[#This Row],[SOC (TPD)]]/24),"")</f>
        <v>0.68290816326530612</v>
      </c>
      <c r="J94" s="28"/>
      <c r="K94" s="28"/>
      <c r="L94" s="28"/>
      <c r="M94" s="25">
        <f>0.32+1.29+0.14+0.7-0.24-0.66</f>
        <v>1.5499999999999998</v>
      </c>
      <c r="N94" s="29">
        <v>3.9E-2</v>
      </c>
      <c r="O94" s="84"/>
      <c r="P94" s="25"/>
      <c r="Q94" s="25"/>
      <c r="R94" s="70"/>
      <c r="S94" s="71"/>
      <c r="T94" s="30">
        <f>IF(Table110[[#This Row],[SKU]]="",0,24-Table110[[#This Row],[Legal Non-Operating Time]]-Table110[[#This Row],[No Demand Time]]-Table110[[#This Row],[Force Majeure]])</f>
        <v>24</v>
      </c>
      <c r="U94" s="26"/>
      <c r="V94" s="26"/>
      <c r="W94" s="26"/>
      <c r="X94" s="26"/>
      <c r="Y94" s="26"/>
      <c r="Z94" s="26"/>
      <c r="AA94" s="26"/>
      <c r="AB94" s="30">
        <f>Table110[[#This Row],[Hours Used]]-SUM(Table110[[#This Row],[Planned Maintenance]:[Start and Finish Production]])</f>
        <v>24</v>
      </c>
      <c r="AC94" s="26"/>
      <c r="AD94" s="26">
        <v>6.5</v>
      </c>
      <c r="AE94" s="26"/>
      <c r="AF94" s="26"/>
      <c r="AG94" s="26"/>
      <c r="AH94" s="26"/>
      <c r="AI94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5.3741496598640026E-2</v>
      </c>
      <c r="AJ94" s="24">
        <f ca="1">IFERROR(IF(Table110[[#This Row],[SKU]]="",0,Table110[[#This Row],[Quality Loss (T)]]/(Table110[[#This Row],[SOC (TPD)]]/24)),"")</f>
        <v>0.94897959183673453</v>
      </c>
      <c r="AK94" s="31">
        <f ca="1">IFERROR(IF(Table110[[#This Row],[SKU]]="",0,Table110[[#This Row],[Volume Delivered (T)]]/(Table110[[#This Row],[SOC (TPD)]]/24)),"")</f>
        <v>16.389795918367344</v>
      </c>
      <c r="AL94" s="31">
        <f ca="1">IFERROR(Table110[[#This Row],[Operating Time]]/Table110[[#This Row],[PRODUCTION HOURS]],"")</f>
        <v>0.68290816326530601</v>
      </c>
      <c r="AM94" s="32">
        <v>109</v>
      </c>
      <c r="AN94" s="32" t="s">
        <v>107</v>
      </c>
      <c r="AO94" s="32" t="s">
        <v>107</v>
      </c>
      <c r="AP94" s="32">
        <v>1</v>
      </c>
      <c r="AQ94" s="32">
        <v>0</v>
      </c>
      <c r="AR94" s="32"/>
      <c r="AS94" s="32" t="str">
        <f>IFERROR(SUMIFS(#REF!,#REF!,'Shift Wise-Data Sheet'!A:A,#REF!,"Samridhi Perk Line")/SUMIFS(#REF!,#REF!,'Shift Wise-Data Sheet'!A:A,#REF!,"Samridhi Perk Line"),"")</f>
        <v/>
      </c>
      <c r="AT94" s="32"/>
      <c r="AU94" s="32"/>
      <c r="AV94" s="211">
        <f>IFERROR(VLOOKUP(Table110[[#This Row],[Date]],'Overweight Data'!A92:G1187,6,FALSE),"")</f>
        <v>3.1005244755244778E-2</v>
      </c>
      <c r="AW94" s="221">
        <f ca="1">IFERROR(
   IF(
      OR(Table110[[#This Row],[Operating Time]]=0, (Table110[[#This Row],[Operating Time]]/IF(AD94&lt;=1,AD94+1,AD94))*60=0),
      1,
      ((Table110[[#This Row],[Operating Time]])/IF(AD94&lt;=1,AD94+1,AD94))*60
   ),
"_")</f>
        <v>151.29042386185242</v>
      </c>
      <c r="AX94" s="221">
        <f>COUNTIFS('Downtime Data'!A:A,Table110[[#This Row],[Date]])</f>
        <v>2</v>
      </c>
      <c r="AY94" s="219">
        <f>IFERROR((SUM(Table110[[#This Row],[Minor Stoppages]:[Material Shortages]])/Table110[[#This Row],['# Stops]])*60,"")</f>
        <v>195</v>
      </c>
      <c r="AZ94" s="219"/>
      <c r="BA94" s="33">
        <v>46138</v>
      </c>
    </row>
    <row r="95" spans="1:53" ht="20.149999999999999" customHeight="1" x14ac:dyDescent="0.35">
      <c r="A95" s="21">
        <v>46112</v>
      </c>
      <c r="B95" s="22" t="str">
        <f t="shared" si="2"/>
        <v>Tuesday</v>
      </c>
      <c r="C95" s="22"/>
      <c r="D95" s="23" t="s">
        <v>106</v>
      </c>
      <c r="E95" s="24" cm="1">
        <f t="array" aca="1" ref="E95" ca="1">IFERROR(INDIRECT(D95),"")</f>
        <v>39.200000000000003</v>
      </c>
      <c r="F95" s="26">
        <v>31.5</v>
      </c>
      <c r="G95" s="26">
        <v>31.06</v>
      </c>
      <c r="H95" s="27">
        <f ca="1">IFERROR((Table110[[#This Row],[Plan]]/Table110[[#This Row],[Hours Used]])/(Table110[[#This Row],[SOC (TPD)]]/24),"")</f>
        <v>0.80357142857142849</v>
      </c>
      <c r="I95" s="27">
        <f ca="1">IFERROR((Table110[[#This Row],[Volume Delivered (T)]]/Table110[[#This Row],[Hours Used]])/(Table110[[#This Row],[SOC (TPD)]]/24),"")</f>
        <v>0.7923469387755101</v>
      </c>
      <c r="J95" s="28"/>
      <c r="K95" s="28"/>
      <c r="L95" s="28"/>
      <c r="M95" s="25">
        <f>0.49+1.16+0.15+0.63-0.26-0.53</f>
        <v>1.64</v>
      </c>
      <c r="N95" s="29">
        <v>3.9E-2</v>
      </c>
      <c r="O95" s="84"/>
      <c r="P95" s="25"/>
      <c r="Q95" s="25"/>
      <c r="R95" s="70"/>
      <c r="S95" s="71"/>
      <c r="T95" s="30">
        <f>IF(Table110[[#This Row],[SKU]]="",0,24-Table110[[#This Row],[Legal Non-Operating Time]]-Table110[[#This Row],[No Demand Time]]-Table110[[#This Row],[Force Majeure]])</f>
        <v>24</v>
      </c>
      <c r="U95" s="26"/>
      <c r="V95" s="26">
        <v>0.8</v>
      </c>
      <c r="W95" s="26"/>
      <c r="X95" s="26"/>
      <c r="Y95" s="26"/>
      <c r="Z95" s="26"/>
      <c r="AA95" s="26"/>
      <c r="AB95" s="30">
        <f>Table110[[#This Row],[Hours Used]]-SUM(Table110[[#This Row],[Planned Maintenance]:[Start and Finish Production]])</f>
        <v>23.2</v>
      </c>
      <c r="AC95" s="26"/>
      <c r="AD95" s="26">
        <v>3</v>
      </c>
      <c r="AE95" s="26"/>
      <c r="AF95" s="26"/>
      <c r="AG95" s="26"/>
      <c r="AH95" s="26"/>
      <c r="AI95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5.9863945578231416E-2</v>
      </c>
      <c r="AJ95" s="24">
        <f ca="1">IFERROR(IF(Table110[[#This Row],[SKU]]="",0,Table110[[#This Row],[Quality Loss (T)]]/(Table110[[#This Row],[SOC (TPD)]]/24)),"")</f>
        <v>1.0040816326530611</v>
      </c>
      <c r="AK95" s="31">
        <f ca="1">IFERROR(IF(Table110[[#This Row],[SKU]]="",0,Table110[[#This Row],[Volume Delivered (T)]]/(Table110[[#This Row],[SOC (TPD)]]/24)),"")</f>
        <v>19.016326530612243</v>
      </c>
      <c r="AL95" s="31">
        <f ca="1">IFERROR(Table110[[#This Row],[Operating Time]]/Table110[[#This Row],[PRODUCTION HOURS]],"")</f>
        <v>0.81966924700914845</v>
      </c>
      <c r="AM95" s="32">
        <v>113</v>
      </c>
      <c r="AN95" s="32" t="s">
        <v>107</v>
      </c>
      <c r="AO95" s="32" t="s">
        <v>107</v>
      </c>
      <c r="AP95" s="32">
        <v>0</v>
      </c>
      <c r="AQ95" s="32">
        <v>0</v>
      </c>
      <c r="AR95" s="32"/>
      <c r="AS95" s="32" t="str">
        <f>IFERROR(SUMIFS(#REF!,#REF!,'Shift Wise-Data Sheet'!A:A,#REF!,"Samridhi Perk Line")/SUMIFS(#REF!,#REF!,'Shift Wise-Data Sheet'!A:A,#REF!,"Samridhi Perk Line"),"")</f>
        <v/>
      </c>
      <c r="AT95" s="32"/>
      <c r="AU95" s="32"/>
      <c r="AV95" s="211">
        <f>IFERROR(VLOOKUP(Table110[[#This Row],[Date]],'Overweight Data'!A93:G1188,6,FALSE),"")</f>
        <v>3.5064456721915271E-2</v>
      </c>
      <c r="AW95" s="221">
        <f ca="1">IFERROR(
   IF(
      OR(Table110[[#This Row],[Operating Time]]=0, (Table110[[#This Row],[Operating Time]]/IF(AD95&lt;=1,AD95+1,AD95))*60=0),
      1,
      ((Table110[[#This Row],[Operating Time]])/IF(AD95&lt;=1,AD95+1,AD95))*60
   ),
"_")</f>
        <v>380.32653061224482</v>
      </c>
      <c r="AX95" s="221">
        <f>COUNTIFS('Downtime Data'!A:A,Table110[[#This Row],[Date]])</f>
        <v>2</v>
      </c>
      <c r="AY95" s="219">
        <f>IFERROR((SUM(Table110[[#This Row],[Minor Stoppages]:[Material Shortages]])/Table110[[#This Row],['# Stops]])*60,"")</f>
        <v>90</v>
      </c>
      <c r="AZ95" s="219"/>
      <c r="BA95" s="33">
        <v>46138</v>
      </c>
    </row>
    <row r="96" spans="1:53" ht="20.149999999999999" customHeight="1" x14ac:dyDescent="0.35">
      <c r="A96" s="21">
        <v>46113</v>
      </c>
      <c r="B96" s="22" t="str">
        <f t="shared" si="2"/>
        <v>Wednesday</v>
      </c>
      <c r="C96" s="22"/>
      <c r="D96" s="23" t="s">
        <v>106</v>
      </c>
      <c r="E96" s="24" cm="1">
        <f t="array" aca="1" ref="E96" ca="1">IFERROR(INDIRECT(D96),"")</f>
        <v>39.200000000000003</v>
      </c>
      <c r="F96" s="26">
        <v>32</v>
      </c>
      <c r="G96" s="26">
        <v>35.327351999999998</v>
      </c>
      <c r="H96" s="27">
        <f ca="1">IFERROR((Table110[[#This Row],[Plan]]/Table110[[#This Row],[Hours Used]])/(Table110[[#This Row],[SOC (TPD)]]/24),"")</f>
        <v>0.81632653061224481</v>
      </c>
      <c r="I96" s="27">
        <f ca="1">IFERROR((Table110[[#This Row],[Volume Delivered (T)]]/Table110[[#This Row],[Hours Used]])/(Table110[[#This Row],[SOC (TPD)]]/24),"")</f>
        <v>0.90120795918367336</v>
      </c>
      <c r="J96" s="28"/>
      <c r="K96" s="28"/>
      <c r="L96" s="28"/>
      <c r="M96" s="25">
        <f>0.44+1.32+0.17+0.59-0.25-0.66</f>
        <v>1.6099999999999999</v>
      </c>
      <c r="N96" s="29">
        <v>3.9E-2</v>
      </c>
      <c r="O96" s="84"/>
      <c r="P96" s="25"/>
      <c r="Q96" s="25"/>
      <c r="R96" s="70"/>
      <c r="S96" s="71"/>
      <c r="T96" s="30">
        <f>IF(Table110[[#This Row],[SKU]]="",0,24-Table110[[#This Row],[Legal Non-Operating Time]]-Table110[[#This Row],[No Demand Time]]-Table110[[#This Row],[Force Majeure]])</f>
        <v>24</v>
      </c>
      <c r="U96" s="26">
        <v>1.2</v>
      </c>
      <c r="V96" s="26"/>
      <c r="W96" s="26"/>
      <c r="X96" s="26"/>
      <c r="Y96" s="26"/>
      <c r="Z96" s="26"/>
      <c r="AA96" s="26"/>
      <c r="AB96" s="30">
        <f>Table110[[#This Row],[Hours Used]]-SUM(Table110[[#This Row],[Planned Maintenance]:[Start and Finish Production]])</f>
        <v>22.8</v>
      </c>
      <c r="AC96" s="26"/>
      <c r="AD96" s="26"/>
      <c r="AE96" s="26"/>
      <c r="AF96" s="26"/>
      <c r="AG96" s="26"/>
      <c r="AH96" s="26"/>
      <c r="AI96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6.1764897959186271E-2</v>
      </c>
      <c r="AJ96" s="24">
        <f ca="1">IFERROR(IF(Table110[[#This Row],[SKU]]="",0,Table110[[#This Row],[Quality Loss (T)]]/(Table110[[#This Row],[SOC (TPD)]]/24)),"")</f>
        <v>0.98571428571428554</v>
      </c>
      <c r="AK96" s="31">
        <f ca="1">IFERROR(IF(Table110[[#This Row],[SKU]]="",0,Table110[[#This Row],[Volume Delivered (T)]]/(Table110[[#This Row],[SOC (TPD)]]/24)),"")</f>
        <v>21.628991020408158</v>
      </c>
      <c r="AL96" s="31">
        <f ca="1">IFERROR(Table110[[#This Row],[Operating Time]]/Table110[[#This Row],[PRODUCTION HOURS]],"")</f>
        <v>0.94863995703544546</v>
      </c>
      <c r="AM96" s="32">
        <v>91</v>
      </c>
      <c r="AN96" s="32" t="s">
        <v>107</v>
      </c>
      <c r="AO96" s="32" t="s">
        <v>107</v>
      </c>
      <c r="AP96" s="32">
        <v>23</v>
      </c>
      <c r="AQ96" s="32">
        <v>23</v>
      </c>
      <c r="AR96" s="32"/>
      <c r="AS96" s="32" t="str">
        <f>IFERROR(SUMIFS(#REF!,#REF!,'Shift Wise-Data Sheet'!A:A,#REF!,"Samridhi Perk Line")/SUMIFS(#REF!,#REF!,'Shift Wise-Data Sheet'!A:A,#REF!,"Samridhi Perk Line"),"")</f>
        <v/>
      </c>
      <c r="AT96" s="32"/>
      <c r="AU96" s="32"/>
      <c r="AV96" s="211">
        <f>IFERROR(VLOOKUP(Table110[[#This Row],[Date]],'Overweight Data'!A94:G1189,6,FALSE),"")</f>
        <v>3.6390423572743996E-2</v>
      </c>
      <c r="AW96" s="221">
        <f ca="1">IFERROR(
   IF(
      OR(Table110[[#This Row],[Operating Time]]=0, (Table110[[#This Row],[Operating Time]]/IF(AD96&lt;=1,AD96+1,AD96))*60=0),
      1,
      ((Table110[[#This Row],[Operating Time]])/IF(AD96&lt;=1,AD96+1,AD96))*60
   ),
"_")</f>
        <v>1297.7394612244896</v>
      </c>
      <c r="AX96" s="221">
        <f>COUNTIFS('Downtime Data'!A:A,Table110[[#This Row],[Date]])</f>
        <v>1</v>
      </c>
      <c r="AY96" s="219">
        <f>IFERROR((SUM(Table110[[#This Row],[Minor Stoppages]:[Material Shortages]])/Table110[[#This Row],['# Stops]])*60,"")</f>
        <v>0</v>
      </c>
      <c r="AZ96" s="219"/>
      <c r="BA96" s="33">
        <v>46138</v>
      </c>
    </row>
    <row r="97" spans="1:53" ht="20.149999999999999" customHeight="1" x14ac:dyDescent="0.35">
      <c r="A97" s="21">
        <v>46114</v>
      </c>
      <c r="B97" s="22" t="str">
        <f t="shared" si="2"/>
        <v>Thursday</v>
      </c>
      <c r="C97" s="22"/>
      <c r="D97" s="23" t="s">
        <v>106</v>
      </c>
      <c r="E97" s="24" cm="1">
        <f t="array" aca="1" ref="E97" ca="1">IFERROR(INDIRECT(D97),"")</f>
        <v>39.200000000000003</v>
      </c>
      <c r="F97" s="26">
        <v>31</v>
      </c>
      <c r="G97" s="26">
        <v>35.055432000000003</v>
      </c>
      <c r="H97" s="27">
        <f ca="1">IFERROR((Table110[[#This Row],[Plan]]/Table110[[#This Row],[Hours Used]])/(Table110[[#This Row],[SOC (TPD)]]/24),"")</f>
        <v>0.79081632653061218</v>
      </c>
      <c r="I97" s="27">
        <f ca="1">IFERROR((Table110[[#This Row],[Volume Delivered (T)]]/Table110[[#This Row],[Hours Used]])/(Table110[[#This Row],[SOC (TPD)]]/24),"")</f>
        <v>0.8942712244897959</v>
      </c>
      <c r="J97" s="28"/>
      <c r="K97" s="28"/>
      <c r="L97" s="28"/>
      <c r="M97" s="25">
        <f>0.4+1.32+0.17+0.57-0.22-0.63</f>
        <v>1.6099999999999999</v>
      </c>
      <c r="N97" s="29">
        <v>3.9E-2</v>
      </c>
      <c r="O97" s="84"/>
      <c r="P97" s="25"/>
      <c r="Q97" s="25"/>
      <c r="R97" s="70"/>
      <c r="S97" s="71"/>
      <c r="T97" s="30">
        <f>IF(Table110[[#This Row],[SKU]]="",0,24-Table110[[#This Row],[Legal Non-Operating Time]]-Table110[[#This Row],[No Demand Time]]-Table110[[#This Row],[Force Majeure]])</f>
        <v>24</v>
      </c>
      <c r="U97" s="26">
        <v>1.3</v>
      </c>
      <c r="V97" s="26"/>
      <c r="W97" s="26"/>
      <c r="X97" s="26"/>
      <c r="Y97" s="26"/>
      <c r="Z97" s="26"/>
      <c r="AA97" s="26"/>
      <c r="AB97" s="30">
        <f>Table110[[#This Row],[Hours Used]]-SUM(Table110[[#This Row],[Planned Maintenance]:[Start and Finish Production]])</f>
        <v>22.7</v>
      </c>
      <c r="AC97" s="26"/>
      <c r="AD97" s="26"/>
      <c r="AE97" s="26"/>
      <c r="AF97" s="26"/>
      <c r="AG97" s="26"/>
      <c r="AH97" s="26"/>
      <c r="AI97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8.3925442176871215E-2</v>
      </c>
      <c r="AJ97" s="24">
        <f ca="1">IFERROR(IF(Table110[[#This Row],[SKU]]="",0,Table110[[#This Row],[Quality Loss (T)]]/(Table110[[#This Row],[SOC (TPD)]]/24)),"")</f>
        <v>0.98571428571428554</v>
      </c>
      <c r="AK97" s="31">
        <f ca="1">IFERROR(IF(Table110[[#This Row],[SKU]]="",0,Table110[[#This Row],[Volume Delivered (T)]]/(Table110[[#This Row],[SOC (TPD)]]/24)),"")</f>
        <v>21.462509387755102</v>
      </c>
      <c r="AL97" s="31">
        <f ca="1">IFERROR(Table110[[#This Row],[Operating Time]]/Table110[[#This Row],[PRODUCTION HOURS]],"")</f>
        <v>0.94548499505529082</v>
      </c>
      <c r="AM97" s="32">
        <v>104</v>
      </c>
      <c r="AN97" s="32" t="s">
        <v>107</v>
      </c>
      <c r="AO97" s="32" t="s">
        <v>107</v>
      </c>
      <c r="AP97" s="32">
        <v>25</v>
      </c>
      <c r="AQ97" s="32">
        <v>22</v>
      </c>
      <c r="AR97" s="32"/>
      <c r="AS97" s="32" t="str">
        <f>IFERROR(SUMIFS(#REF!,#REF!,'Shift Wise-Data Sheet'!A:A,#REF!,"Samridhi Perk Line")/SUMIFS(#REF!,#REF!,'Shift Wise-Data Sheet'!A:A,#REF!,"Samridhi Perk Line"),"")</f>
        <v/>
      </c>
      <c r="AT97" s="32"/>
      <c r="AU97" s="32"/>
      <c r="AV97" s="211">
        <f>IFERROR(VLOOKUP(Table110[[#This Row],[Date]],'Overweight Data'!A95:G1190,6,FALSE),"")</f>
        <v>2.7799263351749592E-2</v>
      </c>
      <c r="AW97" s="221">
        <f ca="1">IFERROR(
   IF(
      OR(Table110[[#This Row],[Operating Time]]=0, (Table110[[#This Row],[Operating Time]]/IF(AD97&lt;=1,AD97+1,AD97))*60=0),
      1,
      ((Table110[[#This Row],[Operating Time]])/IF(AD97&lt;=1,AD97+1,AD97))*60
   ),
"_")</f>
        <v>1287.750563265306</v>
      </c>
      <c r="AX97" s="221">
        <f>COUNTIFS('Downtime Data'!A:A,Table110[[#This Row],[Date]])</f>
        <v>0</v>
      </c>
      <c r="AY97" s="219" t="str">
        <f>IFERROR((SUM(Table110[[#This Row],[Minor Stoppages]:[Material Shortages]])/Table110[[#This Row],['# Stops]])*60,"")</f>
        <v/>
      </c>
      <c r="AZ97" s="219"/>
      <c r="BA97" s="33">
        <v>46138</v>
      </c>
    </row>
    <row r="98" spans="1:53" ht="20.149999999999999" customHeight="1" x14ac:dyDescent="0.35">
      <c r="A98" s="21">
        <v>46115</v>
      </c>
      <c r="B98" s="22" t="str">
        <f t="shared" si="2"/>
        <v>Friday</v>
      </c>
      <c r="C98" s="22"/>
      <c r="D98" s="23" t="s">
        <v>106</v>
      </c>
      <c r="E98" s="24" cm="1">
        <f t="array" aca="1" ref="E98" ca="1">IFERROR(INDIRECT(D98),"")</f>
        <v>39.200000000000003</v>
      </c>
      <c r="F98" s="26">
        <v>31</v>
      </c>
      <c r="G98" s="26">
        <v>24.759552000000003</v>
      </c>
      <c r="H98" s="27">
        <f ca="1">IFERROR((Table110[[#This Row],[Plan]]/Table110[[#This Row],[Hours Used]])/(Table110[[#This Row],[SOC (TPD)]]/24),"")</f>
        <v>0.79081632653061218</v>
      </c>
      <c r="I98" s="27">
        <f ca="1">IFERROR((Table110[[#This Row],[Volume Delivered (T)]]/Table110[[#This Row],[Hours Used]])/(Table110[[#This Row],[SOC (TPD)]]/24),"")</f>
        <v>0.63162122448979596</v>
      </c>
      <c r="J98" s="28"/>
      <c r="K98" s="28"/>
      <c r="L98" s="28"/>
      <c r="M98" s="25">
        <f>0.42+1.16+0.14+0.53-0.19-0.51</f>
        <v>1.55</v>
      </c>
      <c r="N98" s="29">
        <v>3.9E-2</v>
      </c>
      <c r="O98" s="84">
        <v>2.5</v>
      </c>
      <c r="P98" s="25"/>
      <c r="Q98" s="25">
        <v>5</v>
      </c>
      <c r="R98" s="70"/>
      <c r="S98" s="71"/>
      <c r="T98" s="30">
        <f>IF(Table110[[#This Row],[SKU]]="",0,24-Table110[[#This Row],[Legal Non-Operating Time]]-Table110[[#This Row],[No Demand Time]]-Table110[[#This Row],[Force Majeure]])</f>
        <v>24</v>
      </c>
      <c r="U98" s="26">
        <v>1</v>
      </c>
      <c r="V98" s="26"/>
      <c r="W98" s="26"/>
      <c r="X98" s="26"/>
      <c r="Y98" s="26"/>
      <c r="Z98" s="26"/>
      <c r="AA98" s="26"/>
      <c r="AB98" s="30">
        <f>Table110[[#This Row],[Hours Used]]-SUM(Table110[[#This Row],[Planned Maintenance]:[Start and Finish Production]])</f>
        <v>23</v>
      </c>
      <c r="AC98" s="26">
        <v>0.4</v>
      </c>
      <c r="AD98" s="26">
        <v>6</v>
      </c>
      <c r="AE98" s="26">
        <v>0.3</v>
      </c>
      <c r="AF98" s="26"/>
      <c r="AG98" s="26"/>
      <c r="AH98" s="26"/>
      <c r="AI98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6.4037006802721549E-2</v>
      </c>
      <c r="AJ98" s="24">
        <f ca="1">IFERROR(IF(Table110[[#This Row],[SKU]]="",0,Table110[[#This Row],[Quality Loss (T)]]/(Table110[[#This Row],[SOC (TPD)]]/24)),"")</f>
        <v>0.94897959183673464</v>
      </c>
      <c r="AK98" s="31">
        <f ca="1">IFERROR(IF(Table110[[#This Row],[SKU]]="",0,Table110[[#This Row],[Volume Delivered (T)]]/(Table110[[#This Row],[SOC (TPD)]]/24)),"")</f>
        <v>15.158909387755102</v>
      </c>
      <c r="AL98" s="31">
        <f ca="1">IFERROR(Table110[[#This Row],[Operating Time]]/Table110[[#This Row],[PRODUCTION HOURS]],"")</f>
        <v>0.65908301685891746</v>
      </c>
      <c r="AM98" s="32">
        <v>80</v>
      </c>
      <c r="AN98" s="32" t="s">
        <v>107</v>
      </c>
      <c r="AO98" s="32" t="s">
        <v>105</v>
      </c>
      <c r="AP98" s="32">
        <v>0</v>
      </c>
      <c r="AQ98" s="32">
        <v>0</v>
      </c>
      <c r="AR98" s="32"/>
      <c r="AS98" s="32" t="str">
        <f>IFERROR(SUMIFS(#REF!,#REF!,'Shift Wise-Data Sheet'!A:A,#REF!,"Samridhi Perk Line")/SUMIFS(#REF!,#REF!,'Shift Wise-Data Sheet'!A:A,#REF!,"Samridhi Perk Line"),"")</f>
        <v/>
      </c>
      <c r="AT98" s="32"/>
      <c r="AU98" s="32"/>
      <c r="AV98" s="211">
        <f>IFERROR(VLOOKUP(Table110[[#This Row],[Date]],'Overweight Data'!A96:G1191,6,FALSE),"")</f>
        <v>2.7624309392265192E-2</v>
      </c>
      <c r="AW98" s="221">
        <f ca="1">IFERROR(
   IF(
      OR(Table110[[#This Row],[Operating Time]]=0, (Table110[[#This Row],[Operating Time]]/IF(AD98&lt;=1,AD98+1,AD98))*60=0),
      1,
      ((Table110[[#This Row],[Operating Time]])/IF(AD98&lt;=1,AD98+1,AD98))*60
   ),
"_")</f>
        <v>151.58909387755102</v>
      </c>
      <c r="AX98" s="221">
        <f>COUNTIFS('Downtime Data'!A:A,Table110[[#This Row],[Date]])</f>
        <v>2</v>
      </c>
      <c r="AY98" s="219">
        <f>IFERROR((SUM(Table110[[#This Row],[Minor Stoppages]:[Material Shortages]])/Table110[[#This Row],['# Stops]])*60,"")</f>
        <v>201</v>
      </c>
      <c r="AZ98" s="219"/>
      <c r="BA98" s="33">
        <v>46138</v>
      </c>
    </row>
    <row r="99" spans="1:53" ht="20.149999999999999" customHeight="1" x14ac:dyDescent="0.35">
      <c r="A99" s="21">
        <v>46116</v>
      </c>
      <c r="B99" s="22" t="str">
        <f t="shared" si="2"/>
        <v>Saturday</v>
      </c>
      <c r="C99" s="22"/>
      <c r="D99" s="23" t="s">
        <v>106</v>
      </c>
      <c r="E99" s="24" cm="1">
        <f t="array" aca="1" ref="E99" ca="1">IFERROR(INDIRECT(D99),"")</f>
        <v>39.200000000000003</v>
      </c>
      <c r="F99" s="26">
        <v>15</v>
      </c>
      <c r="G99" s="26">
        <v>20.398944000000004</v>
      </c>
      <c r="H99" s="27">
        <f ca="1">IFERROR((Table110[[#This Row],[Plan]]/Table110[[#This Row],[Hours Used]])/(Table110[[#This Row],[SOC (TPD)]]/24),"")</f>
        <v>0.38265306122448978</v>
      </c>
      <c r="I99" s="27">
        <f ca="1">IFERROR((Table110[[#This Row],[Volume Delivered (T)]]/Table110[[#This Row],[Hours Used]])/(Table110[[#This Row],[SOC (TPD)]]/24),"")</f>
        <v>0.52038122448979596</v>
      </c>
      <c r="J99" s="28"/>
      <c r="K99" s="28"/>
      <c r="L99" s="28"/>
      <c r="M99" s="25">
        <f>0.32+1.02+0.13+0.5-0.15-0.26</f>
        <v>1.5600000000000003</v>
      </c>
      <c r="N99" s="29">
        <v>4.2000000000000003E-2</v>
      </c>
      <c r="O99" s="84"/>
      <c r="P99" s="25"/>
      <c r="Q99" s="25"/>
      <c r="R99" s="70"/>
      <c r="S99" s="71"/>
      <c r="T99" s="30">
        <f>IF(Table110[[#This Row],[SKU]]="",0,24-Table110[[#This Row],[Legal Non-Operating Time]]-Table110[[#This Row],[No Demand Time]]-Table110[[#This Row],[Force Majeure]])</f>
        <v>24</v>
      </c>
      <c r="U99" s="26"/>
      <c r="V99" s="26"/>
      <c r="W99" s="26">
        <v>10.4</v>
      </c>
      <c r="X99" s="26"/>
      <c r="Y99" s="26"/>
      <c r="Z99" s="26"/>
      <c r="AA99" s="26"/>
      <c r="AB99" s="30">
        <f>Table110[[#This Row],[Hours Used]]-SUM(Table110[[#This Row],[Planned Maintenance]:[Start and Finish Production]])</f>
        <v>13.6</v>
      </c>
      <c r="AC99" s="26"/>
      <c r="AD99" s="26"/>
      <c r="AE99" s="26"/>
      <c r="AF99" s="26"/>
      <c r="AG99" s="26"/>
      <c r="AH99" s="26"/>
      <c r="AI99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5.1916190476190373E-2</v>
      </c>
      <c r="AJ99" s="24">
        <f ca="1">IFERROR(IF(Table110[[#This Row],[SKU]]="",0,Table110[[#This Row],[Quality Loss (T)]]/(Table110[[#This Row],[SOC (TPD)]]/24)),"")</f>
        <v>0.95510204081632655</v>
      </c>
      <c r="AK99" s="31">
        <f ca="1">IFERROR(IF(Table110[[#This Row],[SKU]]="",0,Table110[[#This Row],[Volume Delivered (T)]]/(Table110[[#This Row],[SOC (TPD)]]/24)),"")</f>
        <v>12.489149387755102</v>
      </c>
      <c r="AL99" s="31">
        <f ca="1">IFERROR(Table110[[#This Row],[Operating Time]]/Table110[[#This Row],[PRODUCTION HOURS]],"")</f>
        <v>0.91831980792316925</v>
      </c>
      <c r="AM99" s="32">
        <v>86</v>
      </c>
      <c r="AN99" s="32" t="s">
        <v>107</v>
      </c>
      <c r="AO99" s="32" t="s">
        <v>105</v>
      </c>
      <c r="AP99" s="32">
        <v>4</v>
      </c>
      <c r="AQ99" s="32">
        <v>0</v>
      </c>
      <c r="AR99" s="32"/>
      <c r="AS99" s="32" t="str">
        <f>IFERROR(SUMIFS(#REF!,#REF!,'Shift Wise-Data Sheet'!A:A,#REF!,"Samridhi Perk Line")/SUMIFS(#REF!,#REF!,'Shift Wise-Data Sheet'!A:A,#REF!,"Samridhi Perk Line"),"")</f>
        <v/>
      </c>
      <c r="AT99" s="32"/>
      <c r="AU99" s="32"/>
      <c r="AV99" s="211">
        <f>IFERROR(VLOOKUP(Table110[[#This Row],[Date]],'Overweight Data'!A97:G1192,6,FALSE),"")</f>
        <v>2.8121546961325988E-2</v>
      </c>
      <c r="AW99" s="221">
        <f ca="1">IFERROR(
   IF(
      OR(Table110[[#This Row],[Operating Time]]=0, (Table110[[#This Row],[Operating Time]]/IF(AD99&lt;=1,AD99+1,AD99))*60=0),
      1,
      ((Table110[[#This Row],[Operating Time]])/IF(AD99&lt;=1,AD99+1,AD99))*60
   ),
"_")</f>
        <v>749.34896326530611</v>
      </c>
      <c r="AX99" s="221">
        <f>COUNTIFS('Downtime Data'!A:A,Table110[[#This Row],[Date]])</f>
        <v>1</v>
      </c>
      <c r="AY99" s="219">
        <f>IFERROR((SUM(Table110[[#This Row],[Minor Stoppages]:[Material Shortages]])/Table110[[#This Row],['# Stops]])*60,"")</f>
        <v>0</v>
      </c>
      <c r="AZ99" s="219"/>
      <c r="BA99" s="33">
        <v>46138</v>
      </c>
    </row>
    <row r="100" spans="1:53" ht="20.149999999999999" customHeight="1" x14ac:dyDescent="0.35">
      <c r="A100" s="21">
        <v>46117</v>
      </c>
      <c r="B100" s="22" t="str">
        <f t="shared" si="2"/>
        <v>Sunday</v>
      </c>
      <c r="C100" s="22"/>
      <c r="D100" s="23" t="s">
        <v>106</v>
      </c>
      <c r="E100" s="24" cm="1">
        <f t="array" aca="1" ref="E100" ca="1">IFERROR(INDIRECT(D100),"")</f>
        <v>39.200000000000003</v>
      </c>
      <c r="F100" s="26">
        <v>31</v>
      </c>
      <c r="G100" s="26">
        <v>32.709504000000003</v>
      </c>
      <c r="H100" s="27">
        <f ca="1">IFERROR((Table110[[#This Row],[Plan]]/Table110[[#This Row],[Hours Used]])/(Table110[[#This Row],[SOC (TPD)]]/24),"")</f>
        <v>0.79081632653061218</v>
      </c>
      <c r="I100" s="27">
        <f ca="1">IFERROR((Table110[[#This Row],[Volume Delivered (T)]]/Table110[[#This Row],[Hours Used]])/(Table110[[#This Row],[SOC (TPD)]]/24),"")</f>
        <v>0.83442612244897951</v>
      </c>
      <c r="J100" s="28"/>
      <c r="K100" s="28"/>
      <c r="L100" s="28"/>
      <c r="M100" s="25">
        <f>0.4+1.33+0.17+0.48-0.24-0.54</f>
        <v>1.5999999999999996</v>
      </c>
      <c r="N100" s="29">
        <v>4.2000000000000003E-2</v>
      </c>
      <c r="O100" s="84"/>
      <c r="P100" s="25"/>
      <c r="Q100" s="25">
        <v>1.7</v>
      </c>
      <c r="R100" s="70"/>
      <c r="S100" s="71"/>
      <c r="T100" s="30">
        <f>IF(Table110[[#This Row],[SKU]]="",0,24-Table110[[#This Row],[Legal Non-Operating Time]]-Table110[[#This Row],[No Demand Time]]-Table110[[#This Row],[Force Majeure]])</f>
        <v>24</v>
      </c>
      <c r="U100" s="26"/>
      <c r="V100" s="26">
        <v>0.5</v>
      </c>
      <c r="W100" s="26"/>
      <c r="X100" s="26"/>
      <c r="Y100" s="26"/>
      <c r="Z100" s="26"/>
      <c r="AA100" s="26"/>
      <c r="AB100" s="30">
        <f>Table110[[#This Row],[Hours Used]]-SUM(Table110[[#This Row],[Planned Maintenance]:[Start and Finish Production]])</f>
        <v>23.5</v>
      </c>
      <c r="AC100" s="26">
        <v>1.5</v>
      </c>
      <c r="AD100" s="26"/>
      <c r="AE100" s="26">
        <v>0.75</v>
      </c>
      <c r="AF100" s="26"/>
      <c r="AG100" s="26"/>
      <c r="AH100" s="26"/>
      <c r="AI100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8.1393741496598906E-2</v>
      </c>
      <c r="AJ100" s="24">
        <f ca="1">IFERROR(IF(Table110[[#This Row],[SKU]]="",0,Table110[[#This Row],[Quality Loss (T)]]/(Table110[[#This Row],[SOC (TPD)]]/24)),"")</f>
        <v>0.97959183673469352</v>
      </c>
      <c r="AK100" s="31">
        <f ca="1">IFERROR(IF(Table110[[#This Row],[SKU]]="",0,Table110[[#This Row],[Volume Delivered (T)]]/(Table110[[#This Row],[SOC (TPD)]]/24)),"")</f>
        <v>20.026226938775508</v>
      </c>
      <c r="AL100" s="31">
        <f ca="1">IFERROR(Table110[[#This Row],[Operating Time]]/Table110[[#This Row],[PRODUCTION HOURS]],"")</f>
        <v>0.85217986973512805</v>
      </c>
      <c r="AM100" s="32">
        <v>84</v>
      </c>
      <c r="AN100" s="32" t="s">
        <v>105</v>
      </c>
      <c r="AO100" s="32" t="s">
        <v>105</v>
      </c>
      <c r="AP100" s="32">
        <v>0</v>
      </c>
      <c r="AQ100" s="32">
        <v>0</v>
      </c>
      <c r="AR100" s="32"/>
      <c r="AS100" s="32" t="str">
        <f>IFERROR(SUMIFS(#REF!,#REF!,'Shift Wise-Data Sheet'!A:A,#REF!,"Samridhi Perk Line")/SUMIFS(#REF!,#REF!,'Shift Wise-Data Sheet'!A:A,#REF!,"Samridhi Perk Line"),"")</f>
        <v/>
      </c>
      <c r="AT100" s="32"/>
      <c r="AU100" s="32"/>
      <c r="AV100" s="211">
        <f>IFERROR(VLOOKUP(Table110[[#This Row],[Date]],'Overweight Data'!A98:G1193,6,FALSE),"")</f>
        <v>3.5046040515653777E-2</v>
      </c>
      <c r="AW100" s="221">
        <f ca="1">IFERROR(
   IF(
      OR(Table110[[#This Row],[Operating Time]]=0, (Table110[[#This Row],[Operating Time]]/IF(AD100&lt;=1,AD100+1,AD100))*60=0),
      1,
      ((Table110[[#This Row],[Operating Time]])/IF(AD100&lt;=1,AD100+1,AD100))*60
   ),
"_")</f>
        <v>1201.5736163265306</v>
      </c>
      <c r="AX100" s="221">
        <f>COUNTIFS('Downtime Data'!A:A,Table110[[#This Row],[Date]])</f>
        <v>2</v>
      </c>
      <c r="AY100" s="219">
        <f>IFERROR((SUM(Table110[[#This Row],[Minor Stoppages]:[Material Shortages]])/Table110[[#This Row],['# Stops]])*60,"")</f>
        <v>67.5</v>
      </c>
      <c r="AZ100" s="219"/>
      <c r="BA100" s="33">
        <v>46138</v>
      </c>
    </row>
    <row r="101" spans="1:53" ht="20.149999999999999" customHeight="1" x14ac:dyDescent="0.35">
      <c r="A101" s="21">
        <v>46118</v>
      </c>
      <c r="B101" s="22" t="str">
        <f t="shared" si="2"/>
        <v>Monday</v>
      </c>
      <c r="C101" s="22"/>
      <c r="D101" s="23" t="s">
        <v>108</v>
      </c>
      <c r="E101" s="24" cm="1">
        <f t="array" aca="1" ref="E101" ca="1">IFERROR(INDIRECT(D101),"")</f>
        <v>34.200000000000003</v>
      </c>
      <c r="F101" s="26">
        <v>29</v>
      </c>
      <c r="G101" s="26">
        <v>31.859135999999999</v>
      </c>
      <c r="H101" s="27">
        <f ca="1">IFERROR((Table110[[#This Row],[Plan]]/Table110[[#This Row],[Hours Used]])/(Table110[[#This Row],[SOC (TPD)]]/24),"")</f>
        <v>0.8479532163742689</v>
      </c>
      <c r="I101" s="27">
        <f ca="1">IFERROR((Table110[[#This Row],[Volume Delivered (T)]]/Table110[[#This Row],[Hours Used]])/(Table110[[#This Row],[SOC (TPD)]]/24),"")</f>
        <v>0.93155368421052631</v>
      </c>
      <c r="J101" s="28"/>
      <c r="K101" s="28"/>
      <c r="L101" s="28"/>
      <c r="M101" s="25">
        <f>0.42+1.2+0.17+0.35-0.26-0.61</f>
        <v>1.2699999999999996</v>
      </c>
      <c r="N101" s="29">
        <v>4.2500000000000003E-2</v>
      </c>
      <c r="O101" s="84"/>
      <c r="P101" s="25"/>
      <c r="Q101" s="25">
        <v>1.1000000000000001</v>
      </c>
      <c r="R101" s="70"/>
      <c r="S101" s="71"/>
      <c r="T101" s="30">
        <f>IF(Table110[[#This Row],[SKU]]="",0,24-Table110[[#This Row],[Legal Non-Operating Time]]-Table110[[#This Row],[No Demand Time]]-Table110[[#This Row],[Force Majeure]])</f>
        <v>24</v>
      </c>
      <c r="U101" s="26">
        <v>0.8</v>
      </c>
      <c r="V101" s="26"/>
      <c r="W101" s="26"/>
      <c r="X101" s="26"/>
      <c r="Y101" s="26"/>
      <c r="Z101" s="26"/>
      <c r="AA101" s="26"/>
      <c r="AB101" s="30">
        <f>Table110[[#This Row],[Hours Used]]-SUM(Table110[[#This Row],[Planned Maintenance]:[Start and Finish Production]])</f>
        <v>23.2</v>
      </c>
      <c r="AC101" s="26"/>
      <c r="AD101" s="26"/>
      <c r="AE101" s="26"/>
      <c r="AF101" s="26"/>
      <c r="AG101" s="26"/>
      <c r="AH101" s="26"/>
      <c r="AI101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-1.6172163742689111E-2</v>
      </c>
      <c r="AJ101" s="24">
        <f ca="1">IFERROR(IF(Table110[[#This Row],[SKU]]="",0,Table110[[#This Row],[Quality Loss (T)]]/(Table110[[#This Row],[SOC (TPD)]]/24)),"")</f>
        <v>0.89122807017543826</v>
      </c>
      <c r="AK101" s="31">
        <f ca="1">IFERROR(IF(Table110[[#This Row],[SKU]]="",0,Table110[[#This Row],[Volume Delivered (T)]]/(Table110[[#This Row],[SOC (TPD)]]/24)),"")</f>
        <v>22.35728842105263</v>
      </c>
      <c r="AL101" s="31">
        <f ca="1">IFERROR(Table110[[#This Row],[Operating Time]]/Table110[[#This Row],[PRODUCTION HOURS]],"")</f>
        <v>0.96367622504537198</v>
      </c>
      <c r="AM101" s="32">
        <v>80</v>
      </c>
      <c r="AN101" s="32" t="s">
        <v>107</v>
      </c>
      <c r="AO101" s="32" t="s">
        <v>107</v>
      </c>
      <c r="AP101" s="32">
        <v>60</v>
      </c>
      <c r="AQ101" s="32">
        <v>60</v>
      </c>
      <c r="AR101" s="32"/>
      <c r="AS101" s="32" t="str">
        <f>IFERROR(SUMIFS(#REF!,#REF!,'Shift Wise-Data Sheet'!A:A,#REF!,"Samridhi Perk Line")/SUMIFS(#REF!,#REF!,'Shift Wise-Data Sheet'!A:A,#REF!,"Samridhi Perk Line"),"")</f>
        <v/>
      </c>
      <c r="AT101" s="32"/>
      <c r="AU101" s="32"/>
      <c r="AV101" s="211">
        <f>IFERROR(VLOOKUP(Table110[[#This Row],[Date]],'Overweight Data'!A99:G1194,6,FALSE),"")</f>
        <v>2.7066027894757261E-2</v>
      </c>
      <c r="AW101" s="221">
        <f ca="1">IFERROR(
   IF(
      OR(Table110[[#This Row],[Operating Time]]=0, (Table110[[#This Row],[Operating Time]]/IF(AD101&lt;=1,AD101+1,AD101))*60=0),
      1,
      ((Table110[[#This Row],[Operating Time]])/IF(AD101&lt;=1,AD101+1,AD101))*60
   ),
"_")</f>
        <v>1341.4373052631577</v>
      </c>
      <c r="AX101" s="221">
        <f>COUNTIFS('Downtime Data'!A:A,Table110[[#This Row],[Date]])</f>
        <v>0</v>
      </c>
      <c r="AY101" s="219" t="str">
        <f>IFERROR((SUM(Table110[[#This Row],[Minor Stoppages]:[Material Shortages]])/Table110[[#This Row],['# Stops]])*60,"")</f>
        <v/>
      </c>
      <c r="AZ101" s="219"/>
      <c r="BA101" s="33">
        <v>46138</v>
      </c>
    </row>
    <row r="102" spans="1:53" ht="20.149999999999999" customHeight="1" x14ac:dyDescent="0.35">
      <c r="A102" s="21">
        <v>46119</v>
      </c>
      <c r="B102" s="22" t="str">
        <f t="shared" si="2"/>
        <v>Tuesday</v>
      </c>
      <c r="C102" s="22"/>
      <c r="D102" s="23" t="s">
        <v>108</v>
      </c>
      <c r="E102" s="24" cm="1">
        <f t="array" aca="1" ref="E102" ca="1">IFERROR(INDIRECT(D102),"")</f>
        <v>34.200000000000003</v>
      </c>
      <c r="F102" s="26">
        <v>29</v>
      </c>
      <c r="G102" s="26">
        <v>28.976726000000003</v>
      </c>
      <c r="H102" s="27">
        <f ca="1">IFERROR((Table110[[#This Row],[Plan]]/Table110[[#This Row],[Hours Used]])/(Table110[[#This Row],[SOC (TPD)]]/24),"")</f>
        <v>0.8479532163742689</v>
      </c>
      <c r="I102" s="27">
        <f ca="1">IFERROR((Table110[[#This Row],[Volume Delivered (T)]]/Table110[[#This Row],[Hours Used]])/(Table110[[#This Row],[SOC (TPD)]]/24),"")</f>
        <v>0.84727269005847949</v>
      </c>
      <c r="J102" s="28"/>
      <c r="K102" s="28"/>
      <c r="L102" s="28"/>
      <c r="M102" s="25">
        <f>0.62+1.36+0.18+0.34-0.32-0.46</f>
        <v>1.7200000000000002</v>
      </c>
      <c r="N102" s="29">
        <v>4.2999999999999997E-2</v>
      </c>
      <c r="O102" s="84"/>
      <c r="P102" s="25"/>
      <c r="Q102" s="25"/>
      <c r="R102" s="70"/>
      <c r="S102" s="71"/>
      <c r="T102" s="30">
        <f>IF(Table110[[#This Row],[SKU]]="",0,24-Table110[[#This Row],[Legal Non-Operating Time]]-Table110[[#This Row],[No Demand Time]]-Table110[[#This Row],[Force Majeure]])</f>
        <v>24</v>
      </c>
      <c r="U102" s="26">
        <v>0.4</v>
      </c>
      <c r="V102" s="26"/>
      <c r="W102" s="26"/>
      <c r="X102" s="26">
        <v>1</v>
      </c>
      <c r="Y102" s="26"/>
      <c r="Z102" s="26"/>
      <c r="AA102" s="26"/>
      <c r="AB102" s="30">
        <f>Table110[[#This Row],[Hours Used]]-SUM(Table110[[#This Row],[Planned Maintenance]:[Start and Finish Production]])</f>
        <v>22.6</v>
      </c>
      <c r="AC102" s="26"/>
      <c r="AD102" s="26">
        <f>55/60</f>
        <v>0.91666666666666663</v>
      </c>
      <c r="AE102" s="26">
        <v>0.25</v>
      </c>
      <c r="AF102" s="26"/>
      <c r="AG102" s="26"/>
      <c r="AH102" s="26"/>
      <c r="AI102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-3.6076257309942385E-2</v>
      </c>
      <c r="AJ102" s="24">
        <f ca="1">IFERROR(IF(Table110[[#This Row],[SKU]]="",0,Table110[[#This Row],[Quality Loss (T)]]/(Table110[[#This Row],[SOC (TPD)]]/24)),"")</f>
        <v>1.2070175438596493</v>
      </c>
      <c r="AK102" s="31">
        <f ca="1">IFERROR(IF(Table110[[#This Row],[SKU]]="",0,Table110[[#This Row],[Volume Delivered (T)]]/(Table110[[#This Row],[SOC (TPD)]]/24)),"")</f>
        <v>20.334544561403511</v>
      </c>
      <c r="AL102" s="31">
        <f ca="1">IFERROR(Table110[[#This Row],[Operating Time]]/Table110[[#This Row],[PRODUCTION HOURS]],"")</f>
        <v>0.89975860891165971</v>
      </c>
      <c r="AM102" s="32">
        <v>97</v>
      </c>
      <c r="AN102" s="32" t="s">
        <v>107</v>
      </c>
      <c r="AO102" s="32" t="s">
        <v>107</v>
      </c>
      <c r="AP102" s="32">
        <v>0</v>
      </c>
      <c r="AQ102" s="32">
        <v>0</v>
      </c>
      <c r="AR102" s="32"/>
      <c r="AS102" s="32" t="str">
        <f>IFERROR(SUMIFS(#REF!,#REF!,'Shift Wise-Data Sheet'!A:A,#REF!,"Samridhi Perk Line")/SUMIFS(#REF!,#REF!,'Shift Wise-Data Sheet'!A:A,#REF!,"Samridhi Perk Line"),"")</f>
        <v/>
      </c>
      <c r="AT102" s="32"/>
      <c r="AU102" s="32"/>
      <c r="AV102" s="211">
        <f>IFERROR(VLOOKUP(Table110[[#This Row],[Date]],'Overweight Data'!A100:G1195,6,FALSE),"")</f>
        <v>3.573426573426583E-2</v>
      </c>
      <c r="AW102" s="221">
        <f ca="1">IFERROR(
   IF(
      OR(Table110[[#This Row],[Operating Time]]=0, (Table110[[#This Row],[Operating Time]]/IF(AD102&lt;=1,AD102+1,AD102))*60=0),
      1,
      ((Table110[[#This Row],[Operating Time]])/IF(AD102&lt;=1,AD102+1,AD102))*60
   ),
"_")</f>
        <v>636.55965583524039</v>
      </c>
      <c r="AX102" s="221">
        <f>COUNTIFS('Downtime Data'!A:A,Table110[[#This Row],[Date]])</f>
        <v>2</v>
      </c>
      <c r="AY102" s="219">
        <f>IFERROR((SUM(Table110[[#This Row],[Minor Stoppages]:[Material Shortages]])/Table110[[#This Row],['# Stops]])*60,"")</f>
        <v>34.999999999999993</v>
      </c>
      <c r="AZ102" s="219"/>
      <c r="BA102" s="33">
        <v>46138</v>
      </c>
    </row>
    <row r="103" spans="1:53" ht="20.149999999999999" customHeight="1" x14ac:dyDescent="0.35">
      <c r="A103" s="21">
        <v>46120</v>
      </c>
      <c r="B103" s="22" t="str">
        <f t="shared" si="2"/>
        <v>Wednesday</v>
      </c>
      <c r="C103" s="22"/>
      <c r="D103" s="23" t="s">
        <v>108</v>
      </c>
      <c r="E103" s="24" cm="1">
        <f t="array" aca="1" ref="E103" ca="1">IFERROR(INDIRECT(D103),"")</f>
        <v>34.200000000000003</v>
      </c>
      <c r="F103" s="26">
        <v>29</v>
      </c>
      <c r="G103" s="26">
        <v>23.361789999999999</v>
      </c>
      <c r="H103" s="27">
        <f ca="1">IFERROR((Table110[[#This Row],[Plan]]/Table110[[#This Row],[Hours Used]])/(Table110[[#This Row],[SOC (TPD)]]/24),"")</f>
        <v>0.8479532163742689</v>
      </c>
      <c r="I103" s="27">
        <f ca="1">IFERROR((Table110[[#This Row],[Volume Delivered (T)]]/Table110[[#This Row],[Hours Used]])/(Table110[[#This Row],[SOC (TPD)]]/24),"")</f>
        <v>0.68309327485380111</v>
      </c>
      <c r="J103" s="28"/>
      <c r="K103" s="28"/>
      <c r="L103" s="28"/>
      <c r="M103" s="25">
        <f>0.5+1.63+0.16+0.27-0.24-0.63</f>
        <v>1.6900000000000004</v>
      </c>
      <c r="N103" s="29">
        <v>4.2999999999999997E-2</v>
      </c>
      <c r="O103" s="84"/>
      <c r="P103" s="25"/>
      <c r="Q103" s="25"/>
      <c r="R103" s="70"/>
      <c r="S103" s="71"/>
      <c r="T103" s="30">
        <f>IF(Table110[[#This Row],[SKU]]="",0,24-Table110[[#This Row],[Legal Non-Operating Time]]-Table110[[#This Row],[No Demand Time]]-Table110[[#This Row],[Force Majeure]])</f>
        <v>24</v>
      </c>
      <c r="U103" s="26"/>
      <c r="V103" s="26">
        <v>0.5</v>
      </c>
      <c r="W103" s="26"/>
      <c r="X103" s="26"/>
      <c r="Y103" s="26"/>
      <c r="Z103" s="26"/>
      <c r="AA103" s="26"/>
      <c r="AB103" s="30">
        <f>Table110[[#This Row],[Hours Used]]-SUM(Table110[[#This Row],[Planned Maintenance]:[Start and Finish Production]])</f>
        <v>23.5</v>
      </c>
      <c r="AC103" s="26"/>
      <c r="AD103" s="26">
        <v>3.4</v>
      </c>
      <c r="AE103" s="26">
        <v>2.5</v>
      </c>
      <c r="AF103" s="26"/>
      <c r="AG103" s="26"/>
      <c r="AH103" s="26"/>
      <c r="AI103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6.5988304093570109E-3</v>
      </c>
      <c r="AJ103" s="24">
        <f ca="1">IFERROR(IF(Table110[[#This Row],[SKU]]="",0,Table110[[#This Row],[Quality Loss (T)]]/(Table110[[#This Row],[SOC (TPD)]]/24)),"")</f>
        <v>1.1859649122807019</v>
      </c>
      <c r="AK103" s="31">
        <f ca="1">IFERROR(IF(Table110[[#This Row],[SKU]]="",0,Table110[[#This Row],[Volume Delivered (T)]]/(Table110[[#This Row],[SOC (TPD)]]/24)),"")</f>
        <v>16.394238596491228</v>
      </c>
      <c r="AL103" s="31">
        <f ca="1">IFERROR(Table110[[#This Row],[Operating Time]]/Table110[[#This Row],[PRODUCTION HOURS]],"")</f>
        <v>0.69762717431877563</v>
      </c>
      <c r="AM103" s="32">
        <v>86</v>
      </c>
      <c r="AN103" s="32" t="s">
        <v>107</v>
      </c>
      <c r="AO103" s="32" t="s">
        <v>105</v>
      </c>
      <c r="AP103" s="32">
        <v>1</v>
      </c>
      <c r="AQ103" s="32">
        <v>1</v>
      </c>
      <c r="AR103" s="32"/>
      <c r="AS103" s="32" t="str">
        <f>IFERROR(SUMIFS(#REF!,#REF!,'Shift Wise-Data Sheet'!A:A,#REF!,"Samridhi Perk Line")/SUMIFS(#REF!,#REF!,'Shift Wise-Data Sheet'!A:A,#REF!,"Samridhi Perk Line"),"")</f>
        <v/>
      </c>
      <c r="AT103" s="32"/>
      <c r="AU103" s="32"/>
      <c r="AV103" s="211">
        <f>IFERROR(VLOOKUP(Table110[[#This Row],[Date]],'Overweight Data'!A101:G1196,6,FALSE),"")</f>
        <v>3.0821678321678314E-2</v>
      </c>
      <c r="AW103" s="221">
        <f ca="1">IFERROR(
   IF(
      OR(Table110[[#This Row],[Operating Time]]=0, (Table110[[#This Row],[Operating Time]]/IF(AD103&lt;=1,AD103+1,AD103))*60=0),
      1,
      ((Table110[[#This Row],[Operating Time]])/IF(AD103&lt;=1,AD103+1,AD103))*60
   ),
"_")</f>
        <v>289.31009287925696</v>
      </c>
      <c r="AX103" s="221">
        <f>COUNTIFS('Downtime Data'!A:A,Table110[[#This Row],[Date]])</f>
        <v>4</v>
      </c>
      <c r="AY103" s="219">
        <f>IFERROR((SUM(Table110[[#This Row],[Minor Stoppages]:[Material Shortages]])/Table110[[#This Row],['# Stops]])*60,"")</f>
        <v>88.5</v>
      </c>
      <c r="AZ103" s="219"/>
      <c r="BA103" s="33">
        <v>46138</v>
      </c>
    </row>
    <row r="104" spans="1:53" ht="20.149999999999999" customHeight="1" x14ac:dyDescent="0.35">
      <c r="A104" s="21">
        <v>46121</v>
      </c>
      <c r="B104" s="22" t="str">
        <f t="shared" si="2"/>
        <v>Thursday</v>
      </c>
      <c r="C104" s="22"/>
      <c r="D104" s="23" t="s">
        <v>108</v>
      </c>
      <c r="E104" s="24" cm="1">
        <f t="array" aca="1" ref="E104" ca="1">IFERROR(INDIRECT(D104),"")</f>
        <v>34.200000000000003</v>
      </c>
      <c r="F104" s="26">
        <v>29</v>
      </c>
      <c r="G104" s="26">
        <v>29.498428000000001</v>
      </c>
      <c r="H104" s="27">
        <f ca="1">IFERROR((Table110[[#This Row],[Plan]]/Table110[[#This Row],[Hours Used]])/(Table110[[#This Row],[SOC (TPD)]]/24),"")</f>
        <v>0.8479532163742689</v>
      </c>
      <c r="I104" s="27">
        <f ca="1">IFERROR((Table110[[#This Row],[Volume Delivered (T)]]/Table110[[#This Row],[Hours Used]])/(Table110[[#This Row],[SOC (TPD)]]/24),"")</f>
        <v>0.86252713450292395</v>
      </c>
      <c r="J104" s="28"/>
      <c r="K104" s="28"/>
      <c r="L104" s="28"/>
      <c r="M104" s="25">
        <f>0.5+1.38+0.17+0.5-0.3-0.5</f>
        <v>1.75</v>
      </c>
      <c r="N104" s="29">
        <v>4.2999999999999997E-2</v>
      </c>
      <c r="O104" s="84"/>
      <c r="P104" s="25"/>
      <c r="Q104" s="25"/>
      <c r="R104" s="70"/>
      <c r="S104" s="71"/>
      <c r="T104" s="30">
        <f>IF(Table110[[#This Row],[SKU]]="",0,24-Table110[[#This Row],[Legal Non-Operating Time]]-Table110[[#This Row],[No Demand Time]]-Table110[[#This Row],[Force Majeure]])</f>
        <v>24</v>
      </c>
      <c r="U104" s="26">
        <v>1</v>
      </c>
      <c r="V104" s="26"/>
      <c r="W104" s="26"/>
      <c r="X104" s="26"/>
      <c r="Y104" s="26"/>
      <c r="Z104" s="26"/>
      <c r="AA104" s="26"/>
      <c r="AB104" s="30">
        <f>Table110[[#This Row],[Hours Used]]-SUM(Table110[[#This Row],[Planned Maintenance]:[Start and Finish Production]])</f>
        <v>23</v>
      </c>
      <c r="AC104" s="26"/>
      <c r="AD104" s="26"/>
      <c r="AE104" s="26">
        <v>0.5</v>
      </c>
      <c r="AF104" s="26"/>
      <c r="AG104" s="26"/>
      <c r="AH104" s="26"/>
      <c r="AI104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0.19042619883040976</v>
      </c>
      <c r="AJ104" s="24">
        <f ca="1">IFERROR(IF(Table110[[#This Row],[SKU]]="",0,Table110[[#This Row],[Quality Loss (T)]]/(Table110[[#This Row],[SOC (TPD)]]/24)),"")</f>
        <v>1.2280701754385965</v>
      </c>
      <c r="AK104" s="31">
        <f ca="1">IFERROR(IF(Table110[[#This Row],[SKU]]="",0,Table110[[#This Row],[Volume Delivered (T)]]/(Table110[[#This Row],[SOC (TPD)]]/24)),"")</f>
        <v>20.700651228070175</v>
      </c>
      <c r="AL104" s="31">
        <f ca="1">IFERROR(Table110[[#This Row],[Operating Time]]/Table110[[#This Row],[PRODUCTION HOURS]],"")</f>
        <v>0.9000283142639206</v>
      </c>
      <c r="AM104" s="32">
        <v>90</v>
      </c>
      <c r="AN104" s="32" t="s">
        <v>107</v>
      </c>
      <c r="AO104" s="32" t="s">
        <v>107</v>
      </c>
      <c r="AP104" s="32">
        <v>0</v>
      </c>
      <c r="AQ104" s="32">
        <v>0</v>
      </c>
      <c r="AR104" s="32"/>
      <c r="AS104" s="32" t="str">
        <f>IFERROR(SUMIFS(#REF!,#REF!,'Shift Wise-Data Sheet'!A:A,#REF!,"Samridhi Perk Line")/SUMIFS(#REF!,#REF!,'Shift Wise-Data Sheet'!A:A,#REF!,"Samridhi Perk Line"),"")</f>
        <v/>
      </c>
      <c r="AT104" s="32"/>
      <c r="AU104" s="32"/>
      <c r="AV104" s="211">
        <f>IFERROR(VLOOKUP(Table110[[#This Row],[Date]],'Overweight Data'!A102:G1197,6,FALSE),"")</f>
        <v>2.1660839160839135E-2</v>
      </c>
      <c r="AW104" s="221">
        <f ca="1">IFERROR(
   IF(
      OR(Table110[[#This Row],[Operating Time]]=0, (Table110[[#This Row],[Operating Time]]/IF(AD104&lt;=1,AD104+1,AD104))*60=0),
      1,
      ((Table110[[#This Row],[Operating Time]])/IF(AD104&lt;=1,AD104+1,AD104))*60
   ),
"_")</f>
        <v>1242.0390736842105</v>
      </c>
      <c r="AX104" s="221">
        <f>COUNTIFS('Downtime Data'!A:A,Table110[[#This Row],[Date]])</f>
        <v>1</v>
      </c>
      <c r="AY104" s="219">
        <f>IFERROR((SUM(Table110[[#This Row],[Minor Stoppages]:[Material Shortages]])/Table110[[#This Row],['# Stops]])*60,"")</f>
        <v>30</v>
      </c>
      <c r="AZ104" s="219"/>
      <c r="BA104" s="33">
        <v>46138</v>
      </c>
    </row>
    <row r="105" spans="1:53" ht="20.149999999999999" customHeight="1" x14ac:dyDescent="0.35">
      <c r="A105" s="21">
        <v>46122</v>
      </c>
      <c r="B105" s="22" t="str">
        <f t="shared" si="2"/>
        <v>Friday</v>
      </c>
      <c r="C105" s="22"/>
      <c r="D105" s="23" t="s">
        <v>108</v>
      </c>
      <c r="E105" s="24" cm="1">
        <f t="array" aca="1" ref="E105" ca="1">IFERROR(INDIRECT(D105),"")</f>
        <v>34.200000000000003</v>
      </c>
      <c r="F105" s="26">
        <v>29</v>
      </c>
      <c r="G105" s="26">
        <v>32.200000000000003</v>
      </c>
      <c r="H105" s="27">
        <f ca="1">IFERROR((Table110[[#This Row],[Plan]]/Table110[[#This Row],[Hours Used]])/(Table110[[#This Row],[SOC (TPD)]]/24),"")</f>
        <v>0.8479532163742689</v>
      </c>
      <c r="I105" s="27">
        <f ca="1">IFERROR((Table110[[#This Row],[Volume Delivered (T)]]/Table110[[#This Row],[Hours Used]])/(Table110[[#This Row],[SOC (TPD)]]/24),"")</f>
        <v>0.94152046783625731</v>
      </c>
      <c r="J105" s="28"/>
      <c r="K105" s="28"/>
      <c r="L105" s="28"/>
      <c r="M105" s="25">
        <v>1.4</v>
      </c>
      <c r="N105" s="29">
        <v>4.2999999999999997E-2</v>
      </c>
      <c r="O105" s="84"/>
      <c r="P105" s="25"/>
      <c r="Q105" s="25"/>
      <c r="R105" s="70"/>
      <c r="S105" s="71"/>
      <c r="T105" s="30">
        <f>IF(Table110[[#This Row],[SKU]]="",0,24-Table110[[#This Row],[Legal Non-Operating Time]]-Table110[[#This Row],[No Demand Time]]-Table110[[#This Row],[Force Majeure]])</f>
        <v>24</v>
      </c>
      <c r="U105" s="26"/>
      <c r="V105" s="26"/>
      <c r="W105" s="26"/>
      <c r="X105" s="26"/>
      <c r="Y105" s="26"/>
      <c r="Z105" s="26"/>
      <c r="AA105" s="26"/>
      <c r="AB105" s="30">
        <f>Table110[[#This Row],[Hours Used]]-SUM(Table110[[#This Row],[Planned Maintenance]:[Start and Finish Production]])</f>
        <v>24</v>
      </c>
      <c r="AC105" s="26"/>
      <c r="AD105" s="26">
        <v>0.55000000000000004</v>
      </c>
      <c r="AE105" s="26"/>
      <c r="AF105" s="26"/>
      <c r="AG105" s="26"/>
      <c r="AH105" s="26"/>
      <c r="AI105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-4.2982456140351864E-2</v>
      </c>
      <c r="AJ105" s="24">
        <f ca="1">IFERROR(IF(Table110[[#This Row],[SKU]]="",0,Table110[[#This Row],[Quality Loss (T)]]/(Table110[[#This Row],[SOC (TPD)]]/24)),"")</f>
        <v>0.98245614035087714</v>
      </c>
      <c r="AK105" s="31">
        <f ca="1">IFERROR(IF(Table110[[#This Row],[SKU]]="",0,Table110[[#This Row],[Volume Delivered (T)]]/(Table110[[#This Row],[SOC (TPD)]]/24)),"")</f>
        <v>22.596491228070178</v>
      </c>
      <c r="AL105" s="31">
        <f ca="1">IFERROR(Table110[[#This Row],[Operating Time]]/Table110[[#This Row],[PRODUCTION HOURS]],"")</f>
        <v>0.94152046783625742</v>
      </c>
      <c r="AM105" s="32">
        <v>82</v>
      </c>
      <c r="AN105" s="32" t="s">
        <v>107</v>
      </c>
      <c r="AO105" s="32" t="s">
        <v>107</v>
      </c>
      <c r="AP105" s="32">
        <v>0</v>
      </c>
      <c r="AQ105" s="32">
        <v>0</v>
      </c>
      <c r="AR105" s="32"/>
      <c r="AS105" s="32" t="str">
        <f>IFERROR(SUMIFS(#REF!,#REF!,'Shift Wise-Data Sheet'!A:A,#REF!,"Samridhi Perk Line")/SUMIFS(#REF!,#REF!,'Shift Wise-Data Sheet'!A:A,#REF!,"Samridhi Perk Line"),"")</f>
        <v/>
      </c>
      <c r="AT105" s="32"/>
      <c r="AU105" s="32"/>
      <c r="AV105" s="211">
        <f>IFERROR(VLOOKUP(Table110[[#This Row],[Date]],'Overweight Data'!A103:G1198,6,FALSE),"")</f>
        <v>2.2365967365967365E-2</v>
      </c>
      <c r="AW105" s="221">
        <f ca="1">IFERROR(
   IF(
      OR(Table110[[#This Row],[Operating Time]]=0, (Table110[[#This Row],[Operating Time]]/IF(AD105&lt;=1,AD105+1,AD105))*60=0),
      1,
      ((Table110[[#This Row],[Operating Time]])/IF(AD105&lt;=1,AD105+1,AD105))*60
   ),
"_")</f>
        <v>874.70288624787781</v>
      </c>
      <c r="AX105" s="221">
        <f>COUNTIFS('Downtime Data'!A:A,Table110[[#This Row],[Date]])</f>
        <v>1</v>
      </c>
      <c r="AY105" s="219">
        <f>IFERROR((SUM(Table110[[#This Row],[Minor Stoppages]:[Material Shortages]])/Table110[[#This Row],['# Stops]])*60,"")</f>
        <v>33</v>
      </c>
      <c r="AZ105" s="219"/>
      <c r="BA105" s="33">
        <v>46138</v>
      </c>
    </row>
    <row r="106" spans="1:53" ht="20.149999999999999" customHeight="1" x14ac:dyDescent="0.35">
      <c r="A106" s="21">
        <v>46123</v>
      </c>
      <c r="B106" s="22" t="str">
        <f t="shared" si="2"/>
        <v>Saturday</v>
      </c>
      <c r="C106" s="22"/>
      <c r="D106" s="23" t="s">
        <v>108</v>
      </c>
      <c r="E106" s="24" cm="1">
        <f t="array" aca="1" ref="E106" ca="1">IFERROR(INDIRECT(D106),"")</f>
        <v>34.200000000000003</v>
      </c>
      <c r="F106" s="26">
        <v>29</v>
      </c>
      <c r="G106" s="26">
        <v>28.2</v>
      </c>
      <c r="H106" s="27">
        <f ca="1">IFERROR((Table110[[#This Row],[Plan]]/Table110[[#This Row],[Hours Used]])/(Table110[[#This Row],[SOC (TPD)]]/24),"")</f>
        <v>1.0175438596491226</v>
      </c>
      <c r="I106" s="27">
        <f ca="1">IFERROR((Table110[[#This Row],[Volume Delivered (T)]]/Table110[[#This Row],[Hours Used]])/(Table110[[#This Row],[SOC (TPD)]]/24),"")</f>
        <v>0.98947368421052628</v>
      </c>
      <c r="J106" s="28"/>
      <c r="K106" s="28"/>
      <c r="L106" s="28">
        <v>4</v>
      </c>
      <c r="M106" s="25"/>
      <c r="N106" s="29">
        <v>4.2999999999999997E-2</v>
      </c>
      <c r="O106" s="84"/>
      <c r="P106" s="25"/>
      <c r="Q106" s="25"/>
      <c r="R106" s="70"/>
      <c r="S106" s="71"/>
      <c r="T106" s="30">
        <f>IF(Table110[[#This Row],[SKU]]="",0,24-Table110[[#This Row],[Legal Non-Operating Time]]-Table110[[#This Row],[No Demand Time]]-Table110[[#This Row],[Force Majeure]])</f>
        <v>20</v>
      </c>
      <c r="U106" s="26"/>
      <c r="V106" s="26"/>
      <c r="W106" s="26"/>
      <c r="X106" s="26"/>
      <c r="Y106" s="26"/>
      <c r="Z106" s="26"/>
      <c r="AA106" s="26"/>
      <c r="AB106" s="30">
        <f>Table110[[#This Row],[Hours Used]]-SUM(Table110[[#This Row],[Planned Maintenance]:[Start and Finish Production]])</f>
        <v>20</v>
      </c>
      <c r="AC106" s="26"/>
      <c r="AD106" s="26"/>
      <c r="AE106" s="26"/>
      <c r="AF106" s="26"/>
      <c r="AG106" s="26"/>
      <c r="AH106" s="26"/>
      <c r="AI106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7.0175438596492043E-2</v>
      </c>
      <c r="AJ106" s="24">
        <f ca="1">IFERROR(IF(Table110[[#This Row],[SKU]]="",0,Table110[[#This Row],[Quality Loss (T)]]/(Table110[[#This Row],[SOC (TPD)]]/24)),"")</f>
        <v>0</v>
      </c>
      <c r="AK106" s="31">
        <f ca="1">IFERROR(IF(Table110[[#This Row],[SKU]]="",0,Table110[[#This Row],[Volume Delivered (T)]]/(Table110[[#This Row],[SOC (TPD)]]/24)),"")</f>
        <v>19.789473684210524</v>
      </c>
      <c r="AL106" s="31">
        <f ca="1">IFERROR(Table110[[#This Row],[Operating Time]]/Table110[[#This Row],[PRODUCTION HOURS]],"")</f>
        <v>0.98947368421052617</v>
      </c>
      <c r="AM106" s="32">
        <v>93</v>
      </c>
      <c r="AN106" s="32" t="s">
        <v>107</v>
      </c>
      <c r="AO106" s="32" t="s">
        <v>107</v>
      </c>
      <c r="AP106" s="32">
        <v>4</v>
      </c>
      <c r="AQ106" s="32">
        <v>0</v>
      </c>
      <c r="AR106" s="32"/>
      <c r="AS106" s="32" t="str">
        <f>IFERROR(SUMIFS(#REF!,#REF!,'Shift Wise-Data Sheet'!A:A,#REF!,"Samridhi Perk Line")/SUMIFS(#REF!,#REF!,'Shift Wise-Data Sheet'!A:A,#REF!,"Samridhi Perk Line"),"")</f>
        <v/>
      </c>
      <c r="AT106" s="32"/>
      <c r="AU106" s="32"/>
      <c r="AV106" s="211">
        <f>IFERROR(VLOOKUP(Table110[[#This Row],[Date]],'Overweight Data'!A104:G1199,6,FALSE),"")</f>
        <v>2.0947533129853618E-2</v>
      </c>
      <c r="AW106" s="221">
        <f ca="1">IFERROR(
   IF(
      OR(Table110[[#This Row],[Operating Time]]=0, (Table110[[#This Row],[Operating Time]]/IF(AD106&lt;=1,AD106+1,AD106))*60=0),
      1,
      ((Table110[[#This Row],[Operating Time]])/IF(AD106&lt;=1,AD106+1,AD106))*60
   ),
"_")</f>
        <v>1187.3684210526314</v>
      </c>
      <c r="AX106" s="221">
        <f>COUNTIFS('Downtime Data'!A:A,Table110[[#This Row],[Date]])</f>
        <v>0</v>
      </c>
      <c r="AY106" s="219" t="str">
        <f>IFERROR((SUM(Table110[[#This Row],[Minor Stoppages]:[Material Shortages]])/Table110[[#This Row],['# Stops]])*60,"")</f>
        <v/>
      </c>
      <c r="AZ106" s="219"/>
      <c r="BA106" s="33">
        <v>46138</v>
      </c>
    </row>
    <row r="107" spans="1:53" ht="20.149999999999999" customHeight="1" x14ac:dyDescent="0.35">
      <c r="A107" s="21">
        <v>46124</v>
      </c>
      <c r="B107" s="22" t="str">
        <f t="shared" si="2"/>
        <v>Sunday</v>
      </c>
      <c r="C107" s="22"/>
      <c r="D107" s="23" t="s">
        <v>108</v>
      </c>
      <c r="E107" s="24" cm="1">
        <f t="array" aca="1" ref="E107" ca="1">IFERROR(INDIRECT(D107),"")</f>
        <v>34.200000000000003</v>
      </c>
      <c r="F107" s="26">
        <v>29</v>
      </c>
      <c r="G107" s="26">
        <v>29.826888000000004</v>
      </c>
      <c r="H107" s="27">
        <f ca="1">IFERROR((Table110[[#This Row],[Plan]]/Table110[[#This Row],[Hours Used]])/(Table110[[#This Row],[SOC (TPD)]]/24),"")</f>
        <v>0.8479532163742689</v>
      </c>
      <c r="I107" s="27">
        <f ca="1">IFERROR((Table110[[#This Row],[Volume Delivered (T)]]/Table110[[#This Row],[Hours Used]])/(Table110[[#This Row],[SOC (TPD)]]/24),"")</f>
        <v>0.87213122807017551</v>
      </c>
      <c r="J107" s="28"/>
      <c r="K107" s="28"/>
      <c r="L107" s="28"/>
      <c r="M107" s="25">
        <v>0.6</v>
      </c>
      <c r="N107" s="29">
        <v>4.2999999999999997E-2</v>
      </c>
      <c r="O107" s="84"/>
      <c r="P107" s="25"/>
      <c r="Q107" s="25"/>
      <c r="R107" s="70"/>
      <c r="S107" s="71"/>
      <c r="T107" s="30">
        <f>IF(Table110[[#This Row],[SKU]]="",0,24-Table110[[#This Row],[Legal Non-Operating Time]]-Table110[[#This Row],[No Demand Time]]-Table110[[#This Row],[Force Majeure]])</f>
        <v>24</v>
      </c>
      <c r="U107" s="26"/>
      <c r="V107" s="26"/>
      <c r="W107" s="26"/>
      <c r="X107" s="26"/>
      <c r="Y107" s="26"/>
      <c r="Z107" s="26"/>
      <c r="AA107" s="26"/>
      <c r="AB107" s="30">
        <f>Table110[[#This Row],[Hours Used]]-SUM(Table110[[#This Row],[Planned Maintenance]:[Start and Finish Production]])</f>
        <v>24</v>
      </c>
      <c r="AC107" s="26"/>
      <c r="AD107" s="26"/>
      <c r="AE107" s="26"/>
      <c r="AF107" s="26"/>
      <c r="AG107" s="26"/>
      <c r="AH107" s="26"/>
      <c r="AI107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0.88259929824561334</v>
      </c>
      <c r="AJ107" s="24">
        <f ca="1">IFERROR(IF(Table110[[#This Row],[SKU]]="",0,Table110[[#This Row],[Quality Loss (T)]]/(Table110[[#This Row],[SOC (TPD)]]/24)),"")</f>
        <v>0.42105263157894735</v>
      </c>
      <c r="AK107" s="31">
        <f ca="1">IFERROR(IF(Table110[[#This Row],[SKU]]="",0,Table110[[#This Row],[Volume Delivered (T)]]/(Table110[[#This Row],[SOC (TPD)]]/24)),"")</f>
        <v>20.931149473684211</v>
      </c>
      <c r="AL107" s="31">
        <f ca="1">IFERROR(Table110[[#This Row],[Operating Time]]/Table110[[#This Row],[PRODUCTION HOURS]],"")</f>
        <v>0.87213122807017551</v>
      </c>
      <c r="AM107" s="32">
        <v>90</v>
      </c>
      <c r="AN107" s="32" t="s">
        <v>105</v>
      </c>
      <c r="AO107" s="32" t="s">
        <v>105</v>
      </c>
      <c r="AP107" s="32">
        <v>0</v>
      </c>
      <c r="AQ107" s="32">
        <v>0</v>
      </c>
      <c r="AR107" s="32"/>
      <c r="AS107" s="32" t="str">
        <f>IFERROR(SUMIFS(#REF!,#REF!,'Shift Wise-Data Sheet'!A:A,#REF!,"Samridhi Perk Line")/SUMIFS(#REF!,#REF!,'Shift Wise-Data Sheet'!A:A,#REF!,"Samridhi Perk Line"),"")</f>
        <v/>
      </c>
      <c r="AT107" s="32"/>
      <c r="AU107" s="32"/>
      <c r="AV107" s="211">
        <f>IFERROR(VLOOKUP(Table110[[#This Row],[Date]],'Overweight Data'!A105:G1200,6,FALSE),"")</f>
        <v>2.764272559852669E-2</v>
      </c>
      <c r="AW107" s="221">
        <f ca="1">IFERROR(
   IF(
      OR(Table110[[#This Row],[Operating Time]]=0, (Table110[[#This Row],[Operating Time]]/IF(AD107&lt;=1,AD107+1,AD107))*60=0),
      1,
      ((Table110[[#This Row],[Operating Time]])/IF(AD107&lt;=1,AD107+1,AD107))*60
   ),
"_")</f>
        <v>1255.8689684210526</v>
      </c>
      <c r="AX107" s="221">
        <f>COUNTIFS('Downtime Data'!A:A,Table110[[#This Row],[Date]])</f>
        <v>0</v>
      </c>
      <c r="AY107" s="219" t="str">
        <f>IFERROR((SUM(Table110[[#This Row],[Minor Stoppages]:[Material Shortages]])/Table110[[#This Row],['# Stops]])*60,"")</f>
        <v/>
      </c>
      <c r="AZ107" s="219"/>
      <c r="BA107" s="33">
        <v>46138</v>
      </c>
    </row>
    <row r="108" spans="1:53" ht="20.149999999999999" customHeight="1" x14ac:dyDescent="0.35">
      <c r="A108" s="21">
        <v>46125</v>
      </c>
      <c r="B108" s="22" t="str">
        <f t="shared" si="2"/>
        <v>Monday</v>
      </c>
      <c r="C108" s="22"/>
      <c r="D108" s="23" t="s">
        <v>108</v>
      </c>
      <c r="E108" s="24" cm="1">
        <f t="array" aca="1" ref="E108" ca="1">IFERROR(INDIRECT(D108),"")</f>
        <v>34.200000000000003</v>
      </c>
      <c r="F108" s="26">
        <v>29.2</v>
      </c>
      <c r="G108" s="26">
        <v>28.278696000000004</v>
      </c>
      <c r="H108" s="27">
        <f ca="1">IFERROR((Table110[[#This Row],[Plan]]/Table110[[#This Row],[Hours Used]])/(Table110[[#This Row],[SOC (TPD)]]/24),"")</f>
        <v>0.85380116959064323</v>
      </c>
      <c r="I108" s="27">
        <f ca="1">IFERROR((Table110[[#This Row],[Volume Delivered (T)]]/Table110[[#This Row],[Hours Used]])/(Table110[[#This Row],[SOC (TPD)]]/24),"")</f>
        <v>0.82686245614035092</v>
      </c>
      <c r="J108" s="28"/>
      <c r="K108" s="28"/>
      <c r="L108" s="28"/>
      <c r="M108" s="25">
        <f>0.48+1.13+0.17+0.28-0.29-0.53</f>
        <v>1.2399999999999995</v>
      </c>
      <c r="N108" s="29">
        <v>4.8000000000000001E-2</v>
      </c>
      <c r="O108" s="84"/>
      <c r="P108" s="25"/>
      <c r="Q108" s="25"/>
      <c r="R108" s="70"/>
      <c r="S108" s="71"/>
      <c r="T108" s="30">
        <f>IF(Table110[[#This Row],[SKU]]="",0,24-Table110[[#This Row],[Legal Non-Operating Time]]-Table110[[#This Row],[No Demand Time]]-Table110[[#This Row],[Force Majeure]])</f>
        <v>24</v>
      </c>
      <c r="U108" s="26">
        <v>1</v>
      </c>
      <c r="V108" s="26"/>
      <c r="W108" s="26"/>
      <c r="X108" s="26"/>
      <c r="Y108" s="26"/>
      <c r="Z108" s="26"/>
      <c r="AA108" s="26"/>
      <c r="AB108" s="30">
        <f>Table110[[#This Row],[Hours Used]]-SUM(Table110[[#This Row],[Planned Maintenance]:[Start and Finish Production]])</f>
        <v>23</v>
      </c>
      <c r="AC108" s="26"/>
      <c r="AD108" s="26"/>
      <c r="AE108" s="26">
        <v>0.25</v>
      </c>
      <c r="AF108" s="26"/>
      <c r="AG108" s="26"/>
      <c r="AH108" s="26"/>
      <c r="AI108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0.67837520467836276</v>
      </c>
      <c r="AJ108" s="24">
        <f ca="1">IFERROR(IF(Table110[[#This Row],[SKU]]="",0,Table110[[#This Row],[Quality Loss (T)]]/(Table110[[#This Row],[SOC (TPD)]]/24)),"")</f>
        <v>0.87017543859649094</v>
      </c>
      <c r="AK108" s="31">
        <f ca="1">IFERROR(IF(Table110[[#This Row],[SKU]]="",0,Table110[[#This Row],[Volume Delivered (T)]]/(Table110[[#This Row],[SOC (TPD)]]/24)),"")</f>
        <v>19.844698947368421</v>
      </c>
      <c r="AL108" s="31">
        <f ca="1">IFERROR(Table110[[#This Row],[Operating Time]]/Table110[[#This Row],[PRODUCTION HOURS]],"")</f>
        <v>0.86281299771167053</v>
      </c>
      <c r="AM108" s="32">
        <v>84</v>
      </c>
      <c r="AN108" s="32" t="s">
        <v>107</v>
      </c>
      <c r="AO108" s="32" t="s">
        <v>107</v>
      </c>
      <c r="AP108" s="32">
        <v>46</v>
      </c>
      <c r="AQ108" s="32">
        <v>46</v>
      </c>
      <c r="AR108" s="32"/>
      <c r="AS108" s="32" t="str">
        <f>IFERROR(SUMIFS(#REF!,#REF!,'Shift Wise-Data Sheet'!A:A,#REF!,"Samridhi Perk Line")/SUMIFS(#REF!,#REF!,'Shift Wise-Data Sheet'!A:A,#REF!,"Samridhi Perk Line"),"")</f>
        <v/>
      </c>
      <c r="AT108" s="32"/>
      <c r="AU108" s="32"/>
      <c r="AV108" s="211">
        <f>IFERROR(VLOOKUP(Table110[[#This Row],[Date]],'Overweight Data'!A106:G1201,6,FALSE),"")</f>
        <v>2.0966850828729289E-2</v>
      </c>
      <c r="AW108" s="221">
        <f ca="1">IFERROR(
   IF(
      OR(Table110[[#This Row],[Operating Time]]=0, (Table110[[#This Row],[Operating Time]]/IF(AD108&lt;=1,AD108+1,AD108))*60=0),
      1,
      ((Table110[[#This Row],[Operating Time]])/IF(AD108&lt;=1,AD108+1,AD108))*60
   ),
"_")</f>
        <v>1190.6819368421052</v>
      </c>
      <c r="AX108" s="221">
        <f>COUNTIFS('Downtime Data'!A:A,Table110[[#This Row],[Date]])</f>
        <v>1</v>
      </c>
      <c r="AY108" s="219">
        <f>IFERROR((SUM(Table110[[#This Row],[Minor Stoppages]:[Material Shortages]])/Table110[[#This Row],['# Stops]])*60,"")</f>
        <v>15</v>
      </c>
      <c r="AZ108" s="219"/>
      <c r="BA108" s="33">
        <v>46138</v>
      </c>
    </row>
    <row r="109" spans="1:53" ht="20.149999999999999" customHeight="1" x14ac:dyDescent="0.35">
      <c r="A109" s="21">
        <v>46126</v>
      </c>
      <c r="B109" s="22" t="str">
        <f t="shared" si="2"/>
        <v>Tuesday</v>
      </c>
      <c r="C109" s="22"/>
      <c r="D109" s="23" t="s">
        <v>108</v>
      </c>
      <c r="E109" s="24" cm="1">
        <f t="array" aca="1" ref="E109" ca="1">IFERROR(INDIRECT(D109),"")</f>
        <v>34.200000000000003</v>
      </c>
      <c r="F109" s="26">
        <v>29.2</v>
      </c>
      <c r="G109" s="26">
        <v>30.227856000000003</v>
      </c>
      <c r="H109" s="27">
        <f ca="1">IFERROR((Table110[[#This Row],[Plan]]/Table110[[#This Row],[Hours Used]])/(Table110[[#This Row],[SOC (TPD)]]/24),"")</f>
        <v>0.85380116959064323</v>
      </c>
      <c r="I109" s="27">
        <f ca="1">IFERROR((Table110[[#This Row],[Volume Delivered (T)]]/Table110[[#This Row],[Hours Used]])/(Table110[[#This Row],[SOC (TPD)]]/24),"")</f>
        <v>0.88385543859649129</v>
      </c>
      <c r="J109" s="28"/>
      <c r="K109" s="28"/>
      <c r="L109" s="28"/>
      <c r="M109" s="25">
        <f>0.52+1.16+0.17+0.32-0.28-0.65</f>
        <v>1.2399999999999998</v>
      </c>
      <c r="N109" s="29">
        <v>4.8000000000000001E-2</v>
      </c>
      <c r="O109" s="84"/>
      <c r="P109" s="25"/>
      <c r="Q109" s="25"/>
      <c r="R109" s="70"/>
      <c r="S109" s="71"/>
      <c r="T109" s="30">
        <f>IF(Table110[[#This Row],[SKU]]="",0,24-Table110[[#This Row],[Legal Non-Operating Time]]-Table110[[#This Row],[No Demand Time]]-Table110[[#This Row],[Force Majeure]])</f>
        <v>24</v>
      </c>
      <c r="U109" s="26"/>
      <c r="V109" s="26">
        <v>1</v>
      </c>
      <c r="W109" s="26"/>
      <c r="X109" s="26"/>
      <c r="Y109" s="26"/>
      <c r="Z109" s="26"/>
      <c r="AA109" s="26"/>
      <c r="AB109" s="30">
        <f>Table110[[#This Row],[Hours Used]]-SUM(Table110[[#This Row],[Planned Maintenance]:[Start and Finish Production]])</f>
        <v>23</v>
      </c>
      <c r="AC109" s="26"/>
      <c r="AD109" s="26"/>
      <c r="AE109" s="26"/>
      <c r="AF109" s="26"/>
      <c r="AG109" s="26"/>
      <c r="AH109" s="26"/>
      <c r="AI109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0.30576467836257254</v>
      </c>
      <c r="AJ109" s="24">
        <f ca="1">IFERROR(IF(Table110[[#This Row],[SKU]]="",0,Table110[[#This Row],[Quality Loss (T)]]/(Table110[[#This Row],[SOC (TPD)]]/24)),"")</f>
        <v>0.87017543859649105</v>
      </c>
      <c r="AK109" s="31">
        <f ca="1">IFERROR(IF(Table110[[#This Row],[SKU]]="",0,Table110[[#This Row],[Volume Delivered (T)]]/(Table110[[#This Row],[SOC (TPD)]]/24)),"")</f>
        <v>21.212530526315792</v>
      </c>
      <c r="AL109" s="31">
        <f ca="1">IFERROR(Table110[[#This Row],[Operating Time]]/Table110[[#This Row],[PRODUCTION HOURS]],"")</f>
        <v>0.9222839359267736</v>
      </c>
      <c r="AM109" s="32">
        <v>83</v>
      </c>
      <c r="AN109" s="32" t="s">
        <v>107</v>
      </c>
      <c r="AO109" s="32" t="s">
        <v>107</v>
      </c>
      <c r="AP109" s="32">
        <v>0</v>
      </c>
      <c r="AQ109" s="32">
        <v>0</v>
      </c>
      <c r="AR109" s="32"/>
      <c r="AS109" s="32" t="str">
        <f>IFERROR(SUMIFS(#REF!,#REF!,'Shift Wise-Data Sheet'!A:A,#REF!,"Samridhi Perk Line")/SUMIFS(#REF!,#REF!,'Shift Wise-Data Sheet'!A:A,#REF!,"Samridhi Perk Line"),"")</f>
        <v/>
      </c>
      <c r="AT109" s="32"/>
      <c r="AU109" s="32"/>
      <c r="AV109" s="211">
        <f>IFERROR(VLOOKUP(Table110[[#This Row],[Date]],'Overweight Data'!A107:G1202,6,FALSE),"")</f>
        <v>2.9539594843462233E-2</v>
      </c>
      <c r="AW109" s="221">
        <f ca="1">IFERROR(
   IF(
      OR(Table110[[#This Row],[Operating Time]]=0, (Table110[[#This Row],[Operating Time]]/IF(AD109&lt;=1,AD109+1,AD109))*60=0),
      1,
      ((Table110[[#This Row],[Operating Time]])/IF(AD109&lt;=1,AD109+1,AD109))*60
   ),
"_")</f>
        <v>1272.7518315789475</v>
      </c>
      <c r="AX109" s="221">
        <f>COUNTIFS('Downtime Data'!A:A,Table110[[#This Row],[Date]])</f>
        <v>0</v>
      </c>
      <c r="AY109" s="219" t="str">
        <f>IFERROR((SUM(Table110[[#This Row],[Minor Stoppages]:[Material Shortages]])/Table110[[#This Row],['# Stops]])*60,"")</f>
        <v/>
      </c>
      <c r="AZ109" s="219"/>
      <c r="BA109" s="33">
        <v>46138</v>
      </c>
    </row>
    <row r="110" spans="1:53" ht="20.149999999999999" customHeight="1" x14ac:dyDescent="0.35">
      <c r="A110" s="21">
        <v>46127</v>
      </c>
      <c r="B110" s="22" t="str">
        <f t="shared" si="2"/>
        <v>Wednesday</v>
      </c>
      <c r="C110" s="22"/>
      <c r="D110" s="23" t="s">
        <v>108</v>
      </c>
      <c r="E110" s="24" cm="1">
        <f t="array" aca="1" ref="E110" ca="1">IFERROR(INDIRECT(D110),"")</f>
        <v>34.200000000000003</v>
      </c>
      <c r="F110" s="26">
        <v>29.2</v>
      </c>
      <c r="G110" s="26">
        <v>27.380880000000001</v>
      </c>
      <c r="H110" s="27">
        <f ca="1">IFERROR((Table110[[#This Row],[Plan]]/Table110[[#This Row],[Hours Used]])/(Table110[[#This Row],[SOC (TPD)]]/24),"")</f>
        <v>0.85380116959064323</v>
      </c>
      <c r="I110" s="27">
        <f ca="1">IFERROR((Table110[[#This Row],[Volume Delivered (T)]]/Table110[[#This Row],[Hours Used]])/(Table110[[#This Row],[SOC (TPD)]]/24),"")</f>
        <v>0.80061052631578944</v>
      </c>
      <c r="J110" s="28"/>
      <c r="K110" s="28"/>
      <c r="L110" s="28"/>
      <c r="M110" s="25">
        <f>0.52+1.19+0.16+0.34-0.23-0.53</f>
        <v>1.45</v>
      </c>
      <c r="N110" s="29">
        <v>4.8000000000000001E-2</v>
      </c>
      <c r="O110" s="84"/>
      <c r="P110" s="25"/>
      <c r="Q110" s="25"/>
      <c r="R110" s="70"/>
      <c r="S110" s="71"/>
      <c r="T110" s="30">
        <f>IF(Table110[[#This Row],[SKU]]="",0,24-Table110[[#This Row],[Legal Non-Operating Time]]-Table110[[#This Row],[No Demand Time]]-Table110[[#This Row],[Force Majeure]])</f>
        <v>24</v>
      </c>
      <c r="U110" s="26"/>
      <c r="V110" s="26"/>
      <c r="W110" s="26"/>
      <c r="X110" s="26"/>
      <c r="Y110" s="26"/>
      <c r="Z110" s="26"/>
      <c r="AA110" s="26"/>
      <c r="AB110" s="30">
        <f>Table110[[#This Row],[Hours Used]]-SUM(Table110[[#This Row],[Planned Maintenance]:[Start and Finish Production]])</f>
        <v>24</v>
      </c>
      <c r="AC110" s="26"/>
      <c r="AD110" s="26">
        <v>0.6</v>
      </c>
      <c r="AE110" s="26"/>
      <c r="AF110" s="26"/>
      <c r="AG110" s="26"/>
      <c r="AH110" s="26"/>
      <c r="AI110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1.0559345029239762</v>
      </c>
      <c r="AJ110" s="24">
        <f ca="1">IFERROR(IF(Table110[[#This Row],[SKU]]="",0,Table110[[#This Row],[Quality Loss (T)]]/(Table110[[#This Row],[SOC (TPD)]]/24)),"")</f>
        <v>1.0175438596491226</v>
      </c>
      <c r="AK110" s="31">
        <f ca="1">IFERROR(IF(Table110[[#This Row],[SKU]]="",0,Table110[[#This Row],[Volume Delivered (T)]]/(Table110[[#This Row],[SOC (TPD)]]/24)),"")</f>
        <v>19.214652631578947</v>
      </c>
      <c r="AL110" s="31">
        <f ca="1">IFERROR(Table110[[#This Row],[Operating Time]]/Table110[[#This Row],[PRODUCTION HOURS]],"")</f>
        <v>0.80061052631578944</v>
      </c>
      <c r="AM110" s="32">
        <v>76</v>
      </c>
      <c r="AN110" s="32" t="s">
        <v>107</v>
      </c>
      <c r="AO110" s="32" t="s">
        <v>105</v>
      </c>
      <c r="AP110" s="32">
        <v>3</v>
      </c>
      <c r="AQ110" s="32">
        <v>2</v>
      </c>
      <c r="AR110" s="32"/>
      <c r="AS110" s="32" t="str">
        <f>IFERROR(SUMIFS(#REF!,#REF!,'Shift Wise-Data Sheet'!A:A,#REF!,"Samridhi Perk Line")/SUMIFS(#REF!,#REF!,'Shift Wise-Data Sheet'!A:A,#REF!,"Samridhi Perk Line"),"")</f>
        <v/>
      </c>
      <c r="AT110" s="32"/>
      <c r="AU110" s="32"/>
      <c r="AV110" s="211">
        <f>IFERROR(VLOOKUP(Table110[[#This Row],[Date]],'Overweight Data'!A108:G1203,6,FALSE),"")</f>
        <v>2.8139963167587479E-2</v>
      </c>
      <c r="AW110" s="221">
        <f ca="1">IFERROR(
   IF(
      OR(Table110[[#This Row],[Operating Time]]=0, (Table110[[#This Row],[Operating Time]]/IF(AD110&lt;=1,AD110+1,AD110))*60=0),
      1,
      ((Table110[[#This Row],[Operating Time]])/IF(AD110&lt;=1,AD110+1,AD110))*60
   ),
"_")</f>
        <v>720.54947368421051</v>
      </c>
      <c r="AX110" s="221">
        <f>COUNTIFS('Downtime Data'!A:A,Table110[[#This Row],[Date]])</f>
        <v>2</v>
      </c>
      <c r="AY110" s="219">
        <f>IFERROR((SUM(Table110[[#This Row],[Minor Stoppages]:[Material Shortages]])/Table110[[#This Row],['# Stops]])*60,"")</f>
        <v>18</v>
      </c>
      <c r="AZ110" s="219"/>
      <c r="BA110" s="33">
        <v>46138</v>
      </c>
    </row>
    <row r="111" spans="1:53" ht="20.149999999999999" customHeight="1" x14ac:dyDescent="0.35">
      <c r="A111" s="21">
        <v>46128</v>
      </c>
      <c r="B111" s="22" t="str">
        <f t="shared" si="2"/>
        <v>Thursday</v>
      </c>
      <c r="C111" s="22"/>
      <c r="D111" s="23" t="s">
        <v>108</v>
      </c>
      <c r="E111" s="24" cm="1">
        <f t="array" aca="1" ref="E111" ca="1">IFERROR(INDIRECT(D111),"")</f>
        <v>34.200000000000003</v>
      </c>
      <c r="F111" s="25">
        <v>13.5</v>
      </c>
      <c r="G111" s="26">
        <v>12.110404000000001</v>
      </c>
      <c r="H111" s="27">
        <f ca="1">IFERROR((Table110[[#This Row],[Plan]]/Table110[[#This Row],[Hours Used]])/(Table110[[#This Row],[SOC (TPD)]]/24),"")</f>
        <v>0.39473684210526316</v>
      </c>
      <c r="I111" s="27">
        <f ca="1">IFERROR((Table110[[#This Row],[Volume Delivered (T)]]/Table110[[#This Row],[Hours Used]])/(Table110[[#This Row],[SOC (TPD)]]/24),"")</f>
        <v>0.35410538011695908</v>
      </c>
      <c r="J111" s="28"/>
      <c r="K111" s="28"/>
      <c r="L111" s="28"/>
      <c r="M111" s="25">
        <f>0.32+0.8+0.1+0.32-0.15-0.46</f>
        <v>0.93000000000000038</v>
      </c>
      <c r="N111" s="29">
        <v>4.8000000000000001E-2</v>
      </c>
      <c r="O111" s="84">
        <v>18.5</v>
      </c>
      <c r="P111" s="25"/>
      <c r="Q111" s="25"/>
      <c r="R111" s="70"/>
      <c r="S111" s="71"/>
      <c r="T111" s="30">
        <f>IF(Table110[[#This Row],[SKU]]="",0,24-Table110[[#This Row],[Legal Non-Operating Time]]-Table110[[#This Row],[No Demand Time]]-Table110[[#This Row],[Force Majeure]])</f>
        <v>24</v>
      </c>
      <c r="U111" s="26"/>
      <c r="V111" s="26"/>
      <c r="W111" s="26">
        <v>12</v>
      </c>
      <c r="X111" s="26"/>
      <c r="Y111" s="26"/>
      <c r="Z111" s="26"/>
      <c r="AA111" s="26"/>
      <c r="AB111" s="30">
        <f>Table110[[#This Row],[Hours Used]]-SUM(Table110[[#This Row],[Planned Maintenance]:[Start and Finish Production]])</f>
        <v>12</v>
      </c>
      <c r="AC111" s="26"/>
      <c r="AD111" s="26">
        <v>2</v>
      </c>
      <c r="AE111" s="26"/>
      <c r="AF111" s="26"/>
      <c r="AG111" s="26"/>
      <c r="AH111" s="26"/>
      <c r="AI111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0.28294643274853826</v>
      </c>
      <c r="AJ111" s="24">
        <f ca="1">IFERROR(IF(Table110[[#This Row],[SKU]]="",0,Table110[[#This Row],[Quality Loss (T)]]/(Table110[[#This Row],[SOC (TPD)]]/24)),"")</f>
        <v>0.65263157894736867</v>
      </c>
      <c r="AK111" s="31">
        <f ca="1">IFERROR(IF(Table110[[#This Row],[SKU]]="",0,Table110[[#This Row],[Volume Delivered (T)]]/(Table110[[#This Row],[SOC (TPD)]]/24)),"")</f>
        <v>8.4985291228070174</v>
      </c>
      <c r="AL111" s="31">
        <f ca="1">IFERROR(Table110[[#This Row],[Operating Time]]/Table110[[#This Row],[PRODUCTION HOURS]],"")</f>
        <v>0.70821076023391816</v>
      </c>
      <c r="AM111" s="32">
        <v>76</v>
      </c>
      <c r="AN111" s="32" t="s">
        <v>107</v>
      </c>
      <c r="AO111" s="32" t="s">
        <v>105</v>
      </c>
      <c r="AP111" s="32">
        <v>13</v>
      </c>
      <c r="AQ111" s="32">
        <v>12</v>
      </c>
      <c r="AR111" s="32"/>
      <c r="AS111" s="32" t="str">
        <f>IFERROR(SUMIFS(#REF!,#REF!,'Shift Wise-Data Sheet'!A:A,#REF!,"Samridhi Perk Line")/SUMIFS(#REF!,#REF!,'Shift Wise-Data Sheet'!A:A,#REF!,"Samridhi Perk Line"),"")</f>
        <v/>
      </c>
      <c r="AT111" s="32"/>
      <c r="AU111" s="32"/>
      <c r="AV111" s="211">
        <f>IFERROR(VLOOKUP(Table110[[#This Row],[Date]],'Overweight Data'!A109:G1204,6,FALSE),"")</f>
        <v>2.6519337016574596E-2</v>
      </c>
      <c r="AW111" s="221">
        <f ca="1">IFERROR(
   IF(
      OR(Table110[[#This Row],[Operating Time]]=0, (Table110[[#This Row],[Operating Time]]/IF(AD111&lt;=1,AD111+1,AD111))*60=0),
      1,
      ((Table110[[#This Row],[Operating Time]])/IF(AD111&lt;=1,AD111+1,AD111))*60
   ),
"_")</f>
        <v>254.95587368421053</v>
      </c>
      <c r="AX111" s="221">
        <f>COUNTIFS('Downtime Data'!A:A,Table110[[#This Row],[Date]])</f>
        <v>1</v>
      </c>
      <c r="AY111" s="219">
        <f>IFERROR((SUM(Table110[[#This Row],[Minor Stoppages]:[Material Shortages]])/Table110[[#This Row],['# Stops]])*60,"")</f>
        <v>120</v>
      </c>
      <c r="AZ111" s="219"/>
      <c r="BA111" s="33">
        <v>46138</v>
      </c>
    </row>
    <row r="112" spans="1:53" ht="20.149999999999999" customHeight="1" x14ac:dyDescent="0.35">
      <c r="A112" s="21">
        <v>46129</v>
      </c>
      <c r="B112" s="22" t="str">
        <f t="shared" si="2"/>
        <v>Friday</v>
      </c>
      <c r="C112" s="22"/>
      <c r="D112" s="23" t="s">
        <v>108</v>
      </c>
      <c r="E112" s="24" cm="1">
        <f t="array" aca="1" ref="E112" ca="1">IFERROR(INDIRECT(D112),"")</f>
        <v>34.200000000000003</v>
      </c>
      <c r="F112" s="25">
        <v>24.5</v>
      </c>
      <c r="G112" s="26">
        <v>23.328498</v>
      </c>
      <c r="H112" s="27">
        <f ca="1">IFERROR((Table110[[#This Row],[Plan]]/Table110[[#This Row],[Hours Used]])/(Table110[[#This Row],[SOC (TPD)]]/24),"")</f>
        <v>0.71637426900584789</v>
      </c>
      <c r="I112" s="27">
        <f ca="1">IFERROR((Table110[[#This Row],[Volume Delivered (T)]]/Table110[[#This Row],[Hours Used]])/(Table110[[#This Row],[SOC (TPD)]]/24),"")</f>
        <v>0.68211982456140352</v>
      </c>
      <c r="J112" s="28"/>
      <c r="K112" s="28"/>
      <c r="L112" s="28"/>
      <c r="M112" s="25">
        <f>0.54+1.41+0.16+0.27-0.3-0.71</f>
        <v>1.37</v>
      </c>
      <c r="N112" s="29">
        <v>4.5999999999999999E-2</v>
      </c>
      <c r="O112" s="84">
        <v>26.5</v>
      </c>
      <c r="P112" s="25"/>
      <c r="Q112" s="25"/>
      <c r="R112" s="70"/>
      <c r="S112" s="71"/>
      <c r="T112" s="30">
        <f>IF(Table110[[#This Row],[SKU]]="",0,24-Table110[[#This Row],[Legal Non-Operating Time]]-Table110[[#This Row],[No Demand Time]]-Table110[[#This Row],[Force Majeure]])</f>
        <v>24</v>
      </c>
      <c r="U112" s="26">
        <v>2</v>
      </c>
      <c r="V112" s="26"/>
      <c r="W112" s="26"/>
      <c r="X112" s="26"/>
      <c r="Y112" s="26"/>
      <c r="Z112" s="26"/>
      <c r="AA112" s="26"/>
      <c r="AB112" s="30">
        <f>Table110[[#This Row],[Hours Used]]-SUM(Table110[[#This Row],[Planned Maintenance]:[Start and Finish Production]])</f>
        <v>22</v>
      </c>
      <c r="AC112" s="26"/>
      <c r="AD112" s="26">
        <f>66/60</f>
        <v>1.1000000000000001</v>
      </c>
      <c r="AE112" s="26"/>
      <c r="AF112" s="26"/>
      <c r="AG112" s="26"/>
      <c r="AH112" s="26"/>
      <c r="AI112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1.1892402339181285</v>
      </c>
      <c r="AJ112" s="24">
        <f ca="1">IFERROR(IF(Table110[[#This Row],[SKU]]="",0,Table110[[#This Row],[Quality Loss (T)]]/(Table110[[#This Row],[SOC (TPD)]]/24)),"")</f>
        <v>0.96140350877192982</v>
      </c>
      <c r="AK112" s="31">
        <f ca="1">IFERROR(IF(Table110[[#This Row],[SKU]]="",0,Table110[[#This Row],[Volume Delivered (T)]]/(Table110[[#This Row],[SOC (TPD)]]/24)),"")</f>
        <v>16.370875789473683</v>
      </c>
      <c r="AL112" s="31">
        <f ca="1">IFERROR(Table110[[#This Row],[Operating Time]]/Table110[[#This Row],[PRODUCTION HOURS]],"")</f>
        <v>0.74413071770334926</v>
      </c>
      <c r="AM112" s="32">
        <v>78</v>
      </c>
      <c r="AN112" s="32" t="s">
        <v>107</v>
      </c>
      <c r="AO112" s="32" t="s">
        <v>105</v>
      </c>
      <c r="AP112" s="32">
        <v>0</v>
      </c>
      <c r="AQ112" s="32">
        <v>0</v>
      </c>
      <c r="AR112" s="32"/>
      <c r="AS112" s="32" t="str">
        <f>IFERROR(SUMIFS(#REF!,#REF!,'Shift Wise-Data Sheet'!A:A,#REF!,"Samridhi Perk Line")/SUMIFS(#REF!,#REF!,'Shift Wise-Data Sheet'!A:A,#REF!,"Samridhi Perk Line"),"")</f>
        <v/>
      </c>
      <c r="AT112" s="32"/>
      <c r="AU112" s="32"/>
      <c r="AV112" s="211">
        <f>IFERROR(VLOOKUP(Table110[[#This Row],[Date]],'Overweight Data'!A110:G1205,6,FALSE),"")</f>
        <v>2.4388111888111835E-2</v>
      </c>
      <c r="AW112" s="221">
        <f ca="1">IFERROR(
   IF(
      OR(Table110[[#This Row],[Operating Time]]=0, (Table110[[#This Row],[Operating Time]]/IF(AD112&lt;=1,AD112+1,AD112))*60=0),
      1,
      ((Table110[[#This Row],[Operating Time]])/IF(AD112&lt;=1,AD112+1,AD112))*60
   ),
"_")</f>
        <v>892.95686124401902</v>
      </c>
      <c r="AX112" s="221">
        <f>COUNTIFS('Downtime Data'!A:A,Table110[[#This Row],[Date]])</f>
        <v>1</v>
      </c>
      <c r="AY112" s="219">
        <f>IFERROR((SUM(Table110[[#This Row],[Minor Stoppages]:[Material Shortages]])/Table110[[#This Row],['# Stops]])*60,"")</f>
        <v>66</v>
      </c>
      <c r="AZ112" s="219"/>
      <c r="BA112" s="33">
        <v>46138</v>
      </c>
    </row>
    <row r="113" spans="1:53" ht="20.149999999999999" customHeight="1" x14ac:dyDescent="0.35">
      <c r="A113" s="21">
        <v>46130</v>
      </c>
      <c r="B113" s="22" t="str">
        <f t="shared" si="2"/>
        <v>Saturday</v>
      </c>
      <c r="C113" s="22"/>
      <c r="D113" s="23" t="s">
        <v>108</v>
      </c>
      <c r="E113" s="24" cm="1">
        <f t="array" aca="1" ref="E113" ca="1">IFERROR(INDIRECT(D113),"")</f>
        <v>34.200000000000003</v>
      </c>
      <c r="F113" s="25">
        <v>27.5</v>
      </c>
      <c r="G113" s="26">
        <v>27.9</v>
      </c>
      <c r="H113" s="27">
        <f ca="1">IFERROR((Table110[[#This Row],[Plan]]/Table110[[#This Row],[Hours Used]])/(Table110[[#This Row],[SOC (TPD)]]/24),"")</f>
        <v>0.80409356725146186</v>
      </c>
      <c r="I113" s="27">
        <f ca="1">IFERROR((Table110[[#This Row],[Volume Delivered (T)]]/Table110[[#This Row],[Hours Used]])/(Table110[[#This Row],[SOC (TPD)]]/24),"")</f>
        <v>0.8157894736842104</v>
      </c>
      <c r="J113" s="28"/>
      <c r="K113" s="28"/>
      <c r="L113" s="28"/>
      <c r="M113" s="25">
        <v>1.3</v>
      </c>
      <c r="N113" s="29">
        <v>4.3999999999999997E-2</v>
      </c>
      <c r="O113" s="84">
        <v>26.5</v>
      </c>
      <c r="P113" s="25"/>
      <c r="Q113" s="25"/>
      <c r="R113" s="70"/>
      <c r="S113" s="71"/>
      <c r="T113" s="30">
        <f>IF(Table110[[#This Row],[SKU]]="",0,24-Table110[[#This Row],[Legal Non-Operating Time]]-Table110[[#This Row],[No Demand Time]]-Table110[[#This Row],[Force Majeure]])</f>
        <v>24</v>
      </c>
      <c r="U113" s="26">
        <v>1</v>
      </c>
      <c r="V113" s="26"/>
      <c r="W113" s="26"/>
      <c r="X113" s="26"/>
      <c r="Y113" s="26"/>
      <c r="Z113" s="26"/>
      <c r="AA113" s="26"/>
      <c r="AB113" s="30">
        <f>Table110[[#This Row],[Hours Used]]-SUM(Table110[[#This Row],[Planned Maintenance]:[Start and Finish Production]])</f>
        <v>23</v>
      </c>
      <c r="AC113" s="26"/>
      <c r="AD113" s="26"/>
      <c r="AE113" s="26"/>
      <c r="AF113" s="26"/>
      <c r="AG113" s="26"/>
      <c r="AH113" s="26"/>
      <c r="AI113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0.83625730994152059</v>
      </c>
      <c r="AJ113" s="24">
        <f ca="1">IFERROR(IF(Table110[[#This Row],[SKU]]="",0,Table110[[#This Row],[Quality Loss (T)]]/(Table110[[#This Row],[SOC (TPD)]]/24)),"")</f>
        <v>0.91228070175438591</v>
      </c>
      <c r="AK113" s="31">
        <f ca="1">IFERROR(IF(Table110[[#This Row],[SKU]]="",0,Table110[[#This Row],[Volume Delivered (T)]]/(Table110[[#This Row],[SOC (TPD)]]/24)),"")</f>
        <v>19.578947368421051</v>
      </c>
      <c r="AL113" s="31">
        <f ca="1">IFERROR(Table110[[#This Row],[Operating Time]]/Table110[[#This Row],[PRODUCTION HOURS]],"")</f>
        <v>0.85125858123569786</v>
      </c>
      <c r="AM113" s="32">
        <v>80</v>
      </c>
      <c r="AN113" s="32" t="s">
        <v>107</v>
      </c>
      <c r="AO113" s="32" t="s">
        <v>105</v>
      </c>
      <c r="AP113" s="32">
        <v>0</v>
      </c>
      <c r="AQ113" s="32">
        <v>0</v>
      </c>
      <c r="AR113" s="32"/>
      <c r="AS113" s="32" t="str">
        <f>IFERROR(SUMIFS(#REF!,#REF!,'Shift Wise-Data Sheet'!A:A,#REF!,"Samridhi Perk Line")/SUMIFS(#REF!,#REF!,'Shift Wise-Data Sheet'!A:A,#REF!,"Samridhi Perk Line"),"")</f>
        <v/>
      </c>
      <c r="AT113" s="32"/>
      <c r="AU113" s="32"/>
      <c r="AV113" s="211">
        <f>IFERROR(VLOOKUP(Table110[[#This Row],[Date]],'Overweight Data'!A111:G1206,6,FALSE),"")</f>
        <v>1.6118881118881101E-2</v>
      </c>
      <c r="AW113" s="221">
        <f ca="1">IFERROR(
   IF(
      OR(Table110[[#This Row],[Operating Time]]=0, (Table110[[#This Row],[Operating Time]]/IF(AD113&lt;=1,AD113+1,AD113))*60=0),
      1,
      ((Table110[[#This Row],[Operating Time]])/IF(AD113&lt;=1,AD113+1,AD113))*60
   ),
"_")</f>
        <v>1174.7368421052631</v>
      </c>
      <c r="AX113" s="221">
        <f>COUNTIFS('Downtime Data'!A:A,Table110[[#This Row],[Date]])</f>
        <v>2</v>
      </c>
      <c r="AY113" s="219">
        <f>IFERROR((SUM(Table110[[#This Row],[Minor Stoppages]:[Material Shortages]])/Table110[[#This Row],['# Stops]])*60,"")</f>
        <v>0</v>
      </c>
      <c r="AZ113" s="219"/>
      <c r="BA113" s="33">
        <v>46138</v>
      </c>
    </row>
    <row r="114" spans="1:53" ht="20.149999999999999" customHeight="1" x14ac:dyDescent="0.35">
      <c r="A114" s="21">
        <v>46131</v>
      </c>
      <c r="B114" s="22" t="str">
        <f t="shared" si="2"/>
        <v>Sunday</v>
      </c>
      <c r="C114" s="22"/>
      <c r="D114" s="23" t="s">
        <v>108</v>
      </c>
      <c r="E114" s="24" cm="1">
        <f t="array" aca="1" ref="E114" ca="1">IFERROR(INDIRECT(D114),"")</f>
        <v>34.200000000000003</v>
      </c>
      <c r="F114" s="25">
        <v>33</v>
      </c>
      <c r="G114" s="26">
        <v>29.921830000000003</v>
      </c>
      <c r="H114" s="27">
        <f ca="1">IFERROR((Table110[[#This Row],[Plan]]/Table110[[#This Row],[Hours Used]])/(Table110[[#This Row],[SOC (TPD)]]/24),"")</f>
        <v>0.96491228070175439</v>
      </c>
      <c r="I114" s="27">
        <f ca="1">IFERROR((Table110[[#This Row],[Volume Delivered (T)]]/Table110[[#This Row],[Hours Used]])/(Table110[[#This Row],[SOC (TPD)]]/24),"")</f>
        <v>0.87490730994152055</v>
      </c>
      <c r="J114" s="28"/>
      <c r="K114" s="28"/>
      <c r="L114" s="28"/>
      <c r="M114" s="25">
        <v>1.3</v>
      </c>
      <c r="N114" s="29">
        <v>4.2999999999999997E-2</v>
      </c>
      <c r="O114" s="84">
        <v>26.5</v>
      </c>
      <c r="P114" s="25"/>
      <c r="Q114" s="25"/>
      <c r="R114" s="70"/>
      <c r="S114" s="71"/>
      <c r="T114" s="30">
        <f>IF(Table110[[#This Row],[SKU]]="",0,24-Table110[[#This Row],[Legal Non-Operating Time]]-Table110[[#This Row],[No Demand Time]]-Table110[[#This Row],[Force Majeure]])</f>
        <v>24</v>
      </c>
      <c r="U114" s="26"/>
      <c r="V114" s="26"/>
      <c r="W114" s="26"/>
      <c r="X114" s="26"/>
      <c r="Y114" s="26"/>
      <c r="Z114" s="26"/>
      <c r="AA114" s="26"/>
      <c r="AB114" s="30">
        <f>Table110[[#This Row],[Hours Used]]-SUM(Table110[[#This Row],[Planned Maintenance]:[Start and Finish Production]])</f>
        <v>24</v>
      </c>
      <c r="AC114" s="26"/>
      <c r="AD114" s="26"/>
      <c r="AE114" s="26"/>
      <c r="AF114" s="26"/>
      <c r="AG114" s="26">
        <v>2.2000000000000002</v>
      </c>
      <c r="AH114" s="26"/>
      <c r="AI114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-3.6685380116959244E-2</v>
      </c>
      <c r="AJ114" s="24">
        <f ca="1">IFERROR(IF(Table110[[#This Row],[SKU]]="",0,Table110[[#This Row],[Quality Loss (T)]]/(Table110[[#This Row],[SOC (TPD)]]/24)),"")</f>
        <v>0.91228070175438591</v>
      </c>
      <c r="AK114" s="31">
        <f ca="1">IFERROR(IF(Table110[[#This Row],[SKU]]="",0,Table110[[#This Row],[Volume Delivered (T)]]/(Table110[[#This Row],[SOC (TPD)]]/24)),"")</f>
        <v>20.997775438596491</v>
      </c>
      <c r="AL114" s="31">
        <f ca="1">IFERROR(Table110[[#This Row],[Operating Time]]/Table110[[#This Row],[PRODUCTION HOURS]],"")</f>
        <v>0.87490730994152044</v>
      </c>
      <c r="AM114" s="32">
        <v>101</v>
      </c>
      <c r="AN114" s="32" t="s">
        <v>107</v>
      </c>
      <c r="AO114" s="32" t="s">
        <v>105</v>
      </c>
      <c r="AP114" s="32">
        <v>3</v>
      </c>
      <c r="AQ114" s="32">
        <v>0</v>
      </c>
      <c r="AR114" s="32"/>
      <c r="AS114" s="32" t="str">
        <f>IFERROR(SUMIFS(#REF!,#REF!,'Shift Wise-Data Sheet'!A:A,#REF!,"Samridhi Perk Line")/SUMIFS(#REF!,#REF!,'Shift Wise-Data Sheet'!A:A,#REF!,"Samridhi Perk Line"),"")</f>
        <v/>
      </c>
      <c r="AT114" s="32"/>
      <c r="AU114" s="32"/>
      <c r="AV114" s="211">
        <f>IFERROR(VLOOKUP(Table110[[#This Row],[Date]],'Overweight Data'!A112:G1207,6,FALSE),"")</f>
        <v>1.6864801864801899E-2</v>
      </c>
      <c r="AW114" s="221">
        <f ca="1">IFERROR(
   IF(
      OR(Table110[[#This Row],[Operating Time]]=0, (Table110[[#This Row],[Operating Time]]/IF(AD114&lt;=1,AD114+1,AD114))*60=0),
      1,
      ((Table110[[#This Row],[Operating Time]])/IF(AD114&lt;=1,AD114+1,AD114))*60
   ),
"_")</f>
        <v>1259.8665263157895</v>
      </c>
      <c r="AX114" s="221">
        <f>COUNTIFS('Downtime Data'!A:A,Table110[[#This Row],[Date]])</f>
        <v>2</v>
      </c>
      <c r="AY114" s="219">
        <f>IFERROR((SUM(Table110[[#This Row],[Minor Stoppages]:[Material Shortages]])/Table110[[#This Row],['# Stops]])*60,"")</f>
        <v>66</v>
      </c>
      <c r="AZ114" s="219"/>
      <c r="BA114" s="33">
        <v>46138</v>
      </c>
    </row>
    <row r="115" spans="1:53" ht="20.149999999999999" customHeight="1" x14ac:dyDescent="0.35">
      <c r="A115" s="21">
        <v>46132</v>
      </c>
      <c r="B115" s="22" t="str">
        <f t="shared" si="2"/>
        <v>Monday</v>
      </c>
      <c r="C115" s="22"/>
      <c r="D115" s="23" t="s">
        <v>108</v>
      </c>
      <c r="E115" s="24" cm="1">
        <f t="array" aca="1" ref="E115" ca="1">IFERROR(INDIRECT(D115),"")</f>
        <v>34.200000000000003</v>
      </c>
      <c r="F115" s="25">
        <v>33</v>
      </c>
      <c r="G115" s="26">
        <v>28.5</v>
      </c>
      <c r="H115" s="27">
        <f ca="1">IFERROR((Table110[[#This Row],[Plan]]/Table110[[#This Row],[Hours Used]])/(Table110[[#This Row],[SOC (TPD)]]/24),"")</f>
        <v>0.96491228070175439</v>
      </c>
      <c r="I115" s="27">
        <f ca="1">IFERROR((Table110[[#This Row],[Volume Delivered (T)]]/Table110[[#This Row],[Hours Used]])/(Table110[[#This Row],[SOC (TPD)]]/24),"")</f>
        <v>0.83333333333333326</v>
      </c>
      <c r="J115" s="28"/>
      <c r="K115" s="28"/>
      <c r="L115" s="28"/>
      <c r="M115" s="25"/>
      <c r="N115" s="29">
        <v>0.04</v>
      </c>
      <c r="O115" s="84">
        <v>26.5</v>
      </c>
      <c r="P115" s="25"/>
      <c r="Q115" s="25"/>
      <c r="R115" s="70"/>
      <c r="S115" s="71"/>
      <c r="T115" s="30">
        <f>IF(Table110[[#This Row],[SKU]]="",0,24-Table110[[#This Row],[Legal Non-Operating Time]]-Table110[[#This Row],[No Demand Time]]-Table110[[#This Row],[Force Majeure]])</f>
        <v>24</v>
      </c>
      <c r="U115" s="26"/>
      <c r="V115" s="26"/>
      <c r="W115" s="26"/>
      <c r="X115" s="26"/>
      <c r="Y115" s="26"/>
      <c r="Z115" s="26"/>
      <c r="AA115" s="26"/>
      <c r="AB115" s="30">
        <f>Table110[[#This Row],[Hours Used]]-SUM(Table110[[#This Row],[Planned Maintenance]:[Start and Finish Production]])</f>
        <v>24</v>
      </c>
      <c r="AC115" s="26"/>
      <c r="AD115" s="26">
        <v>2.6</v>
      </c>
      <c r="AE115" s="26"/>
      <c r="AF115" s="26"/>
      <c r="AG115" s="26">
        <v>1.5</v>
      </c>
      <c r="AH115" s="26"/>
      <c r="AI115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-3.3333333333333805E-2</v>
      </c>
      <c r="AJ115" s="24">
        <f ca="1">IFERROR(IF(Table110[[#This Row],[SKU]]="",0,Table110[[#This Row],[Quality Loss (T)]]/(Table110[[#This Row],[SOC (TPD)]]/24)),"")</f>
        <v>0</v>
      </c>
      <c r="AK115" s="31">
        <f ca="1">IFERROR(IF(Table110[[#This Row],[SKU]]="",0,Table110[[#This Row],[Volume Delivered (T)]]/(Table110[[#This Row],[SOC (TPD)]]/24)),"")</f>
        <v>20</v>
      </c>
      <c r="AL115" s="31">
        <f ca="1">IFERROR(Table110[[#This Row],[Operating Time]]/Table110[[#This Row],[PRODUCTION HOURS]],"")</f>
        <v>0.83333333333333337</v>
      </c>
      <c r="AM115" s="32">
        <v>72</v>
      </c>
      <c r="AN115" s="32" t="s">
        <v>107</v>
      </c>
      <c r="AO115" s="32" t="s">
        <v>105</v>
      </c>
      <c r="AP115" s="32">
        <v>0</v>
      </c>
      <c r="AQ115" s="32">
        <v>0</v>
      </c>
      <c r="AR115" s="32"/>
      <c r="AS115" s="32" t="str">
        <f>IFERROR(SUMIFS(#REF!,#REF!,'Shift Wise-Data Sheet'!A:A,#REF!,"Samridhi Perk Line")/SUMIFS(#REF!,#REF!,'Shift Wise-Data Sheet'!A:A,#REF!,"Samridhi Perk Line"),"")</f>
        <v/>
      </c>
      <c r="AT115" s="32"/>
      <c r="AU115" s="32"/>
      <c r="AV115" s="211">
        <f>IFERROR(VLOOKUP(Table110[[#This Row],[Date]],'Overweight Data'!A113:G1208,6,FALSE),"")</f>
        <v>1.6497668997668965E-2</v>
      </c>
      <c r="AW115" s="221">
        <f ca="1">IFERROR(
   IF(
      OR(Table110[[#This Row],[Operating Time]]=0, (Table110[[#This Row],[Operating Time]]/IF(AD115&lt;=1,AD115+1,AD115))*60=0),
      1,
      ((Table110[[#This Row],[Operating Time]])/IF(AD115&lt;=1,AD115+1,AD115))*60
   ),
"_")</f>
        <v>461.53846153846149</v>
      </c>
      <c r="AX115" s="221">
        <f>COUNTIFS('Downtime Data'!A:A,Table110[[#This Row],[Date]])</f>
        <v>2</v>
      </c>
      <c r="AY115" s="219">
        <f>IFERROR((SUM(Table110[[#This Row],[Minor Stoppages]:[Material Shortages]])/Table110[[#This Row],['# Stops]])*60,"")</f>
        <v>122.99999999999999</v>
      </c>
      <c r="AZ115" s="219"/>
      <c r="BA115" s="33">
        <v>46138</v>
      </c>
    </row>
    <row r="116" spans="1:53" ht="20.149999999999999" customHeight="1" x14ac:dyDescent="0.35">
      <c r="A116" s="21">
        <v>46133</v>
      </c>
      <c r="B116" s="22" t="str">
        <f t="shared" si="2"/>
        <v>Tuesday</v>
      </c>
      <c r="C116" s="22"/>
      <c r="D116" s="23" t="s">
        <v>106</v>
      </c>
      <c r="E116" s="24" cm="1">
        <f t="array" aca="1" ref="E116" ca="1">IFERROR(INDIRECT(D116),"")</f>
        <v>39.200000000000003</v>
      </c>
      <c r="F116" s="25">
        <v>30</v>
      </c>
      <c r="G116" s="26">
        <f>25.898831+5.03</f>
        <v>30.928831000000002</v>
      </c>
      <c r="H116" s="27">
        <f ca="1">IFERROR((Table110[[#This Row],[Plan]]/Table110[[#This Row],[Hours Used]])/(Table110[[#This Row],[SOC (TPD)]]/24),"")</f>
        <v>0.76530612244897955</v>
      </c>
      <c r="I116" s="27">
        <f ca="1">IFERROR((Table110[[#This Row],[Volume Delivered (T)]]/Table110[[#This Row],[Hours Used]])/(Table110[[#This Row],[SOC (TPD)]]/24),"")</f>
        <v>0.78900079081632646</v>
      </c>
      <c r="J116" s="28"/>
      <c r="K116" s="28"/>
      <c r="L116" s="28"/>
      <c r="M116" s="25">
        <v>1.5</v>
      </c>
      <c r="N116" s="29">
        <v>3.9E-2</v>
      </c>
      <c r="O116" s="84">
        <v>26.5</v>
      </c>
      <c r="P116" s="25"/>
      <c r="Q116" s="25"/>
      <c r="R116" s="70"/>
      <c r="S116" s="71"/>
      <c r="T116" s="30">
        <f>IF(Table110[[#This Row],[SKU]]="",0,24-Table110[[#This Row],[Legal Non-Operating Time]]-Table110[[#This Row],[No Demand Time]]-Table110[[#This Row],[Force Majeure]])</f>
        <v>24</v>
      </c>
      <c r="U116" s="26">
        <v>1</v>
      </c>
      <c r="V116" s="26">
        <v>1</v>
      </c>
      <c r="W116" s="26"/>
      <c r="X116" s="26"/>
      <c r="Y116" s="26"/>
      <c r="Z116" s="26"/>
      <c r="AA116" s="26"/>
      <c r="AB116" s="30">
        <f>Table110[[#This Row],[Hours Used]]-SUM(Table110[[#This Row],[Planned Maintenance]:[Start and Finish Production]])</f>
        <v>22</v>
      </c>
      <c r="AC116" s="26"/>
      <c r="AD116" s="26"/>
      <c r="AE116" s="26">
        <v>0.8</v>
      </c>
      <c r="AF116" s="26"/>
      <c r="AG116" s="26">
        <v>1.1000000000000001</v>
      </c>
      <c r="AH116" s="26"/>
      <c r="AI116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8.1871224489796404E-2</v>
      </c>
      <c r="AJ116" s="24">
        <f ca="1">IFERROR(IF(Table110[[#This Row],[SKU]]="",0,Table110[[#This Row],[Quality Loss (T)]]/(Table110[[#This Row],[SOC (TPD)]]/24)),"")</f>
        <v>0.91836734693877542</v>
      </c>
      <c r="AK116" s="31">
        <f ca="1">IFERROR(IF(Table110[[#This Row],[SKU]]="",0,Table110[[#This Row],[Volume Delivered (T)]]/(Table110[[#This Row],[SOC (TPD)]]/24)),"")</f>
        <v>18.936018979591836</v>
      </c>
      <c r="AL116" s="31">
        <f ca="1">IFERROR(Table110[[#This Row],[Operating Time]]/Table110[[#This Row],[PRODUCTION HOURS]],"")</f>
        <v>0.86072813543599258</v>
      </c>
      <c r="AM116" s="32">
        <v>80</v>
      </c>
      <c r="AN116" s="32" t="s">
        <v>107</v>
      </c>
      <c r="AO116" s="32" t="s">
        <v>105</v>
      </c>
      <c r="AP116" s="32">
        <v>18</v>
      </c>
      <c r="AQ116" s="32">
        <v>14</v>
      </c>
      <c r="AR116" s="32"/>
      <c r="AS116" s="32" t="str">
        <f>IFERROR(SUMIFS(#REF!,#REF!,'Shift Wise-Data Sheet'!A:A,#REF!,"Samridhi Perk Line")/SUMIFS(#REF!,#REF!,'Shift Wise-Data Sheet'!A:A,#REF!,"Samridhi Perk Line"),"")</f>
        <v/>
      </c>
      <c r="AT116" s="32"/>
      <c r="AU116" s="32"/>
      <c r="AV116" s="211">
        <f>IFERROR(VLOOKUP(Table110[[#This Row],[Date]],'Overweight Data'!A114:G1209,6,FALSE),"")</f>
        <v>2.3698952980720896E-2</v>
      </c>
      <c r="AW116" s="221">
        <f ca="1">IFERROR(
   IF(
      OR(Table110[[#This Row],[Operating Time]]=0, (Table110[[#This Row],[Operating Time]]/IF(AD116&lt;=1,AD116+1,AD116))*60=0),
      1,
      ((Table110[[#This Row],[Operating Time]])/IF(AD116&lt;=1,AD116+1,AD116))*60
   ),
"_")</f>
        <v>1136.1611387755102</v>
      </c>
      <c r="AX116" s="221">
        <f>COUNTIFS('Downtime Data'!A:A,Table110[[#This Row],[Date]])</f>
        <v>1</v>
      </c>
      <c r="AY116" s="219">
        <f>IFERROR((SUM(Table110[[#This Row],[Minor Stoppages]:[Material Shortages]])/Table110[[#This Row],['# Stops]])*60,"")</f>
        <v>114.00000000000001</v>
      </c>
      <c r="AZ116" s="219"/>
      <c r="BA116" s="33">
        <v>46138</v>
      </c>
    </row>
    <row r="117" spans="1:53" ht="20.149999999999999" customHeight="1" x14ac:dyDescent="0.35">
      <c r="A117" s="21">
        <v>46134</v>
      </c>
      <c r="B117" s="22" t="str">
        <f t="shared" si="2"/>
        <v>Wednesday</v>
      </c>
      <c r="C117" s="22"/>
      <c r="D117" s="23" t="s">
        <v>106</v>
      </c>
      <c r="E117" s="24" cm="1">
        <f t="array" aca="1" ref="E117" ca="1">IFERROR(INDIRECT(D117),"")</f>
        <v>39.200000000000003</v>
      </c>
      <c r="F117" s="25">
        <v>33</v>
      </c>
      <c r="G117" s="26">
        <v>26.594889000000002</v>
      </c>
      <c r="H117" s="27">
        <f ca="1">IFERROR((Table110[[#This Row],[Plan]]/Table110[[#This Row],[Hours Used]])/(Table110[[#This Row],[SOC (TPD)]]/24),"")</f>
        <v>0.84183673469387743</v>
      </c>
      <c r="I117" s="27">
        <f ca="1">IFERROR((Table110[[#This Row],[Volume Delivered (T)]]/Table110[[#This Row],[Hours Used]])/(Table110[[#This Row],[SOC (TPD)]]/24),"")</f>
        <v>0.6784410459183674</v>
      </c>
      <c r="J117" s="28"/>
      <c r="K117" s="28"/>
      <c r="L117" s="28"/>
      <c r="M117" s="25">
        <v>1.4</v>
      </c>
      <c r="N117" s="29">
        <v>3.6999999999999998E-2</v>
      </c>
      <c r="O117" s="84">
        <v>26</v>
      </c>
      <c r="P117" s="25"/>
      <c r="Q117" s="25"/>
      <c r="R117" s="70"/>
      <c r="S117" s="71"/>
      <c r="T117" s="30">
        <f>IF(Table110[[#This Row],[SKU]]="",0,24-Table110[[#This Row],[Legal Non-Operating Time]]-Table110[[#This Row],[No Demand Time]]-Table110[[#This Row],[Force Majeure]])</f>
        <v>24</v>
      </c>
      <c r="U117" s="26"/>
      <c r="V117" s="26"/>
      <c r="W117" s="26"/>
      <c r="X117" s="26"/>
      <c r="Y117" s="26"/>
      <c r="Z117" s="26"/>
      <c r="AA117" s="26"/>
      <c r="AB117" s="30">
        <f>Table110[[#This Row],[Hours Used]]-SUM(Table110[[#This Row],[Planned Maintenance]:[Start and Finish Production]])</f>
        <v>24</v>
      </c>
      <c r="AC117" s="26"/>
      <c r="AD117" s="26">
        <v>2</v>
      </c>
      <c r="AE117" s="26">
        <v>2.5</v>
      </c>
      <c r="AF117" s="26"/>
      <c r="AG117" s="26">
        <v>2.2000000000000002</v>
      </c>
      <c r="AH117" s="26"/>
      <c r="AI117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5.342401360544239E-2</v>
      </c>
      <c r="AJ117" s="24">
        <f ca="1">IFERROR(IF(Table110[[#This Row],[SKU]]="",0,Table110[[#This Row],[Quality Loss (T)]]/(Table110[[#This Row],[SOC (TPD)]]/24)),"")</f>
        <v>0.85714285714285698</v>
      </c>
      <c r="AK117" s="31">
        <f ca="1">IFERROR(IF(Table110[[#This Row],[SKU]]="",0,Table110[[#This Row],[Volume Delivered (T)]]/(Table110[[#This Row],[SOC (TPD)]]/24)),"")</f>
        <v>16.282585102040816</v>
      </c>
      <c r="AL117" s="31">
        <f ca="1">IFERROR(Table110[[#This Row],[Operating Time]]/Table110[[#This Row],[PRODUCTION HOURS]],"")</f>
        <v>0.67844104591836729</v>
      </c>
      <c r="AM117" s="32">
        <v>95</v>
      </c>
      <c r="AN117" s="32" t="s">
        <v>107</v>
      </c>
      <c r="AO117" s="32" t="s">
        <v>105</v>
      </c>
      <c r="AP117" s="32">
        <v>1</v>
      </c>
      <c r="AQ117" s="32">
        <v>0</v>
      </c>
      <c r="AR117" s="32"/>
      <c r="AS117" s="32" t="str">
        <f>IFERROR(SUMIFS(#REF!,#REF!,'Shift Wise-Data Sheet'!A:A,#REF!,"Samridhi Perk Line")/SUMIFS(#REF!,#REF!,'Shift Wise-Data Sheet'!A:A,#REF!,"Samridhi Perk Line"),"")</f>
        <v/>
      </c>
      <c r="AT117" s="32"/>
      <c r="AU117" s="32"/>
      <c r="AV117" s="211">
        <f>IFERROR(VLOOKUP(Table110[[#This Row],[Date]],'Overweight Data'!A115:G1210,6,FALSE),"")</f>
        <v>2.2338858195211777E-2</v>
      </c>
      <c r="AW117" s="221">
        <f ca="1">IFERROR(
   IF(
      OR(Table110[[#This Row],[Operating Time]]=0, (Table110[[#This Row],[Operating Time]]/IF(AD117&lt;=1,AD117+1,AD117))*60=0),
      1,
      ((Table110[[#This Row],[Operating Time]])/IF(AD117&lt;=1,AD117+1,AD117))*60
   ),
"_")</f>
        <v>488.47755306122446</v>
      </c>
      <c r="AX117" s="221">
        <f>COUNTIFS('Downtime Data'!A:A,Table110[[#This Row],[Date]])</f>
        <v>1</v>
      </c>
      <c r="AY117" s="219">
        <f>IFERROR((SUM(Table110[[#This Row],[Minor Stoppages]:[Material Shortages]])/Table110[[#This Row],['# Stops]])*60,"")</f>
        <v>402</v>
      </c>
      <c r="AZ117" s="219"/>
      <c r="BA117" s="33">
        <v>46138</v>
      </c>
    </row>
    <row r="118" spans="1:53" ht="20.149999999999999" customHeight="1" x14ac:dyDescent="0.35">
      <c r="A118" s="21">
        <v>46135</v>
      </c>
      <c r="B118" s="22" t="str">
        <f t="shared" si="2"/>
        <v>Thursday</v>
      </c>
      <c r="C118" s="22"/>
      <c r="D118" s="23" t="s">
        <v>106</v>
      </c>
      <c r="E118" s="24" cm="1">
        <f t="array" aca="1" ref="E118" ca="1">IFERROR(INDIRECT(D118),"")</f>
        <v>39.200000000000003</v>
      </c>
      <c r="F118" s="25">
        <v>33</v>
      </c>
      <c r="G118" s="26">
        <v>30.049741000000001</v>
      </c>
      <c r="H118" s="27">
        <f ca="1">IFERROR((Table110[[#This Row],[Plan]]/Table110[[#This Row],[Hours Used]])/(Table110[[#This Row],[SOC (TPD)]]/24),"")</f>
        <v>0.84183673469387743</v>
      </c>
      <c r="I118" s="27">
        <f ca="1">IFERROR((Table110[[#This Row],[Volume Delivered (T)]]/Table110[[#This Row],[Hours Used]])/(Table110[[#This Row],[SOC (TPD)]]/24),"")</f>
        <v>0.76657502551020407</v>
      </c>
      <c r="J118" s="28"/>
      <c r="K118" s="28"/>
      <c r="L118" s="28"/>
      <c r="M118" s="25">
        <v>1.4</v>
      </c>
      <c r="N118" s="29">
        <v>3.6999999999999998E-2</v>
      </c>
      <c r="O118" s="84">
        <v>26</v>
      </c>
      <c r="P118" s="25"/>
      <c r="Q118" s="25"/>
      <c r="R118" s="70"/>
      <c r="S118" s="71"/>
      <c r="T118" s="30">
        <f>IF(Table110[[#This Row],[SKU]]="",0,24-Table110[[#This Row],[Legal Non-Operating Time]]-Table110[[#This Row],[No Demand Time]]-Table110[[#This Row],[Force Majeure]])</f>
        <v>24</v>
      </c>
      <c r="U118" s="26"/>
      <c r="V118" s="26"/>
      <c r="W118" s="26"/>
      <c r="X118" s="26"/>
      <c r="Y118" s="26"/>
      <c r="Z118" s="26"/>
      <c r="AA118" s="26"/>
      <c r="AB118" s="30">
        <f>Table110[[#This Row],[Hours Used]]-SUM(Table110[[#This Row],[Planned Maintenance]:[Start and Finish Production]])</f>
        <v>24</v>
      </c>
      <c r="AC118" s="26"/>
      <c r="AD118" s="26">
        <v>1.6</v>
      </c>
      <c r="AE118" s="26">
        <v>2</v>
      </c>
      <c r="AF118" s="26"/>
      <c r="AG118" s="26"/>
      <c r="AH118" s="26"/>
      <c r="AI118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0.38168551020408142</v>
      </c>
      <c r="AJ118" s="24">
        <f ca="1">IFERROR(IF(Table110[[#This Row],[SKU]]="",0,Table110[[#This Row],[Quality Loss (T)]]/(Table110[[#This Row],[SOC (TPD)]]/24)),"")</f>
        <v>0.85714285714285698</v>
      </c>
      <c r="AK118" s="31">
        <f ca="1">IFERROR(IF(Table110[[#This Row],[SKU]]="",0,Table110[[#This Row],[Volume Delivered (T)]]/(Table110[[#This Row],[SOC (TPD)]]/24)),"")</f>
        <v>18.397800612244897</v>
      </c>
      <c r="AL118" s="31">
        <f ca="1">IFERROR(Table110[[#This Row],[Operating Time]]/Table110[[#This Row],[PRODUCTION HOURS]],"")</f>
        <v>0.76657502551020407</v>
      </c>
      <c r="AM118" s="32">
        <v>89</v>
      </c>
      <c r="AN118" s="32" t="s">
        <v>107</v>
      </c>
      <c r="AO118" s="32" t="s">
        <v>105</v>
      </c>
      <c r="AP118" s="32">
        <v>0</v>
      </c>
      <c r="AQ118" s="32">
        <v>0</v>
      </c>
      <c r="AR118" s="32"/>
      <c r="AS118" s="32" t="str">
        <f>IFERROR(SUMIFS(#REF!,#REF!,'Shift Wise-Data Sheet'!A:A,#REF!,"Samridhi Perk Line")/SUMIFS(#REF!,#REF!,'Shift Wise-Data Sheet'!A:A,#REF!,"Samridhi Perk Line"),"")</f>
        <v/>
      </c>
      <c r="AT118" s="32"/>
      <c r="AU118" s="32"/>
      <c r="AV118" s="211">
        <f>IFERROR(VLOOKUP(Table110[[#This Row],[Date]],'Overweight Data'!A116:G1211,6,FALSE),"")</f>
        <v>3.1381215469613193E-2</v>
      </c>
      <c r="AW118" s="221">
        <f ca="1">IFERROR(
   IF(
      OR(Table110[[#This Row],[Operating Time]]=0, (Table110[[#This Row],[Operating Time]]/IF(AD118&lt;=1,AD118+1,AD118))*60=0),
      1,
      ((Table110[[#This Row],[Operating Time]])/IF(AD118&lt;=1,AD118+1,AD118))*60
   ),
"_")</f>
        <v>689.91752295918354</v>
      </c>
      <c r="AX118" s="221">
        <f>COUNTIFS('Downtime Data'!A:A,Table110[[#This Row],[Date]])</f>
        <v>0</v>
      </c>
      <c r="AY118" s="219" t="str">
        <f>IFERROR((SUM(Table110[[#This Row],[Minor Stoppages]:[Material Shortages]])/Table110[[#This Row],['# Stops]])*60,"")</f>
        <v/>
      </c>
      <c r="AZ118" s="219"/>
      <c r="BA118" s="33">
        <v>46138</v>
      </c>
    </row>
    <row r="119" spans="1:53" ht="20.149999999999999" customHeight="1" x14ac:dyDescent="0.35">
      <c r="A119" s="21">
        <v>46136</v>
      </c>
      <c r="B119" s="22" t="str">
        <f t="shared" si="2"/>
        <v>Friday</v>
      </c>
      <c r="C119" s="22"/>
      <c r="D119" s="23" t="s">
        <v>106</v>
      </c>
      <c r="E119" s="24" cm="1">
        <f t="array" aca="1" ref="E119" ca="1">IFERROR(INDIRECT(D119),"")</f>
        <v>39.200000000000003</v>
      </c>
      <c r="F119" s="25">
        <v>33</v>
      </c>
      <c r="G119" s="26">
        <v>31.231839000000001</v>
      </c>
      <c r="H119" s="27">
        <f ca="1">IFERROR((Table110[[#This Row],[Plan]]/Table110[[#This Row],[Hours Used]])/(Table110[[#This Row],[SOC (TPD)]]/24),"")</f>
        <v>0.84183673469387743</v>
      </c>
      <c r="I119" s="27">
        <f ca="1">IFERROR((Table110[[#This Row],[Volume Delivered (T)]]/Table110[[#This Row],[Hours Used]])/(Table110[[#This Row],[SOC (TPD)]]/24),"")</f>
        <v>0.79673058673469377</v>
      </c>
      <c r="J119" s="28"/>
      <c r="K119" s="28"/>
      <c r="L119" s="28"/>
      <c r="M119" s="25">
        <v>1.3</v>
      </c>
      <c r="N119" s="29">
        <v>3.6999999999999998E-2</v>
      </c>
      <c r="O119" s="84">
        <v>24</v>
      </c>
      <c r="P119" s="25"/>
      <c r="Q119" s="25"/>
      <c r="R119" s="70"/>
      <c r="S119" s="71"/>
      <c r="T119" s="30">
        <f>IF(Table110[[#This Row],[SKU]]="",0,24-Table110[[#This Row],[Legal Non-Operating Time]]-Table110[[#This Row],[No Demand Time]]-Table110[[#This Row],[Force Majeure]])</f>
        <v>24</v>
      </c>
      <c r="U119" s="26"/>
      <c r="V119" s="26"/>
      <c r="W119" s="26"/>
      <c r="X119" s="26"/>
      <c r="Y119" s="26"/>
      <c r="Z119" s="26"/>
      <c r="AA119" s="26"/>
      <c r="AB119" s="30">
        <f>Table110[[#This Row],[Hours Used]]-SUM(Table110[[#This Row],[Planned Maintenance]:[Start and Finish Production]])</f>
        <v>24</v>
      </c>
      <c r="AC119" s="26">
        <v>0.5</v>
      </c>
      <c r="AD119" s="26">
        <v>1.5</v>
      </c>
      <c r="AE119" s="26">
        <v>0.5</v>
      </c>
      <c r="AF119" s="26"/>
      <c r="AG119" s="26"/>
      <c r="AH119" s="26"/>
      <c r="AI119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0.52751585034013715</v>
      </c>
      <c r="AJ119" s="24">
        <f ca="1">IFERROR(IF(Table110[[#This Row],[SKU]]="",0,Table110[[#This Row],[Quality Loss (T)]]/(Table110[[#This Row],[SOC (TPD)]]/24)),"")</f>
        <v>0.79591836734693866</v>
      </c>
      <c r="AK119" s="31">
        <f ca="1">IFERROR(IF(Table110[[#This Row],[SKU]]="",0,Table110[[#This Row],[Volume Delivered (T)]]/(Table110[[#This Row],[SOC (TPD)]]/24)),"")</f>
        <v>19.12153408163265</v>
      </c>
      <c r="AL119" s="31">
        <f ca="1">IFERROR(Table110[[#This Row],[Operating Time]]/Table110[[#This Row],[PRODUCTION HOURS]],"")</f>
        <v>0.79673058673469377</v>
      </c>
      <c r="AM119" s="32">
        <v>104</v>
      </c>
      <c r="AN119" s="32" t="s">
        <v>107</v>
      </c>
      <c r="AO119" s="32" t="s">
        <v>105</v>
      </c>
      <c r="AP119" s="32">
        <v>0</v>
      </c>
      <c r="AQ119" s="32">
        <v>0</v>
      </c>
      <c r="AR119" s="32"/>
      <c r="AS119" s="32" t="str">
        <f>IFERROR(SUMIFS(#REF!,#REF!,'Shift Wise-Data Sheet'!A:A,#REF!,"Samridhi Perk Line")/SUMIFS(#REF!,#REF!,'Shift Wise-Data Sheet'!A:A,#REF!,"Samridhi Perk Line"),"")</f>
        <v/>
      </c>
      <c r="AT119" s="32"/>
      <c r="AU119" s="32"/>
      <c r="AV119" s="211">
        <f>IFERROR(VLOOKUP(Table110[[#This Row],[Date]],'Overweight Data'!A117:G1212,6,FALSE),"")</f>
        <v>2.7790055248618842E-2</v>
      </c>
      <c r="AW119" s="221">
        <f ca="1">IFERROR(
   IF(
      OR(Table110[[#This Row],[Operating Time]]=0, (Table110[[#This Row],[Operating Time]]/IF(AD119&lt;=1,AD119+1,AD119))*60=0),
      1,
      ((Table110[[#This Row],[Operating Time]])/IF(AD119&lt;=1,AD119+1,AD119))*60
   ),
"_")</f>
        <v>764.86136326530607</v>
      </c>
      <c r="AX119" s="221">
        <f>COUNTIFS('Downtime Data'!A:A,Table110[[#This Row],[Date]])</f>
        <v>0</v>
      </c>
      <c r="AY119" s="219" t="str">
        <f>IFERROR((SUM(Table110[[#This Row],[Minor Stoppages]:[Material Shortages]])/Table110[[#This Row],['# Stops]])*60,"")</f>
        <v/>
      </c>
      <c r="AZ119" s="219"/>
      <c r="BA119" s="33">
        <v>46138</v>
      </c>
    </row>
    <row r="120" spans="1:53" ht="20.149999999999999" customHeight="1" x14ac:dyDescent="0.35">
      <c r="A120" s="21">
        <v>46137</v>
      </c>
      <c r="B120" s="22" t="str">
        <f t="shared" si="2"/>
        <v>Saturday</v>
      </c>
      <c r="C120" s="22"/>
      <c r="D120" s="23" t="s">
        <v>106</v>
      </c>
      <c r="E120" s="24" cm="1">
        <f t="array" aca="1" ref="E120" ca="1">IFERROR(INDIRECT(D120),"")</f>
        <v>39.200000000000003</v>
      </c>
      <c r="F120" s="25">
        <v>35</v>
      </c>
      <c r="G120" s="26">
        <v>29.562647999999999</v>
      </c>
      <c r="H120" s="27">
        <f ca="1">IFERROR((Table110[[#This Row],[Plan]]/Table110[[#This Row],[Hours Used]])/(Table110[[#This Row],[SOC (TPD)]]/24),"")</f>
        <v>0.89285714285714268</v>
      </c>
      <c r="I120" s="27">
        <f ca="1">IFERROR((Table110[[#This Row],[Volume Delivered (T)]]/Table110[[#This Row],[Hours Used]])/(Table110[[#This Row],[SOC (TPD)]]/24),"")</f>
        <v>0.75414918367346928</v>
      </c>
      <c r="J120" s="28"/>
      <c r="K120" s="28"/>
      <c r="L120" s="28"/>
      <c r="M120" s="25">
        <v>1.2</v>
      </c>
      <c r="N120" s="29">
        <v>3.6999999999999998E-2</v>
      </c>
      <c r="O120" s="84">
        <v>20</v>
      </c>
      <c r="P120" s="25"/>
      <c r="Q120" s="25"/>
      <c r="R120" s="70"/>
      <c r="S120" s="71"/>
      <c r="T120" s="30">
        <f>IF(Table110[[#This Row],[SKU]]="",0,24-Table110[[#This Row],[Legal Non-Operating Time]]-Table110[[#This Row],[No Demand Time]]-Table110[[#This Row],[Force Majeure]])</f>
        <v>24</v>
      </c>
      <c r="U120" s="26"/>
      <c r="V120" s="26"/>
      <c r="W120" s="26"/>
      <c r="X120" s="26"/>
      <c r="Y120" s="26"/>
      <c r="Z120" s="26"/>
      <c r="AA120" s="26"/>
      <c r="AB120" s="30">
        <f>Table110[[#This Row],[Hours Used]]-SUM(Table110[[#This Row],[Planned Maintenance]:[Start and Finish Production]])</f>
        <v>24</v>
      </c>
      <c r="AC120" s="26"/>
      <c r="AD120" s="26">
        <v>1.5</v>
      </c>
      <c r="AE120" s="26">
        <v>0.5</v>
      </c>
      <c r="AF120" s="26"/>
      <c r="AG120" s="26"/>
      <c r="AH120" s="26"/>
      <c r="AI120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1.0552419047619057</v>
      </c>
      <c r="AJ120" s="24">
        <f ca="1">IFERROR(IF(Table110[[#This Row],[SKU]]="",0,Table110[[#This Row],[Quality Loss (T)]]/(Table110[[#This Row],[SOC (TPD)]]/24)),"")</f>
        <v>0.73469387755102034</v>
      </c>
      <c r="AK120" s="31">
        <f ca="1">IFERROR(IF(Table110[[#This Row],[SKU]]="",0,Table110[[#This Row],[Volume Delivered (T)]]/(Table110[[#This Row],[SOC (TPD)]]/24)),"")</f>
        <v>18.099580408163263</v>
      </c>
      <c r="AL120" s="31">
        <f ca="1">IFERROR(Table110[[#This Row],[Operating Time]]/Table110[[#This Row],[PRODUCTION HOURS]],"")</f>
        <v>0.75414918367346928</v>
      </c>
      <c r="AM120" s="32">
        <v>91</v>
      </c>
      <c r="AN120" s="32" t="s">
        <v>107</v>
      </c>
      <c r="AO120" s="32" t="s">
        <v>105</v>
      </c>
      <c r="AP120" s="32">
        <v>0</v>
      </c>
      <c r="AQ120" s="32">
        <v>0</v>
      </c>
      <c r="AR120" s="32"/>
      <c r="AS120" s="32" t="str">
        <f>IFERROR(SUMIFS(#REF!,#REF!,'Shift Wise-Data Sheet'!A:A,#REF!,"Samridhi Perk Line")/SUMIFS(#REF!,#REF!,'Shift Wise-Data Sheet'!A:A,#REF!,"Samridhi Perk Line"),"")</f>
        <v/>
      </c>
      <c r="AT120" s="32"/>
      <c r="AU120" s="32"/>
      <c r="AV120" s="211">
        <f>IFERROR(VLOOKUP(Table110[[#This Row],[Date]],'Overweight Data'!A118:G1213,6,FALSE),"")</f>
        <v>2.4088397790055272E-2</v>
      </c>
      <c r="AW120" s="221">
        <f ca="1">IFERROR(
   IF(
      OR(Table110[[#This Row],[Operating Time]]=0, (Table110[[#This Row],[Operating Time]]/IF(AD120&lt;=1,AD120+1,AD120))*60=0),
      1,
      ((Table110[[#This Row],[Operating Time]])/IF(AD120&lt;=1,AD120+1,AD120))*60
   ),
"_")</f>
        <v>723.98321632653051</v>
      </c>
      <c r="AX120" s="221">
        <f>COUNTIFS('Downtime Data'!A:A,Table110[[#This Row],[Date]])</f>
        <v>0</v>
      </c>
      <c r="AY120" s="219" t="str">
        <f>IFERROR((SUM(Table110[[#This Row],[Minor Stoppages]:[Material Shortages]])/Table110[[#This Row],['# Stops]])*60,"")</f>
        <v/>
      </c>
      <c r="AZ120" s="219"/>
      <c r="BA120" s="33">
        <v>46138</v>
      </c>
    </row>
    <row r="121" spans="1:53" ht="20.149999999999999" customHeight="1" x14ac:dyDescent="0.35">
      <c r="A121" s="21">
        <v>46138</v>
      </c>
      <c r="B121" s="22" t="str">
        <f t="shared" si="2"/>
        <v>Sunday</v>
      </c>
      <c r="C121" s="22"/>
      <c r="D121" s="23" t="s">
        <v>106</v>
      </c>
      <c r="E121" s="24" cm="1">
        <f t="array" aca="1" ref="E121" ca="1">IFERROR(INDIRECT(D121),"")</f>
        <v>39.200000000000003</v>
      </c>
      <c r="F121" s="25">
        <v>33</v>
      </c>
      <c r="G121" s="26">
        <f>38.972064-5.03</f>
        <v>33.942064000000002</v>
      </c>
      <c r="H121" s="27">
        <f ca="1">IFERROR((Table110[[#This Row],[Plan]]/Table110[[#This Row],[Hours Used]])/(Table110[[#This Row],[SOC (TPD)]]/24),"")</f>
        <v>0.84183673469387743</v>
      </c>
      <c r="I121" s="27">
        <f ca="1">IFERROR((Table110[[#This Row],[Volume Delivered (T)]]/Table110[[#This Row],[Hours Used]])/(Table110[[#This Row],[SOC (TPD)]]/24),"")</f>
        <v>0.86586897959183673</v>
      </c>
      <c r="J121" s="28"/>
      <c r="K121" s="28"/>
      <c r="L121" s="28"/>
      <c r="M121" s="25">
        <v>1.3</v>
      </c>
      <c r="N121" s="29">
        <v>3.6999999999999998E-2</v>
      </c>
      <c r="O121" s="84">
        <v>32</v>
      </c>
      <c r="P121" s="25"/>
      <c r="Q121" s="25"/>
      <c r="R121" s="70"/>
      <c r="S121" s="71"/>
      <c r="T121" s="30">
        <f>IF(Table110[[#This Row],[SKU]]="",0,24-Table110[[#This Row],[Legal Non-Operating Time]]-Table110[[#This Row],[No Demand Time]]-Table110[[#This Row],[Force Majeure]])</f>
        <v>24</v>
      </c>
      <c r="U121" s="26"/>
      <c r="V121" s="26"/>
      <c r="W121" s="26"/>
      <c r="X121" s="26"/>
      <c r="Y121" s="26"/>
      <c r="Z121" s="26"/>
      <c r="AA121" s="26"/>
      <c r="AB121" s="30">
        <f>Table110[[#This Row],[Hours Used]]-SUM(Table110[[#This Row],[Planned Maintenance]:[Start and Finish Production]])</f>
        <v>24</v>
      </c>
      <c r="AC121" s="26"/>
      <c r="AD121" s="26"/>
      <c r="AE121" s="26">
        <v>1</v>
      </c>
      <c r="AF121" s="26"/>
      <c r="AG121" s="26">
        <v>1</v>
      </c>
      <c r="AH121" s="26"/>
      <c r="AI121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0.14107537414966012</v>
      </c>
      <c r="AJ121" s="24">
        <f ca="1">IFERROR(IF(Table110[[#This Row],[SKU]]="",0,Table110[[#This Row],[Quality Loss (T)]]/(Table110[[#This Row],[SOC (TPD)]]/24)),"")</f>
        <v>0.79591836734693866</v>
      </c>
      <c r="AK121" s="31">
        <f ca="1">IFERROR(IF(Table110[[#This Row],[SKU]]="",0,Table110[[#This Row],[Volume Delivered (T)]]/(Table110[[#This Row],[SOC (TPD)]]/24)),"")</f>
        <v>20.780855510204081</v>
      </c>
      <c r="AL121" s="31">
        <f ca="1">IFERROR(Table110[[#This Row],[Operating Time]]/Table110[[#This Row],[PRODUCTION HOURS]],"")</f>
        <v>0.86586897959183673</v>
      </c>
      <c r="AM121" s="32">
        <v>94</v>
      </c>
      <c r="AN121" s="32" t="s">
        <v>107</v>
      </c>
      <c r="AO121" s="32" t="s">
        <v>105</v>
      </c>
      <c r="AP121" s="32">
        <v>0</v>
      </c>
      <c r="AQ121" s="32">
        <v>0</v>
      </c>
      <c r="AR121" s="32"/>
      <c r="AS121" s="32" t="str">
        <f>IFERROR(SUMIFS(#REF!,#REF!,'Shift Wise-Data Sheet'!A:A,#REF!,"Samridhi Perk Line")/SUMIFS(#REF!,#REF!,'Shift Wise-Data Sheet'!A:A,#REF!,"Samridhi Perk Line"),"")</f>
        <v/>
      </c>
      <c r="AT121" s="32"/>
      <c r="AU121" s="32"/>
      <c r="AV121" s="211">
        <f>IFERROR(VLOOKUP(Table110[[#This Row],[Date]],'Overweight Data'!A119:G1214,6,FALSE),"")</f>
        <v>2.7808471454880284E-2</v>
      </c>
      <c r="AW121" s="221">
        <f ca="1">IFERROR(
   IF(
      OR(Table110[[#This Row],[Operating Time]]=0, (Table110[[#This Row],[Operating Time]]/IF(AD121&lt;=1,AD121+1,AD121))*60=0),
      1,
      ((Table110[[#This Row],[Operating Time]])/IF(AD121&lt;=1,AD121+1,AD121))*60
   ),
"_")</f>
        <v>1246.8513306122447</v>
      </c>
      <c r="AX121" s="221">
        <f>COUNTIFS('Downtime Data'!A:A,Table110[[#This Row],[Date]])</f>
        <v>0</v>
      </c>
      <c r="AY121" s="219" t="str">
        <f>IFERROR((SUM(Table110[[#This Row],[Minor Stoppages]:[Material Shortages]])/Table110[[#This Row],['# Stops]])*60,"")</f>
        <v/>
      </c>
      <c r="AZ121" s="219"/>
      <c r="BA121" s="33">
        <v>46138</v>
      </c>
    </row>
    <row r="122" spans="1:53" ht="20.149999999999999" customHeight="1" x14ac:dyDescent="0.35">
      <c r="A122" s="21">
        <v>46139</v>
      </c>
      <c r="B122" s="22" t="str">
        <f t="shared" si="2"/>
        <v>Monday</v>
      </c>
      <c r="C122" s="22"/>
      <c r="D122" s="23" t="s">
        <v>108</v>
      </c>
      <c r="E122" s="24" cm="1">
        <f t="array" aca="1" ref="E122" ca="1">IFERROR(INDIRECT(D122),"")</f>
        <v>34.200000000000003</v>
      </c>
      <c r="F122" s="25">
        <v>33</v>
      </c>
      <c r="G122" s="25">
        <v>33.4</v>
      </c>
      <c r="H122" s="27">
        <f ca="1">IFERROR((Table110[[#This Row],[Plan]]/Table110[[#This Row],[Hours Used]])/(Table110[[#This Row],[SOC (TPD)]]/24),"")</f>
        <v>0.96491228070175439</v>
      </c>
      <c r="I122" s="27">
        <f ca="1">IFERROR((Table110[[#This Row],[Volume Delivered (T)]]/Table110[[#This Row],[Hours Used]])/(Table110[[#This Row],[SOC (TPD)]]/24),"")</f>
        <v>0.97660818713450281</v>
      </c>
      <c r="J122" s="28"/>
      <c r="K122" s="28"/>
      <c r="L122" s="28"/>
      <c r="M122" s="25">
        <v>1</v>
      </c>
      <c r="N122" s="29">
        <v>3.9E-2</v>
      </c>
      <c r="O122" s="84">
        <v>25</v>
      </c>
      <c r="P122" s="25"/>
      <c r="Q122" s="25"/>
      <c r="R122" s="70"/>
      <c r="S122" s="71"/>
      <c r="T122" s="30">
        <f>IF(Table110[[#This Row],[SKU]]="",0,24-Table110[[#This Row],[Legal Non-Operating Time]]-Table110[[#This Row],[No Demand Time]]-Table110[[#This Row],[Force Majeure]])</f>
        <v>24</v>
      </c>
      <c r="U122" s="26"/>
      <c r="V122" s="26"/>
      <c r="W122" s="26"/>
      <c r="X122" s="26"/>
      <c r="Y122" s="26"/>
      <c r="Z122" s="26"/>
      <c r="AA122" s="26"/>
      <c r="AB122" s="30">
        <f>Table110[[#This Row],[Hours Used]]-SUM(Table110[[#This Row],[Planned Maintenance]:[Start and Finish Production]])</f>
        <v>24</v>
      </c>
      <c r="AC122" s="26"/>
      <c r="AD122" s="26"/>
      <c r="AE122" s="26"/>
      <c r="AF122" s="26"/>
      <c r="AG122" s="26"/>
      <c r="AH122" s="26"/>
      <c r="AI122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-4.6783625730993116E-2</v>
      </c>
      <c r="AJ122" s="24">
        <f ca="1">IFERROR(IF(Table110[[#This Row],[SKU]]="",0,Table110[[#This Row],[Quality Loss (T)]]/(Table110[[#This Row],[SOC (TPD)]]/24)),"")</f>
        <v>0.70175438596491224</v>
      </c>
      <c r="AK122" s="31">
        <f ca="1">IFERROR(IF(Table110[[#This Row],[SKU]]="",0,Table110[[#This Row],[Volume Delivered (T)]]/(Table110[[#This Row],[SOC (TPD)]]/24)),"")</f>
        <v>23.438596491228068</v>
      </c>
      <c r="AL122" s="31">
        <f ca="1">IFERROR(Table110[[#This Row],[Operating Time]]/Table110[[#This Row],[PRODUCTION HOURS]],"")</f>
        <v>0.97660818713450281</v>
      </c>
      <c r="AM122" s="32">
        <v>113</v>
      </c>
      <c r="AN122" s="32" t="s">
        <v>107</v>
      </c>
      <c r="AO122" s="32" t="s">
        <v>105</v>
      </c>
      <c r="AP122" s="32">
        <v>0</v>
      </c>
      <c r="AQ122" s="32">
        <v>0</v>
      </c>
      <c r="AR122" s="32"/>
      <c r="AS122" s="32" t="str">
        <f>IFERROR(SUMIFS(#REF!,#REF!,'Shift Wise-Data Sheet'!A:A,#REF!,"Samridhi Perk Line")/SUMIFS(#REF!,#REF!,'Shift Wise-Data Sheet'!A:A,#REF!,"Samridhi Perk Line"),"")</f>
        <v/>
      </c>
      <c r="AT122" s="32"/>
      <c r="AU122" s="32"/>
      <c r="AV122" s="211">
        <f>IFERROR(VLOOKUP(Table110[[#This Row],[Date]],'Overweight Data'!A120:G1215,6,FALSE),"")</f>
        <v>3.5580110497237555E-2</v>
      </c>
      <c r="AW122" s="221">
        <f ca="1">IFERROR(
   IF(
      OR(Table110[[#This Row],[Operating Time]]=0, (Table110[[#This Row],[Operating Time]]/IF(AD122&lt;=1,AD122+1,AD122))*60=0),
      1,
      ((Table110[[#This Row],[Operating Time]])/IF(AD122&lt;=1,AD122+1,AD122))*60
   ),
"_")</f>
        <v>1406.3157894736842</v>
      </c>
      <c r="AX122" s="221">
        <f>COUNTIFS('Downtime Data'!A:A,Table110[[#This Row],[Date]])</f>
        <v>0</v>
      </c>
      <c r="AY122" s="219" t="str">
        <f>IFERROR((SUM(Table110[[#This Row],[Minor Stoppages]:[Material Shortages]])/Table110[[#This Row],['# Stops]])*60,"")</f>
        <v/>
      </c>
      <c r="AZ122" s="219"/>
      <c r="BA122" s="33">
        <v>46138</v>
      </c>
    </row>
    <row r="123" spans="1:53" ht="20.149999999999999" customHeight="1" x14ac:dyDescent="0.35">
      <c r="A123" s="21">
        <v>46140</v>
      </c>
      <c r="B123" s="22" t="str">
        <f t="shared" si="2"/>
        <v>Tuesday</v>
      </c>
      <c r="C123" s="22"/>
      <c r="D123" s="23" t="s">
        <v>108</v>
      </c>
      <c r="E123" s="24" cm="1">
        <f t="array" aca="1" ref="E123" ca="1">IFERROR(INDIRECT(D123),"")</f>
        <v>34.200000000000003</v>
      </c>
      <c r="F123" s="25">
        <v>20</v>
      </c>
      <c r="G123" s="25">
        <v>24.8</v>
      </c>
      <c r="H123" s="27">
        <f ca="1">IFERROR((Table110[[#This Row],[Plan]]/Table110[[#This Row],[Hours Used]])/(Table110[[#This Row],[SOC (TPD)]]/24),"")</f>
        <v>0.58479532163742687</v>
      </c>
      <c r="I123" s="27">
        <f ca="1">IFERROR((Table110[[#This Row],[Volume Delivered (T)]]/Table110[[#This Row],[Hours Used]])/(Table110[[#This Row],[SOC (TPD)]]/24),"")</f>
        <v>0.72514619883040943</v>
      </c>
      <c r="J123" s="28"/>
      <c r="K123" s="28"/>
      <c r="L123" s="28"/>
      <c r="M123" s="25"/>
      <c r="N123" s="29">
        <v>3.9E-2</v>
      </c>
      <c r="O123" s="84">
        <v>25</v>
      </c>
      <c r="P123" s="25"/>
      <c r="Q123" s="25"/>
      <c r="R123" s="70"/>
      <c r="S123" s="71"/>
      <c r="T123" s="30">
        <f>IF(Table110[[#This Row],[SKU]]="",0,24-Table110[[#This Row],[Legal Non-Operating Time]]-Table110[[#This Row],[No Demand Time]]-Table110[[#This Row],[Force Majeure]])</f>
        <v>24</v>
      </c>
      <c r="U123" s="26"/>
      <c r="V123" s="26"/>
      <c r="W123" s="26">
        <v>6.6</v>
      </c>
      <c r="X123" s="26"/>
      <c r="Y123" s="26"/>
      <c r="Z123" s="26"/>
      <c r="AA123" s="26"/>
      <c r="AB123" s="30">
        <f>Table110[[#This Row],[Hours Used]]-SUM(Table110[[#This Row],[Planned Maintenance]:[Start and Finish Production]])</f>
        <v>17.399999999999999</v>
      </c>
      <c r="AC123" s="26"/>
      <c r="AD123" s="26"/>
      <c r="AE123" s="26"/>
      <c r="AF123" s="26"/>
      <c r="AG123" s="26"/>
      <c r="AH123" s="26"/>
      <c r="AI123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-1.1695906432755976E-3</v>
      </c>
      <c r="AJ123" s="24">
        <f ca="1">IFERROR(IF(Table110[[#This Row],[SKU]]="",0,Table110[[#This Row],[Quality Loss (T)]]/(Table110[[#This Row],[SOC (TPD)]]/24)),"")</f>
        <v>0</v>
      </c>
      <c r="AK123" s="31">
        <f ca="1">IFERROR(IF(Table110[[#This Row],[SKU]]="",0,Table110[[#This Row],[Volume Delivered (T)]]/(Table110[[#This Row],[SOC (TPD)]]/24)),"")</f>
        <v>17.403508771929825</v>
      </c>
      <c r="AL123" s="31">
        <f ca="1">IFERROR(Table110[[#This Row],[Operating Time]]/Table110[[#This Row],[PRODUCTION HOURS]],"")</f>
        <v>1.0002016535591856</v>
      </c>
      <c r="AM123" s="32">
        <v>94</v>
      </c>
      <c r="AN123" s="32" t="s">
        <v>107</v>
      </c>
      <c r="AO123" s="32" t="s">
        <v>105</v>
      </c>
      <c r="AP123" s="32">
        <v>18</v>
      </c>
      <c r="AQ123" s="32">
        <v>18</v>
      </c>
      <c r="AR123" s="32"/>
      <c r="AS123" s="32" t="str">
        <f>IFERROR(SUMIFS(#REF!,#REF!,'Shift Wise-Data Sheet'!A:A,#REF!,"Samridhi Perk Line")/SUMIFS(#REF!,#REF!,'Shift Wise-Data Sheet'!A:A,#REF!,"Samridhi Perk Line"),"")</f>
        <v/>
      </c>
      <c r="AT123" s="32"/>
      <c r="AU123" s="32"/>
      <c r="AV123" s="211">
        <f>IFERROR(VLOOKUP(Table110[[#This Row],[Date]],'Overweight Data'!A121:G1216,6,FALSE),"")</f>
        <v>3.0151933701657516E-2</v>
      </c>
      <c r="AW123" s="221">
        <f ca="1">IFERROR(
   IF(
      OR(Table110[[#This Row],[Operating Time]]=0, (Table110[[#This Row],[Operating Time]]/IF(AD123&lt;=1,AD123+1,AD123))*60=0),
      1,
      ((Table110[[#This Row],[Operating Time]])/IF(AD123&lt;=1,AD123+1,AD123))*60
   ),
"_")</f>
        <v>1044.2105263157896</v>
      </c>
      <c r="AX123" s="221">
        <f>COUNTIFS('Downtime Data'!A:A,Table110[[#This Row],[Date]])</f>
        <v>0</v>
      </c>
      <c r="AY123" s="219" t="str">
        <f>IFERROR((SUM(Table110[[#This Row],[Minor Stoppages]:[Material Shortages]])/Table110[[#This Row],['# Stops]])*60,"")</f>
        <v/>
      </c>
      <c r="AZ123" s="219"/>
      <c r="BA123" s="33">
        <v>46138</v>
      </c>
    </row>
    <row r="124" spans="1:53" ht="20.149999999999999" customHeight="1" x14ac:dyDescent="0.35">
      <c r="A124" s="21">
        <v>46141</v>
      </c>
      <c r="B124" s="22" t="str">
        <f t="shared" si="2"/>
        <v>Wednesday</v>
      </c>
      <c r="C124" s="22"/>
      <c r="D124" s="23" t="s">
        <v>108</v>
      </c>
      <c r="E124" s="24" cm="1">
        <f t="array" aca="1" ref="E124" ca="1">IFERROR(INDIRECT(D124),"")</f>
        <v>34.200000000000003</v>
      </c>
      <c r="F124" s="25">
        <v>33</v>
      </c>
      <c r="G124" s="25">
        <v>31</v>
      </c>
      <c r="H124" s="27">
        <f ca="1">IFERROR((Table110[[#This Row],[Plan]]/Table110[[#This Row],[Hours Used]])/(Table110[[#This Row],[SOC (TPD)]]/24),"")</f>
        <v>0.96491228070175439</v>
      </c>
      <c r="I124" s="27">
        <f ca="1">IFERROR((Table110[[#This Row],[Volume Delivered (T)]]/Table110[[#This Row],[Hours Used]])/(Table110[[#This Row],[SOC (TPD)]]/24),"")</f>
        <v>0.9064327485380117</v>
      </c>
      <c r="J124" s="28"/>
      <c r="K124" s="28"/>
      <c r="L124" s="28"/>
      <c r="M124" s="25"/>
      <c r="N124" s="29">
        <v>3.9E-2</v>
      </c>
      <c r="O124" s="84">
        <v>12</v>
      </c>
      <c r="P124" s="25"/>
      <c r="Q124" s="25"/>
      <c r="R124" s="70"/>
      <c r="S124" s="71"/>
      <c r="T124" s="30">
        <f>IF(Table110[[#This Row],[SKU]]="",0,24-Table110[[#This Row],[Legal Non-Operating Time]]-Table110[[#This Row],[No Demand Time]]-Table110[[#This Row],[Force Majeure]])</f>
        <v>24</v>
      </c>
      <c r="U124" s="26"/>
      <c r="V124" s="26"/>
      <c r="W124" s="26"/>
      <c r="X124" s="26">
        <v>1</v>
      </c>
      <c r="Y124" s="26"/>
      <c r="Z124" s="26"/>
      <c r="AA124" s="26"/>
      <c r="AB124" s="30">
        <f>Table110[[#This Row],[Hours Used]]-SUM(Table110[[#This Row],[Planned Maintenance]:[Start and Finish Production]])</f>
        <v>23</v>
      </c>
      <c r="AC124" s="26"/>
      <c r="AD124" s="26"/>
      <c r="AE124" s="26"/>
      <c r="AF124" s="26"/>
      <c r="AG124" s="26">
        <v>1.3</v>
      </c>
      <c r="AH124" s="26"/>
      <c r="AI124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-1.8128654970760511E-2</v>
      </c>
      <c r="AJ124" s="24">
        <f ca="1">IFERROR(IF(Table110[[#This Row],[SKU]]="",0,Table110[[#This Row],[Quality Loss (T)]]/(Table110[[#This Row],[SOC (TPD)]]/24)),"")</f>
        <v>0</v>
      </c>
      <c r="AK124" s="31">
        <f ca="1">IFERROR(IF(Table110[[#This Row],[SKU]]="",0,Table110[[#This Row],[Volume Delivered (T)]]/(Table110[[#This Row],[SOC (TPD)]]/24)),"")</f>
        <v>21.754385964912281</v>
      </c>
      <c r="AL124" s="31">
        <f ca="1">IFERROR(Table110[[#This Row],[Operating Time]]/Table110[[#This Row],[PRODUCTION HOURS]],"")</f>
        <v>0.94584286803966433</v>
      </c>
      <c r="AM124" s="32">
        <v>113</v>
      </c>
      <c r="AN124" s="32" t="s">
        <v>105</v>
      </c>
      <c r="AO124" s="32" t="s">
        <v>105</v>
      </c>
      <c r="AP124" s="32">
        <v>1</v>
      </c>
      <c r="AQ124" s="32">
        <v>0</v>
      </c>
      <c r="AR124" s="32"/>
      <c r="AS124" s="32" t="str">
        <f>IFERROR(SUMIFS(#REF!,#REF!,'Shift Wise-Data Sheet'!A:A,#REF!,"Samridhi Perk Line")/SUMIFS(#REF!,#REF!,'Shift Wise-Data Sheet'!A:A,#REF!,"Samridhi Perk Line"),"")</f>
        <v/>
      </c>
      <c r="AT124" s="32"/>
      <c r="AU124" s="32"/>
      <c r="AV124" s="211">
        <f>IFERROR(VLOOKUP(Table110[[#This Row],[Date]],'Overweight Data'!A122:G1217,6,FALSE),"")</f>
        <v>1.9523190897500285E-2</v>
      </c>
      <c r="AW124" s="221">
        <f ca="1">IFERROR(
   IF(
      OR(Table110[[#This Row],[Operating Time]]=0, (Table110[[#This Row],[Operating Time]]/IF(AD124&lt;=1,AD124+1,AD124))*60=0),
      1,
      ((Table110[[#This Row],[Operating Time]])/IF(AD124&lt;=1,AD124+1,AD124))*60
   ),
"_")</f>
        <v>1305.2631578947369</v>
      </c>
      <c r="AX124" s="221">
        <f>COUNTIFS('Downtime Data'!A:A,Table110[[#This Row],[Date]])</f>
        <v>3</v>
      </c>
      <c r="AY124" s="219">
        <f>IFERROR((SUM(Table110[[#This Row],[Minor Stoppages]:[Material Shortages]])/Table110[[#This Row],['# Stops]])*60,"")</f>
        <v>26</v>
      </c>
      <c r="AZ124" s="219"/>
      <c r="BA124" s="33">
        <v>46138</v>
      </c>
    </row>
    <row r="125" spans="1:53" ht="20.149999999999999" customHeight="1" x14ac:dyDescent="0.35">
      <c r="A125" s="21">
        <v>46142</v>
      </c>
      <c r="B125" s="22" t="str">
        <f t="shared" si="2"/>
        <v>Thursday</v>
      </c>
      <c r="C125" s="22"/>
      <c r="D125" s="23" t="s">
        <v>106</v>
      </c>
      <c r="E125" s="24" cm="1">
        <f t="array" aca="1" ref="E125" ca="1">IFERROR(INDIRECT(D125),"")</f>
        <v>39.200000000000003</v>
      </c>
      <c r="F125" s="25">
        <v>33</v>
      </c>
      <c r="G125" s="25">
        <v>23.811349999999997</v>
      </c>
      <c r="H125" s="27">
        <f ca="1">IFERROR((Table110[[#This Row],[Plan]]/Table110[[#This Row],[Hours Used]])/(Table110[[#This Row],[SOC (TPD)]]/24),"")</f>
        <v>0.84183673469387743</v>
      </c>
      <c r="I125" s="27">
        <f ca="1">IFERROR((Table110[[#This Row],[Volume Delivered (T)]]/Table110[[#This Row],[Hours Used]])/(Table110[[#This Row],[SOC (TPD)]]/24),"")</f>
        <v>0.60743239795918347</v>
      </c>
      <c r="J125" s="28"/>
      <c r="K125" s="28"/>
      <c r="L125" s="28"/>
      <c r="M125" s="25">
        <f>0.6+1.1+0.16+0.53-0.17-0.82</f>
        <v>1.4000000000000004</v>
      </c>
      <c r="N125" s="29">
        <v>3.9E-2</v>
      </c>
      <c r="O125" s="84">
        <v>9</v>
      </c>
      <c r="P125" s="25"/>
      <c r="Q125" s="25"/>
      <c r="R125" s="70"/>
      <c r="S125" s="71"/>
      <c r="T125" s="30">
        <f>IF(Table110[[#This Row],[SKU]]="",0,24-Table110[[#This Row],[Legal Non-Operating Time]]-Table110[[#This Row],[No Demand Time]]-Table110[[#This Row],[Force Majeure]])</f>
        <v>24</v>
      </c>
      <c r="U125" s="26"/>
      <c r="V125" s="26"/>
      <c r="W125" s="26"/>
      <c r="X125" s="26">
        <v>1</v>
      </c>
      <c r="Y125" s="26"/>
      <c r="Z125" s="26"/>
      <c r="AA125" s="26"/>
      <c r="AB125" s="30">
        <f>Table110[[#This Row],[Hours Used]]-SUM(Table110[[#This Row],[Planned Maintenance]:[Start and Finish Production]])</f>
        <v>23</v>
      </c>
      <c r="AC125" s="26"/>
      <c r="AD125" s="26">
        <v>4.5</v>
      </c>
      <c r="AE125" s="26"/>
      <c r="AF125" s="26"/>
      <c r="AG125" s="26">
        <v>2.8</v>
      </c>
      <c r="AH125" s="26"/>
      <c r="AI125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8.8159863945579175E-2</v>
      </c>
      <c r="AJ125" s="24">
        <f ca="1">IFERROR(IF(Table110[[#This Row],[SKU]]="",0,Table110[[#This Row],[Quality Loss (T)]]/(Table110[[#This Row],[SOC (TPD)]]/24)),"")</f>
        <v>0.85714285714285721</v>
      </c>
      <c r="AK125" s="31">
        <f ca="1">IFERROR(IF(Table110[[#This Row],[SKU]]="",0,Table110[[#This Row],[Volume Delivered (T)]]/(Table110[[#This Row],[SOC (TPD)]]/24)),"")</f>
        <v>14.578377551020404</v>
      </c>
      <c r="AL125" s="31">
        <f ca="1">IFERROR(Table110[[#This Row],[Operating Time]]/Table110[[#This Row],[PRODUCTION HOURS]],"")</f>
        <v>0.63384250221827843</v>
      </c>
      <c r="AM125" s="32">
        <v>109</v>
      </c>
      <c r="AN125" s="32" t="s">
        <v>107</v>
      </c>
      <c r="AO125" s="32" t="s">
        <v>105</v>
      </c>
      <c r="AP125" s="32">
        <v>1</v>
      </c>
      <c r="AQ125" s="32">
        <v>0</v>
      </c>
      <c r="AR125" s="32"/>
      <c r="AS125" s="32" t="str">
        <f>IFERROR(SUMIFS(#REF!,#REF!,'Shift Wise-Data Sheet'!A:A,#REF!,"Samridhi Perk Line")/SUMIFS(#REF!,#REF!,'Shift Wise-Data Sheet'!A:A,#REF!,"Samridhi Perk Line"),"")</f>
        <v/>
      </c>
      <c r="AT125" s="32"/>
      <c r="AU125" s="32"/>
      <c r="AV125" s="211">
        <f>IFERROR(VLOOKUP(Table110[[#This Row],[Date]],'Overweight Data'!A123:G1218,6,FALSE),"")</f>
        <v>2.0273892773892754E-2</v>
      </c>
      <c r="AW125" s="221">
        <f ca="1">IFERROR(
   IF(
      OR(Table110[[#This Row],[Operating Time]]=0, (Table110[[#This Row],[Operating Time]]/IF(AD125&lt;=1,AD125+1,AD125))*60=0),
      1,
      ((Table110[[#This Row],[Operating Time]])/IF(AD125&lt;=1,AD125+1,AD125))*60
   ),
"_")</f>
        <v>194.37836734693872</v>
      </c>
      <c r="AX125" s="221">
        <f>COUNTIFS('Downtime Data'!A:A,Table110[[#This Row],[Date]])</f>
        <v>2</v>
      </c>
      <c r="AY125" s="219">
        <f>IFERROR((SUM(Table110[[#This Row],[Minor Stoppages]:[Material Shortages]])/Table110[[#This Row],['# Stops]])*60,"")</f>
        <v>219</v>
      </c>
      <c r="AZ125" s="219"/>
      <c r="BA125" s="33">
        <v>46138</v>
      </c>
    </row>
    <row r="126" spans="1:53" ht="20.149999999999999" customHeight="1" x14ac:dyDescent="0.35">
      <c r="A126" s="21">
        <v>46143</v>
      </c>
      <c r="B126" s="22" t="str">
        <f t="shared" si="2"/>
        <v>Friday</v>
      </c>
      <c r="C126" s="22"/>
      <c r="D126" s="23" t="s">
        <v>108</v>
      </c>
      <c r="E126" s="24" cm="1">
        <f t="array" aca="1" ref="E126" ca="1">IFERROR(INDIRECT(D126),"")</f>
        <v>34.200000000000003</v>
      </c>
      <c r="F126" s="25">
        <v>30</v>
      </c>
      <c r="G126" s="25">
        <v>32.799999999999997</v>
      </c>
      <c r="H126" s="27">
        <f ca="1">IFERROR((Table110[[#This Row],[Plan]]/Table110[[#This Row],[Hours Used]])/(Table110[[#This Row],[SOC (TPD)]]/24),"")</f>
        <v>0.8771929824561403</v>
      </c>
      <c r="I126" s="27">
        <f ca="1">IFERROR((Table110[[#This Row],[Volume Delivered (T)]]/Table110[[#This Row],[Hours Used]])/(Table110[[#This Row],[SOC (TPD)]]/24),"")</f>
        <v>0.95906432748537995</v>
      </c>
      <c r="J126" s="28"/>
      <c r="K126" s="28"/>
      <c r="L126" s="28"/>
      <c r="M126" s="25"/>
      <c r="N126" s="29">
        <v>3.9E-2</v>
      </c>
      <c r="O126" s="84"/>
      <c r="P126" s="25"/>
      <c r="Q126" s="25"/>
      <c r="R126" s="70"/>
      <c r="S126" s="71"/>
      <c r="T126" s="30">
        <f>IF(Table110[[#This Row],[SKU]]="",0,24-Table110[[#This Row],[Legal Non-Operating Time]]-Table110[[#This Row],[No Demand Time]]-Table110[[#This Row],[Force Majeure]])</f>
        <v>24</v>
      </c>
      <c r="U126" s="26"/>
      <c r="V126" s="26"/>
      <c r="W126" s="26"/>
      <c r="X126" s="26">
        <v>1</v>
      </c>
      <c r="Y126" s="26"/>
      <c r="Z126" s="26"/>
      <c r="AA126" s="26"/>
      <c r="AB126" s="30">
        <f>Table110[[#This Row],[Hours Used]]-SUM(Table110[[#This Row],[Planned Maintenance]:[Start and Finish Production]])</f>
        <v>23</v>
      </c>
      <c r="AC126" s="26"/>
      <c r="AD126" s="26"/>
      <c r="AE126" s="26"/>
      <c r="AF126" s="26"/>
      <c r="AG126" s="26"/>
      <c r="AH126" s="26"/>
      <c r="AI126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-5.8479532163732513E-3</v>
      </c>
      <c r="AJ126" s="24">
        <f ca="1">IFERROR(IF(Table110[[#This Row],[SKU]]="",0,Table110[[#This Row],[Quality Loss (T)]]/(Table110[[#This Row],[SOC (TPD)]]/24)),"")</f>
        <v>0</v>
      </c>
      <c r="AK126" s="31">
        <f ca="1">IFERROR(IF(Table110[[#This Row],[SKU]]="",0,Table110[[#This Row],[Volume Delivered (T)]]/(Table110[[#This Row],[SOC (TPD)]]/24)),"")</f>
        <v>23.01754385964912</v>
      </c>
      <c r="AL126" s="31">
        <f ca="1">IFERROR(Table110[[#This Row],[Operating Time]]/Table110[[#This Row],[PRODUCTION HOURS]],"")</f>
        <v>1.0007627765064835</v>
      </c>
      <c r="AM126" s="32">
        <v>99</v>
      </c>
      <c r="AN126" s="32" t="s">
        <v>107</v>
      </c>
      <c r="AO126" s="32" t="s">
        <v>105</v>
      </c>
      <c r="AP126" s="32">
        <v>0</v>
      </c>
      <c r="AQ126" s="32">
        <v>0</v>
      </c>
      <c r="AR126" s="32"/>
      <c r="AS126" s="32" t="str">
        <f>IFERROR(SUMIFS(#REF!,#REF!,'Shift Wise-Data Sheet'!A:A,#REF!,"Samridhi Perk Line")/SUMIFS(#REF!,#REF!,'Shift Wise-Data Sheet'!A:A,#REF!,"Samridhi Perk Line"),"")</f>
        <v/>
      </c>
      <c r="AT126" s="32"/>
      <c r="AU126" s="32"/>
      <c r="AV126" s="211">
        <f>IFERROR(VLOOKUP(Table110[[#This Row],[Date]],'Overweight Data'!A124:G1219,6,FALSE),"")</f>
        <v>1.8350815850815858E-2</v>
      </c>
      <c r="AW126" s="221">
        <f ca="1">IFERROR(
   IF(
      OR(Table110[[#This Row],[Operating Time]]=0, (Table110[[#This Row],[Operating Time]]/IF(AD126&lt;=1,AD126+1,AD126))*60=0),
      1,
      ((Table110[[#This Row],[Operating Time]])/IF(AD126&lt;=1,AD126+1,AD126))*60
   ),
"_")</f>
        <v>1381.0526315789473</v>
      </c>
      <c r="AX126" s="221">
        <f>COUNTIFS('Downtime Data'!A:A,Table110[[#This Row],[Date]])</f>
        <v>0</v>
      </c>
      <c r="AY126" s="219" t="str">
        <f>IFERROR((SUM(Table110[[#This Row],[Minor Stoppages]:[Material Shortages]])/Table110[[#This Row],['# Stops]])*60,"")</f>
        <v/>
      </c>
      <c r="AZ126" s="219"/>
      <c r="BA126" s="33">
        <v>46138</v>
      </c>
    </row>
    <row r="127" spans="1:53" ht="20.149999999999999" customHeight="1" x14ac:dyDescent="0.35">
      <c r="A127" s="21">
        <v>46144</v>
      </c>
      <c r="B127" s="22" t="str">
        <f t="shared" si="2"/>
        <v>Saturday</v>
      </c>
      <c r="C127" s="22"/>
      <c r="D127" s="23" t="s">
        <v>108</v>
      </c>
      <c r="E127" s="24" cm="1">
        <f t="array" aca="1" ref="E127" ca="1">IFERROR(INDIRECT(D127),"")</f>
        <v>34.200000000000003</v>
      </c>
      <c r="F127" s="25">
        <v>30</v>
      </c>
      <c r="G127" s="25">
        <v>30.8</v>
      </c>
      <c r="H127" s="27">
        <f ca="1">IFERROR((Table110[[#This Row],[Plan]]/Table110[[#This Row],[Hours Used]])/(Table110[[#This Row],[SOC (TPD)]]/24),"")</f>
        <v>0.8771929824561403</v>
      </c>
      <c r="I127" s="27">
        <f ca="1">IFERROR((Table110[[#This Row],[Volume Delivered (T)]]/Table110[[#This Row],[Hours Used]])/(Table110[[#This Row],[SOC (TPD)]]/24),"")</f>
        <v>0.90058479532163749</v>
      </c>
      <c r="J127" s="28"/>
      <c r="K127" s="28"/>
      <c r="L127" s="28"/>
      <c r="M127" s="25">
        <f>0.47+1.29+0.17+0.3-0.15-0.61</f>
        <v>1.4700000000000002</v>
      </c>
      <c r="N127" s="29">
        <v>3.9E-2</v>
      </c>
      <c r="O127" s="84"/>
      <c r="P127" s="25"/>
      <c r="Q127" s="25"/>
      <c r="R127" s="70"/>
      <c r="S127" s="71"/>
      <c r="T127" s="30">
        <f>IF(Table110[[#This Row],[SKU]]="",0,24-Table110[[#This Row],[Legal Non-Operating Time]]-Table110[[#This Row],[No Demand Time]]-Table110[[#This Row],[Force Majeure]])</f>
        <v>24</v>
      </c>
      <c r="U127" s="26"/>
      <c r="V127" s="26">
        <v>1</v>
      </c>
      <c r="W127" s="26"/>
      <c r="X127" s="26"/>
      <c r="Y127" s="26"/>
      <c r="Z127" s="26"/>
      <c r="AA127" s="26"/>
      <c r="AB127" s="30">
        <f>Table110[[#This Row],[Hours Used]]-SUM(Table110[[#This Row],[Planned Maintenance]:[Start and Finish Production]])</f>
        <v>23</v>
      </c>
      <c r="AC127" s="26"/>
      <c r="AD127" s="26">
        <v>0.5</v>
      </c>
      <c r="AE127" s="26"/>
      <c r="AF127" s="26"/>
      <c r="AG127" s="26"/>
      <c r="AH127" s="26"/>
      <c r="AI127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-4.8538011695905915E-2</v>
      </c>
      <c r="AJ127" s="24">
        <f ca="1">IFERROR(IF(Table110[[#This Row],[SKU]]="",0,Table110[[#This Row],[Quality Loss (T)]]/(Table110[[#This Row],[SOC (TPD)]]/24)),"")</f>
        <v>1.0315789473684212</v>
      </c>
      <c r="AK127" s="31">
        <f ca="1">IFERROR(IF(Table110[[#This Row],[SKU]]="",0,Table110[[#This Row],[Volume Delivered (T)]]/(Table110[[#This Row],[SOC (TPD)]]/24)),"")</f>
        <v>21.614035087719298</v>
      </c>
      <c r="AL127" s="31">
        <f ca="1">IFERROR(Table110[[#This Row],[Operating Time]]/Table110[[#This Row],[PRODUCTION HOURS]],"")</f>
        <v>0.93974065598779555</v>
      </c>
      <c r="AM127" s="32">
        <v>100</v>
      </c>
      <c r="AN127" s="32" t="s">
        <v>107</v>
      </c>
      <c r="AO127" s="32" t="s">
        <v>105</v>
      </c>
      <c r="AP127" s="32">
        <v>1</v>
      </c>
      <c r="AQ127" s="32">
        <v>1</v>
      </c>
      <c r="AR127" s="32"/>
      <c r="AS127" s="32" t="str">
        <f>IFERROR(SUMIFS(#REF!,#REF!,'Shift Wise-Data Sheet'!A:A,#REF!,"Samridhi Perk Line")/SUMIFS(#REF!,#REF!,'Shift Wise-Data Sheet'!A:A,#REF!,"Samridhi Perk Line"),"")</f>
        <v/>
      </c>
      <c r="AT127" s="32"/>
      <c r="AU127" s="32"/>
      <c r="AV127" s="211">
        <f>IFERROR(VLOOKUP(Table110[[#This Row],[Date]],'Overweight Data'!A125:G1220,6,FALSE),"")</f>
        <v>2.9254079254079284E-2</v>
      </c>
      <c r="AW127" s="221">
        <f ca="1">IFERROR(
   IF(
      OR(Table110[[#This Row],[Operating Time]]=0, (Table110[[#This Row],[Operating Time]]/IF(AD127&lt;=1,AD127+1,AD127))*60=0),
      1,
      ((Table110[[#This Row],[Operating Time]])/IF(AD127&lt;=1,AD127+1,AD127))*60
   ),
"_")</f>
        <v>864.56140350877183</v>
      </c>
      <c r="AX127" s="221">
        <f>COUNTIFS('Downtime Data'!A:A,Table110[[#This Row],[Date]])</f>
        <v>0</v>
      </c>
      <c r="AY127" s="219" t="str">
        <f>IFERROR((SUM(Table110[[#This Row],[Minor Stoppages]:[Material Shortages]])/Table110[[#This Row],['# Stops]])*60,"")</f>
        <v/>
      </c>
      <c r="AZ127" s="219"/>
      <c r="BA127" s="33">
        <v>46138</v>
      </c>
    </row>
    <row r="128" spans="1:53" ht="20.149999999999999" customHeight="1" x14ac:dyDescent="0.35">
      <c r="A128" s="21">
        <v>46145</v>
      </c>
      <c r="B128" s="22" t="str">
        <f t="shared" si="2"/>
        <v>Sunday</v>
      </c>
      <c r="C128" s="22"/>
      <c r="D128" s="23" t="s">
        <v>108</v>
      </c>
      <c r="E128" s="24" cm="1">
        <f t="array" aca="1" ref="E128" ca="1">IFERROR(INDIRECT(D128),"")</f>
        <v>34.200000000000003</v>
      </c>
      <c r="F128" s="25">
        <v>30</v>
      </c>
      <c r="G128" s="25">
        <v>30.5</v>
      </c>
      <c r="H128" s="27">
        <f ca="1">IFERROR((Table110[[#This Row],[Plan]]/Table110[[#This Row],[Hours Used]])/(Table110[[#This Row],[SOC (TPD)]]/24),"")</f>
        <v>0.8771929824561403</v>
      </c>
      <c r="I128" s="27">
        <f ca="1">IFERROR((Table110[[#This Row],[Volume Delivered (T)]]/Table110[[#This Row],[Hours Used]])/(Table110[[#This Row],[SOC (TPD)]]/24),"")</f>
        <v>0.89181286549707595</v>
      </c>
      <c r="J128" s="28"/>
      <c r="K128" s="28"/>
      <c r="L128" s="28"/>
      <c r="M128" s="25"/>
      <c r="N128" s="29"/>
      <c r="O128" s="84">
        <v>12</v>
      </c>
      <c r="P128" s="25"/>
      <c r="Q128" s="25"/>
      <c r="R128" s="70"/>
      <c r="S128" s="71"/>
      <c r="T128" s="30">
        <f>IF(Table110[[#This Row],[SKU]]="",0,24-Table110[[#This Row],[Legal Non-Operating Time]]-Table110[[#This Row],[No Demand Time]]-Table110[[#This Row],[Force Majeure]])</f>
        <v>24</v>
      </c>
      <c r="U128" s="26"/>
      <c r="V128" s="26"/>
      <c r="W128" s="26"/>
      <c r="X128" s="26"/>
      <c r="Y128" s="26"/>
      <c r="Z128" s="26"/>
      <c r="AA128" s="26"/>
      <c r="AB128" s="30">
        <f>Table110[[#This Row],[Hours Used]]-SUM(Table110[[#This Row],[Planned Maintenance]:[Start and Finish Production]])</f>
        <v>24</v>
      </c>
      <c r="AC128" s="26"/>
      <c r="AD128" s="26"/>
      <c r="AE128" s="26"/>
      <c r="AF128" s="26"/>
      <c r="AG128" s="26"/>
      <c r="AH128" s="26"/>
      <c r="AI128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0.86549707602339154</v>
      </c>
      <c r="AJ128" s="24">
        <f ca="1">IFERROR(IF(Table110[[#This Row],[SKU]]="",0,Table110[[#This Row],[Quality Loss (T)]]/(Table110[[#This Row],[SOC (TPD)]]/24)),"")</f>
        <v>0</v>
      </c>
      <c r="AK128" s="31">
        <f ca="1">IFERROR(IF(Table110[[#This Row],[SKU]]="",0,Table110[[#This Row],[Volume Delivered (T)]]/(Table110[[#This Row],[SOC (TPD)]]/24)),"")</f>
        <v>21.403508771929825</v>
      </c>
      <c r="AL128" s="31">
        <f ca="1">IFERROR(Table110[[#This Row],[Operating Time]]/Table110[[#This Row],[PRODUCTION HOURS]],"")</f>
        <v>0.89181286549707606</v>
      </c>
      <c r="AM128" s="32">
        <v>103</v>
      </c>
      <c r="AN128" s="32" t="s">
        <v>105</v>
      </c>
      <c r="AO128" s="32" t="s">
        <v>105</v>
      </c>
      <c r="AP128" s="32">
        <v>5</v>
      </c>
      <c r="AQ128" s="32">
        <v>5</v>
      </c>
      <c r="AR128" s="32"/>
      <c r="AS128" s="32" t="str">
        <f>IFERROR(SUMIFS(#REF!,#REF!,'Shift Wise-Data Sheet'!A:A,#REF!,"Samridhi Perk Line")/SUMIFS(#REF!,#REF!,'Shift Wise-Data Sheet'!A:A,#REF!,"Samridhi Perk Line"),"")</f>
        <v/>
      </c>
      <c r="AT128" s="32"/>
      <c r="AU128" s="32"/>
      <c r="AV128" s="211">
        <f>IFERROR(VLOOKUP(Table110[[#This Row],[Date]],'Overweight Data'!A126:G1221,6,FALSE),"")</f>
        <v>2.7495605223505751E-2</v>
      </c>
      <c r="AW128" s="221">
        <f ca="1">IFERROR(
   IF(
      OR(Table110[[#This Row],[Operating Time]]=0, (Table110[[#This Row],[Operating Time]]/IF(AD128&lt;=1,AD128+1,AD128))*60=0),
      1,
      ((Table110[[#This Row],[Operating Time]])/IF(AD128&lt;=1,AD128+1,AD128))*60
   ),
"_")</f>
        <v>1284.2105263157896</v>
      </c>
      <c r="AX128" s="221">
        <f>COUNTIFS('Downtime Data'!A:A,Table110[[#This Row],[Date]])</f>
        <v>1</v>
      </c>
      <c r="AY128" s="219">
        <f>IFERROR((SUM(Table110[[#This Row],[Minor Stoppages]:[Material Shortages]])/Table110[[#This Row],['# Stops]])*60,"")</f>
        <v>0</v>
      </c>
      <c r="AZ128" s="219"/>
      <c r="BA128" s="33">
        <v>46138</v>
      </c>
    </row>
    <row r="129" spans="1:53" ht="20.149999999999999" customHeight="1" x14ac:dyDescent="0.35">
      <c r="A129" s="21">
        <v>46146</v>
      </c>
      <c r="B129" s="22" t="str">
        <f t="shared" si="2"/>
        <v>Monday</v>
      </c>
      <c r="C129" s="22"/>
      <c r="D129" s="23" t="s">
        <v>108</v>
      </c>
      <c r="E129" s="24" cm="1">
        <f t="array" aca="1" ref="E129" ca="1">IFERROR(INDIRECT(D129),"")</f>
        <v>34.200000000000003</v>
      </c>
      <c r="F129" s="25">
        <v>30</v>
      </c>
      <c r="G129" s="25">
        <f>28.9+4.7</f>
        <v>33.6</v>
      </c>
      <c r="H129" s="27">
        <f ca="1">IFERROR((Table110[[#This Row],[Plan]]/Table110[[#This Row],[Hours Used]])/(Table110[[#This Row],[SOC (TPD)]]/24),"")</f>
        <v>0.8771929824561403</v>
      </c>
      <c r="I129" s="27">
        <f ca="1">IFERROR((Table110[[#This Row],[Volume Delivered (T)]]/Table110[[#This Row],[Hours Used]])/(Table110[[#This Row],[SOC (TPD)]]/24),"")</f>
        <v>0.98245614035087725</v>
      </c>
      <c r="J129" s="28"/>
      <c r="K129" s="28"/>
      <c r="L129" s="28"/>
      <c r="M129" s="25">
        <v>0.8</v>
      </c>
      <c r="N129" s="29">
        <v>3.9E-2</v>
      </c>
      <c r="O129" s="84">
        <v>10</v>
      </c>
      <c r="P129" s="25"/>
      <c r="Q129" s="25"/>
      <c r="R129" s="70"/>
      <c r="S129" s="71"/>
      <c r="T129" s="30">
        <f>IF(Table110[[#This Row],[SKU]]="",0,24-Table110[[#This Row],[Legal Non-Operating Time]]-Table110[[#This Row],[No Demand Time]]-Table110[[#This Row],[Force Majeure]])</f>
        <v>24</v>
      </c>
      <c r="U129" s="26"/>
      <c r="V129" s="26"/>
      <c r="W129" s="26"/>
      <c r="X129" s="26"/>
      <c r="Y129" s="26"/>
      <c r="Z129" s="26"/>
      <c r="AA129" s="26"/>
      <c r="AB129" s="30">
        <f>Table110[[#This Row],[Hours Used]]-SUM(Table110[[#This Row],[Planned Maintenance]:[Start and Finish Production]])</f>
        <v>24</v>
      </c>
      <c r="AC129" s="26"/>
      <c r="AD129" s="26"/>
      <c r="AE129" s="26"/>
      <c r="AF129" s="26"/>
      <c r="AG129" s="26"/>
      <c r="AH129" s="26"/>
      <c r="AI129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-4.6783625730994295E-2</v>
      </c>
      <c r="AJ129" s="24">
        <f ca="1">IFERROR(IF(Table110[[#This Row],[SKU]]="",0,Table110[[#This Row],[Quality Loss (T)]]/(Table110[[#This Row],[SOC (TPD)]]/24)),"")</f>
        <v>0.56140350877192979</v>
      </c>
      <c r="AK129" s="31">
        <f ca="1">IFERROR(IF(Table110[[#This Row],[SKU]]="",0,Table110[[#This Row],[Volume Delivered (T)]]/(Table110[[#This Row],[SOC (TPD)]]/24)),"")</f>
        <v>23.578947368421051</v>
      </c>
      <c r="AL129" s="31">
        <f ca="1">IFERROR(Table110[[#This Row],[Operating Time]]/Table110[[#This Row],[PRODUCTION HOURS]],"")</f>
        <v>0.98245614035087714</v>
      </c>
      <c r="AM129" s="32">
        <v>103</v>
      </c>
      <c r="AN129" s="32" t="s">
        <v>107</v>
      </c>
      <c r="AO129" s="32" t="s">
        <v>107</v>
      </c>
      <c r="AP129" s="32">
        <v>0</v>
      </c>
      <c r="AQ129" s="32">
        <v>0</v>
      </c>
      <c r="AR129" s="32"/>
      <c r="AS129" s="32" t="str">
        <f>IFERROR(SUMIFS(#REF!,#REF!,'Shift Wise-Data Sheet'!A:A,#REF!,"Samridhi Perk Line")/SUMIFS(#REF!,#REF!,'Shift Wise-Data Sheet'!A:A,#REF!,"Samridhi Perk Line"),"")</f>
        <v/>
      </c>
      <c r="AT129" s="32"/>
      <c r="AU129" s="32"/>
      <c r="AV129" s="211">
        <f>IFERROR(VLOOKUP(Table110[[#This Row],[Date]],'Overweight Data'!A127:G1222,6,FALSE),"")</f>
        <v>3.4640883977900556E-2</v>
      </c>
      <c r="AW129" s="221">
        <f ca="1">IFERROR(
   IF(
      OR(Table110[[#This Row],[Operating Time]]=0, (Table110[[#This Row],[Operating Time]]/IF(AD129&lt;=1,AD129+1,AD129))*60=0),
      1,
      ((Table110[[#This Row],[Operating Time]])/IF(AD129&lt;=1,AD129+1,AD129))*60
   ),
"_")</f>
        <v>1414.7368421052631</v>
      </c>
      <c r="AX129" s="221">
        <f>COUNTIFS('Downtime Data'!A:A,Table110[[#This Row],[Date]])</f>
        <v>1</v>
      </c>
      <c r="AY129" s="219">
        <f>IFERROR((SUM(Table110[[#This Row],[Minor Stoppages]:[Material Shortages]])/Table110[[#This Row],['# Stops]])*60,"")</f>
        <v>0</v>
      </c>
      <c r="AZ129" s="219"/>
      <c r="BA129" s="33">
        <v>46168</v>
      </c>
    </row>
    <row r="130" spans="1:53" ht="20.149999999999999" customHeight="1" x14ac:dyDescent="0.35">
      <c r="A130" s="21">
        <v>46147</v>
      </c>
      <c r="B130" s="22" t="str">
        <f t="shared" si="2"/>
        <v>Tuesday</v>
      </c>
      <c r="C130" s="22"/>
      <c r="D130" s="23" t="s">
        <v>108</v>
      </c>
      <c r="E130" s="24" cm="1">
        <f t="array" aca="1" ref="E130" ca="1">IFERROR(INDIRECT(D130),"")</f>
        <v>34.200000000000003</v>
      </c>
      <c r="F130" s="25">
        <v>30</v>
      </c>
      <c r="G130" s="26">
        <f>30.2-8+5.7+3.1</f>
        <v>31</v>
      </c>
      <c r="H130" s="27">
        <f ca="1">IFERROR((Table110[[#This Row],[Plan]]/Table110[[#This Row],[Hours Used]])/(Table110[[#This Row],[SOC (TPD)]]/24),"")</f>
        <v>0.8771929824561403</v>
      </c>
      <c r="I130" s="27">
        <f ca="1">IFERROR((Table110[[#This Row],[Volume Delivered (T)]]/Table110[[#This Row],[Hours Used]])/(Table110[[#This Row],[SOC (TPD)]]/24),"")</f>
        <v>0.9064327485380117</v>
      </c>
      <c r="J130" s="28"/>
      <c r="K130" s="28"/>
      <c r="L130" s="28"/>
      <c r="M130" s="25">
        <v>1</v>
      </c>
      <c r="N130" s="29">
        <v>3.9E-2</v>
      </c>
      <c r="O130" s="84">
        <v>13</v>
      </c>
      <c r="P130" s="25"/>
      <c r="Q130" s="25"/>
      <c r="R130" s="70"/>
      <c r="S130" s="71"/>
      <c r="T130" s="30">
        <f>IF(Table110[[#This Row],[SKU]]="",0,24-Table110[[#This Row],[Legal Non-Operating Time]]-Table110[[#This Row],[No Demand Time]]-Table110[[#This Row],[Force Majeure]])</f>
        <v>24</v>
      </c>
      <c r="U130" s="26"/>
      <c r="V130" s="26">
        <v>1</v>
      </c>
      <c r="W130" s="26"/>
      <c r="X130" s="26"/>
      <c r="Y130" s="26"/>
      <c r="Z130" s="26"/>
      <c r="AA130" s="26"/>
      <c r="AB130" s="30">
        <f>Table110[[#This Row],[Hours Used]]-SUM(Table110[[#This Row],[Planned Maintenance]:[Start and Finish Production]])</f>
        <v>23</v>
      </c>
      <c r="AC130" s="26"/>
      <c r="AD130" s="26">
        <v>0.6</v>
      </c>
      <c r="AE130" s="26"/>
      <c r="AF130" s="26"/>
      <c r="AG130" s="26"/>
      <c r="AH130" s="26"/>
      <c r="AI130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-1.871345029239772E-2</v>
      </c>
      <c r="AJ130" s="24">
        <f ca="1">IFERROR(IF(Table110[[#This Row],[SKU]]="",0,Table110[[#This Row],[Quality Loss (T)]]/(Table110[[#This Row],[SOC (TPD)]]/24)),"")</f>
        <v>0.70175438596491224</v>
      </c>
      <c r="AK130" s="31">
        <f ca="1">IFERROR(IF(Table110[[#This Row],[SKU]]="",0,Table110[[#This Row],[Volume Delivered (T)]]/(Table110[[#This Row],[SOC (TPD)]]/24)),"")</f>
        <v>21.754385964912281</v>
      </c>
      <c r="AL130" s="31">
        <f ca="1">IFERROR(Table110[[#This Row],[Operating Time]]/Table110[[#This Row],[PRODUCTION HOURS]],"")</f>
        <v>0.94584286803966433</v>
      </c>
      <c r="AM130" s="32">
        <v>80</v>
      </c>
      <c r="AN130" s="32" t="s">
        <v>107</v>
      </c>
      <c r="AO130" s="32" t="s">
        <v>105</v>
      </c>
      <c r="AP130" s="32">
        <v>0</v>
      </c>
      <c r="AQ130" s="32">
        <v>0</v>
      </c>
      <c r="AR130" s="32"/>
      <c r="AS130" s="32" t="str">
        <f>IFERROR(SUMIFS(#REF!,#REF!,'Shift Wise-Data Sheet'!A:A,#REF!,"Samridhi Perk Line")/SUMIFS(#REF!,#REF!,'Shift Wise-Data Sheet'!A:A,#REF!,"Samridhi Perk Line"),"")</f>
        <v/>
      </c>
      <c r="AT130" s="32"/>
      <c r="AU130" s="32"/>
      <c r="AV130" s="211">
        <f>IFERROR(VLOOKUP(Table110[[#This Row],[Date]],'Overweight Data'!A128:G1223,6,FALSE),"")</f>
        <v>3.9217311233885853E-2</v>
      </c>
      <c r="AW130" s="221">
        <f ca="1">IFERROR(
   IF(
      OR(Table110[[#This Row],[Operating Time]]=0, (Table110[[#This Row],[Operating Time]]/IF(AD130&lt;=1,AD130+1,AD130))*60=0),
      1,
      ((Table110[[#This Row],[Operating Time]])/IF(AD130&lt;=1,AD130+1,AD130))*60
   ),
"_")</f>
        <v>815.78947368421052</v>
      </c>
      <c r="AX130" s="221">
        <f>COUNTIFS('Downtime Data'!A:A,Table110[[#This Row],[Date]])</f>
        <v>0</v>
      </c>
      <c r="AY130" s="219" t="str">
        <f>IFERROR((SUM(Table110[[#This Row],[Minor Stoppages]:[Material Shortages]])/Table110[[#This Row],['# Stops]])*60,"")</f>
        <v/>
      </c>
      <c r="AZ130" s="219"/>
      <c r="BA130" s="33">
        <v>46168</v>
      </c>
    </row>
    <row r="131" spans="1:53" ht="20.149999999999999" customHeight="1" x14ac:dyDescent="0.35">
      <c r="A131" s="21">
        <v>46148</v>
      </c>
      <c r="B131" s="22" t="str">
        <f t="shared" si="2"/>
        <v>Wednesday</v>
      </c>
      <c r="C131" s="22"/>
      <c r="D131" s="23" t="s">
        <v>108</v>
      </c>
      <c r="E131" s="24" cm="1">
        <f t="array" aca="1" ref="E131" ca="1">IFERROR(INDIRECT(D131),"")</f>
        <v>34.200000000000003</v>
      </c>
      <c r="F131" s="25">
        <v>30</v>
      </c>
      <c r="G131" s="26">
        <v>30.2</v>
      </c>
      <c r="H131" s="27">
        <f ca="1">IFERROR((Table110[[#This Row],[Plan]]/Table110[[#This Row],[Hours Used]])/(Table110[[#This Row],[SOC (TPD)]]/24),"")</f>
        <v>0.8771929824561403</v>
      </c>
      <c r="I131" s="27">
        <f ca="1">IFERROR((Table110[[#This Row],[Volume Delivered (T)]]/Table110[[#This Row],[Hours Used]])/(Table110[[#This Row],[SOC (TPD)]]/24),"")</f>
        <v>0.88304093567251463</v>
      </c>
      <c r="J131" s="28"/>
      <c r="K131" s="28"/>
      <c r="L131" s="28"/>
      <c r="M131" s="25">
        <v>1.1000000000000001</v>
      </c>
      <c r="N131" s="29">
        <v>3.9E-2</v>
      </c>
      <c r="O131" s="84">
        <v>15</v>
      </c>
      <c r="P131" s="25"/>
      <c r="Q131" s="25"/>
      <c r="R131" s="70"/>
      <c r="S131" s="71"/>
      <c r="T131" s="30">
        <f>IF(Table110[[#This Row],[SKU]]="",0,24-Table110[[#This Row],[Legal Non-Operating Time]]-Table110[[#This Row],[No Demand Time]]-Table110[[#This Row],[Force Majeure]])</f>
        <v>24</v>
      </c>
      <c r="U131" s="26"/>
      <c r="V131" s="26">
        <v>1</v>
      </c>
      <c r="W131" s="26"/>
      <c r="X131" s="26"/>
      <c r="Y131" s="26"/>
      <c r="Z131" s="26"/>
      <c r="AA131" s="26"/>
      <c r="AB131" s="30">
        <f>Table110[[#This Row],[Hours Used]]-SUM(Table110[[#This Row],[Planned Maintenance]:[Start and Finish Production]])</f>
        <v>23</v>
      </c>
      <c r="AC131" s="26"/>
      <c r="AD131" s="26">
        <v>1</v>
      </c>
      <c r="AE131" s="26"/>
      <c r="AF131" s="26"/>
      <c r="AG131" s="26"/>
      <c r="AH131" s="26"/>
      <c r="AI131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1.169590643274887E-2</v>
      </c>
      <c r="AJ131" s="24">
        <f ca="1">IFERROR(IF(Table110[[#This Row],[SKU]]="",0,Table110[[#This Row],[Quality Loss (T)]]/(Table110[[#This Row],[SOC (TPD)]]/24)),"")</f>
        <v>0.77192982456140358</v>
      </c>
      <c r="AK131" s="31">
        <f ca="1">IFERROR(IF(Table110[[#This Row],[SKU]]="",0,Table110[[#This Row],[Volume Delivered (T)]]/(Table110[[#This Row],[SOC (TPD)]]/24)),"")</f>
        <v>21.192982456140349</v>
      </c>
      <c r="AL131" s="31">
        <f ca="1">IFERROR(Table110[[#This Row],[Operating Time]]/Table110[[#This Row],[PRODUCTION HOURS]],"")</f>
        <v>0.92143401983218909</v>
      </c>
      <c r="AM131" s="32">
        <v>92</v>
      </c>
      <c r="AN131" s="32" t="s">
        <v>107</v>
      </c>
      <c r="AO131" s="32" t="s">
        <v>107</v>
      </c>
      <c r="AP131" s="32">
        <v>0</v>
      </c>
      <c r="AQ131" s="32">
        <v>0</v>
      </c>
      <c r="AR131" s="32"/>
      <c r="AS131" s="32" t="str">
        <f>IFERROR(SUMIFS(#REF!,#REF!,'Shift Wise-Data Sheet'!A:A,#REF!,"Samridhi Perk Line")/SUMIFS(#REF!,#REF!,'Shift Wise-Data Sheet'!A:A,#REF!,"Samridhi Perk Line"),"")</f>
        <v/>
      </c>
      <c r="AT131" s="32"/>
      <c r="AU131" s="32"/>
      <c r="AV131" s="211">
        <f>IFERROR(VLOOKUP(Table110[[#This Row],[Date]],'Overweight Data'!A129:G1224,6,FALSE),"")</f>
        <v>2.7412523020257814E-2</v>
      </c>
      <c r="AW131" s="221">
        <f ca="1">IFERROR(
   IF(
      OR(Table110[[#This Row],[Operating Time]]=0, (Table110[[#This Row],[Operating Time]]/IF(AD131&lt;=1,AD131+1,AD131))*60=0),
      1,
      ((Table110[[#This Row],[Operating Time]])/IF(AD131&lt;=1,AD131+1,AD131))*60
   ),
"_")</f>
        <v>635.78947368421052</v>
      </c>
      <c r="AX131" s="221">
        <f>COUNTIFS('Downtime Data'!A:A,Table110[[#This Row],[Date]])</f>
        <v>0</v>
      </c>
      <c r="AY131" s="219" t="str">
        <f>IFERROR((SUM(Table110[[#This Row],[Minor Stoppages]:[Material Shortages]])/Table110[[#This Row],['# Stops]])*60,"")</f>
        <v/>
      </c>
      <c r="AZ131" s="219"/>
      <c r="BA131" s="33">
        <v>46168</v>
      </c>
    </row>
    <row r="132" spans="1:53" ht="20.149999999999999" customHeight="1" x14ac:dyDescent="0.35">
      <c r="A132" s="21">
        <v>46149</v>
      </c>
      <c r="B132" s="22" t="str">
        <f t="shared" si="2"/>
        <v>Thursday</v>
      </c>
      <c r="C132" s="22"/>
      <c r="D132" s="23" t="s">
        <v>108</v>
      </c>
      <c r="E132" s="24" cm="1">
        <f t="array" aca="1" ref="E132" ca="1">IFERROR(INDIRECT(D132),"")</f>
        <v>34.200000000000003</v>
      </c>
      <c r="F132" s="25">
        <v>30</v>
      </c>
      <c r="G132" s="26">
        <v>32.5</v>
      </c>
      <c r="H132" s="27">
        <f ca="1">IFERROR((Table110[[#This Row],[Plan]]/Table110[[#This Row],[Hours Used]])/(Table110[[#This Row],[SOC (TPD)]]/24),"")</f>
        <v>0.8771929824561403</v>
      </c>
      <c r="I132" s="27">
        <f ca="1">IFERROR((Table110[[#This Row],[Volume Delivered (T)]]/Table110[[#This Row],[Hours Used]])/(Table110[[#This Row],[SOC (TPD)]]/24),"")</f>
        <v>0.95029239766081874</v>
      </c>
      <c r="J132" s="28"/>
      <c r="K132" s="28"/>
      <c r="L132" s="28"/>
      <c r="M132" s="25">
        <f>0.37+1.16+0.16+0.27-0.18-0.51</f>
        <v>1.2699999999999998</v>
      </c>
      <c r="N132" s="29">
        <v>3.9E-2</v>
      </c>
      <c r="O132" s="84">
        <v>17</v>
      </c>
      <c r="P132" s="25"/>
      <c r="Q132" s="25"/>
      <c r="R132" s="70"/>
      <c r="S132" s="71"/>
      <c r="T132" s="30">
        <f>IF(Table110[[#This Row],[SKU]]="",0,24-Table110[[#This Row],[Legal Non-Operating Time]]-Table110[[#This Row],[No Demand Time]]-Table110[[#This Row],[Force Majeure]])</f>
        <v>24</v>
      </c>
      <c r="U132" s="26"/>
      <c r="V132" s="26"/>
      <c r="W132" s="26"/>
      <c r="X132" s="26"/>
      <c r="Y132" s="26"/>
      <c r="Z132" s="26"/>
      <c r="AA132" s="26"/>
      <c r="AB132" s="30">
        <f>Table110[[#This Row],[Hours Used]]-SUM(Table110[[#This Row],[Planned Maintenance]:[Start and Finish Production]])</f>
        <v>24</v>
      </c>
      <c r="AC132" s="26"/>
      <c r="AD132" s="26">
        <v>0.4</v>
      </c>
      <c r="AE132" s="26"/>
      <c r="AF132" s="26"/>
      <c r="AG132" s="26"/>
      <c r="AH132" s="26"/>
      <c r="AI132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-3.274853801169423E-2</v>
      </c>
      <c r="AJ132" s="24">
        <f ca="1">IFERROR(IF(Table110[[#This Row],[SKU]]="",0,Table110[[#This Row],[Quality Loss (T)]]/(Table110[[#This Row],[SOC (TPD)]]/24)),"")</f>
        <v>0.89122807017543848</v>
      </c>
      <c r="AK132" s="31">
        <f ca="1">IFERROR(IF(Table110[[#This Row],[SKU]]="",0,Table110[[#This Row],[Volume Delivered (T)]]/(Table110[[#This Row],[SOC (TPD)]]/24)),"")</f>
        <v>22.807017543859647</v>
      </c>
      <c r="AL132" s="31">
        <f ca="1">IFERROR(Table110[[#This Row],[Operating Time]]/Table110[[#This Row],[PRODUCTION HOURS]],"")</f>
        <v>0.95029239766081863</v>
      </c>
      <c r="AM132" s="32">
        <v>96</v>
      </c>
      <c r="AN132" s="32" t="s">
        <v>107</v>
      </c>
      <c r="AO132" s="32" t="s">
        <v>105</v>
      </c>
      <c r="AP132" s="32">
        <v>18</v>
      </c>
      <c r="AQ132" s="32">
        <v>14</v>
      </c>
      <c r="AR132" s="32"/>
      <c r="AS132" s="32" t="str">
        <f>IFERROR(SUMIFS(#REF!,#REF!,'Shift Wise-Data Sheet'!A:A,#REF!,"Samridhi Perk Line")/SUMIFS(#REF!,#REF!,'Shift Wise-Data Sheet'!A:A,#REF!,"Samridhi Perk Line"),"")</f>
        <v/>
      </c>
      <c r="AT132" s="32"/>
      <c r="AU132" s="32"/>
      <c r="AV132" s="211">
        <f>IFERROR(VLOOKUP(Table110[[#This Row],[Date]],'Overweight Data'!A130:G1225,6,FALSE),"")</f>
        <v>2.9005524861878455E-2</v>
      </c>
      <c r="AW132" s="221">
        <f ca="1">IFERROR(
   IF(
      OR(Table110[[#This Row],[Operating Time]]=0, (Table110[[#This Row],[Operating Time]]/IF(AD132&lt;=1,AD132+1,AD132))*60=0),
      1,
      ((Table110[[#This Row],[Operating Time]])/IF(AD132&lt;=1,AD132+1,AD132))*60
   ),
"_")</f>
        <v>977.44360902255642</v>
      </c>
      <c r="AX132" s="221">
        <f>COUNTIFS('Downtime Data'!A:A,Table110[[#This Row],[Date]])</f>
        <v>1</v>
      </c>
      <c r="AY132" s="219">
        <f>IFERROR((SUM(Table110[[#This Row],[Minor Stoppages]:[Material Shortages]])/Table110[[#This Row],['# Stops]])*60,"")</f>
        <v>24</v>
      </c>
      <c r="AZ132" s="219">
        <v>5</v>
      </c>
      <c r="BA132" s="33">
        <v>46168</v>
      </c>
    </row>
    <row r="133" spans="1:53" ht="20.149999999999999" customHeight="1" x14ac:dyDescent="0.35">
      <c r="A133" s="21">
        <v>46150</v>
      </c>
      <c r="B133" s="22" t="str">
        <f t="shared" si="2"/>
        <v>Friday</v>
      </c>
      <c r="C133" s="22"/>
      <c r="D133" s="23" t="s">
        <v>108</v>
      </c>
      <c r="E133" s="24" cm="1">
        <f t="array" aca="1" ref="E133" ca="1">IFERROR(INDIRECT(D133),"")</f>
        <v>34.200000000000003</v>
      </c>
      <c r="F133" s="25">
        <v>30</v>
      </c>
      <c r="G133" s="26">
        <v>32.4</v>
      </c>
      <c r="H133" s="27">
        <f ca="1">IFERROR((Table110[[#This Row],[Plan]]/Table110[[#This Row],[Hours Used]])/(Table110[[#This Row],[SOC (TPD)]]/24),"")</f>
        <v>0.8771929824561403</v>
      </c>
      <c r="I133" s="27">
        <f ca="1">IFERROR((Table110[[#This Row],[Volume Delivered (T)]]/Table110[[#This Row],[Hours Used]])/(Table110[[#This Row],[SOC (TPD)]]/24),"")</f>
        <v>0.94736842105263142</v>
      </c>
      <c r="J133" s="28"/>
      <c r="K133" s="28"/>
      <c r="L133" s="28"/>
      <c r="M133" s="25"/>
      <c r="N133" s="29">
        <v>3.9E-2</v>
      </c>
      <c r="O133" s="84">
        <v>15</v>
      </c>
      <c r="P133" s="25"/>
      <c r="Q133" s="25"/>
      <c r="R133" s="70"/>
      <c r="S133" s="71"/>
      <c r="T133" s="30">
        <f>IF(Table110[[#This Row],[SKU]]="",0,24-Table110[[#This Row],[Legal Non-Operating Time]]-Table110[[#This Row],[No Demand Time]]-Table110[[#This Row],[Force Majeure]])</f>
        <v>24</v>
      </c>
      <c r="U133" s="26"/>
      <c r="V133" s="26"/>
      <c r="W133" s="26"/>
      <c r="X133" s="26">
        <v>1</v>
      </c>
      <c r="Y133" s="26"/>
      <c r="Z133" s="26"/>
      <c r="AA133" s="26"/>
      <c r="AB133" s="30">
        <f>Table110[[#This Row],[Hours Used]]-SUM(Table110[[#This Row],[Planned Maintenance]:[Start and Finish Production]])</f>
        <v>23</v>
      </c>
      <c r="AC133" s="26"/>
      <c r="AD133" s="26"/>
      <c r="AE133" s="26"/>
      <c r="AF133" s="26"/>
      <c r="AG133" s="26"/>
      <c r="AH133" s="26"/>
      <c r="AI133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8.7719298245614155E-2</v>
      </c>
      <c r="AJ133" s="24">
        <f ca="1">IFERROR(IF(Table110[[#This Row],[SKU]]="",0,Table110[[#This Row],[Quality Loss (T)]]/(Table110[[#This Row],[SOC (TPD)]]/24)),"")</f>
        <v>0</v>
      </c>
      <c r="AK133" s="31">
        <f ca="1">IFERROR(IF(Table110[[#This Row],[SKU]]="",0,Table110[[#This Row],[Volume Delivered (T)]]/(Table110[[#This Row],[SOC (TPD)]]/24)),"")</f>
        <v>22.736842105263158</v>
      </c>
      <c r="AL133" s="31">
        <f ca="1">IFERROR(Table110[[#This Row],[Operating Time]]/Table110[[#This Row],[PRODUCTION HOURS]],"")</f>
        <v>0.98855835240274603</v>
      </c>
      <c r="AM133" s="32">
        <v>103</v>
      </c>
      <c r="AN133" s="32" t="s">
        <v>107</v>
      </c>
      <c r="AO133" s="32" t="s">
        <v>107</v>
      </c>
      <c r="AP133" s="32">
        <v>2</v>
      </c>
      <c r="AQ133" s="32">
        <v>2</v>
      </c>
      <c r="AR133" s="32"/>
      <c r="AS133" s="32" t="str">
        <f>IFERROR(SUMIFS(#REF!,#REF!,'Shift Wise-Data Sheet'!A:A,#REF!,"Samridhi Perk Line")/SUMIFS(#REF!,#REF!,'Shift Wise-Data Sheet'!A:A,#REF!,"Samridhi Perk Line"),"")</f>
        <v/>
      </c>
      <c r="AT133" s="32"/>
      <c r="AU133" s="32"/>
      <c r="AV133" s="211">
        <f>IFERROR(VLOOKUP(Table110[[#This Row],[Date]],'Overweight Data'!A131:G1226,6,FALSE),"")</f>
        <v>3.0920810313075493E-2</v>
      </c>
      <c r="AW133" s="221">
        <f ca="1">IFERROR(
   IF(
      OR(Table110[[#This Row],[Operating Time]]=0, (Table110[[#This Row],[Operating Time]]/IF(AD133&lt;=1,AD133+1,AD133))*60=0),
      1,
      ((Table110[[#This Row],[Operating Time]])/IF(AD133&lt;=1,AD133+1,AD133))*60
   ),
"_")</f>
        <v>1364.2105263157894</v>
      </c>
      <c r="AX133" s="221">
        <f>COUNTIFS('Downtime Data'!A:A,Table110[[#This Row],[Date]])</f>
        <v>2</v>
      </c>
      <c r="AY133" s="219">
        <f>IFERROR((SUM(Table110[[#This Row],[Minor Stoppages]:[Material Shortages]])/Table110[[#This Row],['# Stops]])*60,"")</f>
        <v>0</v>
      </c>
      <c r="AZ133" s="219"/>
      <c r="BA133" s="33">
        <v>46168</v>
      </c>
    </row>
    <row r="134" spans="1:53" ht="20.149999999999999" customHeight="1" x14ac:dyDescent="0.35">
      <c r="A134" s="21">
        <v>46151</v>
      </c>
      <c r="B134" s="22" t="str">
        <f t="shared" si="2"/>
        <v>Saturday</v>
      </c>
      <c r="C134" s="22"/>
      <c r="D134" s="23" t="s">
        <v>106</v>
      </c>
      <c r="E134" s="24" cm="1">
        <f t="array" aca="1" ref="E134" ca="1">IFERROR(INDIRECT(D134),"")</f>
        <v>39.200000000000003</v>
      </c>
      <c r="F134" s="25">
        <v>30</v>
      </c>
      <c r="G134" s="26">
        <v>30.8</v>
      </c>
      <c r="H134" s="27">
        <f ca="1">IFERROR((Table110[[#This Row],[Plan]]/Table110[[#This Row],[Hours Used]])/(Table110[[#This Row],[SOC (TPD)]]/24),"")</f>
        <v>0.76530612244897955</v>
      </c>
      <c r="I134" s="27">
        <f ca="1">IFERROR((Table110[[#This Row],[Volume Delivered (T)]]/Table110[[#This Row],[Hours Used]])/(Table110[[#This Row],[SOC (TPD)]]/24),"")</f>
        <v>0.7857142857142857</v>
      </c>
      <c r="J134" s="28"/>
      <c r="K134" s="28"/>
      <c r="L134" s="28"/>
      <c r="M134" s="25"/>
      <c r="N134" s="29"/>
      <c r="O134" s="84"/>
      <c r="P134" s="25"/>
      <c r="Q134" s="25"/>
      <c r="R134" s="70"/>
      <c r="S134" s="71"/>
      <c r="T134" s="30">
        <f>IF(Table110[[#This Row],[SKU]]="",0,24-Table110[[#This Row],[Legal Non-Operating Time]]-Table110[[#This Row],[No Demand Time]]-Table110[[#This Row],[Force Majeure]])</f>
        <v>24</v>
      </c>
      <c r="U134" s="26"/>
      <c r="V134" s="26"/>
      <c r="W134" s="26"/>
      <c r="X134" s="26"/>
      <c r="Y134" s="26"/>
      <c r="Z134" s="26"/>
      <c r="AA134" s="26"/>
      <c r="AB134" s="30">
        <f>Table110[[#This Row],[Hours Used]]-SUM(Table110[[#This Row],[Planned Maintenance]:[Start and Finish Production]])</f>
        <v>24</v>
      </c>
      <c r="AC134" s="26"/>
      <c r="AD134" s="26">
        <v>2</v>
      </c>
      <c r="AE134" s="26"/>
      <c r="AF134" s="26">
        <f>20/60</f>
        <v>0.33333333333333331</v>
      </c>
      <c r="AG134" s="26"/>
      <c r="AH134" s="26"/>
      <c r="AI134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0.93650793650793795</v>
      </c>
      <c r="AJ134" s="24">
        <f ca="1">IFERROR(IF(Table110[[#This Row],[SKU]]="",0,Table110[[#This Row],[Quality Loss (T)]]/(Table110[[#This Row],[SOC (TPD)]]/24)),"")</f>
        <v>0</v>
      </c>
      <c r="AK134" s="31">
        <f ca="1">IFERROR(IF(Table110[[#This Row],[SKU]]="",0,Table110[[#This Row],[Volume Delivered (T)]]/(Table110[[#This Row],[SOC (TPD)]]/24)),"")</f>
        <v>18.857142857142854</v>
      </c>
      <c r="AL134" s="31">
        <f ca="1">IFERROR(Table110[[#This Row],[Operating Time]]/Table110[[#This Row],[PRODUCTION HOURS]],"")</f>
        <v>0.78571428571428559</v>
      </c>
      <c r="AM134" s="32">
        <v>112</v>
      </c>
      <c r="AN134" s="32" t="s">
        <v>107</v>
      </c>
      <c r="AO134" s="32" t="s">
        <v>107</v>
      </c>
      <c r="AP134" s="32">
        <v>0</v>
      </c>
      <c r="AQ134" s="32">
        <v>0</v>
      </c>
      <c r="AR134" s="32"/>
      <c r="AS134" s="32" t="str">
        <f>IFERROR(SUMIFS(#REF!,#REF!,'Shift Wise-Data Sheet'!A:A,#REF!,"Samridhi Perk Line")/SUMIFS(#REF!,#REF!,'Shift Wise-Data Sheet'!A:A,#REF!,"Samridhi Perk Line"),"")</f>
        <v/>
      </c>
      <c r="AT134" s="32"/>
      <c r="AU134" s="32"/>
      <c r="AV134" s="211">
        <f>IFERROR(VLOOKUP(Table110[[#This Row],[Date]],'Overweight Data'!A132:G1227,6,FALSE),"")</f>
        <v>2.6169429097605907E-2</v>
      </c>
      <c r="AW134" s="221">
        <f ca="1">IFERROR(
   IF(
      OR(Table110[[#This Row],[Operating Time]]=0, (Table110[[#This Row],[Operating Time]]/IF(AD134&lt;=1,AD134+1,AD134))*60=0),
      1,
      ((Table110[[#This Row],[Operating Time]])/IF(AD134&lt;=1,AD134+1,AD134))*60
   ),
"_")</f>
        <v>565.71428571428567</v>
      </c>
      <c r="AX134" s="221">
        <f>COUNTIFS('Downtime Data'!A:A,Table110[[#This Row],[Date]])</f>
        <v>2</v>
      </c>
      <c r="AY134" s="219">
        <f>IFERROR((SUM(Table110[[#This Row],[Minor Stoppages]:[Material Shortages]])/Table110[[#This Row],['# Stops]])*60,"")</f>
        <v>70</v>
      </c>
      <c r="AZ134" s="219"/>
      <c r="BA134" s="33">
        <v>46168</v>
      </c>
    </row>
    <row r="135" spans="1:53" ht="20.149999999999999" customHeight="1" x14ac:dyDescent="0.35">
      <c r="A135" s="21">
        <v>46152</v>
      </c>
      <c r="B135" s="22" t="str">
        <f t="shared" si="2"/>
        <v>Sunday</v>
      </c>
      <c r="C135" s="22"/>
      <c r="D135" s="23" t="s">
        <v>106</v>
      </c>
      <c r="E135" s="24" cm="1">
        <f t="array" aca="1" ref="E135" ca="1">IFERROR(INDIRECT(D135),"")</f>
        <v>39.200000000000003</v>
      </c>
      <c r="F135" s="25">
        <v>30</v>
      </c>
      <c r="G135" s="26">
        <f>27.9+2.5</f>
        <v>30.4</v>
      </c>
      <c r="H135" s="27">
        <f ca="1">IFERROR((Table110[[#This Row],[Plan]]/Table110[[#This Row],[Hours Used]])/(Table110[[#This Row],[SOC (TPD)]]/24),"")</f>
        <v>0.76530612244897955</v>
      </c>
      <c r="I135" s="27">
        <f ca="1">IFERROR((Table110[[#This Row],[Volume Delivered (T)]]/Table110[[#This Row],[Hours Used]])/(Table110[[#This Row],[SOC (TPD)]]/24),"")</f>
        <v>0.77551020408163251</v>
      </c>
      <c r="J135" s="28"/>
      <c r="K135" s="28"/>
      <c r="L135" s="28"/>
      <c r="M135" s="25">
        <f>0.43+1.02+0.18+0.57-0.25-0.7</f>
        <v>1.2499999999999998</v>
      </c>
      <c r="N135" s="29">
        <v>4.9000000000000002E-2</v>
      </c>
      <c r="O135" s="84"/>
      <c r="P135" s="25"/>
      <c r="Q135" s="25"/>
      <c r="R135" s="70"/>
      <c r="S135" s="71"/>
      <c r="T135" s="30">
        <f>IF(Table110[[#This Row],[SKU]]="",0,24-Table110[[#This Row],[Legal Non-Operating Time]]-Table110[[#This Row],[No Demand Time]]-Table110[[#This Row],[Force Majeure]])</f>
        <v>24</v>
      </c>
      <c r="U135" s="26"/>
      <c r="V135" s="26"/>
      <c r="W135" s="26">
        <v>1.9</v>
      </c>
      <c r="X135" s="26"/>
      <c r="Y135" s="26"/>
      <c r="Z135" s="26"/>
      <c r="AA135" s="26"/>
      <c r="AB135" s="30">
        <f>Table110[[#This Row],[Hours Used]]-SUM(Table110[[#This Row],[Planned Maintenance]:[Start and Finish Production]])</f>
        <v>22.1</v>
      </c>
      <c r="AC135" s="26"/>
      <c r="AD135" s="26"/>
      <c r="AE135" s="26"/>
      <c r="AF135" s="26"/>
      <c r="AG135" s="26"/>
      <c r="AH135" s="26"/>
      <c r="AI135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0.90748299319728076</v>
      </c>
      <c r="AJ135" s="24">
        <f ca="1">IFERROR(IF(Table110[[#This Row],[SKU]]="",0,Table110[[#This Row],[Quality Loss (T)]]/(Table110[[#This Row],[SOC (TPD)]]/24)),"")</f>
        <v>0.76530612244897933</v>
      </c>
      <c r="AK135" s="31">
        <f ca="1">IFERROR(IF(Table110[[#This Row],[SKU]]="",0,Table110[[#This Row],[Volume Delivered (T)]]/(Table110[[#This Row],[SOC (TPD)]]/24)),"")</f>
        <v>18.612244897959179</v>
      </c>
      <c r="AL135" s="31">
        <f ca="1">IFERROR(Table110[[#This Row],[Operating Time]]/Table110[[#This Row],[PRODUCTION HOURS]],"")</f>
        <v>0.84218302705697634</v>
      </c>
      <c r="AM135" s="32">
        <v>106</v>
      </c>
      <c r="AN135" s="32" t="s">
        <v>107</v>
      </c>
      <c r="AO135" s="32" t="s">
        <v>107</v>
      </c>
      <c r="AP135" s="32">
        <v>0</v>
      </c>
      <c r="AQ135" s="32">
        <v>0</v>
      </c>
      <c r="AR135" s="32"/>
      <c r="AS135" s="32" t="str">
        <f>IFERROR(SUMIFS(#REF!,#REF!,'Shift Wise-Data Sheet'!A:A,#REF!,"Samridhi Perk Line")/SUMIFS(#REF!,#REF!,'Shift Wise-Data Sheet'!A:A,#REF!,"Samridhi Perk Line"),"")</f>
        <v/>
      </c>
      <c r="AT135" s="32"/>
      <c r="AU135" s="32"/>
      <c r="AV135" s="211">
        <f>IFERROR(VLOOKUP(Table110[[#This Row],[Date]],'Overweight Data'!A133:G1228,6,FALSE),"")</f>
        <v>5.749539594843462E-2</v>
      </c>
      <c r="AW135" s="221">
        <f ca="1">IFERROR(
   IF(
      OR(Table110[[#This Row],[Operating Time]]=0, (Table110[[#This Row],[Operating Time]]/IF(AD135&lt;=1,AD135+1,AD135))*60=0),
      1,
      ((Table110[[#This Row],[Operating Time]])/IF(AD135&lt;=1,AD135+1,AD135))*60
   ),
"_")</f>
        <v>1116.7346938775509</v>
      </c>
      <c r="AX135" s="221">
        <f>COUNTIFS('Downtime Data'!A:A,Table110[[#This Row],[Date]])</f>
        <v>1</v>
      </c>
      <c r="AY135" s="219">
        <f>IFERROR((SUM(Table110[[#This Row],[Minor Stoppages]:[Material Shortages]])/Table110[[#This Row],['# Stops]])*60,"")</f>
        <v>0</v>
      </c>
      <c r="AZ135" s="219"/>
      <c r="BA135" s="33">
        <v>46168</v>
      </c>
    </row>
    <row r="136" spans="1:53" ht="20.149999999999999" customHeight="1" x14ac:dyDescent="0.35">
      <c r="A136" s="21">
        <v>46153</v>
      </c>
      <c r="B136" s="22" t="str">
        <f t="shared" si="2"/>
        <v>Monday</v>
      </c>
      <c r="C136" s="22"/>
      <c r="D136" s="23" t="s">
        <v>106</v>
      </c>
      <c r="E136" s="24" cm="1">
        <f t="array" aca="1" ref="E136" ca="1">IFERROR(INDIRECT(D136),"")</f>
        <v>39.200000000000003</v>
      </c>
      <c r="F136" s="25">
        <v>17</v>
      </c>
      <c r="G136" s="26">
        <v>12</v>
      </c>
      <c r="H136" s="27">
        <f ca="1">IFERROR((Table110[[#This Row],[Plan]]/Table110[[#This Row],[Hours Used]])/(Table110[[#This Row],[SOC (TPD)]]/24),"")</f>
        <v>0.43367346938775508</v>
      </c>
      <c r="I136" s="27">
        <f ca="1">IFERROR((Table110[[#This Row],[Volume Delivered (T)]]/Table110[[#This Row],[Hours Used]])/(Table110[[#This Row],[SOC (TPD)]]/24),"")</f>
        <v>0.30612244897959179</v>
      </c>
      <c r="J136" s="28"/>
      <c r="K136" s="28"/>
      <c r="L136" s="28"/>
      <c r="M136" s="25">
        <f>0.25+0.83+0.12+0.48-0.17-0.36</f>
        <v>1.1500000000000004</v>
      </c>
      <c r="N136" s="29">
        <v>4.9000000000000002E-2</v>
      </c>
      <c r="O136" s="84"/>
      <c r="P136" s="25"/>
      <c r="Q136" s="25"/>
      <c r="R136" s="70"/>
      <c r="S136" s="71"/>
      <c r="T136" s="30">
        <f>IF(Table110[[#This Row],[SKU]]="",0,24-Table110[[#This Row],[Legal Non-Operating Time]]-Table110[[#This Row],[No Demand Time]]-Table110[[#This Row],[Force Majeure]])</f>
        <v>24</v>
      </c>
      <c r="U136" s="26"/>
      <c r="V136" s="26"/>
      <c r="W136" s="26">
        <v>14</v>
      </c>
      <c r="X136" s="26"/>
      <c r="Y136" s="26"/>
      <c r="Z136" s="26"/>
      <c r="AA136" s="26"/>
      <c r="AB136" s="30">
        <f>Table110[[#This Row],[Hours Used]]-SUM(Table110[[#This Row],[Planned Maintenance]:[Start and Finish Production]])</f>
        <v>10</v>
      </c>
      <c r="AC136" s="26">
        <v>0.5</v>
      </c>
      <c r="AD136" s="26"/>
      <c r="AE136" s="26"/>
      <c r="AF136" s="26"/>
      <c r="AG136" s="26"/>
      <c r="AH136" s="26"/>
      <c r="AI136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0.48299319727891188</v>
      </c>
      <c r="AJ136" s="24">
        <f ca="1">IFERROR(IF(Table110[[#This Row],[SKU]]="",0,Table110[[#This Row],[Quality Loss (T)]]/(Table110[[#This Row],[SOC (TPD)]]/24)),"")</f>
        <v>0.70408163265306134</v>
      </c>
      <c r="AK136" s="31">
        <f ca="1">IFERROR(IF(Table110[[#This Row],[SKU]]="",0,Table110[[#This Row],[Volume Delivered (T)]]/(Table110[[#This Row],[SOC (TPD)]]/24)),"")</f>
        <v>7.3469387755102034</v>
      </c>
      <c r="AL136" s="31">
        <f ca="1">IFERROR(Table110[[#This Row],[Operating Time]]/Table110[[#This Row],[PRODUCTION HOURS]],"")</f>
        <v>0.73469387755102034</v>
      </c>
      <c r="AM136" s="32">
        <v>71</v>
      </c>
      <c r="AN136" s="32" t="s">
        <v>107</v>
      </c>
      <c r="AO136" s="32" t="s">
        <v>105</v>
      </c>
      <c r="AP136" s="32">
        <v>1</v>
      </c>
      <c r="AQ136" s="32">
        <v>1</v>
      </c>
      <c r="AR136" s="32"/>
      <c r="AS136" s="32" t="str">
        <f>IFERROR(SUMIFS(#REF!,#REF!,'Shift Wise-Data Sheet'!A:A,#REF!,"Samridhi Perk Line")/SUMIFS(#REF!,#REF!,'Shift Wise-Data Sheet'!A:A,#REF!,"Samridhi Perk Line"),"")</f>
        <v/>
      </c>
      <c r="AT136" s="32"/>
      <c r="AU136" s="32"/>
      <c r="AV136" s="211">
        <f>IFERROR(VLOOKUP(Table110[[#This Row],[Date]],'Overweight Data'!A134:G1229,6,FALSE),"")</f>
        <v>4.9861878453038702E-2</v>
      </c>
      <c r="AW136" s="221">
        <f ca="1">IFERROR(
   IF(
      OR(Table110[[#This Row],[Operating Time]]=0, (Table110[[#This Row],[Operating Time]]/IF(AD136&lt;=1,AD136+1,AD136))*60=0),
      1,
      ((Table110[[#This Row],[Operating Time]])/IF(AD136&lt;=1,AD136+1,AD136))*60
   ),
"_")</f>
        <v>440.81632653061217</v>
      </c>
      <c r="AX136" s="221">
        <f>COUNTIFS('Downtime Data'!A:A,Table110[[#This Row],[Date]])</f>
        <v>0</v>
      </c>
      <c r="AY136" s="219" t="str">
        <f>IFERROR((SUM(Table110[[#This Row],[Minor Stoppages]:[Material Shortages]])/Table110[[#This Row],['# Stops]])*60,"")</f>
        <v/>
      </c>
      <c r="AZ136" s="219"/>
      <c r="BA136" s="33">
        <v>46168</v>
      </c>
    </row>
    <row r="137" spans="1:53" ht="20.149999999999999" customHeight="1" x14ac:dyDescent="0.35">
      <c r="A137" s="21">
        <v>46154</v>
      </c>
      <c r="B137" s="22" t="str">
        <f t="shared" si="2"/>
        <v>Tuesday</v>
      </c>
      <c r="C137" s="22"/>
      <c r="D137" s="23" t="s">
        <v>106</v>
      </c>
      <c r="E137" s="24" cm="1">
        <f t="array" aca="1" ref="E137" ca="1">IFERROR(INDIRECT(D137),"")</f>
        <v>39.200000000000003</v>
      </c>
      <c r="F137" s="25">
        <v>32.5</v>
      </c>
      <c r="G137" s="26">
        <v>28.5</v>
      </c>
      <c r="H137" s="27">
        <f ca="1">IFERROR((Table110[[#This Row],[Plan]]/Table110[[#This Row],[Hours Used]])/(Table110[[#This Row],[SOC (TPD)]]/24),"")</f>
        <v>0.82908163265306112</v>
      </c>
      <c r="I137" s="27">
        <f ca="1">IFERROR((Table110[[#This Row],[Volume Delivered (T)]]/Table110[[#This Row],[Hours Used]])/(Table110[[#This Row],[SOC (TPD)]]/24),"")</f>
        <v>0.7270408163265305</v>
      </c>
      <c r="J137" s="28"/>
      <c r="K137" s="28"/>
      <c r="L137" s="28"/>
      <c r="M137" s="25">
        <f>0.42+1.24+0.16+0.31-0.36-0.75</f>
        <v>1.02</v>
      </c>
      <c r="N137" s="29">
        <v>5.0999999999999997E-2</v>
      </c>
      <c r="O137" s="84"/>
      <c r="P137" s="25"/>
      <c r="Q137" s="25"/>
      <c r="R137" s="70"/>
      <c r="S137" s="71"/>
      <c r="T137" s="30">
        <f>IF(Table110[[#This Row],[SKU]]="",0,24-Table110[[#This Row],[Legal Non-Operating Time]]-Table110[[#This Row],[No Demand Time]]-Table110[[#This Row],[Force Majeure]])</f>
        <v>24</v>
      </c>
      <c r="U137" s="26">
        <v>1</v>
      </c>
      <c r="V137" s="26">
        <v>1</v>
      </c>
      <c r="W137" s="26"/>
      <c r="X137" s="26"/>
      <c r="Y137" s="26">
        <v>0.5</v>
      </c>
      <c r="Z137" s="26"/>
      <c r="AA137" s="26"/>
      <c r="AB137" s="30">
        <f>Table110[[#This Row],[Hours Used]]-SUM(Table110[[#This Row],[Planned Maintenance]:[Start and Finish Production]])</f>
        <v>21.5</v>
      </c>
      <c r="AC137" s="26"/>
      <c r="AD137" s="26">
        <v>1.5</v>
      </c>
      <c r="AE137" s="26"/>
      <c r="AF137" s="26">
        <v>0.75</v>
      </c>
      <c r="AG137" s="26"/>
      <c r="AH137" s="26"/>
      <c r="AI137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0.39217687074829993</v>
      </c>
      <c r="AJ137" s="24">
        <f ca="1">IFERROR(IF(Table110[[#This Row],[SKU]]="",0,Table110[[#This Row],[Quality Loss (T)]]/(Table110[[#This Row],[SOC (TPD)]]/24)),"")</f>
        <v>0.62448979591836729</v>
      </c>
      <c r="AK137" s="31">
        <f ca="1">IFERROR(IF(Table110[[#This Row],[SKU]]="",0,Table110[[#This Row],[Volume Delivered (T)]]/(Table110[[#This Row],[SOC (TPD)]]/24)),"")</f>
        <v>17.448979591836732</v>
      </c>
      <c r="AL137" s="31">
        <f ca="1">IFERROR(Table110[[#This Row],[Operating Time]]/Table110[[#This Row],[PRODUCTION HOURS]],"")</f>
        <v>0.81158044613194102</v>
      </c>
      <c r="AM137" s="32">
        <v>78</v>
      </c>
      <c r="AN137" s="32" t="s">
        <v>107</v>
      </c>
      <c r="AO137" s="32" t="s">
        <v>107</v>
      </c>
      <c r="AP137" s="32">
        <v>0</v>
      </c>
      <c r="AQ137" s="32">
        <v>0</v>
      </c>
      <c r="AR137" s="32"/>
      <c r="AS137" s="32" t="str">
        <f>IFERROR(SUMIFS(#REF!,#REF!,'Shift Wise-Data Sheet'!A:A,#REF!,"Samridhi Perk Line")/SUMIFS(#REF!,#REF!,'Shift Wise-Data Sheet'!A:A,#REF!,"Samridhi Perk Line"),"")</f>
        <v/>
      </c>
      <c r="AT137" s="32"/>
      <c r="AU137" s="32"/>
      <c r="AV137" s="211">
        <f>IFERROR(VLOOKUP(Table110[[#This Row],[Date]],'Overweight Data'!A135:G1230,6,FALSE),"")</f>
        <v>3.8480662983425375E-2</v>
      </c>
      <c r="AW137" s="221">
        <f ca="1">IFERROR(
   IF(
      OR(Table110[[#This Row],[Operating Time]]=0, (Table110[[#This Row],[Operating Time]]/IF(AD137&lt;=1,AD137+1,AD137))*60=0),
      1,
      ((Table110[[#This Row],[Operating Time]])/IF(AD137&lt;=1,AD137+1,AD137))*60
   ),
"_")</f>
        <v>697.95918367346928</v>
      </c>
      <c r="AX137" s="221">
        <f>COUNTIFS('Downtime Data'!A:A,Table110[[#This Row],[Date]])</f>
        <v>4</v>
      </c>
      <c r="AY137" s="219">
        <f>IFERROR((SUM(Table110[[#This Row],[Minor Stoppages]:[Material Shortages]])/Table110[[#This Row],['# Stops]])*60,"")</f>
        <v>33.75</v>
      </c>
      <c r="AZ137" s="219"/>
      <c r="BA137" s="33">
        <v>46168</v>
      </c>
    </row>
    <row r="138" spans="1:53" ht="20.149999999999999" customHeight="1" x14ac:dyDescent="0.35">
      <c r="A138" s="21">
        <v>46155</v>
      </c>
      <c r="B138" s="22" t="str">
        <f t="shared" si="2"/>
        <v>Wednesday</v>
      </c>
      <c r="C138" s="22"/>
      <c r="D138" s="23" t="s">
        <v>106</v>
      </c>
      <c r="E138" s="24" cm="1">
        <f t="array" aca="1" ref="E138" ca="1">IFERROR(INDIRECT(D138),"")</f>
        <v>39.200000000000003</v>
      </c>
      <c r="F138" s="25">
        <v>32.5</v>
      </c>
      <c r="G138" s="26">
        <v>34</v>
      </c>
      <c r="H138" s="27">
        <f ca="1">IFERROR((Table110[[#This Row],[Plan]]/Table110[[#This Row],[Hours Used]])/(Table110[[#This Row],[SOC (TPD)]]/24),"")</f>
        <v>0.82908163265306112</v>
      </c>
      <c r="I138" s="27">
        <f ca="1">IFERROR((Table110[[#This Row],[Volume Delivered (T)]]/Table110[[#This Row],[Hours Used]])/(Table110[[#This Row],[SOC (TPD)]]/24),"")</f>
        <v>0.86734693877551017</v>
      </c>
      <c r="J138" s="28"/>
      <c r="K138" s="28"/>
      <c r="L138" s="28"/>
      <c r="M138" s="25">
        <f>0.24+1.12+0.2+0.55-0.24-0.53</f>
        <v>1.3400000000000003</v>
      </c>
      <c r="N138" s="29">
        <v>4.9000000000000002E-2</v>
      </c>
      <c r="O138" s="84">
        <v>14</v>
      </c>
      <c r="P138" s="25"/>
      <c r="Q138" s="25"/>
      <c r="R138" s="70"/>
      <c r="S138" s="71"/>
      <c r="T138" s="30">
        <f>IF(Table110[[#This Row],[SKU]]="",0,24-Table110[[#This Row],[Legal Non-Operating Time]]-Table110[[#This Row],[No Demand Time]]-Table110[[#This Row],[Force Majeure]])</f>
        <v>24</v>
      </c>
      <c r="U138" s="26">
        <v>1</v>
      </c>
      <c r="V138" s="26"/>
      <c r="W138" s="26"/>
      <c r="X138" s="26"/>
      <c r="Y138" s="26"/>
      <c r="Z138" s="26"/>
      <c r="AA138" s="26"/>
      <c r="AB138" s="30">
        <f>Table110[[#This Row],[Hours Used]]-SUM(Table110[[#This Row],[Planned Maintenance]:[Start and Finish Production]])</f>
        <v>23</v>
      </c>
      <c r="AC138" s="26"/>
      <c r="AD138" s="26">
        <v>1</v>
      </c>
      <c r="AE138" s="26"/>
      <c r="AF138" s="26"/>
      <c r="AG138" s="26"/>
      <c r="AH138" s="26"/>
      <c r="AI138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0.12108843537415008</v>
      </c>
      <c r="AJ138" s="24">
        <f ca="1">IFERROR(IF(Table110[[#This Row],[SKU]]="",0,Table110[[#This Row],[Quality Loss (T)]]/(Table110[[#This Row],[SOC (TPD)]]/24)),"")</f>
        <v>0.82040816326530619</v>
      </c>
      <c r="AK138" s="31">
        <f ca="1">IFERROR(IF(Table110[[#This Row],[SKU]]="",0,Table110[[#This Row],[Volume Delivered (T)]]/(Table110[[#This Row],[SOC (TPD)]]/24)),"")</f>
        <v>20.816326530612244</v>
      </c>
      <c r="AL138" s="31">
        <f ca="1">IFERROR(Table110[[#This Row],[Operating Time]]/Table110[[#This Row],[PRODUCTION HOURS]],"")</f>
        <v>0.9050576752440106</v>
      </c>
      <c r="AM138" s="32">
        <v>86</v>
      </c>
      <c r="AN138" s="32" t="s">
        <v>107</v>
      </c>
      <c r="AO138" s="32" t="s">
        <v>107</v>
      </c>
      <c r="AP138" s="32">
        <v>1</v>
      </c>
      <c r="AQ138" s="32">
        <v>1</v>
      </c>
      <c r="AR138" s="32"/>
      <c r="AS138" s="32" t="str">
        <f>IFERROR(SUMIFS(#REF!,#REF!,'Shift Wise-Data Sheet'!A:A,#REF!,"Samridhi Perk Line")/SUMIFS(#REF!,#REF!,'Shift Wise-Data Sheet'!A:A,#REF!,"Samridhi Perk Line"),"")</f>
        <v/>
      </c>
      <c r="AT138" s="32"/>
      <c r="AU138" s="32"/>
      <c r="AV138" s="211">
        <f>IFERROR(VLOOKUP(Table110[[#This Row],[Date]],'Overweight Data'!A136:G1231,6,FALSE),"")</f>
        <v>2.7154696132596693E-2</v>
      </c>
      <c r="AW138" s="221">
        <f ca="1">IFERROR(
   IF(
      OR(Table110[[#This Row],[Operating Time]]=0, (Table110[[#This Row],[Operating Time]]/IF(AD138&lt;=1,AD138+1,AD138))*60=0),
      1,
      ((Table110[[#This Row],[Operating Time]])/IF(AD138&lt;=1,AD138+1,AD138))*60
   ),
"_")</f>
        <v>624.48979591836735</v>
      </c>
      <c r="AX138" s="221">
        <f>COUNTIFS('Downtime Data'!A:A,Table110[[#This Row],[Date]])</f>
        <v>1</v>
      </c>
      <c r="AY138" s="219">
        <f>IFERROR((SUM(Table110[[#This Row],[Minor Stoppages]:[Material Shortages]])/Table110[[#This Row],['# Stops]])*60,"")</f>
        <v>60</v>
      </c>
      <c r="AZ138" s="219"/>
      <c r="BA138" s="33">
        <v>46168</v>
      </c>
    </row>
    <row r="139" spans="1:53" ht="20.149999999999999" customHeight="1" x14ac:dyDescent="0.35">
      <c r="A139" s="21">
        <v>46156</v>
      </c>
      <c r="B139" s="22" t="str">
        <f t="shared" ref="B139:B202" si="3">IF(A139="","",TEXT(A139,"dddddd"))</f>
        <v>Thursday</v>
      </c>
      <c r="C139" s="22"/>
      <c r="D139" s="23" t="s">
        <v>106</v>
      </c>
      <c r="E139" s="24" cm="1">
        <f t="array" aca="1" ref="E139" ca="1">IFERROR(INDIRECT(D139),"")</f>
        <v>39.200000000000003</v>
      </c>
      <c r="F139" s="25">
        <v>32.5</v>
      </c>
      <c r="G139" s="26">
        <v>33</v>
      </c>
      <c r="H139" s="27">
        <f ca="1">IFERROR((Table110[[#This Row],[Plan]]/Table110[[#This Row],[Hours Used]])/(Table110[[#This Row],[SOC (TPD)]]/24),"")</f>
        <v>0.82908163265306112</v>
      </c>
      <c r="I139" s="27">
        <f ca="1">IFERROR((Table110[[#This Row],[Volume Delivered (T)]]/Table110[[#This Row],[Hours Used]])/(Table110[[#This Row],[SOC (TPD)]]/24),"")</f>
        <v>0.84183673469387743</v>
      </c>
      <c r="J139" s="28"/>
      <c r="K139" s="28"/>
      <c r="L139" s="28"/>
      <c r="M139" s="25">
        <f>0.38+1.13+0.15+0.4-0.3-0.68</f>
        <v>1.0799999999999996</v>
      </c>
      <c r="N139" s="29">
        <v>4.9000000000000002E-2</v>
      </c>
      <c r="O139" s="84">
        <v>14</v>
      </c>
      <c r="P139" s="25"/>
      <c r="Q139" s="25"/>
      <c r="R139" s="70"/>
      <c r="S139" s="71"/>
      <c r="T139" s="30">
        <f>IF(Table110[[#This Row],[SKU]]="",0,24-Table110[[#This Row],[Legal Non-Operating Time]]-Table110[[#This Row],[No Demand Time]]-Table110[[#This Row],[Force Majeure]])</f>
        <v>24</v>
      </c>
      <c r="U139" s="26"/>
      <c r="V139" s="26">
        <v>1</v>
      </c>
      <c r="W139" s="26"/>
      <c r="X139" s="26"/>
      <c r="Y139" s="26"/>
      <c r="Z139" s="26"/>
      <c r="AA139" s="26"/>
      <c r="AB139" s="30">
        <f>Table110[[#This Row],[Hours Used]]-SUM(Table110[[#This Row],[Planned Maintenance]:[Start and Finish Production]])</f>
        <v>23</v>
      </c>
      <c r="AC139" s="26">
        <v>0.5</v>
      </c>
      <c r="AD139" s="26"/>
      <c r="AE139" s="26">
        <v>0.5</v>
      </c>
      <c r="AF139" s="26"/>
      <c r="AG139" s="26"/>
      <c r="AH139" s="26"/>
      <c r="AI139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0.37823129251700865</v>
      </c>
      <c r="AJ139" s="24">
        <f ca="1">IFERROR(IF(Table110[[#This Row],[SKU]]="",0,Table110[[#This Row],[Quality Loss (T)]]/(Table110[[#This Row],[SOC (TPD)]]/24)),"")</f>
        <v>0.66122448979591808</v>
      </c>
      <c r="AK139" s="31">
        <f ca="1">IFERROR(IF(Table110[[#This Row],[SKU]]="",0,Table110[[#This Row],[Volume Delivered (T)]]/(Table110[[#This Row],[SOC (TPD)]]/24)),"")</f>
        <v>20.204081632653057</v>
      </c>
      <c r="AL139" s="31">
        <f ca="1">IFERROR(Table110[[#This Row],[Operating Time]]/Table110[[#This Row],[PRODUCTION HOURS]],"")</f>
        <v>0.87843833185448073</v>
      </c>
      <c r="AM139" s="32">
        <v>73</v>
      </c>
      <c r="AN139" s="32" t="s">
        <v>107</v>
      </c>
      <c r="AO139" s="32" t="s">
        <v>107</v>
      </c>
      <c r="AP139" s="32">
        <v>23</v>
      </c>
      <c r="AQ139" s="32">
        <v>21</v>
      </c>
      <c r="AR139" s="32"/>
      <c r="AS139" s="32" t="str">
        <f>IFERROR(SUMIFS(#REF!,#REF!,'Shift Wise-Data Sheet'!A:A,#REF!,"Samridhi Perk Line")/SUMIFS(#REF!,#REF!,'Shift Wise-Data Sheet'!A:A,#REF!,"Samridhi Perk Line"),"")</f>
        <v/>
      </c>
      <c r="AT139" s="32"/>
      <c r="AU139" s="32"/>
      <c r="AV139" s="211">
        <f>IFERROR(VLOOKUP(Table110[[#This Row],[Date]],'Overweight Data'!A137:G1232,6,FALSE),"")</f>
        <v>2.6721915285451231E-2</v>
      </c>
      <c r="AW139" s="221">
        <f ca="1">IFERROR(
   IF(
      OR(Table110[[#This Row],[Operating Time]]=0, (Table110[[#This Row],[Operating Time]]/IF(AD139&lt;=1,AD139+1,AD139))*60=0),
      1,
      ((Table110[[#This Row],[Operating Time]])/IF(AD139&lt;=1,AD139+1,AD139))*60
   ),
"_")</f>
        <v>1212.2448979591834</v>
      </c>
      <c r="AX139" s="221">
        <f>COUNTIFS('Downtime Data'!A:A,Table110[[#This Row],[Date]])</f>
        <v>2</v>
      </c>
      <c r="AY139" s="219">
        <f>IFERROR((SUM(Table110[[#This Row],[Minor Stoppages]:[Material Shortages]])/Table110[[#This Row],['# Stops]])*60,"")</f>
        <v>30</v>
      </c>
      <c r="AZ139" s="219"/>
      <c r="BA139" s="33">
        <v>46168</v>
      </c>
    </row>
    <row r="140" spans="1:53" ht="20.149999999999999" customHeight="1" x14ac:dyDescent="0.35">
      <c r="A140" s="21">
        <v>46157</v>
      </c>
      <c r="B140" s="22" t="str">
        <f t="shared" si="3"/>
        <v>Friday</v>
      </c>
      <c r="C140" s="22"/>
      <c r="D140" s="23" t="s">
        <v>106</v>
      </c>
      <c r="E140" s="24" cm="1">
        <f t="array" aca="1" ref="E140" ca="1">IFERROR(INDIRECT(D140),"")</f>
        <v>39.200000000000003</v>
      </c>
      <c r="F140" s="25">
        <v>30.5</v>
      </c>
      <c r="G140" s="26">
        <v>30.1</v>
      </c>
      <c r="H140" s="27">
        <f ca="1">IFERROR((Table110[[#This Row],[Plan]]/Table110[[#This Row],[Hours Used]])/(Table110[[#This Row],[SOC (TPD)]]/24),"")</f>
        <v>0.77806122448979576</v>
      </c>
      <c r="I140" s="27">
        <f ca="1">IFERROR((Table110[[#This Row],[Volume Delivered (T)]]/Table110[[#This Row],[Hours Used]])/(Table110[[#This Row],[SOC (TPD)]]/24),"")</f>
        <v>0.76785714285714279</v>
      </c>
      <c r="J140" s="28"/>
      <c r="K140" s="28"/>
      <c r="L140" s="28"/>
      <c r="M140" s="25">
        <v>1.2</v>
      </c>
      <c r="N140" s="29">
        <v>4.8000000000000001E-2</v>
      </c>
      <c r="O140" s="84">
        <v>14</v>
      </c>
      <c r="P140" s="25"/>
      <c r="Q140" s="25"/>
      <c r="R140" s="70"/>
      <c r="S140" s="71"/>
      <c r="T140" s="30">
        <f>IF(Table110[[#This Row],[SKU]]="",0,24-Table110[[#This Row],[Legal Non-Operating Time]]-Table110[[#This Row],[No Demand Time]]-Table110[[#This Row],[Force Majeure]])</f>
        <v>24</v>
      </c>
      <c r="U140" s="26"/>
      <c r="V140" s="26"/>
      <c r="W140" s="26"/>
      <c r="X140" s="26">
        <v>2</v>
      </c>
      <c r="Y140" s="26">
        <v>1</v>
      </c>
      <c r="Z140" s="26"/>
      <c r="AA140" s="26"/>
      <c r="AB140" s="30">
        <f>Table110[[#This Row],[Hours Used]]-SUM(Table110[[#This Row],[Planned Maintenance]:[Start and Finish Production]])</f>
        <v>21</v>
      </c>
      <c r="AC140" s="26">
        <v>0.5</v>
      </c>
      <c r="AD140" s="26">
        <v>0.3</v>
      </c>
      <c r="AE140" s="26">
        <f>35/60</f>
        <v>0.58333333333333337</v>
      </c>
      <c r="AF140" s="26"/>
      <c r="AG140" s="26"/>
      <c r="AH140" s="26"/>
      <c r="AI140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0.15113378684807324</v>
      </c>
      <c r="AJ140" s="24">
        <f ca="1">IFERROR(IF(Table110[[#This Row],[SKU]]="",0,Table110[[#This Row],[Quality Loss (T)]]/(Table110[[#This Row],[SOC (TPD)]]/24)),"")</f>
        <v>0.73469387755102034</v>
      </c>
      <c r="AK140" s="31">
        <f ca="1">IFERROR(IF(Table110[[#This Row],[SKU]]="",0,Table110[[#This Row],[Volume Delivered (T)]]/(Table110[[#This Row],[SOC (TPD)]]/24)),"")</f>
        <v>18.428571428571427</v>
      </c>
      <c r="AL140" s="31">
        <f ca="1">IFERROR(Table110[[#This Row],[Operating Time]]/Table110[[#This Row],[PRODUCTION HOURS]],"")</f>
        <v>0.87755102040816324</v>
      </c>
      <c r="AM140" s="32">
        <v>77</v>
      </c>
      <c r="AN140" s="32" t="s">
        <v>107</v>
      </c>
      <c r="AO140" s="32" t="s">
        <v>107</v>
      </c>
      <c r="AP140" s="32">
        <v>0</v>
      </c>
      <c r="AQ140" s="32">
        <v>0</v>
      </c>
      <c r="AR140" s="32"/>
      <c r="AS140" s="32" t="str">
        <f>IFERROR(SUMIFS(#REF!,#REF!,'Shift Wise-Data Sheet'!A:A,#REF!,"Samridhi Perk Line")/SUMIFS(#REF!,#REF!,'Shift Wise-Data Sheet'!A:A,#REF!,"Samridhi Perk Line"),"")</f>
        <v/>
      </c>
      <c r="AT140" s="32"/>
      <c r="AU140" s="32"/>
      <c r="AV140" s="211" t="str">
        <f>IFERROR(VLOOKUP(Table110[[#This Row],[Date]],'Overweight Data'!A138:G1233,6,FALSE),"")</f>
        <v/>
      </c>
      <c r="AW140" s="221">
        <f ca="1">IFERROR(
   IF(
      OR(Table110[[#This Row],[Operating Time]]=0, (Table110[[#This Row],[Operating Time]]/IF(AD140&lt;=1,AD140+1,AD140))*60=0),
      1,
      ((Table110[[#This Row],[Operating Time]])/IF(AD140&lt;=1,AD140+1,AD140))*60
   ),
"_")</f>
        <v>850.5494505494504</v>
      </c>
      <c r="AX140" s="221">
        <f>COUNTIFS('Downtime Data'!A:A,Table110[[#This Row],[Date]])</f>
        <v>3</v>
      </c>
      <c r="AY140" s="219">
        <f>IFERROR((SUM(Table110[[#This Row],[Minor Stoppages]:[Material Shortages]])/Table110[[#This Row],['# Stops]])*60,"")</f>
        <v>27.666666666666664</v>
      </c>
      <c r="AZ140" s="219"/>
      <c r="BA140" s="33">
        <v>46168</v>
      </c>
    </row>
    <row r="141" spans="1:53" ht="20.149999999999999" customHeight="1" x14ac:dyDescent="0.35">
      <c r="A141" s="21">
        <v>46158</v>
      </c>
      <c r="B141" s="22" t="str">
        <f t="shared" si="3"/>
        <v>Saturday</v>
      </c>
      <c r="C141" s="22"/>
      <c r="D141" s="23" t="s">
        <v>106</v>
      </c>
      <c r="E141" s="24" cm="1">
        <f t="array" aca="1" ref="E141" ca="1">IFERROR(INDIRECT(D141),"")</f>
        <v>39.200000000000003</v>
      </c>
      <c r="F141" s="25">
        <v>32.5</v>
      </c>
      <c r="G141" s="26">
        <f>30.8-2.5</f>
        <v>28.3</v>
      </c>
      <c r="H141" s="27">
        <f ca="1">IFERROR((Table110[[#This Row],[Plan]]/Table110[[#This Row],[Hours Used]])/(Table110[[#This Row],[SOC (TPD)]]/24),"")</f>
        <v>0.82908163265306112</v>
      </c>
      <c r="I141" s="27">
        <f ca="1">IFERROR((Table110[[#This Row],[Volume Delivered (T)]]/Table110[[#This Row],[Hours Used]])/(Table110[[#This Row],[SOC (TPD)]]/24),"")</f>
        <v>0.72193877551020402</v>
      </c>
      <c r="J141" s="28"/>
      <c r="K141" s="28"/>
      <c r="L141" s="28"/>
      <c r="M141" s="25">
        <f>0.49+1.22+0.16+0.37-0.27-0.65</f>
        <v>1.3199999999999998</v>
      </c>
      <c r="N141" s="29">
        <v>4.9000000000000002E-2</v>
      </c>
      <c r="O141" s="84">
        <v>5</v>
      </c>
      <c r="P141" s="25"/>
      <c r="Q141" s="25"/>
      <c r="R141" s="70"/>
      <c r="S141" s="71"/>
      <c r="T141" s="30">
        <f>IF(Table110[[#This Row],[SKU]]="",0,24-Table110[[#This Row],[Legal Non-Operating Time]]-Table110[[#This Row],[No Demand Time]]-Table110[[#This Row],[Force Majeure]])</f>
        <v>24</v>
      </c>
      <c r="U141" s="26"/>
      <c r="V141" s="26">
        <v>1</v>
      </c>
      <c r="W141" s="26"/>
      <c r="X141" s="26"/>
      <c r="Y141" s="26"/>
      <c r="Z141" s="26"/>
      <c r="AA141" s="26"/>
      <c r="AB141" s="30">
        <f>Table110[[#This Row],[Hours Used]]-SUM(Table110[[#This Row],[Planned Maintenance]:[Start and Finish Production]])</f>
        <v>23</v>
      </c>
      <c r="AC141" s="26">
        <v>0.5</v>
      </c>
      <c r="AD141" s="26">
        <v>3</v>
      </c>
      <c r="AE141" s="26"/>
      <c r="AF141" s="26"/>
      <c r="AG141" s="26"/>
      <c r="AH141" s="26"/>
      <c r="AI141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0.45510204081632821</v>
      </c>
      <c r="AJ141" s="24">
        <f ca="1">IFERROR(IF(Table110[[#This Row],[SKU]]="",0,Table110[[#This Row],[Quality Loss (T)]]/(Table110[[#This Row],[SOC (TPD)]]/24)),"")</f>
        <v>0.80816326530612226</v>
      </c>
      <c r="AK141" s="31">
        <f ca="1">IFERROR(IF(Table110[[#This Row],[SKU]]="",0,Table110[[#This Row],[Volume Delivered (T)]]/(Table110[[#This Row],[SOC (TPD)]]/24)),"")</f>
        <v>17.326530612244895</v>
      </c>
      <c r="AL141" s="31">
        <f ca="1">IFERROR(Table110[[#This Row],[Operating Time]]/Table110[[#This Row],[PRODUCTION HOURS]],"")</f>
        <v>0.75332741792369107</v>
      </c>
      <c r="AM141" s="32">
        <v>79</v>
      </c>
      <c r="AN141" s="32" t="s">
        <v>107</v>
      </c>
      <c r="AO141" s="32" t="s">
        <v>107</v>
      </c>
      <c r="AP141" s="32">
        <v>0</v>
      </c>
      <c r="AQ141" s="32">
        <v>0</v>
      </c>
      <c r="AR141" s="32"/>
      <c r="AS141" s="32" t="str">
        <f>IFERROR(SUMIFS(#REF!,#REF!,'Shift Wise-Data Sheet'!A:A,#REF!,"Samridhi Perk Line")/SUMIFS(#REF!,#REF!,'Shift Wise-Data Sheet'!A:A,#REF!,"Samridhi Perk Line"),"")</f>
        <v/>
      </c>
      <c r="AT141" s="32"/>
      <c r="AU141" s="32"/>
      <c r="AV141" s="211">
        <f>IFERROR(VLOOKUP(Table110[[#This Row],[Date]],'Overweight Data'!A139:G1234,6,FALSE),"")</f>
        <v>3.0512820512820588E-2</v>
      </c>
      <c r="AW141" s="221">
        <f ca="1">IFERROR(
   IF(
      OR(Table110[[#This Row],[Operating Time]]=0, (Table110[[#This Row],[Operating Time]]/IF(AD141&lt;=1,AD141+1,AD141))*60=0),
      1,
      ((Table110[[#This Row],[Operating Time]])/IF(AD141&lt;=1,AD141+1,AD141))*60
   ),
"_")</f>
        <v>346.5306122448979</v>
      </c>
      <c r="AX141" s="221">
        <f>COUNTIFS('Downtime Data'!A:A,Table110[[#This Row],[Date]])</f>
        <v>2</v>
      </c>
      <c r="AY141" s="219">
        <f>IFERROR((SUM(Table110[[#This Row],[Minor Stoppages]:[Material Shortages]])/Table110[[#This Row],['# Stops]])*60,"")</f>
        <v>105</v>
      </c>
      <c r="AZ141" s="219"/>
      <c r="BA141" s="33">
        <v>46168</v>
      </c>
    </row>
    <row r="142" spans="1:53" ht="20.149999999999999" customHeight="1" x14ac:dyDescent="0.35">
      <c r="A142" s="21">
        <v>46159</v>
      </c>
      <c r="B142" s="22" t="str">
        <f t="shared" si="3"/>
        <v>Sunday</v>
      </c>
      <c r="C142" s="22"/>
      <c r="D142" s="23" t="s">
        <v>106</v>
      </c>
      <c r="E142" s="24" cm="1">
        <f t="array" aca="1" ref="E142" ca="1">IFERROR(INDIRECT(D142),"")</f>
        <v>39.200000000000003</v>
      </c>
      <c r="F142" s="25">
        <v>35.5</v>
      </c>
      <c r="G142" s="26">
        <f>42.8-5.7</f>
        <v>37.099999999999994</v>
      </c>
      <c r="H142" s="27">
        <f ca="1">IFERROR((Table110[[#This Row],[Plan]]/Table110[[#This Row],[Hours Used]])/(Table110[[#This Row],[SOC (TPD)]]/24),"")</f>
        <v>0.90561224489795911</v>
      </c>
      <c r="I142" s="27">
        <f ca="1">IFERROR((Table110[[#This Row],[Volume Delivered (T)]]/Table110[[#This Row],[Hours Used]])/(Table110[[#This Row],[SOC (TPD)]]/24),"")</f>
        <v>0.94642857142857117</v>
      </c>
      <c r="J142" s="28"/>
      <c r="K142" s="28"/>
      <c r="L142" s="28"/>
      <c r="M142" s="25">
        <f>0.36+1.16+0.16+0.37-0.27-0.65</f>
        <v>1.1299999999999999</v>
      </c>
      <c r="N142" s="29">
        <v>4.9000000000000002E-2</v>
      </c>
      <c r="O142" s="84">
        <v>5</v>
      </c>
      <c r="P142" s="25"/>
      <c r="Q142" s="25"/>
      <c r="R142" s="70"/>
      <c r="S142" s="71"/>
      <c r="T142" s="30">
        <f>IF(Table110[[#This Row],[SKU]]="",0,24-Table110[[#This Row],[Legal Non-Operating Time]]-Table110[[#This Row],[No Demand Time]]-Table110[[#This Row],[Force Majeure]])</f>
        <v>24</v>
      </c>
      <c r="U142" s="26"/>
      <c r="V142" s="26"/>
      <c r="W142" s="26"/>
      <c r="X142" s="26"/>
      <c r="Y142" s="26"/>
      <c r="Z142" s="26"/>
      <c r="AA142" s="26"/>
      <c r="AB142" s="30">
        <f>Table110[[#This Row],[Hours Used]]-SUM(Table110[[#This Row],[Planned Maintenance]:[Start and Finish Production]])</f>
        <v>24</v>
      </c>
      <c r="AC142" s="26">
        <v>0.4</v>
      </c>
      <c r="AD142" s="26"/>
      <c r="AE142" s="26"/>
      <c r="AF142" s="26"/>
      <c r="AG142" s="26"/>
      <c r="AH142" s="26"/>
      <c r="AI142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6.4625850340139124E-2</v>
      </c>
      <c r="AJ142" s="24">
        <f ca="1">IFERROR(IF(Table110[[#This Row],[SKU]]="",0,Table110[[#This Row],[Quality Loss (T)]]/(Table110[[#This Row],[SOC (TPD)]]/24)),"")</f>
        <v>0.69183673469387741</v>
      </c>
      <c r="AK142" s="31">
        <f ca="1">IFERROR(IF(Table110[[#This Row],[SKU]]="",0,Table110[[#This Row],[Volume Delivered (T)]]/(Table110[[#This Row],[SOC (TPD)]]/24)),"")</f>
        <v>22.714285714285708</v>
      </c>
      <c r="AL142" s="31">
        <f ca="1">IFERROR(Table110[[#This Row],[Operating Time]]/Table110[[#This Row],[PRODUCTION HOURS]],"")</f>
        <v>0.94642857142857117</v>
      </c>
      <c r="AM142" s="32">
        <v>84</v>
      </c>
      <c r="AN142" s="32" t="s">
        <v>107</v>
      </c>
      <c r="AO142" s="32" t="s">
        <v>107</v>
      </c>
      <c r="AP142" s="32">
        <v>0</v>
      </c>
      <c r="AQ142" s="32">
        <v>0</v>
      </c>
      <c r="AR142" s="32"/>
      <c r="AS142" s="32" t="str">
        <f>IFERROR(SUMIFS(#REF!,#REF!,'Shift Wise-Data Sheet'!A:A,#REF!,"Samridhi Perk Line")/SUMIFS(#REF!,#REF!,'Shift Wise-Data Sheet'!A:A,#REF!,"Samridhi Perk Line"),"")</f>
        <v/>
      </c>
      <c r="AT142" s="32"/>
      <c r="AU142" s="32"/>
      <c r="AV142" s="211">
        <f>IFERROR(VLOOKUP(Table110[[#This Row],[Date]],'Overweight Data'!A140:G1235,6,FALSE),"")</f>
        <v>2.8869463869463916E-2</v>
      </c>
      <c r="AW142" s="221">
        <f ca="1">IFERROR(
   IF(
      OR(Table110[[#This Row],[Operating Time]]=0, (Table110[[#This Row],[Operating Time]]/IF(AD142&lt;=1,AD142+1,AD142))*60=0),
      1,
      ((Table110[[#This Row],[Operating Time]])/IF(AD142&lt;=1,AD142+1,AD142))*60
   ),
"_")</f>
        <v>1362.8571428571424</v>
      </c>
      <c r="AX142" s="221">
        <f>COUNTIFS('Downtime Data'!A:A,Table110[[#This Row],[Date]])</f>
        <v>0</v>
      </c>
      <c r="AY142" s="219" t="str">
        <f>IFERROR((SUM(Table110[[#This Row],[Minor Stoppages]:[Material Shortages]])/Table110[[#This Row],['# Stops]])*60,"")</f>
        <v/>
      </c>
      <c r="AZ142" s="219"/>
      <c r="BA142" s="33">
        <v>46168</v>
      </c>
    </row>
    <row r="143" spans="1:53" ht="20.149999999999999" customHeight="1" x14ac:dyDescent="0.35">
      <c r="A143" s="21">
        <v>46160</v>
      </c>
      <c r="B143" s="22" t="str">
        <f t="shared" si="3"/>
        <v>Monday</v>
      </c>
      <c r="C143" s="22"/>
      <c r="D143" s="23" t="s">
        <v>108</v>
      </c>
      <c r="E143" s="24" cm="1">
        <f t="array" aca="1" ref="E143" ca="1">IFERROR(INDIRECT(D143),"")</f>
        <v>34.200000000000003</v>
      </c>
      <c r="F143" s="25">
        <v>30</v>
      </c>
      <c r="G143" s="26">
        <f>22.3+7.9</f>
        <v>30.200000000000003</v>
      </c>
      <c r="H143" s="27">
        <f ca="1">IFERROR((Table110[[#This Row],[Plan]]/Table110[[#This Row],[Hours Used]])/(Table110[[#This Row],[SOC (TPD)]]/24),"")</f>
        <v>0.8771929824561403</v>
      </c>
      <c r="I143" s="27">
        <f ca="1">IFERROR((Table110[[#This Row],[Volume Delivered (T)]]/Table110[[#This Row],[Hours Used]])/(Table110[[#This Row],[SOC (TPD)]]/24),"")</f>
        <v>0.88304093567251474</v>
      </c>
      <c r="J143" s="28"/>
      <c r="K143" s="28"/>
      <c r="L143" s="28"/>
      <c r="M143" s="25">
        <f>0.39+1.05+0.17+0.37-0.3-0.63</f>
        <v>1.0499999999999998</v>
      </c>
      <c r="N143" s="29">
        <v>4.9000000000000002E-2</v>
      </c>
      <c r="O143" s="84">
        <v>7</v>
      </c>
      <c r="P143" s="25"/>
      <c r="Q143" s="25"/>
      <c r="R143" s="70"/>
      <c r="S143" s="71"/>
      <c r="T143" s="30">
        <f>IF(Table110[[#This Row],[SKU]]="",0,24-Table110[[#This Row],[Legal Non-Operating Time]]-Table110[[#This Row],[No Demand Time]]-Table110[[#This Row],[Force Majeure]])</f>
        <v>24</v>
      </c>
      <c r="U143" s="26"/>
      <c r="V143" s="26">
        <v>0.4</v>
      </c>
      <c r="W143" s="26"/>
      <c r="X143" s="26"/>
      <c r="Y143" s="26"/>
      <c r="Z143" s="26"/>
      <c r="AA143" s="26"/>
      <c r="AB143" s="30">
        <f>Table110[[#This Row],[Hours Used]]-SUM(Table110[[#This Row],[Planned Maintenance]:[Start and Finish Production]])</f>
        <v>23.6</v>
      </c>
      <c r="AC143" s="26"/>
      <c r="AD143" s="26">
        <v>1.7</v>
      </c>
      <c r="AE143" s="26"/>
      <c r="AF143" s="26"/>
      <c r="AG143" s="26"/>
      <c r="AH143" s="26"/>
      <c r="AI143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-9.9415204678360656E-3</v>
      </c>
      <c r="AJ143" s="24">
        <f ca="1">IFERROR(IF(Table110[[#This Row],[SKU]]="",0,Table110[[#This Row],[Quality Loss (T)]]/(Table110[[#This Row],[SOC (TPD)]]/24)),"")</f>
        <v>0.73684210526315774</v>
      </c>
      <c r="AK143" s="31">
        <f ca="1">IFERROR(IF(Table110[[#This Row],[SKU]]="",0,Table110[[#This Row],[Volume Delivered (T)]]/(Table110[[#This Row],[SOC (TPD)]]/24)),"")</f>
        <v>21.192982456140353</v>
      </c>
      <c r="AL143" s="31">
        <f ca="1">IFERROR(Table110[[#This Row],[Operating Time]]/Table110[[#This Row],[PRODUCTION HOURS]],"")</f>
        <v>0.89800773119238775</v>
      </c>
      <c r="AM143" s="32">
        <v>69</v>
      </c>
      <c r="AN143" s="32" t="s">
        <v>107</v>
      </c>
      <c r="AO143" s="32" t="s">
        <v>107</v>
      </c>
      <c r="AP143" s="32">
        <v>0</v>
      </c>
      <c r="AQ143" s="32">
        <v>0</v>
      </c>
      <c r="AR143" s="32"/>
      <c r="AS143" s="32" t="str">
        <f>IFERROR(SUMIFS(#REF!,#REF!,'Shift Wise-Data Sheet'!A:A,#REF!,"Samridhi Perk Line")/SUMIFS(#REF!,#REF!,'Shift Wise-Data Sheet'!A:A,#REF!,"Samridhi Perk Line"),"")</f>
        <v/>
      </c>
      <c r="AT143" s="32"/>
      <c r="AU143" s="32"/>
      <c r="AV143" s="211">
        <f>IFERROR(VLOOKUP(Table110[[#This Row],[Date]],'Overweight Data'!A141:G1236,6,FALSE),"")</f>
        <v>2.9632867132867152E-2</v>
      </c>
      <c r="AW143" s="221">
        <f ca="1">IFERROR(
   IF(
      OR(Table110[[#This Row],[Operating Time]]=0, (Table110[[#This Row],[Operating Time]]/IF(AD143&lt;=1,AD143+1,AD143))*60=0),
      1,
      ((Table110[[#This Row],[Operating Time]])/IF(AD143&lt;=1,AD143+1,AD143))*60
   ),
"_")</f>
        <v>747.98761609907126</v>
      </c>
      <c r="AX143" s="221">
        <f>COUNTIFS('Downtime Data'!A:A,Table110[[#This Row],[Date]])</f>
        <v>1</v>
      </c>
      <c r="AY143" s="219">
        <f>IFERROR((SUM(Table110[[#This Row],[Minor Stoppages]:[Material Shortages]])/Table110[[#This Row],['# Stops]])*60,"")</f>
        <v>102</v>
      </c>
      <c r="AZ143" s="219"/>
      <c r="BA143" s="33">
        <v>46168</v>
      </c>
    </row>
    <row r="144" spans="1:53" ht="20.149999999999999" customHeight="1" x14ac:dyDescent="0.35">
      <c r="A144" s="21">
        <v>46161</v>
      </c>
      <c r="B144" s="22" t="str">
        <f t="shared" si="3"/>
        <v>Tuesday</v>
      </c>
      <c r="C144" s="22"/>
      <c r="D144" s="23" t="s">
        <v>108</v>
      </c>
      <c r="E144" s="24" cm="1">
        <f t="array" aca="1" ref="E144" ca="1">IFERROR(INDIRECT(D144),"")</f>
        <v>34.200000000000003</v>
      </c>
      <c r="F144" s="25">
        <v>30.5</v>
      </c>
      <c r="G144" s="26">
        <v>29.8</v>
      </c>
      <c r="H144" s="27">
        <f ca="1">IFERROR((Table110[[#This Row],[Plan]]/Table110[[#This Row],[Hours Used]])/(Table110[[#This Row],[SOC (TPD)]]/24),"")</f>
        <v>0.89181286549707595</v>
      </c>
      <c r="I144" s="27">
        <f ca="1">IFERROR((Table110[[#This Row],[Volume Delivered (T)]]/Table110[[#This Row],[Hours Used]])/(Table110[[#This Row],[SOC (TPD)]]/24),"")</f>
        <v>0.87134502923976609</v>
      </c>
      <c r="J144" s="28"/>
      <c r="K144" s="28"/>
      <c r="L144" s="28"/>
      <c r="M144" s="25">
        <v>1.1000000000000001</v>
      </c>
      <c r="N144" s="29">
        <v>4.8000000000000001E-2</v>
      </c>
      <c r="O144" s="84">
        <v>6</v>
      </c>
      <c r="P144" s="25"/>
      <c r="Q144" s="25"/>
      <c r="R144" s="70"/>
      <c r="S144" s="71"/>
      <c r="T144" s="30">
        <f>IF(Table110[[#This Row],[SKU]]="",0,24-Table110[[#This Row],[Legal Non-Operating Time]]-Table110[[#This Row],[No Demand Time]]-Table110[[#This Row],[Force Majeure]])</f>
        <v>24</v>
      </c>
      <c r="U144" s="26"/>
      <c r="V144" s="26">
        <v>0.8</v>
      </c>
      <c r="W144" s="26"/>
      <c r="X144" s="26"/>
      <c r="Y144" s="26"/>
      <c r="Z144" s="26"/>
      <c r="AA144" s="26"/>
      <c r="AB144" s="30">
        <f>Table110[[#This Row],[Hours Used]]-SUM(Table110[[#This Row],[Planned Maintenance]:[Start and Finish Production]])</f>
        <v>23.2</v>
      </c>
      <c r="AC144" s="26">
        <v>0.5</v>
      </c>
      <c r="AD144" s="26"/>
      <c r="AE144" s="26">
        <v>1</v>
      </c>
      <c r="AF144" s="26"/>
      <c r="AG144" s="26"/>
      <c r="AH144" s="26"/>
      <c r="AI144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5.263157894736044E-3</v>
      </c>
      <c r="AJ144" s="24">
        <f ca="1">IFERROR(IF(Table110[[#This Row],[SKU]]="",0,Table110[[#This Row],[Quality Loss (T)]]/(Table110[[#This Row],[SOC (TPD)]]/24)),"")</f>
        <v>0.77192982456140358</v>
      </c>
      <c r="AK144" s="31">
        <f ca="1">IFERROR(IF(Table110[[#This Row],[SKU]]="",0,Table110[[#This Row],[Volume Delivered (T)]]/(Table110[[#This Row],[SOC (TPD)]]/24)),"")</f>
        <v>20.912280701754387</v>
      </c>
      <c r="AL144" s="31">
        <f ca="1">IFERROR(Table110[[#This Row],[Operating Time]]/Table110[[#This Row],[PRODUCTION HOURS]],"")</f>
        <v>0.90139140955837882</v>
      </c>
      <c r="AM144" s="32">
        <v>77</v>
      </c>
      <c r="AN144" s="32" t="s">
        <v>107</v>
      </c>
      <c r="AO144" s="32" t="s">
        <v>107</v>
      </c>
      <c r="AP144" s="32">
        <v>4</v>
      </c>
      <c r="AQ144" s="32">
        <v>4</v>
      </c>
      <c r="AR144" s="32"/>
      <c r="AS144" s="32" t="str">
        <f>IFERROR(SUMIFS(#REF!,#REF!,'Shift Wise-Data Sheet'!A:A,#REF!,"Samridhi Perk Line")/SUMIFS(#REF!,#REF!,'Shift Wise-Data Sheet'!A:A,#REF!,"Samridhi Perk Line"),"")</f>
        <v/>
      </c>
      <c r="AT144" s="32"/>
      <c r="AU144" s="32"/>
      <c r="AV144" s="211">
        <f>IFERROR(VLOOKUP(Table110[[#This Row],[Date]],'Overweight Data'!A142:G1237,6,FALSE),"")</f>
        <v>2.3717948717948745E-2</v>
      </c>
      <c r="AW144" s="221">
        <f ca="1">IFERROR(
   IF(
      OR(Table110[[#This Row],[Operating Time]]=0, (Table110[[#This Row],[Operating Time]]/IF(AD144&lt;=1,AD144+1,AD144))*60=0),
      1,
      ((Table110[[#This Row],[Operating Time]])/IF(AD144&lt;=1,AD144+1,AD144))*60
   ),
"_")</f>
        <v>1254.7368421052631</v>
      </c>
      <c r="AX144" s="221">
        <f>COUNTIFS('Downtime Data'!A:A,Table110[[#This Row],[Date]])</f>
        <v>2</v>
      </c>
      <c r="AY144" s="219">
        <f>IFERROR((SUM(Table110[[#This Row],[Minor Stoppages]:[Material Shortages]])/Table110[[#This Row],['# Stops]])*60,"")</f>
        <v>45</v>
      </c>
      <c r="AZ144" s="219"/>
      <c r="BA144" s="33">
        <v>46168</v>
      </c>
    </row>
    <row r="145" spans="1:53" ht="20.149999999999999" customHeight="1" x14ac:dyDescent="0.35">
      <c r="A145" s="21">
        <v>46162</v>
      </c>
      <c r="B145" s="22" t="str">
        <f t="shared" si="3"/>
        <v>Wednesday</v>
      </c>
      <c r="C145" s="22"/>
      <c r="D145" s="23" t="s">
        <v>108</v>
      </c>
      <c r="E145" s="24" cm="1">
        <f t="array" aca="1" ref="E145" ca="1">IFERROR(INDIRECT(D145),"")</f>
        <v>34.200000000000003</v>
      </c>
      <c r="F145" s="25">
        <v>30.5</v>
      </c>
      <c r="G145" s="26">
        <f>23.8+8.8</f>
        <v>32.6</v>
      </c>
      <c r="H145" s="27">
        <f ca="1">IFERROR((Table110[[#This Row],[Plan]]/Table110[[#This Row],[Hours Used]])/(Table110[[#This Row],[SOC (TPD)]]/24),"")</f>
        <v>0.89181286549707595</v>
      </c>
      <c r="I145" s="27">
        <f ca="1">IFERROR((Table110[[#This Row],[Volume Delivered (T)]]/Table110[[#This Row],[Hours Used]])/(Table110[[#This Row],[SOC (TPD)]]/24),"")</f>
        <v>0.95321637426900585</v>
      </c>
      <c r="J145" s="28"/>
      <c r="K145" s="28"/>
      <c r="L145" s="28"/>
      <c r="M145" s="25">
        <f>0.46+1.21+0.18+0.4-0.27-0.53</f>
        <v>1.45</v>
      </c>
      <c r="N145" s="29">
        <v>4.8000000000000001E-2</v>
      </c>
      <c r="O145" s="84">
        <v>6</v>
      </c>
      <c r="P145" s="25"/>
      <c r="Q145" s="25"/>
      <c r="R145" s="70"/>
      <c r="S145" s="71"/>
      <c r="T145" s="30">
        <f>IF(Table110[[#This Row],[SKU]]="",0,24-Table110[[#This Row],[Legal Non-Operating Time]]-Table110[[#This Row],[No Demand Time]]-Table110[[#This Row],[Force Majeure]])</f>
        <v>24</v>
      </c>
      <c r="U145" s="26"/>
      <c r="V145" s="26"/>
      <c r="W145" s="26"/>
      <c r="X145" s="26"/>
      <c r="Y145" s="26"/>
      <c r="Z145" s="26"/>
      <c r="AA145" s="26"/>
      <c r="AB145" s="30">
        <f>Table110[[#This Row],[Hours Used]]-SUM(Table110[[#This Row],[Planned Maintenance]:[Start and Finish Production]])</f>
        <v>24</v>
      </c>
      <c r="AC145" s="26"/>
      <c r="AD145" s="26"/>
      <c r="AE145" s="26"/>
      <c r="AF145" s="26"/>
      <c r="AG145" s="26"/>
      <c r="AH145" s="26"/>
      <c r="AI145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3.5087719298245425E-2</v>
      </c>
      <c r="AJ145" s="24">
        <f ca="1">IFERROR(IF(Table110[[#This Row],[SKU]]="",0,Table110[[#This Row],[Quality Loss (T)]]/(Table110[[#This Row],[SOC (TPD)]]/24)),"")</f>
        <v>1.0175438596491226</v>
      </c>
      <c r="AK145" s="31">
        <f ca="1">IFERROR(IF(Table110[[#This Row],[SKU]]="",0,Table110[[#This Row],[Volume Delivered (T)]]/(Table110[[#This Row],[SOC (TPD)]]/24)),"")</f>
        <v>22.87719298245614</v>
      </c>
      <c r="AL145" s="31">
        <f ca="1">IFERROR(Table110[[#This Row],[Operating Time]]/Table110[[#This Row],[PRODUCTION HOURS]],"")</f>
        <v>0.95321637426900585</v>
      </c>
      <c r="AM145" s="32">
        <v>73</v>
      </c>
      <c r="AN145" s="32" t="s">
        <v>107</v>
      </c>
      <c r="AO145" s="32" t="s">
        <v>107</v>
      </c>
      <c r="AP145" s="32">
        <v>0</v>
      </c>
      <c r="AQ145" s="32">
        <v>0</v>
      </c>
      <c r="AR145" s="32"/>
      <c r="AS145" s="32" t="str">
        <f>IFERROR(SUMIFS(#REF!,#REF!,'Shift Wise-Data Sheet'!A:A,#REF!,"Samridhi Perk Line")/SUMIFS(#REF!,#REF!,'Shift Wise-Data Sheet'!A:A,#REF!,"Samridhi Perk Line"),"")</f>
        <v/>
      </c>
      <c r="AT145" s="32"/>
      <c r="AU145" s="32"/>
      <c r="AV145" s="211">
        <f>IFERROR(VLOOKUP(Table110[[#This Row],[Date]],'Overweight Data'!A143:G1238,6,FALSE),"")</f>
        <v>2.2115384615384575E-2</v>
      </c>
      <c r="AW145" s="221">
        <f ca="1">IFERROR(
   IF(
      OR(Table110[[#This Row],[Operating Time]]=0, (Table110[[#This Row],[Operating Time]]/IF(AD145&lt;=1,AD145+1,AD145))*60=0),
      1,
      ((Table110[[#This Row],[Operating Time]])/IF(AD145&lt;=1,AD145+1,AD145))*60
   ),
"_")</f>
        <v>1372.6315789473683</v>
      </c>
      <c r="AX145" s="221">
        <f>COUNTIFS('Downtime Data'!A:A,Table110[[#This Row],[Date]])</f>
        <v>0</v>
      </c>
      <c r="AY145" s="219" t="str">
        <f>IFERROR((SUM(Table110[[#This Row],[Minor Stoppages]:[Material Shortages]])/Table110[[#This Row],['# Stops]])*60,"")</f>
        <v/>
      </c>
      <c r="AZ145" s="219"/>
      <c r="BA145" s="33">
        <v>46168</v>
      </c>
    </row>
    <row r="146" spans="1:53" ht="20.149999999999999" customHeight="1" x14ac:dyDescent="0.35">
      <c r="A146" s="21">
        <v>46163</v>
      </c>
      <c r="B146" s="22" t="str">
        <f t="shared" si="3"/>
        <v>Thursday</v>
      </c>
      <c r="C146" s="22"/>
      <c r="D146" s="23" t="s">
        <v>108</v>
      </c>
      <c r="E146" s="24" cm="1">
        <f t="array" aca="1" ref="E146" ca="1">IFERROR(INDIRECT(D146),"")</f>
        <v>34.200000000000003</v>
      </c>
      <c r="F146" s="25">
        <v>30.5</v>
      </c>
      <c r="G146" s="26">
        <f>23.5+4.6</f>
        <v>28.1</v>
      </c>
      <c r="H146" s="27">
        <f ca="1">IFERROR((Table110[[#This Row],[Plan]]/Table110[[#This Row],[Hours Used]])/(Table110[[#This Row],[SOC (TPD)]]/24),"")</f>
        <v>0.89181286549707595</v>
      </c>
      <c r="I146" s="27">
        <f ca="1">IFERROR((Table110[[#This Row],[Volume Delivered (T)]]/Table110[[#This Row],[Hours Used]])/(Table110[[#This Row],[SOC (TPD)]]/24),"")</f>
        <v>0.82163742690058483</v>
      </c>
      <c r="J146" s="28"/>
      <c r="K146" s="28"/>
      <c r="L146" s="28"/>
      <c r="M146" s="25">
        <f>0.52+1.1+0.16+0.37-0.32-0.53</f>
        <v>1.2999999999999998</v>
      </c>
      <c r="N146" s="29">
        <v>4.8000000000000001E-2</v>
      </c>
      <c r="O146" s="84">
        <v>2</v>
      </c>
      <c r="P146" s="25"/>
      <c r="Q146" s="25"/>
      <c r="R146" s="70"/>
      <c r="S146" s="71"/>
      <c r="T146" s="30">
        <f>IF(Table110[[#This Row],[SKU]]="",0,24-Table110[[#This Row],[Legal Non-Operating Time]]-Table110[[#This Row],[No Demand Time]]-Table110[[#This Row],[Force Majeure]])</f>
        <v>24</v>
      </c>
      <c r="U146" s="26"/>
      <c r="V146" s="26">
        <v>0.5</v>
      </c>
      <c r="W146" s="26"/>
      <c r="X146" s="26"/>
      <c r="Y146" s="26"/>
      <c r="Z146" s="26"/>
      <c r="AA146" s="26"/>
      <c r="AB146" s="30">
        <f>Table110[[#This Row],[Hours Used]]-SUM(Table110[[#This Row],[Planned Maintenance]:[Start and Finish Production]])</f>
        <v>23.5</v>
      </c>
      <c r="AC146" s="26">
        <v>0.5</v>
      </c>
      <c r="AD146" s="26"/>
      <c r="AE146" s="26">
        <v>1.5</v>
      </c>
      <c r="AF146" s="26">
        <v>0.5</v>
      </c>
      <c r="AG146" s="26"/>
      <c r="AH146" s="26"/>
      <c r="AI146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0.12280701754385959</v>
      </c>
      <c r="AJ146" s="24">
        <f ca="1">IFERROR(IF(Table110[[#This Row],[SKU]]="",0,Table110[[#This Row],[Quality Loss (T)]]/(Table110[[#This Row],[SOC (TPD)]]/24)),"")</f>
        <v>0.9122807017543858</v>
      </c>
      <c r="AK146" s="31">
        <f ca="1">IFERROR(IF(Table110[[#This Row],[SKU]]="",0,Table110[[#This Row],[Volume Delivered (T)]]/(Table110[[#This Row],[SOC (TPD)]]/24)),"")</f>
        <v>19.719298245614034</v>
      </c>
      <c r="AL146" s="31">
        <f ca="1">IFERROR(Table110[[#This Row],[Operating Time]]/Table110[[#This Row],[PRODUCTION HOURS]],"")</f>
        <v>0.83911907428144827</v>
      </c>
      <c r="AM146" s="32">
        <v>92</v>
      </c>
      <c r="AN146" s="32" t="s">
        <v>107</v>
      </c>
      <c r="AO146" s="32" t="s">
        <v>107</v>
      </c>
      <c r="AP146" s="32">
        <v>0</v>
      </c>
      <c r="AQ146" s="32">
        <v>0</v>
      </c>
      <c r="AR146" s="32"/>
      <c r="AS146" s="32" t="str">
        <f>IFERROR(SUMIFS(#REF!,#REF!,'Shift Wise-Data Sheet'!A:A,#REF!,"Samridhi Perk Line")/SUMIFS(#REF!,#REF!,'Shift Wise-Data Sheet'!A:A,#REF!,"Samridhi Perk Line"),"")</f>
        <v/>
      </c>
      <c r="AT146" s="32"/>
      <c r="AU146" s="32"/>
      <c r="AV146" s="211">
        <f>IFERROR(VLOOKUP(Table110[[#This Row],[Date]],'Overweight Data'!A144:G1239,6,FALSE),"")</f>
        <v>2.0064102564102602E-2</v>
      </c>
      <c r="AW146" s="221">
        <f ca="1">IFERROR(
   IF(
      OR(Table110[[#This Row],[Operating Time]]=0, (Table110[[#This Row],[Operating Time]]/IF(AD146&lt;=1,AD146+1,AD146))*60=0),
      1,
      ((Table110[[#This Row],[Operating Time]])/IF(AD146&lt;=1,AD146+1,AD146))*60
   ),
"_")</f>
        <v>1183.1578947368421</v>
      </c>
      <c r="AX146" s="221">
        <f>COUNTIFS('Downtime Data'!A:A,Table110[[#This Row],[Date]])</f>
        <v>2</v>
      </c>
      <c r="AY146" s="219">
        <f>IFERROR((SUM(Table110[[#This Row],[Minor Stoppages]:[Material Shortages]])/Table110[[#This Row],['# Stops]])*60,"")</f>
        <v>75</v>
      </c>
      <c r="AZ146" s="219"/>
      <c r="BA146" s="33">
        <v>46168</v>
      </c>
    </row>
    <row r="147" spans="1:53" ht="20.149999999999999" customHeight="1" x14ac:dyDescent="0.35">
      <c r="A147" s="21">
        <v>46164</v>
      </c>
      <c r="B147" s="22" t="str">
        <f t="shared" si="3"/>
        <v>Friday</v>
      </c>
      <c r="C147" s="22"/>
      <c r="D147" s="23" t="s">
        <v>108</v>
      </c>
      <c r="E147" s="24" cm="1">
        <f t="array" aca="1" ref="E147" ca="1">IFERROR(INDIRECT(D147),"")</f>
        <v>34.200000000000003</v>
      </c>
      <c r="F147" s="25">
        <v>15</v>
      </c>
      <c r="G147" s="26">
        <f>24.2+3.8</f>
        <v>28</v>
      </c>
      <c r="H147" s="27">
        <f ca="1">IFERROR((Table110[[#This Row],[Plan]]/Table110[[#This Row],[Hours Used]])/(Table110[[#This Row],[SOC (TPD)]]/24),"")</f>
        <v>0.43859649122807015</v>
      </c>
      <c r="I147" s="27">
        <f ca="1">IFERROR((Table110[[#This Row],[Volume Delivered (T)]]/Table110[[#This Row],[Hours Used]])/(Table110[[#This Row],[SOC (TPD)]]/24),"")</f>
        <v>0.81871345029239773</v>
      </c>
      <c r="J147" s="28"/>
      <c r="K147" s="28"/>
      <c r="L147" s="28"/>
      <c r="M147" s="25">
        <f>0.45+1.12+0.17+0.35-0.3-0.6</f>
        <v>1.19</v>
      </c>
      <c r="N147" s="29">
        <v>4.5999999999999999E-2</v>
      </c>
      <c r="O147" s="84">
        <v>6</v>
      </c>
      <c r="P147" s="25"/>
      <c r="Q147" s="25"/>
      <c r="R147" s="70"/>
      <c r="S147" s="71"/>
      <c r="T147" s="30">
        <f>IF(Table110[[#This Row],[SKU]]="",0,24-Table110[[#This Row],[Legal Non-Operating Time]]-Table110[[#This Row],[No Demand Time]]-Table110[[#This Row],[Force Majeure]])</f>
        <v>24</v>
      </c>
      <c r="U147" s="26"/>
      <c r="V147" s="26"/>
      <c r="W147" s="26"/>
      <c r="X147" s="26"/>
      <c r="Y147" s="26"/>
      <c r="Z147" s="26"/>
      <c r="AA147" s="26"/>
      <c r="AB147" s="30">
        <f>Table110[[#This Row],[Hours Used]]-SUM(Table110[[#This Row],[Planned Maintenance]:[Start and Finish Production]])</f>
        <v>24</v>
      </c>
      <c r="AC147" s="26"/>
      <c r="AD147" s="26"/>
      <c r="AE147" s="26"/>
      <c r="AF147" s="26"/>
      <c r="AG147" s="26"/>
      <c r="AH147" s="26"/>
      <c r="AI147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1.1719298245614038</v>
      </c>
      <c r="AJ147" s="24">
        <f ca="1">IFERROR(IF(Table110[[#This Row],[SKU]]="",0,Table110[[#This Row],[Quality Loss (T)]]/(Table110[[#This Row],[SOC (TPD)]]/24)),"")</f>
        <v>0.83508771929824555</v>
      </c>
      <c r="AK147" s="31">
        <f ca="1">IFERROR(IF(Table110[[#This Row],[SKU]]="",0,Table110[[#This Row],[Volume Delivered (T)]]/(Table110[[#This Row],[SOC (TPD)]]/24)),"")</f>
        <v>19.649122807017545</v>
      </c>
      <c r="AL147" s="31">
        <f ca="1">IFERROR(Table110[[#This Row],[Operating Time]]/Table110[[#This Row],[PRODUCTION HOURS]],"")</f>
        <v>0.81871345029239773</v>
      </c>
      <c r="AM147" s="32">
        <v>90</v>
      </c>
      <c r="AN147" s="32" t="s">
        <v>107</v>
      </c>
      <c r="AO147" s="32" t="s">
        <v>107</v>
      </c>
      <c r="AP147" s="32">
        <v>0</v>
      </c>
      <c r="AQ147" s="32">
        <v>0</v>
      </c>
      <c r="AR147" s="32"/>
      <c r="AS147" s="32" t="str">
        <f>IFERROR(SUMIFS(#REF!,#REF!,'Shift Wise-Data Sheet'!A:A,#REF!,"Samridhi Perk Line")/SUMIFS(#REF!,#REF!,'Shift Wise-Data Sheet'!A:A,#REF!,"Samridhi Perk Line"),"")</f>
        <v/>
      </c>
      <c r="AT147" s="32"/>
      <c r="AU147" s="32"/>
      <c r="AV147" s="211">
        <f>IFERROR(VLOOKUP(Table110[[#This Row],[Date]],'Overweight Data'!A145:G1240,6,FALSE),"")</f>
        <v>1.9283216783216803E-2</v>
      </c>
      <c r="AW147" s="221">
        <f ca="1">IFERROR(
   IF(
      OR(Table110[[#This Row],[Operating Time]]=0, (Table110[[#This Row],[Operating Time]]/IF(AD147&lt;=1,AD147+1,AD147))*60=0),
      1,
      ((Table110[[#This Row],[Operating Time]])/IF(AD147&lt;=1,AD147+1,AD147))*60
   ),
"_")</f>
        <v>1178.9473684210527</v>
      </c>
      <c r="AX147" s="221">
        <f>COUNTIFS('Downtime Data'!A:A,Table110[[#This Row],[Date]])</f>
        <v>0</v>
      </c>
      <c r="AY147" s="219" t="str">
        <f>IFERROR((SUM(Table110[[#This Row],[Minor Stoppages]:[Material Shortages]])/Table110[[#This Row],['# Stops]])*60,"")</f>
        <v/>
      </c>
      <c r="AZ147" s="219"/>
      <c r="BA147" s="33">
        <v>46168</v>
      </c>
    </row>
    <row r="148" spans="1:53" ht="20.149999999999999" customHeight="1" x14ac:dyDescent="0.35">
      <c r="A148" s="21">
        <v>46165</v>
      </c>
      <c r="B148" s="22" t="str">
        <f t="shared" si="3"/>
        <v>Saturday</v>
      </c>
      <c r="C148" s="22"/>
      <c r="D148" s="23" t="s">
        <v>108</v>
      </c>
      <c r="E148" s="24" cm="1">
        <f t="array" aca="1" ref="E148" ca="1">IFERROR(INDIRECT(D148),"")</f>
        <v>34.200000000000003</v>
      </c>
      <c r="F148" s="25">
        <v>31</v>
      </c>
      <c r="G148" s="26">
        <f>13.3+4.3</f>
        <v>17.600000000000001</v>
      </c>
      <c r="H148" s="27">
        <f ca="1">IFERROR((Table110[[#This Row],[Plan]]/Table110[[#This Row],[Hours Used]])/(Table110[[#This Row],[SOC (TPD)]]/24),"")</f>
        <v>0.9064327485380117</v>
      </c>
      <c r="I148" s="27">
        <f ca="1">IFERROR((Table110[[#This Row],[Volume Delivered (T)]]/Table110[[#This Row],[Hours Used]])/(Table110[[#This Row],[SOC (TPD)]]/24),"")</f>
        <v>0.51461988304093564</v>
      </c>
      <c r="J148" s="28"/>
      <c r="K148" s="28"/>
      <c r="L148" s="28"/>
      <c r="M148" s="25">
        <f>0.34+1.02+0.13+0.29-0.2-0.39</f>
        <v>1.1900000000000004</v>
      </c>
      <c r="N148" s="29">
        <v>4.5999999999999999E-2</v>
      </c>
      <c r="O148" s="84">
        <v>4</v>
      </c>
      <c r="P148" s="25"/>
      <c r="Q148" s="25"/>
      <c r="R148" s="70"/>
      <c r="S148" s="71"/>
      <c r="T148" s="30">
        <f>IF(Table110[[#This Row],[SKU]]="",0,24-Table110[[#This Row],[Legal Non-Operating Time]]-Table110[[#This Row],[No Demand Time]]-Table110[[#This Row],[Force Majeure]])</f>
        <v>24</v>
      </c>
      <c r="U148" s="26"/>
      <c r="V148" s="26"/>
      <c r="W148" s="26">
        <v>10.8</v>
      </c>
      <c r="X148" s="26"/>
      <c r="Y148" s="26"/>
      <c r="Z148" s="26"/>
      <c r="AA148" s="26"/>
      <c r="AB148" s="30">
        <f>Table110[[#This Row],[Hours Used]]-SUM(Table110[[#This Row],[Planned Maintenance]:[Start and Finish Production]])</f>
        <v>13.2</v>
      </c>
      <c r="AC148" s="26"/>
      <c r="AD148" s="26"/>
      <c r="AE148" s="26"/>
      <c r="AF148" s="26"/>
      <c r="AG148" s="26"/>
      <c r="AH148" s="26"/>
      <c r="AI148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4.6783625730988376E-3</v>
      </c>
      <c r="AJ148" s="24">
        <f ca="1">IFERROR(IF(Table110[[#This Row],[SKU]]="",0,Table110[[#This Row],[Quality Loss (T)]]/(Table110[[#This Row],[SOC (TPD)]]/24)),"")</f>
        <v>0.83508771929824588</v>
      </c>
      <c r="AK148" s="31">
        <f ca="1">IFERROR(IF(Table110[[#This Row],[SKU]]="",0,Table110[[#This Row],[Volume Delivered (T)]]/(Table110[[#This Row],[SOC (TPD)]]/24)),"")</f>
        <v>12.350877192982457</v>
      </c>
      <c r="AL148" s="31">
        <f ca="1">IFERROR(Table110[[#This Row],[Operating Time]]/Table110[[#This Row],[PRODUCTION HOURS]],"")</f>
        <v>0.93567251461988321</v>
      </c>
      <c r="AM148" s="32">
        <v>85</v>
      </c>
      <c r="AN148" s="32" t="s">
        <v>107</v>
      </c>
      <c r="AO148" s="32" t="s">
        <v>107</v>
      </c>
      <c r="AP148" s="32">
        <v>0</v>
      </c>
      <c r="AQ148" s="32">
        <v>0</v>
      </c>
      <c r="AR148" s="32"/>
      <c r="AS148" s="32" t="str">
        <f>IFERROR(SUMIFS(#REF!,#REF!,'Shift Wise-Data Sheet'!A:A,#REF!,"Samridhi Perk Line")/SUMIFS(#REF!,#REF!,'Shift Wise-Data Sheet'!A:A,#REF!,"Samridhi Perk Line"),"")</f>
        <v/>
      </c>
      <c r="AT148" s="32"/>
      <c r="AU148" s="32"/>
      <c r="AV148" s="211">
        <f>IFERROR(VLOOKUP(Table110[[#This Row],[Date]],'Overweight Data'!A146:G1241,6,FALSE),"")</f>
        <v>3.2744014732964961E-2</v>
      </c>
      <c r="AW148" s="221">
        <f ca="1">IFERROR(
   IF(
      OR(Table110[[#This Row],[Operating Time]]=0, (Table110[[#This Row],[Operating Time]]/IF(AD148&lt;=1,AD148+1,AD148))*60=0),
      1,
      ((Table110[[#This Row],[Operating Time]])/IF(AD148&lt;=1,AD148+1,AD148))*60
   ),
"_")</f>
        <v>741.0526315789474</v>
      </c>
      <c r="AX148" s="221">
        <f>COUNTIFS('Downtime Data'!A:A,Table110[[#This Row],[Date]])</f>
        <v>0</v>
      </c>
      <c r="AY148" s="219" t="str">
        <f>IFERROR((SUM(Table110[[#This Row],[Minor Stoppages]:[Material Shortages]])/Table110[[#This Row],['# Stops]])*60,"")</f>
        <v/>
      </c>
      <c r="AZ148" s="219"/>
      <c r="BA148" s="33">
        <v>46168</v>
      </c>
    </row>
    <row r="149" spans="1:53" ht="20.149999999999999" customHeight="1" x14ac:dyDescent="0.35">
      <c r="A149" s="21">
        <v>46166</v>
      </c>
      <c r="B149" s="22" t="str">
        <f t="shared" si="3"/>
        <v>Sunday</v>
      </c>
      <c r="C149" s="22"/>
      <c r="D149" s="23" t="s">
        <v>108</v>
      </c>
      <c r="E149" s="24" cm="1">
        <f t="array" aca="1" ref="E149" ca="1">IFERROR(INDIRECT(D149),"")</f>
        <v>34.200000000000003</v>
      </c>
      <c r="F149" s="25">
        <v>31</v>
      </c>
      <c r="G149" s="26">
        <f>20.7+8</f>
        <v>28.7</v>
      </c>
      <c r="H149" s="27">
        <f ca="1">IFERROR((Table110[[#This Row],[Plan]]/Table110[[#This Row],[Hours Used]])/(Table110[[#This Row],[SOC (TPD)]]/24),"")</f>
        <v>0.9064327485380117</v>
      </c>
      <c r="I149" s="27">
        <f ca="1">IFERROR((Table110[[#This Row],[Volume Delivered (T)]]/Table110[[#This Row],[Hours Used]])/(Table110[[#This Row],[SOC (TPD)]]/24),"")</f>
        <v>0.83918128654970758</v>
      </c>
      <c r="J149" s="28"/>
      <c r="K149" s="28"/>
      <c r="L149" s="28"/>
      <c r="M149" s="25">
        <f>0.36+1.16+0.16+0.38-0.26-0.48</f>
        <v>1.32</v>
      </c>
      <c r="N149" s="29">
        <v>4.5999999999999999E-2</v>
      </c>
      <c r="O149" s="84">
        <v>4</v>
      </c>
      <c r="P149" s="25"/>
      <c r="Q149" s="25"/>
      <c r="R149" s="70"/>
      <c r="S149" s="71"/>
      <c r="T149" s="30">
        <f>IF(Table110[[#This Row],[SKU]]="",0,24-Table110[[#This Row],[Legal Non-Operating Time]]-Table110[[#This Row],[No Demand Time]]-Table110[[#This Row],[Force Majeure]])</f>
        <v>24</v>
      </c>
      <c r="U149" s="26"/>
      <c r="V149" s="26"/>
      <c r="W149" s="26"/>
      <c r="X149" s="26">
        <v>1</v>
      </c>
      <c r="Y149" s="26"/>
      <c r="Z149" s="26"/>
      <c r="AA149" s="26"/>
      <c r="AB149" s="30">
        <f>Table110[[#This Row],[Hours Used]]-SUM(Table110[[#This Row],[Planned Maintenance]:[Start and Finish Production]])</f>
        <v>23</v>
      </c>
      <c r="AC149" s="26"/>
      <c r="AD149" s="26">
        <v>2</v>
      </c>
      <c r="AE149" s="26"/>
      <c r="AF149" s="26"/>
      <c r="AG149" s="26"/>
      <c r="AH149" s="26"/>
      <c r="AI149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-2.2222222222222143E-2</v>
      </c>
      <c r="AJ149" s="24">
        <f ca="1">IFERROR(IF(Table110[[#This Row],[SKU]]="",0,Table110[[#This Row],[Quality Loss (T)]]/(Table110[[#This Row],[SOC (TPD)]]/24)),"")</f>
        <v>0.9263157894736842</v>
      </c>
      <c r="AK149" s="31">
        <f ca="1">IFERROR(IF(Table110[[#This Row],[SKU]]="",0,Table110[[#This Row],[Volume Delivered (T)]]/(Table110[[#This Row],[SOC (TPD)]]/24)),"")</f>
        <v>20.140350877192983</v>
      </c>
      <c r="AL149" s="31">
        <f ca="1">IFERROR(Table110[[#This Row],[Operating Time]]/Table110[[#This Row],[PRODUCTION HOURS]],"")</f>
        <v>0.87566742944317322</v>
      </c>
      <c r="AM149" s="32">
        <v>94</v>
      </c>
      <c r="AN149" s="32" t="s">
        <v>107</v>
      </c>
      <c r="AO149" s="32" t="s">
        <v>107</v>
      </c>
      <c r="AP149" s="32">
        <v>0</v>
      </c>
      <c r="AQ149" s="32">
        <v>4</v>
      </c>
      <c r="AR149" s="32"/>
      <c r="AS149" s="32" t="str">
        <f>IFERROR(SUMIFS(#REF!,#REF!,'Shift Wise-Data Sheet'!A:A,#REF!,"Samridhi Perk Line")/SUMIFS(#REF!,#REF!,'Shift Wise-Data Sheet'!A:A,#REF!,"Samridhi Perk Line"),"")</f>
        <v/>
      </c>
      <c r="AT149" s="32"/>
      <c r="AU149" s="32"/>
      <c r="AV149" s="211">
        <f>IFERROR(VLOOKUP(Table110[[#This Row],[Date]],'Overweight Data'!A147:G1242,6,FALSE),"")</f>
        <v>2.3287292817679578E-2</v>
      </c>
      <c r="AW149" s="221">
        <f ca="1">IFERROR(
   IF(
      OR(Table110[[#This Row],[Operating Time]]=0, (Table110[[#This Row],[Operating Time]]/IF(AD149&lt;=1,AD149+1,AD149))*60=0),
      1,
      ((Table110[[#This Row],[Operating Time]])/IF(AD149&lt;=1,AD149+1,AD149))*60
   ),
"_")</f>
        <v>604.21052631578948</v>
      </c>
      <c r="AX149" s="221">
        <f>COUNTIFS('Downtime Data'!A:A,Table110[[#This Row],[Date]])</f>
        <v>1</v>
      </c>
      <c r="AY149" s="219">
        <f>IFERROR((SUM(Table110[[#This Row],[Minor Stoppages]:[Material Shortages]])/Table110[[#This Row],['# Stops]])*60,"")</f>
        <v>120</v>
      </c>
      <c r="AZ149" s="219"/>
      <c r="BA149" s="33">
        <v>46168</v>
      </c>
    </row>
    <row r="150" spans="1:53" ht="20.149999999999999" customHeight="1" x14ac:dyDescent="0.35">
      <c r="A150" s="21">
        <v>46167</v>
      </c>
      <c r="B150" s="22" t="str">
        <f t="shared" si="3"/>
        <v>Monday</v>
      </c>
      <c r="C150" s="22"/>
      <c r="D150" s="23" t="s">
        <v>106</v>
      </c>
      <c r="E150" s="24" cm="1">
        <f t="array" aca="1" ref="E150" ca="1">IFERROR(INDIRECT(D150),"")</f>
        <v>39.200000000000003</v>
      </c>
      <c r="F150" s="25">
        <v>31</v>
      </c>
      <c r="G150" s="26">
        <v>30.06</v>
      </c>
      <c r="H150" s="27">
        <f ca="1">IFERROR((Table110[[#This Row],[Plan]]/Table110[[#This Row],[Hours Used]])/(Table110[[#This Row],[SOC (TPD)]]/24),"")</f>
        <v>0.79081632653061218</v>
      </c>
      <c r="I150" s="27">
        <f ca="1">IFERROR((Table110[[#This Row],[Volume Delivered (T)]]/Table110[[#This Row],[Hours Used]])/(Table110[[#This Row],[SOC (TPD)]]/24),"")</f>
        <v>0.76683673469387748</v>
      </c>
      <c r="J150" s="28"/>
      <c r="K150" s="28"/>
      <c r="L150" s="28"/>
      <c r="M150" s="25">
        <f>0.46+1.44+0.15+0.26-0.3-0.4</f>
        <v>1.6099999999999999</v>
      </c>
      <c r="N150" s="29">
        <v>4.5999999999999999E-2</v>
      </c>
      <c r="O150" s="84">
        <v>6</v>
      </c>
      <c r="P150" s="25"/>
      <c r="Q150" s="25"/>
      <c r="R150" s="70"/>
      <c r="S150" s="71"/>
      <c r="T150" s="30">
        <f>IF(Table110[[#This Row],[SKU]]="",0,24-Table110[[#This Row],[Legal Non-Operating Time]]-Table110[[#This Row],[No Demand Time]]-Table110[[#This Row],[Force Majeure]])</f>
        <v>24</v>
      </c>
      <c r="U150" s="26">
        <v>0.5</v>
      </c>
      <c r="V150" s="26">
        <v>1</v>
      </c>
      <c r="W150" s="26"/>
      <c r="X150" s="26"/>
      <c r="Y150" s="26"/>
      <c r="Z150" s="26"/>
      <c r="AA150" s="26"/>
      <c r="AB150" s="30">
        <f>Table110[[#This Row],[Hours Used]]-SUM(Table110[[#This Row],[Planned Maintenance]:[Start and Finish Production]])</f>
        <v>22.5</v>
      </c>
      <c r="AC150" s="26"/>
      <c r="AD150" s="26">
        <v>2.5</v>
      </c>
      <c r="AE150" s="26"/>
      <c r="AF150" s="26"/>
      <c r="AG150" s="26"/>
      <c r="AH150" s="26"/>
      <c r="AI150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0.20340136054421976</v>
      </c>
      <c r="AJ150" s="24">
        <f ca="1">IFERROR(IF(Table110[[#This Row],[SKU]]="",0,Table110[[#This Row],[Quality Loss (T)]]/(Table110[[#This Row],[SOC (TPD)]]/24)),"")</f>
        <v>0.98571428571428554</v>
      </c>
      <c r="AK150" s="31">
        <f ca="1">IFERROR(IF(Table110[[#This Row],[SKU]]="",0,Table110[[#This Row],[Volume Delivered (T)]]/(Table110[[#This Row],[SOC (TPD)]]/24)),"")</f>
        <v>18.404081632653057</v>
      </c>
      <c r="AL150" s="31">
        <f ca="1">IFERROR(Table110[[#This Row],[Operating Time]]/Table110[[#This Row],[PRODUCTION HOURS]],"")</f>
        <v>0.8179591836734692</v>
      </c>
      <c r="AM150" s="32">
        <v>78</v>
      </c>
      <c r="AN150" s="32" t="s">
        <v>107</v>
      </c>
      <c r="AO150" s="32" t="s">
        <v>107</v>
      </c>
      <c r="AP150" s="32">
        <v>0</v>
      </c>
      <c r="AQ150" s="32">
        <v>0</v>
      </c>
      <c r="AR150" s="32"/>
      <c r="AS150" s="32" t="str">
        <f>IFERROR(SUMIFS(#REF!,#REF!,'Shift Wise-Data Sheet'!A:A,#REF!,"Samridhi Perk Line")/SUMIFS(#REF!,#REF!,'Shift Wise-Data Sheet'!A:A,#REF!,"Samridhi Perk Line"),"")</f>
        <v/>
      </c>
      <c r="AT150" s="32"/>
      <c r="AU150" s="32"/>
      <c r="AV150" s="211">
        <f>IFERROR(VLOOKUP(Table110[[#This Row],[Date]],'Overweight Data'!A148:G1243,6,FALSE),"")</f>
        <v>2.1408839779005526E-2</v>
      </c>
      <c r="AW150" s="221">
        <f ca="1">IFERROR(
   IF(
      OR(Table110[[#This Row],[Operating Time]]=0, (Table110[[#This Row],[Operating Time]]/IF(AD150&lt;=1,AD150+1,AD150))*60=0),
      1,
      ((Table110[[#This Row],[Operating Time]])/IF(AD150&lt;=1,AD150+1,AD150))*60
   ),
"_")</f>
        <v>441.69795918367339</v>
      </c>
      <c r="AX150" s="221">
        <f>COUNTIFS('Downtime Data'!A:A,Table110[[#This Row],[Date]])</f>
        <v>2</v>
      </c>
      <c r="AY150" s="219">
        <f>IFERROR((SUM(Table110[[#This Row],[Minor Stoppages]:[Material Shortages]])/Table110[[#This Row],['# Stops]])*60,"")</f>
        <v>75</v>
      </c>
      <c r="AZ150" s="219"/>
      <c r="BA150" s="33">
        <v>46168</v>
      </c>
    </row>
    <row r="151" spans="1:53" ht="20.149999999999999" customHeight="1" x14ac:dyDescent="0.35">
      <c r="A151" s="21">
        <v>46168</v>
      </c>
      <c r="B151" s="22" t="str">
        <f t="shared" si="3"/>
        <v>Tuesday</v>
      </c>
      <c r="C151" s="22"/>
      <c r="D151" s="23" t="s">
        <v>106</v>
      </c>
      <c r="E151" s="24" cm="1">
        <f t="array" aca="1" ref="E151" ca="1">IFERROR(INDIRECT(D151),"")</f>
        <v>39.200000000000003</v>
      </c>
      <c r="F151" s="25">
        <v>31</v>
      </c>
      <c r="G151" s="26">
        <v>33.9</v>
      </c>
      <c r="H151" s="27">
        <f ca="1">IFERROR((Table110[[#This Row],[Plan]]/Table110[[#This Row],[Hours Used]])/(Table110[[#This Row],[SOC (TPD)]]/24),"")</f>
        <v>0.79081632653061218</v>
      </c>
      <c r="I151" s="27">
        <f ca="1">IFERROR((Table110[[#This Row],[Volume Delivered (T)]]/Table110[[#This Row],[Hours Used]])/(Table110[[#This Row],[SOC (TPD)]]/24),"")</f>
        <v>0.86479591836734671</v>
      </c>
      <c r="J151" s="28"/>
      <c r="K151" s="28"/>
      <c r="L151" s="28"/>
      <c r="M151" s="25">
        <v>1.59</v>
      </c>
      <c r="N151" s="29">
        <v>4.2999999999999997E-2</v>
      </c>
      <c r="O151" s="84">
        <v>3</v>
      </c>
      <c r="P151" s="25"/>
      <c r="Q151" s="25"/>
      <c r="R151" s="70"/>
      <c r="S151" s="71"/>
      <c r="T151" s="30">
        <f>IF(Table110[[#This Row],[SKU]]="",0,24-Table110[[#This Row],[Legal Non-Operating Time]]-Table110[[#This Row],[No Demand Time]]-Table110[[#This Row],[Force Majeure]])</f>
        <v>24</v>
      </c>
      <c r="U151" s="26">
        <v>1</v>
      </c>
      <c r="V151" s="26">
        <v>0.5</v>
      </c>
      <c r="W151" s="26"/>
      <c r="X151" s="26"/>
      <c r="Y151" s="26"/>
      <c r="Z151" s="26"/>
      <c r="AA151" s="26"/>
      <c r="AB151" s="30">
        <f>Table110[[#This Row],[Hours Used]]-SUM(Table110[[#This Row],[Planned Maintenance]:[Start and Finish Production]])</f>
        <v>22.5</v>
      </c>
      <c r="AC151" s="26"/>
      <c r="AD151" s="26"/>
      <c r="AE151" s="26">
        <v>0.5</v>
      </c>
      <c r="AF151" s="26"/>
      <c r="AG151" s="26"/>
      <c r="AH151" s="26"/>
      <c r="AI151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9.0476190476191931E-2</v>
      </c>
      <c r="AJ151" s="24">
        <f ca="1">IFERROR(IF(Table110[[#This Row],[SKU]]="",0,Table110[[#This Row],[Quality Loss (T)]]/(Table110[[#This Row],[SOC (TPD)]]/24)),"")</f>
        <v>0.97346938775510194</v>
      </c>
      <c r="AK151" s="31">
        <f ca="1">IFERROR(IF(Table110[[#This Row],[SKU]]="",0,Table110[[#This Row],[Volume Delivered (T)]]/(Table110[[#This Row],[SOC (TPD)]]/24)),"")</f>
        <v>20.755102040816322</v>
      </c>
      <c r="AL151" s="31">
        <f ca="1">IFERROR(Table110[[#This Row],[Operating Time]]/Table110[[#This Row],[PRODUCTION HOURS]],"")</f>
        <v>0.92244897959183647</v>
      </c>
      <c r="AM151" s="32">
        <v>92</v>
      </c>
      <c r="AN151" s="32" t="s">
        <v>107</v>
      </c>
      <c r="AO151" s="32" t="s">
        <v>107</v>
      </c>
      <c r="AP151" s="32">
        <v>6</v>
      </c>
      <c r="AQ151" s="32">
        <v>6</v>
      </c>
      <c r="AR151" s="32"/>
      <c r="AS151" s="32" t="str">
        <f>IFERROR(SUMIFS(#REF!,#REF!,'Shift Wise-Data Sheet'!A:A,#REF!,"Samridhi Perk Line")/SUMIFS(#REF!,#REF!,'Shift Wise-Data Sheet'!A:A,#REF!,"Samridhi Perk Line"),"")</f>
        <v/>
      </c>
      <c r="AT151" s="32"/>
      <c r="AU151" s="32"/>
      <c r="AV151" s="211">
        <f>IFERROR(VLOOKUP(Table110[[#This Row],[Date]],'Overweight Data'!A149:G1244,6,FALSE),"")</f>
        <v>1.9953959484346188E-2</v>
      </c>
      <c r="AW151" s="221">
        <f ca="1">IFERROR(
   IF(
      OR(Table110[[#This Row],[Operating Time]]=0, (Table110[[#This Row],[Operating Time]]/IF(AD151&lt;=1,AD151+1,AD151))*60=0),
      1,
      ((Table110[[#This Row],[Operating Time]])/IF(AD151&lt;=1,AD151+1,AD151))*60
   ),
"_")</f>
        <v>1245.3061224489793</v>
      </c>
      <c r="AX151" s="221">
        <f>COUNTIFS('Downtime Data'!A:A,Table110[[#This Row],[Date]])</f>
        <v>1</v>
      </c>
      <c r="AY151" s="219">
        <f>IFERROR((SUM(Table110[[#This Row],[Minor Stoppages]:[Material Shortages]])/Table110[[#This Row],['# Stops]])*60,"")</f>
        <v>30</v>
      </c>
      <c r="AZ151" s="219"/>
      <c r="BA151" s="33">
        <v>46168</v>
      </c>
    </row>
    <row r="152" spans="1:53" ht="20.149999999999999" customHeight="1" x14ac:dyDescent="0.35">
      <c r="A152" s="21">
        <v>46169</v>
      </c>
      <c r="B152" s="22" t="str">
        <f t="shared" si="3"/>
        <v>Wednesday</v>
      </c>
      <c r="C152" s="22"/>
      <c r="D152" s="23" t="str">
        <f>VLOOKUP(Table110[[#This Row],[Date]],[2]Sheet1!$A$1:$P$86,7,TRUE)</f>
        <v>_10.3GM</v>
      </c>
      <c r="E152" s="24" cm="1">
        <f t="array" aca="1" ref="E152" ca="1">IFERROR(INDIRECT(D152),"")</f>
        <v>39.200000000000003</v>
      </c>
      <c r="F152" s="25">
        <v>31</v>
      </c>
      <c r="G152" s="26">
        <v>27.9</v>
      </c>
      <c r="H152" s="27">
        <f ca="1">IFERROR((Table110[[#This Row],[Plan]]/Table110[[#This Row],[Hours Used]])/(Table110[[#This Row],[SOC (TPD)]]/24),"")</f>
        <v>0.79081632653061218</v>
      </c>
      <c r="I152" s="27">
        <f ca="1">IFERROR((Table110[[#This Row],[Volume Delivered (T)]]/Table110[[#This Row],[Hours Used]])/(Table110[[#This Row],[SOC (TPD)]]/24),"")</f>
        <v>0.71173469387755084</v>
      </c>
      <c r="J152" s="28"/>
      <c r="K152" s="28"/>
      <c r="L152" s="28"/>
      <c r="M152" s="25">
        <f>VLOOKUP(Table110[[#This Row],[Date]],[2]Sheet1!$A$1:$P$555,9,TRUE)</f>
        <v>1.7</v>
      </c>
      <c r="N152" s="29">
        <v>4.2999999999999997E-2</v>
      </c>
      <c r="O152" s="84">
        <v>3</v>
      </c>
      <c r="P152" s="25"/>
      <c r="Q152" s="25"/>
      <c r="R152" s="70"/>
      <c r="S152" s="71"/>
      <c r="T152" s="30">
        <f>IF(Table110[[#This Row],[SKU]]="",0,24-Table110[[#This Row],[Legal Non-Operating Time]]-Table110[[#This Row],[No Demand Time]]-Table110[[#This Row],[Force Majeure]])</f>
        <v>24</v>
      </c>
      <c r="U152" s="26">
        <f>VLOOKUP(Table110[[#This Row],[Date]],[2]Sheet1!$A$1:$P$555,10,TRUE)</f>
        <v>1</v>
      </c>
      <c r="V152" s="26">
        <f>VLOOKUP(Table110[[#This Row],[Date]],[2]Sheet1!$A$1:$P$555,12,TRUE)</f>
        <v>0.5</v>
      </c>
      <c r="W152" s="26">
        <f>VLOOKUP(Table110[[#This Row],[Date]],[2]Sheet1!$A$1:$P$555,13,TRUE)</f>
        <v>0</v>
      </c>
      <c r="X152" s="26">
        <f>VLOOKUP(Table110[[#This Row],[Date]],[2]Sheet1!$A$1:$P$555,14,TRUE)</f>
        <v>0</v>
      </c>
      <c r="Y152" s="26"/>
      <c r="Z152" s="26"/>
      <c r="AA152" s="26"/>
      <c r="AB152" s="30">
        <f>Table110[[#This Row],[Hours Used]]-SUM(Table110[[#This Row],[Planned Maintenance]:[Start and Finish Production]])</f>
        <v>22.5</v>
      </c>
      <c r="AC152" s="26"/>
      <c r="AD152" s="26">
        <f>VLOOKUP(Table110[[#This Row],[Date]],[2]Sheet1!$A$1:$P$555,15,TRUE)</f>
        <v>4</v>
      </c>
      <c r="AE152" s="26">
        <f>VLOOKUP(Table110[[#This Row],[Date]],[2]Sheet1!$A$1:$P$555,16,TRUE)</f>
        <v>0</v>
      </c>
      <c r="AF152" s="26"/>
      <c r="AG152" s="26"/>
      <c r="AH152" s="26"/>
      <c r="AI152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0.12585034013605542</v>
      </c>
      <c r="AJ152" s="24">
        <f ca="1">IFERROR(IF(Table110[[#This Row],[SKU]]="",0,Table110[[#This Row],[Quality Loss (T)]]/(Table110[[#This Row],[SOC (TPD)]]/24)),"")</f>
        <v>1.0408163265306121</v>
      </c>
      <c r="AK152" s="31">
        <f ca="1">IFERROR(IF(Table110[[#This Row],[SKU]]="",0,Table110[[#This Row],[Volume Delivered (T)]]/(Table110[[#This Row],[SOC (TPD)]]/24)),"")</f>
        <v>17.08163265306122</v>
      </c>
      <c r="AL152" s="31">
        <f ca="1">IFERROR(Table110[[#This Row],[Operating Time]]/Table110[[#This Row],[PRODUCTION HOURS]],"")</f>
        <v>0.75918367346938753</v>
      </c>
      <c r="AM152" s="32">
        <v>85</v>
      </c>
      <c r="AN152" s="32" t="s">
        <v>107</v>
      </c>
      <c r="AO152" s="32" t="s">
        <v>107</v>
      </c>
      <c r="AP152" s="32">
        <v>0</v>
      </c>
      <c r="AQ152" s="32">
        <v>0</v>
      </c>
      <c r="AR152" s="32"/>
      <c r="AS152" s="32" t="str">
        <f>IFERROR(SUMIFS(#REF!,#REF!,'Shift Wise-Data Sheet'!A:A,#REF!,"Samridhi Perk Line")/SUMIFS(#REF!,#REF!,'Shift Wise-Data Sheet'!A:A,#REF!,"Samridhi Perk Line"),"")</f>
        <v/>
      </c>
      <c r="AT152" s="32"/>
      <c r="AU152" s="32"/>
      <c r="AV152" s="211">
        <f>IFERROR(VLOOKUP(Table110[[#This Row],[Date]],'Overweight Data'!A150:G1245,6,FALSE),"")</f>
        <v>1.9208103130755026E-2</v>
      </c>
      <c r="AW152" s="221">
        <f ca="1">IFERROR(
   IF(
      OR(Table110[[#This Row],[Operating Time]]=0, (Table110[[#This Row],[Operating Time]]/IF(AD152&lt;=1,AD152+1,AD152))*60=0),
      1,
      ((Table110[[#This Row],[Operating Time]])/IF(AD152&lt;=1,AD152+1,AD152))*60
   ),
"_")</f>
        <v>256.22448979591832</v>
      </c>
      <c r="AX152" s="221">
        <f>COUNTIFS('Downtime Data'!A:A,Table110[[#This Row],[Date]])</f>
        <v>2</v>
      </c>
      <c r="AY152" s="219">
        <f>IFERROR((SUM(Table110[[#This Row],[Minor Stoppages]:[Material Shortages]])/Table110[[#This Row],['# Stops]])*60,"")</f>
        <v>120</v>
      </c>
      <c r="AZ152" s="219"/>
      <c r="BA152" s="33">
        <v>46168</v>
      </c>
    </row>
    <row r="153" spans="1:53" ht="20.149999999999999" customHeight="1" x14ac:dyDescent="0.35">
      <c r="A153" s="21">
        <v>46170</v>
      </c>
      <c r="B153" s="22" t="str">
        <f t="shared" si="3"/>
        <v>Thursday</v>
      </c>
      <c r="C153" s="22"/>
      <c r="D153" s="23" t="str">
        <f>VLOOKUP(Table110[[#This Row],[Date]],[2]Sheet1!$A$1:$P$86,7,TRUE)</f>
        <v>_10.3GM</v>
      </c>
      <c r="E153" s="24" cm="1">
        <f t="array" aca="1" ref="E153" ca="1">IFERROR(INDIRECT(D153),"")</f>
        <v>39.200000000000003</v>
      </c>
      <c r="F153" s="25">
        <v>31</v>
      </c>
      <c r="G153" s="26">
        <v>34</v>
      </c>
      <c r="H153" s="27">
        <f ca="1">IFERROR((Table110[[#This Row],[Plan]]/Table110[[#This Row],[Hours Used]])/(Table110[[#This Row],[SOC (TPD)]]/24),"")</f>
        <v>0.79081632653061218</v>
      </c>
      <c r="I153" s="27">
        <f ca="1">IFERROR((Table110[[#This Row],[Volume Delivered (T)]]/Table110[[#This Row],[Hours Used]])/(Table110[[#This Row],[SOC (TPD)]]/24),"")</f>
        <v>0.86734693877551017</v>
      </c>
      <c r="J153" s="28"/>
      <c r="K153" s="28"/>
      <c r="L153" s="28"/>
      <c r="M153" s="25">
        <f>0.35+1.25+0.16+0.32-0.24-0.61</f>
        <v>1.23</v>
      </c>
      <c r="N153" s="29">
        <v>4.2999999999999997E-2</v>
      </c>
      <c r="O153" s="84">
        <v>4</v>
      </c>
      <c r="P153" s="25"/>
      <c r="Q153" s="25"/>
      <c r="R153" s="70"/>
      <c r="S153" s="71"/>
      <c r="T153" s="30">
        <f>IF(Table110[[#This Row],[SKU]]="",0,24-Table110[[#This Row],[Legal Non-Operating Time]]-Table110[[#This Row],[No Demand Time]]-Table110[[#This Row],[Force Majeure]])</f>
        <v>24</v>
      </c>
      <c r="U153" s="26">
        <v>1</v>
      </c>
      <c r="V153" s="26">
        <v>1</v>
      </c>
      <c r="W153" s="26"/>
      <c r="X153" s="26"/>
      <c r="Y153" s="26"/>
      <c r="Z153" s="26"/>
      <c r="AA153" s="26"/>
      <c r="AB153" s="30">
        <f>Table110[[#This Row],[Hours Used]]-SUM(Table110[[#This Row],[Planned Maintenance]:[Start and Finish Production]])</f>
        <v>22</v>
      </c>
      <c r="AC153" s="26"/>
      <c r="AD153" s="26"/>
      <c r="AE153" s="26"/>
      <c r="AF153" s="26"/>
      <c r="AG153" s="26"/>
      <c r="AH153" s="26"/>
      <c r="AI153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0.14353741496598715</v>
      </c>
      <c r="AJ153" s="24">
        <f ca="1">IFERROR(IF(Table110[[#This Row],[SKU]]="",0,Table110[[#This Row],[Quality Loss (T)]]/(Table110[[#This Row],[SOC (TPD)]]/24)),"")</f>
        <v>0.75306122448979584</v>
      </c>
      <c r="AK153" s="31">
        <f ca="1">IFERROR(IF(Table110[[#This Row],[SKU]]="",0,Table110[[#This Row],[Volume Delivered (T)]]/(Table110[[#This Row],[SOC (TPD)]]/24)),"")</f>
        <v>20.816326530612244</v>
      </c>
      <c r="AL153" s="31">
        <f ca="1">IFERROR(Table110[[#This Row],[Operating Time]]/Table110[[#This Row],[PRODUCTION HOURS]],"")</f>
        <v>0.94619666048237472</v>
      </c>
      <c r="AM153" s="32">
        <v>85</v>
      </c>
      <c r="AN153" s="32" t="s">
        <v>107</v>
      </c>
      <c r="AO153" s="32" t="s">
        <v>107</v>
      </c>
      <c r="AP153" s="32">
        <v>0</v>
      </c>
      <c r="AQ153" s="32">
        <v>0</v>
      </c>
      <c r="AR153" s="32"/>
      <c r="AS153" s="32" t="str">
        <f>IFERROR(SUMIFS(#REF!,#REF!,'Shift Wise-Data Sheet'!A:A,#REF!,"Samridhi Perk Line")/SUMIFS(#REF!,#REF!,'Shift Wise-Data Sheet'!A:A,#REF!,"Samridhi Perk Line"),"")</f>
        <v/>
      </c>
      <c r="AT153" s="32"/>
      <c r="AU153" s="32"/>
      <c r="AV153" s="211">
        <f>IFERROR(VLOOKUP(Table110[[#This Row],[Date]],'Overweight Data'!A151:G1246,6,FALSE),"")</f>
        <v>2.6740331491712722E-2</v>
      </c>
      <c r="AW153" s="221">
        <f ca="1">IFERROR(
   IF(
      OR(Table110[[#This Row],[Operating Time]]=0, (Table110[[#This Row],[Operating Time]]/IF(AD153&lt;=1,AD153+1,AD153))*60=0),
      1,
      ((Table110[[#This Row],[Operating Time]])/IF(AD153&lt;=1,AD153+1,AD153))*60
   ),
"_")</f>
        <v>1248.9795918367347</v>
      </c>
      <c r="AX153" s="221">
        <f>COUNTIFS('Downtime Data'!A:A,Table110[[#This Row],[Date]])</f>
        <v>1</v>
      </c>
      <c r="AY153" s="219">
        <f>IFERROR((SUM(Table110[[#This Row],[Minor Stoppages]:[Material Shortages]])/Table110[[#This Row],['# Stops]])*60,"")</f>
        <v>0</v>
      </c>
      <c r="AZ153" s="219"/>
      <c r="BA153" s="33">
        <v>46168</v>
      </c>
    </row>
    <row r="154" spans="1:53" ht="20.149999999999999" customHeight="1" x14ac:dyDescent="0.35">
      <c r="A154" s="21">
        <v>46171</v>
      </c>
      <c r="B154" s="22" t="str">
        <f t="shared" si="3"/>
        <v>Friday</v>
      </c>
      <c r="C154" s="22"/>
      <c r="D154" s="23" t="str">
        <f>VLOOKUP(Table110[[#This Row],[Date]],[2]Sheet1!$A$1:$P$86,7,TRUE)</f>
        <v>_10.3GM</v>
      </c>
      <c r="E154" s="24" cm="1">
        <f t="array" aca="1" ref="E154" ca="1">IFERROR(INDIRECT(D154),"")</f>
        <v>39.200000000000003</v>
      </c>
      <c r="F154" s="25">
        <v>33</v>
      </c>
      <c r="G154" s="26">
        <v>29.55</v>
      </c>
      <c r="H154" s="27">
        <f ca="1">IFERROR((Table110[[#This Row],[Plan]]/Table110[[#This Row],[Hours Used]])/(Table110[[#This Row],[SOC (TPD)]]/24),"")</f>
        <v>0.84183673469387743</v>
      </c>
      <c r="I154" s="27">
        <f ca="1">IFERROR((Table110[[#This Row],[Volume Delivered (T)]]/Table110[[#This Row],[Hours Used]])/(Table110[[#This Row],[SOC (TPD)]]/24),"")</f>
        <v>0.75382653061224481</v>
      </c>
      <c r="J154" s="28"/>
      <c r="K154" s="28"/>
      <c r="L154" s="28"/>
      <c r="M154" s="25">
        <f>0.34+1.6+0.16+0.35-0.25-0.68</f>
        <v>1.52</v>
      </c>
      <c r="N154" s="29">
        <v>4.1000000000000002E-2</v>
      </c>
      <c r="O154" s="84">
        <v>6</v>
      </c>
      <c r="P154" s="25"/>
      <c r="Q154" s="25"/>
      <c r="R154" s="70"/>
      <c r="S154" s="71"/>
      <c r="T154" s="30">
        <f>IF(Table110[[#This Row],[SKU]]="",0,24-Table110[[#This Row],[Legal Non-Operating Time]]-Table110[[#This Row],[No Demand Time]]-Table110[[#This Row],[Force Majeure]])</f>
        <v>24</v>
      </c>
      <c r="U154" s="26">
        <v>1</v>
      </c>
      <c r="V154" s="26">
        <v>1</v>
      </c>
      <c r="W154" s="26"/>
      <c r="X154" s="26"/>
      <c r="Y154" s="26"/>
      <c r="Z154" s="26"/>
      <c r="AA154" s="26"/>
      <c r="AB154" s="30">
        <f>Table110[[#This Row],[Hours Used]]-SUM(Table110[[#This Row],[Planned Maintenance]:[Start and Finish Production]])</f>
        <v>22</v>
      </c>
      <c r="AC154" s="26">
        <v>0.5</v>
      </c>
      <c r="AD154" s="26">
        <v>0.5</v>
      </c>
      <c r="AE154" s="26">
        <v>0.5</v>
      </c>
      <c r="AF154" s="26">
        <v>0.25</v>
      </c>
      <c r="AG154" s="26"/>
      <c r="AH154" s="26"/>
      <c r="AI154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0.40918367346938922</v>
      </c>
      <c r="AJ154" s="24">
        <f ca="1">IFERROR(IF(Table110[[#This Row],[SKU]]="",0,Table110[[#This Row],[Quality Loss (T)]]/(Table110[[#This Row],[SOC (TPD)]]/24)),"")</f>
        <v>0.93061224489795913</v>
      </c>
      <c r="AK154" s="31">
        <f ca="1">IFERROR(IF(Table110[[#This Row],[SKU]]="",0,Table110[[#This Row],[Volume Delivered (T)]]/(Table110[[#This Row],[SOC (TPD)]]/24)),"")</f>
        <v>18.091836734693874</v>
      </c>
      <c r="AL154" s="31">
        <f ca="1">IFERROR(Table110[[#This Row],[Operating Time]]/Table110[[#This Row],[PRODUCTION HOURS]],"")</f>
        <v>0.82235621521335789</v>
      </c>
      <c r="AM154" s="32">
        <v>85</v>
      </c>
      <c r="AN154" s="32" t="s">
        <v>107</v>
      </c>
      <c r="AO154" s="32" t="s">
        <v>107</v>
      </c>
      <c r="AP154" s="32">
        <v>1</v>
      </c>
      <c r="AQ154" s="32">
        <v>1</v>
      </c>
      <c r="AR154" s="32"/>
      <c r="AS154" s="32" t="str">
        <f>IFERROR(SUMIFS(#REF!,#REF!,'Shift Wise-Data Sheet'!A:A,#REF!,"Samridhi Perk Line")/SUMIFS(#REF!,#REF!,'Shift Wise-Data Sheet'!A:A,#REF!,"Samridhi Perk Line"),"")</f>
        <v/>
      </c>
      <c r="AT154" s="32"/>
      <c r="AU154" s="32"/>
      <c r="AV154" s="211">
        <f>IFERROR(VLOOKUP(Table110[[#This Row],[Date]],'Overweight Data'!A152:G1247,6,FALSE),"")</f>
        <v>2.1243093922651928E-2</v>
      </c>
      <c r="AW154" s="221">
        <f ca="1">IFERROR(
   IF(
      OR(Table110[[#This Row],[Operating Time]]=0, (Table110[[#This Row],[Operating Time]]/IF(AD154&lt;=1,AD154+1,AD154))*60=0),
      1,
      ((Table110[[#This Row],[Operating Time]])/IF(AD154&lt;=1,AD154+1,AD154))*60
   ),
"_")</f>
        <v>723.67346938775506</v>
      </c>
      <c r="AX154" s="221">
        <f>COUNTIFS('Downtime Data'!A:A,Table110[[#This Row],[Date]])</f>
        <v>2</v>
      </c>
      <c r="AY154" s="219">
        <f>IFERROR((SUM(Table110[[#This Row],[Minor Stoppages]:[Material Shortages]])/Table110[[#This Row],['# Stops]])*60,"")</f>
        <v>52.5</v>
      </c>
      <c r="AZ154" s="219"/>
      <c r="BA154" s="33">
        <v>46168</v>
      </c>
    </row>
    <row r="155" spans="1:53" ht="20.149999999999999" customHeight="1" x14ac:dyDescent="0.35">
      <c r="A155" s="21">
        <v>46172</v>
      </c>
      <c r="B155" s="22" t="str">
        <f t="shared" si="3"/>
        <v>Saturday</v>
      </c>
      <c r="C155" s="22"/>
      <c r="D155" s="23" t="s">
        <v>108</v>
      </c>
      <c r="E155" s="24" cm="1">
        <f t="array" aca="1" ref="E155" ca="1">IFERROR(INDIRECT(D155),"")</f>
        <v>34.200000000000003</v>
      </c>
      <c r="F155" s="25">
        <v>33</v>
      </c>
      <c r="G155" s="26">
        <v>30.47</v>
      </c>
      <c r="H155" s="27">
        <f ca="1">IFERROR((Table110[[#This Row],[Plan]]/Table110[[#This Row],[Hours Used]])/(Table110[[#This Row],[SOC (TPD)]]/24),"")</f>
        <v>0.96491228070175439</v>
      </c>
      <c r="I155" s="27">
        <f ca="1">IFERROR((Table110[[#This Row],[Volume Delivered (T)]]/Table110[[#This Row],[Hours Used]])/(Table110[[#This Row],[SOC (TPD)]]/24),"")</f>
        <v>0.8909356725146198</v>
      </c>
      <c r="J155" s="28"/>
      <c r="K155" s="28"/>
      <c r="L155" s="28"/>
      <c r="M155" s="25">
        <f>0.44+1.22+0.16+0.42-0.31-0.56</f>
        <v>1.3699999999999997</v>
      </c>
      <c r="N155" s="29">
        <v>3.7999999999999999E-2</v>
      </c>
      <c r="O155" s="84">
        <v>14</v>
      </c>
      <c r="P155" s="25"/>
      <c r="Q155" s="25"/>
      <c r="R155" s="70"/>
      <c r="S155" s="71"/>
      <c r="T155" s="30">
        <f>IF(Table110[[#This Row],[SKU]]="",0,24-Table110[[#This Row],[Legal Non-Operating Time]]-Table110[[#This Row],[No Demand Time]]-Table110[[#This Row],[Force Majeure]])</f>
        <v>24</v>
      </c>
      <c r="U155" s="26"/>
      <c r="V155" s="26"/>
      <c r="W155" s="26"/>
      <c r="X155" s="26"/>
      <c r="Y155" s="26"/>
      <c r="Z155" s="26"/>
      <c r="AA155" s="26"/>
      <c r="AB155" s="30">
        <f>Table110[[#This Row],[Hours Used]]-SUM(Table110[[#This Row],[Planned Maintenance]:[Start and Finish Production]])</f>
        <v>24</v>
      </c>
      <c r="AC155" s="26"/>
      <c r="AD155" s="26">
        <v>1.7</v>
      </c>
      <c r="AE155" s="26"/>
      <c r="AF155" s="26"/>
      <c r="AG155" s="26"/>
      <c r="AH155" s="26"/>
      <c r="AI155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-1.4619883040934903E-2</v>
      </c>
      <c r="AJ155" s="24">
        <f ca="1">IFERROR(IF(Table110[[#This Row],[SKU]]="",0,Table110[[#This Row],[Quality Loss (T)]]/(Table110[[#This Row],[SOC (TPD)]]/24)),"")</f>
        <v>0.96140350877192959</v>
      </c>
      <c r="AK155" s="31">
        <f ca="1">IFERROR(IF(Table110[[#This Row],[SKU]]="",0,Table110[[#This Row],[Volume Delivered (T)]]/(Table110[[#This Row],[SOC (TPD)]]/24)),"")</f>
        <v>21.382456140350875</v>
      </c>
      <c r="AL155" s="31">
        <f ca="1">IFERROR(Table110[[#This Row],[Operating Time]]/Table110[[#This Row],[PRODUCTION HOURS]],"")</f>
        <v>0.8909356725146198</v>
      </c>
      <c r="AM155" s="32">
        <v>85</v>
      </c>
      <c r="AN155" s="32" t="s">
        <v>107</v>
      </c>
      <c r="AO155" s="32" t="s">
        <v>107</v>
      </c>
      <c r="AP155" s="32">
        <v>1</v>
      </c>
      <c r="AQ155" s="32">
        <v>0</v>
      </c>
      <c r="AR155" s="32"/>
      <c r="AS155" s="32" t="str">
        <f>IFERROR(SUMIFS(#REF!,#REF!,'Shift Wise-Data Sheet'!A:A,#REF!,"Samridhi Perk Line")/SUMIFS(#REF!,#REF!,'Shift Wise-Data Sheet'!A:A,#REF!,"Samridhi Perk Line"),"")</f>
        <v/>
      </c>
      <c r="AT155" s="32"/>
      <c r="AU155" s="32"/>
      <c r="AV155" s="211">
        <f>IFERROR(VLOOKUP(Table110[[#This Row],[Date]],'Overweight Data'!A153:G1248,6,FALSE),"")</f>
        <v>2.5593922651933741E-2</v>
      </c>
      <c r="AW155" s="221">
        <f ca="1">IFERROR(
   IF(
      OR(Table110[[#This Row],[Operating Time]]=0, (Table110[[#This Row],[Operating Time]]/IF(AD155&lt;=1,AD155+1,AD155))*60=0),
      1,
      ((Table110[[#This Row],[Operating Time]])/IF(AD155&lt;=1,AD155+1,AD155))*60
   ),
"_")</f>
        <v>754.67492260061908</v>
      </c>
      <c r="AX155" s="221">
        <f>COUNTIFS('Downtime Data'!A:A,Table110[[#This Row],[Date]])</f>
        <v>1</v>
      </c>
      <c r="AY155" s="219">
        <f>IFERROR((SUM(Table110[[#This Row],[Minor Stoppages]:[Material Shortages]])/Table110[[#This Row],['# Stops]])*60,"")</f>
        <v>102</v>
      </c>
      <c r="AZ155" s="219"/>
      <c r="BA155" s="33">
        <v>46168</v>
      </c>
    </row>
    <row r="156" spans="1:53" ht="20.149999999999999" customHeight="1" x14ac:dyDescent="0.35">
      <c r="A156" s="21">
        <v>46173</v>
      </c>
      <c r="B156" s="22" t="str">
        <f t="shared" si="3"/>
        <v>Sunday</v>
      </c>
      <c r="C156" s="22"/>
      <c r="D156" s="23" t="s">
        <v>108</v>
      </c>
      <c r="E156" s="24" cm="1">
        <f t="array" aca="1" ref="E156" ca="1">IFERROR(INDIRECT(D156),"")</f>
        <v>34.200000000000003</v>
      </c>
      <c r="F156" s="25">
        <v>18</v>
      </c>
      <c r="G156" s="26">
        <v>25.3</v>
      </c>
      <c r="H156" s="27">
        <f ca="1">IFERROR((Table110[[#This Row],[Plan]]/Table110[[#This Row],[Hours Used]])/(Table110[[#This Row],[SOC (TPD)]]/24),"")</f>
        <v>0.52631578947368418</v>
      </c>
      <c r="I156" s="27">
        <f ca="1">IFERROR((Table110[[#This Row],[Volume Delivered (T)]]/Table110[[#This Row],[Hours Used]])/(Table110[[#This Row],[SOC (TPD)]]/24),"")</f>
        <v>0.73976608187134507</v>
      </c>
      <c r="J156" s="28"/>
      <c r="K156" s="28"/>
      <c r="L156" s="28"/>
      <c r="M156" s="25">
        <f>0.49+1.43+0.16+0.65-0.25-0.58</f>
        <v>1.9</v>
      </c>
      <c r="N156" s="29">
        <v>3.7999999999999999E-2</v>
      </c>
      <c r="O156" s="84">
        <v>14</v>
      </c>
      <c r="P156" s="25"/>
      <c r="Q156" s="25"/>
      <c r="R156" s="70"/>
      <c r="S156" s="71"/>
      <c r="T156" s="30">
        <f>IF(Table110[[#This Row],[SKU]]="",0,24-Table110[[#This Row],[Legal Non-Operating Time]]-Table110[[#This Row],[No Demand Time]]-Table110[[#This Row],[Force Majeure]])</f>
        <v>24</v>
      </c>
      <c r="U156" s="26"/>
      <c r="V156" s="26">
        <v>1</v>
      </c>
      <c r="W156" s="26">
        <v>2</v>
      </c>
      <c r="X156" s="26"/>
      <c r="Y156" s="26"/>
      <c r="Z156" s="26"/>
      <c r="AA156" s="26"/>
      <c r="AB156" s="30">
        <f>Table110[[#This Row],[Hours Used]]-SUM(Table110[[#This Row],[Planned Maintenance]:[Start and Finish Production]])</f>
        <v>21</v>
      </c>
      <c r="AC156" s="26"/>
      <c r="AD156" s="26">
        <v>2</v>
      </c>
      <c r="AE156" s="26"/>
      <c r="AF156" s="26"/>
      <c r="AG156" s="26"/>
      <c r="AH156" s="26"/>
      <c r="AI156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-2.9239766081870993E-2</v>
      </c>
      <c r="AJ156" s="24">
        <f ca="1">IFERROR(IF(Table110[[#This Row],[SKU]]="",0,Table110[[#This Row],[Quality Loss (T)]]/(Table110[[#This Row],[SOC (TPD)]]/24)),"")</f>
        <v>1.3333333333333333</v>
      </c>
      <c r="AK156" s="31">
        <f ca="1">IFERROR(IF(Table110[[#This Row],[SKU]]="",0,Table110[[#This Row],[Volume Delivered (T)]]/(Table110[[#This Row],[SOC (TPD)]]/24)),"")</f>
        <v>17.754385964912281</v>
      </c>
      <c r="AL156" s="31">
        <f ca="1">IFERROR(Table110[[#This Row],[Operating Time]]/Table110[[#This Row],[PRODUCTION HOURS]],"")</f>
        <v>0.84544695071010856</v>
      </c>
      <c r="AM156" s="32">
        <v>85</v>
      </c>
      <c r="AN156" s="32" t="s">
        <v>107</v>
      </c>
      <c r="AO156" s="32" t="s">
        <v>107</v>
      </c>
      <c r="AP156" s="32">
        <v>26</v>
      </c>
      <c r="AQ156" s="32">
        <v>26</v>
      </c>
      <c r="AR156" s="32"/>
      <c r="AS156" s="32" t="str">
        <f>IFERROR(SUMIFS(#REF!,#REF!,'Shift Wise-Data Sheet'!A:A,#REF!,"Samridhi Perk Line")/SUMIFS(#REF!,#REF!,'Shift Wise-Data Sheet'!A:A,#REF!,"Samridhi Perk Line"),"")</f>
        <v/>
      </c>
      <c r="AT156" s="32"/>
      <c r="AU156" s="32"/>
      <c r="AV156" s="211" t="str">
        <f>IFERROR(VLOOKUP(Table110[[#This Row],[Date]],'Overweight Data'!A154:G1249,6,FALSE),"")</f>
        <v/>
      </c>
      <c r="AW156" s="221">
        <f ca="1">IFERROR(
   IF(
      OR(Table110[[#This Row],[Operating Time]]=0, (Table110[[#This Row],[Operating Time]]/IF(AD156&lt;=1,AD156+1,AD156))*60=0),
      1,
      ((Table110[[#This Row],[Operating Time]])/IF(AD156&lt;=1,AD156+1,AD156))*60
   ),
"_")</f>
        <v>532.63157894736844</v>
      </c>
      <c r="AX156" s="221">
        <f>COUNTIFS('Downtime Data'!A:A,Table110[[#This Row],[Date]])</f>
        <v>0</v>
      </c>
      <c r="AY156" s="219" t="str">
        <f>IFERROR((SUM(Table110[[#This Row],[Minor Stoppages]:[Material Shortages]])/Table110[[#This Row],['# Stops]])*60,"")</f>
        <v/>
      </c>
      <c r="AZ156" s="219"/>
      <c r="BA156" s="33">
        <v>46168</v>
      </c>
    </row>
    <row r="157" spans="1:53" ht="20.149999999999999" customHeight="1" x14ac:dyDescent="0.35">
      <c r="A157" s="21">
        <v>46174</v>
      </c>
      <c r="B157" s="22" t="str">
        <f t="shared" si="3"/>
        <v>Monday</v>
      </c>
      <c r="C157" s="22"/>
      <c r="D157" s="23" t="s">
        <v>111</v>
      </c>
      <c r="E157" s="24" cm="1">
        <f t="array" aca="1" ref="E157" ca="1">IFERROR(INDIRECT(D157),"")</f>
        <v>24.5</v>
      </c>
      <c r="F157" s="25">
        <v>4</v>
      </c>
      <c r="G157" s="26"/>
      <c r="H157" s="27">
        <f ca="1">IFERROR((Table110[[#This Row],[Plan]]/Table110[[#This Row],[Hours Used]])/(Table110[[#This Row],[SOC (TPD)]]/24),"")</f>
        <v>0.16326530612244899</v>
      </c>
      <c r="I157" s="27">
        <f ca="1">IFERROR((Table110[[#This Row],[Volume Delivered (T)]]/Table110[[#This Row],[Hours Used]])/(Table110[[#This Row],[SOC (TPD)]]/24),"")</f>
        <v>0</v>
      </c>
      <c r="J157" s="28"/>
      <c r="K157" s="28"/>
      <c r="L157" s="28"/>
      <c r="M157" s="25"/>
      <c r="N157" s="29"/>
      <c r="O157" s="84"/>
      <c r="P157" s="25"/>
      <c r="Q157" s="25"/>
      <c r="R157" s="70"/>
      <c r="S157" s="71"/>
      <c r="T157" s="30">
        <f>IF(Table110[[#This Row],[SKU]]="",0,24-Table110[[#This Row],[Legal Non-Operating Time]]-Table110[[#This Row],[No Demand Time]]-Table110[[#This Row],[Force Majeure]])</f>
        <v>24</v>
      </c>
      <c r="U157" s="26"/>
      <c r="V157" s="26"/>
      <c r="W157" s="26">
        <v>24</v>
      </c>
      <c r="X157" s="26"/>
      <c r="Y157" s="26"/>
      <c r="Z157" s="26"/>
      <c r="AA157" s="26"/>
      <c r="AB157" s="30">
        <f>Table110[[#This Row],[Hours Used]]-SUM(Table110[[#This Row],[Planned Maintenance]:[Start and Finish Production]])</f>
        <v>0</v>
      </c>
      <c r="AC157" s="26"/>
      <c r="AD157" s="26"/>
      <c r="AE157" s="26"/>
      <c r="AF157" s="26"/>
      <c r="AG157" s="26"/>
      <c r="AH157" s="26"/>
      <c r="AI157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157" s="24">
        <f ca="1">IFERROR(IF(Table110[[#This Row],[SKU]]="",0,Table110[[#This Row],[Quality Loss (T)]]/(Table110[[#This Row],[SOC (TPD)]]/24)),"")</f>
        <v>0</v>
      </c>
      <c r="AK157" s="31">
        <f ca="1">IFERROR(IF(Table110[[#This Row],[SKU]]="",0,Table110[[#This Row],[Volume Delivered (T)]]/(Table110[[#This Row],[SOC (TPD)]]/24)),"")</f>
        <v>0</v>
      </c>
      <c r="AL157" s="31" t="str">
        <f ca="1">IFERROR(Table110[[#This Row],[Operating Time]]/Table110[[#This Row],[PRODUCTION HOURS]],"")</f>
        <v/>
      </c>
      <c r="AM157" s="32">
        <v>54</v>
      </c>
      <c r="AN157" s="32"/>
      <c r="AO157" s="32"/>
      <c r="AP157" s="32">
        <v>25</v>
      </c>
      <c r="AQ157" s="32">
        <v>25</v>
      </c>
      <c r="AR157" s="32"/>
      <c r="AS157" s="32" t="str">
        <f>IFERROR(SUMIFS(#REF!,#REF!,'Shift Wise-Data Sheet'!A:A,#REF!,"Samridhi Perk Line")/SUMIFS(#REF!,#REF!,'Shift Wise-Data Sheet'!A:A,#REF!,"Samridhi Perk Line"),"")</f>
        <v/>
      </c>
      <c r="AT157" s="32"/>
      <c r="AU157" s="32"/>
      <c r="AV157" s="211" t="str">
        <f>IFERROR(VLOOKUP(Table110[[#This Row],[Date]],'Overweight Data'!A155:G1250,6,FALSE),"")</f>
        <v/>
      </c>
      <c r="AW157" s="221">
        <f ca="1">IFERROR(
   IF(
      OR(Table110[[#This Row],[Operating Time]]=0, (Table110[[#This Row],[Operating Time]]/IF(AD157&lt;=1,AD157+1,AD157))*60=0),
      1,
      ((Table110[[#This Row],[Operating Time]])/IF(AD157&lt;=1,AD157+1,AD157))*60
   ),
"_")</f>
        <v>1</v>
      </c>
      <c r="AX157" s="221">
        <f>COUNTIFS('Downtime Data'!A:A,Table110[[#This Row],[Date]])</f>
        <v>0</v>
      </c>
      <c r="AY157" s="219" t="str">
        <f>IFERROR((SUM(Table110[[#This Row],[Minor Stoppages]:[Material Shortages]])/Table110[[#This Row],['# Stops]])*60,"")</f>
        <v/>
      </c>
      <c r="AZ157" s="219"/>
      <c r="BA157" s="33">
        <v>46199</v>
      </c>
    </row>
    <row r="158" spans="1:53" ht="20.149999999999999" customHeight="1" x14ac:dyDescent="0.35">
      <c r="A158" s="21">
        <v>46175</v>
      </c>
      <c r="B158" s="22" t="str">
        <f t="shared" si="3"/>
        <v>Tuesday</v>
      </c>
      <c r="C158" s="22"/>
      <c r="D158" s="23" t="s">
        <v>111</v>
      </c>
      <c r="E158" s="24" cm="1">
        <f t="array" aca="1" ref="E158" ca="1">IFERROR(INDIRECT(D158),"")</f>
        <v>24.5</v>
      </c>
      <c r="F158" s="25">
        <v>4</v>
      </c>
      <c r="G158" s="26"/>
      <c r="H158" s="27">
        <f ca="1">IFERROR((Table110[[#This Row],[Plan]]/Table110[[#This Row],[Hours Used]])/(Table110[[#This Row],[SOC (TPD)]]/24),"")</f>
        <v>0.16326530612244899</v>
      </c>
      <c r="I158" s="27">
        <f ca="1">IFERROR((Table110[[#This Row],[Volume Delivered (T)]]/Table110[[#This Row],[Hours Used]])/(Table110[[#This Row],[SOC (TPD)]]/24),"")</f>
        <v>0</v>
      </c>
      <c r="J158" s="28"/>
      <c r="K158" s="28"/>
      <c r="L158" s="28"/>
      <c r="M158" s="25"/>
      <c r="N158" s="29"/>
      <c r="O158" s="84"/>
      <c r="P158" s="25"/>
      <c r="Q158" s="25"/>
      <c r="R158" s="70"/>
      <c r="S158" s="71"/>
      <c r="T158" s="30">
        <f>IF(Table110[[#This Row],[SKU]]="",0,24-Table110[[#This Row],[Legal Non-Operating Time]]-Table110[[#This Row],[No Demand Time]]-Table110[[#This Row],[Force Majeure]])</f>
        <v>24</v>
      </c>
      <c r="U158" s="26"/>
      <c r="V158" s="26"/>
      <c r="W158" s="26">
        <v>24</v>
      </c>
      <c r="X158" s="26"/>
      <c r="Y158" s="26"/>
      <c r="Z158" s="26"/>
      <c r="AA158" s="26"/>
      <c r="AB158" s="30">
        <f>Table110[[#This Row],[Hours Used]]-SUM(Table110[[#This Row],[Planned Maintenance]:[Start and Finish Production]])</f>
        <v>0</v>
      </c>
      <c r="AC158" s="26"/>
      <c r="AD158" s="26"/>
      <c r="AE158" s="26"/>
      <c r="AF158" s="26"/>
      <c r="AG158" s="26"/>
      <c r="AH158" s="26"/>
      <c r="AI158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158" s="24">
        <f ca="1">IFERROR(IF(Table110[[#This Row],[SKU]]="",0,Table110[[#This Row],[Quality Loss (T)]]/(Table110[[#This Row],[SOC (TPD)]]/24)),"")</f>
        <v>0</v>
      </c>
      <c r="AK158" s="31">
        <f ca="1">IFERROR(IF(Table110[[#This Row],[SKU]]="",0,Table110[[#This Row],[Volume Delivered (T)]]/(Table110[[#This Row],[SOC (TPD)]]/24)),"")</f>
        <v>0</v>
      </c>
      <c r="AL158" s="31" t="str">
        <f ca="1">IFERROR(Table110[[#This Row],[Operating Time]]/Table110[[#This Row],[PRODUCTION HOURS]],"")</f>
        <v/>
      </c>
      <c r="AM158" s="32">
        <v>51</v>
      </c>
      <c r="AN158" s="32"/>
      <c r="AO158" s="32"/>
      <c r="AP158" s="32">
        <v>2</v>
      </c>
      <c r="AQ158" s="32">
        <v>0</v>
      </c>
      <c r="AR158" s="32"/>
      <c r="AS158" s="32" t="str">
        <f>IFERROR(SUMIFS(#REF!,#REF!,'Shift Wise-Data Sheet'!A:A,#REF!,"Samridhi Perk Line")/SUMIFS(#REF!,#REF!,'Shift Wise-Data Sheet'!A:A,#REF!,"Samridhi Perk Line"),"")</f>
        <v/>
      </c>
      <c r="AT158" s="32"/>
      <c r="AU158" s="32"/>
      <c r="AV158" s="211" t="str">
        <f>IFERROR(VLOOKUP(Table110[[#This Row],[Date]],'Overweight Data'!A156:G1251,6,FALSE),"")</f>
        <v/>
      </c>
      <c r="AW158" s="221">
        <f ca="1">IFERROR(
   IF(
      OR(Table110[[#This Row],[Operating Time]]=0, (Table110[[#This Row],[Operating Time]]/IF(AD158&lt;=1,AD158+1,AD158))*60=0),
      1,
      ((Table110[[#This Row],[Operating Time]])/IF(AD158&lt;=1,AD158+1,AD158))*60
   ),
"_")</f>
        <v>1</v>
      </c>
      <c r="AX158" s="221">
        <f>COUNTIFS('Downtime Data'!A:A,Table110[[#This Row],[Date]])</f>
        <v>0</v>
      </c>
      <c r="AY158" s="219" t="str">
        <f>IFERROR((SUM(Table110[[#This Row],[Minor Stoppages]:[Material Shortages]])/Table110[[#This Row],['# Stops]])*60,"")</f>
        <v/>
      </c>
      <c r="AZ158" s="219"/>
      <c r="BA158" s="33">
        <v>46199</v>
      </c>
    </row>
    <row r="159" spans="1:53" ht="20.149999999999999" customHeight="1" x14ac:dyDescent="0.35">
      <c r="A159" s="21">
        <v>46176</v>
      </c>
      <c r="B159" s="22" t="str">
        <f t="shared" si="3"/>
        <v>Wednesday</v>
      </c>
      <c r="C159" s="22"/>
      <c r="D159" s="23" t="s">
        <v>111</v>
      </c>
      <c r="E159" s="24" cm="1">
        <f t="array" aca="1" ref="E159" ca="1">IFERROR(INDIRECT(D159),"")</f>
        <v>24.5</v>
      </c>
      <c r="F159" s="25">
        <v>3</v>
      </c>
      <c r="G159" s="26"/>
      <c r="H159" s="27">
        <f ca="1">IFERROR((Table110[[#This Row],[Plan]]/Table110[[#This Row],[Hours Used]])/(Table110[[#This Row],[SOC (TPD)]]/24),"")</f>
        <v>0.12244897959183675</v>
      </c>
      <c r="I159" s="27">
        <f ca="1">IFERROR((Table110[[#This Row],[Volume Delivered (T)]]/Table110[[#This Row],[Hours Used]])/(Table110[[#This Row],[SOC (TPD)]]/24),"")</f>
        <v>0</v>
      </c>
      <c r="J159" s="28"/>
      <c r="K159" s="28"/>
      <c r="L159" s="28"/>
      <c r="M159" s="25"/>
      <c r="N159" s="29"/>
      <c r="O159" s="84"/>
      <c r="P159" s="25"/>
      <c r="Q159" s="25"/>
      <c r="R159" s="70"/>
      <c r="S159" s="71"/>
      <c r="T159" s="30">
        <f>IF(Table110[[#This Row],[SKU]]="",0,24-Table110[[#This Row],[Legal Non-Operating Time]]-Table110[[#This Row],[No Demand Time]]-Table110[[#This Row],[Force Majeure]])</f>
        <v>24</v>
      </c>
      <c r="U159" s="26"/>
      <c r="V159" s="26"/>
      <c r="W159" s="26">
        <v>24</v>
      </c>
      <c r="X159" s="26"/>
      <c r="Y159" s="26"/>
      <c r="Z159" s="26"/>
      <c r="AA159" s="26"/>
      <c r="AB159" s="30">
        <f>Table110[[#This Row],[Hours Used]]-SUM(Table110[[#This Row],[Planned Maintenance]:[Start and Finish Production]])</f>
        <v>0</v>
      </c>
      <c r="AC159" s="26"/>
      <c r="AD159" s="26"/>
      <c r="AE159" s="26"/>
      <c r="AF159" s="26"/>
      <c r="AG159" s="26"/>
      <c r="AH159" s="26"/>
      <c r="AI159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159" s="24">
        <f ca="1">IFERROR(IF(Table110[[#This Row],[SKU]]="",0,Table110[[#This Row],[Quality Loss (T)]]/(Table110[[#This Row],[SOC (TPD)]]/24)),"")</f>
        <v>0</v>
      </c>
      <c r="AK159" s="31">
        <f ca="1">IFERROR(IF(Table110[[#This Row],[SKU]]="",0,Table110[[#This Row],[Volume Delivered (T)]]/(Table110[[#This Row],[SOC (TPD)]]/24)),"")</f>
        <v>0</v>
      </c>
      <c r="AL159" s="31" t="str">
        <f ca="1">IFERROR(Table110[[#This Row],[Operating Time]]/Table110[[#This Row],[PRODUCTION HOURS]],"")</f>
        <v/>
      </c>
      <c r="AM159" s="32">
        <v>49</v>
      </c>
      <c r="AN159" s="32"/>
      <c r="AO159" s="32"/>
      <c r="AP159" s="32">
        <v>4</v>
      </c>
      <c r="AQ159" s="32">
        <v>4</v>
      </c>
      <c r="AR159" s="32"/>
      <c r="AS159" s="32" t="str">
        <f>IFERROR(SUMIFS(#REF!,#REF!,'Shift Wise-Data Sheet'!A:A,#REF!,"Samridhi Perk Line")/SUMIFS(#REF!,#REF!,'Shift Wise-Data Sheet'!A:A,#REF!,"Samridhi Perk Line"),"")</f>
        <v/>
      </c>
      <c r="AT159" s="32"/>
      <c r="AU159" s="32"/>
      <c r="AV159" s="211" t="str">
        <f>IFERROR(VLOOKUP(Table110[[#This Row],[Date]],'Overweight Data'!A157:G1252,6,FALSE),"")</f>
        <v/>
      </c>
      <c r="AW159" s="221">
        <f ca="1">IFERROR(
   IF(
      OR(Table110[[#This Row],[Operating Time]]=0, (Table110[[#This Row],[Operating Time]]/IF(AD159&lt;=1,AD159+1,AD159))*60=0),
      1,
      ((Table110[[#This Row],[Operating Time]])/IF(AD159&lt;=1,AD159+1,AD159))*60
   ),
"_")</f>
        <v>1</v>
      </c>
      <c r="AX159" s="221">
        <f>COUNTIFS('Downtime Data'!A:A,Table110[[#This Row],[Date]])</f>
        <v>0</v>
      </c>
      <c r="AY159" s="219" t="str">
        <f>IFERROR((SUM(Table110[[#This Row],[Minor Stoppages]:[Material Shortages]])/Table110[[#This Row],['# Stops]])*60,"")</f>
        <v/>
      </c>
      <c r="AZ159" s="219"/>
      <c r="BA159" s="33">
        <v>46199</v>
      </c>
    </row>
    <row r="160" spans="1:53" ht="20.149999999999999" customHeight="1" x14ac:dyDescent="0.35">
      <c r="A160" s="21">
        <v>46177</v>
      </c>
      <c r="B160" s="22" t="str">
        <f t="shared" si="3"/>
        <v>Thursday</v>
      </c>
      <c r="C160" s="22"/>
      <c r="D160" s="23" t="s">
        <v>111</v>
      </c>
      <c r="E160" s="24" cm="1">
        <f t="array" aca="1" ref="E160" ca="1">IFERROR(INDIRECT(D160),"")</f>
        <v>24.5</v>
      </c>
      <c r="F160" s="25">
        <v>0</v>
      </c>
      <c r="G160" s="26"/>
      <c r="H160" s="27">
        <f ca="1">IFERROR((Table110[[#This Row],[Plan]]/Table110[[#This Row],[Hours Used]])/(Table110[[#This Row],[SOC (TPD)]]/24),"")</f>
        <v>0</v>
      </c>
      <c r="I160" s="27">
        <f ca="1">IFERROR((Table110[[#This Row],[Volume Delivered (T)]]/Table110[[#This Row],[Hours Used]])/(Table110[[#This Row],[SOC (TPD)]]/24),"")</f>
        <v>0</v>
      </c>
      <c r="J160" s="28"/>
      <c r="K160" s="28"/>
      <c r="L160" s="28"/>
      <c r="M160" s="25"/>
      <c r="N160" s="29"/>
      <c r="O160" s="84"/>
      <c r="P160" s="25"/>
      <c r="Q160" s="25"/>
      <c r="R160" s="70"/>
      <c r="S160" s="71"/>
      <c r="T160" s="30">
        <f>IF(Table110[[#This Row],[SKU]]="",0,24-Table110[[#This Row],[Legal Non-Operating Time]]-Table110[[#This Row],[No Demand Time]]-Table110[[#This Row],[Force Majeure]])</f>
        <v>24</v>
      </c>
      <c r="U160" s="26"/>
      <c r="V160" s="26"/>
      <c r="W160" s="26">
        <v>24</v>
      </c>
      <c r="X160" s="26"/>
      <c r="Y160" s="26"/>
      <c r="Z160" s="26"/>
      <c r="AA160" s="26"/>
      <c r="AB160" s="30">
        <f>Table110[[#This Row],[Hours Used]]-SUM(Table110[[#This Row],[Planned Maintenance]:[Start and Finish Production]])</f>
        <v>0</v>
      </c>
      <c r="AC160" s="26"/>
      <c r="AD160" s="26"/>
      <c r="AE160" s="26"/>
      <c r="AF160" s="26"/>
      <c r="AG160" s="26"/>
      <c r="AH160" s="26"/>
      <c r="AI160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160" s="24">
        <f ca="1">IFERROR(IF(Table110[[#This Row],[SKU]]="",0,Table110[[#This Row],[Quality Loss (T)]]/(Table110[[#This Row],[SOC (TPD)]]/24)),"")</f>
        <v>0</v>
      </c>
      <c r="AK160" s="31">
        <f ca="1">IFERROR(IF(Table110[[#This Row],[SKU]]="",0,Table110[[#This Row],[Volume Delivered (T)]]/(Table110[[#This Row],[SOC (TPD)]]/24)),"")</f>
        <v>0</v>
      </c>
      <c r="AL160" s="31" t="str">
        <f ca="1">IFERROR(Table110[[#This Row],[Operating Time]]/Table110[[#This Row],[PRODUCTION HOURS]],"")</f>
        <v/>
      </c>
      <c r="AM160" s="32">
        <v>53</v>
      </c>
      <c r="AN160" s="32"/>
      <c r="AO160" s="32"/>
      <c r="AP160" s="32">
        <v>0</v>
      </c>
      <c r="AQ160" s="32">
        <v>0</v>
      </c>
      <c r="AR160" s="32"/>
      <c r="AS160" s="32" t="str">
        <f>IFERROR(SUMIFS(#REF!,#REF!,'Shift Wise-Data Sheet'!A:A,#REF!,"Samridhi Perk Line")/SUMIFS(#REF!,#REF!,'Shift Wise-Data Sheet'!A:A,#REF!,"Samridhi Perk Line"),"")</f>
        <v/>
      </c>
      <c r="AT160" s="32"/>
      <c r="AU160" s="32"/>
      <c r="AV160" s="211" t="str">
        <f>IFERROR(VLOOKUP(Table110[[#This Row],[Date]],'Overweight Data'!A158:G1253,6,FALSE),"")</f>
        <v/>
      </c>
      <c r="AW160" s="221">
        <f ca="1">IFERROR(
   IF(
      OR(Table110[[#This Row],[Operating Time]]=0, (Table110[[#This Row],[Operating Time]]/IF(AD160&lt;=1,AD160+1,AD160))*60=0),
      1,
      ((Table110[[#This Row],[Operating Time]])/IF(AD160&lt;=1,AD160+1,AD160))*60
   ),
"_")</f>
        <v>1</v>
      </c>
      <c r="AX160" s="221">
        <f>COUNTIFS('Downtime Data'!A:A,Table110[[#This Row],[Date]])</f>
        <v>0</v>
      </c>
      <c r="AY160" s="219" t="str">
        <f>IFERROR((SUM(Table110[[#This Row],[Minor Stoppages]:[Material Shortages]])/Table110[[#This Row],['# Stops]])*60,"")</f>
        <v/>
      </c>
      <c r="AZ160" s="219"/>
      <c r="BA160" s="33">
        <v>46199</v>
      </c>
    </row>
    <row r="161" spans="1:53" ht="20.149999999999999" customHeight="1" x14ac:dyDescent="0.35">
      <c r="A161" s="21">
        <v>46178</v>
      </c>
      <c r="B161" s="22" t="str">
        <f t="shared" si="3"/>
        <v>Friday</v>
      </c>
      <c r="C161" s="22"/>
      <c r="D161" s="23" t="s">
        <v>111</v>
      </c>
      <c r="E161" s="24" cm="1">
        <f t="array" aca="1" ref="E161" ca="1">IFERROR(INDIRECT(D161),"")</f>
        <v>24.5</v>
      </c>
      <c r="F161" s="25">
        <v>11.5</v>
      </c>
      <c r="G161" s="26">
        <f>6.7+2.2+3.1+2.7+3.3</f>
        <v>18</v>
      </c>
      <c r="H161" s="27">
        <f ca="1">IFERROR((Table110[[#This Row],[Plan]]/Table110[[#This Row],[Hours Used]])/(Table110[[#This Row],[SOC (TPD)]]/24),"")</f>
        <v>0.46938775510204089</v>
      </c>
      <c r="I161" s="27">
        <f ca="1">IFERROR((Table110[[#This Row],[Volume Delivered (T)]]/Table110[[#This Row],[Hours Used]])/(Table110[[#This Row],[SOC (TPD)]]/24),"")</f>
        <v>0.73469387755102045</v>
      </c>
      <c r="J161" s="28"/>
      <c r="K161" s="28"/>
      <c r="L161" s="28"/>
      <c r="M161" s="25">
        <f>(VLOOKUP(Table110[[#This Row],[Date]],'Coated Rework Data'!$A:$F,5)/1000)</f>
        <v>1.415</v>
      </c>
      <c r="N161" s="29">
        <v>4.3999999999999997E-2</v>
      </c>
      <c r="O161" s="84"/>
      <c r="P161" s="25"/>
      <c r="Q161" s="25"/>
      <c r="R161" s="70"/>
      <c r="S161" s="71"/>
      <c r="T161" s="30">
        <f>IF(Table110[[#This Row],[SKU]]="",0,24-Table110[[#This Row],[Legal Non-Operating Time]]-Table110[[#This Row],[No Demand Time]]-Table110[[#This Row],[Force Majeure]])</f>
        <v>24</v>
      </c>
      <c r="U161" s="26"/>
      <c r="V161" s="26"/>
      <c r="W161" s="26">
        <v>8</v>
      </c>
      <c r="X161" s="26"/>
      <c r="Y161" s="26"/>
      <c r="Z161" s="26"/>
      <c r="AA161" s="26"/>
      <c r="AB161" s="30">
        <f>Table110[[#This Row],[Hours Used]]-SUM(Table110[[#This Row],[Planned Maintenance]:[Start and Finish Production]])</f>
        <v>16</v>
      </c>
      <c r="AC161" s="26"/>
      <c r="AD161" s="26"/>
      <c r="AE161" s="26"/>
      <c r="AF161" s="26"/>
      <c r="AG161" s="26"/>
      <c r="AH161" s="26"/>
      <c r="AI161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-1.0062585034013611</v>
      </c>
      <c r="AJ161" s="24">
        <f ca="1">IFERROR(IF(Table110[[#This Row],[SKU]]="",0,Table110[[#This Row],[Quality Loss (T)]]/(Table110[[#This Row],[SOC (TPD)]]/24)),"")</f>
        <v>1.386122448979592</v>
      </c>
      <c r="AK161" s="31">
        <f ca="1">IFERROR(IF(Table110[[#This Row],[SKU]]="",0,Table110[[#This Row],[Volume Delivered (T)]]/(Table110[[#This Row],[SOC (TPD)]]/24)),"")</f>
        <v>17.632653061224492</v>
      </c>
      <c r="AL161" s="31">
        <f ca="1">IFERROR(Table110[[#This Row],[Operating Time]]/Table110[[#This Row],[PRODUCTION HOURS]],"")</f>
        <v>1.1020408163265307</v>
      </c>
      <c r="AM161" s="32">
        <v>76</v>
      </c>
      <c r="AN161" s="32" t="s">
        <v>107</v>
      </c>
      <c r="AO161" s="32" t="s">
        <v>107</v>
      </c>
      <c r="AP161" s="32">
        <v>0</v>
      </c>
      <c r="AQ161" s="32">
        <v>0</v>
      </c>
      <c r="AR161" s="32"/>
      <c r="AS161" s="32" t="str">
        <f>IFERROR(SUMIFS(#REF!,#REF!,'Shift Wise-Data Sheet'!A:A,#REF!,"Samridhi Perk Line")/SUMIFS(#REF!,#REF!,'Shift Wise-Data Sheet'!A:A,#REF!,"Samridhi Perk Line"),"")</f>
        <v/>
      </c>
      <c r="AT161" s="32"/>
      <c r="AU161" s="32"/>
      <c r="AV161" s="211" t="str">
        <f>IFERROR(VLOOKUP(Table110[[#This Row],[Date]],'Overweight Data'!A159:G1254,6,FALSE),"")</f>
        <v/>
      </c>
      <c r="AW161" s="221">
        <f ca="1">IFERROR(
   IF(
      OR(Table110[[#This Row],[Operating Time]]=0, (Table110[[#This Row],[Operating Time]]/IF(AD161&lt;=1,AD161+1,AD161))*60=0),
      1,
      ((Table110[[#This Row],[Operating Time]])/IF(AD161&lt;=1,AD161+1,AD161))*60
   ),
"_")</f>
        <v>1057.9591836734694</v>
      </c>
      <c r="AX161" s="221">
        <f>COUNTIFS('Downtime Data'!A:A,Table110[[#This Row],[Date]])</f>
        <v>1</v>
      </c>
      <c r="AY161" s="219">
        <f>IFERROR((SUM(Table110[[#This Row],[Minor Stoppages]:[Material Shortages]])/Table110[[#This Row],['# Stops]])*60,"")</f>
        <v>0</v>
      </c>
      <c r="AZ161" s="219"/>
      <c r="BA161" s="33">
        <v>46199</v>
      </c>
    </row>
    <row r="162" spans="1:53" ht="20.149999999999999" customHeight="1" x14ac:dyDescent="0.35">
      <c r="A162" s="21">
        <v>46179</v>
      </c>
      <c r="B162" s="22" t="str">
        <f t="shared" si="3"/>
        <v>Saturday</v>
      </c>
      <c r="C162" s="22"/>
      <c r="D162" s="23" t="s">
        <v>111</v>
      </c>
      <c r="E162" s="24" cm="1">
        <f t="array" aca="1" ref="E162" ca="1">IFERROR(INDIRECT(D162),"")</f>
        <v>24.5</v>
      </c>
      <c r="F162" s="25">
        <v>13</v>
      </c>
      <c r="G162" s="26">
        <f>20.2+2</f>
        <v>22.2</v>
      </c>
      <c r="H162" s="27">
        <f ca="1">IFERROR((Table110[[#This Row],[Plan]]/Table110[[#This Row],[Hours Used]])/(Table110[[#This Row],[SOC (TPD)]]/24),"")</f>
        <v>0.53061224489795922</v>
      </c>
      <c r="I162" s="27">
        <f ca="1">IFERROR((Table110[[#This Row],[Volume Delivered (T)]]/Table110[[#This Row],[Hours Used]])/(Table110[[#This Row],[SOC (TPD)]]/24),"")</f>
        <v>0.90612244897959182</v>
      </c>
      <c r="J162" s="28"/>
      <c r="K162" s="28"/>
      <c r="L162" s="28"/>
      <c r="M162" s="25">
        <f>(VLOOKUP(Table110[[#This Row],[Date]],'Coated Rework Data'!$A:$F,5)/1000)</f>
        <v>1.526</v>
      </c>
      <c r="N162" s="29">
        <v>4.3999999999999997E-2</v>
      </c>
      <c r="O162" s="84"/>
      <c r="P162" s="25"/>
      <c r="Q162" s="25"/>
      <c r="R162" s="70"/>
      <c r="S162" s="71"/>
      <c r="T162" s="30">
        <f>IF(Table110[[#This Row],[SKU]]="",0,24-Table110[[#This Row],[Legal Non-Operating Time]]-Table110[[#This Row],[No Demand Time]]-Table110[[#This Row],[Force Majeure]])</f>
        <v>24</v>
      </c>
      <c r="U162" s="26"/>
      <c r="V162" s="26"/>
      <c r="W162" s="26"/>
      <c r="X162" s="26"/>
      <c r="Y162" s="26"/>
      <c r="Z162" s="26"/>
      <c r="AA162" s="26"/>
      <c r="AB162" s="30">
        <f>Table110[[#This Row],[Hours Used]]-SUM(Table110[[#This Row],[Planned Maintenance]:[Start and Finish Production]])</f>
        <v>24</v>
      </c>
      <c r="AC162" s="26"/>
      <c r="AD162" s="26">
        <v>0.75</v>
      </c>
      <c r="AE162" s="26"/>
      <c r="AF162" s="26"/>
      <c r="AG162" s="26"/>
      <c r="AH162" s="26"/>
      <c r="AI162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2.7346938775506167E-3</v>
      </c>
      <c r="AJ162" s="24">
        <f ca="1">IFERROR(IF(Table110[[#This Row],[SKU]]="",0,Table110[[#This Row],[Quality Loss (T)]]/(Table110[[#This Row],[SOC (TPD)]]/24)),"")</f>
        <v>1.4948571428571429</v>
      </c>
      <c r="AK162" s="31">
        <f ca="1">IFERROR(IF(Table110[[#This Row],[SKU]]="",0,Table110[[#This Row],[Volume Delivered (T)]]/(Table110[[#This Row],[SOC (TPD)]]/24)),"")</f>
        <v>21.746938775510205</v>
      </c>
      <c r="AL162" s="31">
        <f ca="1">IFERROR(Table110[[#This Row],[Operating Time]]/Table110[[#This Row],[PRODUCTION HOURS]],"")</f>
        <v>0.90612244897959193</v>
      </c>
      <c r="AM162" s="32">
        <v>100</v>
      </c>
      <c r="AN162" s="32" t="s">
        <v>107</v>
      </c>
      <c r="AO162" s="32" t="s">
        <v>107</v>
      </c>
      <c r="AP162" s="32">
        <v>0</v>
      </c>
      <c r="AQ162" s="32">
        <v>0</v>
      </c>
      <c r="AR162" s="32"/>
      <c r="AS162" s="32" t="str">
        <f>IFERROR(SUMIFS(#REF!,#REF!,'Shift Wise-Data Sheet'!A:A,#REF!,"Samridhi Perk Line")/SUMIFS(#REF!,#REF!,'Shift Wise-Data Sheet'!A:A,#REF!,"Samridhi Perk Line"),"")</f>
        <v/>
      </c>
      <c r="AT162" s="32"/>
      <c r="AU162" s="32"/>
      <c r="AV162" s="211" t="str">
        <f>IFERROR(VLOOKUP(Table110[[#This Row],[Date]],'Overweight Data'!A160:G1255,6,FALSE),"")</f>
        <v/>
      </c>
      <c r="AW162" s="221">
        <f ca="1">IFERROR(
   IF(
      OR(Table110[[#This Row],[Operating Time]]=0, (Table110[[#This Row],[Operating Time]]/IF(AD162&lt;=1,AD162+1,AD162))*60=0),
      1,
      ((Table110[[#This Row],[Operating Time]])/IF(AD162&lt;=1,AD162+1,AD162))*60
   ),
"_")</f>
        <v>745.60932944606418</v>
      </c>
      <c r="AX162" s="221">
        <f>COUNTIFS('Downtime Data'!A:A,Table110[[#This Row],[Date]])</f>
        <v>1</v>
      </c>
      <c r="AY162" s="219">
        <f>IFERROR((SUM(Table110[[#This Row],[Minor Stoppages]:[Material Shortages]])/Table110[[#This Row],['# Stops]])*60,"")</f>
        <v>45</v>
      </c>
      <c r="AZ162" s="219"/>
      <c r="BA162" s="33">
        <v>46199</v>
      </c>
    </row>
    <row r="163" spans="1:53" ht="20.149999999999999" customHeight="1" x14ac:dyDescent="0.35">
      <c r="A163" s="21">
        <v>46180</v>
      </c>
      <c r="B163" s="22" t="str">
        <f t="shared" si="3"/>
        <v>Sunday</v>
      </c>
      <c r="C163" s="22"/>
      <c r="D163" s="23" t="s">
        <v>111</v>
      </c>
      <c r="E163" s="24" cm="1">
        <f t="array" aca="1" ref="E163" ca="1">IFERROR(INDIRECT(D163),"")</f>
        <v>24.5</v>
      </c>
      <c r="F163" s="25">
        <v>17</v>
      </c>
      <c r="G163" s="26">
        <f>17.463492+4</f>
        <v>21.463491999999999</v>
      </c>
      <c r="H163" s="27">
        <f ca="1">IFERROR((Table110[[#This Row],[Plan]]/Table110[[#This Row],[Hours Used]])/(Table110[[#This Row],[SOC (TPD)]]/24),"")</f>
        <v>0.69387755102040827</v>
      </c>
      <c r="I163" s="27">
        <f ca="1">IFERROR((Table110[[#This Row],[Volume Delivered (T)]]/Table110[[#This Row],[Hours Used]])/(Table110[[#This Row],[SOC (TPD)]]/24),"")</f>
        <v>0.87606089795918363</v>
      </c>
      <c r="J163" s="28"/>
      <c r="K163" s="28"/>
      <c r="L163" s="28"/>
      <c r="M163" s="25">
        <f>(VLOOKUP(Table110[[#This Row],[Date]],'Coated Rework Data'!$A:$F,5)/1000)</f>
        <v>1.5549999999999999</v>
      </c>
      <c r="N163" s="29">
        <v>4.3999999999999997E-2</v>
      </c>
      <c r="O163" s="84"/>
      <c r="P163" s="25"/>
      <c r="Q163" s="25"/>
      <c r="R163" s="70"/>
      <c r="S163" s="71"/>
      <c r="T163" s="30">
        <f>IF(Table110[[#This Row],[SKU]]="",0,24-Table110[[#This Row],[Legal Non-Operating Time]]-Table110[[#This Row],[No Demand Time]]-Table110[[#This Row],[Force Majeure]])</f>
        <v>24</v>
      </c>
      <c r="U163" s="26"/>
      <c r="V163" s="26"/>
      <c r="W163" s="26"/>
      <c r="X163" s="26"/>
      <c r="Y163" s="26"/>
      <c r="Z163" s="26"/>
      <c r="AA163" s="26"/>
      <c r="AB163" s="30">
        <f>Table110[[#This Row],[Hours Used]]-SUM(Table110[[#This Row],[Planned Maintenance]:[Start and Finish Production]])</f>
        <v>24</v>
      </c>
      <c r="AC163" s="26"/>
      <c r="AD163" s="26">
        <f>70/60</f>
        <v>1.1666666666666667</v>
      </c>
      <c r="AE163" s="26"/>
      <c r="AF163" s="26"/>
      <c r="AG163" s="26"/>
      <c r="AH163" s="26"/>
      <c r="AI163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9.4868825396824022E-2</v>
      </c>
      <c r="AJ163" s="24">
        <f ca="1">IFERROR(IF(Table110[[#This Row],[SKU]]="",0,Table110[[#This Row],[Quality Loss (T)]]/(Table110[[#This Row],[SOC (TPD)]]/24)),"")</f>
        <v>1.523265306122449</v>
      </c>
      <c r="AK163" s="31">
        <f ca="1">IFERROR(IF(Table110[[#This Row],[SKU]]="",0,Table110[[#This Row],[Volume Delivered (T)]]/(Table110[[#This Row],[SOC (TPD)]]/24)),"")</f>
        <v>21.02546155102041</v>
      </c>
      <c r="AL163" s="31">
        <f ca="1">IFERROR(Table110[[#This Row],[Operating Time]]/Table110[[#This Row],[PRODUCTION HOURS]],"")</f>
        <v>0.87606089795918374</v>
      </c>
      <c r="AM163" s="32">
        <v>105</v>
      </c>
      <c r="AN163" s="32" t="s">
        <v>107</v>
      </c>
      <c r="AO163" s="32" t="s">
        <v>107</v>
      </c>
      <c r="AP163" s="32">
        <v>1</v>
      </c>
      <c r="AQ163" s="32">
        <v>1</v>
      </c>
      <c r="AR163" s="32"/>
      <c r="AS163" s="32" t="str">
        <f>IFERROR(SUMIFS(#REF!,#REF!,'Shift Wise-Data Sheet'!A:A,#REF!,"Samridhi Perk Line")/SUMIFS(#REF!,#REF!,'Shift Wise-Data Sheet'!A:A,#REF!,"Samridhi Perk Line"),"")</f>
        <v/>
      </c>
      <c r="AT163" s="32"/>
      <c r="AU163" s="32"/>
      <c r="AV163" s="211" t="str">
        <f>IFERROR(VLOOKUP(Table110[[#This Row],[Date]],'Overweight Data'!A161:G1256,6,FALSE),"")</f>
        <v/>
      </c>
      <c r="AW163" s="221">
        <f ca="1">IFERROR(
   IF(
      OR(Table110[[#This Row],[Operating Time]]=0, (Table110[[#This Row],[Operating Time]]/IF(AD163&lt;=1,AD163+1,AD163))*60=0),
      1,
      ((Table110[[#This Row],[Operating Time]])/IF(AD163&lt;=1,AD163+1,AD163))*60
   ),
"_")</f>
        <v>1081.3094511953354</v>
      </c>
      <c r="AX163" s="221">
        <f>COUNTIFS('Downtime Data'!A:A,Table110[[#This Row],[Date]])</f>
        <v>3</v>
      </c>
      <c r="AY163" s="219">
        <f>IFERROR((SUM(Table110[[#This Row],[Minor Stoppages]:[Material Shortages]])/Table110[[#This Row],['# Stops]])*60,"")</f>
        <v>23.333333333333332</v>
      </c>
      <c r="AZ163" s="219"/>
      <c r="BA163" s="33">
        <v>46199</v>
      </c>
    </row>
    <row r="164" spans="1:53" ht="20.149999999999999" customHeight="1" x14ac:dyDescent="0.35">
      <c r="A164" s="21">
        <v>46181</v>
      </c>
      <c r="B164" s="22" t="str">
        <f t="shared" si="3"/>
        <v>Monday</v>
      </c>
      <c r="C164" s="22"/>
      <c r="D164" s="23" t="s">
        <v>111</v>
      </c>
      <c r="E164" s="24" cm="1">
        <f t="array" aca="1" ref="E164" ca="1">IFERROR(INDIRECT(D164),"")</f>
        <v>24.5</v>
      </c>
      <c r="F164" s="25">
        <v>17</v>
      </c>
      <c r="G164" s="26">
        <f>17.351644+2+2</f>
        <v>21.351644</v>
      </c>
      <c r="H164" s="27">
        <f ca="1">IFERROR((Table110[[#This Row],[Plan]]/Table110[[#This Row],[Hours Used]])/(Table110[[#This Row],[SOC (TPD)]]/24),"")</f>
        <v>0.69387755102040827</v>
      </c>
      <c r="I164" s="27">
        <f ca="1">IFERROR((Table110[[#This Row],[Volume Delivered (T)]]/Table110[[#This Row],[Hours Used]])/(Table110[[#This Row],[SOC (TPD)]]/24),"")</f>
        <v>0.87149567346938783</v>
      </c>
      <c r="J164" s="28"/>
      <c r="K164" s="28"/>
      <c r="L164" s="28"/>
      <c r="M164" s="25">
        <f>(VLOOKUP(Table110[[#This Row],[Date]],'Coated Rework Data'!$A:$F,5)/1000)</f>
        <v>1.696</v>
      </c>
      <c r="N164" s="29">
        <v>4.3999999999999997E-2</v>
      </c>
      <c r="O164" s="84">
        <v>10</v>
      </c>
      <c r="P164" s="25"/>
      <c r="Q164" s="25"/>
      <c r="R164" s="70"/>
      <c r="S164" s="71"/>
      <c r="T164" s="30">
        <f>IF(Table110[[#This Row],[SKU]]="",0,24-Table110[[#This Row],[Legal Non-Operating Time]]-Table110[[#This Row],[No Demand Time]]-Table110[[#This Row],[Force Majeure]])</f>
        <v>24</v>
      </c>
      <c r="U164" s="26"/>
      <c r="V164" s="26"/>
      <c r="W164" s="26"/>
      <c r="X164" s="26"/>
      <c r="Y164" s="26"/>
      <c r="Z164" s="26"/>
      <c r="AA164" s="26"/>
      <c r="AB164" s="30">
        <f>Table110[[#This Row],[Hours Used]]-SUM(Table110[[#This Row],[Planned Maintenance]:[Start and Finish Production]])</f>
        <v>24</v>
      </c>
      <c r="AC164" s="26"/>
      <c r="AD164" s="26">
        <v>1.4</v>
      </c>
      <c r="AE164" s="26"/>
      <c r="AF164" s="26"/>
      <c r="AG164" s="26"/>
      <c r="AH164" s="26"/>
      <c r="AI164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7.5720272108839026E-3</v>
      </c>
      <c r="AJ164" s="24">
        <f ca="1">IFERROR(IF(Table110[[#This Row],[SKU]]="",0,Table110[[#This Row],[Quality Loss (T)]]/(Table110[[#This Row],[SOC (TPD)]]/24)),"")</f>
        <v>1.6613877551020408</v>
      </c>
      <c r="AK164" s="31">
        <f ca="1">IFERROR(IF(Table110[[#This Row],[SKU]]="",0,Table110[[#This Row],[Volume Delivered (T)]]/(Table110[[#This Row],[SOC (TPD)]]/24)),"")</f>
        <v>20.915896163265309</v>
      </c>
      <c r="AL164" s="31">
        <f ca="1">IFERROR(Table110[[#This Row],[Operating Time]]/Table110[[#This Row],[PRODUCTION HOURS]],"")</f>
        <v>0.87149567346938783</v>
      </c>
      <c r="AM164" s="32">
        <v>92</v>
      </c>
      <c r="AN164" s="32" t="s">
        <v>107</v>
      </c>
      <c r="AO164" s="32" t="s">
        <v>107</v>
      </c>
      <c r="AP164" s="32">
        <v>0</v>
      </c>
      <c r="AQ164" s="32">
        <v>0</v>
      </c>
      <c r="AR164" s="32"/>
      <c r="AS164" s="32" t="str">
        <f>IFERROR(SUMIFS(#REF!,#REF!,'Shift Wise-Data Sheet'!A:A,#REF!,"Samridhi Perk Line")/SUMIFS(#REF!,#REF!,'Shift Wise-Data Sheet'!A:A,#REF!,"Samridhi Perk Line"),"")</f>
        <v/>
      </c>
      <c r="AT164" s="32"/>
      <c r="AU164" s="32"/>
      <c r="AV164" s="211" t="str">
        <f>IFERROR(VLOOKUP(Table110[[#This Row],[Date]],'Overweight Data'!A162:G1257,6,FALSE),"")</f>
        <v/>
      </c>
      <c r="AW164" s="221">
        <f ca="1">IFERROR(
   IF(
      OR(Table110[[#This Row],[Operating Time]]=0, (Table110[[#This Row],[Operating Time]]/IF(AD164&lt;=1,AD164+1,AD164))*60=0),
      1,
      ((Table110[[#This Row],[Operating Time]])/IF(AD164&lt;=1,AD164+1,AD164))*60
   ),
"_")</f>
        <v>896.39554985422751</v>
      </c>
      <c r="AX164" s="221">
        <f>COUNTIFS('Downtime Data'!A:A,Table110[[#This Row],[Date]])</f>
        <v>1</v>
      </c>
      <c r="AY164" s="219">
        <f>IFERROR((SUM(Table110[[#This Row],[Minor Stoppages]:[Material Shortages]])/Table110[[#This Row],['# Stops]])*60,"")</f>
        <v>84</v>
      </c>
      <c r="AZ164" s="219"/>
      <c r="BA164" s="33">
        <v>46199</v>
      </c>
    </row>
    <row r="165" spans="1:53" ht="20.149999999999999" customHeight="1" x14ac:dyDescent="0.35">
      <c r="A165" s="21">
        <v>46182</v>
      </c>
      <c r="B165" s="22" t="str">
        <f t="shared" si="3"/>
        <v>Tuesday</v>
      </c>
      <c r="C165" s="22"/>
      <c r="D165" s="23" t="s">
        <v>111</v>
      </c>
      <c r="E165" s="24" cm="1">
        <f t="array" aca="1" ref="E165" ca="1">IFERROR(INDIRECT(D165),"")</f>
        <v>24.5</v>
      </c>
      <c r="F165" s="25">
        <v>17</v>
      </c>
      <c r="G165" s="26">
        <v>21</v>
      </c>
      <c r="H165" s="27">
        <f ca="1">IFERROR((Table110[[#This Row],[Plan]]/Table110[[#This Row],[Hours Used]])/(Table110[[#This Row],[SOC (TPD)]]/24),"")</f>
        <v>0.69387755102040827</v>
      </c>
      <c r="I165" s="27">
        <f ca="1">IFERROR((Table110[[#This Row],[Volume Delivered (T)]]/Table110[[#This Row],[Hours Used]])/(Table110[[#This Row],[SOC (TPD)]]/24),"")</f>
        <v>0.85714285714285721</v>
      </c>
      <c r="J165" s="28"/>
      <c r="K165" s="28"/>
      <c r="L165" s="28"/>
      <c r="M165" s="25">
        <f>(VLOOKUP(Table110[[#This Row],[Date]],'Coated Rework Data'!$A:$F,5)/1000)</f>
        <v>1.3959999999999999</v>
      </c>
      <c r="N165" s="29">
        <v>4.3999999999999997E-2</v>
      </c>
      <c r="O165" s="84">
        <v>15</v>
      </c>
      <c r="P165" s="25"/>
      <c r="Q165" s="25"/>
      <c r="R165" s="70"/>
      <c r="S165" s="71"/>
      <c r="T165" s="30">
        <f>IF(Table110[[#This Row],[SKU]]="",0,24-Table110[[#This Row],[Legal Non-Operating Time]]-Table110[[#This Row],[No Demand Time]]-Table110[[#This Row],[Force Majeure]])</f>
        <v>24</v>
      </c>
      <c r="U165" s="26"/>
      <c r="V165" s="26"/>
      <c r="W165" s="26"/>
      <c r="X165" s="26"/>
      <c r="Y165" s="26"/>
      <c r="Z165" s="26"/>
      <c r="AA165" s="26"/>
      <c r="AB165" s="30">
        <f>Table110[[#This Row],[Hours Used]]-SUM(Table110[[#This Row],[Planned Maintenance]:[Start and Finish Production]])</f>
        <v>24</v>
      </c>
      <c r="AC165" s="26"/>
      <c r="AD165" s="26"/>
      <c r="AE165" s="26"/>
      <c r="AF165" s="26"/>
      <c r="AG165" s="26"/>
      <c r="AH165" s="26"/>
      <c r="AI165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0.68702040816326482</v>
      </c>
      <c r="AJ165" s="24">
        <f ca="1">IFERROR(IF(Table110[[#This Row],[SKU]]="",0,Table110[[#This Row],[Quality Loss (T)]]/(Table110[[#This Row],[SOC (TPD)]]/24)),"")</f>
        <v>1.3675102040816327</v>
      </c>
      <c r="AK165" s="31">
        <f ca="1">IFERROR(IF(Table110[[#This Row],[SKU]]="",0,Table110[[#This Row],[Volume Delivered (T)]]/(Table110[[#This Row],[SOC (TPD)]]/24)),"")</f>
        <v>20.571428571428573</v>
      </c>
      <c r="AL165" s="31">
        <f ca="1">IFERROR(Table110[[#This Row],[Operating Time]]/Table110[[#This Row],[PRODUCTION HOURS]],"")</f>
        <v>0.85714285714285721</v>
      </c>
      <c r="AM165" s="32">
        <v>102</v>
      </c>
      <c r="AN165" s="32" t="s">
        <v>107</v>
      </c>
      <c r="AO165" s="32" t="s">
        <v>107</v>
      </c>
      <c r="AP165" s="32">
        <v>0</v>
      </c>
      <c r="AQ165" s="32">
        <v>0</v>
      </c>
      <c r="AR165" s="32"/>
      <c r="AS165" s="32" t="str">
        <f>IFERROR(SUMIFS(#REF!,#REF!,'Shift Wise-Data Sheet'!A:A,#REF!,"Samridhi Perk Line")/SUMIFS(#REF!,#REF!,'Shift Wise-Data Sheet'!A:A,#REF!,"Samridhi Perk Line"),"")</f>
        <v/>
      </c>
      <c r="AT165" s="32"/>
      <c r="AU165" s="32"/>
      <c r="AV165" s="211" t="str">
        <f>IFERROR(VLOOKUP(Table110[[#This Row],[Date]],'Overweight Data'!A163:G1258,6,FALSE),"")</f>
        <v/>
      </c>
      <c r="AW165" s="221">
        <f ca="1">IFERROR(
   IF(
      OR(Table110[[#This Row],[Operating Time]]=0, (Table110[[#This Row],[Operating Time]]/IF(AD165&lt;=1,AD165+1,AD165))*60=0),
      1,
      ((Table110[[#This Row],[Operating Time]])/IF(AD165&lt;=1,AD165+1,AD165))*60
   ),
"_")</f>
        <v>1234.2857142857144</v>
      </c>
      <c r="AX165" s="221">
        <f>COUNTIFS('Downtime Data'!A:A,Table110[[#This Row],[Date]])</f>
        <v>2</v>
      </c>
      <c r="AY165" s="219">
        <f>IFERROR((SUM(Table110[[#This Row],[Minor Stoppages]:[Material Shortages]])/Table110[[#This Row],['# Stops]])*60,"")</f>
        <v>0</v>
      </c>
      <c r="AZ165" s="219"/>
      <c r="BA165" s="33">
        <v>46199</v>
      </c>
    </row>
    <row r="166" spans="1:53" ht="20.149999999999999" customHeight="1" x14ac:dyDescent="0.35">
      <c r="A166" s="21">
        <v>46183</v>
      </c>
      <c r="B166" s="22" t="str">
        <f t="shared" si="3"/>
        <v>Wednesday</v>
      </c>
      <c r="C166" s="22"/>
      <c r="D166" s="23" t="s">
        <v>111</v>
      </c>
      <c r="E166" s="24" cm="1">
        <f t="array" aca="1" ref="E166" ca="1">IFERROR(INDIRECT(D166),"")</f>
        <v>24.5</v>
      </c>
      <c r="F166" s="25">
        <v>17</v>
      </c>
      <c r="G166" s="26">
        <v>20.399999999999999</v>
      </c>
      <c r="H166" s="27">
        <f ca="1">IFERROR((Table110[[#This Row],[Plan]]/Table110[[#This Row],[Hours Used]])/(Table110[[#This Row],[SOC (TPD)]]/24),"")</f>
        <v>0.69387755102040827</v>
      </c>
      <c r="I166" s="27">
        <f ca="1">IFERROR((Table110[[#This Row],[Volume Delivered (T)]]/Table110[[#This Row],[Hours Used]])/(Table110[[#This Row],[SOC (TPD)]]/24),"")</f>
        <v>0.83265306122448979</v>
      </c>
      <c r="J166" s="28"/>
      <c r="K166" s="28"/>
      <c r="L166" s="28"/>
      <c r="M166" s="25">
        <f>(VLOOKUP(Table110[[#This Row],[Date]],'Coated Rework Data'!$A:$F,5)/1000)</f>
        <v>1.012</v>
      </c>
      <c r="N166" s="29">
        <v>4.3999999999999997E-2</v>
      </c>
      <c r="O166" s="84"/>
      <c r="P166" s="25"/>
      <c r="Q166" s="25"/>
      <c r="R166" s="70"/>
      <c r="S166" s="71"/>
      <c r="T166" s="30">
        <f>IF(Table110[[#This Row],[SKU]]="",0,24-Table110[[#This Row],[Legal Non-Operating Time]]-Table110[[#This Row],[No Demand Time]]-Table110[[#This Row],[Force Majeure]])</f>
        <v>24</v>
      </c>
      <c r="U166" s="26"/>
      <c r="V166" s="26"/>
      <c r="W166" s="26"/>
      <c r="X166" s="26"/>
      <c r="Y166" s="26"/>
      <c r="Z166" s="26"/>
      <c r="AA166" s="26"/>
      <c r="AB166" s="30">
        <f>Table110[[#This Row],[Hours Used]]-SUM(Table110[[#This Row],[Planned Maintenance]:[Start and Finish Production]])</f>
        <v>24</v>
      </c>
      <c r="AC166" s="26"/>
      <c r="AD166" s="26">
        <v>3</v>
      </c>
      <c r="AE166" s="26"/>
      <c r="AF166" s="26"/>
      <c r="AG166" s="26"/>
      <c r="AH166" s="26"/>
      <c r="AI166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8.3265306122441984E-3</v>
      </c>
      <c r="AJ166" s="24">
        <f ca="1">IFERROR(IF(Table110[[#This Row],[SKU]]="",0,Table110[[#This Row],[Quality Loss (T)]]/(Table110[[#This Row],[SOC (TPD)]]/24)),"")</f>
        <v>0.99134693877551028</v>
      </c>
      <c r="AK166" s="31">
        <f ca="1">IFERROR(IF(Table110[[#This Row],[SKU]]="",0,Table110[[#This Row],[Volume Delivered (T)]]/(Table110[[#This Row],[SOC (TPD)]]/24)),"")</f>
        <v>19.983673469387757</v>
      </c>
      <c r="AL166" s="31">
        <f ca="1">IFERROR(Table110[[#This Row],[Operating Time]]/Table110[[#This Row],[PRODUCTION HOURS]],"")</f>
        <v>0.8326530612244899</v>
      </c>
      <c r="AM166" s="32">
        <v>95</v>
      </c>
      <c r="AN166" s="32" t="s">
        <v>107</v>
      </c>
      <c r="AO166" s="32" t="s">
        <v>107</v>
      </c>
      <c r="AP166" s="32">
        <v>0</v>
      </c>
      <c r="AQ166" s="32">
        <v>0</v>
      </c>
      <c r="AR166" s="32"/>
      <c r="AS166" s="32" t="str">
        <f>IFERROR(SUMIFS(#REF!,#REF!,'Shift Wise-Data Sheet'!A:A,#REF!,"Samridhi Perk Line")/SUMIFS(#REF!,#REF!,'Shift Wise-Data Sheet'!A:A,#REF!,"Samridhi Perk Line"),"")</f>
        <v/>
      </c>
      <c r="AT166" s="32"/>
      <c r="AU166" s="32"/>
      <c r="AV166" s="211" t="str">
        <f>IFERROR(VLOOKUP(Table110[[#This Row],[Date]],'Overweight Data'!A164:G1259,6,FALSE),"")</f>
        <v/>
      </c>
      <c r="AW166" s="221">
        <f ca="1">IFERROR(
   IF(
      OR(Table110[[#This Row],[Operating Time]]=0, (Table110[[#This Row],[Operating Time]]/IF(AD166&lt;=1,AD166+1,AD166))*60=0),
      1,
      ((Table110[[#This Row],[Operating Time]])/IF(AD166&lt;=1,AD166+1,AD166))*60
   ),
"_")</f>
        <v>399.67346938775518</v>
      </c>
      <c r="AX166" s="221">
        <f>COUNTIFS('Downtime Data'!A:A,Table110[[#This Row],[Date]])</f>
        <v>1</v>
      </c>
      <c r="AY166" s="219">
        <f>IFERROR((SUM(Table110[[#This Row],[Minor Stoppages]:[Material Shortages]])/Table110[[#This Row],['# Stops]])*60,"")</f>
        <v>180</v>
      </c>
      <c r="AZ166" s="219"/>
      <c r="BA166" s="33">
        <v>46199</v>
      </c>
    </row>
    <row r="167" spans="1:53" ht="20.149999999999999" customHeight="1" x14ac:dyDescent="0.35">
      <c r="A167" s="21">
        <v>46184</v>
      </c>
      <c r="B167" s="22" t="str">
        <f t="shared" si="3"/>
        <v>Thursday</v>
      </c>
      <c r="C167" s="22"/>
      <c r="D167" s="23" t="s">
        <v>111</v>
      </c>
      <c r="E167" s="24" cm="1">
        <f t="array" aca="1" ref="E167" ca="1">IFERROR(INDIRECT(D167),"")</f>
        <v>24.5</v>
      </c>
      <c r="F167" s="25">
        <v>11</v>
      </c>
      <c r="G167" s="26">
        <f>9.965368+6+6</f>
        <v>21.965367999999998</v>
      </c>
      <c r="H167" s="27">
        <f ca="1">IFERROR((Table110[[#This Row],[Plan]]/Table110[[#This Row],[Hours Used]])/(Table110[[#This Row],[SOC (TPD)]]/24),"")</f>
        <v>0.44897959183673469</v>
      </c>
      <c r="I167" s="27">
        <f ca="1">IFERROR((Table110[[#This Row],[Volume Delivered (T)]]/Table110[[#This Row],[Hours Used]])/(Table110[[#This Row],[SOC (TPD)]]/24),"")</f>
        <v>0.8965456326530612</v>
      </c>
      <c r="J167" s="28"/>
      <c r="K167" s="28"/>
      <c r="L167" s="28"/>
      <c r="M167" s="25">
        <f>(VLOOKUP(Table110[[#This Row],[Date]],'Coated Rework Data'!$A:$F,5)/1000)</f>
        <v>1.1040000000000001</v>
      </c>
      <c r="N167" s="29">
        <v>4.3999999999999997E-2</v>
      </c>
      <c r="O167" s="84"/>
      <c r="P167" s="25"/>
      <c r="Q167" s="25"/>
      <c r="R167" s="70"/>
      <c r="S167" s="71"/>
      <c r="T167" s="30">
        <f>IF(Table110[[#This Row],[SKU]]="",0,24-Table110[[#This Row],[Legal Non-Operating Time]]-Table110[[#This Row],[No Demand Time]]-Table110[[#This Row],[Force Majeure]])</f>
        <v>24</v>
      </c>
      <c r="U167" s="26"/>
      <c r="V167" s="26"/>
      <c r="W167" s="26"/>
      <c r="X167" s="26"/>
      <c r="Y167" s="26"/>
      <c r="Z167" s="26"/>
      <c r="AA167" s="26"/>
      <c r="AB167" s="30">
        <f>Table110[[#This Row],[Hours Used]]-SUM(Table110[[#This Row],[Planned Maintenance]:[Start and Finish Production]])</f>
        <v>24</v>
      </c>
      <c r="AC167" s="26"/>
      <c r="AD167" s="26"/>
      <c r="AE167" s="26">
        <v>1.4</v>
      </c>
      <c r="AF167" s="26"/>
      <c r="AG167" s="26"/>
      <c r="AH167" s="26"/>
      <c r="AI167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4.7847619047658441E-4</v>
      </c>
      <c r="AJ167" s="24">
        <f ca="1">IFERROR(IF(Table110[[#This Row],[SKU]]="",0,Table110[[#This Row],[Quality Loss (T)]]/(Table110[[#This Row],[SOC (TPD)]]/24)),"")</f>
        <v>1.0814693877551023</v>
      </c>
      <c r="AK167" s="31">
        <f ca="1">IFERROR(IF(Table110[[#This Row],[SKU]]="",0,Table110[[#This Row],[Volume Delivered (T)]]/(Table110[[#This Row],[SOC (TPD)]]/24)),"")</f>
        <v>21.517095183673469</v>
      </c>
      <c r="AL167" s="31">
        <f ca="1">IFERROR(Table110[[#This Row],[Operating Time]]/Table110[[#This Row],[PRODUCTION HOURS]],"")</f>
        <v>0.8965456326530612</v>
      </c>
      <c r="AM167" s="32">
        <v>83</v>
      </c>
      <c r="AN167" s="32" t="s">
        <v>107</v>
      </c>
      <c r="AO167" s="32" t="s">
        <v>107</v>
      </c>
      <c r="AP167" s="32">
        <v>0</v>
      </c>
      <c r="AQ167" s="32">
        <v>0</v>
      </c>
      <c r="AR167" s="32"/>
      <c r="AS167" s="32" t="str">
        <f>IFERROR(SUMIFS(#REF!,#REF!,'Shift Wise-Data Sheet'!A:A,#REF!,"Samridhi Perk Line")/SUMIFS(#REF!,#REF!,'Shift Wise-Data Sheet'!A:A,#REF!,"Samridhi Perk Line"),"")</f>
        <v/>
      </c>
      <c r="AT167" s="32"/>
      <c r="AU167" s="32"/>
      <c r="AV167" s="211" t="str">
        <f>IFERROR(VLOOKUP(Table110[[#This Row],[Date]],'Overweight Data'!A165:G1260,6,FALSE),"")</f>
        <v/>
      </c>
      <c r="AW167" s="221">
        <f ca="1">IFERROR(
   IF(
      OR(Table110[[#This Row],[Operating Time]]=0, (Table110[[#This Row],[Operating Time]]/IF(AD167&lt;=1,AD167+1,AD167))*60=0),
      1,
      ((Table110[[#This Row],[Operating Time]])/IF(AD167&lt;=1,AD167+1,AD167))*60
   ),
"_")</f>
        <v>1291.0257110204082</v>
      </c>
      <c r="AX167" s="221">
        <f>COUNTIFS('Downtime Data'!A:A,Table110[[#This Row],[Date]])</f>
        <v>2</v>
      </c>
      <c r="AY167" s="219">
        <f>IFERROR((SUM(Table110[[#This Row],[Minor Stoppages]:[Material Shortages]])/Table110[[#This Row],['# Stops]])*60,"")</f>
        <v>42</v>
      </c>
      <c r="AZ167" s="219"/>
      <c r="BA167" s="33">
        <v>46199</v>
      </c>
    </row>
    <row r="168" spans="1:53" ht="20.149999999999999" customHeight="1" x14ac:dyDescent="0.35">
      <c r="A168" s="21">
        <v>46185</v>
      </c>
      <c r="B168" s="22" t="str">
        <f t="shared" si="3"/>
        <v>Friday</v>
      </c>
      <c r="C168" s="22"/>
      <c r="D168" s="23" t="s">
        <v>111</v>
      </c>
      <c r="E168" s="24" cm="1">
        <f t="array" aca="1" ref="E168" ca="1">IFERROR(INDIRECT(D168),"")</f>
        <v>24.5</v>
      </c>
      <c r="F168" s="25">
        <v>8</v>
      </c>
      <c r="G168" s="26">
        <f>18.4+1.8</f>
        <v>20.2</v>
      </c>
      <c r="H168" s="27">
        <f ca="1">IFERROR((Table110[[#This Row],[Plan]]/Table110[[#This Row],[Hours Used]])/(Table110[[#This Row],[SOC (TPD)]]/24),"")</f>
        <v>0.32653061224489799</v>
      </c>
      <c r="I168" s="27">
        <f ca="1">IFERROR((Table110[[#This Row],[Volume Delivered (T)]]/Table110[[#This Row],[Hours Used]])/(Table110[[#This Row],[SOC (TPD)]]/24),"")</f>
        <v>0.82448979591836746</v>
      </c>
      <c r="J168" s="28"/>
      <c r="K168" s="28"/>
      <c r="L168" s="28"/>
      <c r="M168" s="25">
        <f>(VLOOKUP(Table110[[#This Row],[Date]],'Coated Rework Data'!$A:$F,5)/1000)</f>
        <v>1.5549999999999999</v>
      </c>
      <c r="N168" s="29">
        <v>4.3999999999999997E-2</v>
      </c>
      <c r="O168" s="84"/>
      <c r="P168" s="25"/>
      <c r="Q168" s="25"/>
      <c r="R168" s="70"/>
      <c r="S168" s="71"/>
      <c r="T168" s="30">
        <f>IF(Table110[[#This Row],[SKU]]="",0,24-Table110[[#This Row],[Legal Non-Operating Time]]-Table110[[#This Row],[No Demand Time]]-Table110[[#This Row],[Force Majeure]])</f>
        <v>24</v>
      </c>
      <c r="U168" s="26"/>
      <c r="V168" s="26"/>
      <c r="W168" s="26"/>
      <c r="X168" s="26"/>
      <c r="Y168" s="26"/>
      <c r="Z168" s="26"/>
      <c r="AA168" s="26"/>
      <c r="AB168" s="30">
        <f>Table110[[#This Row],[Hours Used]]-SUM(Table110[[#This Row],[Planned Maintenance]:[Start and Finish Production]])</f>
        <v>24</v>
      </c>
      <c r="AC168" s="26"/>
      <c r="AD168" s="26">
        <v>2.65</v>
      </c>
      <c r="AE168" s="26"/>
      <c r="AF168" s="26"/>
      <c r="AG168" s="26"/>
      <c r="AH168" s="26"/>
      <c r="AI168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1.2993197278911831E-2</v>
      </c>
      <c r="AJ168" s="24">
        <f ca="1">IFERROR(IF(Table110[[#This Row],[SKU]]="",0,Table110[[#This Row],[Quality Loss (T)]]/(Table110[[#This Row],[SOC (TPD)]]/24)),"")</f>
        <v>1.523265306122449</v>
      </c>
      <c r="AK168" s="31">
        <f ca="1">IFERROR(IF(Table110[[#This Row],[SKU]]="",0,Table110[[#This Row],[Volume Delivered (T)]]/(Table110[[#This Row],[SOC (TPD)]]/24)),"")</f>
        <v>19.787755102040816</v>
      </c>
      <c r="AL168" s="31">
        <f ca="1">IFERROR(Table110[[#This Row],[Operating Time]]/Table110[[#This Row],[PRODUCTION HOURS]],"")</f>
        <v>0.82448979591836735</v>
      </c>
      <c r="AM168" s="32">
        <v>75</v>
      </c>
      <c r="AN168" s="32" t="s">
        <v>107</v>
      </c>
      <c r="AO168" s="32" t="s">
        <v>107</v>
      </c>
      <c r="AP168" s="32">
        <v>0</v>
      </c>
      <c r="AQ168" s="32">
        <v>0</v>
      </c>
      <c r="AR168" s="32"/>
      <c r="AS168" s="32" t="str">
        <f>IFERROR(SUMIFS(#REF!,#REF!,'Shift Wise-Data Sheet'!A:A,#REF!,"Samridhi Perk Line")/SUMIFS(#REF!,#REF!,'Shift Wise-Data Sheet'!A:A,#REF!,"Samridhi Perk Line"),"")</f>
        <v/>
      </c>
      <c r="AT168" s="32"/>
      <c r="AU168" s="32"/>
      <c r="AV168" s="211" t="str">
        <f>IFERROR(VLOOKUP(Table110[[#This Row],[Date]],'Overweight Data'!A166:G1261,6,FALSE),"")</f>
        <v/>
      </c>
      <c r="AW168" s="221">
        <f ca="1">IFERROR(
   IF(
      OR(Table110[[#This Row],[Operating Time]]=0, (Table110[[#This Row],[Operating Time]]/IF(AD168&lt;=1,AD168+1,AD168))*60=0),
      1,
      ((Table110[[#This Row],[Operating Time]])/IF(AD168&lt;=1,AD168+1,AD168))*60
   ),
"_")</f>
        <v>448.02464381979206</v>
      </c>
      <c r="AX168" s="221">
        <f>COUNTIFS('Downtime Data'!A:A,Table110[[#This Row],[Date]])</f>
        <v>0</v>
      </c>
      <c r="AY168" s="219" t="str">
        <f>IFERROR((SUM(Table110[[#This Row],[Minor Stoppages]:[Material Shortages]])/Table110[[#This Row],['# Stops]])*60,"")</f>
        <v/>
      </c>
      <c r="AZ168" s="219"/>
      <c r="BA168" s="33">
        <v>46199</v>
      </c>
    </row>
    <row r="169" spans="1:53" ht="20.149999999999999" customHeight="1" x14ac:dyDescent="0.35">
      <c r="A169" s="21">
        <v>46186</v>
      </c>
      <c r="B169" s="22" t="str">
        <f t="shared" si="3"/>
        <v>Saturday</v>
      </c>
      <c r="C169" s="22"/>
      <c r="D169" s="23" t="s">
        <v>111</v>
      </c>
      <c r="E169" s="24" cm="1">
        <f t="array" aca="1" ref="E169" ca="1">IFERROR(INDIRECT(D169),"")</f>
        <v>24.5</v>
      </c>
      <c r="F169" s="25">
        <v>16</v>
      </c>
      <c r="G169" s="26">
        <v>21.1</v>
      </c>
      <c r="H169" s="27">
        <f ca="1">IFERROR((Table110[[#This Row],[Plan]]/Table110[[#This Row],[Hours Used]])/(Table110[[#This Row],[SOC (TPD)]]/24),"")</f>
        <v>0.65306122448979598</v>
      </c>
      <c r="I169" s="27">
        <f ca="1">IFERROR((Table110[[#This Row],[Volume Delivered (T)]]/Table110[[#This Row],[Hours Used]])/(Table110[[#This Row],[SOC (TPD)]]/24),"")</f>
        <v>0.86122448979591848</v>
      </c>
      <c r="J169" s="28"/>
      <c r="K169" s="28"/>
      <c r="L169" s="28"/>
      <c r="M169" s="25">
        <f>(VLOOKUP(Table110[[#This Row],[Date]],'Coated Rework Data'!$A:$F,5)/1000)</f>
        <v>1.5660000000000001</v>
      </c>
      <c r="N169" s="29">
        <v>4.3999999999999997E-2</v>
      </c>
      <c r="O169" s="84"/>
      <c r="P169" s="25"/>
      <c r="Q169" s="25"/>
      <c r="R169" s="70"/>
      <c r="S169" s="71"/>
      <c r="T169" s="30">
        <f>IF(Table110[[#This Row],[SKU]]="",0,24-Table110[[#This Row],[Legal Non-Operating Time]]-Table110[[#This Row],[No Demand Time]]-Table110[[#This Row],[Force Majeure]])</f>
        <v>24</v>
      </c>
      <c r="U169" s="26"/>
      <c r="V169" s="26"/>
      <c r="W169" s="26">
        <v>2.5</v>
      </c>
      <c r="X169" s="26"/>
      <c r="Y169" s="26"/>
      <c r="Z169" s="26"/>
      <c r="AA169" s="26"/>
      <c r="AB169" s="30">
        <f>Table110[[#This Row],[Hours Used]]-SUM(Table110[[#This Row],[Planned Maintenance]:[Start and Finish Production]])</f>
        <v>21.5</v>
      </c>
      <c r="AC169" s="26"/>
      <c r="AD169" s="26"/>
      <c r="AE169" s="26"/>
      <c r="AF169" s="26"/>
      <c r="AG169" s="26"/>
      <c r="AH169" s="26"/>
      <c r="AI169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-0.23447619047619148</v>
      </c>
      <c r="AJ169" s="24">
        <f ca="1">IFERROR(IF(Table110[[#This Row],[SKU]]="",0,Table110[[#This Row],[Quality Loss (T)]]/(Table110[[#This Row],[SOC (TPD)]]/24)),"")</f>
        <v>1.5340408163265309</v>
      </c>
      <c r="AK169" s="31">
        <f ca="1">IFERROR(IF(Table110[[#This Row],[SKU]]="",0,Table110[[#This Row],[Volume Delivered (T)]]/(Table110[[#This Row],[SOC (TPD)]]/24)),"")</f>
        <v>20.669387755102044</v>
      </c>
      <c r="AL169" s="31">
        <f ca="1">IFERROR(Table110[[#This Row],[Operating Time]]/Table110[[#This Row],[PRODUCTION HOURS]],"")</f>
        <v>0.96136687233032758</v>
      </c>
      <c r="AM169" s="32">
        <v>87</v>
      </c>
      <c r="AN169" s="32" t="s">
        <v>107</v>
      </c>
      <c r="AO169" s="32" t="s">
        <v>107</v>
      </c>
      <c r="AP169" s="32">
        <v>0</v>
      </c>
      <c r="AQ169" s="32">
        <v>0</v>
      </c>
      <c r="AR169" s="32"/>
      <c r="AS169" s="32" t="str">
        <f>IFERROR(SUMIFS(#REF!,#REF!,'Shift Wise-Data Sheet'!A:A,#REF!,"Samridhi Perk Line")/SUMIFS(#REF!,#REF!,'Shift Wise-Data Sheet'!A:A,#REF!,"Samridhi Perk Line"),"")</f>
        <v/>
      </c>
      <c r="AT169" s="32"/>
      <c r="AU169" s="32"/>
      <c r="AV169" s="211">
        <f>IFERROR(VLOOKUP(Table110[[#This Row],[Date]],'Overweight Data'!A167:G1262,6,FALSE),"")</f>
        <v>1.9594843462246752E-2</v>
      </c>
      <c r="AW169" s="221">
        <f ca="1">IFERROR(
   IF(
      OR(Table110[[#This Row],[Operating Time]]=0, (Table110[[#This Row],[Operating Time]]/IF(AD169&lt;=1,AD169+1,AD169))*60=0),
      1,
      ((Table110[[#This Row],[Operating Time]])/IF(AD169&lt;=1,AD169+1,AD169))*60
   ),
"_")</f>
        <v>1240.1632653061226</v>
      </c>
      <c r="AX169" s="221">
        <f>COUNTIFS('Downtime Data'!A:A,Table110[[#This Row],[Date]])</f>
        <v>1</v>
      </c>
      <c r="AY169" s="219">
        <f>IFERROR((SUM(Table110[[#This Row],[Minor Stoppages]:[Material Shortages]])/Table110[[#This Row],['# Stops]])*60,"")</f>
        <v>0</v>
      </c>
      <c r="AZ169" s="219"/>
      <c r="BA169" s="33">
        <v>46199</v>
      </c>
    </row>
    <row r="170" spans="1:53" ht="20.149999999999999" customHeight="1" x14ac:dyDescent="0.35">
      <c r="A170" s="21">
        <v>46187</v>
      </c>
      <c r="B170" s="22" t="str">
        <f t="shared" si="3"/>
        <v>Sunday</v>
      </c>
      <c r="C170" s="22"/>
      <c r="D170" s="23" t="s">
        <v>111</v>
      </c>
      <c r="E170" s="24" cm="1">
        <f t="array" aca="1" ref="E170" ca="1">IFERROR(INDIRECT(D170),"")</f>
        <v>24.5</v>
      </c>
      <c r="F170" s="25">
        <v>22</v>
      </c>
      <c r="G170" s="26">
        <v>24.000197</v>
      </c>
      <c r="H170" s="27">
        <f ca="1">IFERROR((Table110[[#This Row],[Plan]]/Table110[[#This Row],[Hours Used]])/(Table110[[#This Row],[SOC (TPD)]]/24),"")</f>
        <v>0.89795918367346939</v>
      </c>
      <c r="I170" s="27">
        <f ca="1">IFERROR((Table110[[#This Row],[Volume Delivered (T)]]/Table110[[#This Row],[Hours Used]])/(Table110[[#This Row],[SOC (TPD)]]/24),"")</f>
        <v>0.9795998775510204</v>
      </c>
      <c r="J170" s="28"/>
      <c r="K170" s="28"/>
      <c r="L170" s="28"/>
      <c r="M170" s="25"/>
      <c r="N170" s="29">
        <v>4.3999999999999997E-2</v>
      </c>
      <c r="O170" s="84">
        <v>25</v>
      </c>
      <c r="P170" s="25"/>
      <c r="Q170" s="25"/>
      <c r="R170" s="70"/>
      <c r="S170" s="71"/>
      <c r="T170" s="30">
        <f>IF(Table110[[#This Row],[SKU]]="",0,24-Table110[[#This Row],[Legal Non-Operating Time]]-Table110[[#This Row],[No Demand Time]]-Table110[[#This Row],[Force Majeure]])</f>
        <v>24</v>
      </c>
      <c r="U170" s="26"/>
      <c r="V170" s="26"/>
      <c r="W170" s="26"/>
      <c r="X170" s="26"/>
      <c r="Y170" s="26"/>
      <c r="Z170" s="26"/>
      <c r="AA170" s="26"/>
      <c r="AB170" s="30">
        <f>Table110[[#This Row],[Hours Used]]-SUM(Table110[[#This Row],[Planned Maintenance]:[Start and Finish Production]])</f>
        <v>24</v>
      </c>
      <c r="AC170" s="26"/>
      <c r="AD170" s="26"/>
      <c r="AE170" s="26"/>
      <c r="AF170" s="26"/>
      <c r="AG170" s="26"/>
      <c r="AH170" s="26"/>
      <c r="AI170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0.16320097959183619</v>
      </c>
      <c r="AJ170" s="24">
        <f ca="1">IFERROR(IF(Table110[[#This Row],[SKU]]="",0,Table110[[#This Row],[Quality Loss (T)]]/(Table110[[#This Row],[SOC (TPD)]]/24)),"")</f>
        <v>0</v>
      </c>
      <c r="AK170" s="31">
        <f ca="1">IFERROR(IF(Table110[[#This Row],[SKU]]="",0,Table110[[#This Row],[Volume Delivered (T)]]/(Table110[[#This Row],[SOC (TPD)]]/24)),"")</f>
        <v>23.510397061224491</v>
      </c>
      <c r="AL170" s="31">
        <f ca="1">IFERROR(Table110[[#This Row],[Operating Time]]/Table110[[#This Row],[PRODUCTION HOURS]],"")</f>
        <v>0.97959987755102051</v>
      </c>
      <c r="AM170" s="32">
        <v>90</v>
      </c>
      <c r="AN170" s="32" t="s">
        <v>107</v>
      </c>
      <c r="AO170" s="32" t="s">
        <v>107</v>
      </c>
      <c r="AP170" s="32">
        <v>1</v>
      </c>
      <c r="AQ170" s="32">
        <v>1</v>
      </c>
      <c r="AR170" s="32"/>
      <c r="AS170" s="32" t="str">
        <f>IFERROR(SUMIFS(#REF!,#REF!,'Shift Wise-Data Sheet'!A:A,#REF!,"Samridhi Perk Line")/SUMIFS(#REF!,#REF!,'Shift Wise-Data Sheet'!A:A,#REF!,"Samridhi Perk Line"),"")</f>
        <v/>
      </c>
      <c r="AT170" s="32"/>
      <c r="AU170" s="32"/>
      <c r="AV170" s="211">
        <f>IFERROR(VLOOKUP(Table110[[#This Row],[Date]],'Overweight Data'!A168:G1263,6,FALSE),"")</f>
        <v>3.1556169429097593E-2</v>
      </c>
      <c r="AW170" s="221">
        <f ca="1">IFERROR(
   IF(
      OR(Table110[[#This Row],[Operating Time]]=0, (Table110[[#This Row],[Operating Time]]/IF(AD170&lt;=1,AD170+1,AD170))*60=0),
      1,
      ((Table110[[#This Row],[Operating Time]])/IF(AD170&lt;=1,AD170+1,AD170))*60
   ),
"_")</f>
        <v>1410.6238236734696</v>
      </c>
      <c r="AX170" s="221">
        <f>COUNTIFS('Downtime Data'!A:A,Table110[[#This Row],[Date]])</f>
        <v>2</v>
      </c>
      <c r="AY170" s="219">
        <f>IFERROR((SUM(Table110[[#This Row],[Minor Stoppages]:[Material Shortages]])/Table110[[#This Row],['# Stops]])*60,"")</f>
        <v>0</v>
      </c>
      <c r="AZ170" s="219"/>
      <c r="BA170" s="33">
        <v>46199</v>
      </c>
    </row>
    <row r="171" spans="1:53" ht="20.149999999999999" customHeight="1" x14ac:dyDescent="0.35">
      <c r="A171" s="21">
        <v>46188</v>
      </c>
      <c r="B171" s="22" t="str">
        <f t="shared" si="3"/>
        <v>Monday</v>
      </c>
      <c r="C171" s="22"/>
      <c r="D171" s="23" t="s">
        <v>106</v>
      </c>
      <c r="E171" s="24" cm="1">
        <f t="array" aca="1" ref="E171" ca="1">IFERROR(INDIRECT(D171),"")</f>
        <v>39.200000000000003</v>
      </c>
      <c r="F171" s="25">
        <v>34.5</v>
      </c>
      <c r="G171" s="26">
        <v>27.145032</v>
      </c>
      <c r="H171" s="27">
        <f ca="1">IFERROR((Table110[[#This Row],[Plan]]/Table110[[#This Row],[Hours Used]])/(Table110[[#This Row],[SOC (TPD)]]/24),"")</f>
        <v>0.88010204081632648</v>
      </c>
      <c r="I171" s="27">
        <f ca="1">IFERROR((Table110[[#This Row],[Volume Delivered (T)]]/Table110[[#This Row],[Hours Used]])/(Table110[[#This Row],[SOC (TPD)]]/24),"")</f>
        <v>0.6924753061224489</v>
      </c>
      <c r="J171" s="28"/>
      <c r="K171" s="28"/>
      <c r="L171" s="28"/>
      <c r="M171" s="25">
        <f>(VLOOKUP(Table110[[#This Row],[Date]],'Coated Rework Data'!$A:$F,5)/1000)</f>
        <v>1.7589999999999999</v>
      </c>
      <c r="N171" s="29">
        <v>4.3999999999999997E-2</v>
      </c>
      <c r="O171" s="84">
        <v>25</v>
      </c>
      <c r="P171" s="25"/>
      <c r="Q171" s="25"/>
      <c r="R171" s="70"/>
      <c r="S171" s="71"/>
      <c r="T171" s="30">
        <f>IF(Table110[[#This Row],[SKU]]="",0,24-Table110[[#This Row],[Legal Non-Operating Time]]-Table110[[#This Row],[No Demand Time]]-Table110[[#This Row],[Force Majeure]])</f>
        <v>24</v>
      </c>
      <c r="U171" s="26">
        <v>1</v>
      </c>
      <c r="V171" s="26">
        <v>1</v>
      </c>
      <c r="W171" s="26"/>
      <c r="X171" s="26"/>
      <c r="Y171" s="26"/>
      <c r="Z171" s="26"/>
      <c r="AA171" s="26"/>
      <c r="AB171" s="30">
        <f>Table110[[#This Row],[Hours Used]]-SUM(Table110[[#This Row],[Planned Maintenance]:[Start and Finish Production]])</f>
        <v>22</v>
      </c>
      <c r="AC171" s="26"/>
      <c r="AD171" s="26">
        <f>135/60</f>
        <v>2.25</v>
      </c>
      <c r="AE171" s="26">
        <v>0.5</v>
      </c>
      <c r="AF171" s="26"/>
      <c r="AG171" s="26"/>
      <c r="AH171" s="26"/>
      <c r="AI171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0.51788462585034034</v>
      </c>
      <c r="AJ171" s="24">
        <f ca="1">IFERROR(IF(Table110[[#This Row],[SKU]]="",0,Table110[[#This Row],[Quality Loss (T)]]/(Table110[[#This Row],[SOC (TPD)]]/24)),"")</f>
        <v>1.0769387755102038</v>
      </c>
      <c r="AK171" s="31">
        <f ca="1">IFERROR(IF(Table110[[#This Row],[SKU]]="",0,Table110[[#This Row],[Volume Delivered (T)]]/(Table110[[#This Row],[SOC (TPD)]]/24)),"")</f>
        <v>16.619407346938775</v>
      </c>
      <c r="AL171" s="31">
        <f ca="1">IFERROR(Table110[[#This Row],[Operating Time]]/Table110[[#This Row],[PRODUCTION HOURS]],"")</f>
        <v>0.75542760667903519</v>
      </c>
      <c r="AM171" s="32">
        <v>94</v>
      </c>
      <c r="AN171" s="32" t="s">
        <v>107</v>
      </c>
      <c r="AO171" s="32" t="s">
        <v>107</v>
      </c>
      <c r="AP171" s="32">
        <v>0</v>
      </c>
      <c r="AQ171" s="32">
        <v>0</v>
      </c>
      <c r="AR171" s="32"/>
      <c r="AS171" s="32" t="str">
        <f>IFERROR(SUMIFS(#REF!,#REF!,'Shift Wise-Data Sheet'!A:A,#REF!,"Samridhi Perk Line")/SUMIFS(#REF!,#REF!,'Shift Wise-Data Sheet'!A:A,#REF!,"Samridhi Perk Line"),"")</f>
        <v/>
      </c>
      <c r="AT171" s="32"/>
      <c r="AU171" s="32"/>
      <c r="AV171" s="211">
        <f>IFERROR(VLOOKUP(Table110[[#This Row],[Date]],'Overweight Data'!A169:G1264,6,FALSE),"")</f>
        <v>3.6482504604051565E-2</v>
      </c>
      <c r="AW171" s="221">
        <f ca="1">IFERROR(
   IF(
      OR(Table110[[#This Row],[Operating Time]]=0, (Table110[[#This Row],[Operating Time]]/IF(AD171&lt;=1,AD171+1,AD171))*60=0),
      1,
      ((Table110[[#This Row],[Operating Time]])/IF(AD171&lt;=1,AD171+1,AD171))*60
   ),
"_")</f>
        <v>443.18419591836732</v>
      </c>
      <c r="AX171" s="221">
        <f>COUNTIFS('Downtime Data'!A:A,Table110[[#This Row],[Date]])</f>
        <v>3</v>
      </c>
      <c r="AY171" s="219">
        <f>IFERROR((SUM(Table110[[#This Row],[Minor Stoppages]:[Material Shortages]])/Table110[[#This Row],['# Stops]])*60,"")</f>
        <v>55</v>
      </c>
      <c r="AZ171" s="219"/>
      <c r="BA171" s="33">
        <v>46199</v>
      </c>
    </row>
    <row r="172" spans="1:53" ht="20.149999999999999" customHeight="1" x14ac:dyDescent="0.35">
      <c r="A172" s="21">
        <v>46189</v>
      </c>
      <c r="B172" s="22" t="str">
        <f t="shared" si="3"/>
        <v>Tuesday</v>
      </c>
      <c r="C172" s="22"/>
      <c r="D172" s="23" t="s">
        <v>106</v>
      </c>
      <c r="E172" s="24" cm="1">
        <f t="array" aca="1" ref="E172" ca="1">IFERROR(INDIRECT(D172),"")</f>
        <v>39.200000000000003</v>
      </c>
      <c r="F172" s="25">
        <v>16.5</v>
      </c>
      <c r="G172" s="26">
        <v>30</v>
      </c>
      <c r="H172" s="27">
        <f ca="1">IFERROR((Table110[[#This Row],[Plan]]/Table110[[#This Row],[Hours Used]])/(Table110[[#This Row],[SOC (TPD)]]/24),"")</f>
        <v>0.42091836734693872</v>
      </c>
      <c r="I172" s="27">
        <f ca="1">IFERROR((Table110[[#This Row],[Volume Delivered (T)]]/Table110[[#This Row],[Hours Used]])/(Table110[[#This Row],[SOC (TPD)]]/24),"")</f>
        <v>0.76530612244897955</v>
      </c>
      <c r="J172" s="28"/>
      <c r="K172" s="28"/>
      <c r="L172" s="28"/>
      <c r="M172" s="25">
        <f>(VLOOKUP(Table110[[#This Row],[Date]],'Coated Rework Data'!$A:$F,5)/1000)</f>
        <v>1.768</v>
      </c>
      <c r="N172" s="29">
        <v>4.3999999999999997E-2</v>
      </c>
      <c r="O172" s="84"/>
      <c r="P172" s="25"/>
      <c r="Q172" s="25"/>
      <c r="R172" s="70"/>
      <c r="S172" s="71"/>
      <c r="T172" s="30">
        <f>IF(Table110[[#This Row],[SKU]]="",0,24-Table110[[#This Row],[Legal Non-Operating Time]]-Table110[[#This Row],[No Demand Time]]-Table110[[#This Row],[Force Majeure]])</f>
        <v>24</v>
      </c>
      <c r="U172" s="26"/>
      <c r="V172" s="26"/>
      <c r="W172" s="26"/>
      <c r="X172" s="26"/>
      <c r="Y172" s="26"/>
      <c r="Z172" s="26"/>
      <c r="AA172" s="26"/>
      <c r="AB172" s="30">
        <f>Table110[[#This Row],[Hours Used]]-SUM(Table110[[#This Row],[Planned Maintenance]:[Start and Finish Production]])</f>
        <v>24</v>
      </c>
      <c r="AC172" s="26"/>
      <c r="AD172" s="26">
        <v>3.35</v>
      </c>
      <c r="AE172" s="26"/>
      <c r="AF172" s="26"/>
      <c r="AG172" s="26"/>
      <c r="AH172" s="26"/>
      <c r="AI172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0.40006802721088403</v>
      </c>
      <c r="AJ172" s="24">
        <f ca="1">IFERROR(IF(Table110[[#This Row],[SKU]]="",0,Table110[[#This Row],[Quality Loss (T)]]/(Table110[[#This Row],[SOC (TPD)]]/24)),"")</f>
        <v>1.0824489795918366</v>
      </c>
      <c r="AK172" s="31">
        <f ca="1">IFERROR(IF(Table110[[#This Row],[SKU]]="",0,Table110[[#This Row],[Volume Delivered (T)]]/(Table110[[#This Row],[SOC (TPD)]]/24)),"")</f>
        <v>18.367346938775508</v>
      </c>
      <c r="AL172" s="31">
        <f ca="1">IFERROR(Table110[[#This Row],[Operating Time]]/Table110[[#This Row],[PRODUCTION HOURS]],"")</f>
        <v>0.76530612244897955</v>
      </c>
      <c r="AM172" s="32">
        <v>84</v>
      </c>
      <c r="AN172" s="32" t="s">
        <v>107</v>
      </c>
      <c r="AO172" s="32" t="s">
        <v>107</v>
      </c>
      <c r="AP172" s="32">
        <v>0</v>
      </c>
      <c r="AQ172" s="32">
        <v>0</v>
      </c>
      <c r="AR172" s="32"/>
      <c r="AS172" s="32" t="str">
        <f>IFERROR(SUMIFS(#REF!,#REF!,'Shift Wise-Data Sheet'!A:A,#REF!,"Samridhi Perk Line")/SUMIFS(#REF!,#REF!,'Shift Wise-Data Sheet'!A:A,#REF!,"Samridhi Perk Line"),"")</f>
        <v/>
      </c>
      <c r="AT172" s="32"/>
      <c r="AU172" s="32"/>
      <c r="AV172" s="211">
        <f>IFERROR(VLOOKUP(Table110[[#This Row],[Date]],'Overweight Data'!A170:G1265,6,FALSE),"")</f>
        <v>2.1146408839779009E-2</v>
      </c>
      <c r="AW172" s="221">
        <f ca="1">IFERROR(
   IF(
      OR(Table110[[#This Row],[Operating Time]]=0, (Table110[[#This Row],[Operating Time]]/IF(AD172&lt;=1,AD172+1,AD172))*60=0),
      1,
      ((Table110[[#This Row],[Operating Time]])/IF(AD172&lt;=1,AD172+1,AD172))*60
   ),
"_")</f>
        <v>328.96740785866581</v>
      </c>
      <c r="AX172" s="221">
        <f>COUNTIFS('Downtime Data'!A:A,Table110[[#This Row],[Date]])</f>
        <v>1</v>
      </c>
      <c r="AY172" s="219">
        <f>IFERROR((SUM(Table110[[#This Row],[Minor Stoppages]:[Material Shortages]])/Table110[[#This Row],['# Stops]])*60,"")</f>
        <v>201</v>
      </c>
      <c r="AZ172" s="219"/>
      <c r="BA172" s="33">
        <v>46199</v>
      </c>
    </row>
    <row r="173" spans="1:53" ht="20.149999999999999" customHeight="1" x14ac:dyDescent="0.35">
      <c r="A173" s="21">
        <v>46190</v>
      </c>
      <c r="B173" s="22" t="str">
        <f t="shared" si="3"/>
        <v>Wednesday</v>
      </c>
      <c r="C173" s="22"/>
      <c r="D173" s="23" t="s">
        <v>106</v>
      </c>
      <c r="E173" s="24" cm="1">
        <f t="array" aca="1" ref="E173" ca="1">IFERROR(INDIRECT(D173),"")</f>
        <v>39.200000000000003</v>
      </c>
      <c r="F173" s="25">
        <v>36.5</v>
      </c>
      <c r="G173" s="26">
        <v>26.9</v>
      </c>
      <c r="H173" s="27">
        <f ca="1">IFERROR((Table110[[#This Row],[Plan]]/Table110[[#This Row],[Hours Used]])/(Table110[[#This Row],[SOC (TPD)]]/24),"")</f>
        <v>0.93112244897959173</v>
      </c>
      <c r="I173" s="27">
        <f ca="1">IFERROR((Table110[[#This Row],[Volume Delivered (T)]]/Table110[[#This Row],[Hours Used]])/(Table110[[#This Row],[SOC (TPD)]]/24),"")</f>
        <v>0.68622448979591832</v>
      </c>
      <c r="J173" s="28"/>
      <c r="K173" s="28"/>
      <c r="L173" s="28"/>
      <c r="M173" s="25">
        <f>(VLOOKUP(Table110[[#This Row],[Date]],'Coated Rework Data'!$A:$F,5)/1000)</f>
        <v>1.575</v>
      </c>
      <c r="N173" s="29">
        <v>4.3999999999999997E-2</v>
      </c>
      <c r="O173" s="84"/>
      <c r="P173" s="25"/>
      <c r="Q173" s="25"/>
      <c r="R173" s="70"/>
      <c r="S173" s="71"/>
      <c r="T173" s="30">
        <f>IF(Table110[[#This Row],[SKU]]="",0,24-Table110[[#This Row],[Legal Non-Operating Time]]-Table110[[#This Row],[No Demand Time]]-Table110[[#This Row],[Force Majeure]])</f>
        <v>24</v>
      </c>
      <c r="U173" s="26"/>
      <c r="V173" s="26"/>
      <c r="W173" s="26"/>
      <c r="X173" s="26"/>
      <c r="Y173" s="26"/>
      <c r="Z173" s="26"/>
      <c r="AA173" s="26"/>
      <c r="AB173" s="30">
        <f>Table110[[#This Row],[Hours Used]]-SUM(Table110[[#This Row],[Planned Maintenance]:[Start and Finish Production]])</f>
        <v>24</v>
      </c>
      <c r="AC173" s="26"/>
      <c r="AD173" s="26">
        <v>6</v>
      </c>
      <c r="AE173" s="26">
        <v>0.4</v>
      </c>
      <c r="AF173" s="26"/>
      <c r="AG173" s="26"/>
      <c r="AH173" s="26"/>
      <c r="AI173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5.544217687074967E-2</v>
      </c>
      <c r="AJ173" s="24">
        <f ca="1">IFERROR(IF(Table110[[#This Row],[SKU]]="",0,Table110[[#This Row],[Quality Loss (T)]]/(Table110[[#This Row],[SOC (TPD)]]/24)),"")</f>
        <v>0.96428571428571419</v>
      </c>
      <c r="AK173" s="31">
        <f ca="1">IFERROR(IF(Table110[[#This Row],[SKU]]="",0,Table110[[#This Row],[Volume Delivered (T)]]/(Table110[[#This Row],[SOC (TPD)]]/24)),"")</f>
        <v>16.469387755102037</v>
      </c>
      <c r="AL173" s="31">
        <f ca="1">IFERROR(Table110[[#This Row],[Operating Time]]/Table110[[#This Row],[PRODUCTION HOURS]],"")</f>
        <v>0.68622448979591821</v>
      </c>
      <c r="AM173" s="32">
        <v>74</v>
      </c>
      <c r="AN173" s="32" t="s">
        <v>107</v>
      </c>
      <c r="AO173" s="32" t="s">
        <v>107</v>
      </c>
      <c r="AP173" s="32">
        <v>0</v>
      </c>
      <c r="AQ173" s="32">
        <v>0</v>
      </c>
      <c r="AR173" s="32"/>
      <c r="AS173" s="32" t="str">
        <f>IFERROR(SUMIFS(#REF!,#REF!,'Shift Wise-Data Sheet'!A:A,#REF!,"Samridhi Perk Line")/SUMIFS(#REF!,#REF!,'Shift Wise-Data Sheet'!A:A,#REF!,"Samridhi Perk Line"),"")</f>
        <v/>
      </c>
      <c r="AT173" s="32"/>
      <c r="AU173" s="32"/>
      <c r="AV173" s="211">
        <f>IFERROR(VLOOKUP(Table110[[#This Row],[Date]],'Overweight Data'!A171:G1266,6,FALSE),"")</f>
        <v>3.6919889502762454E-2</v>
      </c>
      <c r="AW173" s="221">
        <f ca="1">IFERROR(
   IF(
      OR(Table110[[#This Row],[Operating Time]]=0, (Table110[[#This Row],[Operating Time]]/IF(AD173&lt;=1,AD173+1,AD173))*60=0),
      1,
      ((Table110[[#This Row],[Operating Time]])/IF(AD173&lt;=1,AD173+1,AD173))*60
   ),
"_")</f>
        <v>164.69387755102036</v>
      </c>
      <c r="AX173" s="221">
        <f>COUNTIFS('Downtime Data'!A:A,Table110[[#This Row],[Date]])</f>
        <v>5</v>
      </c>
      <c r="AY173" s="219">
        <f>IFERROR((SUM(Table110[[#This Row],[Minor Stoppages]:[Material Shortages]])/Table110[[#This Row],['# Stops]])*60,"")</f>
        <v>76.8</v>
      </c>
      <c r="AZ173" s="219"/>
      <c r="BA173" s="33">
        <v>46199</v>
      </c>
    </row>
    <row r="174" spans="1:53" ht="20.149999999999999" customHeight="1" x14ac:dyDescent="0.35">
      <c r="A174" s="21">
        <v>46191</v>
      </c>
      <c r="B174" s="22" t="str">
        <f t="shared" si="3"/>
        <v>Thursday</v>
      </c>
      <c r="C174" s="22"/>
      <c r="D174" s="23" t="s">
        <v>106</v>
      </c>
      <c r="E174" s="24" cm="1">
        <f t="array" aca="1" ref="E174" ca="1">IFERROR(INDIRECT(D174),"")</f>
        <v>39.200000000000003</v>
      </c>
      <c r="F174" s="25">
        <v>33.5</v>
      </c>
      <c r="G174" s="26">
        <v>30</v>
      </c>
      <c r="H174" s="27">
        <f ca="1">IFERROR((Table110[[#This Row],[Plan]]/Table110[[#This Row],[Hours Used]])/(Table110[[#This Row],[SOC (TPD)]]/24),"")</f>
        <v>0.85459183673469374</v>
      </c>
      <c r="I174" s="27">
        <f ca="1">IFERROR((Table110[[#This Row],[Volume Delivered (T)]]/Table110[[#This Row],[Hours Used]])/(Table110[[#This Row],[SOC (TPD)]]/24),"")</f>
        <v>0.76530612244897955</v>
      </c>
      <c r="J174" s="28"/>
      <c r="K174" s="28"/>
      <c r="L174" s="28"/>
      <c r="M174" s="25">
        <f>(VLOOKUP(Table110[[#This Row],[Date]],'Coated Rework Data'!$A:$F,5)/1000)</f>
        <v>1.4379999999999999</v>
      </c>
      <c r="N174" s="29">
        <v>4.3999999999999997E-2</v>
      </c>
      <c r="O174" s="84">
        <v>22</v>
      </c>
      <c r="P174" s="25"/>
      <c r="Q174" s="25"/>
      <c r="R174" s="70"/>
      <c r="S174" s="71"/>
      <c r="T174" s="30">
        <f>IF(Table110[[#This Row],[SKU]]="",0,24-Table110[[#This Row],[Legal Non-Operating Time]]-Table110[[#This Row],[No Demand Time]]-Table110[[#This Row],[Force Majeure]])</f>
        <v>24</v>
      </c>
      <c r="U174" s="26">
        <v>1</v>
      </c>
      <c r="V174" s="26"/>
      <c r="W174" s="26"/>
      <c r="X174" s="26"/>
      <c r="Y174" s="26"/>
      <c r="Z174" s="26"/>
      <c r="AA174" s="26"/>
      <c r="AB174" s="30">
        <f>Table110[[#This Row],[Hours Used]]-SUM(Table110[[#This Row],[Planned Maintenance]:[Start and Finish Production]])</f>
        <v>23</v>
      </c>
      <c r="AC174" s="26"/>
      <c r="AD174" s="26"/>
      <c r="AE174" s="26">
        <v>2</v>
      </c>
      <c r="AF174" s="26"/>
      <c r="AG174" s="26"/>
      <c r="AH174" s="26"/>
      <c r="AI174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0.58408163265306234</v>
      </c>
      <c r="AJ174" s="24">
        <f ca="1">IFERROR(IF(Table110[[#This Row],[SKU]]="",0,Table110[[#This Row],[Quality Loss (T)]]/(Table110[[#This Row],[SOC (TPD)]]/24)),"")</f>
        <v>0.88040816326530602</v>
      </c>
      <c r="AK174" s="31">
        <f ca="1">IFERROR(IF(Table110[[#This Row],[SKU]]="",0,Table110[[#This Row],[Volume Delivered (T)]]/(Table110[[#This Row],[SOC (TPD)]]/24)),"")</f>
        <v>18.367346938775508</v>
      </c>
      <c r="AL174" s="31">
        <f ca="1">IFERROR(Table110[[#This Row],[Operating Time]]/Table110[[#This Row],[PRODUCTION HOURS]],"")</f>
        <v>0.79858030168589167</v>
      </c>
      <c r="AM174" s="32">
        <v>93</v>
      </c>
      <c r="AN174" s="32" t="s">
        <v>107</v>
      </c>
      <c r="AO174" s="32" t="s">
        <v>107</v>
      </c>
      <c r="AP174" s="32">
        <v>3</v>
      </c>
      <c r="AQ174" s="32">
        <v>3</v>
      </c>
      <c r="AR174" s="32"/>
      <c r="AS174" s="32" t="str">
        <f>IFERROR(SUMIFS(#REF!,#REF!,'Shift Wise-Data Sheet'!A:A,#REF!,"Samridhi Perk Line")/SUMIFS(#REF!,#REF!,'Shift Wise-Data Sheet'!A:A,#REF!,"Samridhi Perk Line"),"")</f>
        <v/>
      </c>
      <c r="AT174" s="32"/>
      <c r="AU174" s="32"/>
      <c r="AV174" s="211">
        <f>IFERROR(VLOOKUP(Table110[[#This Row],[Date]],'Overweight Data'!A172:G1267,6,FALSE),"")</f>
        <v>2.1206261510128888E-2</v>
      </c>
      <c r="AW174" s="221">
        <f ca="1">IFERROR(
   IF(
      OR(Table110[[#This Row],[Operating Time]]=0, (Table110[[#This Row],[Operating Time]]/IF(AD174&lt;=1,AD174+1,AD174))*60=0),
      1,
      ((Table110[[#This Row],[Operating Time]])/IF(AD174&lt;=1,AD174+1,AD174))*60
   ),
"_")</f>
        <v>1102.0408163265306</v>
      </c>
      <c r="AX174" s="221">
        <f>COUNTIFS('Downtime Data'!A:A,Table110[[#This Row],[Date]])</f>
        <v>2</v>
      </c>
      <c r="AY174" s="219">
        <f>IFERROR((SUM(Table110[[#This Row],[Minor Stoppages]:[Material Shortages]])/Table110[[#This Row],['# Stops]])*60,"")</f>
        <v>60</v>
      </c>
      <c r="AZ174" s="219"/>
      <c r="BA174" s="33">
        <v>46199</v>
      </c>
    </row>
    <row r="175" spans="1:53" ht="20.149999999999999" customHeight="1" x14ac:dyDescent="0.35">
      <c r="A175" s="21">
        <v>46192</v>
      </c>
      <c r="B175" s="22" t="str">
        <f t="shared" si="3"/>
        <v>Friday</v>
      </c>
      <c r="C175" s="22"/>
      <c r="D175" s="23" t="s">
        <v>106</v>
      </c>
      <c r="E175" s="24" cm="1">
        <f t="array" aca="1" ref="E175" ca="1">IFERROR(INDIRECT(D175),"")</f>
        <v>39.200000000000003</v>
      </c>
      <c r="F175" s="25">
        <v>37</v>
      </c>
      <c r="G175" s="26">
        <f>34-4</f>
        <v>30</v>
      </c>
      <c r="H175" s="27">
        <f ca="1">IFERROR((Table110[[#This Row],[Plan]]/Table110[[#This Row],[Hours Used]])/(Table110[[#This Row],[SOC (TPD)]]/24),"")</f>
        <v>0.94387755102040805</v>
      </c>
      <c r="I175" s="27">
        <f ca="1">IFERROR((Table110[[#This Row],[Volume Delivered (T)]]/Table110[[#This Row],[Hours Used]])/(Table110[[#This Row],[SOC (TPD)]]/24),"")</f>
        <v>0.76530612244897955</v>
      </c>
      <c r="J175" s="28"/>
      <c r="K175" s="28"/>
      <c r="L175" s="28"/>
      <c r="M175" s="25">
        <f>(VLOOKUP(Table110[[#This Row],[Date]],'Coated Rework Data'!$A:$F,5)/1000)</f>
        <v>1.637</v>
      </c>
      <c r="N175" s="29">
        <v>4.3999999999999997E-2</v>
      </c>
      <c r="O175" s="84"/>
      <c r="P175" s="25"/>
      <c r="Q175" s="25"/>
      <c r="R175" s="70"/>
      <c r="S175" s="71"/>
      <c r="T175" s="30">
        <f>IF(Table110[[#This Row],[SKU]]="",0,24-Table110[[#This Row],[Legal Non-Operating Time]]-Table110[[#This Row],[No Demand Time]]-Table110[[#This Row],[Force Majeure]])</f>
        <v>24</v>
      </c>
      <c r="U175" s="26">
        <v>1</v>
      </c>
      <c r="V175" s="26"/>
      <c r="W175" s="26">
        <v>1</v>
      </c>
      <c r="X175" s="26"/>
      <c r="Y175" s="26"/>
      <c r="Z175" s="26"/>
      <c r="AA175" s="26"/>
      <c r="AB175" s="30">
        <f>Table110[[#This Row],[Hours Used]]-SUM(Table110[[#This Row],[Planned Maintenance]:[Start and Finish Production]])</f>
        <v>22</v>
      </c>
      <c r="AC175" s="26"/>
      <c r="AD175" s="26">
        <f>38/60</f>
        <v>0.6333333333333333</v>
      </c>
      <c r="AE175" s="26"/>
      <c r="AF175" s="26"/>
      <c r="AG175" s="26"/>
      <c r="AH175" s="26"/>
      <c r="AI175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0.66569160997732502</v>
      </c>
      <c r="AJ175" s="24">
        <f ca="1">IFERROR(IF(Table110[[#This Row],[SKU]]="",0,Table110[[#This Row],[Quality Loss (T)]]/(Table110[[#This Row],[SOC (TPD)]]/24)),"")</f>
        <v>1.0022448979591836</v>
      </c>
      <c r="AK175" s="31">
        <f ca="1">IFERROR(IF(Table110[[#This Row],[SKU]]="",0,Table110[[#This Row],[Volume Delivered (T)]]/(Table110[[#This Row],[SOC (TPD)]]/24)),"")</f>
        <v>18.367346938775508</v>
      </c>
      <c r="AL175" s="31">
        <f ca="1">IFERROR(Table110[[#This Row],[Operating Time]]/Table110[[#This Row],[PRODUCTION HOURS]],"")</f>
        <v>0.83487940630797763</v>
      </c>
      <c r="AM175" s="32">
        <v>96</v>
      </c>
      <c r="AN175" s="32" t="s">
        <v>107</v>
      </c>
      <c r="AO175" s="32" t="s">
        <v>107</v>
      </c>
      <c r="AP175" s="32">
        <v>0</v>
      </c>
      <c r="AQ175" s="32">
        <v>0</v>
      </c>
      <c r="AR175" s="32"/>
      <c r="AS175" s="32" t="str">
        <f>IFERROR(SUMIFS(#REF!,#REF!,'Shift Wise-Data Sheet'!A:A,#REF!,"Samridhi Perk Line")/SUMIFS(#REF!,#REF!,'Shift Wise-Data Sheet'!A:A,#REF!,"Samridhi Perk Line"),"")</f>
        <v/>
      </c>
      <c r="AT175" s="32"/>
      <c r="AU175" s="32"/>
      <c r="AV175" s="211">
        <f>IFERROR(VLOOKUP(Table110[[#This Row],[Date]],'Overweight Data'!A173:G1268,6,FALSE),"")</f>
        <v>7.559852670349837E-3</v>
      </c>
      <c r="AW175" s="221">
        <f ca="1">IFERROR(
   IF(
      OR(Table110[[#This Row],[Operating Time]]=0, (Table110[[#This Row],[Operating Time]]/IF(AD175&lt;=1,AD175+1,AD175))*60=0),
      1,
      ((Table110[[#This Row],[Operating Time]])/IF(AD175&lt;=1,AD175+1,AD175))*60
   ),
"_")</f>
        <v>674.71886713869219</v>
      </c>
      <c r="AX175" s="221">
        <f>COUNTIFS('Downtime Data'!A:A,Table110[[#This Row],[Date]])</f>
        <v>1</v>
      </c>
      <c r="AY175" s="219">
        <f>IFERROR((SUM(Table110[[#This Row],[Minor Stoppages]:[Material Shortages]])/Table110[[#This Row],['# Stops]])*60,"")</f>
        <v>38</v>
      </c>
      <c r="AZ175" s="219"/>
      <c r="BA175" s="33">
        <v>46199</v>
      </c>
    </row>
    <row r="176" spans="1:53" ht="20.149999999999999" customHeight="1" x14ac:dyDescent="0.35">
      <c r="A176" s="21">
        <v>46193</v>
      </c>
      <c r="B176" s="22" t="str">
        <f t="shared" si="3"/>
        <v>Saturday</v>
      </c>
      <c r="C176" s="22"/>
      <c r="D176" s="23" t="s">
        <v>106</v>
      </c>
      <c r="E176" s="24" cm="1">
        <f t="array" aca="1" ref="E176" ca="1">IFERROR(INDIRECT(D176),"")</f>
        <v>39.200000000000003</v>
      </c>
      <c r="F176" s="25">
        <v>36</v>
      </c>
      <c r="G176" s="26">
        <v>12.9</v>
      </c>
      <c r="H176" s="27">
        <f ca="1">IFERROR((Table110[[#This Row],[Plan]]/Table110[[#This Row],[Hours Used]])/(Table110[[#This Row],[SOC (TPD)]]/24),"")</f>
        <v>0.91836734693877542</v>
      </c>
      <c r="I176" s="27">
        <f ca="1">IFERROR((Table110[[#This Row],[Volume Delivered (T)]]/Table110[[#This Row],[Hours Used]])/(Table110[[#This Row],[SOC (TPD)]]/24),"")</f>
        <v>0.32908163265306117</v>
      </c>
      <c r="J176" s="28"/>
      <c r="K176" s="28"/>
      <c r="L176" s="28"/>
      <c r="M176" s="25">
        <f>(VLOOKUP(Table110[[#This Row],[Date]],'Coated Rework Data'!$A:$F,5)/1000)</f>
        <v>1.069</v>
      </c>
      <c r="N176" s="29">
        <v>4.3999999999999997E-2</v>
      </c>
      <c r="O176" s="84"/>
      <c r="P176" s="25"/>
      <c r="Q176" s="25"/>
      <c r="R176" s="70"/>
      <c r="S176" s="71"/>
      <c r="T176" s="30">
        <f>IF(Table110[[#This Row],[SKU]]="",0,24-Table110[[#This Row],[Legal Non-Operating Time]]-Table110[[#This Row],[No Demand Time]]-Table110[[#This Row],[Force Majeure]])</f>
        <v>24</v>
      </c>
      <c r="U176" s="26"/>
      <c r="V176" s="26"/>
      <c r="W176" s="26">
        <v>12</v>
      </c>
      <c r="X176" s="26"/>
      <c r="Y176" s="26"/>
      <c r="Z176" s="26"/>
      <c r="AA176" s="26"/>
      <c r="AB176" s="30">
        <f>Table110[[#This Row],[Hours Used]]-SUM(Table110[[#This Row],[Planned Maintenance]:[Start and Finish Production]])</f>
        <v>12</v>
      </c>
      <c r="AC176" s="26"/>
      <c r="AD176" s="26"/>
      <c r="AE176" s="26"/>
      <c r="AF176" s="26"/>
      <c r="AG176" s="26"/>
      <c r="AH176" s="26"/>
      <c r="AI176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1.1491836734693879</v>
      </c>
      <c r="AJ176" s="24">
        <f ca="1">IFERROR(IF(Table110[[#This Row],[SKU]]="",0,Table110[[#This Row],[Quality Loss (T)]]/(Table110[[#This Row],[SOC (TPD)]]/24)),"")</f>
        <v>0.6544897959183672</v>
      </c>
      <c r="AK176" s="31">
        <f ca="1">IFERROR(IF(Table110[[#This Row],[SKU]]="",0,Table110[[#This Row],[Volume Delivered (T)]]/(Table110[[#This Row],[SOC (TPD)]]/24)),"")</f>
        <v>7.8979591836734686</v>
      </c>
      <c r="AL176" s="31">
        <f ca="1">IFERROR(Table110[[#This Row],[Operating Time]]/Table110[[#This Row],[PRODUCTION HOURS]],"")</f>
        <v>0.65816326530612235</v>
      </c>
      <c r="AM176" s="32">
        <v>91</v>
      </c>
      <c r="AN176" s="32" t="s">
        <v>107</v>
      </c>
      <c r="AO176" s="32" t="s">
        <v>107</v>
      </c>
      <c r="AP176" s="32">
        <v>0</v>
      </c>
      <c r="AQ176" s="32">
        <v>0</v>
      </c>
      <c r="AR176" s="32"/>
      <c r="AS176" s="32" t="str">
        <f>IFERROR(SUMIFS(#REF!,#REF!,'Shift Wise-Data Sheet'!A:A,#REF!,"Samridhi Perk Line")/SUMIFS(#REF!,#REF!,'Shift Wise-Data Sheet'!A:A,#REF!,"Samridhi Perk Line"),"")</f>
        <v/>
      </c>
      <c r="AT176" s="32"/>
      <c r="AU176" s="32"/>
      <c r="AV176" s="211">
        <f>IFERROR(VLOOKUP(Table110[[#This Row],[Date]],'Overweight Data'!A174:G1269,6,FALSE),"")</f>
        <v>1.6860036832412478E-2</v>
      </c>
      <c r="AW176" s="221">
        <f ca="1">IFERROR(
   IF(
      OR(Table110[[#This Row],[Operating Time]]=0, (Table110[[#This Row],[Operating Time]]/IF(AD176&lt;=1,AD176+1,AD176))*60=0),
      1,
      ((Table110[[#This Row],[Operating Time]])/IF(AD176&lt;=1,AD176+1,AD176))*60
   ),
"_")</f>
        <v>473.87755102040813</v>
      </c>
      <c r="AX176" s="221">
        <f>COUNTIFS('Downtime Data'!A:A,Table110[[#This Row],[Date]])</f>
        <v>1</v>
      </c>
      <c r="AY176" s="219">
        <f>IFERROR((SUM(Table110[[#This Row],[Minor Stoppages]:[Material Shortages]])/Table110[[#This Row],['# Stops]])*60,"")</f>
        <v>0</v>
      </c>
      <c r="AZ176" s="219"/>
      <c r="BA176" s="33">
        <v>46199</v>
      </c>
    </row>
    <row r="177" spans="1:53" ht="20.149999999999999" customHeight="1" x14ac:dyDescent="0.35">
      <c r="A177" s="21">
        <v>46194</v>
      </c>
      <c r="B177" s="22" t="str">
        <f t="shared" si="3"/>
        <v>Sunday</v>
      </c>
      <c r="C177" s="22"/>
      <c r="D177" s="23" t="s">
        <v>106</v>
      </c>
      <c r="E177" s="24" cm="1">
        <f t="array" aca="1" ref="E177" ca="1">IFERROR(INDIRECT(D177),"")</f>
        <v>39.200000000000003</v>
      </c>
      <c r="F177" s="25">
        <v>38</v>
      </c>
      <c r="G177" s="26">
        <v>30.2</v>
      </c>
      <c r="H177" s="27">
        <f ca="1">IFERROR((Table110[[#This Row],[Plan]]/Table110[[#This Row],[Hours Used]])/(Table110[[#This Row],[SOC (TPD)]]/24),"")</f>
        <v>0.96938775510204067</v>
      </c>
      <c r="I177" s="27">
        <f ca="1">IFERROR((Table110[[#This Row],[Volume Delivered (T)]]/Table110[[#This Row],[Hours Used]])/(Table110[[#This Row],[SOC (TPD)]]/24),"")</f>
        <v>0.77040816326530603</v>
      </c>
      <c r="J177" s="28"/>
      <c r="K177" s="28"/>
      <c r="L177" s="28"/>
      <c r="M177" s="25">
        <f>(VLOOKUP(Table110[[#This Row],[Date]],'Coated Rework Data'!$A:$F,5)/1000)</f>
        <v>1.7689999999999999</v>
      </c>
      <c r="N177" s="29">
        <v>4.3999999999999997E-2</v>
      </c>
      <c r="O177" s="84"/>
      <c r="P177" s="25"/>
      <c r="Q177" s="25"/>
      <c r="R177" s="70"/>
      <c r="S177" s="71"/>
      <c r="T177" s="30">
        <f>IF(Table110[[#This Row],[SKU]]="",0,24-Table110[[#This Row],[Legal Non-Operating Time]]-Table110[[#This Row],[No Demand Time]]-Table110[[#This Row],[Force Majeure]])</f>
        <v>24</v>
      </c>
      <c r="U177" s="26"/>
      <c r="V177" s="26"/>
      <c r="W177" s="26"/>
      <c r="X177" s="26"/>
      <c r="Y177" s="26"/>
      <c r="Z177" s="26"/>
      <c r="AA177" s="26"/>
      <c r="AB177" s="30">
        <f>Table110[[#This Row],[Hours Used]]-SUM(Table110[[#This Row],[Planned Maintenance]:[Start and Finish Production]])</f>
        <v>24</v>
      </c>
      <c r="AC177" s="26"/>
      <c r="AD177" s="26"/>
      <c r="AE177" s="26"/>
      <c r="AF177" s="26"/>
      <c r="AG177" s="26"/>
      <c r="AH177" s="26"/>
      <c r="AI177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1.475714285714286</v>
      </c>
      <c r="AJ177" s="24">
        <f ca="1">IFERROR(IF(Table110[[#This Row],[SKU]]="",0,Table110[[#This Row],[Quality Loss (T)]]/(Table110[[#This Row],[SOC (TPD)]]/24)),"")</f>
        <v>1.0830612244897957</v>
      </c>
      <c r="AK177" s="31">
        <f ca="1">IFERROR(IF(Table110[[#This Row],[SKU]]="",0,Table110[[#This Row],[Volume Delivered (T)]]/(Table110[[#This Row],[SOC (TPD)]]/24)),"")</f>
        <v>18.489795918367346</v>
      </c>
      <c r="AL177" s="31">
        <f ca="1">IFERROR(Table110[[#This Row],[Operating Time]]/Table110[[#This Row],[PRODUCTION HOURS]],"")</f>
        <v>0.77040816326530603</v>
      </c>
      <c r="AM177" s="32">
        <v>98</v>
      </c>
      <c r="AN177" s="32" t="s">
        <v>107</v>
      </c>
      <c r="AO177" s="32" t="s">
        <v>107</v>
      </c>
      <c r="AP177" s="32">
        <v>19</v>
      </c>
      <c r="AQ177" s="32">
        <v>19</v>
      </c>
      <c r="AR177" s="32"/>
      <c r="AS177" s="32" t="str">
        <f>IFERROR(SUMIFS(#REF!,#REF!,'Shift Wise-Data Sheet'!A:A,#REF!,"Samridhi Perk Line")/SUMIFS(#REF!,#REF!,'Shift Wise-Data Sheet'!A:A,#REF!,"Samridhi Perk Line"),"")</f>
        <v/>
      </c>
      <c r="AT177" s="32"/>
      <c r="AU177" s="32"/>
      <c r="AV177" s="211">
        <f>IFERROR(VLOOKUP(Table110[[#This Row],[Date]],'Overweight Data'!A175:G1270,6,FALSE),"")</f>
        <v>1.9981583793738478E-2</v>
      </c>
      <c r="AW177" s="221">
        <f ca="1">IFERROR(
   IF(
      OR(Table110[[#This Row],[Operating Time]]=0, (Table110[[#This Row],[Operating Time]]/IF(AD177&lt;=1,AD177+1,AD177))*60=0),
      1,
      ((Table110[[#This Row],[Operating Time]])/IF(AD177&lt;=1,AD177+1,AD177))*60
   ),
"_")</f>
        <v>1109.3877551020407</v>
      </c>
      <c r="AX177" s="221">
        <f>COUNTIFS('Downtime Data'!A:A,Table110[[#This Row],[Date]])</f>
        <v>0</v>
      </c>
      <c r="AY177" s="219" t="str">
        <f>IFERROR((SUM(Table110[[#This Row],[Minor Stoppages]:[Material Shortages]])/Table110[[#This Row],['# Stops]])*60,"")</f>
        <v/>
      </c>
      <c r="AZ177" s="219"/>
      <c r="BA177" s="33">
        <v>46199</v>
      </c>
    </row>
    <row r="178" spans="1:53" ht="20.149999999999999" customHeight="1" x14ac:dyDescent="0.35">
      <c r="A178" s="21">
        <v>46195</v>
      </c>
      <c r="B178" s="22" t="str">
        <f t="shared" si="3"/>
        <v>Monday</v>
      </c>
      <c r="C178" s="22"/>
      <c r="D178" s="23" t="s">
        <v>106</v>
      </c>
      <c r="E178" s="24" cm="1">
        <f t="array" aca="1" ref="E178" ca="1">IFERROR(INDIRECT(D178),"")</f>
        <v>39.200000000000003</v>
      </c>
      <c r="F178" s="25">
        <v>33</v>
      </c>
      <c r="G178" s="26">
        <v>30</v>
      </c>
      <c r="H178" s="27">
        <f ca="1">IFERROR((Table110[[#This Row],[Plan]]/Table110[[#This Row],[Hours Used]])/(Table110[[#This Row],[SOC (TPD)]]/24),"")</f>
        <v>0.84183673469387743</v>
      </c>
      <c r="I178" s="27">
        <f ca="1">IFERROR((Table110[[#This Row],[Volume Delivered (T)]]/Table110[[#This Row],[Hours Used]])/(Table110[[#This Row],[SOC (TPD)]]/24),"")</f>
        <v>0.76530612244897955</v>
      </c>
      <c r="J178" s="28"/>
      <c r="K178" s="28"/>
      <c r="L178" s="28"/>
      <c r="M178" s="25">
        <f>(VLOOKUP(Table110[[#This Row],[Date]],'Coated Rework Data'!$A:$F,5)/1000)</f>
        <v>1.4119999999999999</v>
      </c>
      <c r="N178" s="29">
        <v>3.9E-2</v>
      </c>
      <c r="O178" s="84">
        <v>5</v>
      </c>
      <c r="P178" s="25"/>
      <c r="Q178" s="25"/>
      <c r="R178" s="70"/>
      <c r="S178" s="71"/>
      <c r="T178" s="30">
        <f>IF(Table110[[#This Row],[SKU]]="",0,24-Table110[[#This Row],[Legal Non-Operating Time]]-Table110[[#This Row],[No Demand Time]]-Table110[[#This Row],[Force Majeure]])</f>
        <v>24</v>
      </c>
      <c r="U178" s="26">
        <v>1</v>
      </c>
      <c r="V178" s="26">
        <v>1</v>
      </c>
      <c r="W178" s="26"/>
      <c r="X178" s="26"/>
      <c r="Y178" s="26"/>
      <c r="Z178" s="26"/>
      <c r="AA178" s="26"/>
      <c r="AB178" s="30">
        <f>Table110[[#This Row],[Hours Used]]-SUM(Table110[[#This Row],[Planned Maintenance]:[Start and Finish Production]])</f>
        <v>22</v>
      </c>
      <c r="AC178" s="26">
        <v>0.5</v>
      </c>
      <c r="AD178" s="26"/>
      <c r="AE178" s="26">
        <v>1</v>
      </c>
      <c r="AF178" s="26"/>
      <c r="AG178" s="26"/>
      <c r="AH178" s="26"/>
      <c r="AI178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0.42272108843537498</v>
      </c>
      <c r="AJ178" s="24">
        <f ca="1">IFERROR(IF(Table110[[#This Row],[SKU]]="",0,Table110[[#This Row],[Quality Loss (T)]]/(Table110[[#This Row],[SOC (TPD)]]/24)),"")</f>
        <v>0.86448979591836717</v>
      </c>
      <c r="AK178" s="31">
        <f ca="1">IFERROR(IF(Table110[[#This Row],[SKU]]="",0,Table110[[#This Row],[Volume Delivered (T)]]/(Table110[[#This Row],[SOC (TPD)]]/24)),"")</f>
        <v>18.367346938775508</v>
      </c>
      <c r="AL178" s="31">
        <f ca="1">IFERROR(Table110[[#This Row],[Operating Time]]/Table110[[#This Row],[PRODUCTION HOURS]],"")</f>
        <v>0.83487940630797763</v>
      </c>
      <c r="AM178" s="32">
        <v>86</v>
      </c>
      <c r="AN178" s="32" t="s">
        <v>107</v>
      </c>
      <c r="AO178" s="32" t="s">
        <v>107</v>
      </c>
      <c r="AP178" s="32">
        <v>10</v>
      </c>
      <c r="AQ178" s="32">
        <v>10</v>
      </c>
      <c r="AR178" s="32"/>
      <c r="AS178" s="32" t="str">
        <f>IFERROR(SUMIFS(#REF!,#REF!,'Shift Wise-Data Sheet'!A:A,#REF!,"Samridhi Perk Line")/SUMIFS(#REF!,#REF!,'Shift Wise-Data Sheet'!A:A,#REF!,"Samridhi Perk Line"),"")</f>
        <v/>
      </c>
      <c r="AT178" s="32"/>
      <c r="AU178" s="32"/>
      <c r="AV178" s="211">
        <f>IFERROR(VLOOKUP(Table110[[#This Row],[Date]],'Overweight Data'!A176:G1271,6,FALSE),"")</f>
        <v>3.1086556169429142E-2</v>
      </c>
      <c r="AW178" s="221">
        <f ca="1">IFERROR(
   IF(
      OR(Table110[[#This Row],[Operating Time]]=0, (Table110[[#This Row],[Operating Time]]/IF(AD178&lt;=1,AD178+1,AD178))*60=0),
      1,
      ((Table110[[#This Row],[Operating Time]])/IF(AD178&lt;=1,AD178+1,AD178))*60
   ),
"_")</f>
        <v>1102.0408163265306</v>
      </c>
      <c r="AX178" s="221">
        <f>COUNTIFS('Downtime Data'!A:A,Table110[[#This Row],[Date]])</f>
        <v>1</v>
      </c>
      <c r="AY178" s="219">
        <f>IFERROR((SUM(Table110[[#This Row],[Minor Stoppages]:[Material Shortages]])/Table110[[#This Row],['# Stops]])*60,"")</f>
        <v>90</v>
      </c>
      <c r="AZ178" s="219"/>
      <c r="BA178" s="33">
        <v>46199</v>
      </c>
    </row>
    <row r="179" spans="1:53" ht="20.149999999999999" customHeight="1" x14ac:dyDescent="0.35">
      <c r="A179" s="21">
        <v>46196</v>
      </c>
      <c r="B179" s="22" t="str">
        <f t="shared" si="3"/>
        <v>Tuesday</v>
      </c>
      <c r="C179" s="22"/>
      <c r="D179" s="23" t="s">
        <v>106</v>
      </c>
      <c r="E179" s="24" cm="1">
        <f t="array" aca="1" ref="E179" ca="1">IFERROR(INDIRECT(D179),"")</f>
        <v>39.200000000000003</v>
      </c>
      <c r="F179" s="25">
        <v>33</v>
      </c>
      <c r="G179" s="26">
        <v>30.1</v>
      </c>
      <c r="H179" s="27">
        <f ca="1">IFERROR((Table110[[#This Row],[Plan]]/Table110[[#This Row],[Hours Used]])/(Table110[[#This Row],[SOC (TPD)]]/24),"")</f>
        <v>0.84183673469387743</v>
      </c>
      <c r="I179" s="27">
        <f ca="1">IFERROR((Table110[[#This Row],[Volume Delivered (T)]]/Table110[[#This Row],[Hours Used]])/(Table110[[#This Row],[SOC (TPD)]]/24),"")</f>
        <v>0.76785714285714279</v>
      </c>
      <c r="J179" s="28"/>
      <c r="K179" s="28"/>
      <c r="L179" s="28"/>
      <c r="M179" s="25">
        <f>(VLOOKUP(Table110[[#This Row],[Date]],'Coated Rework Data'!$A:$F,5)/1000)</f>
        <v>1.397</v>
      </c>
      <c r="N179" s="29">
        <v>3.7999999999999999E-2</v>
      </c>
      <c r="O179" s="84">
        <v>0</v>
      </c>
      <c r="P179" s="25"/>
      <c r="Q179" s="25"/>
      <c r="R179" s="70"/>
      <c r="S179" s="71"/>
      <c r="T179" s="30">
        <f>IF(Table110[[#This Row],[SKU]]="",0,24-Table110[[#This Row],[Legal Non-Operating Time]]-Table110[[#This Row],[No Demand Time]]-Table110[[#This Row],[Force Majeure]])</f>
        <v>24</v>
      </c>
      <c r="U179" s="26">
        <v>1</v>
      </c>
      <c r="V179" s="26">
        <v>1</v>
      </c>
      <c r="W179" s="26"/>
      <c r="X179" s="26"/>
      <c r="Y179" s="26"/>
      <c r="Z179" s="26"/>
      <c r="AA179" s="26"/>
      <c r="AB179" s="30">
        <f>Table110[[#This Row],[Hours Used]]-SUM(Table110[[#This Row],[Planned Maintenance]:[Start and Finish Production]])</f>
        <v>22</v>
      </c>
      <c r="AC179" s="26">
        <v>0.5</v>
      </c>
      <c r="AD179" s="26"/>
      <c r="AE179" s="26">
        <v>1</v>
      </c>
      <c r="AF179" s="26"/>
      <c r="AG179" s="26"/>
      <c r="AH179" s="26"/>
      <c r="AI179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0.40537414965986446</v>
      </c>
      <c r="AJ179" s="24">
        <f ca="1">IFERROR(IF(Table110[[#This Row],[SKU]]="",0,Table110[[#This Row],[Quality Loss (T)]]/(Table110[[#This Row],[SOC (TPD)]]/24)),"")</f>
        <v>0.85530612244897952</v>
      </c>
      <c r="AK179" s="31">
        <f ca="1">IFERROR(IF(Table110[[#This Row],[SKU]]="",0,Table110[[#This Row],[Volume Delivered (T)]]/(Table110[[#This Row],[SOC (TPD)]]/24)),"")</f>
        <v>18.428571428571427</v>
      </c>
      <c r="AL179" s="31">
        <f ca="1">IFERROR(Table110[[#This Row],[Operating Time]]/Table110[[#This Row],[PRODUCTION HOURS]],"")</f>
        <v>0.83766233766233755</v>
      </c>
      <c r="AM179" s="32">
        <v>100</v>
      </c>
      <c r="AN179" s="32" t="s">
        <v>107</v>
      </c>
      <c r="AO179" s="32" t="s">
        <v>107</v>
      </c>
      <c r="AP179" s="32">
        <v>0</v>
      </c>
      <c r="AQ179" s="32">
        <v>0</v>
      </c>
      <c r="AR179" s="32"/>
      <c r="AS179" s="32" t="str">
        <f>IFERROR(SUMIFS(#REF!,#REF!,'Shift Wise-Data Sheet'!A:A,#REF!,"Samridhi Perk Line")/SUMIFS(#REF!,#REF!,'Shift Wise-Data Sheet'!A:A,#REF!,"Samridhi Perk Line"),"")</f>
        <v/>
      </c>
      <c r="AT179" s="32"/>
      <c r="AU179" s="32"/>
      <c r="AV179" s="211">
        <f>IFERROR(VLOOKUP(Table110[[#This Row],[Date]],'Overweight Data'!A177:G1272,6,FALSE),"")</f>
        <v>4.0874769797421773E-2</v>
      </c>
      <c r="AW179" s="221">
        <f ca="1">IFERROR(
   IF(
      OR(Table110[[#This Row],[Operating Time]]=0, (Table110[[#This Row],[Operating Time]]/IF(AD179&lt;=1,AD179+1,AD179))*60=0),
      1,
      ((Table110[[#This Row],[Operating Time]])/IF(AD179&lt;=1,AD179+1,AD179))*60
   ),
"_")</f>
        <v>1105.7142857142856</v>
      </c>
      <c r="AX179" s="221">
        <f>COUNTIFS('Downtime Data'!A:A,Table110[[#This Row],[Date]])</f>
        <v>0</v>
      </c>
      <c r="AY179" s="219" t="str">
        <f>IFERROR((SUM(Table110[[#This Row],[Minor Stoppages]:[Material Shortages]])/Table110[[#This Row],['# Stops]])*60,"")</f>
        <v/>
      </c>
      <c r="AZ179" s="219"/>
      <c r="BA179" s="33">
        <v>46199</v>
      </c>
    </row>
    <row r="180" spans="1:53" ht="20.149999999999999" customHeight="1" x14ac:dyDescent="0.35">
      <c r="A180" s="21">
        <v>46197</v>
      </c>
      <c r="B180" s="22" t="str">
        <f t="shared" si="3"/>
        <v>Wednesday</v>
      </c>
      <c r="C180" s="22"/>
      <c r="D180" s="23" t="s">
        <v>106</v>
      </c>
      <c r="E180" s="24" cm="1">
        <f t="array" aca="1" ref="E180" ca="1">IFERROR(INDIRECT(D180),"")</f>
        <v>39.200000000000003</v>
      </c>
      <c r="F180" s="25">
        <v>29</v>
      </c>
      <c r="G180" s="26">
        <v>30.9</v>
      </c>
      <c r="H180" s="27">
        <f ca="1">IFERROR((Table110[[#This Row],[Plan]]/Table110[[#This Row],[Hours Used]])/(Table110[[#This Row],[SOC (TPD)]]/24),"")</f>
        <v>0.73979591836734682</v>
      </c>
      <c r="I180" s="27">
        <f ca="1">IFERROR((Table110[[#This Row],[Volume Delivered (T)]]/Table110[[#This Row],[Hours Used]])/(Table110[[#This Row],[SOC (TPD)]]/24),"")</f>
        <v>0.78826530612244883</v>
      </c>
      <c r="J180" s="28"/>
      <c r="K180" s="28"/>
      <c r="L180" s="28"/>
      <c r="M180" s="25">
        <f>(VLOOKUP(Table110[[#This Row],[Date]],'Coated Rework Data'!$A:$F,5)/1000)</f>
        <v>1.4870000000000001</v>
      </c>
      <c r="N180" s="29">
        <v>3.7999999999999999E-2</v>
      </c>
      <c r="O180" s="84"/>
      <c r="P180" s="25"/>
      <c r="Q180" s="25"/>
      <c r="R180" s="70"/>
      <c r="S180" s="71"/>
      <c r="T180" s="30">
        <f>IF(Table110[[#This Row],[SKU]]="",0,24-Table110[[#This Row],[Legal Non-Operating Time]]-Table110[[#This Row],[No Demand Time]]-Table110[[#This Row],[Force Majeure]])</f>
        <v>24</v>
      </c>
      <c r="U180" s="26">
        <v>1</v>
      </c>
      <c r="V180" s="26">
        <v>1</v>
      </c>
      <c r="W180" s="26"/>
      <c r="X180" s="26"/>
      <c r="Y180" s="26"/>
      <c r="Z180" s="26"/>
      <c r="AA180" s="26"/>
      <c r="AB180" s="30">
        <f>Table110[[#This Row],[Hours Used]]-SUM(Table110[[#This Row],[Planned Maintenance]:[Start and Finish Production]])</f>
        <v>22</v>
      </c>
      <c r="AC180" s="26">
        <v>0.5</v>
      </c>
      <c r="AD180" s="26"/>
      <c r="AE180" s="26">
        <v>0.5</v>
      </c>
      <c r="AF180" s="26"/>
      <c r="AG180" s="26"/>
      <c r="AH180" s="26"/>
      <c r="AI180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0.3904081632653072</v>
      </c>
      <c r="AJ180" s="24">
        <f ca="1">IFERROR(IF(Table110[[#This Row],[SKU]]="",0,Table110[[#This Row],[Quality Loss (T)]]/(Table110[[#This Row],[SOC (TPD)]]/24)),"")</f>
        <v>0.91040816326530605</v>
      </c>
      <c r="AK180" s="31">
        <f ca="1">IFERROR(IF(Table110[[#This Row],[SKU]]="",0,Table110[[#This Row],[Volume Delivered (T)]]/(Table110[[#This Row],[SOC (TPD)]]/24)),"")</f>
        <v>18.918367346938773</v>
      </c>
      <c r="AL180" s="31">
        <f ca="1">IFERROR(Table110[[#This Row],[Operating Time]]/Table110[[#This Row],[PRODUCTION HOURS]],"")</f>
        <v>0.8599257884972169</v>
      </c>
      <c r="AM180" s="32">
        <v>95</v>
      </c>
      <c r="AN180" s="32" t="s">
        <v>107</v>
      </c>
      <c r="AO180" s="32" t="s">
        <v>107</v>
      </c>
      <c r="AP180" s="32">
        <v>0</v>
      </c>
      <c r="AQ180" s="32">
        <v>0</v>
      </c>
      <c r="AR180" s="32"/>
      <c r="AS180" s="32" t="str">
        <f>IFERROR(SUMIFS(#REF!,#REF!,'Shift Wise-Data Sheet'!A:A,#REF!,"Samridhi Perk Line")/SUMIFS(#REF!,#REF!,'Shift Wise-Data Sheet'!A:A,#REF!,"Samridhi Perk Line"),"")</f>
        <v/>
      </c>
      <c r="AT180" s="32"/>
      <c r="AU180" s="32"/>
      <c r="AV180" s="211">
        <f>IFERROR(VLOOKUP(Table110[[#This Row],[Date]],'Overweight Data'!A178:G1273,6,FALSE),"")</f>
        <v>3.0069930069930084E-2</v>
      </c>
      <c r="AW180" s="221">
        <f ca="1">IFERROR(
   IF(
      OR(Table110[[#This Row],[Operating Time]]=0, (Table110[[#This Row],[Operating Time]]/IF(AD180&lt;=1,AD180+1,AD180))*60=0),
      1,
      ((Table110[[#This Row],[Operating Time]])/IF(AD180&lt;=1,AD180+1,AD180))*60
   ),
"_")</f>
        <v>1135.1020408163263</v>
      </c>
      <c r="AX180" s="221">
        <f>COUNTIFS('Downtime Data'!A:A,Table110[[#This Row],[Date]])</f>
        <v>1</v>
      </c>
      <c r="AY180" s="219">
        <f>IFERROR((SUM(Table110[[#This Row],[Minor Stoppages]:[Material Shortages]])/Table110[[#This Row],['# Stops]])*60,"")</f>
        <v>60</v>
      </c>
      <c r="AZ180" s="219"/>
      <c r="BA180" s="33">
        <v>46199</v>
      </c>
    </row>
    <row r="181" spans="1:53" ht="20.149999999999999" customHeight="1" x14ac:dyDescent="0.35">
      <c r="A181" s="21">
        <v>46198</v>
      </c>
      <c r="B181" s="22" t="str">
        <f t="shared" si="3"/>
        <v>Thursday</v>
      </c>
      <c r="C181" s="22"/>
      <c r="D181" s="23" t="s">
        <v>106</v>
      </c>
      <c r="E181" s="24" cm="1">
        <f t="array" aca="1" ref="E181" ca="1">IFERROR(INDIRECT(D181),"")</f>
        <v>39.200000000000003</v>
      </c>
      <c r="F181" s="25">
        <v>33</v>
      </c>
      <c r="G181" s="26">
        <v>30.5</v>
      </c>
      <c r="H181" s="27">
        <f ca="1">IFERROR((Table110[[#This Row],[Plan]]/Table110[[#This Row],[Hours Used]])/(Table110[[#This Row],[SOC (TPD)]]/24),"")</f>
        <v>0.84183673469387743</v>
      </c>
      <c r="I181" s="27">
        <f ca="1">IFERROR((Table110[[#This Row],[Volume Delivered (T)]]/Table110[[#This Row],[Hours Used]])/(Table110[[#This Row],[SOC (TPD)]]/24),"")</f>
        <v>0.77806122448979576</v>
      </c>
      <c r="J181" s="28"/>
      <c r="K181" s="28"/>
      <c r="L181" s="28"/>
      <c r="M181" s="25">
        <f>(VLOOKUP(Table110[[#This Row],[Date]],'Coated Rework Data'!$A:$F,5)/1000)</f>
        <v>1.4339999999999999</v>
      </c>
      <c r="N181" s="29">
        <v>3.7999999999999999E-2</v>
      </c>
      <c r="O181" s="84"/>
      <c r="P181" s="25"/>
      <c r="Q181" s="25"/>
      <c r="R181" s="70"/>
      <c r="S181" s="71"/>
      <c r="T181" s="30">
        <f>IF(Table110[[#This Row],[SKU]]="",0,24-Table110[[#This Row],[Legal Non-Operating Time]]-Table110[[#This Row],[No Demand Time]]-Table110[[#This Row],[Force Majeure]])</f>
        <v>24</v>
      </c>
      <c r="U181" s="26">
        <v>1</v>
      </c>
      <c r="V181" s="26">
        <v>0.8</v>
      </c>
      <c r="W181" s="26"/>
      <c r="X181" s="26"/>
      <c r="Y181" s="26"/>
      <c r="Z181" s="26"/>
      <c r="AA181" s="26"/>
      <c r="AB181" s="30">
        <f>Table110[[#This Row],[Hours Used]]-SUM(Table110[[#This Row],[Planned Maintenance]:[Start and Finish Production]])</f>
        <v>22.2</v>
      </c>
      <c r="AC181" s="26">
        <v>0.5</v>
      </c>
      <c r="AD181" s="26"/>
      <c r="AE181" s="26">
        <v>1</v>
      </c>
      <c r="AF181" s="26"/>
      <c r="AG181" s="26"/>
      <c r="AH181" s="26"/>
      <c r="AI181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0.38285714285714434</v>
      </c>
      <c r="AJ181" s="24">
        <f ca="1">IFERROR(IF(Table110[[#This Row],[SKU]]="",0,Table110[[#This Row],[Quality Loss (T)]]/(Table110[[#This Row],[SOC (TPD)]]/24)),"")</f>
        <v>0.87795918367346926</v>
      </c>
      <c r="AK181" s="31">
        <f ca="1">IFERROR(IF(Table110[[#This Row],[SKU]]="",0,Table110[[#This Row],[Volume Delivered (T)]]/(Table110[[#This Row],[SOC (TPD)]]/24)),"")</f>
        <v>18.673469387755098</v>
      </c>
      <c r="AL181" s="31">
        <f ca="1">IFERROR(Table110[[#This Row],[Operating Time]]/Table110[[#This Row],[PRODUCTION HOURS]],"")</f>
        <v>0.84114726971869813</v>
      </c>
      <c r="AM181" s="32">
        <v>89</v>
      </c>
      <c r="AN181" s="32" t="s">
        <v>107</v>
      </c>
      <c r="AO181" s="32" t="s">
        <v>107</v>
      </c>
      <c r="AP181" s="32">
        <v>0</v>
      </c>
      <c r="AQ181" s="32">
        <v>0</v>
      </c>
      <c r="AR181" s="32"/>
      <c r="AS181" s="32" t="str">
        <f>IFERROR(SUMIFS(#REF!,#REF!,'Shift Wise-Data Sheet'!A:A,#REF!,"Samridhi Perk Line")/SUMIFS(#REF!,#REF!,'Shift Wise-Data Sheet'!A:A,#REF!,"Samridhi Perk Line"),"")</f>
        <v/>
      </c>
      <c r="AT181" s="32"/>
      <c r="AU181" s="32"/>
      <c r="AV181" s="211">
        <f>IFERROR(VLOOKUP(Table110[[#This Row],[Date]],'Overweight Data'!A179:G1274,6,FALSE),"")</f>
        <v>2.3770396270396316E-2</v>
      </c>
      <c r="AW181" s="221">
        <f ca="1">IFERROR(
   IF(
      OR(Table110[[#This Row],[Operating Time]]=0, (Table110[[#This Row],[Operating Time]]/IF(AD181&lt;=1,AD181+1,AD181))*60=0),
      1,
      ((Table110[[#This Row],[Operating Time]])/IF(AD181&lt;=1,AD181+1,AD181))*60
   ),
"_")</f>
        <v>1120.4081632653058</v>
      </c>
      <c r="AX181" s="221">
        <f>COUNTIFS('Downtime Data'!A:A,Table110[[#This Row],[Date]])</f>
        <v>1</v>
      </c>
      <c r="AY181" s="219">
        <f>IFERROR((SUM(Table110[[#This Row],[Minor Stoppages]:[Material Shortages]])/Table110[[#This Row],['# Stops]])*60,"")</f>
        <v>90</v>
      </c>
      <c r="AZ181" s="219"/>
      <c r="BA181" s="33">
        <v>46199</v>
      </c>
    </row>
    <row r="182" spans="1:53" ht="20.149999999999999" customHeight="1" x14ac:dyDescent="0.35">
      <c r="A182" s="21">
        <v>46199</v>
      </c>
      <c r="B182" s="22" t="str">
        <f t="shared" si="3"/>
        <v>Friday</v>
      </c>
      <c r="C182" s="22"/>
      <c r="D182" s="23" t="s">
        <v>106</v>
      </c>
      <c r="E182" s="24" cm="1">
        <f t="array" aca="1" ref="E182" ca="1">IFERROR(INDIRECT(D182),"")</f>
        <v>39.200000000000003</v>
      </c>
      <c r="F182" s="25">
        <v>32</v>
      </c>
      <c r="G182" s="26">
        <v>30</v>
      </c>
      <c r="H182" s="27">
        <f ca="1">IFERROR((Table110[[#This Row],[Plan]]/Table110[[#This Row],[Hours Used]])/(Table110[[#This Row],[SOC (TPD)]]/24),"")</f>
        <v>0.81632653061224481</v>
      </c>
      <c r="I182" s="27">
        <f ca="1">IFERROR((Table110[[#This Row],[Volume Delivered (T)]]/Table110[[#This Row],[Hours Used]])/(Table110[[#This Row],[SOC (TPD)]]/24),"")</f>
        <v>0.76530612244897955</v>
      </c>
      <c r="J182" s="28"/>
      <c r="K182" s="28"/>
      <c r="L182" s="28"/>
      <c r="M182" s="25">
        <f>(VLOOKUP(Table110[[#This Row],[Date]],'Coated Rework Data'!$A:$F,5)/1000)</f>
        <v>1.64</v>
      </c>
      <c r="N182" s="29">
        <v>4.3999999999999997E-2</v>
      </c>
      <c r="O182" s="84"/>
      <c r="P182" s="25"/>
      <c r="Q182" s="25"/>
      <c r="R182" s="70"/>
      <c r="S182" s="71"/>
      <c r="T182" s="30">
        <f>IF(Table110[[#This Row],[SKU]]="",0,24-Table110[[#This Row],[Legal Non-Operating Time]]-Table110[[#This Row],[No Demand Time]]-Table110[[#This Row],[Force Majeure]])</f>
        <v>24</v>
      </c>
      <c r="U182" s="26">
        <v>1</v>
      </c>
      <c r="V182" s="26"/>
      <c r="W182" s="26"/>
      <c r="X182" s="26"/>
      <c r="Y182" s="26"/>
      <c r="Z182" s="26"/>
      <c r="AA182" s="26"/>
      <c r="AB182" s="30">
        <f>Table110[[#This Row],[Hours Used]]-SUM(Table110[[#This Row],[Planned Maintenance]:[Start and Finish Production]])</f>
        <v>23</v>
      </c>
      <c r="AC182" s="26"/>
      <c r="AD182" s="26">
        <v>3</v>
      </c>
      <c r="AE182" s="26"/>
      <c r="AF182" s="26"/>
      <c r="AG182" s="26"/>
      <c r="AH182" s="26"/>
      <c r="AI182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0.20952380952380997</v>
      </c>
      <c r="AJ182" s="24">
        <f ca="1">IFERROR(IF(Table110[[#This Row],[SKU]]="",0,Table110[[#This Row],[Quality Loss (T)]]/(Table110[[#This Row],[SOC (TPD)]]/24)),"")</f>
        <v>1.0040816326530611</v>
      </c>
      <c r="AK182" s="31">
        <f ca="1">IFERROR(IF(Table110[[#This Row],[SKU]]="",0,Table110[[#This Row],[Volume Delivered (T)]]/(Table110[[#This Row],[SOC (TPD)]]/24)),"")</f>
        <v>18.367346938775508</v>
      </c>
      <c r="AL182" s="31">
        <f ca="1">IFERROR(Table110[[#This Row],[Operating Time]]/Table110[[#This Row],[PRODUCTION HOURS]],"")</f>
        <v>0.79858030168589167</v>
      </c>
      <c r="AM182" s="32">
        <v>77</v>
      </c>
      <c r="AN182" s="32" t="s">
        <v>107</v>
      </c>
      <c r="AO182" s="32" t="s">
        <v>107</v>
      </c>
      <c r="AP182" s="32">
        <v>0</v>
      </c>
      <c r="AQ182" s="32">
        <v>0</v>
      </c>
      <c r="AR182" s="32"/>
      <c r="AS182" s="32" t="str">
        <f>IFERROR(SUMIFS(#REF!,#REF!,'Shift Wise-Data Sheet'!A:A,#REF!,"Samridhi Perk Line")/SUMIFS(#REF!,#REF!,'Shift Wise-Data Sheet'!A:A,#REF!,"Samridhi Perk Line"),"")</f>
        <v/>
      </c>
      <c r="AT182" s="32"/>
      <c r="AU182" s="32"/>
      <c r="AV182" s="211">
        <f>IFERROR(VLOOKUP(Table110[[#This Row],[Date]],'Overweight Data'!A180:G1275,6,FALSE),"")</f>
        <v>2.7296037296037315E-2</v>
      </c>
      <c r="AW182" s="221">
        <f ca="1">IFERROR(
   IF(
      OR(Table110[[#This Row],[Operating Time]]=0, (Table110[[#This Row],[Operating Time]]/IF(AD182&lt;=1,AD182+1,AD182))*60=0),
      1,
      ((Table110[[#This Row],[Operating Time]])/IF(AD182&lt;=1,AD182+1,AD182))*60
   ),
"_")</f>
        <v>367.34693877551018</v>
      </c>
      <c r="AX182" s="221">
        <f>COUNTIFS('Downtime Data'!A:A,Table110[[#This Row],[Date]])</f>
        <v>0</v>
      </c>
      <c r="AY182" s="219" t="str">
        <f>IFERROR((SUM(Table110[[#This Row],[Minor Stoppages]:[Material Shortages]])/Table110[[#This Row],['# Stops]])*60,"")</f>
        <v/>
      </c>
      <c r="AZ182" s="219"/>
      <c r="BA182" s="33">
        <v>46199</v>
      </c>
    </row>
    <row r="183" spans="1:53" ht="20.149999999999999" customHeight="1" x14ac:dyDescent="0.35">
      <c r="A183" s="21">
        <v>46200</v>
      </c>
      <c r="B183" s="22" t="str">
        <f t="shared" si="3"/>
        <v>Saturday</v>
      </c>
      <c r="C183" s="22"/>
      <c r="D183" s="23" t="s">
        <v>106</v>
      </c>
      <c r="E183" s="24" cm="1">
        <f t="array" aca="1" ref="E183" ca="1">IFERROR(INDIRECT(D183),"")</f>
        <v>39.200000000000003</v>
      </c>
      <c r="F183" s="25">
        <v>33</v>
      </c>
      <c r="G183" s="26">
        <v>30</v>
      </c>
      <c r="H183" s="27">
        <f ca="1">IFERROR((Table110[[#This Row],[Plan]]/Table110[[#This Row],[Hours Used]])/(Table110[[#This Row],[SOC (TPD)]]/24),"")</f>
        <v>0.84183673469387743</v>
      </c>
      <c r="I183" s="27">
        <f ca="1">IFERROR((Table110[[#This Row],[Volume Delivered (T)]]/Table110[[#This Row],[Hours Used]])/(Table110[[#This Row],[SOC (TPD)]]/24),"")</f>
        <v>0.76530612244897955</v>
      </c>
      <c r="J183" s="28"/>
      <c r="K183" s="28"/>
      <c r="L183" s="28"/>
      <c r="M183" s="25">
        <f>(VLOOKUP(Table110[[#This Row],[Date]],'Coated Rework Data'!$A:$F,5)/1000)</f>
        <v>1.629</v>
      </c>
      <c r="N183" s="29">
        <v>4.3999999999999997E-2</v>
      </c>
      <c r="O183" s="84"/>
      <c r="P183" s="25"/>
      <c r="Q183" s="25"/>
      <c r="R183" s="70"/>
      <c r="S183" s="71"/>
      <c r="T183" s="30">
        <f>IF(Table110[[#This Row],[SKU]]="",0,24-Table110[[#This Row],[Legal Non-Operating Time]]-Table110[[#This Row],[No Demand Time]]-Table110[[#This Row],[Force Majeure]])</f>
        <v>24</v>
      </c>
      <c r="U183" s="26">
        <v>1</v>
      </c>
      <c r="V183" s="26">
        <v>1</v>
      </c>
      <c r="W183" s="26">
        <v>1.5</v>
      </c>
      <c r="X183" s="26"/>
      <c r="Y183" s="26"/>
      <c r="Z183" s="26"/>
      <c r="AA183" s="26"/>
      <c r="AB183" s="30">
        <f>Table110[[#This Row],[Hours Used]]-SUM(Table110[[#This Row],[Planned Maintenance]:[Start and Finish Production]])</f>
        <v>20.5</v>
      </c>
      <c r="AC183" s="26">
        <v>0.5</v>
      </c>
      <c r="AD183" s="26"/>
      <c r="AE183" s="26"/>
      <c r="AF183" s="26"/>
      <c r="AG183" s="26"/>
      <c r="AH183" s="26"/>
      <c r="AI183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0.21176870748299356</v>
      </c>
      <c r="AJ183" s="24">
        <f ca="1">IFERROR(IF(Table110[[#This Row],[SKU]]="",0,Table110[[#This Row],[Quality Loss (T)]]/(Table110[[#This Row],[SOC (TPD)]]/24)),"")</f>
        <v>0.99734693877551006</v>
      </c>
      <c r="AK183" s="31">
        <f ca="1">IFERROR(IF(Table110[[#This Row],[SKU]]="",0,Table110[[#This Row],[Volume Delivered (T)]]/(Table110[[#This Row],[SOC (TPD)]]/24)),"")</f>
        <v>18.367346938775508</v>
      </c>
      <c r="AL183" s="31">
        <f ca="1">IFERROR(Table110[[#This Row],[Operating Time]]/Table110[[#This Row],[PRODUCTION HOURS]],"")</f>
        <v>0.89596814335490282</v>
      </c>
      <c r="AM183" s="32">
        <v>75</v>
      </c>
      <c r="AN183" s="32" t="s">
        <v>107</v>
      </c>
      <c r="AO183" s="32" t="s">
        <v>107</v>
      </c>
      <c r="AP183" s="32">
        <v>4</v>
      </c>
      <c r="AQ183" s="32">
        <v>4</v>
      </c>
      <c r="AR183" s="32"/>
      <c r="AS183" s="32" t="str">
        <f>IFERROR(SUMIFS(#REF!,#REF!,'Shift Wise-Data Sheet'!A:A,#REF!,"Samridhi Perk Line")/SUMIFS(#REF!,#REF!,'Shift Wise-Data Sheet'!A:A,#REF!,"Samridhi Perk Line"),"")</f>
        <v/>
      </c>
      <c r="AT183" s="32"/>
      <c r="AU183" s="32"/>
      <c r="AV183" s="211">
        <f>IFERROR(VLOOKUP(Table110[[#This Row],[Date]],'Overweight Data'!A181:G1276,6,FALSE),"")</f>
        <v>2.5463286713286709E-2</v>
      </c>
      <c r="AW183" s="221">
        <f ca="1">IFERROR(
   IF(
      OR(Table110[[#This Row],[Operating Time]]=0, (Table110[[#This Row],[Operating Time]]/IF(AD183&lt;=1,AD183+1,AD183))*60=0),
      1,
      ((Table110[[#This Row],[Operating Time]])/IF(AD183&lt;=1,AD183+1,AD183))*60
   ),
"_")</f>
        <v>1102.0408163265306</v>
      </c>
      <c r="AX183" s="221">
        <f>COUNTIFS('Downtime Data'!A:A,Table110[[#This Row],[Date]])</f>
        <v>3</v>
      </c>
      <c r="AY183" s="219">
        <f>IFERROR((SUM(Table110[[#This Row],[Minor Stoppages]:[Material Shortages]])/Table110[[#This Row],['# Stops]])*60,"")</f>
        <v>10</v>
      </c>
      <c r="AZ183" s="219"/>
      <c r="BA183" s="33">
        <v>46199</v>
      </c>
    </row>
    <row r="184" spans="1:53" ht="20.149999999999999" customHeight="1" x14ac:dyDescent="0.35">
      <c r="A184" s="21">
        <v>46201</v>
      </c>
      <c r="B184" s="22" t="str">
        <f t="shared" si="3"/>
        <v>Sunday</v>
      </c>
      <c r="C184" s="22"/>
      <c r="D184" s="23" t="s">
        <v>106</v>
      </c>
      <c r="E184" s="24" cm="1">
        <f t="array" aca="1" ref="E184" ca="1">IFERROR(INDIRECT(D184),"")</f>
        <v>39.200000000000003</v>
      </c>
      <c r="F184" s="25">
        <v>33</v>
      </c>
      <c r="G184" s="26">
        <v>30.2</v>
      </c>
      <c r="H184" s="27">
        <f ca="1">IFERROR((Table110[[#This Row],[Plan]]/Table110[[#This Row],[Hours Used]])/(Table110[[#This Row],[SOC (TPD)]]/24),"")</f>
        <v>0.84183673469387743</v>
      </c>
      <c r="I184" s="27">
        <f ca="1">IFERROR((Table110[[#This Row],[Volume Delivered (T)]]/Table110[[#This Row],[Hours Used]])/(Table110[[#This Row],[SOC (TPD)]]/24),"")</f>
        <v>0.77040816326530603</v>
      </c>
      <c r="J184" s="28"/>
      <c r="K184" s="28"/>
      <c r="L184" s="28"/>
      <c r="M184" s="25">
        <f>(VLOOKUP(Table110[[#This Row],[Date]],'Coated Rework Data'!$A:$F,5)/1000)</f>
        <v>1.526</v>
      </c>
      <c r="N184" s="29">
        <v>4.3999999999999997E-2</v>
      </c>
      <c r="O184" s="84"/>
      <c r="P184" s="25"/>
      <c r="Q184" s="25"/>
      <c r="R184" s="70"/>
      <c r="S184" s="71"/>
      <c r="T184" s="30">
        <f>IF(Table110[[#This Row],[SKU]]="",0,24-Table110[[#This Row],[Legal Non-Operating Time]]-Table110[[#This Row],[No Demand Time]]-Table110[[#This Row],[Force Majeure]])</f>
        <v>24</v>
      </c>
      <c r="U184" s="26"/>
      <c r="V184" s="26">
        <v>1</v>
      </c>
      <c r="W184" s="26"/>
      <c r="X184" s="26"/>
      <c r="Y184" s="26"/>
      <c r="Z184" s="26"/>
      <c r="AA184" s="26"/>
      <c r="AB184" s="30">
        <f>Table110[[#This Row],[Hours Used]]-SUM(Table110[[#This Row],[Planned Maintenance]:[Start and Finish Production]])</f>
        <v>23</v>
      </c>
      <c r="AC184" s="26">
        <v>0.5</v>
      </c>
      <c r="AD184" s="26">
        <f>50/60</f>
        <v>0.83333333333333337</v>
      </c>
      <c r="AE184" s="26">
        <v>1.5</v>
      </c>
      <c r="AF184" s="26"/>
      <c r="AG184" s="26"/>
      <c r="AH184" s="26"/>
      <c r="AI184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0.24752834467120266</v>
      </c>
      <c r="AJ184" s="24">
        <f ca="1">IFERROR(IF(Table110[[#This Row],[SKU]]="",0,Table110[[#This Row],[Quality Loss (T)]]/(Table110[[#This Row],[SOC (TPD)]]/24)),"")</f>
        <v>0.93428571428571416</v>
      </c>
      <c r="AK184" s="31">
        <f ca="1">IFERROR(IF(Table110[[#This Row],[SKU]]="",0,Table110[[#This Row],[Volume Delivered (T)]]/(Table110[[#This Row],[SOC (TPD)]]/24)),"")</f>
        <v>18.489795918367346</v>
      </c>
      <c r="AL184" s="31">
        <f ca="1">IFERROR(Table110[[#This Row],[Operating Time]]/Table110[[#This Row],[PRODUCTION HOURS]],"")</f>
        <v>0.80390417036379769</v>
      </c>
      <c r="AM184" s="32">
        <v>77</v>
      </c>
      <c r="AN184" s="32" t="s">
        <v>107</v>
      </c>
      <c r="AO184" s="32" t="s">
        <v>107</v>
      </c>
      <c r="AP184" s="32">
        <v>1</v>
      </c>
      <c r="AQ184" s="32">
        <v>1</v>
      </c>
      <c r="AR184" s="32"/>
      <c r="AS184" s="32" t="str">
        <f>IFERROR(SUMIFS(#REF!,#REF!,'Shift Wise-Data Sheet'!A:A,#REF!,"Samridhi Perk Line")/SUMIFS(#REF!,#REF!,'Shift Wise-Data Sheet'!A:A,#REF!,"Samridhi Perk Line"),"")</f>
        <v/>
      </c>
      <c r="AT184" s="32"/>
      <c r="AU184" s="32"/>
      <c r="AV184" s="211">
        <f>IFERROR(VLOOKUP(Table110[[#This Row],[Date]],'Overweight Data'!A182:G1277,6,FALSE),"")</f>
        <v>3.0174825174825157E-2</v>
      </c>
      <c r="AW184" s="221">
        <f ca="1">IFERROR(
   IF(
      OR(Table110[[#This Row],[Operating Time]]=0, (Table110[[#This Row],[Operating Time]]/IF(AD184&lt;=1,AD184+1,AD184))*60=0),
      1,
      ((Table110[[#This Row],[Operating Time]])/IF(AD184&lt;=1,AD184+1,AD184))*60
   ),
"_")</f>
        <v>605.12059369202211</v>
      </c>
      <c r="AX184" s="221">
        <f>COUNTIFS('Downtime Data'!A:A,Table110[[#This Row],[Date]])</f>
        <v>2</v>
      </c>
      <c r="AY184" s="219">
        <f>IFERROR((SUM(Table110[[#This Row],[Minor Stoppages]:[Material Shortages]])/Table110[[#This Row],['# Stops]])*60,"")</f>
        <v>85</v>
      </c>
      <c r="AZ184" s="219"/>
      <c r="BA184" s="33">
        <v>46199</v>
      </c>
    </row>
    <row r="185" spans="1:53" ht="20.149999999999999" customHeight="1" x14ac:dyDescent="0.35">
      <c r="A185" s="21">
        <v>46202</v>
      </c>
      <c r="B185" s="22" t="str">
        <f t="shared" si="3"/>
        <v>Monday</v>
      </c>
      <c r="C185" s="22"/>
      <c r="D185" s="23" t="s">
        <v>106</v>
      </c>
      <c r="E185" s="24" cm="1">
        <f t="array" aca="1" ref="E185" ca="1">IFERROR(INDIRECT(D185),"")</f>
        <v>39.200000000000003</v>
      </c>
      <c r="F185" s="25">
        <v>32</v>
      </c>
      <c r="G185" s="26">
        <v>32.9</v>
      </c>
      <c r="H185" s="27">
        <f ca="1">IFERROR((Table110[[#This Row],[Plan]]/Table110[[#This Row],[Hours Used]])/(Table110[[#This Row],[SOC (TPD)]]/24),"")</f>
        <v>0.81632653061224481</v>
      </c>
      <c r="I185" s="27">
        <f ca="1">IFERROR((Table110[[#This Row],[Volume Delivered (T)]]/Table110[[#This Row],[Hours Used]])/(Table110[[#This Row],[SOC (TPD)]]/24),"")</f>
        <v>0.83928571428571419</v>
      </c>
      <c r="J185" s="28"/>
      <c r="K185" s="28"/>
      <c r="L185" s="28"/>
      <c r="M185" s="25">
        <f>(VLOOKUP(Table110[[#This Row],[Date]],'Coated Rework Data'!$A:$F,5)/1000)</f>
        <v>1.3280000000000001</v>
      </c>
      <c r="N185" s="29">
        <v>3.7999999999999999E-2</v>
      </c>
      <c r="O185" s="84"/>
      <c r="P185" s="25"/>
      <c r="Q185" s="25"/>
      <c r="R185" s="70"/>
      <c r="S185" s="71"/>
      <c r="T185" s="30">
        <f>IF(Table110[[#This Row],[SKU]]="",0,24-Table110[[#This Row],[Legal Non-Operating Time]]-Table110[[#This Row],[No Demand Time]]-Table110[[#This Row],[Force Majeure]])</f>
        <v>24</v>
      </c>
      <c r="U185" s="26">
        <v>1</v>
      </c>
      <c r="V185" s="26"/>
      <c r="W185" s="26"/>
      <c r="X185" s="26"/>
      <c r="Y185" s="26"/>
      <c r="Z185" s="26"/>
      <c r="AA185" s="26"/>
      <c r="AB185" s="30">
        <f>Table110[[#This Row],[Hours Used]]-SUM(Table110[[#This Row],[Planned Maintenance]:[Start and Finish Production]])</f>
        <v>23</v>
      </c>
      <c r="AC185" s="26">
        <v>0.5</v>
      </c>
      <c r="AD185" s="26"/>
      <c r="AE185" s="26">
        <v>0.25</v>
      </c>
      <c r="AF185" s="26"/>
      <c r="AG185" s="26"/>
      <c r="AH185" s="26"/>
      <c r="AI185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0.43136054421768816</v>
      </c>
      <c r="AJ185" s="24">
        <f ca="1">IFERROR(IF(Table110[[#This Row],[SKU]]="",0,Table110[[#This Row],[Quality Loss (T)]]/(Table110[[#This Row],[SOC (TPD)]]/24)),"")</f>
        <v>0.8130612244897959</v>
      </c>
      <c r="AK185" s="31">
        <f ca="1">IFERROR(IF(Table110[[#This Row],[SKU]]="",0,Table110[[#This Row],[Volume Delivered (T)]]/(Table110[[#This Row],[SOC (TPD)]]/24)),"")</f>
        <v>20.142857142857139</v>
      </c>
      <c r="AL185" s="31">
        <f ca="1">IFERROR(Table110[[#This Row],[Operating Time]]/Table110[[#This Row],[PRODUCTION HOURS]],"")</f>
        <v>0.87577639751552783</v>
      </c>
      <c r="AM185" s="32">
        <v>79</v>
      </c>
      <c r="AN185" s="32" t="s">
        <v>107</v>
      </c>
      <c r="AO185" s="32" t="s">
        <v>107</v>
      </c>
      <c r="AP185" s="32">
        <v>0</v>
      </c>
      <c r="AQ185" s="32">
        <v>0</v>
      </c>
      <c r="AR185" s="32"/>
      <c r="AS185" s="32" t="str">
        <f>IFERROR(SUMIFS(#REF!,#REF!,'Shift Wise-Data Sheet'!A:A,#REF!,"Samridhi Perk Line")/SUMIFS(#REF!,#REF!,'Shift Wise-Data Sheet'!A:A,#REF!,"Samridhi Perk Line"),"")</f>
        <v/>
      </c>
      <c r="AT185" s="32"/>
      <c r="AU185" s="32"/>
      <c r="AV185" s="211">
        <f>IFERROR(VLOOKUP(Table110[[#This Row],[Date]],'Overweight Data'!A183:G1278,6,FALSE),"")</f>
        <v>2.3974358974358966E-2</v>
      </c>
      <c r="AW185" s="221">
        <f ca="1">IFERROR(
   IF(
      OR(Table110[[#This Row],[Operating Time]]=0, (Table110[[#This Row],[Operating Time]]/IF(AD185&lt;=1,AD185+1,AD185))*60=0),
      1,
      ((Table110[[#This Row],[Operating Time]])/IF(AD185&lt;=1,AD185+1,AD185))*60
   ),
"_")</f>
        <v>1208.5714285714284</v>
      </c>
      <c r="AX185" s="221">
        <f>COUNTIFS('Downtime Data'!A:A,Table110[[#This Row],[Date]])</f>
        <v>2</v>
      </c>
      <c r="AY185" s="219">
        <f>IFERROR((SUM(Table110[[#This Row],[Minor Stoppages]:[Material Shortages]])/Table110[[#This Row],['# Stops]])*60,"")</f>
        <v>22.5</v>
      </c>
      <c r="AZ185" s="219"/>
      <c r="BA185" s="33">
        <v>46229</v>
      </c>
    </row>
    <row r="186" spans="1:53" ht="20.149999999999999" customHeight="1" x14ac:dyDescent="0.35">
      <c r="A186" s="21">
        <v>46203</v>
      </c>
      <c r="B186" s="22" t="str">
        <f t="shared" si="3"/>
        <v>Tuesday</v>
      </c>
      <c r="C186" s="22"/>
      <c r="D186" s="23" t="s">
        <v>106</v>
      </c>
      <c r="E186" s="24" cm="1">
        <f t="array" aca="1" ref="E186" ca="1">IFERROR(INDIRECT(D186),"")</f>
        <v>39.200000000000003</v>
      </c>
      <c r="F186" s="25">
        <v>32</v>
      </c>
      <c r="G186" s="26">
        <v>29.5</v>
      </c>
      <c r="H186" s="27">
        <f ca="1">IFERROR((Table110[[#This Row],[Plan]]/Table110[[#This Row],[Hours Used]])/(Table110[[#This Row],[SOC (TPD)]]/24),"")</f>
        <v>0.81632653061224481</v>
      </c>
      <c r="I186" s="27">
        <f ca="1">IFERROR((Table110[[#This Row],[Volume Delivered (T)]]/Table110[[#This Row],[Hours Used]])/(Table110[[#This Row],[SOC (TPD)]]/24),"")</f>
        <v>0.75255102040816324</v>
      </c>
      <c r="J186" s="28"/>
      <c r="K186" s="28"/>
      <c r="L186" s="28"/>
      <c r="M186" s="25">
        <f>(VLOOKUP(Table110[[#This Row],[Date]],'Coated Rework Data'!$A:$F,5)/1000)</f>
        <v>1.5669999999999999</v>
      </c>
      <c r="N186" s="29">
        <v>3.7999999999999999E-2</v>
      </c>
      <c r="O186" s="84"/>
      <c r="P186" s="25"/>
      <c r="Q186" s="25"/>
      <c r="R186" s="70"/>
      <c r="S186" s="71"/>
      <c r="T186" s="30">
        <f>IF(Table110[[#This Row],[SKU]]="",0,24-Table110[[#This Row],[Legal Non-Operating Time]]-Table110[[#This Row],[No Demand Time]]-Table110[[#This Row],[Force Majeure]])</f>
        <v>24</v>
      </c>
      <c r="U186" s="26"/>
      <c r="V186" s="26"/>
      <c r="W186" s="26"/>
      <c r="X186" s="26">
        <v>1.5</v>
      </c>
      <c r="Y186" s="26"/>
      <c r="Z186" s="26"/>
      <c r="AA186" s="26"/>
      <c r="AB186" s="30">
        <f>Table110[[#This Row],[Hours Used]]-SUM(Table110[[#This Row],[Planned Maintenance]:[Start and Finish Production]])</f>
        <v>22.5</v>
      </c>
      <c r="AC186" s="26"/>
      <c r="AD186" s="26"/>
      <c r="AE186" s="26">
        <v>3</v>
      </c>
      <c r="AF186" s="26"/>
      <c r="AG186" s="26"/>
      <c r="AH186" s="26"/>
      <c r="AI186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0.1597959183673486</v>
      </c>
      <c r="AJ186" s="24">
        <f ca="1">IFERROR(IF(Table110[[#This Row],[SKU]]="",0,Table110[[#This Row],[Quality Loss (T)]]/(Table110[[#This Row],[SOC (TPD)]]/24)),"")</f>
        <v>0.95938775510204066</v>
      </c>
      <c r="AK186" s="31">
        <f ca="1">IFERROR(IF(Table110[[#This Row],[SKU]]="",0,Table110[[#This Row],[Volume Delivered (T)]]/(Table110[[#This Row],[SOC (TPD)]]/24)),"")</f>
        <v>18.061224489795915</v>
      </c>
      <c r="AL186" s="31">
        <f ca="1">IFERROR(Table110[[#This Row],[Operating Time]]/Table110[[#This Row],[PRODUCTION HOURS]],"")</f>
        <v>0.80272108843537404</v>
      </c>
      <c r="AM186" s="32">
        <v>94</v>
      </c>
      <c r="AN186" s="32" t="s">
        <v>107</v>
      </c>
      <c r="AO186" s="32" t="s">
        <v>107</v>
      </c>
      <c r="AP186" s="32">
        <v>23</v>
      </c>
      <c r="AQ186" s="32">
        <v>23</v>
      </c>
      <c r="AR186" s="32"/>
      <c r="AS186" s="32" t="str">
        <f>IFERROR(SUMIFS(#REF!,#REF!,'Shift Wise-Data Sheet'!A:A,#REF!,"Samridhi Perk Line")/SUMIFS(#REF!,#REF!,'Shift Wise-Data Sheet'!A:A,#REF!,"Samridhi Perk Line"),"")</f>
        <v/>
      </c>
      <c r="AT186" s="32"/>
      <c r="AU186" s="32"/>
      <c r="AV186" s="211">
        <f>IFERROR(VLOOKUP(Table110[[#This Row],[Date]],'Overweight Data'!A184:G1279,6,FALSE),"")</f>
        <v>1.6454880294659305E-2</v>
      </c>
      <c r="AW186" s="221">
        <f ca="1">IFERROR(
   IF(
      OR(Table110[[#This Row],[Operating Time]]=0, (Table110[[#This Row],[Operating Time]]/IF(AD186&lt;=1,AD186+1,AD186))*60=0),
      1,
      ((Table110[[#This Row],[Operating Time]])/IF(AD186&lt;=1,AD186+1,AD186))*60
   ),
"_")</f>
        <v>1083.6734693877549</v>
      </c>
      <c r="AX186" s="221">
        <f>COUNTIFS('Downtime Data'!A:A,Table110[[#This Row],[Date]])</f>
        <v>2</v>
      </c>
      <c r="AY186" s="219">
        <f>IFERROR((SUM(Table110[[#This Row],[Minor Stoppages]:[Material Shortages]])/Table110[[#This Row],['# Stops]])*60,"")</f>
        <v>90</v>
      </c>
      <c r="AZ186" s="219"/>
      <c r="BA186" s="33">
        <v>46229</v>
      </c>
    </row>
    <row r="187" spans="1:53" ht="20.149999999999999" customHeight="1" x14ac:dyDescent="0.35">
      <c r="A187" s="21">
        <v>46204</v>
      </c>
      <c r="B187" s="22" t="str">
        <f t="shared" si="3"/>
        <v>Wednesday</v>
      </c>
      <c r="C187" s="22"/>
      <c r="D187" s="23" t="s">
        <v>108</v>
      </c>
      <c r="E187" s="24" cm="1">
        <f t="array" aca="1" ref="E187" ca="1">IFERROR(INDIRECT(D187),"")</f>
        <v>34.200000000000003</v>
      </c>
      <c r="F187" s="25">
        <v>28</v>
      </c>
      <c r="G187" s="26">
        <v>30.8</v>
      </c>
      <c r="H187" s="27">
        <f ca="1">IFERROR((Table110[[#This Row],[Plan]]/Table110[[#This Row],[Hours Used]])/(Table110[[#This Row],[SOC (TPD)]]/24),"")</f>
        <v>0.81871345029239773</v>
      </c>
      <c r="I187" s="27">
        <f ca="1">IFERROR((Table110[[#This Row],[Volume Delivered (T)]]/Table110[[#This Row],[Hours Used]])/(Table110[[#This Row],[SOC (TPD)]]/24),"")</f>
        <v>0.90058479532163749</v>
      </c>
      <c r="J187" s="28"/>
      <c r="K187" s="28"/>
      <c r="L187" s="28"/>
      <c r="M187" s="25">
        <f>(VLOOKUP(Table110[[#This Row],[Date]],'Coated Rework Data'!$A:$F,5)/1000)</f>
        <v>1.556</v>
      </c>
      <c r="N187" s="29">
        <v>3.7999999999999999E-2</v>
      </c>
      <c r="O187" s="84"/>
      <c r="P187" s="25"/>
      <c r="Q187" s="25"/>
      <c r="R187" s="70"/>
      <c r="S187" s="71"/>
      <c r="T187" s="30">
        <f>IF(Table110[[#This Row],[SKU]]="",0,24-Table110[[#This Row],[Legal Non-Operating Time]]-Table110[[#This Row],[No Demand Time]]-Table110[[#This Row],[Force Majeure]])</f>
        <v>24</v>
      </c>
      <c r="U187" s="26"/>
      <c r="V187" s="26"/>
      <c r="W187" s="26"/>
      <c r="X187" s="26"/>
      <c r="Y187" s="26"/>
      <c r="Z187" s="26"/>
      <c r="AA187" s="26"/>
      <c r="AB187" s="30">
        <f>Table110[[#This Row],[Hours Used]]-SUM(Table110[[#This Row],[Planned Maintenance]:[Start and Finish Production]])</f>
        <v>24</v>
      </c>
      <c r="AC187" s="26"/>
      <c r="AD187" s="26"/>
      <c r="AE187" s="26"/>
      <c r="AF187" s="26"/>
      <c r="AG187" s="26"/>
      <c r="AH187" s="26"/>
      <c r="AI187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0.43134502923976586</v>
      </c>
      <c r="AJ187" s="24">
        <f ca="1">IFERROR(IF(Table110[[#This Row],[SKU]]="",0,Table110[[#This Row],[Quality Loss (T)]]/(Table110[[#This Row],[SOC (TPD)]]/24)),"")</f>
        <v>1.0919298245614035</v>
      </c>
      <c r="AK187" s="31">
        <f ca="1">IFERROR(IF(Table110[[#This Row],[SKU]]="",0,Table110[[#This Row],[Volume Delivered (T)]]/(Table110[[#This Row],[SOC (TPD)]]/24)),"")</f>
        <v>21.614035087719298</v>
      </c>
      <c r="AL187" s="31">
        <f ca="1">IFERROR(Table110[[#This Row],[Operating Time]]/Table110[[#This Row],[PRODUCTION HOURS]],"")</f>
        <v>0.90058479532163738</v>
      </c>
      <c r="AM187" s="32">
        <v>96</v>
      </c>
      <c r="AN187" s="32" t="s">
        <v>107</v>
      </c>
      <c r="AO187" s="32" t="s">
        <v>107</v>
      </c>
      <c r="AP187" s="32">
        <v>26</v>
      </c>
      <c r="AQ187" s="32">
        <v>24</v>
      </c>
      <c r="AR187" s="32"/>
      <c r="AS187" s="32" t="str">
        <f>IFERROR(SUMIFS(#REF!,#REF!,'Shift Wise-Data Sheet'!A:A,#REF!,"Samridhi Perk Line")/SUMIFS(#REF!,#REF!,'Shift Wise-Data Sheet'!A:A,#REF!,"Samridhi Perk Line"),"")</f>
        <v/>
      </c>
      <c r="AT187" s="32"/>
      <c r="AU187" s="32"/>
      <c r="AV187" s="211">
        <f>IFERROR(VLOOKUP(Table110[[#This Row],[Date]],'Overweight Data'!A185:G1280,6,FALSE),"")</f>
        <v>2.2532228360957612E-2</v>
      </c>
      <c r="AW187" s="221">
        <f ca="1">IFERROR(
   IF(
      OR(Table110[[#This Row],[Operating Time]]=0, (Table110[[#This Row],[Operating Time]]/IF(AD187&lt;=1,AD187+1,AD187))*60=0),
      1,
      ((Table110[[#This Row],[Operating Time]])/IF(AD187&lt;=1,AD187+1,AD187))*60
   ),
"_")</f>
        <v>1296.8421052631579</v>
      </c>
      <c r="AX187" s="221">
        <f>COUNTIFS('Downtime Data'!A:A,Table110[[#This Row],[Date]])</f>
        <v>0</v>
      </c>
      <c r="AY187" s="219" t="str">
        <f>IFERROR((SUM(Table110[[#This Row],[Minor Stoppages]:[Material Shortages]])/Table110[[#This Row],['# Stops]])*60,"")</f>
        <v/>
      </c>
      <c r="AZ187" s="219"/>
      <c r="BA187" s="33">
        <v>46229</v>
      </c>
    </row>
    <row r="188" spans="1:53" ht="20.149999999999999" customHeight="1" x14ac:dyDescent="0.35">
      <c r="A188" s="21">
        <v>46205</v>
      </c>
      <c r="B188" s="22" t="str">
        <f t="shared" si="3"/>
        <v>Thursday</v>
      </c>
      <c r="C188" s="22"/>
      <c r="D188" s="23" t="s">
        <v>108</v>
      </c>
      <c r="E188" s="24" cm="1">
        <f t="array" aca="1" ref="E188" ca="1">IFERROR(INDIRECT(D188),"")</f>
        <v>34.200000000000003</v>
      </c>
      <c r="F188" s="25">
        <v>28</v>
      </c>
      <c r="G188" s="26">
        <v>30.3</v>
      </c>
      <c r="H188" s="27">
        <f ca="1">IFERROR((Table110[[#This Row],[Plan]]/Table110[[#This Row],[Hours Used]])/(Table110[[#This Row],[SOC (TPD)]]/24),"")</f>
        <v>0.81871345029239773</v>
      </c>
      <c r="I188" s="27">
        <f ca="1">IFERROR((Table110[[#This Row],[Volume Delivered (T)]]/Table110[[#This Row],[Hours Used]])/(Table110[[#This Row],[SOC (TPD)]]/24),"")</f>
        <v>0.88596491228070173</v>
      </c>
      <c r="J188" s="28"/>
      <c r="K188" s="28"/>
      <c r="L188" s="28"/>
      <c r="M188" s="25">
        <f>(VLOOKUP(Table110[[#This Row],[Date]],'Coated Rework Data'!$A:$F,5)/1000)</f>
        <v>1.4490000000000001</v>
      </c>
      <c r="N188" s="29">
        <v>3.7999999999999999E-2</v>
      </c>
      <c r="O188" s="84"/>
      <c r="P188" s="25"/>
      <c r="Q188" s="25"/>
      <c r="R188" s="70"/>
      <c r="S188" s="71"/>
      <c r="T188" s="30">
        <f>IF(Table110[[#This Row],[SKU]]="",0,24-Table110[[#This Row],[Legal Non-Operating Time]]-Table110[[#This Row],[No Demand Time]]-Table110[[#This Row],[Force Majeure]])</f>
        <v>24</v>
      </c>
      <c r="U188" s="26"/>
      <c r="V188" s="26"/>
      <c r="W188" s="26"/>
      <c r="X188" s="26"/>
      <c r="Y188" s="26"/>
      <c r="Z188" s="26"/>
      <c r="AA188" s="26"/>
      <c r="AB188" s="30">
        <f>Table110[[#This Row],[Hours Used]]-SUM(Table110[[#This Row],[Planned Maintenance]:[Start and Finish Production]])</f>
        <v>24</v>
      </c>
      <c r="AC188" s="26"/>
      <c r="AD188" s="26"/>
      <c r="AE188" s="26"/>
      <c r="AF188" s="26"/>
      <c r="AG188" s="26"/>
      <c r="AH188" s="26"/>
      <c r="AI188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0.57333333333333292</v>
      </c>
      <c r="AJ188" s="24">
        <f ca="1">IFERROR(IF(Table110[[#This Row],[SKU]]="",0,Table110[[#This Row],[Quality Loss (T)]]/(Table110[[#This Row],[SOC (TPD)]]/24)),"")</f>
        <v>1.016842105263158</v>
      </c>
      <c r="AK188" s="31">
        <f ca="1">IFERROR(IF(Table110[[#This Row],[SKU]]="",0,Table110[[#This Row],[Volume Delivered (T)]]/(Table110[[#This Row],[SOC (TPD)]]/24)),"")</f>
        <v>21.263157894736842</v>
      </c>
      <c r="AL188" s="31">
        <f ca="1">IFERROR(Table110[[#This Row],[Operating Time]]/Table110[[#This Row],[PRODUCTION HOURS]],"")</f>
        <v>0.88596491228070173</v>
      </c>
      <c r="AM188" s="32">
        <v>98</v>
      </c>
      <c r="AN188" s="32" t="s">
        <v>107</v>
      </c>
      <c r="AO188" s="32" t="s">
        <v>107</v>
      </c>
      <c r="AP188" s="32">
        <v>0</v>
      </c>
      <c r="AQ188" s="32">
        <v>0</v>
      </c>
      <c r="AR188" s="32"/>
      <c r="AS188" s="32" t="str">
        <f>IFERROR(SUMIFS(#REF!,#REF!,'Shift Wise-Data Sheet'!A:A,#REF!,"Samridhi Perk Line")/SUMIFS(#REF!,#REF!,'Shift Wise-Data Sheet'!A:A,#REF!,"Samridhi Perk Line"),"")</f>
        <v/>
      </c>
      <c r="AT188" s="32"/>
      <c r="AU188" s="32"/>
      <c r="AV188" s="211">
        <f>IFERROR(VLOOKUP(Table110[[#This Row],[Date]],'Overweight Data'!A186:G1281,6,FALSE),"")</f>
        <v>3.5400552486187842E-2</v>
      </c>
      <c r="AW188" s="221">
        <f ca="1">IFERROR(
   IF(
      OR(Table110[[#This Row],[Operating Time]]=0, (Table110[[#This Row],[Operating Time]]/IF(AD188&lt;=1,AD188+1,AD188))*60=0),
      1,
      ((Table110[[#This Row],[Operating Time]])/IF(AD188&lt;=1,AD188+1,AD188))*60
   ),
"_")</f>
        <v>1275.7894736842106</v>
      </c>
      <c r="AX188" s="221">
        <f>COUNTIFS('Downtime Data'!A:A,Table110[[#This Row],[Date]])</f>
        <v>0</v>
      </c>
      <c r="AY188" s="219" t="str">
        <f>IFERROR((SUM(Table110[[#This Row],[Minor Stoppages]:[Material Shortages]])/Table110[[#This Row],['# Stops]])*60,"")</f>
        <v/>
      </c>
      <c r="AZ188" s="219"/>
      <c r="BA188" s="33">
        <v>46229</v>
      </c>
    </row>
    <row r="189" spans="1:53" ht="20.149999999999999" customHeight="1" x14ac:dyDescent="0.35">
      <c r="A189" s="21">
        <v>46206</v>
      </c>
      <c r="B189" s="22" t="str">
        <f t="shared" si="3"/>
        <v>Friday</v>
      </c>
      <c r="C189" s="22"/>
      <c r="D189" s="23" t="s">
        <v>108</v>
      </c>
      <c r="E189" s="24" cm="1">
        <f t="array" aca="1" ref="E189" ca="1">IFERROR(INDIRECT(D189),"")</f>
        <v>34.200000000000003</v>
      </c>
      <c r="F189" s="25">
        <v>16.5</v>
      </c>
      <c r="G189" s="26">
        <v>16.3</v>
      </c>
      <c r="H189" s="27">
        <f ca="1">IFERROR((Table110[[#This Row],[Plan]]/Table110[[#This Row],[Hours Used]])/(Table110[[#This Row],[SOC (TPD)]]/24),"")</f>
        <v>0.48245614035087719</v>
      </c>
      <c r="I189" s="27">
        <f ca="1">IFERROR((Table110[[#This Row],[Volume Delivered (T)]]/Table110[[#This Row],[Hours Used]])/(Table110[[#This Row],[SOC (TPD)]]/24),"")</f>
        <v>0.47660818713450293</v>
      </c>
      <c r="J189" s="28"/>
      <c r="K189" s="28"/>
      <c r="L189" s="28"/>
      <c r="M189" s="25">
        <f>(VLOOKUP(Table110[[#This Row],[Date]],'Coated Rework Data'!$A:$F,5)/1000)</f>
        <v>1.133</v>
      </c>
      <c r="N189" s="29">
        <v>3.7999999999999999E-2</v>
      </c>
      <c r="O189" s="84"/>
      <c r="P189" s="25"/>
      <c r="Q189" s="25"/>
      <c r="R189" s="70"/>
      <c r="S189" s="71"/>
      <c r="T189" s="30">
        <f>IF(Table110[[#This Row],[SKU]]="",0,24-Table110[[#This Row],[Legal Non-Operating Time]]-Table110[[#This Row],[No Demand Time]]-Table110[[#This Row],[Force Majeure]])</f>
        <v>24</v>
      </c>
      <c r="U189" s="26"/>
      <c r="V189" s="26"/>
      <c r="W189" s="26">
        <v>12</v>
      </c>
      <c r="X189" s="26"/>
      <c r="Y189" s="26"/>
      <c r="Z189" s="26"/>
      <c r="AA189" s="26"/>
      <c r="AB189" s="30">
        <f>Table110[[#This Row],[Hours Used]]-SUM(Table110[[#This Row],[Planned Maintenance]:[Start and Finish Production]])</f>
        <v>12</v>
      </c>
      <c r="AC189" s="26"/>
      <c r="AD189" s="26">
        <v>1</v>
      </c>
      <c r="AE189" s="26">
        <v>1</v>
      </c>
      <c r="AF189" s="26"/>
      <c r="AG189" s="26"/>
      <c r="AH189" s="26"/>
      <c r="AI189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-0.7445614035087722</v>
      </c>
      <c r="AJ189" s="24">
        <f ca="1">IFERROR(IF(Table110[[#This Row],[SKU]]="",0,Table110[[#This Row],[Quality Loss (T)]]/(Table110[[#This Row],[SOC (TPD)]]/24)),"")</f>
        <v>0.79508771929824562</v>
      </c>
      <c r="AK189" s="31">
        <f ca="1">IFERROR(IF(Table110[[#This Row],[SKU]]="",0,Table110[[#This Row],[Volume Delivered (T)]]/(Table110[[#This Row],[SOC (TPD)]]/24)),"")</f>
        <v>11.43859649122807</v>
      </c>
      <c r="AL189" s="31">
        <f ca="1">IFERROR(Table110[[#This Row],[Operating Time]]/Table110[[#This Row],[PRODUCTION HOURS]],"")</f>
        <v>0.95321637426900585</v>
      </c>
      <c r="AM189" s="32">
        <v>86</v>
      </c>
      <c r="AN189" s="32" t="s">
        <v>107</v>
      </c>
      <c r="AO189" s="32" t="s">
        <v>107</v>
      </c>
      <c r="AP189" s="32">
        <v>0</v>
      </c>
      <c r="AQ189" s="32">
        <v>0</v>
      </c>
      <c r="AR189" s="32"/>
      <c r="AS189" s="32" t="str">
        <f>IFERROR(SUMIFS(#REF!,#REF!,'Shift Wise-Data Sheet'!A:A,#REF!,"Samridhi Perk Line")/SUMIFS(#REF!,#REF!,'Shift Wise-Data Sheet'!A:A,#REF!,"Samridhi Perk Line"),"")</f>
        <v/>
      </c>
      <c r="AT189" s="32"/>
      <c r="AU189" s="32"/>
      <c r="AV189" s="211">
        <f>IFERROR(VLOOKUP(Table110[[#This Row],[Date]],'Overweight Data'!A187:G1282,6,FALSE),"")</f>
        <v>3.3936464088397782E-2</v>
      </c>
      <c r="AW189" s="221">
        <f ca="1">IFERROR(
   IF(
      OR(Table110[[#This Row],[Operating Time]]=0, (Table110[[#This Row],[Operating Time]]/IF(AD189&lt;=1,AD189+1,AD189))*60=0),
      1,
      ((Table110[[#This Row],[Operating Time]])/IF(AD189&lt;=1,AD189+1,AD189))*60
   ),
"_")</f>
        <v>343.15789473684208</v>
      </c>
      <c r="AX189" s="221">
        <f>COUNTIFS('Downtime Data'!A:A,Table110[[#This Row],[Date]])</f>
        <v>3</v>
      </c>
      <c r="AY189" s="219">
        <f>IFERROR((SUM(Table110[[#This Row],[Minor Stoppages]:[Material Shortages]])/Table110[[#This Row],['# Stops]])*60,"")</f>
        <v>40</v>
      </c>
      <c r="AZ189" s="219"/>
      <c r="BA189" s="33">
        <v>46229</v>
      </c>
    </row>
    <row r="190" spans="1:53" ht="20.149999999999999" customHeight="1" x14ac:dyDescent="0.35">
      <c r="A190" s="21">
        <v>46207</v>
      </c>
      <c r="B190" s="22" t="str">
        <f t="shared" si="3"/>
        <v>Saturday</v>
      </c>
      <c r="C190" s="22"/>
      <c r="D190" s="23" t="s">
        <v>108</v>
      </c>
      <c r="E190" s="24" cm="1">
        <f t="array" aca="1" ref="E190" ca="1">IFERROR(INDIRECT(D190),"")</f>
        <v>34.200000000000003</v>
      </c>
      <c r="F190" s="25">
        <v>28</v>
      </c>
      <c r="G190" s="26">
        <v>16.39</v>
      </c>
      <c r="H190" s="27">
        <f ca="1">IFERROR((Table110[[#This Row],[Plan]]/Table110[[#This Row],[Hours Used]])/(Table110[[#This Row],[SOC (TPD)]]/24),"")</f>
        <v>0.81871345029239773</v>
      </c>
      <c r="I190" s="27">
        <f ca="1">IFERROR((Table110[[#This Row],[Volume Delivered (T)]]/Table110[[#This Row],[Hours Used]])/(Table110[[#This Row],[SOC (TPD)]]/24),"")</f>
        <v>0.47923976608187135</v>
      </c>
      <c r="J190" s="28"/>
      <c r="K190" s="28"/>
      <c r="L190" s="28"/>
      <c r="M190" s="25">
        <f>(VLOOKUP(Table110[[#This Row],[Date]],'Coated Rework Data'!$A:$F,5)/1000)</f>
        <v>1.2509999999999999</v>
      </c>
      <c r="N190" s="29">
        <v>4.2000000000000003E-2</v>
      </c>
      <c r="O190" s="84"/>
      <c r="P190" s="25"/>
      <c r="Q190" s="25"/>
      <c r="R190" s="70"/>
      <c r="S190" s="71"/>
      <c r="T190" s="30">
        <f>IF(Table110[[#This Row],[SKU]]="",0,24-Table110[[#This Row],[Legal Non-Operating Time]]-Table110[[#This Row],[No Demand Time]]-Table110[[#This Row],[Force Majeure]])</f>
        <v>24</v>
      </c>
      <c r="U190" s="26"/>
      <c r="V190" s="26"/>
      <c r="W190" s="26"/>
      <c r="X190" s="26"/>
      <c r="Y190" s="26"/>
      <c r="Z190" s="26"/>
      <c r="AA190" s="26"/>
      <c r="AB190" s="30">
        <f>Table110[[#This Row],[Hours Used]]-SUM(Table110[[#This Row],[Planned Maintenance]:[Start and Finish Production]])</f>
        <v>24</v>
      </c>
      <c r="AC190" s="26"/>
      <c r="AD190" s="26">
        <v>9</v>
      </c>
      <c r="AE190" s="26"/>
      <c r="AF190" s="26"/>
      <c r="AG190" s="26"/>
      <c r="AH190" s="26"/>
      <c r="AI190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0.87345029239766114</v>
      </c>
      <c r="AJ190" s="24">
        <f ca="1">IFERROR(IF(Table110[[#This Row],[SKU]]="",0,Table110[[#This Row],[Quality Loss (T)]]/(Table110[[#This Row],[SOC (TPD)]]/24)),"")</f>
        <v>0.87789473684210517</v>
      </c>
      <c r="AK190" s="31">
        <f ca="1">IFERROR(IF(Table110[[#This Row],[SKU]]="",0,Table110[[#This Row],[Volume Delivered (T)]]/(Table110[[#This Row],[SOC (TPD)]]/24)),"")</f>
        <v>11.501754385964912</v>
      </c>
      <c r="AL190" s="31">
        <f ca="1">IFERROR(Table110[[#This Row],[Operating Time]]/Table110[[#This Row],[PRODUCTION HOURS]],"")</f>
        <v>0.4792397660818713</v>
      </c>
      <c r="AM190" s="32">
        <v>94</v>
      </c>
      <c r="AN190" s="32" t="s">
        <v>107</v>
      </c>
      <c r="AO190" s="32" t="s">
        <v>107</v>
      </c>
      <c r="AP190" s="32">
        <v>0</v>
      </c>
      <c r="AQ190" s="32">
        <v>0</v>
      </c>
      <c r="AR190" s="32"/>
      <c r="AS190" s="32" t="str">
        <f>IFERROR(SUMIFS(#REF!,#REF!,'Shift Wise-Data Sheet'!A:A,#REF!,"Samridhi Perk Line")/SUMIFS(#REF!,#REF!,'Shift Wise-Data Sheet'!A:A,#REF!,"Samridhi Perk Line"),"")</f>
        <v/>
      </c>
      <c r="AT190" s="32"/>
      <c r="AU190" s="32"/>
      <c r="AV190" s="211">
        <f>IFERROR(VLOOKUP(Table110[[#This Row],[Date]],'Overweight Data'!A188:G1283,6,FALSE),"")</f>
        <v>5.3245856353591095E-2</v>
      </c>
      <c r="AW190" s="221">
        <f ca="1">IFERROR(
   IF(
      OR(Table110[[#This Row],[Operating Time]]=0, (Table110[[#This Row],[Operating Time]]/IF(AD190&lt;=1,AD190+1,AD190))*60=0),
      1,
      ((Table110[[#This Row],[Operating Time]])/IF(AD190&lt;=1,AD190+1,AD190))*60
   ),
"_")</f>
        <v>76.678362573099406</v>
      </c>
      <c r="AX190" s="221">
        <f>COUNTIFS('Downtime Data'!A:A,Table110[[#This Row],[Date]])</f>
        <v>3</v>
      </c>
      <c r="AY190" s="219">
        <f>IFERROR((SUM(Table110[[#This Row],[Minor Stoppages]:[Material Shortages]])/Table110[[#This Row],['# Stops]])*60,"")</f>
        <v>180</v>
      </c>
      <c r="AZ190" s="219"/>
      <c r="BA190" s="33">
        <v>46229</v>
      </c>
    </row>
    <row r="191" spans="1:53" ht="20.149999999999999" customHeight="1" x14ac:dyDescent="0.35">
      <c r="A191" s="21">
        <v>46208</v>
      </c>
      <c r="B191" s="22" t="str">
        <f t="shared" si="3"/>
        <v>Sunday</v>
      </c>
      <c r="C191" s="22"/>
      <c r="D191" s="23" t="s">
        <v>108</v>
      </c>
      <c r="E191" s="24" cm="1">
        <f t="array" aca="1" ref="E191" ca="1">IFERROR(INDIRECT(D191),"")</f>
        <v>34.200000000000003</v>
      </c>
      <c r="F191" s="25">
        <v>28</v>
      </c>
      <c r="G191" s="26">
        <f>15.1+4.7</f>
        <v>19.8</v>
      </c>
      <c r="H191" s="27">
        <f ca="1">IFERROR((Table110[[#This Row],[Plan]]/Table110[[#This Row],[Hours Used]])/(Table110[[#This Row],[SOC (TPD)]]/24),"")</f>
        <v>0.81871345029239773</v>
      </c>
      <c r="I191" s="27">
        <f ca="1">IFERROR((Table110[[#This Row],[Volume Delivered (T)]]/Table110[[#This Row],[Hours Used]])/(Table110[[#This Row],[SOC (TPD)]]/24),"")</f>
        <v>0.57894736842105265</v>
      </c>
      <c r="J191" s="28"/>
      <c r="K191" s="28"/>
      <c r="L191" s="28"/>
      <c r="M191" s="25">
        <f>(VLOOKUP(Table110[[#This Row],[Date]],'Coated Rework Data'!$A:$F,5)/1000)</f>
        <v>1.274</v>
      </c>
      <c r="N191" s="29">
        <v>4.2000000000000003E-2</v>
      </c>
      <c r="O191" s="84"/>
      <c r="P191" s="25"/>
      <c r="Q191" s="25"/>
      <c r="R191" s="70"/>
      <c r="S191" s="71"/>
      <c r="T191" s="30">
        <f>IF(Table110[[#This Row],[SKU]]="",0,24-Table110[[#This Row],[Legal Non-Operating Time]]-Table110[[#This Row],[No Demand Time]]-Table110[[#This Row],[Force Majeure]])</f>
        <v>24</v>
      </c>
      <c r="U191" s="26"/>
      <c r="V191" s="26"/>
      <c r="W191" s="26"/>
      <c r="X191" s="26"/>
      <c r="Y191" s="26"/>
      <c r="Z191" s="26"/>
      <c r="AA191" s="26"/>
      <c r="AB191" s="30">
        <f>Table110[[#This Row],[Hours Used]]-SUM(Table110[[#This Row],[Planned Maintenance]:[Start and Finish Production]])</f>
        <v>24</v>
      </c>
      <c r="AC191" s="26"/>
      <c r="AD191" s="26">
        <v>9</v>
      </c>
      <c r="AE191" s="26"/>
      <c r="AF191" s="26"/>
      <c r="AG191" s="26"/>
      <c r="AH191" s="26"/>
      <c r="AI191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7.0409356725145741E-2</v>
      </c>
      <c r="AJ191" s="24">
        <f ca="1">IFERROR(IF(Table110[[#This Row],[SKU]]="",0,Table110[[#This Row],[Quality Loss (T)]]/(Table110[[#This Row],[SOC (TPD)]]/24)),"")</f>
        <v>0.89403508771929818</v>
      </c>
      <c r="AK191" s="31">
        <f ca="1">IFERROR(IF(Table110[[#This Row],[SKU]]="",0,Table110[[#This Row],[Volume Delivered (T)]]/(Table110[[#This Row],[SOC (TPD)]]/24)),"")</f>
        <v>13.894736842105264</v>
      </c>
      <c r="AL191" s="31">
        <f ca="1">IFERROR(Table110[[#This Row],[Operating Time]]/Table110[[#This Row],[PRODUCTION HOURS]],"")</f>
        <v>0.57894736842105265</v>
      </c>
      <c r="AM191" s="32">
        <v>86</v>
      </c>
      <c r="AN191" s="32" t="s">
        <v>107</v>
      </c>
      <c r="AO191" s="32" t="s">
        <v>107</v>
      </c>
      <c r="AP191" s="32">
        <v>60</v>
      </c>
      <c r="AQ191" s="32">
        <v>58</v>
      </c>
      <c r="AR191" s="32"/>
      <c r="AS191" s="32" t="str">
        <f>IFERROR(SUMIFS(#REF!,#REF!,'Shift Wise-Data Sheet'!A:A,#REF!,"Samridhi Perk Line")/SUMIFS(#REF!,#REF!,'Shift Wise-Data Sheet'!A:A,#REF!,"Samridhi Perk Line"),"")</f>
        <v/>
      </c>
      <c r="AT191" s="32"/>
      <c r="AU191" s="32"/>
      <c r="AV191" s="211">
        <f>IFERROR(VLOOKUP(Table110[[#This Row],[Date]],'Overweight Data'!A189:G1284,6,FALSE),"")</f>
        <v>3.1556169429097641E-2</v>
      </c>
      <c r="AW191" s="221">
        <f ca="1">IFERROR(
   IF(
      OR(Table110[[#This Row],[Operating Time]]=0, (Table110[[#This Row],[Operating Time]]/IF(AD191&lt;=1,AD191+1,AD191))*60=0),
      1,
      ((Table110[[#This Row],[Operating Time]])/IF(AD191&lt;=1,AD191+1,AD191))*60
   ),
"_")</f>
        <v>92.631578947368425</v>
      </c>
      <c r="AX191" s="221">
        <f>COUNTIFS('Downtime Data'!A:A,Table110[[#This Row],[Date]])</f>
        <v>1</v>
      </c>
      <c r="AY191" s="219">
        <f>IFERROR((SUM(Table110[[#This Row],[Minor Stoppages]:[Material Shortages]])/Table110[[#This Row],['# Stops]])*60,"")</f>
        <v>540</v>
      </c>
      <c r="AZ191" s="219"/>
      <c r="BA191" s="33">
        <v>46229</v>
      </c>
    </row>
    <row r="192" spans="1:53" ht="20.149999999999999" customHeight="1" x14ac:dyDescent="0.35">
      <c r="A192" s="21">
        <v>46209</v>
      </c>
      <c r="B192" s="22" t="str">
        <f t="shared" si="3"/>
        <v>Monday</v>
      </c>
      <c r="C192" s="22"/>
      <c r="D192" s="23" t="s">
        <v>108</v>
      </c>
      <c r="E192" s="24" cm="1">
        <f t="array" aca="1" ref="E192" ca="1">IFERROR(INDIRECT(D192),"")</f>
        <v>34.200000000000003</v>
      </c>
      <c r="F192" s="25">
        <v>26.5</v>
      </c>
      <c r="G192" s="26">
        <f>22.8+5.4</f>
        <v>28.200000000000003</v>
      </c>
      <c r="H192" s="27">
        <f ca="1">IFERROR((Table110[[#This Row],[Plan]]/Table110[[#This Row],[Hours Used]])/(Table110[[#This Row],[SOC (TPD)]]/24),"")</f>
        <v>0.77485380116959068</v>
      </c>
      <c r="I192" s="27">
        <f ca="1">IFERROR((Table110[[#This Row],[Volume Delivered (T)]]/Table110[[#This Row],[Hours Used]])/(Table110[[#This Row],[SOC (TPD)]]/24),"")</f>
        <v>0.82456140350877194</v>
      </c>
      <c r="J192" s="28"/>
      <c r="K192" s="28"/>
      <c r="L192" s="28"/>
      <c r="M192" s="25">
        <f>(VLOOKUP(Table110[[#This Row],[Date]],'Coated Rework Data'!$A:$F,5)/1000)</f>
        <v>1.6739999999999999</v>
      </c>
      <c r="N192" s="29">
        <v>4.2000000000000003E-2</v>
      </c>
      <c r="O192" s="84"/>
      <c r="P192" s="25"/>
      <c r="Q192" s="25"/>
      <c r="R192" s="70"/>
      <c r="S192" s="71"/>
      <c r="T192" s="30">
        <f>IF(Table110[[#This Row],[SKU]]="",0,24-Table110[[#This Row],[Legal Non-Operating Time]]-Table110[[#This Row],[No Demand Time]]-Table110[[#This Row],[Force Majeure]])</f>
        <v>24</v>
      </c>
      <c r="U192" s="26">
        <v>1</v>
      </c>
      <c r="V192" s="26"/>
      <c r="W192" s="26"/>
      <c r="X192" s="26"/>
      <c r="Y192" s="26"/>
      <c r="Z192" s="26"/>
      <c r="AA192" s="26"/>
      <c r="AB192" s="30">
        <f>Table110[[#This Row],[Hours Used]]-SUM(Table110[[#This Row],[Planned Maintenance]:[Start and Finish Production]])</f>
        <v>23</v>
      </c>
      <c r="AC192" s="26"/>
      <c r="AD192" s="26"/>
      <c r="AE192" s="26">
        <v>1.5</v>
      </c>
      <c r="AF192" s="26"/>
      <c r="AG192" s="26"/>
      <c r="AH192" s="26"/>
      <c r="AI192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0.17859649122807042</v>
      </c>
      <c r="AJ192" s="24">
        <f ca="1">IFERROR(IF(Table110[[#This Row],[SKU]]="",0,Table110[[#This Row],[Quality Loss (T)]]/(Table110[[#This Row],[SOC (TPD)]]/24)),"")</f>
        <v>1.1747368421052631</v>
      </c>
      <c r="AK192" s="31">
        <f ca="1">IFERROR(IF(Table110[[#This Row],[SKU]]="",0,Table110[[#This Row],[Volume Delivered (T)]]/(Table110[[#This Row],[SOC (TPD)]]/24)),"")</f>
        <v>19.789473684210527</v>
      </c>
      <c r="AL192" s="31">
        <f ca="1">IFERROR(Table110[[#This Row],[Operating Time]]/Table110[[#This Row],[PRODUCTION HOURS]],"")</f>
        <v>0.86041189931350115</v>
      </c>
      <c r="AM192" s="32">
        <v>84</v>
      </c>
      <c r="AN192" s="32" t="s">
        <v>107</v>
      </c>
      <c r="AO192" s="32" t="s">
        <v>107</v>
      </c>
      <c r="AP192" s="32">
        <v>0</v>
      </c>
      <c r="AQ192" s="32">
        <v>0</v>
      </c>
      <c r="AR192" s="32"/>
      <c r="AS192" s="32" t="str">
        <f>IFERROR(SUMIFS(#REF!,#REF!,'Shift Wise-Data Sheet'!A:A,#REF!,"Samridhi Perk Line")/SUMIFS(#REF!,#REF!,'Shift Wise-Data Sheet'!A:A,#REF!,"Samridhi Perk Line"),"")</f>
        <v/>
      </c>
      <c r="AT192" s="32"/>
      <c r="AU192" s="32"/>
      <c r="AV192" s="211">
        <f>IFERROR(VLOOKUP(Table110[[#This Row],[Date]],'Overweight Data'!A190:G1285,6,FALSE),"")</f>
        <v>2.4465930018416199E-2</v>
      </c>
      <c r="AW192" s="221">
        <f ca="1">IFERROR(
   IF(
      OR(Table110[[#This Row],[Operating Time]]=0, (Table110[[#This Row],[Operating Time]]/IF(AD192&lt;=1,AD192+1,AD192))*60=0),
      1,
      ((Table110[[#This Row],[Operating Time]])/IF(AD192&lt;=1,AD192+1,AD192))*60
   ),
"_")</f>
        <v>1187.3684210526317</v>
      </c>
      <c r="AX192" s="221">
        <f>COUNTIFS('Downtime Data'!A:A,Table110[[#This Row],[Date]])</f>
        <v>2</v>
      </c>
      <c r="AY192" s="219">
        <f>IFERROR((SUM(Table110[[#This Row],[Minor Stoppages]:[Material Shortages]])/Table110[[#This Row],['# Stops]])*60,"")</f>
        <v>45</v>
      </c>
      <c r="AZ192" s="219"/>
      <c r="BA192" s="33">
        <v>46229</v>
      </c>
    </row>
    <row r="193" spans="1:53" ht="20.149999999999999" customHeight="1" x14ac:dyDescent="0.35">
      <c r="A193" s="21">
        <v>46210</v>
      </c>
      <c r="B193" s="22" t="str">
        <f t="shared" si="3"/>
        <v>Tuesday</v>
      </c>
      <c r="C193" s="22"/>
      <c r="D193" s="23" t="s">
        <v>108</v>
      </c>
      <c r="E193" s="24" cm="1">
        <f t="array" aca="1" ref="E193" ca="1">IFERROR(INDIRECT(D193),"")</f>
        <v>34.200000000000003</v>
      </c>
      <c r="F193" s="25">
        <v>28.5</v>
      </c>
      <c r="G193" s="26">
        <v>25.5</v>
      </c>
      <c r="H193" s="27">
        <f ca="1">IFERROR((Table110[[#This Row],[Plan]]/Table110[[#This Row],[Hours Used]])/(Table110[[#This Row],[SOC (TPD)]]/24),"")</f>
        <v>0.83333333333333326</v>
      </c>
      <c r="I193" s="27">
        <f ca="1">IFERROR((Table110[[#This Row],[Volume Delivered (T)]]/Table110[[#This Row],[Hours Used]])/(Table110[[#This Row],[SOC (TPD)]]/24),"")</f>
        <v>0.74561403508771928</v>
      </c>
      <c r="J193" s="28"/>
      <c r="K193" s="28"/>
      <c r="L193" s="28"/>
      <c r="M193" s="25">
        <f>(VLOOKUP(Table110[[#This Row],[Date]],'Coated Rework Data'!$A:$F,5)/1000)</f>
        <v>1.385</v>
      </c>
      <c r="N193" s="29">
        <v>5.7000000000000002E-2</v>
      </c>
      <c r="O193" s="84"/>
      <c r="P193" s="25"/>
      <c r="Q193" s="25"/>
      <c r="R193" s="70"/>
      <c r="S193" s="71"/>
      <c r="T193" s="30">
        <f>IF(Table110[[#This Row],[SKU]]="",0,24-Table110[[#This Row],[Legal Non-Operating Time]]-Table110[[#This Row],[No Demand Time]]-Table110[[#This Row],[Force Majeure]])</f>
        <v>24</v>
      </c>
      <c r="U193" s="26"/>
      <c r="V193" s="26">
        <v>1</v>
      </c>
      <c r="W193" s="26"/>
      <c r="X193" s="26"/>
      <c r="Y193" s="26"/>
      <c r="Z193" s="26"/>
      <c r="AA193" s="26"/>
      <c r="AB193" s="30">
        <f>Table110[[#This Row],[Hours Used]]-SUM(Table110[[#This Row],[Planned Maintenance]:[Start and Finish Production]])</f>
        <v>23</v>
      </c>
      <c r="AC193" s="26"/>
      <c r="AD193" s="26">
        <v>4</v>
      </c>
      <c r="AE193" s="26"/>
      <c r="AF193" s="26"/>
      <c r="AG193" s="26"/>
      <c r="AH193" s="26"/>
      <c r="AI193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4.4444444444444287E-2</v>
      </c>
      <c r="AJ193" s="24">
        <f ca="1">IFERROR(IF(Table110[[#This Row],[SKU]]="",0,Table110[[#This Row],[Quality Loss (T)]]/(Table110[[#This Row],[SOC (TPD)]]/24)),"")</f>
        <v>0.97192982456140353</v>
      </c>
      <c r="AK193" s="31">
        <f ca="1">IFERROR(IF(Table110[[#This Row],[SKU]]="",0,Table110[[#This Row],[Volume Delivered (T)]]/(Table110[[#This Row],[SOC (TPD)]]/24)),"")</f>
        <v>17.894736842105264</v>
      </c>
      <c r="AL193" s="31">
        <f ca="1">IFERROR(Table110[[#This Row],[Operating Time]]/Table110[[#This Row],[PRODUCTION HOURS]],"")</f>
        <v>0.77803203661327236</v>
      </c>
      <c r="AM193" s="32">
        <v>88</v>
      </c>
      <c r="AN193" s="32" t="s">
        <v>107</v>
      </c>
      <c r="AO193" s="32" t="s">
        <v>107</v>
      </c>
      <c r="AP193" s="32">
        <v>0</v>
      </c>
      <c r="AQ193" s="32">
        <v>0</v>
      </c>
      <c r="AR193" s="32"/>
      <c r="AS193" s="32" t="str">
        <f>IFERROR(SUMIFS(#REF!,#REF!,'Shift Wise-Data Sheet'!A:A,#REF!,"Samridhi Perk Line")/SUMIFS(#REF!,#REF!,'Shift Wise-Data Sheet'!A:A,#REF!,"Samridhi Perk Line"),"")</f>
        <v/>
      </c>
      <c r="AT193" s="32"/>
      <c r="AU193" s="32"/>
      <c r="AV193" s="211">
        <f>IFERROR(VLOOKUP(Table110[[#This Row],[Date]],'Overweight Data'!A191:G1286,6,FALSE),"")</f>
        <v>2.2513812154696122E-2</v>
      </c>
      <c r="AW193" s="221">
        <f ca="1">IFERROR(
   IF(
      OR(Table110[[#This Row],[Operating Time]]=0, (Table110[[#This Row],[Operating Time]]/IF(AD193&lt;=1,AD193+1,AD193))*60=0),
      1,
      ((Table110[[#This Row],[Operating Time]])/IF(AD193&lt;=1,AD193+1,AD193))*60
   ),
"_")</f>
        <v>268.42105263157896</v>
      </c>
      <c r="AX193" s="221">
        <f>COUNTIFS('Downtime Data'!A:A,Table110[[#This Row],[Date]])</f>
        <v>1</v>
      </c>
      <c r="AY193" s="219">
        <f>IFERROR((SUM(Table110[[#This Row],[Minor Stoppages]:[Material Shortages]])/Table110[[#This Row],['# Stops]])*60,"")</f>
        <v>240</v>
      </c>
      <c r="AZ193" s="219"/>
      <c r="BA193" s="33">
        <v>46229</v>
      </c>
    </row>
    <row r="194" spans="1:53" ht="20.149999999999999" customHeight="1" x14ac:dyDescent="0.35">
      <c r="A194" s="21">
        <v>46211</v>
      </c>
      <c r="B194" s="22" t="str">
        <f t="shared" si="3"/>
        <v>Wednesday</v>
      </c>
      <c r="C194" s="22"/>
      <c r="D194" s="23" t="s">
        <v>108</v>
      </c>
      <c r="E194" s="24" cm="1">
        <f t="array" aca="1" ref="E194" ca="1">IFERROR(INDIRECT(D194),"")</f>
        <v>34.200000000000003</v>
      </c>
      <c r="F194" s="25">
        <v>28.5</v>
      </c>
      <c r="G194" s="26">
        <v>20</v>
      </c>
      <c r="H194" s="27">
        <f ca="1">IFERROR((Table110[[#This Row],[Plan]]/Table110[[#This Row],[Hours Used]])/(Table110[[#This Row],[SOC (TPD)]]/24),"")</f>
        <v>0.83333333333333326</v>
      </c>
      <c r="I194" s="27">
        <f ca="1">IFERROR((Table110[[#This Row],[Volume Delivered (T)]]/Table110[[#This Row],[Hours Used]])/(Table110[[#This Row],[SOC (TPD)]]/24),"")</f>
        <v>0.58479532163742687</v>
      </c>
      <c r="J194" s="28"/>
      <c r="K194" s="28"/>
      <c r="L194" s="28"/>
      <c r="M194" s="25">
        <f>(VLOOKUP(Table110[[#This Row],[Date]],'Coated Rework Data'!$A:$F,5)/1000)</f>
        <v>1.02</v>
      </c>
      <c r="N194" s="29">
        <v>5.7000000000000002E-2</v>
      </c>
      <c r="O194" s="84"/>
      <c r="P194" s="25"/>
      <c r="Q194" s="25"/>
      <c r="R194" s="70"/>
      <c r="S194" s="71"/>
      <c r="T194" s="30">
        <f>IF(Table110[[#This Row],[SKU]]="",0,24-Table110[[#This Row],[Legal Non-Operating Time]]-Table110[[#This Row],[No Demand Time]]-Table110[[#This Row],[Force Majeure]])</f>
        <v>24</v>
      </c>
      <c r="U194" s="26"/>
      <c r="V194" s="26">
        <v>1</v>
      </c>
      <c r="W194" s="26"/>
      <c r="X194" s="26"/>
      <c r="Y194" s="26"/>
      <c r="Z194" s="26"/>
      <c r="AA194" s="26"/>
      <c r="AB194" s="30">
        <f>Table110[[#This Row],[Hours Used]]-SUM(Table110[[#This Row],[Planned Maintenance]:[Start and Finish Production]])</f>
        <v>23</v>
      </c>
      <c r="AC194" s="26"/>
      <c r="AD194" s="26">
        <v>7.9</v>
      </c>
      <c r="AE194" s="26"/>
      <c r="AF194" s="26"/>
      <c r="AG194" s="26"/>
      <c r="AH194" s="26"/>
      <c r="AI194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0.11637426900584795</v>
      </c>
      <c r="AJ194" s="24">
        <f ca="1">IFERROR(IF(Table110[[#This Row],[SKU]]="",0,Table110[[#This Row],[Quality Loss (T)]]/(Table110[[#This Row],[SOC (TPD)]]/24)),"")</f>
        <v>0.71578947368421053</v>
      </c>
      <c r="AK194" s="31">
        <f ca="1">IFERROR(IF(Table110[[#This Row],[SKU]]="",0,Table110[[#This Row],[Volume Delivered (T)]]/(Table110[[#This Row],[SOC (TPD)]]/24)),"")</f>
        <v>14.035087719298245</v>
      </c>
      <c r="AL194" s="31">
        <f ca="1">IFERROR(Table110[[#This Row],[Operating Time]]/Table110[[#This Row],[PRODUCTION HOURS]],"")</f>
        <v>0.61022120518688017</v>
      </c>
      <c r="AM194" s="32">
        <v>98</v>
      </c>
      <c r="AN194" s="32" t="s">
        <v>107</v>
      </c>
      <c r="AO194" s="32" t="s">
        <v>107</v>
      </c>
      <c r="AP194" s="32">
        <v>0</v>
      </c>
      <c r="AQ194" s="32">
        <v>0</v>
      </c>
      <c r="AR194" s="32"/>
      <c r="AS194" s="32" t="str">
        <f>IFERROR(SUMIFS(#REF!,#REF!,'Shift Wise-Data Sheet'!A:A,#REF!,"Samridhi Perk Line")/SUMIFS(#REF!,#REF!,'Shift Wise-Data Sheet'!A:A,#REF!,"Samridhi Perk Line"),"")</f>
        <v/>
      </c>
      <c r="AT194" s="32"/>
      <c r="AU194" s="32"/>
      <c r="AV194" s="211">
        <f>IFERROR(VLOOKUP(Table110[[#This Row],[Date]],'Overweight Data'!A192:G1287,6,FALSE),"")</f>
        <v>3.2891344383057117E-2</v>
      </c>
      <c r="AW194" s="221">
        <f ca="1">IFERROR(
   IF(
      OR(Table110[[#This Row],[Operating Time]]=0, (Table110[[#This Row],[Operating Time]]/IF(AD194&lt;=1,AD194+1,AD194))*60=0),
      1,
      ((Table110[[#This Row],[Operating Time]])/IF(AD194&lt;=1,AD194+1,AD194))*60
   ),
"_")</f>
        <v>106.59560293137906</v>
      </c>
      <c r="AX194" s="221">
        <f>COUNTIFS('Downtime Data'!A:A,Table110[[#This Row],[Date]])</f>
        <v>1</v>
      </c>
      <c r="AY194" s="219">
        <f>IFERROR((SUM(Table110[[#This Row],[Minor Stoppages]:[Material Shortages]])/Table110[[#This Row],['# Stops]])*60,"")</f>
        <v>474</v>
      </c>
      <c r="AZ194" s="219"/>
      <c r="BA194" s="33">
        <v>46229</v>
      </c>
    </row>
    <row r="195" spans="1:53" ht="20.149999999999999" customHeight="1" x14ac:dyDescent="0.35">
      <c r="A195" s="21">
        <v>46212</v>
      </c>
      <c r="B195" s="22" t="str">
        <f t="shared" si="3"/>
        <v>Thursday</v>
      </c>
      <c r="C195" s="22"/>
      <c r="D195" s="23" t="s">
        <v>108</v>
      </c>
      <c r="E195" s="24" cm="1">
        <f t="array" aca="1" ref="E195" ca="1">IFERROR(INDIRECT(D195),"")</f>
        <v>34.200000000000003</v>
      </c>
      <c r="F195" s="25">
        <v>28.5</v>
      </c>
      <c r="G195" s="26">
        <v>26.6</v>
      </c>
      <c r="H195" s="27">
        <f ca="1">IFERROR((Table110[[#This Row],[Plan]]/Table110[[#This Row],[Hours Used]])/(Table110[[#This Row],[SOC (TPD)]]/24),"")</f>
        <v>0.83333333333333326</v>
      </c>
      <c r="I195" s="27">
        <f ca="1">IFERROR((Table110[[#This Row],[Volume Delivered (T)]]/Table110[[#This Row],[Hours Used]])/(Table110[[#This Row],[SOC (TPD)]]/24),"")</f>
        <v>0.77777777777777779</v>
      </c>
      <c r="J195" s="28"/>
      <c r="K195" s="28"/>
      <c r="L195" s="28"/>
      <c r="M195" s="25">
        <f>(VLOOKUP(Table110[[#This Row],[Date]],'Coated Rework Data'!$A:$F,5)/1000)</f>
        <v>1.8520000000000001</v>
      </c>
      <c r="N195" s="29">
        <v>5.7000000000000002E-2</v>
      </c>
      <c r="O195" s="84"/>
      <c r="P195" s="25"/>
      <c r="Q195" s="25"/>
      <c r="R195" s="70"/>
      <c r="S195" s="71"/>
      <c r="T195" s="30">
        <f>IF(Table110[[#This Row],[SKU]]="",0,24-Table110[[#This Row],[Legal Non-Operating Time]]-Table110[[#This Row],[No Demand Time]]-Table110[[#This Row],[Force Majeure]])</f>
        <v>24</v>
      </c>
      <c r="U195" s="26"/>
      <c r="V195" s="26"/>
      <c r="W195" s="26"/>
      <c r="X195" s="26"/>
      <c r="Y195" s="26"/>
      <c r="Z195" s="26"/>
      <c r="AA195" s="26"/>
      <c r="AB195" s="30">
        <f>Table110[[#This Row],[Hours Used]]-SUM(Table110[[#This Row],[Planned Maintenance]:[Start and Finish Production]])</f>
        <v>24</v>
      </c>
      <c r="AC195" s="26"/>
      <c r="AD195" s="26"/>
      <c r="AE195" s="26"/>
      <c r="AF195" s="26"/>
      <c r="AG195" s="26"/>
      <c r="AH195" s="26"/>
      <c r="AI195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1.3445614035087712</v>
      </c>
      <c r="AJ195" s="24">
        <f ca="1">IFERROR(IF(Table110[[#This Row],[SKU]]="",0,Table110[[#This Row],[Quality Loss (T)]]/(Table110[[#This Row],[SOC (TPD)]]/24)),"")</f>
        <v>1.2996491228070175</v>
      </c>
      <c r="AK195" s="31">
        <f ca="1">IFERROR(IF(Table110[[#This Row],[SKU]]="",0,Table110[[#This Row],[Volume Delivered (T)]]/(Table110[[#This Row],[SOC (TPD)]]/24)),"")</f>
        <v>18.666666666666668</v>
      </c>
      <c r="AL195" s="31">
        <f ca="1">IFERROR(Table110[[#This Row],[Operating Time]]/Table110[[#This Row],[PRODUCTION HOURS]],"")</f>
        <v>0.77777777777777779</v>
      </c>
      <c r="AM195" s="32">
        <v>95</v>
      </c>
      <c r="AN195" s="32" t="s">
        <v>107</v>
      </c>
      <c r="AO195" s="32" t="s">
        <v>107</v>
      </c>
      <c r="AP195" s="32">
        <v>0</v>
      </c>
      <c r="AQ195" s="32">
        <v>0</v>
      </c>
      <c r="AR195" s="32"/>
      <c r="AS195" s="32" t="str">
        <f>IFERROR(SUMIFS(#REF!,#REF!,'Shift Wise-Data Sheet'!A:A,#REF!,"Samridhi Perk Line")/SUMIFS(#REF!,#REF!,'Shift Wise-Data Sheet'!A:A,#REF!,"Samridhi Perk Line"),"")</f>
        <v/>
      </c>
      <c r="AT195" s="32"/>
      <c r="AU195" s="32"/>
      <c r="AV195" s="211">
        <f>IFERROR(VLOOKUP(Table110[[#This Row],[Date]],'Overweight Data'!A193:G1288,6,FALSE),"")</f>
        <v>2.4023941068139997E-2</v>
      </c>
      <c r="AW195" s="221">
        <f ca="1">IFERROR(
   IF(
      OR(Table110[[#This Row],[Operating Time]]=0, (Table110[[#This Row],[Operating Time]]/IF(AD195&lt;=1,AD195+1,AD195))*60=0),
      1,
      ((Table110[[#This Row],[Operating Time]])/IF(AD195&lt;=1,AD195+1,AD195))*60
   ),
"_")</f>
        <v>1120</v>
      </c>
      <c r="AX195" s="221">
        <f>COUNTIFS('Downtime Data'!A:A,Table110[[#This Row],[Date]])</f>
        <v>0</v>
      </c>
      <c r="AY195" s="219" t="str">
        <f>IFERROR((SUM(Table110[[#This Row],[Minor Stoppages]:[Material Shortages]])/Table110[[#This Row],['# Stops]])*60,"")</f>
        <v/>
      </c>
      <c r="AZ195" s="219"/>
      <c r="BA195" s="33">
        <v>46229</v>
      </c>
    </row>
    <row r="196" spans="1:53" ht="20.149999999999999" customHeight="1" x14ac:dyDescent="0.35">
      <c r="A196" s="21">
        <v>46213</v>
      </c>
      <c r="B196" s="22" t="str">
        <f t="shared" si="3"/>
        <v>Friday</v>
      </c>
      <c r="C196" s="22"/>
      <c r="D196" s="23" t="s">
        <v>108</v>
      </c>
      <c r="E196" s="24" cm="1">
        <f t="array" aca="1" ref="E196" ca="1">IFERROR(INDIRECT(D196),"")</f>
        <v>34.200000000000003</v>
      </c>
      <c r="F196" s="25">
        <v>34.5</v>
      </c>
      <c r="G196" s="26">
        <v>19.5</v>
      </c>
      <c r="H196" s="27">
        <f ca="1">IFERROR((Table110[[#This Row],[Plan]]/Table110[[#This Row],[Hours Used]])/(Table110[[#This Row],[SOC (TPD)]]/24),"")</f>
        <v>1.0087719298245614</v>
      </c>
      <c r="I196" s="27">
        <f ca="1">IFERROR((Table110[[#This Row],[Volume Delivered (T)]]/Table110[[#This Row],[Hours Used]])/(Table110[[#This Row],[SOC (TPD)]]/24),"")</f>
        <v>0.57017543859649122</v>
      </c>
      <c r="J196" s="28"/>
      <c r="K196" s="28"/>
      <c r="L196" s="28"/>
      <c r="M196" s="25">
        <f>(VLOOKUP(Table110[[#This Row],[Date]],'Coated Rework Data'!$A:$F,5)/1000)</f>
        <v>0.81799999999999995</v>
      </c>
      <c r="N196" s="29">
        <v>5.7000000000000002E-2</v>
      </c>
      <c r="O196" s="84"/>
      <c r="P196" s="25"/>
      <c r="Q196" s="25"/>
      <c r="R196" s="70"/>
      <c r="S196" s="71"/>
      <c r="T196" s="30">
        <f>IF(Table110[[#This Row],[SKU]]="",0,24-Table110[[#This Row],[Legal Non-Operating Time]]-Table110[[#This Row],[No Demand Time]]-Table110[[#This Row],[Force Majeure]])</f>
        <v>24</v>
      </c>
      <c r="U196" s="26"/>
      <c r="V196" s="26">
        <v>0.55000000000000004</v>
      </c>
      <c r="W196" s="26"/>
      <c r="X196" s="26"/>
      <c r="Y196" s="26"/>
      <c r="Z196" s="26"/>
      <c r="AA196" s="26"/>
      <c r="AB196" s="30">
        <f>Table110[[#This Row],[Hours Used]]-SUM(Table110[[#This Row],[Planned Maintenance]:[Start and Finish Production]])</f>
        <v>23.45</v>
      </c>
      <c r="AC196" s="26"/>
      <c r="AD196" s="26">
        <v>10.5</v>
      </c>
      <c r="AE196" s="26"/>
      <c r="AF196" s="26"/>
      <c r="AG196" s="26"/>
      <c r="AH196" s="26"/>
      <c r="AI196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-0.43608187134502963</v>
      </c>
      <c r="AJ196" s="24">
        <f ca="1">IFERROR(IF(Table110[[#This Row],[SKU]]="",0,Table110[[#This Row],[Quality Loss (T)]]/(Table110[[#This Row],[SOC (TPD)]]/24)),"")</f>
        <v>0.57403508771929823</v>
      </c>
      <c r="AK196" s="31">
        <f ca="1">IFERROR(IF(Table110[[#This Row],[SKU]]="",0,Table110[[#This Row],[Volume Delivered (T)]]/(Table110[[#This Row],[SOC (TPD)]]/24)),"")</f>
        <v>13.684210526315789</v>
      </c>
      <c r="AL196" s="31">
        <f ca="1">IFERROR(Table110[[#This Row],[Operating Time]]/Table110[[#This Row],[PRODUCTION HOURS]],"")</f>
        <v>0.58354842329704859</v>
      </c>
      <c r="AM196" s="32">
        <v>88</v>
      </c>
      <c r="AN196" s="32" t="s">
        <v>107</v>
      </c>
      <c r="AO196" s="32" t="s">
        <v>107</v>
      </c>
      <c r="AP196" s="32">
        <v>2</v>
      </c>
      <c r="AQ196" s="32">
        <v>0</v>
      </c>
      <c r="AR196" s="32"/>
      <c r="AS196" s="32" t="str">
        <f>IFERROR(SUMIFS(#REF!,#REF!,'Shift Wise-Data Sheet'!A:A,#REF!,"Samridhi Perk Line")/SUMIFS(#REF!,#REF!,'Shift Wise-Data Sheet'!A:A,#REF!,"Samridhi Perk Line"),"")</f>
        <v/>
      </c>
      <c r="AT196" s="32"/>
      <c r="AU196" s="32"/>
      <c r="AV196" s="211">
        <f>IFERROR(VLOOKUP(Table110[[#This Row],[Date]],'Overweight Data'!A194:G1289,6,FALSE),"")</f>
        <v>3.8130755064456741E-2</v>
      </c>
      <c r="AW196" s="221">
        <f ca="1">IFERROR(
   IF(
      OR(Table110[[#This Row],[Operating Time]]=0, (Table110[[#This Row],[Operating Time]]/IF(AD196&lt;=1,AD196+1,AD196))*60=0),
      1,
      ((Table110[[#This Row],[Operating Time]])/IF(AD196&lt;=1,AD196+1,AD196))*60
   ),
"_")</f>
        <v>78.195488721804509</v>
      </c>
      <c r="AX196" s="221">
        <f>COUNTIFS('Downtime Data'!A:A,Table110[[#This Row],[Date]])</f>
        <v>1</v>
      </c>
      <c r="AY196" s="219">
        <f>IFERROR((SUM(Table110[[#This Row],[Minor Stoppages]:[Material Shortages]])/Table110[[#This Row],['# Stops]])*60,"")</f>
        <v>630</v>
      </c>
      <c r="AZ196" s="219"/>
      <c r="BA196" s="33">
        <v>46229</v>
      </c>
    </row>
    <row r="197" spans="1:53" ht="20.149999999999999" customHeight="1" x14ac:dyDescent="0.35">
      <c r="A197" s="21">
        <v>46214</v>
      </c>
      <c r="B197" s="22" t="str">
        <f t="shared" si="3"/>
        <v>Saturday</v>
      </c>
      <c r="C197" s="22"/>
      <c r="D197" s="23" t="s">
        <v>108</v>
      </c>
      <c r="E197" s="24" cm="1">
        <f t="array" aca="1" ref="E197" ca="1">IFERROR(INDIRECT(D197),"")</f>
        <v>34.200000000000003</v>
      </c>
      <c r="F197" s="25">
        <v>28</v>
      </c>
      <c r="G197" s="26">
        <f>9.3+11+9.4</f>
        <v>29.700000000000003</v>
      </c>
      <c r="H197" s="27">
        <f ca="1">IFERROR((Table110[[#This Row],[Plan]]/Table110[[#This Row],[Hours Used]])/(Table110[[#This Row],[SOC (TPD)]]/24),"")</f>
        <v>0.81871345029239773</v>
      </c>
      <c r="I197" s="27">
        <f ca="1">IFERROR((Table110[[#This Row],[Volume Delivered (T)]]/Table110[[#This Row],[Hours Used]])/(Table110[[#This Row],[SOC (TPD)]]/24),"")</f>
        <v>0.86842105263157898</v>
      </c>
      <c r="J197" s="28"/>
      <c r="K197" s="28"/>
      <c r="L197" s="28"/>
      <c r="M197" s="25">
        <f>(VLOOKUP(Table110[[#This Row],[Date]],'Coated Rework Data'!$A:$F,5)/1000)</f>
        <v>1.59</v>
      </c>
      <c r="N197" s="29">
        <v>5.7000000000000002E-2</v>
      </c>
      <c r="O197" s="84"/>
      <c r="P197" s="25"/>
      <c r="Q197" s="25"/>
      <c r="R197" s="70"/>
      <c r="S197" s="71"/>
      <c r="T197" s="30">
        <f>IF(Table110[[#This Row],[SKU]]="",0,24-Table110[[#This Row],[Legal Non-Operating Time]]-Table110[[#This Row],[No Demand Time]]-Table110[[#This Row],[Force Majeure]])</f>
        <v>24</v>
      </c>
      <c r="U197" s="26"/>
      <c r="V197" s="26"/>
      <c r="W197" s="26"/>
      <c r="X197" s="26"/>
      <c r="Y197" s="26"/>
      <c r="Z197" s="26"/>
      <c r="AA197" s="26"/>
      <c r="AB197" s="30">
        <f>Table110[[#This Row],[Hours Used]]-SUM(Table110[[#This Row],[Planned Maintenance]:[Start and Finish Production]])</f>
        <v>24</v>
      </c>
      <c r="AC197" s="26"/>
      <c r="AD197" s="26"/>
      <c r="AE197" s="26"/>
      <c r="AF197" s="26"/>
      <c r="AG197" s="26"/>
      <c r="AH197" s="26"/>
      <c r="AI197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0.68070175438596436</v>
      </c>
      <c r="AJ197" s="24">
        <f ca="1">IFERROR(IF(Table110[[#This Row],[SKU]]="",0,Table110[[#This Row],[Quality Loss (T)]]/(Table110[[#This Row],[SOC (TPD)]]/24)),"")</f>
        <v>1.1157894736842104</v>
      </c>
      <c r="AK197" s="31">
        <f ca="1">IFERROR(IF(Table110[[#This Row],[SKU]]="",0,Table110[[#This Row],[Volume Delivered (T)]]/(Table110[[#This Row],[SOC (TPD)]]/24)),"")</f>
        <v>20.842105263157897</v>
      </c>
      <c r="AL197" s="31">
        <f ca="1">IFERROR(Table110[[#This Row],[Operating Time]]/Table110[[#This Row],[PRODUCTION HOURS]],"")</f>
        <v>0.86842105263157909</v>
      </c>
      <c r="AM197" s="32">
        <v>69</v>
      </c>
      <c r="AN197" s="32" t="s">
        <v>107</v>
      </c>
      <c r="AO197" s="32" t="s">
        <v>107</v>
      </c>
      <c r="AP197" s="32">
        <v>1</v>
      </c>
      <c r="AQ197" s="32">
        <v>0</v>
      </c>
      <c r="AR197" s="32"/>
      <c r="AS197" s="32" t="str">
        <f>IFERROR(SUMIFS(#REF!,#REF!,'Shift Wise-Data Sheet'!A:A,#REF!,"Samridhi Perk Line")/SUMIFS(#REF!,#REF!,'Shift Wise-Data Sheet'!A:A,#REF!,"Samridhi Perk Line"),"")</f>
        <v/>
      </c>
      <c r="AT197" s="32"/>
      <c r="AU197" s="32"/>
      <c r="AV197" s="211">
        <f>IFERROR(VLOOKUP(Table110[[#This Row],[Date]],'Overweight Data'!A195:G1290,6,FALSE),"")</f>
        <v>2.4860558410282146E-2</v>
      </c>
      <c r="AW197" s="221">
        <f ca="1">IFERROR(
   IF(
      OR(Table110[[#This Row],[Operating Time]]=0, (Table110[[#This Row],[Operating Time]]/IF(AD197&lt;=1,AD197+1,AD197))*60=0),
      1,
      ((Table110[[#This Row],[Operating Time]])/IF(AD197&lt;=1,AD197+1,AD197))*60
   ),
"_")</f>
        <v>1250.5263157894738</v>
      </c>
      <c r="AX197" s="221">
        <f>COUNTIFS('Downtime Data'!A:A,Table110[[#This Row],[Date]])</f>
        <v>0</v>
      </c>
      <c r="AY197" s="219" t="str">
        <f>IFERROR((SUM(Table110[[#This Row],[Minor Stoppages]:[Material Shortages]])/Table110[[#This Row],['# Stops]])*60,"")</f>
        <v/>
      </c>
      <c r="AZ197" s="219"/>
      <c r="BA197" s="33">
        <v>46229</v>
      </c>
    </row>
    <row r="198" spans="1:53" ht="20.149999999999999" customHeight="1" x14ac:dyDescent="0.35">
      <c r="A198" s="21">
        <v>46215</v>
      </c>
      <c r="B198" s="22" t="str">
        <f t="shared" si="3"/>
        <v>Sunday</v>
      </c>
      <c r="C198" s="22"/>
      <c r="D198" s="23" t="s">
        <v>108</v>
      </c>
      <c r="E198" s="24" cm="1">
        <f t="array" aca="1" ref="E198" ca="1">IFERROR(INDIRECT(D198),"")</f>
        <v>34.200000000000003</v>
      </c>
      <c r="F198" s="25">
        <v>32</v>
      </c>
      <c r="G198" s="26">
        <f>25.2+7.1</f>
        <v>32.299999999999997</v>
      </c>
      <c r="H198" s="27">
        <f ca="1">IFERROR((Table110[[#This Row],[Plan]]/Table110[[#This Row],[Hours Used]])/(Table110[[#This Row],[SOC (TPD)]]/24),"")</f>
        <v>0.93567251461988299</v>
      </c>
      <c r="I198" s="27">
        <f ca="1">IFERROR((Table110[[#This Row],[Volume Delivered (T)]]/Table110[[#This Row],[Hours Used]])/(Table110[[#This Row],[SOC (TPD)]]/24),"")</f>
        <v>0.94444444444444431</v>
      </c>
      <c r="J198" s="28"/>
      <c r="K198" s="28"/>
      <c r="L198" s="28"/>
      <c r="M198" s="25">
        <f>(VLOOKUP(Table110[[#This Row],[Date]],'Coated Rework Data'!$A:$F,5)/1000)</f>
        <v>1.4630000000000001</v>
      </c>
      <c r="N198" s="29">
        <v>5.7000000000000002E-2</v>
      </c>
      <c r="O198" s="84"/>
      <c r="P198" s="25"/>
      <c r="Q198" s="25"/>
      <c r="R198" s="70"/>
      <c r="S198" s="71"/>
      <c r="T198" s="30">
        <f>IF(Table110[[#This Row],[SKU]]="",0,24-Table110[[#This Row],[Legal Non-Operating Time]]-Table110[[#This Row],[No Demand Time]]-Table110[[#This Row],[Force Majeure]])</f>
        <v>24</v>
      </c>
      <c r="U198" s="26"/>
      <c r="V198" s="26">
        <v>0.35</v>
      </c>
      <c r="W198" s="26"/>
      <c r="X198" s="26"/>
      <c r="Y198" s="26"/>
      <c r="Z198" s="26"/>
      <c r="AA198" s="26"/>
      <c r="AB198" s="30">
        <f>Table110[[#This Row],[Hours Used]]-SUM(Table110[[#This Row],[Planned Maintenance]:[Start and Finish Production]])</f>
        <v>23.65</v>
      </c>
      <c r="AC198" s="26"/>
      <c r="AD198" s="26"/>
      <c r="AE198" s="26"/>
      <c r="AF198" s="26"/>
      <c r="AG198" s="26"/>
      <c r="AH198" s="26"/>
      <c r="AI198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-1.4444444444444334E-2</v>
      </c>
      <c r="AJ198" s="24">
        <f ca="1">IFERROR(IF(Table110[[#This Row],[SKU]]="",0,Table110[[#This Row],[Quality Loss (T)]]/(Table110[[#This Row],[SOC (TPD)]]/24)),"")</f>
        <v>1.0266666666666666</v>
      </c>
      <c r="AK198" s="31">
        <f ca="1">IFERROR(IF(Table110[[#This Row],[SKU]]="",0,Table110[[#This Row],[Volume Delivered (T)]]/(Table110[[#This Row],[SOC (TPD)]]/24)),"")</f>
        <v>22.666666666666664</v>
      </c>
      <c r="AL198" s="31">
        <f ca="1">IFERROR(Table110[[#This Row],[Operating Time]]/Table110[[#This Row],[PRODUCTION HOURS]],"")</f>
        <v>0.95842142353770254</v>
      </c>
      <c r="AM198" s="32">
        <v>79</v>
      </c>
      <c r="AN198" s="32" t="s">
        <v>107</v>
      </c>
      <c r="AO198" s="32" t="s">
        <v>107</v>
      </c>
      <c r="AP198" s="32">
        <v>46</v>
      </c>
      <c r="AQ198" s="32">
        <v>43</v>
      </c>
      <c r="AR198" s="32"/>
      <c r="AS198" s="32" t="str">
        <f>IFERROR(SUMIFS(#REF!,#REF!,'Shift Wise-Data Sheet'!A:A,#REF!,"Samridhi Perk Line")/SUMIFS(#REF!,#REF!,'Shift Wise-Data Sheet'!A:A,#REF!,"Samridhi Perk Line"),"")</f>
        <v/>
      </c>
      <c r="AT198" s="32"/>
      <c r="AU198" s="32"/>
      <c r="AV198" s="211">
        <f>IFERROR(VLOOKUP(Table110[[#This Row],[Date]],'Overweight Data'!A196:G1291,6,FALSE),"")</f>
        <v>2.2062937062937066E-2</v>
      </c>
      <c r="AW198" s="221">
        <f ca="1">IFERROR(
   IF(
      OR(Table110[[#This Row],[Operating Time]]=0, (Table110[[#This Row],[Operating Time]]/IF(AD198&lt;=1,AD198+1,AD198))*60=0),
      1,
      ((Table110[[#This Row],[Operating Time]])/IF(AD198&lt;=1,AD198+1,AD198))*60
   ),
"_")</f>
        <v>1359.9999999999998</v>
      </c>
      <c r="AX198" s="221">
        <f>COUNTIFS('Downtime Data'!A:A,Table110[[#This Row],[Date]])</f>
        <v>0</v>
      </c>
      <c r="AY198" s="219" t="str">
        <f>IFERROR((SUM(Table110[[#This Row],[Minor Stoppages]:[Material Shortages]])/Table110[[#This Row],['# Stops]])*60,"")</f>
        <v/>
      </c>
      <c r="AZ198" s="219"/>
      <c r="BA198" s="33">
        <v>46229</v>
      </c>
    </row>
    <row r="199" spans="1:53" ht="20.149999999999999" customHeight="1" x14ac:dyDescent="0.35">
      <c r="A199" s="21">
        <v>46216</v>
      </c>
      <c r="B199" s="22" t="str">
        <f t="shared" si="3"/>
        <v>Monday</v>
      </c>
      <c r="C199" s="22"/>
      <c r="D199" s="23" t="s">
        <v>106</v>
      </c>
      <c r="E199" s="24" cm="1">
        <f t="array" aca="1" ref="E199" ca="1">IFERROR(INDIRECT(D199),"")</f>
        <v>39.200000000000003</v>
      </c>
      <c r="F199" s="25">
        <v>32</v>
      </c>
      <c r="G199" s="26">
        <v>31.5</v>
      </c>
      <c r="H199" s="27">
        <f ca="1">IFERROR((Table110[[#This Row],[Plan]]/Table110[[#This Row],[Hours Used]])/(Table110[[#This Row],[SOC (TPD)]]/24),"")</f>
        <v>0.81632653061224481</v>
      </c>
      <c r="I199" s="27">
        <f ca="1">IFERROR((Table110[[#This Row],[Volume Delivered (T)]]/Table110[[#This Row],[Hours Used]])/(Table110[[#This Row],[SOC (TPD)]]/24),"")</f>
        <v>0.80357142857142849</v>
      </c>
      <c r="J199" s="28"/>
      <c r="K199" s="28"/>
      <c r="L199" s="28"/>
      <c r="M199" s="25">
        <f>(VLOOKUP(Table110[[#This Row],[Date]],'Coated Rework Data'!$A:$F,5)/1000)</f>
        <v>1.2869999999999999</v>
      </c>
      <c r="N199" s="29">
        <v>3.5999999999999997E-2</v>
      </c>
      <c r="O199" s="84"/>
      <c r="P199" s="25"/>
      <c r="Q199" s="25"/>
      <c r="R199" s="70"/>
      <c r="S199" s="71"/>
      <c r="T199" s="30">
        <f>IF(Table110[[#This Row],[SKU]]="",0,24-Table110[[#This Row],[Legal Non-Operating Time]]-Table110[[#This Row],[No Demand Time]]-Table110[[#This Row],[Force Majeure]])</f>
        <v>24</v>
      </c>
      <c r="U199" s="26">
        <v>1</v>
      </c>
      <c r="V199" s="26">
        <v>1</v>
      </c>
      <c r="W199" s="26"/>
      <c r="X199" s="26"/>
      <c r="Y199" s="26"/>
      <c r="Z199" s="26"/>
      <c r="AA199" s="26"/>
      <c r="AB199" s="30">
        <f>Table110[[#This Row],[Hours Used]]-SUM(Table110[[#This Row],[Planned Maintenance]:[Start and Finish Production]])</f>
        <v>22</v>
      </c>
      <c r="AC199" s="26"/>
      <c r="AD199" s="26"/>
      <c r="AE199" s="26"/>
      <c r="AF199" s="26"/>
      <c r="AG199" s="26"/>
      <c r="AH199" s="26"/>
      <c r="AI199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0.64210884353741571</v>
      </c>
      <c r="AJ199" s="24">
        <f ca="1">IFERROR(IF(Table110[[#This Row],[SKU]]="",0,Table110[[#This Row],[Quality Loss (T)]]/(Table110[[#This Row],[SOC (TPD)]]/24)),"")</f>
        <v>0.78795918367346929</v>
      </c>
      <c r="AK199" s="31">
        <f ca="1">IFERROR(IF(Table110[[#This Row],[SKU]]="",0,Table110[[#This Row],[Volume Delivered (T)]]/(Table110[[#This Row],[SOC (TPD)]]/24)),"")</f>
        <v>19.285714285714285</v>
      </c>
      <c r="AL199" s="31">
        <f ca="1">IFERROR(Table110[[#This Row],[Operating Time]]/Table110[[#This Row],[PRODUCTION HOURS]],"")</f>
        <v>0.87662337662337653</v>
      </c>
      <c r="AM199" s="32">
        <v>74</v>
      </c>
      <c r="AN199" s="32" t="s">
        <v>107</v>
      </c>
      <c r="AO199" s="32" t="s">
        <v>107</v>
      </c>
      <c r="AP199" s="32">
        <v>0</v>
      </c>
      <c r="AQ199" s="32">
        <v>0</v>
      </c>
      <c r="AR199" s="32"/>
      <c r="AS199" s="32" t="str">
        <f>IFERROR(SUMIFS(#REF!,#REF!,'Shift Wise-Data Sheet'!A:A,#REF!,"Samridhi Perk Line")/SUMIFS(#REF!,#REF!,'Shift Wise-Data Sheet'!A:A,#REF!,"Samridhi Perk Line"),"")</f>
        <v/>
      </c>
      <c r="AT199" s="32"/>
      <c r="AU199" s="32"/>
      <c r="AV199" s="211">
        <f>IFERROR(VLOOKUP(Table110[[#This Row],[Date]],'Overweight Data'!A197:G1292,6,FALSE),"")</f>
        <v>2.4090909090909041E-2</v>
      </c>
      <c r="AW199" s="221">
        <f ca="1">IFERROR(
   IF(
      OR(Table110[[#This Row],[Operating Time]]=0, (Table110[[#This Row],[Operating Time]]/IF(AD199&lt;=1,AD199+1,AD199))*60=0),
      1,
      ((Table110[[#This Row],[Operating Time]])/IF(AD199&lt;=1,AD199+1,AD199))*60
   ),
"_")</f>
        <v>1157.1428571428571</v>
      </c>
      <c r="AX199" s="221">
        <f>COUNTIFS('Downtime Data'!A:A,Table110[[#This Row],[Date]])</f>
        <v>0</v>
      </c>
      <c r="AY199" s="219" t="str">
        <f>IFERROR((SUM(Table110[[#This Row],[Minor Stoppages]:[Material Shortages]])/Table110[[#This Row],['# Stops]])*60,"")</f>
        <v/>
      </c>
      <c r="AZ199" s="219"/>
      <c r="BA199" s="33">
        <v>46229</v>
      </c>
    </row>
    <row r="200" spans="1:53" ht="20.149999999999999" customHeight="1" x14ac:dyDescent="0.35">
      <c r="A200" s="21">
        <v>46217</v>
      </c>
      <c r="B200" s="22" t="str">
        <f t="shared" si="3"/>
        <v>Tuesday</v>
      </c>
      <c r="C200" s="22"/>
      <c r="D200" s="23" t="s">
        <v>106</v>
      </c>
      <c r="E200" s="24" cm="1">
        <f t="array" aca="1" ref="E200" ca="1">IFERROR(INDIRECT(D200),"")</f>
        <v>39.200000000000003</v>
      </c>
      <c r="F200" s="25">
        <v>32</v>
      </c>
      <c r="G200" s="26">
        <v>31</v>
      </c>
      <c r="H200" s="27">
        <f ca="1">IFERROR((Table110[[#This Row],[Plan]]/Table110[[#This Row],[Hours Used]])/(Table110[[#This Row],[SOC (TPD)]]/24),"")</f>
        <v>0.81632653061224481</v>
      </c>
      <c r="I200" s="27">
        <f ca="1">IFERROR((Table110[[#This Row],[Volume Delivered (T)]]/Table110[[#This Row],[Hours Used]])/(Table110[[#This Row],[SOC (TPD)]]/24),"")</f>
        <v>0.79081632653061218</v>
      </c>
      <c r="J200" s="28"/>
      <c r="K200" s="28"/>
      <c r="L200" s="28"/>
      <c r="M200" s="25">
        <f>(VLOOKUP(Table110[[#This Row],[Date]],'Coated Rework Data'!$A:$F,5)/1000)</f>
        <v>1.629</v>
      </c>
      <c r="N200" s="29">
        <v>3.5000000000000003E-2</v>
      </c>
      <c r="O200" s="84"/>
      <c r="P200" s="25"/>
      <c r="Q200" s="25"/>
      <c r="R200" s="70"/>
      <c r="S200" s="71"/>
      <c r="T200" s="30">
        <f>IF(Table110[[#This Row],[SKU]]="",0,24-Table110[[#This Row],[Legal Non-Operating Time]]-Table110[[#This Row],[No Demand Time]]-Table110[[#This Row],[Force Majeure]])</f>
        <v>24</v>
      </c>
      <c r="U200" s="26">
        <v>1</v>
      </c>
      <c r="V200" s="26">
        <v>0.5</v>
      </c>
      <c r="W200" s="26"/>
      <c r="X200" s="26"/>
      <c r="Y200" s="26"/>
      <c r="Z200" s="26"/>
      <c r="AA200" s="26"/>
      <c r="AB200" s="30">
        <f>Table110[[#This Row],[Hours Used]]-SUM(Table110[[#This Row],[Planned Maintenance]:[Start and Finish Production]])</f>
        <v>22.5</v>
      </c>
      <c r="AC200" s="26"/>
      <c r="AD200" s="26"/>
      <c r="AF200" s="26">
        <v>0.5</v>
      </c>
      <c r="AG200" s="26"/>
      <c r="AH200" s="26"/>
      <c r="AI200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0.67435374149659921</v>
      </c>
      <c r="AJ200" s="24">
        <f ca="1">IFERROR(IF(Table110[[#This Row],[SKU]]="",0,Table110[[#This Row],[Quality Loss (T)]]/(Table110[[#This Row],[SOC (TPD)]]/24)),"")</f>
        <v>0.99734693877551006</v>
      </c>
      <c r="AK200" s="31">
        <f ca="1">IFERROR(IF(Table110[[#This Row],[SKU]]="",0,Table110[[#This Row],[Volume Delivered (T)]]/(Table110[[#This Row],[SOC (TPD)]]/24)),"")</f>
        <v>18.979591836734691</v>
      </c>
      <c r="AL200" s="31">
        <f ca="1">IFERROR(Table110[[#This Row],[Operating Time]]/Table110[[#This Row],[PRODUCTION HOURS]],"")</f>
        <v>0.84353741496598633</v>
      </c>
      <c r="AM200" s="32">
        <v>86</v>
      </c>
      <c r="AN200" s="32" t="s">
        <v>107</v>
      </c>
      <c r="AO200" s="32" t="s">
        <v>107</v>
      </c>
      <c r="AP200" s="32">
        <v>2</v>
      </c>
      <c r="AQ200" s="32">
        <v>1</v>
      </c>
      <c r="AR200" s="32"/>
      <c r="AS200" s="32" t="str">
        <f>IFERROR(SUMIFS(#REF!,#REF!,'Shift Wise-Data Sheet'!A:A,#REF!,"Samridhi Perk Line")/SUMIFS(#REF!,#REF!,'Shift Wise-Data Sheet'!A:A,#REF!,"Samridhi Perk Line"),"")</f>
        <v/>
      </c>
      <c r="AT200" s="32"/>
      <c r="AU200" s="32"/>
      <c r="AV200" s="211">
        <f>IFERROR(VLOOKUP(Table110[[#This Row],[Date]],'Overweight Data'!A198:G1293,6,FALSE),"")</f>
        <v>2.4090909090909041E-2</v>
      </c>
      <c r="AW200" s="221">
        <f ca="1">IFERROR(
   IF(
      OR(Table110[[#This Row],[Operating Time]]=0, (Table110[[#This Row],[Operating Time]]/IF(AD200&lt;=1,AD200+1,AD200))*60=0),
      1,
      ((Table110[[#This Row],[Operating Time]])/IF(AD200&lt;=1,AD200+1,AD200))*60
   ),
"_")</f>
        <v>1138.7755102040815</v>
      </c>
      <c r="AX200" s="221">
        <f>COUNTIFS('Downtime Data'!A:A,Table110[[#This Row],[Date]])</f>
        <v>1</v>
      </c>
      <c r="AY200" s="219">
        <f>IFERROR((SUM(Table110[[#This Row],[Minor Stoppages]:[Material Shortages]])/Table110[[#This Row],['# Stops]])*60,"")</f>
        <v>30</v>
      </c>
      <c r="AZ200" s="219">
        <v>1</v>
      </c>
      <c r="BA200" s="33">
        <v>46229</v>
      </c>
    </row>
    <row r="201" spans="1:53" ht="20.149999999999999" customHeight="1" x14ac:dyDescent="0.35">
      <c r="A201" s="21">
        <v>46218</v>
      </c>
      <c r="B201" s="22" t="str">
        <f t="shared" si="3"/>
        <v>Wednesday</v>
      </c>
      <c r="C201" s="22"/>
      <c r="D201" s="23" t="s">
        <v>106</v>
      </c>
      <c r="E201" s="24" cm="1">
        <f t="array" aca="1" ref="E201" ca="1">IFERROR(INDIRECT(D201),"")</f>
        <v>39.200000000000003</v>
      </c>
      <c r="F201" s="25">
        <v>15.5</v>
      </c>
      <c r="G201" s="26">
        <v>34.200000000000003</v>
      </c>
      <c r="H201" s="27">
        <f ca="1">IFERROR((Table110[[#This Row],[Plan]]/Table110[[#This Row],[Hours Used]])/(Table110[[#This Row],[SOC (TPD)]]/24),"")</f>
        <v>0.39540816326530609</v>
      </c>
      <c r="I201" s="27">
        <f ca="1">IFERROR((Table110[[#This Row],[Volume Delivered (T)]]/Table110[[#This Row],[Hours Used]])/(Table110[[#This Row],[SOC (TPD)]]/24),"")</f>
        <v>0.87244897959183665</v>
      </c>
      <c r="J201" s="28"/>
      <c r="K201" s="28"/>
      <c r="L201" s="28"/>
      <c r="M201" s="25">
        <f>(VLOOKUP(Table110[[#This Row],[Date]],'Coated Rework Data'!$A:$F,5)/1000)</f>
        <v>1.831</v>
      </c>
      <c r="N201" s="29">
        <v>0.04</v>
      </c>
      <c r="O201" s="84"/>
      <c r="P201" s="25"/>
      <c r="Q201" s="25"/>
      <c r="R201" s="70"/>
      <c r="S201" s="71"/>
      <c r="T201" s="30">
        <f>IF(Table110[[#This Row],[SKU]]="",0,24-Table110[[#This Row],[Legal Non-Operating Time]]-Table110[[#This Row],[No Demand Time]]-Table110[[#This Row],[Force Majeure]])</f>
        <v>24</v>
      </c>
      <c r="U201" s="26">
        <v>1</v>
      </c>
      <c r="V201" s="26">
        <v>0.5</v>
      </c>
      <c r="W201" s="26"/>
      <c r="X201" s="26"/>
      <c r="Y201" s="26"/>
      <c r="Z201" s="26"/>
      <c r="AA201" s="26"/>
      <c r="AB201" s="30">
        <f>Table110[[#This Row],[Hours Used]]-SUM(Table110[[#This Row],[Planned Maintenance]:[Start and Finish Production]])</f>
        <v>22.5</v>
      </c>
      <c r="AC201" s="26"/>
      <c r="AD201" s="26">
        <v>0.5</v>
      </c>
      <c r="AE201" s="26"/>
      <c r="AF201" s="26">
        <v>0.25</v>
      </c>
      <c r="AG201" s="26"/>
      <c r="AH201" s="26"/>
      <c r="AI201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-0.10326530612244866</v>
      </c>
      <c r="AJ201" s="24">
        <f ca="1">IFERROR(IF(Table110[[#This Row],[SKU]]="",0,Table110[[#This Row],[Quality Loss (T)]]/(Table110[[#This Row],[SOC (TPD)]]/24)),"")</f>
        <v>1.1210204081632651</v>
      </c>
      <c r="AK201" s="31">
        <f ca="1">IFERROR(IF(Table110[[#This Row],[SKU]]="",0,Table110[[#This Row],[Volume Delivered (T)]]/(Table110[[#This Row],[SOC (TPD)]]/24)),"")</f>
        <v>20.938775510204081</v>
      </c>
      <c r="AL201" s="31">
        <f ca="1">IFERROR(Table110[[#This Row],[Operating Time]]/Table110[[#This Row],[PRODUCTION HOURS]],"")</f>
        <v>0.93061224489795913</v>
      </c>
      <c r="AM201" s="32">
        <v>83</v>
      </c>
      <c r="AN201" s="32" t="s">
        <v>107</v>
      </c>
      <c r="AO201" s="32" t="s">
        <v>107</v>
      </c>
      <c r="AP201" s="32">
        <v>1</v>
      </c>
      <c r="AQ201" s="32">
        <v>1</v>
      </c>
      <c r="AR201" s="32"/>
      <c r="AS201" s="32" t="str">
        <f>IFERROR(SUMIFS(#REF!,#REF!,'Shift Wise-Data Sheet'!A:A,#REF!,"Samridhi Perk Line")/SUMIFS(#REF!,#REF!,'Shift Wise-Data Sheet'!A:A,#REF!,"Samridhi Perk Line"),"")</f>
        <v/>
      </c>
      <c r="AT201" s="32"/>
      <c r="AU201" s="32"/>
      <c r="AV201" s="211">
        <f>IFERROR(VLOOKUP(Table110[[#This Row],[Date]],'Overweight Data'!A199:G1294,6,FALSE),"")</f>
        <v>2.891608391608385E-2</v>
      </c>
      <c r="AW201" s="221">
        <f ca="1">IFERROR(
   IF(
      OR(Table110[[#This Row],[Operating Time]]=0, (Table110[[#This Row],[Operating Time]]/IF(AD201&lt;=1,AD201+1,AD201))*60=0),
      1,
      ((Table110[[#This Row],[Operating Time]])/IF(AD201&lt;=1,AD201+1,AD201))*60
   ),
"_")</f>
        <v>837.55102040816325</v>
      </c>
      <c r="AX201" s="221">
        <f>COUNTIFS('Downtime Data'!A:A,Table110[[#This Row],[Date]])</f>
        <v>1</v>
      </c>
      <c r="AY201" s="219">
        <f>IFERROR((SUM(Table110[[#This Row],[Minor Stoppages]:[Material Shortages]])/Table110[[#This Row],['# Stops]])*60,"")</f>
        <v>45</v>
      </c>
      <c r="AZ201" s="219"/>
      <c r="BA201" s="33">
        <v>46229</v>
      </c>
    </row>
    <row r="202" spans="1:53" ht="20.149999999999999" customHeight="1" x14ac:dyDescent="0.35">
      <c r="A202" s="21">
        <v>46219</v>
      </c>
      <c r="B202" s="22" t="str">
        <f t="shared" si="3"/>
        <v>Thursday</v>
      </c>
      <c r="C202" s="22"/>
      <c r="D202" s="23" t="s">
        <v>106</v>
      </c>
      <c r="E202" s="24" cm="1">
        <f t="array" aca="1" ref="E202" ca="1">IFERROR(INDIRECT(D202),"")</f>
        <v>39.200000000000003</v>
      </c>
      <c r="F202" s="25">
        <v>16</v>
      </c>
      <c r="G202" s="26">
        <f>5.94+16.1</f>
        <v>22.040000000000003</v>
      </c>
      <c r="H202" s="27">
        <f ca="1">IFERROR((Table110[[#This Row],[Plan]]/Table110[[#This Row],[Hours Used]])/(Table110[[#This Row],[SOC (TPD)]]/24),"")</f>
        <v>0.4081632653061224</v>
      </c>
      <c r="I202" s="27">
        <f ca="1">IFERROR((Table110[[#This Row],[Volume Delivered (T)]]/Table110[[#This Row],[Hours Used]])/(Table110[[#This Row],[SOC (TPD)]]/24),"")</f>
        <v>0.56224489795918364</v>
      </c>
      <c r="J202" s="28"/>
      <c r="K202" s="28"/>
      <c r="L202" s="28"/>
      <c r="M202" s="25">
        <f>(VLOOKUP(Table110[[#This Row],[Date]],'Coated Rework Data'!$A:$F,5)/1000)</f>
        <v>0.748</v>
      </c>
      <c r="N202" s="29">
        <v>0.04</v>
      </c>
      <c r="O202" s="84"/>
      <c r="P202" s="25"/>
      <c r="Q202" s="25"/>
      <c r="R202" s="70"/>
      <c r="S202" s="71"/>
      <c r="T202" s="30">
        <f>IF(Table110[[#This Row],[SKU]]="",0,24-Table110[[#This Row],[Legal Non-Operating Time]]-Table110[[#This Row],[No Demand Time]]-Table110[[#This Row],[Force Majeure]])</f>
        <v>24</v>
      </c>
      <c r="U202" s="26"/>
      <c r="V202" s="26"/>
      <c r="W202" s="26">
        <v>12</v>
      </c>
      <c r="X202" s="26"/>
      <c r="Y202" s="26"/>
      <c r="Z202" s="26"/>
      <c r="AA202" s="26">
        <v>7</v>
      </c>
      <c r="AB202" s="30">
        <f>Table110[[#This Row],[Hours Used]]-SUM(Table110[[#This Row],[Planned Maintenance]:[Start and Finish Production]])</f>
        <v>5</v>
      </c>
      <c r="AC202" s="26"/>
      <c r="AD202" s="26"/>
      <c r="AE202" s="26"/>
      <c r="AF202" s="26"/>
      <c r="AG202" s="26"/>
      <c r="AH202" s="26"/>
      <c r="AI202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-2.9839455782312925</v>
      </c>
      <c r="AJ202" s="24">
        <f ca="1">IFERROR(IF(Table110[[#This Row],[SKU]]="",0,Table110[[#This Row],[Quality Loss (T)]]/(Table110[[#This Row],[SOC (TPD)]]/24)),"")</f>
        <v>0.45795918367346933</v>
      </c>
      <c r="AK202" s="31">
        <f ca="1">IFERROR(IF(Table110[[#This Row],[SKU]]="",0,Table110[[#This Row],[Volume Delivered (T)]]/(Table110[[#This Row],[SOC (TPD)]]/24)),"")</f>
        <v>13.493877551020407</v>
      </c>
      <c r="AL202" s="31">
        <f ca="1">IFERROR(Table110[[#This Row],[Operating Time]]/Table110[[#This Row],[PRODUCTION HOURS]],"")</f>
        <v>2.6987755102040816</v>
      </c>
      <c r="AM202" s="32">
        <v>81</v>
      </c>
      <c r="AN202" s="32" t="s">
        <v>107</v>
      </c>
      <c r="AO202" s="32" t="s">
        <v>107</v>
      </c>
      <c r="AP202" s="32">
        <v>0</v>
      </c>
      <c r="AQ202" s="32">
        <v>0</v>
      </c>
      <c r="AR202" s="32"/>
      <c r="AS202" s="32" t="str">
        <f>IFERROR(SUMIFS(#REF!,#REF!,'Shift Wise-Data Sheet'!A:A,#REF!,"Samridhi Perk Line")/SUMIFS(#REF!,#REF!,'Shift Wise-Data Sheet'!A:A,#REF!,"Samridhi Perk Line"),"")</f>
        <v/>
      </c>
      <c r="AT202" s="32"/>
      <c r="AU202" s="32"/>
      <c r="AV202" s="211">
        <f>IFERROR(VLOOKUP(Table110[[#This Row],[Date]],'Overweight Data'!A200:G1295,6,FALSE),"")</f>
        <v>2.3382867132867132E-2</v>
      </c>
      <c r="AW202" s="221">
        <f ca="1">IFERROR(
   IF(
      OR(Table110[[#This Row],[Operating Time]]=0, (Table110[[#This Row],[Operating Time]]/IF(AD202&lt;=1,AD202+1,AD202))*60=0),
      1,
      ((Table110[[#This Row],[Operating Time]])/IF(AD202&lt;=1,AD202+1,AD202))*60
   ),
"_")</f>
        <v>809.63265306122446</v>
      </c>
      <c r="AX202" s="221">
        <f>COUNTIFS('Downtime Data'!A:A,Table110[[#This Row],[Date]])</f>
        <v>2</v>
      </c>
      <c r="AY202" s="219">
        <f>IFERROR((SUM(Table110[[#This Row],[Minor Stoppages]:[Material Shortages]])/Table110[[#This Row],['# Stops]])*60,"")</f>
        <v>0</v>
      </c>
      <c r="AZ202" s="219"/>
      <c r="BA202" s="33">
        <v>46229</v>
      </c>
    </row>
    <row r="203" spans="1:53" ht="20.149999999999999" customHeight="1" x14ac:dyDescent="0.35">
      <c r="A203" s="21">
        <v>46220</v>
      </c>
      <c r="B203" s="22" t="str">
        <f t="shared" ref="B203:B266" si="4">IF(A203="","",TEXT(A203,"dddddd"))</f>
        <v>Friday</v>
      </c>
      <c r="C203" s="22"/>
      <c r="D203" s="23" t="s">
        <v>106</v>
      </c>
      <c r="E203" s="24" cm="1">
        <f t="array" aca="1" ref="E203" ca="1">IFERROR(INDIRECT(D203),"")</f>
        <v>39.200000000000003</v>
      </c>
      <c r="F203" s="25">
        <v>31</v>
      </c>
      <c r="G203" s="26">
        <v>28.8</v>
      </c>
      <c r="H203" s="27">
        <f ca="1">IFERROR((Table110[[#This Row],[Plan]]/Table110[[#This Row],[Hours Used]])/(Table110[[#This Row],[SOC (TPD)]]/24),"")</f>
        <v>0.79081632653061218</v>
      </c>
      <c r="I203" s="27">
        <f ca="1">IFERROR((Table110[[#This Row],[Volume Delivered (T)]]/Table110[[#This Row],[Hours Used]])/(Table110[[#This Row],[SOC (TPD)]]/24),"")</f>
        <v>0.73469387755102034</v>
      </c>
      <c r="J203" s="28"/>
      <c r="K203" s="28"/>
      <c r="L203" s="28"/>
      <c r="M203" s="25">
        <f>(VLOOKUP(Table110[[#This Row],[Date]],'Coated Rework Data'!$A:$F,5)/1000)</f>
        <v>1.649</v>
      </c>
      <c r="N203" s="29">
        <v>3.7999999999999999E-2</v>
      </c>
      <c r="O203" s="84"/>
      <c r="P203" s="25"/>
      <c r="Q203" s="25"/>
      <c r="R203" s="70"/>
      <c r="S203" s="71"/>
      <c r="T203" s="30">
        <f>IF(Table110[[#This Row],[SKU]]="",0,24-Table110[[#This Row],[Legal Non-Operating Time]]-Table110[[#This Row],[No Demand Time]]-Table110[[#This Row],[Force Majeure]])</f>
        <v>24</v>
      </c>
      <c r="U203" s="26"/>
      <c r="V203" s="26">
        <v>1</v>
      </c>
      <c r="W203" s="26"/>
      <c r="X203" s="26">
        <v>1</v>
      </c>
      <c r="Y203" s="26"/>
      <c r="Z203" s="26"/>
      <c r="AA203" s="26"/>
      <c r="AB203" s="30">
        <f>Table110[[#This Row],[Hours Used]]-SUM(Table110[[#This Row],[Planned Maintenance]:[Start and Finish Production]])</f>
        <v>22</v>
      </c>
      <c r="AC203" s="26"/>
      <c r="AD203" s="26">
        <v>2.5</v>
      </c>
      <c r="AE203" s="26"/>
      <c r="AF203" s="26"/>
      <c r="AG203" s="26"/>
      <c r="AH203" s="26"/>
      <c r="AI203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0.28591836734693982</v>
      </c>
      <c r="AJ203" s="24">
        <f ca="1">IFERROR(IF(Table110[[#This Row],[SKU]]="",0,Table110[[#This Row],[Quality Loss (T)]]/(Table110[[#This Row],[SOC (TPD)]]/24)),"")</f>
        <v>1.0095918367346939</v>
      </c>
      <c r="AK203" s="31">
        <f ca="1">IFERROR(IF(Table110[[#This Row],[SKU]]="",0,Table110[[#This Row],[Volume Delivered (T)]]/(Table110[[#This Row],[SOC (TPD)]]/24)),"")</f>
        <v>17.632653061224488</v>
      </c>
      <c r="AL203" s="31">
        <f ca="1">IFERROR(Table110[[#This Row],[Operating Time]]/Table110[[#This Row],[PRODUCTION HOURS]],"")</f>
        <v>0.8014842300556585</v>
      </c>
      <c r="AM203" s="32">
        <v>74</v>
      </c>
      <c r="AN203" s="32" t="s">
        <v>107</v>
      </c>
      <c r="AO203" s="32" t="s">
        <v>107</v>
      </c>
      <c r="AP203" s="32">
        <v>0</v>
      </c>
      <c r="AQ203" s="32">
        <v>0</v>
      </c>
      <c r="AR203" s="32"/>
      <c r="AS203" s="32" t="str">
        <f>IFERROR(SUMIFS(#REF!,#REF!,'Shift Wise-Data Sheet'!A:A,#REF!,"Samridhi Perk Line")/SUMIFS(#REF!,#REF!,'Shift Wise-Data Sheet'!A:A,#REF!,"Samridhi Perk Line"),"")</f>
        <v/>
      </c>
      <c r="AT203" s="32"/>
      <c r="AU203" s="32"/>
      <c r="AV203" s="211">
        <f>IFERROR(VLOOKUP(Table110[[#This Row],[Date]],'Overweight Data'!A201:G1296,6,FALSE),"")</f>
        <v>2.3382867132867132E-2</v>
      </c>
      <c r="AW203" s="221">
        <f ca="1">IFERROR(
   IF(
      OR(Table110[[#This Row],[Operating Time]]=0, (Table110[[#This Row],[Operating Time]]/IF(AD203&lt;=1,AD203+1,AD203))*60=0),
      1,
      ((Table110[[#This Row],[Operating Time]])/IF(AD203&lt;=1,AD203+1,AD203))*60
   ),
"_")</f>
        <v>423.18367346938771</v>
      </c>
      <c r="AX203" s="221">
        <f>COUNTIFS('Downtime Data'!A:A,Table110[[#This Row],[Date]])</f>
        <v>2</v>
      </c>
      <c r="AY203" s="219">
        <f>IFERROR((SUM(Table110[[#This Row],[Minor Stoppages]:[Material Shortages]])/Table110[[#This Row],['# Stops]])*60,"")</f>
        <v>75</v>
      </c>
      <c r="AZ203" s="219"/>
      <c r="BA203" s="33">
        <v>46229</v>
      </c>
    </row>
    <row r="204" spans="1:53" ht="20.149999999999999" customHeight="1" x14ac:dyDescent="0.35">
      <c r="A204" s="21">
        <v>46221</v>
      </c>
      <c r="B204" s="22" t="str">
        <f t="shared" si="4"/>
        <v>Saturday</v>
      </c>
      <c r="C204" s="22"/>
      <c r="D204" s="23" t="s">
        <v>106</v>
      </c>
      <c r="E204" s="24" cm="1">
        <f t="array" aca="1" ref="E204" ca="1">IFERROR(INDIRECT(D204),"")</f>
        <v>39.200000000000003</v>
      </c>
      <c r="F204" s="25">
        <v>32</v>
      </c>
      <c r="G204" s="26">
        <v>31.5</v>
      </c>
      <c r="H204" s="27">
        <f ca="1">IFERROR((Table110[[#This Row],[Plan]]/Table110[[#This Row],[Hours Used]])/(Table110[[#This Row],[SOC (TPD)]]/24),"")</f>
        <v>0.81632653061224481</v>
      </c>
      <c r="I204" s="27">
        <f ca="1">IFERROR((Table110[[#This Row],[Volume Delivered (T)]]/Table110[[#This Row],[Hours Used]])/(Table110[[#This Row],[SOC (TPD)]]/24),"")</f>
        <v>0.80357142857142849</v>
      </c>
      <c r="J204" s="28"/>
      <c r="K204" s="28"/>
      <c r="L204" s="28"/>
      <c r="M204" s="25">
        <f>(VLOOKUP(Table110[[#This Row],[Date]],'Coated Rework Data'!$A:$F,5)/1000)</f>
        <v>1.32</v>
      </c>
      <c r="N204" s="29">
        <v>3.7999999999999999E-2</v>
      </c>
      <c r="O204" s="84"/>
      <c r="P204" s="25"/>
      <c r="Q204" s="25"/>
      <c r="R204" s="70"/>
      <c r="S204" s="71"/>
      <c r="T204" s="30">
        <f>IF(Table110[[#This Row],[SKU]]="",0,24-Table110[[#This Row],[Legal Non-Operating Time]]-Table110[[#This Row],[No Demand Time]]-Table110[[#This Row],[Force Majeure]])</f>
        <v>24</v>
      </c>
      <c r="U204" s="26"/>
      <c r="V204" s="26">
        <v>1</v>
      </c>
      <c r="W204" s="26"/>
      <c r="X204" s="26"/>
      <c r="Y204" s="26"/>
      <c r="Z204" s="26"/>
      <c r="AA204" s="26"/>
      <c r="AB204" s="30">
        <f>Table110[[#This Row],[Hours Used]]-SUM(Table110[[#This Row],[Planned Maintenance]:[Start and Finish Production]])</f>
        <v>23</v>
      </c>
      <c r="AC204" s="26">
        <v>0.5</v>
      </c>
      <c r="AD204" s="26">
        <v>1.5</v>
      </c>
      <c r="AE204" s="26"/>
      <c r="AF204" s="26"/>
      <c r="AG204" s="26"/>
      <c r="AH204" s="26"/>
      <c r="AI204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0.30204081632653157</v>
      </c>
      <c r="AJ204" s="24">
        <f ca="1">IFERROR(IF(Table110[[#This Row],[SKU]]="",0,Table110[[#This Row],[Quality Loss (T)]]/(Table110[[#This Row],[SOC (TPD)]]/24)),"")</f>
        <v>0.80816326530612237</v>
      </c>
      <c r="AK204" s="31">
        <f ca="1">IFERROR(IF(Table110[[#This Row],[SKU]]="",0,Table110[[#This Row],[Volume Delivered (T)]]/(Table110[[#This Row],[SOC (TPD)]]/24)),"")</f>
        <v>19.285714285714285</v>
      </c>
      <c r="AL204" s="31">
        <f ca="1">IFERROR(Table110[[#This Row],[Operating Time]]/Table110[[#This Row],[PRODUCTION HOURS]],"")</f>
        <v>0.83850931677018625</v>
      </c>
      <c r="AM204" s="32">
        <v>74</v>
      </c>
      <c r="AN204" s="32" t="s">
        <v>107</v>
      </c>
      <c r="AO204" s="32" t="s">
        <v>107</v>
      </c>
      <c r="AP204" s="32">
        <v>3</v>
      </c>
      <c r="AQ204" s="32">
        <v>0</v>
      </c>
      <c r="AR204" s="32"/>
      <c r="AS204" s="32" t="str">
        <f>IFERROR(SUMIFS(#REF!,#REF!,'Shift Wise-Data Sheet'!A:A,#REF!,"Samridhi Perk Line")/SUMIFS(#REF!,#REF!,'Shift Wise-Data Sheet'!A:A,#REF!,"Samridhi Perk Line"),"")</f>
        <v/>
      </c>
      <c r="AT204" s="32"/>
      <c r="AU204" s="32"/>
      <c r="AV204" s="211">
        <f>IFERROR(VLOOKUP(Table110[[#This Row],[Date]],'Overweight Data'!A202:G1297,6,FALSE),"")</f>
        <v>2.734806629834248E-2</v>
      </c>
      <c r="AW204" s="221">
        <f ca="1">IFERROR(
   IF(
      OR(Table110[[#This Row],[Operating Time]]=0, (Table110[[#This Row],[Operating Time]]/IF(AD204&lt;=1,AD204+1,AD204))*60=0),
      1,
      ((Table110[[#This Row],[Operating Time]])/IF(AD204&lt;=1,AD204+1,AD204))*60
   ),
"_")</f>
        <v>771.42857142857133</v>
      </c>
      <c r="AX204" s="221">
        <f>COUNTIFS('Downtime Data'!A:A,Table110[[#This Row],[Date]])</f>
        <v>3</v>
      </c>
      <c r="AY204" s="219">
        <f>IFERROR((SUM(Table110[[#This Row],[Minor Stoppages]:[Material Shortages]])/Table110[[#This Row],['# Stops]])*60,"")</f>
        <v>40</v>
      </c>
      <c r="AZ204" s="219"/>
      <c r="BA204" s="33">
        <v>46229</v>
      </c>
    </row>
    <row r="205" spans="1:53" ht="20.149999999999999" customHeight="1" x14ac:dyDescent="0.35">
      <c r="A205" s="21">
        <v>46222</v>
      </c>
      <c r="B205" s="22" t="str">
        <f t="shared" si="4"/>
        <v>Sunday</v>
      </c>
      <c r="C205" s="22"/>
      <c r="D205" s="23" t="s">
        <v>106</v>
      </c>
      <c r="E205" s="24" cm="1">
        <f t="array" aca="1" ref="E205" ca="1">IFERROR(INDIRECT(D205),"")</f>
        <v>39.200000000000003</v>
      </c>
      <c r="F205" s="25">
        <v>32</v>
      </c>
      <c r="G205" s="26">
        <f>23.4+8.4</f>
        <v>31.799999999999997</v>
      </c>
      <c r="H205" s="27">
        <f ca="1">IFERROR((Table110[[#This Row],[Plan]]/Table110[[#This Row],[Hours Used]])/(Table110[[#This Row],[SOC (TPD)]]/24),"")</f>
        <v>0.81632653061224481</v>
      </c>
      <c r="I205" s="27">
        <f ca="1">IFERROR((Table110[[#This Row],[Volume Delivered (T)]]/Table110[[#This Row],[Hours Used]])/(Table110[[#This Row],[SOC (TPD)]]/24),"")</f>
        <v>0.81122448979591821</v>
      </c>
      <c r="J205" s="28"/>
      <c r="K205" s="28"/>
      <c r="L205" s="28"/>
      <c r="M205" s="25">
        <f>(VLOOKUP(Table110[[#This Row],[Date]],'Coated Rework Data'!$A:$F,5)/1000)</f>
        <v>1.32</v>
      </c>
      <c r="N205" s="29">
        <v>3.7999999999999999E-2</v>
      </c>
      <c r="O205" s="84"/>
      <c r="P205" s="25"/>
      <c r="Q205" s="25"/>
      <c r="R205" s="70"/>
      <c r="S205" s="71"/>
      <c r="T205" s="30">
        <f>IF(Table110[[#This Row],[SKU]]="",0,24-Table110[[#This Row],[Legal Non-Operating Time]]-Table110[[#This Row],[No Demand Time]]-Table110[[#This Row],[Force Majeure]])</f>
        <v>24</v>
      </c>
      <c r="U205" s="26"/>
      <c r="V205" s="26">
        <v>1</v>
      </c>
      <c r="W205" s="26"/>
      <c r="X205" s="26"/>
      <c r="Y205" s="26"/>
      <c r="Z205" s="26"/>
      <c r="AA205" s="26"/>
      <c r="AB205" s="30">
        <f>Table110[[#This Row],[Hours Used]]-SUM(Table110[[#This Row],[Planned Maintenance]:[Start and Finish Production]])</f>
        <v>23</v>
      </c>
      <c r="AC205" s="26"/>
      <c r="AD205" s="26">
        <v>1.5</v>
      </c>
      <c r="AE205" s="26"/>
      <c r="AF205" s="26"/>
      <c r="AG205" s="26"/>
      <c r="AH205" s="26"/>
      <c r="AI205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0.40748299319728076</v>
      </c>
      <c r="AJ205" s="24">
        <f ca="1">IFERROR(IF(Table110[[#This Row],[SKU]]="",0,Table110[[#This Row],[Quality Loss (T)]]/(Table110[[#This Row],[SOC (TPD)]]/24)),"")</f>
        <v>0.80816326530612237</v>
      </c>
      <c r="AK205" s="31">
        <f ca="1">IFERROR(IF(Table110[[#This Row],[SKU]]="",0,Table110[[#This Row],[Volume Delivered (T)]]/(Table110[[#This Row],[SOC (TPD)]]/24)),"")</f>
        <v>19.469387755102037</v>
      </c>
      <c r="AL205" s="31">
        <f ca="1">IFERROR(Table110[[#This Row],[Operating Time]]/Table110[[#This Row],[PRODUCTION HOURS]],"")</f>
        <v>0.84649511978704506</v>
      </c>
      <c r="AM205" s="32">
        <v>74</v>
      </c>
      <c r="AN205" s="32" t="s">
        <v>107</v>
      </c>
      <c r="AO205" s="32" t="s">
        <v>107</v>
      </c>
      <c r="AP205" s="32">
        <v>0</v>
      </c>
      <c r="AQ205" s="32">
        <v>0</v>
      </c>
      <c r="AR205" s="32"/>
      <c r="AS205" s="32" t="str">
        <f>IFERROR(SUMIFS(#REF!,#REF!,'Shift Wise-Data Sheet'!A:A,#REF!,"Samridhi Perk Line")/SUMIFS(#REF!,#REF!,'Shift Wise-Data Sheet'!A:A,#REF!,"Samridhi Perk Line"),"")</f>
        <v/>
      </c>
      <c r="AT205" s="32"/>
      <c r="AU205" s="32"/>
      <c r="AV205" s="211">
        <f>IFERROR(VLOOKUP(Table110[[#This Row],[Date]],'Overweight Data'!A203:G1298,6,FALSE),"")</f>
        <v>2.3351749539594856E-2</v>
      </c>
      <c r="AW205" s="221">
        <f ca="1">IFERROR(
   IF(
      OR(Table110[[#This Row],[Operating Time]]=0, (Table110[[#This Row],[Operating Time]]/IF(AD205&lt;=1,AD205+1,AD205))*60=0),
      1,
      ((Table110[[#This Row],[Operating Time]])/IF(AD205&lt;=1,AD205+1,AD205))*60
   ),
"_")</f>
        <v>778.77551020408146</v>
      </c>
      <c r="AX205" s="221">
        <f>COUNTIFS('Downtime Data'!A:A,Table110[[#This Row],[Date]])</f>
        <v>1</v>
      </c>
      <c r="AY205" s="219">
        <f>IFERROR((SUM(Table110[[#This Row],[Minor Stoppages]:[Material Shortages]])/Table110[[#This Row],['# Stops]])*60,"")</f>
        <v>90</v>
      </c>
      <c r="AZ205" s="219"/>
      <c r="BA205" s="33">
        <v>46229</v>
      </c>
    </row>
    <row r="206" spans="1:53" ht="20.149999999999999" customHeight="1" x14ac:dyDescent="0.35">
      <c r="A206" s="21">
        <v>46223</v>
      </c>
      <c r="B206" s="22" t="str">
        <f t="shared" si="4"/>
        <v>Monday</v>
      </c>
      <c r="C206" s="22"/>
      <c r="D206" s="23" t="s">
        <v>106</v>
      </c>
      <c r="E206" s="24" cm="1">
        <f t="array" aca="1" ref="E206" ca="1">IFERROR(INDIRECT(D206),"")</f>
        <v>39.200000000000003</v>
      </c>
      <c r="F206" s="25">
        <v>32</v>
      </c>
      <c r="G206" s="26">
        <v>34.799999999999997</v>
      </c>
      <c r="H206" s="27">
        <f ca="1">IFERROR((Table110[[#This Row],[Plan]]/Table110[[#This Row],[Hours Used]])/(Table110[[#This Row],[SOC (TPD)]]/24),"")</f>
        <v>0.81632653061224481</v>
      </c>
      <c r="I206" s="27">
        <f ca="1">IFERROR((Table110[[#This Row],[Volume Delivered (T)]]/Table110[[#This Row],[Hours Used]])/(Table110[[#This Row],[SOC (TPD)]]/24),"")</f>
        <v>0.8877551020408162</v>
      </c>
      <c r="J206" s="28"/>
      <c r="K206" s="28"/>
      <c r="L206" s="28"/>
      <c r="M206" s="25">
        <f>(VLOOKUP(Table110[[#This Row],[Date]],'Coated Rework Data'!$A:$F,5)/1000)</f>
        <v>1.32</v>
      </c>
      <c r="N206" s="29">
        <v>3.7999999999999999E-2</v>
      </c>
      <c r="O206" s="84"/>
      <c r="P206" s="25"/>
      <c r="Q206" s="25"/>
      <c r="R206" s="70"/>
      <c r="S206" s="71"/>
      <c r="T206" s="30">
        <f>IF(Table110[[#This Row],[SKU]]="",0,24-Table110[[#This Row],[Legal Non-Operating Time]]-Table110[[#This Row],[No Demand Time]]-Table110[[#This Row],[Force Majeure]])</f>
        <v>24</v>
      </c>
      <c r="U206" s="26"/>
      <c r="V206" s="26">
        <v>1</v>
      </c>
      <c r="W206" s="26"/>
      <c r="X206" s="26"/>
      <c r="Y206" s="26"/>
      <c r="Z206" s="26"/>
      <c r="AA206" s="26"/>
      <c r="AB206" s="30">
        <f>Table110[[#This Row],[Hours Used]]-SUM(Table110[[#This Row],[Planned Maintenance]:[Start and Finish Production]])</f>
        <v>23</v>
      </c>
      <c r="AC206" s="26"/>
      <c r="AD206" s="26"/>
      <c r="AE206" s="26"/>
      <c r="AF206" s="26"/>
      <c r="AG206" s="26"/>
      <c r="AH206" s="26"/>
      <c r="AI206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0.29523809523809774</v>
      </c>
      <c r="AJ206" s="24">
        <f ca="1">IFERROR(IF(Table110[[#This Row],[SKU]]="",0,Table110[[#This Row],[Quality Loss (T)]]/(Table110[[#This Row],[SOC (TPD)]]/24)),"")</f>
        <v>0.80816326530612237</v>
      </c>
      <c r="AK206" s="31">
        <f ca="1">IFERROR(IF(Table110[[#This Row],[SKU]]="",0,Table110[[#This Row],[Volume Delivered (T)]]/(Table110[[#This Row],[SOC (TPD)]]/24)),"")</f>
        <v>21.306122448979586</v>
      </c>
      <c r="AL206" s="31">
        <f ca="1">IFERROR(Table110[[#This Row],[Operating Time]]/Table110[[#This Row],[PRODUCTION HOURS]],"")</f>
        <v>0.92635314995563423</v>
      </c>
      <c r="AM206" s="32">
        <v>74</v>
      </c>
      <c r="AN206" s="32" t="s">
        <v>107</v>
      </c>
      <c r="AO206" s="32" t="s">
        <v>107</v>
      </c>
      <c r="AP206" s="32">
        <v>18</v>
      </c>
      <c r="AQ206" s="32">
        <v>0</v>
      </c>
      <c r="AR206" s="32"/>
      <c r="AS206" s="32" t="str">
        <f>IFERROR(SUMIFS(#REF!,#REF!,'Shift Wise-Data Sheet'!A:A,#REF!,"Samridhi Perk Line")/SUMIFS(#REF!,#REF!,'Shift Wise-Data Sheet'!A:A,#REF!,"Samridhi Perk Line"),"")</f>
        <v/>
      </c>
      <c r="AT206" s="32"/>
      <c r="AU206" s="32"/>
      <c r="AV206" s="211">
        <f>IFERROR(VLOOKUP(Table110[[#This Row],[Date]],'Overweight Data'!A204:G1299,6,FALSE),"")</f>
        <v>2.8655616942909762E-2</v>
      </c>
      <c r="AW206" s="221">
        <f ca="1">IFERROR(
   IF(
      OR(Table110[[#This Row],[Operating Time]]=0, (Table110[[#This Row],[Operating Time]]/IF(AD206&lt;=1,AD206+1,AD206))*60=0),
      1,
      ((Table110[[#This Row],[Operating Time]])/IF(AD206&lt;=1,AD206+1,AD206))*60
   ),
"_")</f>
        <v>1278.3673469387752</v>
      </c>
      <c r="AX206" s="221">
        <f>COUNTIFS('Downtime Data'!A:A,Table110[[#This Row],[Date]])</f>
        <v>0</v>
      </c>
      <c r="AY206" s="219" t="str">
        <f>IFERROR((SUM(Table110[[#This Row],[Minor Stoppages]:[Material Shortages]])/Table110[[#This Row],['# Stops]])*60,"")</f>
        <v/>
      </c>
      <c r="AZ206" s="219"/>
      <c r="BA206" s="33">
        <v>46229</v>
      </c>
    </row>
    <row r="207" spans="1:53" ht="20.149999999999999" customHeight="1" x14ac:dyDescent="0.35">
      <c r="A207" s="21">
        <v>46224</v>
      </c>
      <c r="B207" s="22" t="str">
        <f t="shared" si="4"/>
        <v>Tuesday</v>
      </c>
      <c r="C207" s="22"/>
      <c r="D207" s="23"/>
      <c r="E207" s="24"/>
      <c r="F207" s="25"/>
      <c r="G207" s="26"/>
      <c r="H207" s="27" t="str">
        <f>IFERROR((Table110[[#This Row],[Plan]]/Table110[[#This Row],[Hours Used]])/(Table110[[#This Row],[SOC (TPD)]]/24),"")</f>
        <v/>
      </c>
      <c r="I207" s="27" t="str">
        <f>IFERROR((Table110[[#This Row],[Volume Delivered (T)]]/Table110[[#This Row],[Hours Used]])/(Table110[[#This Row],[SOC (TPD)]]/24),"")</f>
        <v/>
      </c>
      <c r="J207" s="28"/>
      <c r="K207" s="28"/>
      <c r="L207" s="28"/>
      <c r="M207" s="25"/>
      <c r="N207" s="29"/>
      <c r="O207" s="84"/>
      <c r="P207" s="25"/>
      <c r="Q207" s="25"/>
      <c r="R207" s="70"/>
      <c r="S207" s="71"/>
      <c r="T207" s="30">
        <f>IF(Table110[[#This Row],[SKU]]="",0,24-Table110[[#This Row],[Legal Non-Operating Time]]-Table110[[#This Row],[No Demand Time]]-Table110[[#This Row],[Force Majeure]])</f>
        <v>0</v>
      </c>
      <c r="U207" s="26"/>
      <c r="V207" s="26"/>
      <c r="W207" s="26"/>
      <c r="X207" s="26"/>
      <c r="Y207" s="26"/>
      <c r="Z207" s="26"/>
      <c r="AA207" s="26"/>
      <c r="AB207" s="30">
        <f>Table110[[#This Row],[Hours Used]]-SUM(Table110[[#This Row],[Planned Maintenance]:[Start and Finish Production]])</f>
        <v>0</v>
      </c>
      <c r="AC207" s="26"/>
      <c r="AD207" s="26"/>
      <c r="AE207" s="26"/>
      <c r="AF207" s="26"/>
      <c r="AG207" s="26"/>
      <c r="AH207" s="26"/>
      <c r="AI207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07" s="24">
        <f>IFERROR(IF(Table110[[#This Row],[SKU]]="",0,Table110[[#This Row],[Quality Loss (T)]]/(Table110[[#This Row],[SOC (TPD)]]/24)),"")</f>
        <v>0</v>
      </c>
      <c r="AK207" s="31">
        <f>IFERROR(IF(Table110[[#This Row],[SKU]]="",0,Table110[[#This Row],[Volume Delivered (T)]]/(Table110[[#This Row],[SOC (TPD)]]/24)),"")</f>
        <v>0</v>
      </c>
      <c r="AL207" s="31" t="str">
        <f>IFERROR(Table110[[#This Row],[Operating Time]]/Table110[[#This Row],[PRODUCTION HOURS]],"")</f>
        <v/>
      </c>
      <c r="AM207" s="32"/>
      <c r="AN207" s="32"/>
      <c r="AO207" s="32"/>
      <c r="AP207" s="32">
        <v>0</v>
      </c>
      <c r="AQ207" s="32">
        <v>0</v>
      </c>
      <c r="AR207" s="32"/>
      <c r="AS207" s="32" t="str">
        <f>IFERROR(SUMIFS(#REF!,#REF!,'Shift Wise-Data Sheet'!A:A,#REF!,"Samridhi Perk Line")/SUMIFS(#REF!,#REF!,'Shift Wise-Data Sheet'!A:A,#REF!,"Samridhi Perk Line"),"")</f>
        <v/>
      </c>
      <c r="AT207" s="32"/>
      <c r="AU207" s="32"/>
      <c r="AV207" s="211" t="str">
        <f>IFERROR(VLOOKUP(Table110[[#This Row],[Date]],'Overweight Data'!A205:G1300,6,FALSE),"")</f>
        <v/>
      </c>
      <c r="AW207" s="221">
        <f>IFERROR(
   IF(
      OR(Table110[[#This Row],[Operating Time]]=0, (Table110[[#This Row],[Operating Time]]/IF(AD207&lt;=1,AD207+1,AD207))*60=0),
      1,
      ((Table110[[#This Row],[Operating Time]])/IF(AD207&lt;=1,AD207+1,AD207))*60
   ),
"_")</f>
        <v>1</v>
      </c>
      <c r="AX207" s="221">
        <f>COUNTIFS('Downtime Data'!A:A,Table110[[#This Row],[Date]])</f>
        <v>0</v>
      </c>
      <c r="AY207" s="219" t="str">
        <f>IFERROR((SUM(Table110[[#This Row],[Minor Stoppages]:[Material Shortages]])/Table110[[#This Row],['# Stops]])*60,"")</f>
        <v/>
      </c>
      <c r="AZ207" s="219"/>
      <c r="BA207" s="33">
        <v>46229</v>
      </c>
    </row>
    <row r="208" spans="1:53" ht="20.149999999999999" customHeight="1" x14ac:dyDescent="0.35">
      <c r="A208" s="21">
        <v>46225</v>
      </c>
      <c r="B208" s="22" t="str">
        <f t="shared" si="4"/>
        <v>Wednesday</v>
      </c>
      <c r="C208" s="22"/>
      <c r="D208" s="23"/>
      <c r="E208" s="24"/>
      <c r="F208" s="25"/>
      <c r="G208" s="26"/>
      <c r="H208" s="27"/>
      <c r="I208" s="27"/>
      <c r="J208" s="28"/>
      <c r="K208" s="28"/>
      <c r="L208" s="28"/>
      <c r="M208" s="25"/>
      <c r="N208" s="29"/>
      <c r="O208" s="84"/>
      <c r="P208" s="25"/>
      <c r="Q208" s="25"/>
      <c r="R208" s="70"/>
      <c r="S208" s="71"/>
      <c r="T208" s="30">
        <f>IF(Table110[[#This Row],[SKU]]="",0,24-Table110[[#This Row],[Legal Non-Operating Time]]-Table110[[#This Row],[No Demand Time]]-Table110[[#This Row],[Force Majeure]])</f>
        <v>0</v>
      </c>
      <c r="U208" s="26"/>
      <c r="V208" s="26"/>
      <c r="W208" s="26"/>
      <c r="X208" s="26"/>
      <c r="Y208" s="26"/>
      <c r="Z208" s="26"/>
      <c r="AA208" s="26"/>
      <c r="AB208" s="30">
        <f>Table110[[#This Row],[Hours Used]]-SUM(Table110[[#This Row],[Planned Maintenance]:[Start and Finish Production]])</f>
        <v>0</v>
      </c>
      <c r="AC208" s="26"/>
      <c r="AD208" s="26"/>
      <c r="AE208" s="26"/>
      <c r="AF208" s="26"/>
      <c r="AG208" s="26"/>
      <c r="AH208" s="26"/>
      <c r="AI208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08" s="24">
        <f>IFERROR(IF(Table110[[#This Row],[SKU]]="",0,Table110[[#This Row],[Quality Loss (T)]]/(Table110[[#This Row],[SOC (TPD)]]/24)),"")</f>
        <v>0</v>
      </c>
      <c r="AK208" s="31">
        <f>IFERROR(IF(Table110[[#This Row],[SKU]]="",0,Table110[[#This Row],[Volume Delivered (T)]]/(Table110[[#This Row],[SOC (TPD)]]/24)),"")</f>
        <v>0</v>
      </c>
      <c r="AL208" s="31" t="str">
        <f>IFERROR(Table110[[#This Row],[Operating Time]]/Table110[[#This Row],[PRODUCTION HOURS]],"")</f>
        <v/>
      </c>
      <c r="AM208" s="32"/>
      <c r="AN208" s="32"/>
      <c r="AO208" s="32"/>
      <c r="AP208" s="32">
        <v>0</v>
      </c>
      <c r="AQ208" s="32">
        <v>0</v>
      </c>
      <c r="AR208" s="32"/>
      <c r="AS208" s="32" t="str">
        <f>IFERROR(SUMIFS(#REF!,#REF!,'Shift Wise-Data Sheet'!A:A,#REF!,"Samridhi Perk Line")/SUMIFS(#REF!,#REF!,'Shift Wise-Data Sheet'!A:A,#REF!,"Samridhi Perk Line"),"")</f>
        <v/>
      </c>
      <c r="AT208" s="32"/>
      <c r="AU208" s="32"/>
      <c r="AV208" s="211" t="str">
        <f>IFERROR(VLOOKUP(Table110[[#This Row],[Date]],'Overweight Data'!A206:G1301,6,FALSE),"")</f>
        <v/>
      </c>
      <c r="AW208" s="221">
        <f>IFERROR(
   IF(
      OR(Table110[[#This Row],[Operating Time]]=0, (Table110[[#This Row],[Operating Time]]/IF(AD208&lt;=1,AD208+1,AD208))*60=0),
      1,
      ((Table110[[#This Row],[Operating Time]])/IF(AD208&lt;=1,AD208+1,AD208))*60
   ),
"_")</f>
        <v>1</v>
      </c>
      <c r="AX208" s="221">
        <f>COUNTIFS('Downtime Data'!A:A,Table110[[#This Row],[Date]])</f>
        <v>0</v>
      </c>
      <c r="AY208" s="219" t="str">
        <f>IFERROR((SUM(Table110[[#This Row],[Minor Stoppages]:[Material Shortages]])/Table110[[#This Row],['# Stops]])*60,"")</f>
        <v/>
      </c>
      <c r="AZ208" s="219"/>
      <c r="BA208" s="33">
        <v>46229</v>
      </c>
    </row>
    <row r="209" spans="1:53" ht="20.149999999999999" customHeight="1" x14ac:dyDescent="0.35">
      <c r="A209" s="21">
        <v>46226</v>
      </c>
      <c r="B209" s="22" t="str">
        <f t="shared" si="4"/>
        <v>Thursday</v>
      </c>
      <c r="C209" s="22"/>
      <c r="D209" s="23"/>
      <c r="E209" s="24"/>
      <c r="F209" s="25"/>
      <c r="G209" s="26"/>
      <c r="H209" s="27"/>
      <c r="I209" s="27"/>
      <c r="J209" s="28"/>
      <c r="K209" s="28"/>
      <c r="L209" s="28"/>
      <c r="M209" s="25"/>
      <c r="N209" s="29"/>
      <c r="O209" s="84"/>
      <c r="P209" s="25"/>
      <c r="Q209" s="25"/>
      <c r="R209" s="70"/>
      <c r="S209" s="71"/>
      <c r="T209" s="30">
        <f>IF(Table110[[#This Row],[SKU]]="",0,24-Table110[[#This Row],[Legal Non-Operating Time]]-Table110[[#This Row],[No Demand Time]]-Table110[[#This Row],[Force Majeure]])</f>
        <v>0</v>
      </c>
      <c r="U209" s="26"/>
      <c r="V209" s="26"/>
      <c r="W209" s="26"/>
      <c r="X209" s="26"/>
      <c r="Y209" s="26"/>
      <c r="Z209" s="26"/>
      <c r="AA209" s="26"/>
      <c r="AB209" s="30">
        <f>Table110[[#This Row],[Hours Used]]-SUM(Table110[[#This Row],[Planned Maintenance]:[Start and Finish Production]])</f>
        <v>0</v>
      </c>
      <c r="AC209" s="26"/>
      <c r="AD209" s="26"/>
      <c r="AE209" s="26"/>
      <c r="AF209" s="26"/>
      <c r="AG209" s="26"/>
      <c r="AH209" s="26"/>
      <c r="AI209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09" s="24">
        <f>IFERROR(IF(Table110[[#This Row],[SKU]]="",0,Table110[[#This Row],[Quality Loss (T)]]/(Table110[[#This Row],[SOC (TPD)]]/24)),"")</f>
        <v>0</v>
      </c>
      <c r="AK209" s="31">
        <f>IFERROR(IF(Table110[[#This Row],[SKU]]="",0,Table110[[#This Row],[Volume Delivered (T)]]/(Table110[[#This Row],[SOC (TPD)]]/24)),"")</f>
        <v>0</v>
      </c>
      <c r="AL209" s="31" t="str">
        <f>IFERROR(Table110[[#This Row],[Operating Time]]/Table110[[#This Row],[PRODUCTION HOURS]],"")</f>
        <v/>
      </c>
      <c r="AM209" s="32"/>
      <c r="AN209" s="32"/>
      <c r="AO209" s="32"/>
      <c r="AP209" s="32">
        <v>0</v>
      </c>
      <c r="AQ209" s="32">
        <v>0</v>
      </c>
      <c r="AR209" s="32"/>
      <c r="AS209" s="32" t="str">
        <f>IFERROR(SUMIFS(#REF!,#REF!,'Shift Wise-Data Sheet'!A:A,#REF!,"Samridhi Perk Line")/SUMIFS(#REF!,#REF!,'Shift Wise-Data Sheet'!A:A,#REF!,"Samridhi Perk Line"),"")</f>
        <v/>
      </c>
      <c r="AT209" s="32"/>
      <c r="AU209" s="32"/>
      <c r="AV209" s="211" t="str">
        <f>IFERROR(VLOOKUP(Table110[[#This Row],[Date]],'Overweight Data'!A207:G1302,6,FALSE),"")</f>
        <v/>
      </c>
      <c r="AW209" s="221">
        <f>IFERROR(
   IF(
      OR(Table110[[#This Row],[Operating Time]]=0, (Table110[[#This Row],[Operating Time]]/IF(AD209&lt;=1,AD209+1,AD209))*60=0),
      1,
      ((Table110[[#This Row],[Operating Time]])/IF(AD209&lt;=1,AD209+1,AD209))*60
   ),
"_")</f>
        <v>1</v>
      </c>
      <c r="AX209" s="221">
        <f>COUNTIFS('Downtime Data'!A:A,Table110[[#This Row],[Date]])</f>
        <v>0</v>
      </c>
      <c r="AY209" s="219" t="str">
        <f>IFERROR((SUM(Table110[[#This Row],[Minor Stoppages]:[Material Shortages]])/Table110[[#This Row],['# Stops]])*60,"")</f>
        <v/>
      </c>
      <c r="AZ209" s="219"/>
      <c r="BA209" s="33">
        <v>46229</v>
      </c>
    </row>
    <row r="210" spans="1:53" ht="20.149999999999999" customHeight="1" x14ac:dyDescent="0.35">
      <c r="A210" s="21">
        <v>46227</v>
      </c>
      <c r="B210" s="22" t="str">
        <f t="shared" si="4"/>
        <v>Friday</v>
      </c>
      <c r="C210" s="22"/>
      <c r="D210" s="23"/>
      <c r="E210" s="24"/>
      <c r="F210" s="25"/>
      <c r="G210" s="26"/>
      <c r="H210" s="27"/>
      <c r="I210" s="27"/>
      <c r="J210" s="28"/>
      <c r="K210" s="28"/>
      <c r="L210" s="28"/>
      <c r="M210" s="25"/>
      <c r="N210" s="29"/>
      <c r="O210" s="84"/>
      <c r="P210" s="25"/>
      <c r="Q210" s="25"/>
      <c r="R210" s="70"/>
      <c r="S210" s="71"/>
      <c r="T210" s="30">
        <f>IF(Table110[[#This Row],[SKU]]="",0,24-Table110[[#This Row],[Legal Non-Operating Time]]-Table110[[#This Row],[No Demand Time]]-Table110[[#This Row],[Force Majeure]])</f>
        <v>0</v>
      </c>
      <c r="U210" s="26"/>
      <c r="V210" s="26"/>
      <c r="W210" s="26"/>
      <c r="X210" s="26"/>
      <c r="Y210" s="26"/>
      <c r="Z210" s="26"/>
      <c r="AA210" s="26"/>
      <c r="AB210" s="30">
        <f>Table110[[#This Row],[Hours Used]]-SUM(Table110[[#This Row],[Planned Maintenance]:[Start and Finish Production]])</f>
        <v>0</v>
      </c>
      <c r="AC210" s="26"/>
      <c r="AD210" s="26"/>
      <c r="AE210" s="26"/>
      <c r="AF210" s="26"/>
      <c r="AG210" s="26"/>
      <c r="AH210" s="26"/>
      <c r="AI210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10" s="24">
        <f>IFERROR(IF(Table110[[#This Row],[SKU]]="",0,Table110[[#This Row],[Quality Loss (T)]]/(Table110[[#This Row],[SOC (TPD)]]/24)),"")</f>
        <v>0</v>
      </c>
      <c r="AK210" s="31">
        <f>IFERROR(IF(Table110[[#This Row],[SKU]]="",0,Table110[[#This Row],[Volume Delivered (T)]]/(Table110[[#This Row],[SOC (TPD)]]/24)),"")</f>
        <v>0</v>
      </c>
      <c r="AL210" s="31" t="str">
        <f>IFERROR(Table110[[#This Row],[Operating Time]]/Table110[[#This Row],[PRODUCTION HOURS]],"")</f>
        <v/>
      </c>
      <c r="AM210" s="32"/>
      <c r="AN210" s="32"/>
      <c r="AO210" s="32"/>
      <c r="AP210" s="32">
        <v>0</v>
      </c>
      <c r="AQ210" s="32">
        <v>0</v>
      </c>
      <c r="AR210" s="32"/>
      <c r="AS210" s="32" t="str">
        <f>IFERROR(SUMIFS(#REF!,#REF!,'Shift Wise-Data Sheet'!A:A,#REF!,"Samridhi Perk Line")/SUMIFS(#REF!,#REF!,'Shift Wise-Data Sheet'!A:A,#REF!,"Samridhi Perk Line"),"")</f>
        <v/>
      </c>
      <c r="AT210" s="32"/>
      <c r="AU210" s="32"/>
      <c r="AV210" s="211" t="str">
        <f>IFERROR(VLOOKUP(Table110[[#This Row],[Date]],'Overweight Data'!A208:G1303,6,FALSE),"")</f>
        <v/>
      </c>
      <c r="AW210" s="221">
        <f>IFERROR(
   IF(
      OR(Table110[[#This Row],[Operating Time]]=0, (Table110[[#This Row],[Operating Time]]/IF(AD210&lt;=1,AD210+1,AD210))*60=0),
      1,
      ((Table110[[#This Row],[Operating Time]])/IF(AD210&lt;=1,AD210+1,AD210))*60
   ),
"_")</f>
        <v>1</v>
      </c>
      <c r="AX210" s="221">
        <f>COUNTIFS('Downtime Data'!A:A,Table110[[#This Row],[Date]])</f>
        <v>0</v>
      </c>
      <c r="AY210" s="219" t="str">
        <f>IFERROR((SUM(Table110[[#This Row],[Minor Stoppages]:[Material Shortages]])/Table110[[#This Row],['# Stops]])*60,"")</f>
        <v/>
      </c>
      <c r="AZ210" s="219"/>
      <c r="BA210" s="33">
        <v>46229</v>
      </c>
    </row>
    <row r="211" spans="1:53" ht="20.149999999999999" customHeight="1" x14ac:dyDescent="0.35">
      <c r="A211" s="21">
        <v>46228</v>
      </c>
      <c r="B211" s="22" t="str">
        <f t="shared" si="4"/>
        <v>Saturday</v>
      </c>
      <c r="C211" s="22"/>
      <c r="D211" s="23"/>
      <c r="E211" s="24"/>
      <c r="F211" s="25"/>
      <c r="G211" s="26"/>
      <c r="H211" s="27"/>
      <c r="I211" s="27"/>
      <c r="J211" s="28"/>
      <c r="K211" s="28"/>
      <c r="L211" s="28"/>
      <c r="M211" s="25"/>
      <c r="N211" s="29"/>
      <c r="O211" s="84"/>
      <c r="P211" s="25"/>
      <c r="Q211" s="25"/>
      <c r="R211" s="70"/>
      <c r="S211" s="71"/>
      <c r="T211" s="30">
        <f>IF(Table110[[#This Row],[SKU]]="",0,24-Table110[[#This Row],[Legal Non-Operating Time]]-Table110[[#This Row],[No Demand Time]]-Table110[[#This Row],[Force Majeure]])</f>
        <v>0</v>
      </c>
      <c r="U211" s="26"/>
      <c r="V211" s="26"/>
      <c r="W211" s="26"/>
      <c r="X211" s="26"/>
      <c r="Y211" s="26"/>
      <c r="Z211" s="26"/>
      <c r="AA211" s="26"/>
      <c r="AB211" s="30">
        <f>Table110[[#This Row],[Hours Used]]-SUM(Table110[[#This Row],[Planned Maintenance]:[Start and Finish Production]])</f>
        <v>0</v>
      </c>
      <c r="AC211" s="26"/>
      <c r="AD211" s="26"/>
      <c r="AE211" s="26"/>
      <c r="AF211" s="26"/>
      <c r="AG211" s="26"/>
      <c r="AH211" s="26"/>
      <c r="AI211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11" s="24">
        <f>IFERROR(IF(Table110[[#This Row],[SKU]]="",0,Table110[[#This Row],[Quality Loss (T)]]/(Table110[[#This Row],[SOC (TPD)]]/24)),"")</f>
        <v>0</v>
      </c>
      <c r="AK211" s="31">
        <f>IFERROR(IF(Table110[[#This Row],[SKU]]="",0,Table110[[#This Row],[Volume Delivered (T)]]/(Table110[[#This Row],[SOC (TPD)]]/24)),"")</f>
        <v>0</v>
      </c>
      <c r="AL211" s="31" t="str">
        <f>IFERROR(Table110[[#This Row],[Operating Time]]/Table110[[#This Row],[PRODUCTION HOURS]],"")</f>
        <v/>
      </c>
      <c r="AM211" s="32"/>
      <c r="AN211" s="32"/>
      <c r="AO211" s="32"/>
      <c r="AP211" s="32">
        <v>0</v>
      </c>
      <c r="AQ211" s="32">
        <v>0</v>
      </c>
      <c r="AR211" s="32"/>
      <c r="AS211" s="32" t="str">
        <f>IFERROR(SUMIFS(#REF!,#REF!,'Shift Wise-Data Sheet'!A:A,#REF!,"Samridhi Perk Line")/SUMIFS(#REF!,#REF!,'Shift Wise-Data Sheet'!A:A,#REF!,"Samridhi Perk Line"),"")</f>
        <v/>
      </c>
      <c r="AT211" s="32"/>
      <c r="AU211" s="32"/>
      <c r="AV211" s="211" t="str">
        <f>IFERROR(VLOOKUP(Table110[[#This Row],[Date]],'Overweight Data'!A209:G1304,6,FALSE),"")</f>
        <v/>
      </c>
      <c r="AW211" s="221">
        <f>IFERROR(
   IF(
      OR(Table110[[#This Row],[Operating Time]]=0, (Table110[[#This Row],[Operating Time]]/IF(AD211&lt;=1,AD211+1,AD211))*60=0),
      1,
      ((Table110[[#This Row],[Operating Time]])/IF(AD211&lt;=1,AD211+1,AD211))*60
   ),
"_")</f>
        <v>1</v>
      </c>
      <c r="AX211" s="221">
        <f>COUNTIFS('Downtime Data'!A:A,Table110[[#This Row],[Date]])</f>
        <v>0</v>
      </c>
      <c r="AY211" s="219" t="str">
        <f>IFERROR((SUM(Table110[[#This Row],[Minor Stoppages]:[Material Shortages]])/Table110[[#This Row],['# Stops]])*60,"")</f>
        <v/>
      </c>
      <c r="AZ211" s="219"/>
      <c r="BA211" s="33">
        <v>46229</v>
      </c>
    </row>
    <row r="212" spans="1:53" ht="20.149999999999999" customHeight="1" x14ac:dyDescent="0.35">
      <c r="A212" s="21">
        <v>46229</v>
      </c>
      <c r="B212" s="22" t="str">
        <f t="shared" si="4"/>
        <v>Sunday</v>
      </c>
      <c r="C212" s="22"/>
      <c r="D212" s="23"/>
      <c r="E212" s="24"/>
      <c r="F212" s="25"/>
      <c r="G212" s="26"/>
      <c r="H212" s="27"/>
      <c r="I212" s="27"/>
      <c r="J212" s="28"/>
      <c r="K212" s="28"/>
      <c r="L212" s="28"/>
      <c r="M212" s="25"/>
      <c r="N212" s="29"/>
      <c r="O212" s="84"/>
      <c r="P212" s="25"/>
      <c r="Q212" s="25"/>
      <c r="R212" s="70"/>
      <c r="S212" s="71"/>
      <c r="T212" s="30">
        <f>IF(Table110[[#This Row],[SKU]]="",0,24-Table110[[#This Row],[Legal Non-Operating Time]]-Table110[[#This Row],[No Demand Time]]-Table110[[#This Row],[Force Majeure]])</f>
        <v>0</v>
      </c>
      <c r="U212" s="26"/>
      <c r="V212" s="26"/>
      <c r="W212" s="26"/>
      <c r="X212" s="26"/>
      <c r="Y212" s="26"/>
      <c r="Z212" s="26"/>
      <c r="AA212" s="26"/>
      <c r="AB212" s="30">
        <f>Table110[[#This Row],[Hours Used]]-SUM(Table110[[#This Row],[Planned Maintenance]:[Start and Finish Production]])</f>
        <v>0</v>
      </c>
      <c r="AC212" s="26"/>
      <c r="AD212" s="26"/>
      <c r="AE212" s="26"/>
      <c r="AF212" s="26"/>
      <c r="AG212" s="26"/>
      <c r="AH212" s="26"/>
      <c r="AI212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12" s="24">
        <f>IFERROR(IF(Table110[[#This Row],[SKU]]="",0,Table110[[#This Row],[Quality Loss (T)]]/(Table110[[#This Row],[SOC (TPD)]]/24)),"")</f>
        <v>0</v>
      </c>
      <c r="AK212" s="31">
        <f>IFERROR(IF(Table110[[#This Row],[SKU]]="",0,Table110[[#This Row],[Volume Delivered (T)]]/(Table110[[#This Row],[SOC (TPD)]]/24)),"")</f>
        <v>0</v>
      </c>
      <c r="AL212" s="31" t="str">
        <f>IFERROR(Table110[[#This Row],[Operating Time]]/Table110[[#This Row],[PRODUCTION HOURS]],"")</f>
        <v/>
      </c>
      <c r="AM212" s="32"/>
      <c r="AN212" s="32"/>
      <c r="AO212" s="32"/>
      <c r="AP212" s="32">
        <v>0</v>
      </c>
      <c r="AQ212" s="32">
        <v>0</v>
      </c>
      <c r="AR212" s="32"/>
      <c r="AS212" s="32" t="str">
        <f>IFERROR(SUMIFS(#REF!,#REF!,'Shift Wise-Data Sheet'!A:A,#REF!,"Samridhi Perk Line")/SUMIFS(#REF!,#REF!,'Shift Wise-Data Sheet'!A:A,#REF!,"Samridhi Perk Line"),"")</f>
        <v/>
      </c>
      <c r="AT212" s="32"/>
      <c r="AU212" s="32"/>
      <c r="AV212" s="211" t="str">
        <f>IFERROR(VLOOKUP(Table110[[#This Row],[Date]],'Overweight Data'!A210:G1305,6,FALSE),"")</f>
        <v/>
      </c>
      <c r="AW212" s="221">
        <f>IFERROR(
   IF(
      OR(Table110[[#This Row],[Operating Time]]=0, (Table110[[#This Row],[Operating Time]]/IF(AD212&lt;=1,AD212+1,AD212))*60=0),
      1,
      ((Table110[[#This Row],[Operating Time]])/IF(AD212&lt;=1,AD212+1,AD212))*60
   ),
"_")</f>
        <v>1</v>
      </c>
      <c r="AX212" s="221">
        <f>COUNTIFS('Downtime Data'!A:A,Table110[[#This Row],[Date]])</f>
        <v>0</v>
      </c>
      <c r="AY212" s="219" t="str">
        <f>IFERROR((SUM(Table110[[#This Row],[Minor Stoppages]:[Material Shortages]])/Table110[[#This Row],['# Stops]])*60,"")</f>
        <v/>
      </c>
      <c r="AZ212" s="219"/>
      <c r="BA212" s="33">
        <v>46229</v>
      </c>
    </row>
    <row r="213" spans="1:53" ht="20.149999999999999" customHeight="1" x14ac:dyDescent="0.35">
      <c r="A213" s="21">
        <v>46230</v>
      </c>
      <c r="B213" s="22" t="str">
        <f t="shared" si="4"/>
        <v>Monday</v>
      </c>
      <c r="C213" s="22"/>
      <c r="D213" s="23"/>
      <c r="E213" s="24" t="str" cm="1">
        <f t="array" aca="1" ref="E213" ca="1">IFERROR(INDIRECT(D213),"")</f>
        <v/>
      </c>
      <c r="F213" s="25"/>
      <c r="G213" s="26"/>
      <c r="H213" s="27" t="str">
        <f ca="1">IFERROR((Table110[[#This Row],[Plan]]/Table110[[#This Row],[Hours Used]])/(Table110[[#This Row],[SOC (TPD)]]/24),"")</f>
        <v/>
      </c>
      <c r="I213" s="27" t="str">
        <f ca="1">IFERROR((Table110[[#This Row],[Volume Delivered (T)]]/Table110[[#This Row],[Hours Used]])/(Table110[[#This Row],[SOC (TPD)]]/24),"")</f>
        <v/>
      </c>
      <c r="J213" s="28"/>
      <c r="K213" s="28"/>
      <c r="L213" s="28"/>
      <c r="M213" s="25"/>
      <c r="N213" s="29"/>
      <c r="O213" s="84"/>
      <c r="P213" s="25"/>
      <c r="Q213" s="25"/>
      <c r="R213" s="70"/>
      <c r="S213" s="71"/>
      <c r="T213" s="30">
        <f>IF(Table110[[#This Row],[SKU]]="",0,24-Table110[[#This Row],[Legal Non-Operating Time]]-Table110[[#This Row],[No Demand Time]]-Table110[[#This Row],[Force Majeure]])</f>
        <v>0</v>
      </c>
      <c r="U213" s="26"/>
      <c r="V213" s="26"/>
      <c r="W213" s="26"/>
      <c r="X213" s="26"/>
      <c r="Y213" s="26"/>
      <c r="Z213" s="26"/>
      <c r="AA213" s="26"/>
      <c r="AB213" s="30">
        <f>Table110[[#This Row],[Hours Used]]-SUM(Table110[[#This Row],[Planned Maintenance]:[Start and Finish Production]])</f>
        <v>0</v>
      </c>
      <c r="AC213" s="26"/>
      <c r="AD213" s="26"/>
      <c r="AE213" s="26"/>
      <c r="AF213" s="26"/>
      <c r="AG213" s="26"/>
      <c r="AH213" s="26"/>
      <c r="AI213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13" s="24">
        <f>IFERROR(IF(Table110[[#This Row],[SKU]]="",0,Table110[[#This Row],[Quality Loss (T)]]/(Table110[[#This Row],[SOC (TPD)]]/24)),"")</f>
        <v>0</v>
      </c>
      <c r="AK213" s="31">
        <f>IFERROR(IF(Table110[[#This Row],[SKU]]="",0,Table110[[#This Row],[Volume Delivered (T)]]/(Table110[[#This Row],[SOC (TPD)]]/24)),"")</f>
        <v>0</v>
      </c>
      <c r="AL213" s="31" t="str">
        <f>IFERROR(Table110[[#This Row],[Operating Time]]/Table110[[#This Row],[PRODUCTION HOURS]],"")</f>
        <v/>
      </c>
      <c r="AM213" s="32"/>
      <c r="AN213" s="32"/>
      <c r="AO213" s="32"/>
      <c r="AP213" s="32">
        <v>18</v>
      </c>
      <c r="AQ213" s="32">
        <v>0</v>
      </c>
      <c r="AR213" s="32"/>
      <c r="AS213" s="32" t="str">
        <f>IFERROR(SUMIFS(#REF!,#REF!,'Shift Wise-Data Sheet'!A:A,#REF!,"Samridhi Perk Line")/SUMIFS(#REF!,#REF!,'Shift Wise-Data Sheet'!A:A,#REF!,"Samridhi Perk Line"),"")</f>
        <v/>
      </c>
      <c r="AT213" s="32"/>
      <c r="AU213" s="32"/>
      <c r="AV213" s="211" t="str">
        <f>IFERROR(VLOOKUP(Table110[[#This Row],[Date]],'Overweight Data'!A211:G1306,6,FALSE),"")</f>
        <v/>
      </c>
      <c r="AW213" s="221">
        <f>IFERROR(
   IF(
      OR(Table110[[#This Row],[Operating Time]]=0, (Table110[[#This Row],[Operating Time]]/IF(AD213&lt;=1,AD213+1,AD213))*60=0),
      1,
      ((Table110[[#This Row],[Operating Time]])/IF(AD213&lt;=1,AD213+1,AD213))*60
   ),
"_")</f>
        <v>1</v>
      </c>
      <c r="AX213" s="221">
        <f>COUNTIFS('Downtime Data'!A:A,Table110[[#This Row],[Date]])</f>
        <v>0</v>
      </c>
      <c r="AY213" s="219" t="str">
        <f>IFERROR((SUM(Table110[[#This Row],[Minor Stoppages]:[Material Shortages]])/Table110[[#This Row],['# Stops]])*60,"")</f>
        <v/>
      </c>
      <c r="AZ213" s="219"/>
      <c r="BA213" s="33">
        <v>46229</v>
      </c>
    </row>
    <row r="214" spans="1:53" ht="20.149999999999999" customHeight="1" x14ac:dyDescent="0.35">
      <c r="A214" s="21">
        <v>46231</v>
      </c>
      <c r="B214" s="22" t="str">
        <f t="shared" si="4"/>
        <v>Tuesday</v>
      </c>
      <c r="C214" s="22"/>
      <c r="D214" s="23"/>
      <c r="E214" s="24" t="str" cm="1">
        <f t="array" aca="1" ref="E214" ca="1">IFERROR(INDIRECT(D214),"")</f>
        <v/>
      </c>
      <c r="F214" s="25"/>
      <c r="G214" s="26"/>
      <c r="H214" s="27" t="str">
        <f ca="1">IFERROR((Table110[[#This Row],[Plan]]/Table110[[#This Row],[Hours Used]])/(Table110[[#This Row],[SOC (TPD)]]/24),"")</f>
        <v/>
      </c>
      <c r="I214" s="27" t="str">
        <f ca="1">IFERROR((Table110[[#This Row],[Volume Delivered (T)]]/Table110[[#This Row],[Hours Used]])/(Table110[[#This Row],[SOC (TPD)]]/24),"")</f>
        <v/>
      </c>
      <c r="J214" s="28"/>
      <c r="K214" s="28"/>
      <c r="L214" s="28"/>
      <c r="M214" s="25"/>
      <c r="N214" s="29"/>
      <c r="O214" s="84"/>
      <c r="P214" s="25"/>
      <c r="Q214" s="25"/>
      <c r="R214" s="70"/>
      <c r="S214" s="71"/>
      <c r="T214" s="30">
        <f>IF(Table110[[#This Row],[SKU]]="",0,24-Table110[[#This Row],[Legal Non-Operating Time]]-Table110[[#This Row],[No Demand Time]]-Table110[[#This Row],[Force Majeure]])</f>
        <v>0</v>
      </c>
      <c r="U214" s="26"/>
      <c r="V214" s="26"/>
      <c r="W214" s="26"/>
      <c r="X214" s="26"/>
      <c r="Y214" s="26"/>
      <c r="Z214" s="26"/>
      <c r="AA214" s="26"/>
      <c r="AB214" s="30">
        <f>Table110[[#This Row],[Hours Used]]-SUM(Table110[[#This Row],[Planned Maintenance]:[Start and Finish Production]])</f>
        <v>0</v>
      </c>
      <c r="AC214" s="26"/>
      <c r="AD214" s="26"/>
      <c r="AE214" s="26"/>
      <c r="AF214" s="26"/>
      <c r="AG214" s="26"/>
      <c r="AH214" s="26"/>
      <c r="AI214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14" s="24">
        <f>IFERROR(IF(Table110[[#This Row],[SKU]]="",0,Table110[[#This Row],[Quality Loss (T)]]/(Table110[[#This Row],[SOC (TPD)]]/24)),"")</f>
        <v>0</v>
      </c>
      <c r="AK214" s="31">
        <f>IFERROR(IF(Table110[[#This Row],[SKU]]="",0,Table110[[#This Row],[Volume Delivered (T)]]/(Table110[[#This Row],[SOC (TPD)]]/24)),"")</f>
        <v>0</v>
      </c>
      <c r="AL214" s="31" t="str">
        <f>IFERROR(Table110[[#This Row],[Operating Time]]/Table110[[#This Row],[PRODUCTION HOURS]],"")</f>
        <v/>
      </c>
      <c r="AM214" s="32"/>
      <c r="AN214" s="32"/>
      <c r="AO214" s="32"/>
      <c r="AP214" s="32">
        <v>1</v>
      </c>
      <c r="AQ214" s="32">
        <v>0</v>
      </c>
      <c r="AR214" s="32"/>
      <c r="AS214" s="32" t="str">
        <f>IFERROR(SUMIFS(#REF!,#REF!,'Shift Wise-Data Sheet'!A:A,#REF!,"Samridhi Perk Line")/SUMIFS(#REF!,#REF!,'Shift Wise-Data Sheet'!A:A,#REF!,"Samridhi Perk Line"),"")</f>
        <v/>
      </c>
      <c r="AT214" s="32"/>
      <c r="AU214" s="32"/>
      <c r="AV214" s="211" t="str">
        <f>IFERROR(VLOOKUP(Table110[[#This Row],[Date]],'Overweight Data'!A212:G1307,6,FALSE),"")</f>
        <v/>
      </c>
      <c r="AW214" s="221">
        <f>IFERROR(
   IF(
      OR(Table110[[#This Row],[Operating Time]]=0, (Table110[[#This Row],[Operating Time]]/IF(AD214&lt;=1,AD214+1,AD214))*60=0),
      1,
      ((Table110[[#This Row],[Operating Time]])/IF(AD214&lt;=1,AD214+1,AD214))*60
   ),
"_")</f>
        <v>1</v>
      </c>
      <c r="AX214" s="221">
        <f>COUNTIFS('Downtime Data'!A:A,Table110[[#This Row],[Date]])</f>
        <v>0</v>
      </c>
      <c r="AY214" s="219" t="str">
        <f>IFERROR((SUM(Table110[[#This Row],[Minor Stoppages]:[Material Shortages]])/Table110[[#This Row],['# Stops]])*60,"")</f>
        <v/>
      </c>
      <c r="AZ214" s="219"/>
      <c r="BA214" s="33">
        <v>46229</v>
      </c>
    </row>
    <row r="215" spans="1:53" ht="20.149999999999999" customHeight="1" x14ac:dyDescent="0.35">
      <c r="A215" s="21">
        <v>46232</v>
      </c>
      <c r="B215" s="22" t="str">
        <f t="shared" si="4"/>
        <v>Wednesday</v>
      </c>
      <c r="C215" s="22"/>
      <c r="D215" s="23"/>
      <c r="E215" s="24" t="str" cm="1">
        <f t="array" aca="1" ref="E215" ca="1">IFERROR(INDIRECT(D215),"")</f>
        <v/>
      </c>
      <c r="F215" s="25"/>
      <c r="G215" s="26"/>
      <c r="H215" s="27" t="str">
        <f ca="1">IFERROR((Table110[[#This Row],[Plan]]/Table110[[#This Row],[Hours Used]])/(Table110[[#This Row],[SOC (TPD)]]/24),"")</f>
        <v/>
      </c>
      <c r="I215" s="27" t="str">
        <f ca="1">IFERROR((Table110[[#This Row],[Volume Delivered (T)]]/Table110[[#This Row],[Hours Used]])/(Table110[[#This Row],[SOC (TPD)]]/24),"")</f>
        <v/>
      </c>
      <c r="J215" s="28"/>
      <c r="K215" s="28"/>
      <c r="L215" s="28"/>
      <c r="M215" s="25"/>
      <c r="N215" s="29"/>
      <c r="O215" s="84"/>
      <c r="P215" s="25"/>
      <c r="Q215" s="25"/>
      <c r="R215" s="70"/>
      <c r="S215" s="71"/>
      <c r="T215" s="30">
        <f>IF(Table110[[#This Row],[SKU]]="",0,24-Table110[[#This Row],[Legal Non-Operating Time]]-Table110[[#This Row],[No Demand Time]]-Table110[[#This Row],[Force Majeure]])</f>
        <v>0</v>
      </c>
      <c r="U215" s="26"/>
      <c r="V215" s="26"/>
      <c r="W215" s="26"/>
      <c r="X215" s="26"/>
      <c r="Y215" s="26"/>
      <c r="Z215" s="26"/>
      <c r="AA215" s="26"/>
      <c r="AB215" s="30">
        <f>Table110[[#This Row],[Hours Used]]-SUM(Table110[[#This Row],[Planned Maintenance]:[Start and Finish Production]])</f>
        <v>0</v>
      </c>
      <c r="AC215" s="26"/>
      <c r="AD215" s="26"/>
      <c r="AE215" s="26"/>
      <c r="AF215" s="26"/>
      <c r="AG215" s="26"/>
      <c r="AH215" s="26"/>
      <c r="AI215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15" s="24">
        <f>IFERROR(IF(Table110[[#This Row],[SKU]]="",0,Table110[[#This Row],[Quality Loss (T)]]/(Table110[[#This Row],[SOC (TPD)]]/24)),"")</f>
        <v>0</v>
      </c>
      <c r="AK215" s="31">
        <f>IFERROR(IF(Table110[[#This Row],[SKU]]="",0,Table110[[#This Row],[Volume Delivered (T)]]/(Table110[[#This Row],[SOC (TPD)]]/24)),"")</f>
        <v>0</v>
      </c>
      <c r="AL215" s="31" t="str">
        <f>IFERROR(Table110[[#This Row],[Operating Time]]/Table110[[#This Row],[PRODUCTION HOURS]],"")</f>
        <v/>
      </c>
      <c r="AM215" s="32"/>
      <c r="AN215" s="32"/>
      <c r="AO215" s="32"/>
      <c r="AP215" s="32">
        <v>1</v>
      </c>
      <c r="AQ215" s="32">
        <v>0</v>
      </c>
      <c r="AR215" s="32"/>
      <c r="AS215" s="32" t="str">
        <f>IFERROR(SUMIFS(#REF!,#REF!,'Shift Wise-Data Sheet'!A:A,#REF!,"Samridhi Perk Line")/SUMIFS(#REF!,#REF!,'Shift Wise-Data Sheet'!A:A,#REF!,"Samridhi Perk Line"),"")</f>
        <v/>
      </c>
      <c r="AT215" s="32"/>
      <c r="AU215" s="32"/>
      <c r="AV215" s="211" t="str">
        <f>IFERROR(VLOOKUP(Table110[[#This Row],[Date]],'Overweight Data'!A213:G1308,6,FALSE),"")</f>
        <v/>
      </c>
      <c r="AW215" s="221">
        <f>IFERROR(
   IF(
      OR(Table110[[#This Row],[Operating Time]]=0, (Table110[[#This Row],[Operating Time]]/IF(AD215&lt;=1,AD215+1,AD215))*60=0),
      1,
      ((Table110[[#This Row],[Operating Time]])/IF(AD215&lt;=1,AD215+1,AD215))*60
   ),
"_")</f>
        <v>1</v>
      </c>
      <c r="AX215" s="221">
        <f>COUNTIFS('Downtime Data'!A:A,Table110[[#This Row],[Date]])</f>
        <v>0</v>
      </c>
      <c r="AY215" s="219" t="str">
        <f>IFERROR((SUM(Table110[[#This Row],[Minor Stoppages]:[Material Shortages]])/Table110[[#This Row],['# Stops]])*60,"")</f>
        <v/>
      </c>
      <c r="AZ215" s="219"/>
      <c r="BA215" s="33">
        <v>46229</v>
      </c>
    </row>
    <row r="216" spans="1:53" ht="20.149999999999999" customHeight="1" x14ac:dyDescent="0.35">
      <c r="A216" s="21">
        <v>46233</v>
      </c>
      <c r="B216" s="22" t="str">
        <f t="shared" si="4"/>
        <v>Thursday</v>
      </c>
      <c r="C216" s="22"/>
      <c r="D216" s="23"/>
      <c r="E216" s="24" t="str" cm="1">
        <f t="array" aca="1" ref="E216" ca="1">IFERROR(INDIRECT(D216),"")</f>
        <v/>
      </c>
      <c r="F216" s="25"/>
      <c r="G216" s="26"/>
      <c r="H216" s="27" t="str">
        <f ca="1">IFERROR((Table110[[#This Row],[Plan]]/Table110[[#This Row],[Hours Used]])/(Table110[[#This Row],[SOC (TPD)]]/24),"")</f>
        <v/>
      </c>
      <c r="I216" s="27" t="str">
        <f ca="1">IFERROR((Table110[[#This Row],[Volume Delivered (T)]]/Table110[[#This Row],[Hours Used]])/(Table110[[#This Row],[SOC (TPD)]]/24),"")</f>
        <v/>
      </c>
      <c r="J216" s="28"/>
      <c r="K216" s="28"/>
      <c r="L216" s="28"/>
      <c r="M216" s="25"/>
      <c r="N216" s="29"/>
      <c r="O216" s="84"/>
      <c r="P216" s="25"/>
      <c r="Q216" s="25"/>
      <c r="R216" s="70"/>
      <c r="S216" s="71"/>
      <c r="T216" s="30">
        <f>IF(Table110[[#This Row],[SKU]]="",0,24-Table110[[#This Row],[Legal Non-Operating Time]]-Table110[[#This Row],[No Demand Time]]-Table110[[#This Row],[Force Majeure]])</f>
        <v>0</v>
      </c>
      <c r="U216" s="26"/>
      <c r="V216" s="26"/>
      <c r="W216" s="26"/>
      <c r="X216" s="26"/>
      <c r="Y216" s="26"/>
      <c r="Z216" s="26"/>
      <c r="AA216" s="26"/>
      <c r="AB216" s="30">
        <f>Table110[[#This Row],[Hours Used]]-SUM(Table110[[#This Row],[Planned Maintenance]:[Start and Finish Production]])</f>
        <v>0</v>
      </c>
      <c r="AC216" s="26"/>
      <c r="AD216" s="26"/>
      <c r="AE216" s="26"/>
      <c r="AF216" s="26"/>
      <c r="AG216" s="26"/>
      <c r="AH216" s="26"/>
      <c r="AI216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16" s="24">
        <f>IFERROR(IF(Table110[[#This Row],[SKU]]="",0,Table110[[#This Row],[Quality Loss (T)]]/(Table110[[#This Row],[SOC (TPD)]]/24)),"")</f>
        <v>0</v>
      </c>
      <c r="AK216" s="31">
        <f>IFERROR(IF(Table110[[#This Row],[SKU]]="",0,Table110[[#This Row],[Volume Delivered (T)]]/(Table110[[#This Row],[SOC (TPD)]]/24)),"")</f>
        <v>0</v>
      </c>
      <c r="AL216" s="31" t="str">
        <f>IFERROR(Table110[[#This Row],[Operating Time]]/Table110[[#This Row],[PRODUCTION HOURS]],"")</f>
        <v/>
      </c>
      <c r="AM216" s="32"/>
      <c r="AN216" s="32"/>
      <c r="AO216" s="32"/>
      <c r="AP216" s="32">
        <v>0</v>
      </c>
      <c r="AQ216" s="32">
        <v>0</v>
      </c>
      <c r="AR216" s="32"/>
      <c r="AS216" s="32" t="str">
        <f>IFERROR(SUMIFS(#REF!,#REF!,'Shift Wise-Data Sheet'!A:A,#REF!,"Samridhi Perk Line")/SUMIFS(#REF!,#REF!,'Shift Wise-Data Sheet'!A:A,#REF!,"Samridhi Perk Line"),"")</f>
        <v/>
      </c>
      <c r="AT216" s="32"/>
      <c r="AU216" s="32"/>
      <c r="AV216" s="211" t="str">
        <f>IFERROR(VLOOKUP(Table110[[#This Row],[Date]],'Overweight Data'!A214:G1309,6,FALSE),"")</f>
        <v/>
      </c>
      <c r="AW216" s="221">
        <f>IFERROR(
   IF(
      OR(Table110[[#This Row],[Operating Time]]=0, (Table110[[#This Row],[Operating Time]]/IF(AD216&lt;=1,AD216+1,AD216))*60=0),
      1,
      ((Table110[[#This Row],[Operating Time]])/IF(AD216&lt;=1,AD216+1,AD216))*60
   ),
"_")</f>
        <v>1</v>
      </c>
      <c r="AX216" s="221">
        <f>COUNTIFS('Downtime Data'!A:A,Table110[[#This Row],[Date]])</f>
        <v>0</v>
      </c>
      <c r="AY216" s="219" t="str">
        <f>IFERROR((SUM(Table110[[#This Row],[Minor Stoppages]:[Material Shortages]])/Table110[[#This Row],['# Stops]])*60,"")</f>
        <v/>
      </c>
      <c r="AZ216" s="219"/>
      <c r="BA216" s="33">
        <v>46229</v>
      </c>
    </row>
    <row r="217" spans="1:53" ht="20.149999999999999" customHeight="1" x14ac:dyDescent="0.35">
      <c r="A217" s="21">
        <v>46234</v>
      </c>
      <c r="B217" s="22" t="str">
        <f t="shared" si="4"/>
        <v>Friday</v>
      </c>
      <c r="C217" s="22"/>
      <c r="D217" s="23"/>
      <c r="E217" s="24" t="str" cm="1">
        <f t="array" aca="1" ref="E217" ca="1">IFERROR(INDIRECT(D217),"")</f>
        <v/>
      </c>
      <c r="F217" s="25"/>
      <c r="G217" s="26"/>
      <c r="H217" s="27" t="str">
        <f ca="1">IFERROR((Table110[[#This Row],[Plan]]/Table110[[#This Row],[Hours Used]])/(Table110[[#This Row],[SOC (TPD)]]/24),"")</f>
        <v/>
      </c>
      <c r="I217" s="27" t="str">
        <f ca="1">IFERROR((Table110[[#This Row],[Volume Delivered (T)]]/Table110[[#This Row],[Hours Used]])/(Table110[[#This Row],[SOC (TPD)]]/24),"")</f>
        <v/>
      </c>
      <c r="J217" s="28"/>
      <c r="K217" s="28"/>
      <c r="L217" s="28"/>
      <c r="M217" s="25"/>
      <c r="N217" s="29"/>
      <c r="O217" s="84"/>
      <c r="P217" s="25"/>
      <c r="Q217" s="25"/>
      <c r="R217" s="70"/>
      <c r="S217" s="71"/>
      <c r="T217" s="30">
        <f>IF(Table110[[#This Row],[SKU]]="",0,24-Table110[[#This Row],[Legal Non-Operating Time]]-Table110[[#This Row],[No Demand Time]]-Table110[[#This Row],[Force Majeure]])</f>
        <v>0</v>
      </c>
      <c r="U217" s="26"/>
      <c r="V217" s="26"/>
      <c r="W217" s="26"/>
      <c r="X217" s="26"/>
      <c r="Y217" s="26"/>
      <c r="Z217" s="26"/>
      <c r="AA217" s="26"/>
      <c r="AB217" s="30">
        <f>Table110[[#This Row],[Hours Used]]-SUM(Table110[[#This Row],[Planned Maintenance]:[Start and Finish Production]])</f>
        <v>0</v>
      </c>
      <c r="AC217" s="26"/>
      <c r="AD217" s="26"/>
      <c r="AE217" s="26"/>
      <c r="AF217" s="26"/>
      <c r="AG217" s="26"/>
      <c r="AH217" s="26"/>
      <c r="AI217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17" s="24">
        <f>IFERROR(IF(Table110[[#This Row],[SKU]]="",0,Table110[[#This Row],[Quality Loss (T)]]/(Table110[[#This Row],[SOC (TPD)]]/24)),"")</f>
        <v>0</v>
      </c>
      <c r="AK217" s="31">
        <f>IFERROR(IF(Table110[[#This Row],[SKU]]="",0,Table110[[#This Row],[Volume Delivered (T)]]/(Table110[[#This Row],[SOC (TPD)]]/24)),"")</f>
        <v>0</v>
      </c>
      <c r="AL217" s="31" t="str">
        <f>IFERROR(Table110[[#This Row],[Operating Time]]/Table110[[#This Row],[PRODUCTION HOURS]],"")</f>
        <v/>
      </c>
      <c r="AM217" s="32"/>
      <c r="AN217" s="32"/>
      <c r="AO217" s="32"/>
      <c r="AP217" s="32">
        <v>0</v>
      </c>
      <c r="AQ217" s="32">
        <v>0</v>
      </c>
      <c r="AR217" s="32"/>
      <c r="AS217" s="32" t="str">
        <f>IFERROR(SUMIFS(#REF!,#REF!,'Shift Wise-Data Sheet'!A:A,#REF!,"Samridhi Perk Line")/SUMIFS(#REF!,#REF!,'Shift Wise-Data Sheet'!A:A,#REF!,"Samridhi Perk Line"),"")</f>
        <v/>
      </c>
      <c r="AT217" s="32"/>
      <c r="AU217" s="32"/>
      <c r="AV217" s="211" t="str">
        <f>IFERROR(VLOOKUP(Table110[[#This Row],[Date]],'Overweight Data'!A215:G1310,6,FALSE),"")</f>
        <v/>
      </c>
      <c r="AW217" s="221">
        <f>IFERROR(
   IF(
      OR(Table110[[#This Row],[Operating Time]]=0, (Table110[[#This Row],[Operating Time]]/IF(AD217&lt;=1,AD217+1,AD217))*60=0),
      1,
      ((Table110[[#This Row],[Operating Time]])/IF(AD217&lt;=1,AD217+1,AD217))*60
   ),
"_")</f>
        <v>1</v>
      </c>
      <c r="AX217" s="221">
        <f>COUNTIFS('Downtime Data'!A:A,Table110[[#This Row],[Date]])</f>
        <v>0</v>
      </c>
      <c r="AY217" s="219" t="str">
        <f>IFERROR((SUM(Table110[[#This Row],[Minor Stoppages]:[Material Shortages]])/Table110[[#This Row],['# Stops]])*60,"")</f>
        <v/>
      </c>
      <c r="AZ217" s="219"/>
      <c r="BA217" s="33">
        <v>46229</v>
      </c>
    </row>
    <row r="218" spans="1:53" ht="20.149999999999999" customHeight="1" x14ac:dyDescent="0.35">
      <c r="A218" s="21">
        <v>46235</v>
      </c>
      <c r="B218" s="22" t="str">
        <f t="shared" si="4"/>
        <v>Saturday</v>
      </c>
      <c r="C218" s="22"/>
      <c r="D218" s="23"/>
      <c r="E218" s="24" t="str" cm="1">
        <f t="array" aca="1" ref="E218" ca="1">IFERROR(INDIRECT(D218),"")</f>
        <v/>
      </c>
      <c r="F218" s="25"/>
      <c r="G218" s="26"/>
      <c r="H218" s="27" t="str">
        <f ca="1">IFERROR((Table110[[#This Row],[Plan]]/Table110[[#This Row],[Hours Used]])/(Table110[[#This Row],[SOC (TPD)]]/24),"")</f>
        <v/>
      </c>
      <c r="I218" s="27" t="str">
        <f ca="1">IFERROR((Table110[[#This Row],[Volume Delivered (T)]]/Table110[[#This Row],[Hours Used]])/(Table110[[#This Row],[SOC (TPD)]]/24),"")</f>
        <v/>
      </c>
      <c r="J218" s="28"/>
      <c r="K218" s="28"/>
      <c r="L218" s="28"/>
      <c r="M218" s="25"/>
      <c r="N218" s="29"/>
      <c r="O218" s="84"/>
      <c r="P218" s="25"/>
      <c r="Q218" s="25"/>
      <c r="R218" s="70"/>
      <c r="S218" s="71"/>
      <c r="T218" s="30">
        <f>IF(Table110[[#This Row],[SKU]]="",0,24-Table110[[#This Row],[Legal Non-Operating Time]]-Table110[[#This Row],[No Demand Time]]-Table110[[#This Row],[Force Majeure]])</f>
        <v>0</v>
      </c>
      <c r="U218" s="26"/>
      <c r="V218" s="26"/>
      <c r="W218" s="26"/>
      <c r="X218" s="26"/>
      <c r="Y218" s="26"/>
      <c r="Z218" s="26"/>
      <c r="AA218" s="26"/>
      <c r="AB218" s="30">
        <f>Table110[[#This Row],[Hours Used]]-SUM(Table110[[#This Row],[Planned Maintenance]:[Start and Finish Production]])</f>
        <v>0</v>
      </c>
      <c r="AC218" s="26"/>
      <c r="AD218" s="26"/>
      <c r="AE218" s="26"/>
      <c r="AF218" s="26"/>
      <c r="AG218" s="26"/>
      <c r="AH218" s="26"/>
      <c r="AI218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18" s="24">
        <f>IFERROR(IF(Table110[[#This Row],[SKU]]="",0,Table110[[#This Row],[Quality Loss (T)]]/(Table110[[#This Row],[SOC (TPD)]]/24)),"")</f>
        <v>0</v>
      </c>
      <c r="AK218" s="31">
        <f>IFERROR(IF(Table110[[#This Row],[SKU]]="",0,Table110[[#This Row],[Volume Delivered (T)]]/(Table110[[#This Row],[SOC (TPD)]]/24)),"")</f>
        <v>0</v>
      </c>
      <c r="AL218" s="31" t="str">
        <f>IFERROR(Table110[[#This Row],[Operating Time]]/Table110[[#This Row],[PRODUCTION HOURS]],"")</f>
        <v/>
      </c>
      <c r="AM218" s="32"/>
      <c r="AN218" s="32"/>
      <c r="AO218" s="32"/>
      <c r="AP218" s="32">
        <v>6</v>
      </c>
      <c r="AQ218" s="32">
        <v>0</v>
      </c>
      <c r="AR218" s="32"/>
      <c r="AS218" s="32" t="str">
        <f>IFERROR(SUMIFS(#REF!,#REF!,'Shift Wise-Data Sheet'!A:A,#REF!,"Samridhi Perk Line")/SUMIFS(#REF!,#REF!,'Shift Wise-Data Sheet'!A:A,#REF!,"Samridhi Perk Line"),"")</f>
        <v/>
      </c>
      <c r="AT218" s="32"/>
      <c r="AU218" s="32"/>
      <c r="AV218" s="211" t="str">
        <f>IFERROR(VLOOKUP(Table110[[#This Row],[Date]],'Overweight Data'!A216:G1311,6,FALSE),"")</f>
        <v/>
      </c>
      <c r="AW218" s="221">
        <f>IFERROR(
   IF(
      OR(Table110[[#This Row],[Operating Time]]=0, (Table110[[#This Row],[Operating Time]]/IF(AD218&lt;=1,AD218+1,AD218))*60=0),
      1,
      ((Table110[[#This Row],[Operating Time]])/IF(AD218&lt;=1,AD218+1,AD218))*60
   ),
"_")</f>
        <v>1</v>
      </c>
      <c r="AX218" s="221">
        <f>COUNTIFS('Downtime Data'!A:A,Table110[[#This Row],[Date]])</f>
        <v>0</v>
      </c>
      <c r="AY218" s="219" t="str">
        <f>IFERROR((SUM(Table110[[#This Row],[Minor Stoppages]:[Material Shortages]])/Table110[[#This Row],['# Stops]])*60,"")</f>
        <v/>
      </c>
      <c r="AZ218" s="219"/>
      <c r="BA218" s="33">
        <v>46229</v>
      </c>
    </row>
    <row r="219" spans="1:53" ht="20.149999999999999" customHeight="1" x14ac:dyDescent="0.35">
      <c r="A219" s="21">
        <v>46236</v>
      </c>
      <c r="B219" s="22" t="str">
        <f t="shared" si="4"/>
        <v>Sunday</v>
      </c>
      <c r="C219" s="22"/>
      <c r="D219" s="23"/>
      <c r="E219" s="24" t="str" cm="1">
        <f t="array" aca="1" ref="E219" ca="1">IFERROR(INDIRECT(D219),"")</f>
        <v/>
      </c>
      <c r="F219" s="25"/>
      <c r="G219" s="26"/>
      <c r="H219" s="27" t="str">
        <f ca="1">IFERROR((Table110[[#This Row],[Plan]]/Table110[[#This Row],[Hours Used]])/(Table110[[#This Row],[SOC (TPD)]]/24),"")</f>
        <v/>
      </c>
      <c r="I219" s="27" t="str">
        <f ca="1">IFERROR((Table110[[#This Row],[Volume Delivered (T)]]/Table110[[#This Row],[Hours Used]])/(Table110[[#This Row],[SOC (TPD)]]/24),"")</f>
        <v/>
      </c>
      <c r="J219" s="28"/>
      <c r="K219" s="28"/>
      <c r="L219" s="28"/>
      <c r="M219" s="25"/>
      <c r="N219" s="29"/>
      <c r="O219" s="84"/>
      <c r="P219" s="25"/>
      <c r="Q219" s="25"/>
      <c r="R219" s="70"/>
      <c r="S219" s="71"/>
      <c r="T219" s="30">
        <f>IF(Table110[[#This Row],[SKU]]="",0,24-Table110[[#This Row],[Legal Non-Operating Time]]-Table110[[#This Row],[No Demand Time]]-Table110[[#This Row],[Force Majeure]])</f>
        <v>0</v>
      </c>
      <c r="U219" s="26"/>
      <c r="V219" s="26"/>
      <c r="W219" s="26"/>
      <c r="X219" s="26"/>
      <c r="Y219" s="26"/>
      <c r="Z219" s="26"/>
      <c r="AA219" s="26"/>
      <c r="AB219" s="30">
        <f>Table110[[#This Row],[Hours Used]]-SUM(Table110[[#This Row],[Planned Maintenance]:[Start and Finish Production]])</f>
        <v>0</v>
      </c>
      <c r="AC219" s="26"/>
      <c r="AD219" s="26"/>
      <c r="AE219" s="26"/>
      <c r="AF219" s="26"/>
      <c r="AG219" s="26"/>
      <c r="AH219" s="26"/>
      <c r="AI219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19" s="24">
        <f>IFERROR(IF(Table110[[#This Row],[SKU]]="",0,Table110[[#This Row],[Quality Loss (T)]]/(Table110[[#This Row],[SOC (TPD)]]/24)),"")</f>
        <v>0</v>
      </c>
      <c r="AK219" s="31">
        <f>IFERROR(IF(Table110[[#This Row],[SKU]]="",0,Table110[[#This Row],[Volume Delivered (T)]]/(Table110[[#This Row],[SOC (TPD)]]/24)),"")</f>
        <v>0</v>
      </c>
      <c r="AL219" s="31" t="str">
        <f>IFERROR(Table110[[#This Row],[Operating Time]]/Table110[[#This Row],[PRODUCTION HOURS]],"")</f>
        <v/>
      </c>
      <c r="AM219" s="32"/>
      <c r="AN219" s="32"/>
      <c r="AO219" s="32"/>
      <c r="AP219" s="32">
        <v>4</v>
      </c>
      <c r="AQ219" s="32">
        <v>0</v>
      </c>
      <c r="AR219" s="32"/>
      <c r="AS219" s="32" t="str">
        <f>IFERROR(SUMIFS(#REF!,#REF!,'Shift Wise-Data Sheet'!A:A,#REF!,"Samridhi Perk Line")/SUMIFS(#REF!,#REF!,'Shift Wise-Data Sheet'!A:A,#REF!,"Samridhi Perk Line"),"")</f>
        <v/>
      </c>
      <c r="AT219" s="32"/>
      <c r="AU219" s="32"/>
      <c r="AV219" s="211">
        <f>IFERROR(VLOOKUP(Table110[[#This Row],[Date]],'Overweight Data'!A217:G1312,6,FALSE),"")</f>
        <v>2.9539594843462233E-2</v>
      </c>
      <c r="AW219" s="221">
        <f>IFERROR(
   IF(
      OR(Table110[[#This Row],[Operating Time]]=0, (Table110[[#This Row],[Operating Time]]/IF(AD219&lt;=1,AD219+1,AD219))*60=0),
      1,
      ((Table110[[#This Row],[Operating Time]])/IF(AD219&lt;=1,AD219+1,AD219))*60
   ),
"_")</f>
        <v>1</v>
      </c>
      <c r="AX219" s="221">
        <f>COUNTIFS('Downtime Data'!A:A,Table110[[#This Row],[Date]])</f>
        <v>0</v>
      </c>
      <c r="AY219" s="219" t="str">
        <f>IFERROR((SUM(Table110[[#This Row],[Minor Stoppages]:[Material Shortages]])/Table110[[#This Row],['# Stops]])*60,"")</f>
        <v/>
      </c>
      <c r="AZ219" s="219"/>
      <c r="BA219" s="33">
        <v>46229</v>
      </c>
    </row>
    <row r="220" spans="1:53" ht="20.149999999999999" customHeight="1" x14ac:dyDescent="0.35">
      <c r="A220" s="21">
        <v>46237</v>
      </c>
      <c r="B220" s="22" t="str">
        <f t="shared" si="4"/>
        <v>Monday</v>
      </c>
      <c r="C220" s="22"/>
      <c r="D220" s="23"/>
      <c r="E220" s="24" t="str" cm="1">
        <f t="array" aca="1" ref="E220" ca="1">IFERROR(INDIRECT(D220),"")</f>
        <v/>
      </c>
      <c r="F220" s="25"/>
      <c r="G220" s="26"/>
      <c r="H220" s="27" t="str">
        <f ca="1">IFERROR((Table110[[#This Row],[Plan]]/Table110[[#This Row],[Hours Used]])/(Table110[[#This Row],[SOC (TPD)]]/24),"")</f>
        <v/>
      </c>
      <c r="I220" s="27" t="str">
        <f ca="1">IFERROR((Table110[[#This Row],[Volume Delivered (T)]]/Table110[[#This Row],[Hours Used]])/(Table110[[#This Row],[SOC (TPD)]]/24),"")</f>
        <v/>
      </c>
      <c r="J220" s="28"/>
      <c r="K220" s="28"/>
      <c r="L220" s="28"/>
      <c r="M220" s="25"/>
      <c r="N220" s="29"/>
      <c r="O220" s="84"/>
      <c r="P220" s="25"/>
      <c r="Q220" s="25"/>
      <c r="R220" s="70"/>
      <c r="S220" s="71"/>
      <c r="T220" s="30">
        <f>IF(Table110[[#This Row],[SKU]]="",0,24-Table110[[#This Row],[Legal Non-Operating Time]]-Table110[[#This Row],[No Demand Time]]-Table110[[#This Row],[Force Majeure]])</f>
        <v>0</v>
      </c>
      <c r="U220" s="26"/>
      <c r="V220" s="26"/>
      <c r="W220" s="26"/>
      <c r="X220" s="26"/>
      <c r="Y220" s="26"/>
      <c r="Z220" s="26"/>
      <c r="AA220" s="26"/>
      <c r="AB220" s="30">
        <f>Table110[[#This Row],[Hours Used]]-SUM(Table110[[#This Row],[Planned Maintenance]:[Start and Finish Production]])</f>
        <v>0</v>
      </c>
      <c r="AC220" s="26"/>
      <c r="AD220" s="26"/>
      <c r="AE220" s="26"/>
      <c r="AF220" s="26"/>
      <c r="AG220" s="26"/>
      <c r="AH220" s="26"/>
      <c r="AI220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20" s="24">
        <f>IFERROR(IF(Table110[[#This Row],[SKU]]="",0,Table110[[#This Row],[Quality Loss (T)]]/(Table110[[#This Row],[SOC (TPD)]]/24)),"")</f>
        <v>0</v>
      </c>
      <c r="AK220" s="31">
        <f>IFERROR(IF(Table110[[#This Row],[SKU]]="",0,Table110[[#This Row],[Volume Delivered (T)]]/(Table110[[#This Row],[SOC (TPD)]]/24)),"")</f>
        <v>0</v>
      </c>
      <c r="AL220" s="31" t="str">
        <f>IFERROR(Table110[[#This Row],[Operating Time]]/Table110[[#This Row],[PRODUCTION HOURS]],"")</f>
        <v/>
      </c>
      <c r="AM220" s="32"/>
      <c r="AN220" s="32"/>
      <c r="AO220" s="32"/>
      <c r="AP220" s="32">
        <v>0</v>
      </c>
      <c r="AQ220" s="32">
        <v>0</v>
      </c>
      <c r="AR220" s="32"/>
      <c r="AS220" s="32" t="str">
        <f>IFERROR(SUMIFS(#REF!,#REF!,'Shift Wise-Data Sheet'!A:A,#REF!,"Samridhi Perk Line")/SUMIFS(#REF!,#REF!,'Shift Wise-Data Sheet'!A:A,#REF!,"Samridhi Perk Line"),"")</f>
        <v/>
      </c>
      <c r="AT220" s="32"/>
      <c r="AU220" s="32"/>
      <c r="AV220" s="211" t="str">
        <f>IFERROR(VLOOKUP(Table110[[#This Row],[Date]],'Overweight Data'!A218:G1313,6,FALSE),"")</f>
        <v/>
      </c>
      <c r="AW220" s="221">
        <f>IFERROR(
   IF(
      OR(Table110[[#This Row],[Operating Time]]=0, (Table110[[#This Row],[Operating Time]]/IF(AD220&lt;=1,AD220+1,AD220))*60=0),
      1,
      ((Table110[[#This Row],[Operating Time]])/IF(AD220&lt;=1,AD220+1,AD220))*60
   ),
"_")</f>
        <v>1</v>
      </c>
      <c r="AX220" s="221">
        <f>COUNTIFS('Downtime Data'!A:A,Table110[[#This Row],[Date]])</f>
        <v>0</v>
      </c>
      <c r="AY220" s="219" t="str">
        <f>IFERROR((SUM(Table110[[#This Row],[Minor Stoppages]:[Material Shortages]])/Table110[[#This Row],['# Stops]])*60,"")</f>
        <v/>
      </c>
      <c r="AZ220" s="219"/>
      <c r="BA220" s="33">
        <v>46260</v>
      </c>
    </row>
    <row r="221" spans="1:53" ht="20.149999999999999" customHeight="1" x14ac:dyDescent="0.35">
      <c r="A221" s="21">
        <v>46238</v>
      </c>
      <c r="B221" s="22" t="str">
        <f t="shared" si="4"/>
        <v>Tuesday</v>
      </c>
      <c r="C221" s="22"/>
      <c r="D221" s="23"/>
      <c r="E221" s="24" t="str" cm="1">
        <f t="array" aca="1" ref="E221" ca="1">IFERROR(INDIRECT(D221),"")</f>
        <v/>
      </c>
      <c r="F221" s="25"/>
      <c r="G221" s="26"/>
      <c r="H221" s="27" t="str">
        <f ca="1">IFERROR((Table110[[#This Row],[Plan]]/Table110[[#This Row],[Hours Used]])/(Table110[[#This Row],[SOC (TPD)]]/24),"")</f>
        <v/>
      </c>
      <c r="I221" s="27" t="str">
        <f ca="1">IFERROR((Table110[[#This Row],[Volume Delivered (T)]]/Table110[[#This Row],[Hours Used]])/(Table110[[#This Row],[SOC (TPD)]]/24),"")</f>
        <v/>
      </c>
      <c r="J221" s="28"/>
      <c r="K221" s="28"/>
      <c r="L221" s="28"/>
      <c r="M221" s="25"/>
      <c r="N221" s="29"/>
      <c r="O221" s="84"/>
      <c r="P221" s="25"/>
      <c r="Q221" s="25"/>
      <c r="R221" s="70"/>
      <c r="S221" s="71"/>
      <c r="T221" s="30">
        <f>IF(Table110[[#This Row],[SKU]]="",0,24-Table110[[#This Row],[Legal Non-Operating Time]]-Table110[[#This Row],[No Demand Time]]-Table110[[#This Row],[Force Majeure]])</f>
        <v>0</v>
      </c>
      <c r="U221" s="26"/>
      <c r="V221" s="26"/>
      <c r="W221" s="26"/>
      <c r="X221" s="26"/>
      <c r="Y221" s="26"/>
      <c r="Z221" s="26"/>
      <c r="AA221" s="26"/>
      <c r="AB221" s="30">
        <f>Table110[[#This Row],[Hours Used]]-SUM(Table110[[#This Row],[Planned Maintenance]:[Start and Finish Production]])</f>
        <v>0</v>
      </c>
      <c r="AC221" s="26"/>
      <c r="AD221" s="26"/>
      <c r="AE221" s="26"/>
      <c r="AF221" s="26"/>
      <c r="AG221" s="26"/>
      <c r="AH221" s="26"/>
      <c r="AI221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21" s="24">
        <f>IFERROR(IF(Table110[[#This Row],[SKU]]="",0,Table110[[#This Row],[Quality Loss (T)]]/(Table110[[#This Row],[SOC (TPD)]]/24)),"")</f>
        <v>0</v>
      </c>
      <c r="AK221" s="31">
        <f>IFERROR(IF(Table110[[#This Row],[SKU]]="",0,Table110[[#This Row],[Volume Delivered (T)]]/(Table110[[#This Row],[SOC (TPD)]]/24)),"")</f>
        <v>0</v>
      </c>
      <c r="AL221" s="31" t="str">
        <f>IFERROR(Table110[[#This Row],[Operating Time]]/Table110[[#This Row],[PRODUCTION HOURS]],"")</f>
        <v/>
      </c>
      <c r="AM221" s="32"/>
      <c r="AN221" s="32"/>
      <c r="AO221" s="32"/>
      <c r="AP221" s="32">
        <v>0</v>
      </c>
      <c r="AQ221" s="32">
        <v>0</v>
      </c>
      <c r="AR221" s="32"/>
      <c r="AS221" s="32" t="str">
        <f>IFERROR(SUMIFS(#REF!,#REF!,'Shift Wise-Data Sheet'!A:A,#REF!,"Samridhi Perk Line")/SUMIFS(#REF!,#REF!,'Shift Wise-Data Sheet'!A:A,#REF!,"Samridhi Perk Line"),"")</f>
        <v/>
      </c>
      <c r="AT221" s="32"/>
      <c r="AU221" s="32"/>
      <c r="AV221" s="211" t="str">
        <f>IFERROR(VLOOKUP(Table110[[#This Row],[Date]],'Overweight Data'!A219:G1314,6,FALSE),"")</f>
        <v/>
      </c>
      <c r="AW221" s="221">
        <f>IFERROR(
   IF(
      OR(Table110[[#This Row],[Operating Time]]=0, (Table110[[#This Row],[Operating Time]]/IF(AD221&lt;=1,AD221+1,AD221))*60=0),
      1,
      ((Table110[[#This Row],[Operating Time]])/IF(AD221&lt;=1,AD221+1,AD221))*60
   ),
"_")</f>
        <v>1</v>
      </c>
      <c r="AX221" s="221">
        <f>COUNTIFS('Downtime Data'!A:A,Table110[[#This Row],[Date]])</f>
        <v>0</v>
      </c>
      <c r="AY221" s="219" t="str">
        <f>IFERROR((SUM(Table110[[#This Row],[Minor Stoppages]:[Material Shortages]])/Table110[[#This Row],['# Stops]])*60,"")</f>
        <v/>
      </c>
      <c r="AZ221" s="219"/>
      <c r="BA221" s="33">
        <v>46260</v>
      </c>
    </row>
    <row r="222" spans="1:53" ht="20.149999999999999" customHeight="1" x14ac:dyDescent="0.35">
      <c r="A222" s="21">
        <v>46239</v>
      </c>
      <c r="B222" s="22" t="str">
        <f t="shared" si="4"/>
        <v>Wednesday</v>
      </c>
      <c r="C222" s="22"/>
      <c r="D222" s="23"/>
      <c r="E222" s="24" t="str" cm="1">
        <f t="array" aca="1" ref="E222" ca="1">IFERROR(INDIRECT(D222),"")</f>
        <v/>
      </c>
      <c r="F222" s="25"/>
      <c r="G222" s="26"/>
      <c r="H222" s="27" t="str">
        <f ca="1">IFERROR((Table110[[#This Row],[Plan]]/Table110[[#This Row],[Hours Used]])/(Table110[[#This Row],[SOC (TPD)]]/24),"")</f>
        <v/>
      </c>
      <c r="I222" s="27" t="str">
        <f ca="1">IFERROR((Table110[[#This Row],[Volume Delivered (T)]]/Table110[[#This Row],[Hours Used]])/(Table110[[#This Row],[SOC (TPD)]]/24),"")</f>
        <v/>
      </c>
      <c r="J222" s="28"/>
      <c r="K222" s="28"/>
      <c r="L222" s="28"/>
      <c r="M222" s="25"/>
      <c r="N222" s="29"/>
      <c r="O222" s="84"/>
      <c r="P222" s="25"/>
      <c r="Q222" s="25"/>
      <c r="R222" s="70"/>
      <c r="S222" s="71"/>
      <c r="T222" s="30">
        <f>IF(Table110[[#This Row],[SKU]]="",0,24-Table110[[#This Row],[Legal Non-Operating Time]]-Table110[[#This Row],[No Demand Time]]-Table110[[#This Row],[Force Majeure]])</f>
        <v>0</v>
      </c>
      <c r="U222" s="26"/>
      <c r="V222" s="26"/>
      <c r="W222" s="26"/>
      <c r="X222" s="26"/>
      <c r="Y222" s="26"/>
      <c r="Z222" s="26"/>
      <c r="AA222" s="26"/>
      <c r="AB222" s="30">
        <f>Table110[[#This Row],[Hours Used]]-SUM(Table110[[#This Row],[Planned Maintenance]:[Start and Finish Production]])</f>
        <v>0</v>
      </c>
      <c r="AC222" s="26"/>
      <c r="AD222" s="26"/>
      <c r="AE222" s="26"/>
      <c r="AF222" s="26"/>
      <c r="AG222" s="26"/>
      <c r="AH222" s="26"/>
      <c r="AI222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22" s="24">
        <f>IFERROR(IF(Table110[[#This Row],[SKU]]="",0,Table110[[#This Row],[Quality Loss (T)]]/(Table110[[#This Row],[SOC (TPD)]]/24)),"")</f>
        <v>0</v>
      </c>
      <c r="AK222" s="31">
        <f>IFERROR(IF(Table110[[#This Row],[SKU]]="",0,Table110[[#This Row],[Volume Delivered (T)]]/(Table110[[#This Row],[SOC (TPD)]]/24)),"")</f>
        <v>0</v>
      </c>
      <c r="AL222" s="31" t="str">
        <f>IFERROR(Table110[[#This Row],[Operating Time]]/Table110[[#This Row],[PRODUCTION HOURS]],"")</f>
        <v/>
      </c>
      <c r="AM222" s="32"/>
      <c r="AN222" s="32"/>
      <c r="AO222" s="32"/>
      <c r="AP222" s="32">
        <v>18</v>
      </c>
      <c r="AQ222" s="32">
        <v>0</v>
      </c>
      <c r="AR222" s="32"/>
      <c r="AS222" s="32" t="str">
        <f>IFERROR(SUMIFS(#REF!,#REF!,'Shift Wise-Data Sheet'!A:A,#REF!,"Samridhi Perk Line")/SUMIFS(#REF!,#REF!,'Shift Wise-Data Sheet'!A:A,#REF!,"Samridhi Perk Line"),"")</f>
        <v/>
      </c>
      <c r="AT222" s="32"/>
      <c r="AU222" s="32"/>
      <c r="AV222" s="211" t="str">
        <f>IFERROR(VLOOKUP(Table110[[#This Row],[Date]],'Overweight Data'!A220:G1315,6,FALSE),"")</f>
        <v/>
      </c>
      <c r="AW222" s="221">
        <f>IFERROR(
   IF(
      OR(Table110[[#This Row],[Operating Time]]=0, (Table110[[#This Row],[Operating Time]]/IF(AD222&lt;=1,AD222+1,AD222))*60=0),
      1,
      ((Table110[[#This Row],[Operating Time]])/IF(AD222&lt;=1,AD222+1,AD222))*60
   ),
"_")</f>
        <v>1</v>
      </c>
      <c r="AX222" s="221">
        <f>COUNTIFS('Downtime Data'!A:A,Table110[[#This Row],[Date]])</f>
        <v>0</v>
      </c>
      <c r="AY222" s="219" t="str">
        <f>IFERROR((SUM(Table110[[#This Row],[Minor Stoppages]:[Material Shortages]])/Table110[[#This Row],['# Stops]])*60,"")</f>
        <v/>
      </c>
      <c r="AZ222" s="219"/>
      <c r="BA222" s="33">
        <v>46260</v>
      </c>
    </row>
    <row r="223" spans="1:53" ht="20.149999999999999" customHeight="1" x14ac:dyDescent="0.35">
      <c r="A223" s="21">
        <v>46240</v>
      </c>
      <c r="B223" s="22" t="str">
        <f t="shared" si="4"/>
        <v>Thursday</v>
      </c>
      <c r="C223" s="22"/>
      <c r="D223" s="23"/>
      <c r="E223" s="24" t="str" cm="1">
        <f t="array" aca="1" ref="E223" ca="1">IFERROR(INDIRECT(D223),"")</f>
        <v/>
      </c>
      <c r="F223" s="25"/>
      <c r="G223" s="26"/>
      <c r="H223" s="27" t="str">
        <f ca="1">IFERROR((Table110[[#This Row],[Plan]]/Table110[[#This Row],[Hours Used]])/(Table110[[#This Row],[SOC (TPD)]]/24),"")</f>
        <v/>
      </c>
      <c r="I223" s="27" t="str">
        <f ca="1">IFERROR((Table110[[#This Row],[Volume Delivered (T)]]/Table110[[#This Row],[Hours Used]])/(Table110[[#This Row],[SOC (TPD)]]/24),"")</f>
        <v/>
      </c>
      <c r="J223" s="28"/>
      <c r="K223" s="28"/>
      <c r="L223" s="28"/>
      <c r="M223" s="25"/>
      <c r="N223" s="29"/>
      <c r="O223" s="84"/>
      <c r="P223" s="25"/>
      <c r="Q223" s="25"/>
      <c r="R223" s="70"/>
      <c r="S223" s="71"/>
      <c r="T223" s="30">
        <f>IF(Table110[[#This Row],[SKU]]="",0,24-Table110[[#This Row],[Legal Non-Operating Time]]-Table110[[#This Row],[No Demand Time]]-Table110[[#This Row],[Force Majeure]])</f>
        <v>0</v>
      </c>
      <c r="U223" s="26"/>
      <c r="V223" s="26"/>
      <c r="W223" s="26"/>
      <c r="X223" s="26"/>
      <c r="Y223" s="26"/>
      <c r="Z223" s="26"/>
      <c r="AA223" s="26"/>
      <c r="AB223" s="30">
        <f>Table110[[#This Row],[Hours Used]]-SUM(Table110[[#This Row],[Planned Maintenance]:[Start and Finish Production]])</f>
        <v>0</v>
      </c>
      <c r="AC223" s="26"/>
      <c r="AD223" s="26"/>
      <c r="AE223" s="26"/>
      <c r="AF223" s="26"/>
      <c r="AG223" s="26"/>
      <c r="AH223" s="26"/>
      <c r="AI223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23" s="24">
        <f>IFERROR(IF(Table110[[#This Row],[SKU]]="",0,Table110[[#This Row],[Quality Loss (T)]]/(Table110[[#This Row],[SOC (TPD)]]/24)),"")</f>
        <v>0</v>
      </c>
      <c r="AK223" s="31">
        <f>IFERROR(IF(Table110[[#This Row],[SKU]]="",0,Table110[[#This Row],[Volume Delivered (T)]]/(Table110[[#This Row],[SOC (TPD)]]/24)),"")</f>
        <v>0</v>
      </c>
      <c r="AL223" s="31" t="str">
        <f>IFERROR(Table110[[#This Row],[Operating Time]]/Table110[[#This Row],[PRODUCTION HOURS]],"")</f>
        <v/>
      </c>
      <c r="AM223" s="32"/>
      <c r="AN223" s="32"/>
      <c r="AO223" s="32"/>
      <c r="AP223" s="32">
        <v>7</v>
      </c>
      <c r="AQ223" s="32">
        <v>0</v>
      </c>
      <c r="AR223" s="32"/>
      <c r="AS223" s="32" t="str">
        <f>IFERROR(SUMIFS(#REF!,#REF!,'Shift Wise-Data Sheet'!A:A,#REF!,"Samridhi Perk Line")/SUMIFS(#REF!,#REF!,'Shift Wise-Data Sheet'!A:A,#REF!,"Samridhi Perk Line"),"")</f>
        <v/>
      </c>
      <c r="AT223" s="32"/>
      <c r="AU223" s="32"/>
      <c r="AV223" s="211" t="str">
        <f>IFERROR(VLOOKUP(Table110[[#This Row],[Date]],'Overweight Data'!A221:G1316,6,FALSE),"")</f>
        <v/>
      </c>
      <c r="AW223" s="221">
        <f>IFERROR(
   IF(
      OR(Table110[[#This Row],[Operating Time]]=0, (Table110[[#This Row],[Operating Time]]/IF(AD223&lt;=1,AD223+1,AD223))*60=0),
      1,
      ((Table110[[#This Row],[Operating Time]])/IF(AD223&lt;=1,AD223+1,AD223))*60
   ),
"_")</f>
        <v>1</v>
      </c>
      <c r="AX223" s="221">
        <f>COUNTIFS('Downtime Data'!A:A,Table110[[#This Row],[Date]])</f>
        <v>0</v>
      </c>
      <c r="AY223" s="219" t="str">
        <f>IFERROR((SUM(Table110[[#This Row],[Minor Stoppages]:[Material Shortages]])/Table110[[#This Row],['# Stops]])*60,"")</f>
        <v/>
      </c>
      <c r="AZ223" s="219"/>
      <c r="BA223" s="33">
        <v>46260</v>
      </c>
    </row>
    <row r="224" spans="1:53" ht="20.149999999999999" customHeight="1" x14ac:dyDescent="0.35">
      <c r="A224" s="21">
        <v>46241</v>
      </c>
      <c r="B224" s="22" t="str">
        <f t="shared" si="4"/>
        <v>Friday</v>
      </c>
      <c r="C224" s="22"/>
      <c r="D224" s="23"/>
      <c r="E224" s="24" t="str" cm="1">
        <f t="array" aca="1" ref="E224" ca="1">IFERROR(INDIRECT(D224),"")</f>
        <v/>
      </c>
      <c r="F224" s="25"/>
      <c r="G224" s="26"/>
      <c r="H224" s="27" t="str">
        <f ca="1">IFERROR((Table110[[#This Row],[Plan]]/Table110[[#This Row],[Hours Used]])/(Table110[[#This Row],[SOC (TPD)]]/24),"")</f>
        <v/>
      </c>
      <c r="I224" s="27" t="str">
        <f ca="1">IFERROR((Table110[[#This Row],[Volume Delivered (T)]]/Table110[[#This Row],[Hours Used]])/(Table110[[#This Row],[SOC (TPD)]]/24),"")</f>
        <v/>
      </c>
      <c r="J224" s="28"/>
      <c r="K224" s="28"/>
      <c r="L224" s="28"/>
      <c r="M224" s="25"/>
      <c r="N224" s="29"/>
      <c r="O224" s="84"/>
      <c r="P224" s="25"/>
      <c r="Q224" s="25"/>
      <c r="R224" s="70"/>
      <c r="S224" s="71"/>
      <c r="T224" s="30">
        <f>IF(Table110[[#This Row],[SKU]]="",0,24-Table110[[#This Row],[Legal Non-Operating Time]]-Table110[[#This Row],[No Demand Time]]-Table110[[#This Row],[Force Majeure]])</f>
        <v>0</v>
      </c>
      <c r="U224" s="26"/>
      <c r="V224" s="26"/>
      <c r="W224" s="26"/>
      <c r="X224" s="26"/>
      <c r="Y224" s="26"/>
      <c r="Z224" s="26"/>
      <c r="AA224" s="26"/>
      <c r="AB224" s="30">
        <f>Table110[[#This Row],[Hours Used]]-SUM(Table110[[#This Row],[Planned Maintenance]:[Start and Finish Production]])</f>
        <v>0</v>
      </c>
      <c r="AC224" s="26"/>
      <c r="AD224" s="26"/>
      <c r="AE224" s="26"/>
      <c r="AF224" s="26"/>
      <c r="AG224" s="26"/>
      <c r="AH224" s="26"/>
      <c r="AI224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24" s="24">
        <f>IFERROR(IF(Table110[[#This Row],[SKU]]="",0,Table110[[#This Row],[Quality Loss (T)]]/(Table110[[#This Row],[SOC (TPD)]]/24)),"")</f>
        <v>0</v>
      </c>
      <c r="AK224" s="31">
        <f>IFERROR(IF(Table110[[#This Row],[SKU]]="",0,Table110[[#This Row],[Volume Delivered (T)]]/(Table110[[#This Row],[SOC (TPD)]]/24)),"")</f>
        <v>0</v>
      </c>
      <c r="AL224" s="31" t="str">
        <f>IFERROR(Table110[[#This Row],[Operating Time]]/Table110[[#This Row],[PRODUCTION HOURS]],"")</f>
        <v/>
      </c>
      <c r="AM224" s="32"/>
      <c r="AN224" s="32"/>
      <c r="AO224" s="32"/>
      <c r="AP224" s="32">
        <v>0</v>
      </c>
      <c r="AQ224" s="32">
        <v>0</v>
      </c>
      <c r="AR224" s="32"/>
      <c r="AS224" s="32" t="str">
        <f>IFERROR(SUMIFS(#REF!,#REF!,'Shift Wise-Data Sheet'!A:A,#REF!,"Samridhi Perk Line")/SUMIFS(#REF!,#REF!,'Shift Wise-Data Sheet'!A:A,#REF!,"Samridhi Perk Line"),"")</f>
        <v/>
      </c>
      <c r="AT224" s="32"/>
      <c r="AU224" s="32"/>
      <c r="AV224" s="211" t="str">
        <f>IFERROR(VLOOKUP(Table110[[#This Row],[Date]],'Overweight Data'!A222:G1317,6,FALSE),"")</f>
        <v/>
      </c>
      <c r="AW224" s="221">
        <f>IFERROR(
   IF(
      OR(Table110[[#This Row],[Operating Time]]=0, (Table110[[#This Row],[Operating Time]]/IF(AD224&lt;=1,AD224+1,AD224))*60=0),
      1,
      ((Table110[[#This Row],[Operating Time]])/IF(AD224&lt;=1,AD224+1,AD224))*60
   ),
"_")</f>
        <v>1</v>
      </c>
      <c r="AX224" s="221">
        <f>COUNTIFS('Downtime Data'!A:A,Table110[[#This Row],[Date]])</f>
        <v>0</v>
      </c>
      <c r="AY224" s="219" t="str">
        <f>IFERROR((SUM(Table110[[#This Row],[Minor Stoppages]:[Material Shortages]])/Table110[[#This Row],['# Stops]])*60,"")</f>
        <v/>
      </c>
      <c r="AZ224" s="219"/>
      <c r="BA224" s="33">
        <v>46260</v>
      </c>
    </row>
    <row r="225" spans="1:53" ht="20.149999999999999" customHeight="1" x14ac:dyDescent="0.35">
      <c r="A225" s="21">
        <v>46242</v>
      </c>
      <c r="B225" s="22" t="str">
        <f t="shared" si="4"/>
        <v>Saturday</v>
      </c>
      <c r="C225" s="22"/>
      <c r="D225" s="23"/>
      <c r="E225" s="24" t="str" cm="1">
        <f t="array" aca="1" ref="E225" ca="1">IFERROR(INDIRECT(D225),"")</f>
        <v/>
      </c>
      <c r="F225" s="25"/>
      <c r="G225" s="26"/>
      <c r="H225" s="27" t="str">
        <f ca="1">IFERROR((Table110[[#This Row],[Plan]]/Table110[[#This Row],[Hours Used]])/(Table110[[#This Row],[SOC (TPD)]]/24),"")</f>
        <v/>
      </c>
      <c r="I225" s="27" t="str">
        <f ca="1">IFERROR((Table110[[#This Row],[Volume Delivered (T)]]/Table110[[#This Row],[Hours Used]])/(Table110[[#This Row],[SOC (TPD)]]/24),"")</f>
        <v/>
      </c>
      <c r="J225" s="28"/>
      <c r="K225" s="28"/>
      <c r="L225" s="28"/>
      <c r="M225" s="25"/>
      <c r="N225" s="29"/>
      <c r="O225" s="84"/>
      <c r="P225" s="25"/>
      <c r="Q225" s="25"/>
      <c r="R225" s="70"/>
      <c r="S225" s="71"/>
      <c r="T225" s="30">
        <f>IF(Table110[[#This Row],[SKU]]="",0,24-Table110[[#This Row],[Legal Non-Operating Time]]-Table110[[#This Row],[No Demand Time]]-Table110[[#This Row],[Force Majeure]])</f>
        <v>0</v>
      </c>
      <c r="U225" s="26"/>
      <c r="V225" s="26"/>
      <c r="W225" s="26"/>
      <c r="X225" s="26"/>
      <c r="Y225" s="26"/>
      <c r="Z225" s="26"/>
      <c r="AA225" s="26"/>
      <c r="AB225" s="30">
        <f>Table110[[#This Row],[Hours Used]]-SUM(Table110[[#This Row],[Planned Maintenance]:[Start and Finish Production]])</f>
        <v>0</v>
      </c>
      <c r="AC225" s="26"/>
      <c r="AD225" s="26"/>
      <c r="AE225" s="26"/>
      <c r="AF225" s="26"/>
      <c r="AG225" s="26"/>
      <c r="AH225" s="26"/>
      <c r="AI225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25" s="24">
        <f>IFERROR(IF(Table110[[#This Row],[SKU]]="",0,Table110[[#This Row],[Quality Loss (T)]]/(Table110[[#This Row],[SOC (TPD)]]/24)),"")</f>
        <v>0</v>
      </c>
      <c r="AK225" s="31">
        <f>IFERROR(IF(Table110[[#This Row],[SKU]]="",0,Table110[[#This Row],[Volume Delivered (T)]]/(Table110[[#This Row],[SOC (TPD)]]/24)),"")</f>
        <v>0</v>
      </c>
      <c r="AL225" s="31" t="str">
        <f>IFERROR(Table110[[#This Row],[Operating Time]]/Table110[[#This Row],[PRODUCTION HOURS]],"")</f>
        <v/>
      </c>
      <c r="AM225" s="32"/>
      <c r="AN225" s="32"/>
      <c r="AO225" s="32"/>
      <c r="AP225" s="32">
        <v>0</v>
      </c>
      <c r="AQ225" s="32">
        <v>0</v>
      </c>
      <c r="AR225" s="32"/>
      <c r="AS225" s="32" t="str">
        <f>IFERROR(SUMIFS(#REF!,#REF!,'Shift Wise-Data Sheet'!A:A,#REF!,"Samridhi Perk Line")/SUMIFS(#REF!,#REF!,'Shift Wise-Data Sheet'!A:A,#REF!,"Samridhi Perk Line"),"")</f>
        <v/>
      </c>
      <c r="AT225" s="32"/>
      <c r="AU225" s="32"/>
      <c r="AV225" s="211" t="str">
        <f>IFERROR(VLOOKUP(Table110[[#This Row],[Date]],'Overweight Data'!A223:G1318,6,FALSE),"")</f>
        <v/>
      </c>
      <c r="AW225" s="221">
        <f>IFERROR(
   IF(
      OR(Table110[[#This Row],[Operating Time]]=0, (Table110[[#This Row],[Operating Time]]/IF(AD225&lt;=1,AD225+1,AD225))*60=0),
      1,
      ((Table110[[#This Row],[Operating Time]])/IF(AD225&lt;=1,AD225+1,AD225))*60
   ),
"_")</f>
        <v>1</v>
      </c>
      <c r="AX225" s="221">
        <f>COUNTIFS('Downtime Data'!A:A,Table110[[#This Row],[Date]])</f>
        <v>0</v>
      </c>
      <c r="AY225" s="219" t="str">
        <f>IFERROR((SUM(Table110[[#This Row],[Minor Stoppages]:[Material Shortages]])/Table110[[#This Row],['# Stops]])*60,"")</f>
        <v/>
      </c>
      <c r="AZ225" s="219"/>
      <c r="BA225" s="33">
        <v>46260</v>
      </c>
    </row>
    <row r="226" spans="1:53" ht="20.149999999999999" customHeight="1" x14ac:dyDescent="0.35">
      <c r="A226" s="21">
        <v>46243</v>
      </c>
      <c r="B226" s="22" t="str">
        <f t="shared" si="4"/>
        <v>Sunday</v>
      </c>
      <c r="C226" s="22"/>
      <c r="D226" s="23"/>
      <c r="E226" s="24" t="str" cm="1">
        <f t="array" aca="1" ref="E226" ca="1">IFERROR(INDIRECT(D226),"")</f>
        <v/>
      </c>
      <c r="F226" s="25"/>
      <c r="G226" s="26"/>
      <c r="H226" s="27" t="str">
        <f ca="1">IFERROR((Table110[[#This Row],[Plan]]/Table110[[#This Row],[Hours Used]])/(Table110[[#This Row],[SOC (TPD)]]/24),"")</f>
        <v/>
      </c>
      <c r="I226" s="27" t="str">
        <f ca="1">IFERROR((Table110[[#This Row],[Volume Delivered (T)]]/Table110[[#This Row],[Hours Used]])/(Table110[[#This Row],[SOC (TPD)]]/24),"")</f>
        <v/>
      </c>
      <c r="J226" s="28"/>
      <c r="K226" s="28"/>
      <c r="L226" s="28"/>
      <c r="M226" s="25"/>
      <c r="N226" s="29"/>
      <c r="O226" s="84"/>
      <c r="P226" s="25"/>
      <c r="Q226" s="25"/>
      <c r="R226" s="70"/>
      <c r="S226" s="71"/>
      <c r="T226" s="30">
        <f>IF(Table110[[#This Row],[SKU]]="",0,24-Table110[[#This Row],[Legal Non-Operating Time]]-Table110[[#This Row],[No Demand Time]]-Table110[[#This Row],[Force Majeure]])</f>
        <v>0</v>
      </c>
      <c r="U226" s="26"/>
      <c r="V226" s="26"/>
      <c r="W226" s="26"/>
      <c r="X226" s="26"/>
      <c r="Y226" s="26"/>
      <c r="Z226" s="26"/>
      <c r="AA226" s="26"/>
      <c r="AB226" s="30">
        <f>Table110[[#This Row],[Hours Used]]-SUM(Table110[[#This Row],[Planned Maintenance]:[Start and Finish Production]])</f>
        <v>0</v>
      </c>
      <c r="AC226" s="26"/>
      <c r="AD226" s="26"/>
      <c r="AE226" s="26"/>
      <c r="AF226" s="26"/>
      <c r="AG226" s="26"/>
      <c r="AH226" s="26"/>
      <c r="AI226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26" s="24">
        <f>IFERROR(IF(Table110[[#This Row],[SKU]]="",0,Table110[[#This Row],[Quality Loss (T)]]/(Table110[[#This Row],[SOC (TPD)]]/24)),"")</f>
        <v>0</v>
      </c>
      <c r="AK226" s="31">
        <f>IFERROR(IF(Table110[[#This Row],[SKU]]="",0,Table110[[#This Row],[Volume Delivered (T)]]/(Table110[[#This Row],[SOC (TPD)]]/24)),"")</f>
        <v>0</v>
      </c>
      <c r="AL226" s="31" t="str">
        <f>IFERROR(Table110[[#This Row],[Operating Time]]/Table110[[#This Row],[PRODUCTION HOURS]],"")</f>
        <v/>
      </c>
      <c r="AM226" s="32"/>
      <c r="AN226" s="32"/>
      <c r="AO226" s="32"/>
      <c r="AP226" s="32">
        <v>0</v>
      </c>
      <c r="AQ226" s="32">
        <v>0</v>
      </c>
      <c r="AR226" s="32"/>
      <c r="AS226" s="32" t="str">
        <f>IFERROR(SUMIFS(#REF!,#REF!,'Shift Wise-Data Sheet'!A:A,#REF!,"Samridhi Perk Line")/SUMIFS(#REF!,#REF!,'Shift Wise-Data Sheet'!A:A,#REF!,"Samridhi Perk Line"),"")</f>
        <v/>
      </c>
      <c r="AT226" s="32"/>
      <c r="AU226" s="32"/>
      <c r="AV226" s="211" t="str">
        <f>IFERROR(VLOOKUP(Table110[[#This Row],[Date]],'Overweight Data'!A224:G1319,6,FALSE),"")</f>
        <v/>
      </c>
      <c r="AW226" s="221">
        <f>IFERROR(
   IF(
      OR(Table110[[#This Row],[Operating Time]]=0, (Table110[[#This Row],[Operating Time]]/IF(AD226&lt;=1,AD226+1,AD226))*60=0),
      1,
      ((Table110[[#This Row],[Operating Time]])/IF(AD226&lt;=1,AD226+1,AD226))*60
   ),
"_")</f>
        <v>1</v>
      </c>
      <c r="AX226" s="221">
        <f>COUNTIFS('Downtime Data'!A:A,Table110[[#This Row],[Date]])</f>
        <v>0</v>
      </c>
      <c r="AY226" s="219" t="str">
        <f>IFERROR((SUM(Table110[[#This Row],[Minor Stoppages]:[Material Shortages]])/Table110[[#This Row],['# Stops]])*60,"")</f>
        <v/>
      </c>
      <c r="AZ226" s="219"/>
      <c r="BA226" s="33">
        <v>46260</v>
      </c>
    </row>
    <row r="227" spans="1:53" ht="20.149999999999999" customHeight="1" x14ac:dyDescent="0.35">
      <c r="A227" s="21">
        <v>46244</v>
      </c>
      <c r="B227" s="22" t="str">
        <f t="shared" si="4"/>
        <v>Monday</v>
      </c>
      <c r="C227" s="22"/>
      <c r="D227" s="23"/>
      <c r="E227" s="24" t="str" cm="1">
        <f t="array" aca="1" ref="E227" ca="1">IFERROR(INDIRECT(D227),"")</f>
        <v/>
      </c>
      <c r="F227" s="25"/>
      <c r="G227" s="26"/>
      <c r="H227" s="27" t="str">
        <f ca="1">IFERROR((Table110[[#This Row],[Plan]]/Table110[[#This Row],[Hours Used]])/(Table110[[#This Row],[SOC (TPD)]]/24),"")</f>
        <v/>
      </c>
      <c r="I227" s="27" t="str">
        <f ca="1">IFERROR((Table110[[#This Row],[Volume Delivered (T)]]/Table110[[#This Row],[Hours Used]])/(Table110[[#This Row],[SOC (TPD)]]/24),"")</f>
        <v/>
      </c>
      <c r="J227" s="28"/>
      <c r="K227" s="28"/>
      <c r="L227" s="28"/>
      <c r="M227" s="25"/>
      <c r="N227" s="29"/>
      <c r="O227" s="84"/>
      <c r="P227" s="25"/>
      <c r="Q227" s="25"/>
      <c r="R227" s="70"/>
      <c r="S227" s="71"/>
      <c r="T227" s="30">
        <f>IF(Table110[[#This Row],[SKU]]="",0,24-Table110[[#This Row],[Legal Non-Operating Time]]-Table110[[#This Row],[No Demand Time]]-Table110[[#This Row],[Force Majeure]])</f>
        <v>0</v>
      </c>
      <c r="U227" s="26"/>
      <c r="V227" s="26"/>
      <c r="W227" s="26"/>
      <c r="X227" s="26"/>
      <c r="Y227" s="26"/>
      <c r="Z227" s="26"/>
      <c r="AA227" s="26"/>
      <c r="AB227" s="30">
        <f>Table110[[#This Row],[Hours Used]]-SUM(Table110[[#This Row],[Planned Maintenance]:[Start and Finish Production]])</f>
        <v>0</v>
      </c>
      <c r="AC227" s="26"/>
      <c r="AD227" s="26"/>
      <c r="AE227" s="26"/>
      <c r="AF227" s="26"/>
      <c r="AG227" s="26"/>
      <c r="AH227" s="26"/>
      <c r="AI227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27" s="24">
        <f>IFERROR(IF(Table110[[#This Row],[SKU]]="",0,Table110[[#This Row],[Quality Loss (T)]]/(Table110[[#This Row],[SOC (TPD)]]/24)),"")</f>
        <v>0</v>
      </c>
      <c r="AK227" s="31">
        <f>IFERROR(IF(Table110[[#This Row],[SKU]]="",0,Table110[[#This Row],[Volume Delivered (T)]]/(Table110[[#This Row],[SOC (TPD)]]/24)),"")</f>
        <v>0</v>
      </c>
      <c r="AL227" s="31" t="str">
        <f>IFERROR(Table110[[#This Row],[Operating Time]]/Table110[[#This Row],[PRODUCTION HOURS]],"")</f>
        <v/>
      </c>
      <c r="AM227" s="32"/>
      <c r="AN227" s="32"/>
      <c r="AO227" s="32"/>
      <c r="AP227" s="32">
        <v>0</v>
      </c>
      <c r="AQ227" s="32">
        <v>0</v>
      </c>
      <c r="AR227" s="32"/>
      <c r="AS227" s="32" t="str">
        <f>IFERROR(SUMIFS(#REF!,#REF!,'Shift Wise-Data Sheet'!A:A,#REF!,"Samridhi Perk Line")/SUMIFS(#REF!,#REF!,'Shift Wise-Data Sheet'!A:A,#REF!,"Samridhi Perk Line"),"")</f>
        <v/>
      </c>
      <c r="AT227" s="32"/>
      <c r="AU227" s="32"/>
      <c r="AV227" s="211">
        <f>IFERROR(VLOOKUP(Table110[[#This Row],[Date]],'Overweight Data'!A225:G1320,6,FALSE),"")</f>
        <v>0</v>
      </c>
      <c r="AW227" s="221">
        <f>IFERROR(
   IF(
      OR(Table110[[#This Row],[Operating Time]]=0, (Table110[[#This Row],[Operating Time]]/IF(AD227&lt;=1,AD227+1,AD227))*60=0),
      1,
      ((Table110[[#This Row],[Operating Time]])/IF(AD227&lt;=1,AD227+1,AD227))*60
   ),
"_")</f>
        <v>1</v>
      </c>
      <c r="AX227" s="221">
        <f>COUNTIFS('Downtime Data'!A:A,Table110[[#This Row],[Date]])</f>
        <v>0</v>
      </c>
      <c r="AY227" s="219" t="str">
        <f>IFERROR((SUM(Table110[[#This Row],[Minor Stoppages]:[Material Shortages]])/Table110[[#This Row],['# Stops]])*60,"")</f>
        <v/>
      </c>
      <c r="AZ227" s="219"/>
      <c r="BA227" s="33">
        <v>46260</v>
      </c>
    </row>
    <row r="228" spans="1:53" ht="20.149999999999999" customHeight="1" x14ac:dyDescent="0.35">
      <c r="A228" s="21">
        <v>46245</v>
      </c>
      <c r="B228" s="22" t="str">
        <f t="shared" si="4"/>
        <v>Tuesday</v>
      </c>
      <c r="C228" s="22"/>
      <c r="D228" s="23"/>
      <c r="E228" s="24" t="str" cm="1">
        <f t="array" aca="1" ref="E228" ca="1">IFERROR(INDIRECT(D228),"")</f>
        <v/>
      </c>
      <c r="F228" s="25"/>
      <c r="G228" s="26"/>
      <c r="H228" s="27" t="str">
        <f ca="1">IFERROR((Table110[[#This Row],[Plan]]/Table110[[#This Row],[Hours Used]])/(Table110[[#This Row],[SOC (TPD)]]/24),"")</f>
        <v/>
      </c>
      <c r="I228" s="27" t="str">
        <f ca="1">IFERROR((Table110[[#This Row],[Volume Delivered (T)]]/Table110[[#This Row],[Hours Used]])/(Table110[[#This Row],[SOC (TPD)]]/24),"")</f>
        <v/>
      </c>
      <c r="J228" s="28"/>
      <c r="K228" s="28"/>
      <c r="L228" s="28"/>
      <c r="M228" s="25"/>
      <c r="N228" s="29"/>
      <c r="O228" s="84"/>
      <c r="P228" s="25"/>
      <c r="Q228" s="25"/>
      <c r="R228" s="70"/>
      <c r="S228" s="71"/>
      <c r="T228" s="30">
        <f>IF(Table110[[#This Row],[SKU]]="",0,24-Table110[[#This Row],[Legal Non-Operating Time]]-Table110[[#This Row],[No Demand Time]]-Table110[[#This Row],[Force Majeure]])</f>
        <v>0</v>
      </c>
      <c r="U228" s="26"/>
      <c r="V228" s="26"/>
      <c r="W228" s="26"/>
      <c r="X228" s="26"/>
      <c r="Y228" s="26"/>
      <c r="Z228" s="26"/>
      <c r="AA228" s="26"/>
      <c r="AB228" s="30">
        <f>Table110[[#This Row],[Hours Used]]-SUM(Table110[[#This Row],[Planned Maintenance]:[Start and Finish Production]])</f>
        <v>0</v>
      </c>
      <c r="AC228" s="26"/>
      <c r="AD228" s="26"/>
      <c r="AE228" s="26"/>
      <c r="AF228" s="26"/>
      <c r="AG228" s="26"/>
      <c r="AH228" s="26"/>
      <c r="AI228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28" s="24">
        <f>IFERROR(IF(Table110[[#This Row],[SKU]]="",0,Table110[[#This Row],[Quality Loss (T)]]/(Table110[[#This Row],[SOC (TPD)]]/24)),"")</f>
        <v>0</v>
      </c>
      <c r="AK228" s="31">
        <f>IFERROR(IF(Table110[[#This Row],[SKU]]="",0,Table110[[#This Row],[Volume Delivered (T)]]/(Table110[[#This Row],[SOC (TPD)]]/24)),"")</f>
        <v>0</v>
      </c>
      <c r="AL228" s="31" t="str">
        <f>IFERROR(Table110[[#This Row],[Operating Time]]/Table110[[#This Row],[PRODUCTION HOURS]],"")</f>
        <v/>
      </c>
      <c r="AM228" s="32"/>
      <c r="AN228" s="32"/>
      <c r="AO228" s="32"/>
      <c r="AP228" s="32">
        <v>0</v>
      </c>
      <c r="AQ228" s="32">
        <v>0</v>
      </c>
      <c r="AR228" s="32"/>
      <c r="AS228" s="32" t="str">
        <f>IFERROR(SUMIFS(#REF!,#REF!,'Shift Wise-Data Sheet'!A:A,#REF!,"Samridhi Perk Line")/SUMIFS(#REF!,#REF!,'Shift Wise-Data Sheet'!A:A,#REF!,"Samridhi Perk Line"),"")</f>
        <v/>
      </c>
      <c r="AT228" s="32"/>
      <c r="AU228" s="32"/>
      <c r="AV228" s="211" t="str">
        <f>IFERROR(VLOOKUP(Table110[[#This Row],[Date]],'Overweight Data'!A226:G1321,6,FALSE),"")</f>
        <v/>
      </c>
      <c r="AW228" s="221">
        <f>IFERROR(
   IF(
      OR(Table110[[#This Row],[Operating Time]]=0, (Table110[[#This Row],[Operating Time]]/IF(AD228&lt;=1,AD228+1,AD228))*60=0),
      1,
      ((Table110[[#This Row],[Operating Time]])/IF(AD228&lt;=1,AD228+1,AD228))*60
   ),
"_")</f>
        <v>1</v>
      </c>
      <c r="AX228" s="221">
        <f>COUNTIFS('Downtime Data'!A:A,Table110[[#This Row],[Date]])</f>
        <v>0</v>
      </c>
      <c r="AY228" s="219" t="str">
        <f>IFERROR((SUM(Table110[[#This Row],[Minor Stoppages]:[Material Shortages]])/Table110[[#This Row],['# Stops]])*60,"")</f>
        <v/>
      </c>
      <c r="AZ228" s="219"/>
      <c r="BA228" s="33">
        <v>46260</v>
      </c>
    </row>
    <row r="229" spans="1:53" ht="20.149999999999999" customHeight="1" x14ac:dyDescent="0.35">
      <c r="A229" s="21">
        <v>46246</v>
      </c>
      <c r="B229" s="22" t="str">
        <f t="shared" si="4"/>
        <v>Wednesday</v>
      </c>
      <c r="C229" s="22"/>
      <c r="D229" s="23"/>
      <c r="E229" s="24" t="str" cm="1">
        <f t="array" aca="1" ref="E229" ca="1">IFERROR(INDIRECT(D229),"")</f>
        <v/>
      </c>
      <c r="F229" s="25"/>
      <c r="G229" s="26"/>
      <c r="H229" s="27" t="str">
        <f ca="1">IFERROR((Table110[[#This Row],[Plan]]/Table110[[#This Row],[Hours Used]])/(Table110[[#This Row],[SOC (TPD)]]/24),"")</f>
        <v/>
      </c>
      <c r="I229" s="27" t="str">
        <f ca="1">IFERROR((Table110[[#This Row],[Volume Delivered (T)]]/Table110[[#This Row],[Hours Used]])/(Table110[[#This Row],[SOC (TPD)]]/24),"")</f>
        <v/>
      </c>
      <c r="J229" s="28"/>
      <c r="K229" s="28"/>
      <c r="L229" s="28"/>
      <c r="M229" s="25"/>
      <c r="N229" s="29"/>
      <c r="O229" s="84"/>
      <c r="P229" s="25"/>
      <c r="Q229" s="25"/>
      <c r="R229" s="70"/>
      <c r="S229" s="71"/>
      <c r="T229" s="30">
        <f>IF(Table110[[#This Row],[SKU]]="",0,24-Table110[[#This Row],[Legal Non-Operating Time]]-Table110[[#This Row],[No Demand Time]]-Table110[[#This Row],[Force Majeure]])</f>
        <v>0</v>
      </c>
      <c r="U229" s="26"/>
      <c r="V229" s="26"/>
      <c r="W229" s="26"/>
      <c r="X229" s="26"/>
      <c r="Y229" s="26"/>
      <c r="Z229" s="26"/>
      <c r="AA229" s="26"/>
      <c r="AB229" s="30">
        <f>Table110[[#This Row],[Hours Used]]-SUM(Table110[[#This Row],[Planned Maintenance]:[Start and Finish Production]])</f>
        <v>0</v>
      </c>
      <c r="AC229" s="26"/>
      <c r="AD229" s="26"/>
      <c r="AE229" s="26"/>
      <c r="AF229" s="26"/>
      <c r="AG229" s="26"/>
      <c r="AH229" s="26"/>
      <c r="AI229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29" s="24">
        <f>IFERROR(IF(Table110[[#This Row],[SKU]]="",0,Table110[[#This Row],[Quality Loss (T)]]/(Table110[[#This Row],[SOC (TPD)]]/24)),"")</f>
        <v>0</v>
      </c>
      <c r="AK229" s="31">
        <f>IFERROR(IF(Table110[[#This Row],[SKU]]="",0,Table110[[#This Row],[Volume Delivered (T)]]/(Table110[[#This Row],[SOC (TPD)]]/24)),"")</f>
        <v>0</v>
      </c>
      <c r="AL229" s="31" t="str">
        <f>IFERROR(Table110[[#This Row],[Operating Time]]/Table110[[#This Row],[PRODUCTION HOURS]],"")</f>
        <v/>
      </c>
      <c r="AM229" s="32"/>
      <c r="AN229" s="32"/>
      <c r="AO229" s="32"/>
      <c r="AP229" s="32">
        <v>19</v>
      </c>
      <c r="AQ229" s="32">
        <v>0</v>
      </c>
      <c r="AR229" s="32"/>
      <c r="AS229" s="32" t="str">
        <f>IFERROR(SUMIFS(#REF!,#REF!,'Shift Wise-Data Sheet'!A:A,#REF!,"Samridhi Perk Line")/SUMIFS(#REF!,#REF!,'Shift Wise-Data Sheet'!A:A,#REF!,"Samridhi Perk Line"),"")</f>
        <v/>
      </c>
      <c r="AT229" s="32"/>
      <c r="AU229" s="32"/>
      <c r="AV229" s="211" t="str">
        <f>IFERROR(VLOOKUP(Table110[[#This Row],[Date]],'Overweight Data'!A227:G1322,6,FALSE),"")</f>
        <v/>
      </c>
      <c r="AW229" s="221">
        <f>IFERROR(
   IF(
      OR(Table110[[#This Row],[Operating Time]]=0, (Table110[[#This Row],[Operating Time]]/IF(AD229&lt;=1,AD229+1,AD229))*60=0),
      1,
      ((Table110[[#This Row],[Operating Time]])/IF(AD229&lt;=1,AD229+1,AD229))*60
   ),
"_")</f>
        <v>1</v>
      </c>
      <c r="AX229" s="221">
        <f>COUNTIFS('Downtime Data'!A:A,Table110[[#This Row],[Date]])</f>
        <v>0</v>
      </c>
      <c r="AY229" s="219" t="str">
        <f>IFERROR((SUM(Table110[[#This Row],[Minor Stoppages]:[Material Shortages]])/Table110[[#This Row],['# Stops]])*60,"")</f>
        <v/>
      </c>
      <c r="AZ229" s="219"/>
      <c r="BA229" s="33">
        <v>46260</v>
      </c>
    </row>
    <row r="230" spans="1:53" ht="20.149999999999999" customHeight="1" x14ac:dyDescent="0.35">
      <c r="A230" s="21">
        <v>46247</v>
      </c>
      <c r="B230" s="22" t="str">
        <f t="shared" si="4"/>
        <v>Thursday</v>
      </c>
      <c r="C230" s="22"/>
      <c r="D230" s="23"/>
      <c r="E230" s="24" t="str" cm="1">
        <f t="array" aca="1" ref="E230" ca="1">IFERROR(INDIRECT(D230),"")</f>
        <v/>
      </c>
      <c r="F230" s="25"/>
      <c r="G230" s="26"/>
      <c r="H230" s="27" t="str">
        <f ca="1">IFERROR((Table110[[#This Row],[Plan]]/Table110[[#This Row],[Hours Used]])/(Table110[[#This Row],[SOC (TPD)]]/24),"")</f>
        <v/>
      </c>
      <c r="I230" s="27" t="str">
        <f ca="1">IFERROR((Table110[[#This Row],[Volume Delivered (T)]]/Table110[[#This Row],[Hours Used]])/(Table110[[#This Row],[SOC (TPD)]]/24),"")</f>
        <v/>
      </c>
      <c r="J230" s="28"/>
      <c r="K230" s="28"/>
      <c r="L230" s="28"/>
      <c r="M230" s="25"/>
      <c r="N230" s="29"/>
      <c r="O230" s="84"/>
      <c r="P230" s="25"/>
      <c r="Q230" s="25"/>
      <c r="R230" s="70"/>
      <c r="S230" s="71"/>
      <c r="T230" s="30">
        <f>IF(Table110[[#This Row],[SKU]]="",0,24-Table110[[#This Row],[Legal Non-Operating Time]]-Table110[[#This Row],[No Demand Time]]-Table110[[#This Row],[Force Majeure]])</f>
        <v>0</v>
      </c>
      <c r="U230" s="26"/>
      <c r="V230" s="26"/>
      <c r="W230" s="26"/>
      <c r="X230" s="26"/>
      <c r="Y230" s="26"/>
      <c r="Z230" s="26"/>
      <c r="AA230" s="26"/>
      <c r="AB230" s="30">
        <f>Table110[[#This Row],[Hours Used]]-SUM(Table110[[#This Row],[Planned Maintenance]:[Start and Finish Production]])</f>
        <v>0</v>
      </c>
      <c r="AC230" s="26"/>
      <c r="AD230" s="26"/>
      <c r="AE230" s="26"/>
      <c r="AF230" s="26"/>
      <c r="AG230" s="26"/>
      <c r="AH230" s="26"/>
      <c r="AI230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30" s="24">
        <f>IFERROR(IF(Table110[[#This Row],[SKU]]="",0,Table110[[#This Row],[Quality Loss (T)]]/(Table110[[#This Row],[SOC (TPD)]]/24)),"")</f>
        <v>0</v>
      </c>
      <c r="AK230" s="31">
        <f>IFERROR(IF(Table110[[#This Row],[SKU]]="",0,Table110[[#This Row],[Volume Delivered (T)]]/(Table110[[#This Row],[SOC (TPD)]]/24)),"")</f>
        <v>0</v>
      </c>
      <c r="AL230" s="31" t="str">
        <f>IFERROR(Table110[[#This Row],[Operating Time]]/Table110[[#This Row],[PRODUCTION HOURS]],"")</f>
        <v/>
      </c>
      <c r="AM230" s="32"/>
      <c r="AN230" s="32"/>
      <c r="AO230" s="32"/>
      <c r="AP230" s="32">
        <v>4</v>
      </c>
      <c r="AQ230" s="32">
        <v>0</v>
      </c>
      <c r="AR230" s="32"/>
      <c r="AS230" s="32" t="str">
        <f>IFERROR(SUMIFS(#REF!,#REF!,'Shift Wise-Data Sheet'!A:A,#REF!,"Samridhi Perk Line")/SUMIFS(#REF!,#REF!,'Shift Wise-Data Sheet'!A:A,#REF!,"Samridhi Perk Line"),"")</f>
        <v/>
      </c>
      <c r="AT230" s="32"/>
      <c r="AU230" s="32"/>
      <c r="AV230" s="211" t="str">
        <f>IFERROR(VLOOKUP(Table110[[#This Row],[Date]],'Overweight Data'!A228:G1323,6,FALSE),"")</f>
        <v/>
      </c>
      <c r="AW230" s="221">
        <f>IFERROR(
   IF(
      OR(Table110[[#This Row],[Operating Time]]=0, (Table110[[#This Row],[Operating Time]]/IF(AD230&lt;=1,AD230+1,AD230))*60=0),
      1,
      ((Table110[[#This Row],[Operating Time]])/IF(AD230&lt;=1,AD230+1,AD230))*60
   ),
"_")</f>
        <v>1</v>
      </c>
      <c r="AX230" s="221">
        <f>COUNTIFS('Downtime Data'!A:A,Table110[[#This Row],[Date]])</f>
        <v>0</v>
      </c>
      <c r="AY230" s="219" t="str">
        <f>IFERROR((SUM(Table110[[#This Row],[Minor Stoppages]:[Material Shortages]])/Table110[[#This Row],['# Stops]])*60,"")</f>
        <v/>
      </c>
      <c r="AZ230" s="219"/>
      <c r="BA230" s="33">
        <v>46260</v>
      </c>
    </row>
    <row r="231" spans="1:53" ht="20.149999999999999" customHeight="1" x14ac:dyDescent="0.35">
      <c r="A231" s="21">
        <v>46248</v>
      </c>
      <c r="B231" s="22" t="str">
        <f t="shared" si="4"/>
        <v>Friday</v>
      </c>
      <c r="C231" s="22"/>
      <c r="D231" s="23"/>
      <c r="E231" s="24" t="str" cm="1">
        <f t="array" aca="1" ref="E231" ca="1">IFERROR(INDIRECT(D231),"")</f>
        <v/>
      </c>
      <c r="F231" s="25"/>
      <c r="G231" s="26"/>
      <c r="H231" s="27" t="str">
        <f ca="1">IFERROR((Table110[[#This Row],[Plan]]/Table110[[#This Row],[Hours Used]])/(Table110[[#This Row],[SOC (TPD)]]/24),"")</f>
        <v/>
      </c>
      <c r="I231" s="27" t="str">
        <f ca="1">IFERROR((Table110[[#This Row],[Volume Delivered (T)]]/Table110[[#This Row],[Hours Used]])/(Table110[[#This Row],[SOC (TPD)]]/24),"")</f>
        <v/>
      </c>
      <c r="J231" s="28"/>
      <c r="K231" s="28"/>
      <c r="L231" s="28"/>
      <c r="M231" s="25"/>
      <c r="N231" s="29"/>
      <c r="O231" s="84"/>
      <c r="P231" s="25"/>
      <c r="Q231" s="25"/>
      <c r="R231" s="70"/>
      <c r="S231" s="71"/>
      <c r="T231" s="30">
        <f>IF(Table110[[#This Row],[SKU]]="",0,24-Table110[[#This Row],[Legal Non-Operating Time]]-Table110[[#This Row],[No Demand Time]]-Table110[[#This Row],[Force Majeure]])</f>
        <v>0</v>
      </c>
      <c r="U231" s="26"/>
      <c r="V231" s="26"/>
      <c r="W231" s="26"/>
      <c r="X231" s="26"/>
      <c r="Y231" s="26"/>
      <c r="Z231" s="26"/>
      <c r="AA231" s="26"/>
      <c r="AB231" s="30">
        <f>Table110[[#This Row],[Hours Used]]-SUM(Table110[[#This Row],[Planned Maintenance]:[Start and Finish Production]])</f>
        <v>0</v>
      </c>
      <c r="AC231" s="26"/>
      <c r="AD231" s="26"/>
      <c r="AE231" s="26"/>
      <c r="AF231" s="26"/>
      <c r="AG231" s="26"/>
      <c r="AH231" s="26"/>
      <c r="AI231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31" s="24">
        <f>IFERROR(IF(Table110[[#This Row],[SKU]]="",0,Table110[[#This Row],[Quality Loss (T)]]/(Table110[[#This Row],[SOC (TPD)]]/24)),"")</f>
        <v>0</v>
      </c>
      <c r="AK231" s="31">
        <f>IFERROR(IF(Table110[[#This Row],[SKU]]="",0,Table110[[#This Row],[Volume Delivered (T)]]/(Table110[[#This Row],[SOC (TPD)]]/24)),"")</f>
        <v>0</v>
      </c>
      <c r="AL231" s="31" t="str">
        <f>IFERROR(Table110[[#This Row],[Operating Time]]/Table110[[#This Row],[PRODUCTION HOURS]],"")</f>
        <v/>
      </c>
      <c r="AM231" s="32"/>
      <c r="AN231" s="32"/>
      <c r="AO231" s="32"/>
      <c r="AP231" s="32">
        <v>0</v>
      </c>
      <c r="AQ231" s="32">
        <v>0</v>
      </c>
      <c r="AR231" s="32"/>
      <c r="AS231" s="32" t="str">
        <f>IFERROR(SUMIFS(#REF!,#REF!,'Shift Wise-Data Sheet'!A:A,#REF!,"Samridhi Perk Line")/SUMIFS(#REF!,#REF!,'Shift Wise-Data Sheet'!A:A,#REF!,"Samridhi Perk Line"),"")</f>
        <v/>
      </c>
      <c r="AT231" s="32"/>
      <c r="AU231" s="32"/>
      <c r="AV231" s="211" t="str">
        <f>IFERROR(VLOOKUP(Table110[[#This Row],[Date]],'Overweight Data'!A229:G1324,6,FALSE),"")</f>
        <v/>
      </c>
      <c r="AW231" s="221">
        <f>IFERROR(
   IF(
      OR(Table110[[#This Row],[Operating Time]]=0, (Table110[[#This Row],[Operating Time]]/IF(AD231&lt;=1,AD231+1,AD231))*60=0),
      1,
      ((Table110[[#This Row],[Operating Time]])/IF(AD231&lt;=1,AD231+1,AD231))*60
   ),
"_")</f>
        <v>1</v>
      </c>
      <c r="AX231" s="221">
        <f>COUNTIFS('Downtime Data'!A:A,Table110[[#This Row],[Date]])</f>
        <v>0</v>
      </c>
      <c r="AY231" s="219" t="str">
        <f>IFERROR((SUM(Table110[[#This Row],[Minor Stoppages]:[Material Shortages]])/Table110[[#This Row],['# Stops]])*60,"")</f>
        <v/>
      </c>
      <c r="AZ231" s="219"/>
      <c r="BA231" s="33">
        <v>46260</v>
      </c>
    </row>
    <row r="232" spans="1:53" ht="20.149999999999999" customHeight="1" x14ac:dyDescent="0.35">
      <c r="A232" s="21">
        <v>46249</v>
      </c>
      <c r="B232" s="22" t="str">
        <f t="shared" si="4"/>
        <v>Saturday</v>
      </c>
      <c r="C232" s="22"/>
      <c r="D232" s="23"/>
      <c r="E232" s="24" t="str" cm="1">
        <f t="array" aca="1" ref="E232" ca="1">IFERROR(INDIRECT(D232),"")</f>
        <v/>
      </c>
      <c r="F232" s="25"/>
      <c r="G232" s="26"/>
      <c r="H232" s="27" t="str">
        <f ca="1">IFERROR((Table110[[#This Row],[Plan]]/Table110[[#This Row],[Hours Used]])/(Table110[[#This Row],[SOC (TPD)]]/24),"")</f>
        <v/>
      </c>
      <c r="I232" s="27" t="str">
        <f ca="1">IFERROR((Table110[[#This Row],[Volume Delivered (T)]]/Table110[[#This Row],[Hours Used]])/(Table110[[#This Row],[SOC (TPD)]]/24),"")</f>
        <v/>
      </c>
      <c r="J232" s="28"/>
      <c r="K232" s="28"/>
      <c r="L232" s="28"/>
      <c r="M232" s="25"/>
      <c r="N232" s="29"/>
      <c r="O232" s="84"/>
      <c r="P232" s="25"/>
      <c r="Q232" s="25"/>
      <c r="R232" s="70"/>
      <c r="S232" s="71"/>
      <c r="T232" s="30">
        <f>IF(Table110[[#This Row],[SKU]]="",0,24-Table110[[#This Row],[Legal Non-Operating Time]]-Table110[[#This Row],[No Demand Time]]-Table110[[#This Row],[Force Majeure]])</f>
        <v>0</v>
      </c>
      <c r="U232" s="26"/>
      <c r="V232" s="26"/>
      <c r="W232" s="26"/>
      <c r="X232" s="26"/>
      <c r="Y232" s="26"/>
      <c r="Z232" s="26"/>
      <c r="AA232" s="26"/>
      <c r="AB232" s="30">
        <f>Table110[[#This Row],[Hours Used]]-SUM(Table110[[#This Row],[Planned Maintenance]:[Start and Finish Production]])</f>
        <v>0</v>
      </c>
      <c r="AC232" s="26"/>
      <c r="AD232" s="26"/>
      <c r="AE232" s="26"/>
      <c r="AF232" s="26"/>
      <c r="AG232" s="26"/>
      <c r="AH232" s="26"/>
      <c r="AI232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32" s="24">
        <f>IFERROR(IF(Table110[[#This Row],[SKU]]="",0,Table110[[#This Row],[Quality Loss (T)]]/(Table110[[#This Row],[SOC (TPD)]]/24)),"")</f>
        <v>0</v>
      </c>
      <c r="AK232" s="31">
        <f>IFERROR(IF(Table110[[#This Row],[SKU]]="",0,Table110[[#This Row],[Volume Delivered (T)]]/(Table110[[#This Row],[SOC (TPD)]]/24)),"")</f>
        <v>0</v>
      </c>
      <c r="AL232" s="31" t="str">
        <f>IFERROR(Table110[[#This Row],[Operating Time]]/Table110[[#This Row],[PRODUCTION HOURS]],"")</f>
        <v/>
      </c>
      <c r="AM232" s="32"/>
      <c r="AN232" s="32"/>
      <c r="AO232" s="32"/>
      <c r="AP232" s="32">
        <v>0</v>
      </c>
      <c r="AQ232" s="32">
        <v>0</v>
      </c>
      <c r="AR232" s="32"/>
      <c r="AS232" s="32" t="str">
        <f>IFERROR(SUMIFS(#REF!,#REF!,'Shift Wise-Data Sheet'!A:A,#REF!,"Samridhi Perk Line")/SUMIFS(#REF!,#REF!,'Shift Wise-Data Sheet'!A:A,#REF!,"Samridhi Perk Line"),"")</f>
        <v/>
      </c>
      <c r="AT232" s="32"/>
      <c r="AU232" s="32"/>
      <c r="AV232" s="211" t="str">
        <f>IFERROR(VLOOKUP(Table110[[#This Row],[Date]],'Overweight Data'!A230:G1325,6,FALSE),"")</f>
        <v/>
      </c>
      <c r="AW232" s="221">
        <f>IFERROR(
   IF(
      OR(Table110[[#This Row],[Operating Time]]=0, (Table110[[#This Row],[Operating Time]]/IF(AD232&lt;=1,AD232+1,AD232))*60=0),
      1,
      ((Table110[[#This Row],[Operating Time]])/IF(AD232&lt;=1,AD232+1,AD232))*60
   ),
"_")</f>
        <v>1</v>
      </c>
      <c r="AX232" s="221">
        <f>COUNTIFS('Downtime Data'!A:A,Table110[[#This Row],[Date]])</f>
        <v>0</v>
      </c>
      <c r="AY232" s="219" t="str">
        <f>IFERROR((SUM(Table110[[#This Row],[Minor Stoppages]:[Material Shortages]])/Table110[[#This Row],['# Stops]])*60,"")</f>
        <v/>
      </c>
      <c r="AZ232" s="219"/>
      <c r="BA232" s="33">
        <v>46260</v>
      </c>
    </row>
    <row r="233" spans="1:53" ht="20.149999999999999" customHeight="1" x14ac:dyDescent="0.35">
      <c r="A233" s="21">
        <v>46250</v>
      </c>
      <c r="B233" s="22" t="str">
        <f t="shared" si="4"/>
        <v>Sunday</v>
      </c>
      <c r="C233" s="22"/>
      <c r="D233" s="23"/>
      <c r="E233" s="24"/>
      <c r="F233" s="25"/>
      <c r="G233" s="26"/>
      <c r="H233" s="27"/>
      <c r="I233" s="27"/>
      <c r="J233" s="28"/>
      <c r="K233" s="28"/>
      <c r="L233" s="28"/>
      <c r="M233" s="25"/>
      <c r="N233" s="29"/>
      <c r="O233" s="84"/>
      <c r="P233" s="25"/>
      <c r="Q233" s="25"/>
      <c r="R233" s="70"/>
      <c r="S233" s="71"/>
      <c r="T233" s="30">
        <f>IF(Table110[[#This Row],[SKU]]="",0,24-Table110[[#This Row],[Legal Non-Operating Time]]-Table110[[#This Row],[No Demand Time]]-Table110[[#This Row],[Force Majeure]])</f>
        <v>0</v>
      </c>
      <c r="U233" s="26"/>
      <c r="V233" s="26"/>
      <c r="W233" s="26"/>
      <c r="X233" s="26"/>
      <c r="Y233" s="26"/>
      <c r="Z233" s="26"/>
      <c r="AA233" s="26"/>
      <c r="AB233" s="30">
        <f>Table110[[#This Row],[Hours Used]]-SUM(Table110[[#This Row],[Planned Maintenance]:[Start and Finish Production]])</f>
        <v>0</v>
      </c>
      <c r="AC233" s="26"/>
      <c r="AD233" s="26"/>
      <c r="AE233" s="26"/>
      <c r="AF233" s="26"/>
      <c r="AG233" s="26"/>
      <c r="AH233" s="26"/>
      <c r="AI233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33" s="24">
        <f>IFERROR(IF(Table110[[#This Row],[SKU]]="",0,Table110[[#This Row],[Quality Loss (T)]]/(Table110[[#This Row],[SOC (TPD)]]/24)),"")</f>
        <v>0</v>
      </c>
      <c r="AK233" s="31">
        <f>IFERROR(IF(Table110[[#This Row],[SKU]]="",0,Table110[[#This Row],[Volume Delivered (T)]]/(Table110[[#This Row],[SOC (TPD)]]/24)),"")</f>
        <v>0</v>
      </c>
      <c r="AL233" s="31" t="str">
        <f>IFERROR(Table110[[#This Row],[Operating Time]]/Table110[[#This Row],[PRODUCTION HOURS]],"")</f>
        <v/>
      </c>
      <c r="AM233" s="32"/>
      <c r="AN233" s="32"/>
      <c r="AO233" s="32"/>
      <c r="AP233" s="32">
        <v>0</v>
      </c>
      <c r="AQ233" s="32">
        <v>0</v>
      </c>
      <c r="AR233" s="32"/>
      <c r="AS233" s="32" t="str">
        <f>IFERROR(SUMIFS(#REF!,#REF!,'Shift Wise-Data Sheet'!A:A,#REF!,"Samridhi Perk Line")/SUMIFS(#REF!,#REF!,'Shift Wise-Data Sheet'!A:A,#REF!,"Samridhi Perk Line"),"")</f>
        <v/>
      </c>
      <c r="AT233" s="32"/>
      <c r="AU233" s="32"/>
      <c r="AV233" s="211" t="str">
        <f>IFERROR(VLOOKUP(Table110[[#This Row],[Date]],'Overweight Data'!A231:G1326,6,FALSE),"")</f>
        <v/>
      </c>
      <c r="AW233" s="221">
        <f>IFERROR(
   IF(
      OR(Table110[[#This Row],[Operating Time]]=0, (Table110[[#This Row],[Operating Time]]/IF(AD233&lt;=1,AD233+1,AD233))*60=0),
      1,
      ((Table110[[#This Row],[Operating Time]])/IF(AD233&lt;=1,AD233+1,AD233))*60
   ),
"_")</f>
        <v>1</v>
      </c>
      <c r="AX233" s="221">
        <f>COUNTIFS('Downtime Data'!A:A,Table110[[#This Row],[Date]])</f>
        <v>0</v>
      </c>
      <c r="AY233" s="219" t="str">
        <f>IFERROR((SUM(Table110[[#This Row],[Minor Stoppages]:[Material Shortages]])/Table110[[#This Row],['# Stops]])*60,"")</f>
        <v/>
      </c>
      <c r="AZ233" s="219"/>
      <c r="BA233" s="33">
        <v>46260</v>
      </c>
    </row>
    <row r="234" spans="1:53" ht="20.149999999999999" customHeight="1" x14ac:dyDescent="0.35">
      <c r="A234" s="21">
        <v>46251</v>
      </c>
      <c r="B234" s="22" t="str">
        <f t="shared" si="4"/>
        <v>Monday</v>
      </c>
      <c r="C234" s="22"/>
      <c r="D234" s="23"/>
      <c r="E234" s="24" t="str" cm="1">
        <f t="array" aca="1" ref="E234" ca="1">IFERROR(INDIRECT(D234),"")</f>
        <v/>
      </c>
      <c r="F234" s="25"/>
      <c r="G234" s="26"/>
      <c r="H234" s="27" t="str">
        <f ca="1">IFERROR((Table110[[#This Row],[Plan]]/Table110[[#This Row],[Hours Used]])/(Table110[[#This Row],[SOC (TPD)]]/24),"")</f>
        <v/>
      </c>
      <c r="I234" s="27" t="str">
        <f ca="1">IFERROR((Table110[[#This Row],[Volume Delivered (T)]]/Table110[[#This Row],[Hours Used]])/(Table110[[#This Row],[SOC (TPD)]]/24),"")</f>
        <v/>
      </c>
      <c r="J234" s="28"/>
      <c r="K234" s="28"/>
      <c r="L234" s="28"/>
      <c r="M234" s="25"/>
      <c r="N234" s="29"/>
      <c r="O234" s="84"/>
      <c r="P234" s="25"/>
      <c r="Q234" s="25"/>
      <c r="R234" s="70"/>
      <c r="S234" s="71"/>
      <c r="T234" s="30">
        <f>IF(Table110[[#This Row],[SKU]]="",0,24-Table110[[#This Row],[Legal Non-Operating Time]]-Table110[[#This Row],[No Demand Time]]-Table110[[#This Row],[Force Majeure]])</f>
        <v>0</v>
      </c>
      <c r="U234" s="26"/>
      <c r="V234" s="26"/>
      <c r="W234" s="26"/>
      <c r="X234" s="26"/>
      <c r="Y234" s="26"/>
      <c r="Z234" s="26"/>
      <c r="AA234" s="26"/>
      <c r="AB234" s="30">
        <f>Table110[[#This Row],[Hours Used]]-SUM(Table110[[#This Row],[Planned Maintenance]:[Start and Finish Production]])</f>
        <v>0</v>
      </c>
      <c r="AC234" s="26"/>
      <c r="AD234" s="26"/>
      <c r="AE234" s="26"/>
      <c r="AF234" s="26"/>
      <c r="AG234" s="26"/>
      <c r="AH234" s="26"/>
      <c r="AI234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34" s="24">
        <f>IFERROR(IF(Table110[[#This Row],[SKU]]="",0,Table110[[#This Row],[Quality Loss (T)]]/(Table110[[#This Row],[SOC (TPD)]]/24)),"")</f>
        <v>0</v>
      </c>
      <c r="AK234" s="31">
        <f>IFERROR(IF(Table110[[#This Row],[SKU]]="",0,Table110[[#This Row],[Volume Delivered (T)]]/(Table110[[#This Row],[SOC (TPD)]]/24)),"")</f>
        <v>0</v>
      </c>
      <c r="AL234" s="31" t="str">
        <f>IFERROR(Table110[[#This Row],[Operating Time]]/Table110[[#This Row],[PRODUCTION HOURS]],"")</f>
        <v/>
      </c>
      <c r="AM234" s="32"/>
      <c r="AN234" s="32"/>
      <c r="AO234" s="32"/>
      <c r="AP234" s="32">
        <v>3</v>
      </c>
      <c r="AQ234" s="32">
        <v>0</v>
      </c>
      <c r="AR234" s="32"/>
      <c r="AS234" s="32" t="str">
        <f>IFERROR(SUMIFS(#REF!,#REF!,'Shift Wise-Data Sheet'!A:A,#REF!,"Samridhi Perk Line")/SUMIFS(#REF!,#REF!,'Shift Wise-Data Sheet'!A:A,#REF!,"Samridhi Perk Line"),"")</f>
        <v/>
      </c>
      <c r="AT234" s="32"/>
      <c r="AU234" s="32"/>
      <c r="AV234" s="211" t="str">
        <f>IFERROR(VLOOKUP(Table110[[#This Row],[Date]],'Overweight Data'!A232:G1327,6,FALSE),"")</f>
        <v/>
      </c>
      <c r="AW234" s="221">
        <f>IFERROR(
   IF(
      OR(Table110[[#This Row],[Operating Time]]=0, (Table110[[#This Row],[Operating Time]]/IF(AD234&lt;=1,AD234+1,AD234))*60=0),
      1,
      ((Table110[[#This Row],[Operating Time]])/IF(AD234&lt;=1,AD234+1,AD234))*60
   ),
"_")</f>
        <v>1</v>
      </c>
      <c r="AX234" s="221">
        <f>COUNTIFS('Downtime Data'!A:A,Table110[[#This Row],[Date]])</f>
        <v>0</v>
      </c>
      <c r="AY234" s="219" t="str">
        <f>IFERROR((SUM(Table110[[#This Row],[Minor Stoppages]:[Material Shortages]])/Table110[[#This Row],['# Stops]])*60,"")</f>
        <v/>
      </c>
      <c r="AZ234" s="219"/>
      <c r="BA234" s="33">
        <v>46260</v>
      </c>
    </row>
    <row r="235" spans="1:53" ht="20.149999999999999" customHeight="1" x14ac:dyDescent="0.35">
      <c r="A235" s="21">
        <v>46252</v>
      </c>
      <c r="B235" s="22" t="str">
        <f t="shared" si="4"/>
        <v>Tuesday</v>
      </c>
      <c r="C235" s="22"/>
      <c r="D235" s="23"/>
      <c r="E235" s="24" t="str" cm="1">
        <f t="array" aca="1" ref="E235" ca="1">IFERROR(INDIRECT(D235),"")</f>
        <v/>
      </c>
      <c r="F235" s="25"/>
      <c r="G235" s="26"/>
      <c r="H235" s="27" t="str">
        <f ca="1">IFERROR((Table110[[#This Row],[Plan]]/Table110[[#This Row],[Hours Used]])/(Table110[[#This Row],[SOC (TPD)]]/24),"")</f>
        <v/>
      </c>
      <c r="I235" s="27" t="str">
        <f ca="1">IFERROR((Table110[[#This Row],[Volume Delivered (T)]]/Table110[[#This Row],[Hours Used]])/(Table110[[#This Row],[SOC (TPD)]]/24),"")</f>
        <v/>
      </c>
      <c r="J235" s="28"/>
      <c r="K235" s="28"/>
      <c r="L235" s="28"/>
      <c r="M235" s="25"/>
      <c r="N235" s="29"/>
      <c r="O235" s="84"/>
      <c r="P235" s="25"/>
      <c r="Q235" s="25"/>
      <c r="R235" s="70"/>
      <c r="S235" s="71"/>
      <c r="T235" s="30">
        <f>IF(Table110[[#This Row],[SKU]]="",0,24-Table110[[#This Row],[Legal Non-Operating Time]]-Table110[[#This Row],[No Demand Time]]-Table110[[#This Row],[Force Majeure]])</f>
        <v>0</v>
      </c>
      <c r="U235" s="26"/>
      <c r="V235" s="26"/>
      <c r="W235" s="26"/>
      <c r="X235" s="26"/>
      <c r="Y235" s="26"/>
      <c r="Z235" s="26"/>
      <c r="AA235" s="26"/>
      <c r="AB235" s="30">
        <f>Table110[[#This Row],[Hours Used]]-SUM(Table110[[#This Row],[Planned Maintenance]:[Start and Finish Production]])</f>
        <v>0</v>
      </c>
      <c r="AC235" s="26"/>
      <c r="AD235" s="26"/>
      <c r="AE235" s="26"/>
      <c r="AF235" s="26"/>
      <c r="AG235" s="26"/>
      <c r="AH235" s="26"/>
      <c r="AI235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35" s="24">
        <f>IFERROR(IF(Table110[[#This Row],[SKU]]="",0,Table110[[#This Row],[Quality Loss (T)]]/(Table110[[#This Row],[SOC (TPD)]]/24)),"")</f>
        <v>0</v>
      </c>
      <c r="AK235" s="31">
        <f>IFERROR(IF(Table110[[#This Row],[SKU]]="",0,Table110[[#This Row],[Volume Delivered (T)]]/(Table110[[#This Row],[SOC (TPD)]]/24)),"")</f>
        <v>0</v>
      </c>
      <c r="AL235" s="31" t="str">
        <f>IFERROR(Table110[[#This Row],[Operating Time]]/Table110[[#This Row],[PRODUCTION HOURS]],"")</f>
        <v/>
      </c>
      <c r="AM235" s="32"/>
      <c r="AN235" s="32"/>
      <c r="AO235" s="32"/>
      <c r="AP235" s="32">
        <v>0</v>
      </c>
      <c r="AQ235" s="32">
        <v>0</v>
      </c>
      <c r="AR235" s="32"/>
      <c r="AS235" s="32" t="str">
        <f>IFERROR(SUMIFS(#REF!,#REF!,'Shift Wise-Data Sheet'!A:A,#REF!,"Samridhi Perk Line")/SUMIFS(#REF!,#REF!,'Shift Wise-Data Sheet'!A:A,#REF!,"Samridhi Perk Line"),"")</f>
        <v/>
      </c>
      <c r="AT235" s="32"/>
      <c r="AU235" s="32"/>
      <c r="AV235" s="211" t="str">
        <f>IFERROR(VLOOKUP(Table110[[#This Row],[Date]],'Overweight Data'!A233:G1328,6,FALSE),"")</f>
        <v/>
      </c>
      <c r="AW235" s="221">
        <f>IFERROR(
   IF(
      OR(Table110[[#This Row],[Operating Time]]=0, (Table110[[#This Row],[Operating Time]]/IF(AD235&lt;=1,AD235+1,AD235))*60=0),
      1,
      ((Table110[[#This Row],[Operating Time]])/IF(AD235&lt;=1,AD235+1,AD235))*60
   ),
"_")</f>
        <v>1</v>
      </c>
      <c r="AX235" s="221">
        <f>COUNTIFS('Downtime Data'!A:A,Table110[[#This Row],[Date]])</f>
        <v>0</v>
      </c>
      <c r="AY235" s="219" t="str">
        <f>IFERROR((SUM(Table110[[#This Row],[Minor Stoppages]:[Material Shortages]])/Table110[[#This Row],['# Stops]])*60,"")</f>
        <v/>
      </c>
      <c r="AZ235" s="219"/>
      <c r="BA235" s="33">
        <v>46260</v>
      </c>
    </row>
    <row r="236" spans="1:53" ht="20.149999999999999" customHeight="1" x14ac:dyDescent="0.35">
      <c r="A236" s="21">
        <v>46253</v>
      </c>
      <c r="B236" s="22" t="str">
        <f t="shared" si="4"/>
        <v>Wednesday</v>
      </c>
      <c r="C236" s="22"/>
      <c r="D236" s="23"/>
      <c r="E236" s="24" t="str" cm="1">
        <f t="array" aca="1" ref="E236" ca="1">IFERROR(INDIRECT(D236),"")</f>
        <v/>
      </c>
      <c r="F236" s="25"/>
      <c r="G236" s="26"/>
      <c r="H236" s="27" t="str">
        <f ca="1">IFERROR((Table110[[#This Row],[Plan]]/Table110[[#This Row],[Hours Used]])/(Table110[[#This Row],[SOC (TPD)]]/24),"")</f>
        <v/>
      </c>
      <c r="I236" s="27" t="str">
        <f ca="1">IFERROR((Table110[[#This Row],[Volume Delivered (T)]]/Table110[[#This Row],[Hours Used]])/(Table110[[#This Row],[SOC (TPD)]]/24),"")</f>
        <v/>
      </c>
      <c r="J236" s="28"/>
      <c r="K236" s="28"/>
      <c r="L236" s="28"/>
      <c r="M236" s="25"/>
      <c r="N236" s="29"/>
      <c r="O236" s="84"/>
      <c r="P236" s="25"/>
      <c r="Q236" s="25"/>
      <c r="R236" s="70"/>
      <c r="S236" s="71"/>
      <c r="T236" s="30">
        <f>IF(Table110[[#This Row],[SKU]]="",0,24-Table110[[#This Row],[Legal Non-Operating Time]]-Table110[[#This Row],[No Demand Time]]-Table110[[#This Row],[Force Majeure]])</f>
        <v>0</v>
      </c>
      <c r="U236" s="26"/>
      <c r="V236" s="26"/>
      <c r="W236" s="26"/>
      <c r="X236" s="26"/>
      <c r="Y236" s="26"/>
      <c r="Z236" s="26"/>
      <c r="AA236" s="26"/>
      <c r="AB236" s="30">
        <f>Table110[[#This Row],[Hours Used]]-SUM(Table110[[#This Row],[Planned Maintenance]:[Start and Finish Production]])</f>
        <v>0</v>
      </c>
      <c r="AC236" s="26"/>
      <c r="AD236" s="26"/>
      <c r="AE236" s="26"/>
      <c r="AF236" s="26"/>
      <c r="AG236" s="26"/>
      <c r="AH236" s="26"/>
      <c r="AI236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36" s="24">
        <f>IFERROR(IF(Table110[[#This Row],[SKU]]="",0,Table110[[#This Row],[Quality Loss (T)]]/(Table110[[#This Row],[SOC (TPD)]]/24)),"")</f>
        <v>0</v>
      </c>
      <c r="AK236" s="31">
        <f>IFERROR(IF(Table110[[#This Row],[SKU]]="",0,Table110[[#This Row],[Volume Delivered (T)]]/(Table110[[#This Row],[SOC (TPD)]]/24)),"")</f>
        <v>0</v>
      </c>
      <c r="AL236" s="31" t="str">
        <f>IFERROR(Table110[[#This Row],[Operating Time]]/Table110[[#This Row],[PRODUCTION HOURS]],"")</f>
        <v/>
      </c>
      <c r="AM236" s="32"/>
      <c r="AN236" s="32"/>
      <c r="AO236" s="32"/>
      <c r="AP236" s="32">
        <v>0</v>
      </c>
      <c r="AQ236" s="32">
        <v>0</v>
      </c>
      <c r="AR236" s="32"/>
      <c r="AS236" s="32" t="str">
        <f>IFERROR(SUMIFS(#REF!,#REF!,'Shift Wise-Data Sheet'!A:A,#REF!,"Samridhi Perk Line")/SUMIFS(#REF!,#REF!,'Shift Wise-Data Sheet'!A:A,#REF!,"Samridhi Perk Line"),"")</f>
        <v/>
      </c>
      <c r="AT236" s="32"/>
      <c r="AU236" s="32"/>
      <c r="AV236" s="211" t="str">
        <f>IFERROR(VLOOKUP(Table110[[#This Row],[Date]],'Overweight Data'!A234:G1329,6,FALSE),"")</f>
        <v/>
      </c>
      <c r="AW236" s="221">
        <f>IFERROR(
   IF(
      OR(Table110[[#This Row],[Operating Time]]=0, (Table110[[#This Row],[Operating Time]]/IF(AD236&lt;=1,AD236+1,AD236))*60=0),
      1,
      ((Table110[[#This Row],[Operating Time]])/IF(AD236&lt;=1,AD236+1,AD236))*60
   ),
"_")</f>
        <v>1</v>
      </c>
      <c r="AX236" s="221">
        <f>COUNTIFS('Downtime Data'!A:A,Table110[[#This Row],[Date]])</f>
        <v>0</v>
      </c>
      <c r="AY236" s="219" t="str">
        <f>IFERROR((SUM(Table110[[#This Row],[Minor Stoppages]:[Material Shortages]])/Table110[[#This Row],['# Stops]])*60,"")</f>
        <v/>
      </c>
      <c r="AZ236" s="219"/>
      <c r="BA236" s="33">
        <v>46260</v>
      </c>
    </row>
    <row r="237" spans="1:53" ht="20.149999999999999" customHeight="1" x14ac:dyDescent="0.35">
      <c r="A237" s="21">
        <v>46254</v>
      </c>
      <c r="B237" s="22" t="str">
        <f t="shared" si="4"/>
        <v>Thursday</v>
      </c>
      <c r="C237" s="22"/>
      <c r="D237" s="23"/>
      <c r="E237" s="24" t="str" cm="1">
        <f t="array" aca="1" ref="E237" ca="1">IFERROR(INDIRECT(D237),"")</f>
        <v/>
      </c>
      <c r="F237" s="25"/>
      <c r="G237" s="26"/>
      <c r="H237" s="27" t="str">
        <f ca="1">IFERROR((Table110[[#This Row],[Plan]]/Table110[[#This Row],[Hours Used]])/(Table110[[#This Row],[SOC (TPD)]]/24),"")</f>
        <v/>
      </c>
      <c r="I237" s="27" t="str">
        <f ca="1">IFERROR((Table110[[#This Row],[Volume Delivered (T)]]/Table110[[#This Row],[Hours Used]])/(Table110[[#This Row],[SOC (TPD)]]/24),"")</f>
        <v/>
      </c>
      <c r="J237" s="28"/>
      <c r="K237" s="28"/>
      <c r="L237" s="28"/>
      <c r="M237" s="25"/>
      <c r="N237" s="29"/>
      <c r="O237" s="84"/>
      <c r="P237" s="25"/>
      <c r="Q237" s="25"/>
      <c r="R237" s="70"/>
      <c r="S237" s="71"/>
      <c r="T237" s="30">
        <f>IF(Table110[[#This Row],[SKU]]="",0,24-Table110[[#This Row],[Legal Non-Operating Time]]-Table110[[#This Row],[No Demand Time]]-Table110[[#This Row],[Force Majeure]])</f>
        <v>0</v>
      </c>
      <c r="U237" s="26"/>
      <c r="V237" s="26"/>
      <c r="W237" s="26"/>
      <c r="X237" s="26"/>
      <c r="Y237" s="26"/>
      <c r="Z237" s="26"/>
      <c r="AA237" s="26"/>
      <c r="AB237" s="30">
        <f>Table110[[#This Row],[Hours Used]]-SUM(Table110[[#This Row],[Planned Maintenance]:[Start and Finish Production]])</f>
        <v>0</v>
      </c>
      <c r="AC237" s="26"/>
      <c r="AD237" s="26"/>
      <c r="AE237" s="26"/>
      <c r="AF237" s="26"/>
      <c r="AG237" s="26"/>
      <c r="AH237" s="26"/>
      <c r="AI237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37" s="24">
        <f>IFERROR(IF(Table110[[#This Row],[SKU]]="",0,Table110[[#This Row],[Quality Loss (T)]]/(Table110[[#This Row],[SOC (TPD)]]/24)),"")</f>
        <v>0</v>
      </c>
      <c r="AK237" s="31">
        <f>IFERROR(IF(Table110[[#This Row],[SKU]]="",0,Table110[[#This Row],[Volume Delivered (T)]]/(Table110[[#This Row],[SOC (TPD)]]/24)),"")</f>
        <v>0</v>
      </c>
      <c r="AL237" s="31" t="str">
        <f>IFERROR(Table110[[#This Row],[Operating Time]]/Table110[[#This Row],[PRODUCTION HOURS]],"")</f>
        <v/>
      </c>
      <c r="AM237" s="32"/>
      <c r="AN237" s="32"/>
      <c r="AO237" s="32"/>
      <c r="AP237" s="32">
        <v>2</v>
      </c>
      <c r="AQ237" s="32">
        <v>0</v>
      </c>
      <c r="AR237" s="32"/>
      <c r="AS237" s="32" t="str">
        <f>IFERROR(SUMIFS(#REF!,#REF!,'Shift Wise-Data Sheet'!A:A,#REF!,"Samridhi Perk Line")/SUMIFS(#REF!,#REF!,'Shift Wise-Data Sheet'!A:A,#REF!,"Samridhi Perk Line"),"")</f>
        <v/>
      </c>
      <c r="AT237" s="32"/>
      <c r="AU237" s="32"/>
      <c r="AV237" s="211" t="str">
        <f>IFERROR(VLOOKUP(Table110[[#This Row],[Date]],'Overweight Data'!A235:G1330,6,FALSE),"")</f>
        <v/>
      </c>
      <c r="AW237" s="221">
        <f>IFERROR(
   IF(
      OR(Table110[[#This Row],[Operating Time]]=0, (Table110[[#This Row],[Operating Time]]/IF(AD237&lt;=1,AD237+1,AD237))*60=0),
      1,
      ((Table110[[#This Row],[Operating Time]])/IF(AD237&lt;=1,AD237+1,AD237))*60
   ),
"_")</f>
        <v>1</v>
      </c>
      <c r="AX237" s="221">
        <f>COUNTIFS('Downtime Data'!A:A,Table110[[#This Row],[Date]])</f>
        <v>0</v>
      </c>
      <c r="AY237" s="219" t="str">
        <f>IFERROR((SUM(Table110[[#This Row],[Minor Stoppages]:[Material Shortages]])/Table110[[#This Row],['# Stops]])*60,"")</f>
        <v/>
      </c>
      <c r="AZ237" s="219"/>
      <c r="BA237" s="33">
        <v>46260</v>
      </c>
    </row>
    <row r="238" spans="1:53" ht="20.149999999999999" customHeight="1" x14ac:dyDescent="0.35">
      <c r="A238" s="21">
        <v>46255</v>
      </c>
      <c r="B238" s="22" t="str">
        <f t="shared" si="4"/>
        <v>Friday</v>
      </c>
      <c r="C238" s="22"/>
      <c r="D238" s="23"/>
      <c r="E238" s="24" t="str" cm="1">
        <f t="array" aca="1" ref="E238" ca="1">IFERROR(INDIRECT(D238),"")</f>
        <v/>
      </c>
      <c r="F238" s="25"/>
      <c r="G238" s="26"/>
      <c r="H238" s="27" t="str">
        <f ca="1">IFERROR((Table110[[#This Row],[Plan]]/Table110[[#This Row],[Hours Used]])/(Table110[[#This Row],[SOC (TPD)]]/24),"")</f>
        <v/>
      </c>
      <c r="I238" s="27" t="str">
        <f ca="1">IFERROR((Table110[[#This Row],[Volume Delivered (T)]]/Table110[[#This Row],[Hours Used]])/(Table110[[#This Row],[SOC (TPD)]]/24),"")</f>
        <v/>
      </c>
      <c r="J238" s="28"/>
      <c r="K238" s="28"/>
      <c r="L238" s="28"/>
      <c r="M238" s="25"/>
      <c r="N238" s="29"/>
      <c r="O238" s="84"/>
      <c r="P238" s="25"/>
      <c r="Q238" s="25"/>
      <c r="R238" s="70"/>
      <c r="S238" s="71"/>
      <c r="T238" s="30">
        <f>IF(Table110[[#This Row],[SKU]]="",0,24-Table110[[#This Row],[Legal Non-Operating Time]]-Table110[[#This Row],[No Demand Time]]-Table110[[#This Row],[Force Majeure]])</f>
        <v>0</v>
      </c>
      <c r="U238" s="26"/>
      <c r="V238" s="26"/>
      <c r="W238" s="26"/>
      <c r="X238" s="26"/>
      <c r="Y238" s="26"/>
      <c r="Z238" s="26"/>
      <c r="AA238" s="26"/>
      <c r="AB238" s="30">
        <f>Table110[[#This Row],[Hours Used]]-SUM(Table110[[#This Row],[Planned Maintenance]:[Start and Finish Production]])</f>
        <v>0</v>
      </c>
      <c r="AC238" s="26"/>
      <c r="AD238" s="26"/>
      <c r="AE238" s="26"/>
      <c r="AF238" s="26"/>
      <c r="AG238" s="26"/>
      <c r="AH238" s="26"/>
      <c r="AI238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38" s="24">
        <f>IFERROR(IF(Table110[[#This Row],[SKU]]="",0,Table110[[#This Row],[Quality Loss (T)]]/(Table110[[#This Row],[SOC (TPD)]]/24)),"")</f>
        <v>0</v>
      </c>
      <c r="AK238" s="31">
        <f>IFERROR(IF(Table110[[#This Row],[SKU]]="",0,Table110[[#This Row],[Volume Delivered (T)]]/(Table110[[#This Row],[SOC (TPD)]]/24)),"")</f>
        <v>0</v>
      </c>
      <c r="AL238" s="31" t="str">
        <f>IFERROR(Table110[[#This Row],[Operating Time]]/Table110[[#This Row],[PRODUCTION HOURS]],"")</f>
        <v/>
      </c>
      <c r="AM238" s="32"/>
      <c r="AN238" s="32"/>
      <c r="AO238" s="32"/>
      <c r="AP238" s="32">
        <v>0</v>
      </c>
      <c r="AQ238" s="32">
        <v>0</v>
      </c>
      <c r="AR238" s="32"/>
      <c r="AS238" s="32" t="str">
        <f>IFERROR(SUMIFS(#REF!,#REF!,'Shift Wise-Data Sheet'!A:A,#REF!,"Samridhi Perk Line")/SUMIFS(#REF!,#REF!,'Shift Wise-Data Sheet'!A:A,#REF!,"Samridhi Perk Line"),"")</f>
        <v/>
      </c>
      <c r="AT238" s="32"/>
      <c r="AU238" s="32"/>
      <c r="AV238" s="211" t="str">
        <f>IFERROR(VLOOKUP(Table110[[#This Row],[Date]],'Overweight Data'!A236:G1331,6,FALSE),"")</f>
        <v/>
      </c>
      <c r="AW238" s="221">
        <f>IFERROR(
   IF(
      OR(Table110[[#This Row],[Operating Time]]=0, (Table110[[#This Row],[Operating Time]]/IF(AD238&lt;=1,AD238+1,AD238))*60=0),
      1,
      ((Table110[[#This Row],[Operating Time]])/IF(AD238&lt;=1,AD238+1,AD238))*60
   ),
"_")</f>
        <v>1</v>
      </c>
      <c r="AX238" s="221">
        <f>COUNTIFS('Downtime Data'!A:A,Table110[[#This Row],[Date]])</f>
        <v>0</v>
      </c>
      <c r="AY238" s="219" t="str">
        <f>IFERROR((SUM(Table110[[#This Row],[Minor Stoppages]:[Material Shortages]])/Table110[[#This Row],['# Stops]])*60,"")</f>
        <v/>
      </c>
      <c r="AZ238" s="219"/>
      <c r="BA238" s="33">
        <v>46260</v>
      </c>
    </row>
    <row r="239" spans="1:53" ht="20.149999999999999" customHeight="1" x14ac:dyDescent="0.35">
      <c r="A239" s="21">
        <v>46256</v>
      </c>
      <c r="B239" s="22" t="str">
        <f t="shared" si="4"/>
        <v>Saturday</v>
      </c>
      <c r="C239" s="22"/>
      <c r="D239" s="23"/>
      <c r="E239" s="24" t="str" cm="1">
        <f t="array" aca="1" ref="E239" ca="1">IFERROR(INDIRECT(D239),"")</f>
        <v/>
      </c>
      <c r="F239" s="25"/>
      <c r="G239" s="26"/>
      <c r="H239" s="27" t="str">
        <f ca="1">IFERROR((Table110[[#This Row],[Plan]]/Table110[[#This Row],[Hours Used]])/(Table110[[#This Row],[SOC (TPD)]]/24),"")</f>
        <v/>
      </c>
      <c r="I239" s="27" t="str">
        <f ca="1">IFERROR((Table110[[#This Row],[Volume Delivered (T)]]/Table110[[#This Row],[Hours Used]])/(Table110[[#This Row],[SOC (TPD)]]/24),"")</f>
        <v/>
      </c>
      <c r="J239" s="28"/>
      <c r="K239" s="28"/>
      <c r="L239" s="28"/>
      <c r="M239" s="25"/>
      <c r="N239" s="29"/>
      <c r="O239" s="84"/>
      <c r="P239" s="25"/>
      <c r="Q239" s="25"/>
      <c r="R239" s="70"/>
      <c r="S239" s="71"/>
      <c r="T239" s="30">
        <f>IF(Table110[[#This Row],[SKU]]="",0,24-Table110[[#This Row],[Legal Non-Operating Time]]-Table110[[#This Row],[No Demand Time]]-Table110[[#This Row],[Force Majeure]])</f>
        <v>0</v>
      </c>
      <c r="U239" s="26"/>
      <c r="V239" s="26"/>
      <c r="W239" s="26"/>
      <c r="X239" s="26"/>
      <c r="Y239" s="26"/>
      <c r="Z239" s="26"/>
      <c r="AA239" s="26"/>
      <c r="AB239" s="30">
        <f>Table110[[#This Row],[Hours Used]]-SUM(Table110[[#This Row],[Planned Maintenance]:[Start and Finish Production]])</f>
        <v>0</v>
      </c>
      <c r="AC239" s="26"/>
      <c r="AD239" s="26"/>
      <c r="AE239" s="26"/>
      <c r="AF239" s="26"/>
      <c r="AG239" s="26"/>
      <c r="AH239" s="26"/>
      <c r="AI239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39" s="24">
        <f>IFERROR(IF(Table110[[#This Row],[SKU]]="",0,Table110[[#This Row],[Quality Loss (T)]]/(Table110[[#This Row],[SOC (TPD)]]/24)),"")</f>
        <v>0</v>
      </c>
      <c r="AK239" s="31">
        <f>IFERROR(IF(Table110[[#This Row],[SKU]]="",0,Table110[[#This Row],[Volume Delivered (T)]]/(Table110[[#This Row],[SOC (TPD)]]/24)),"")</f>
        <v>0</v>
      </c>
      <c r="AL239" s="31" t="str">
        <f>IFERROR(Table110[[#This Row],[Operating Time]]/Table110[[#This Row],[PRODUCTION HOURS]],"")</f>
        <v/>
      </c>
      <c r="AM239" s="32"/>
      <c r="AN239" s="32"/>
      <c r="AO239" s="32"/>
      <c r="AP239" s="32">
        <v>4</v>
      </c>
      <c r="AQ239" s="32">
        <v>0</v>
      </c>
      <c r="AR239" s="32"/>
      <c r="AS239" s="32" t="str">
        <f>IFERROR(SUMIFS(#REF!,#REF!,'Shift Wise-Data Sheet'!A:A,#REF!,"Samridhi Perk Line")/SUMIFS(#REF!,#REF!,'Shift Wise-Data Sheet'!A:A,#REF!,"Samridhi Perk Line"),"")</f>
        <v/>
      </c>
      <c r="AT239" s="32"/>
      <c r="AU239" s="32"/>
      <c r="AV239" s="211" t="str">
        <f>IFERROR(VLOOKUP(Table110[[#This Row],[Date]],'Overweight Data'!A237:G1332,6,FALSE),"")</f>
        <v/>
      </c>
      <c r="AW239" s="221">
        <f>IFERROR(
   IF(
      OR(Table110[[#This Row],[Operating Time]]=0, (Table110[[#This Row],[Operating Time]]/IF(AD239&lt;=1,AD239+1,AD239))*60=0),
      1,
      ((Table110[[#This Row],[Operating Time]])/IF(AD239&lt;=1,AD239+1,AD239))*60
   ),
"_")</f>
        <v>1</v>
      </c>
      <c r="AX239" s="221">
        <f>COUNTIFS('Downtime Data'!A:A,Table110[[#This Row],[Date]])</f>
        <v>0</v>
      </c>
      <c r="AY239" s="219" t="str">
        <f>IFERROR((SUM(Table110[[#This Row],[Minor Stoppages]:[Material Shortages]])/Table110[[#This Row],['# Stops]])*60,"")</f>
        <v/>
      </c>
      <c r="AZ239" s="219"/>
      <c r="BA239" s="33">
        <v>46260</v>
      </c>
    </row>
    <row r="240" spans="1:53" ht="20.149999999999999" customHeight="1" x14ac:dyDescent="0.35">
      <c r="A240" s="21">
        <v>46257</v>
      </c>
      <c r="B240" s="22" t="str">
        <f t="shared" si="4"/>
        <v>Sunday</v>
      </c>
      <c r="C240" s="22"/>
      <c r="D240" s="23"/>
      <c r="E240" s="24" t="str" cm="1">
        <f t="array" aca="1" ref="E240" ca="1">IFERROR(INDIRECT(D240),"")</f>
        <v/>
      </c>
      <c r="F240" s="25"/>
      <c r="G240" s="26"/>
      <c r="H240" s="27" t="str">
        <f ca="1">IFERROR((Table110[[#This Row],[Plan]]/Table110[[#This Row],[Hours Used]])/(Table110[[#This Row],[SOC (TPD)]]/24),"")</f>
        <v/>
      </c>
      <c r="I240" s="27" t="str">
        <f ca="1">IFERROR((Table110[[#This Row],[Volume Delivered (T)]]/Table110[[#This Row],[Hours Used]])/(Table110[[#This Row],[SOC (TPD)]]/24),"")</f>
        <v/>
      </c>
      <c r="J240" s="28"/>
      <c r="K240" s="28"/>
      <c r="L240" s="28"/>
      <c r="M240" s="25"/>
      <c r="N240" s="29"/>
      <c r="O240" s="84"/>
      <c r="P240" s="25"/>
      <c r="Q240" s="25"/>
      <c r="R240" s="70"/>
      <c r="S240" s="71"/>
      <c r="T240" s="30">
        <f>IF(Table110[[#This Row],[SKU]]="",0,24-Table110[[#This Row],[Legal Non-Operating Time]]-Table110[[#This Row],[No Demand Time]]-Table110[[#This Row],[Force Majeure]])</f>
        <v>0</v>
      </c>
      <c r="U240" s="26"/>
      <c r="V240" s="26"/>
      <c r="W240" s="26"/>
      <c r="X240" s="26"/>
      <c r="Y240" s="26"/>
      <c r="Z240" s="26"/>
      <c r="AA240" s="26"/>
      <c r="AB240" s="30">
        <f>Table110[[#This Row],[Hours Used]]-SUM(Table110[[#This Row],[Planned Maintenance]:[Start and Finish Production]])</f>
        <v>0</v>
      </c>
      <c r="AC240" s="26"/>
      <c r="AD240" s="26"/>
      <c r="AE240" s="26"/>
      <c r="AF240" s="26"/>
      <c r="AG240" s="26"/>
      <c r="AH240" s="26"/>
      <c r="AI240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40" s="24">
        <f>IFERROR(IF(Table110[[#This Row],[SKU]]="",0,Table110[[#This Row],[Quality Loss (T)]]/(Table110[[#This Row],[SOC (TPD)]]/24)),"")</f>
        <v>0</v>
      </c>
      <c r="AK240" s="31">
        <f>IFERROR(IF(Table110[[#This Row],[SKU]]="",0,Table110[[#This Row],[Volume Delivered (T)]]/(Table110[[#This Row],[SOC (TPD)]]/24)),"")</f>
        <v>0</v>
      </c>
      <c r="AL240" s="31" t="str">
        <f>IFERROR(Table110[[#This Row],[Operating Time]]/Table110[[#This Row],[PRODUCTION HOURS]],"")</f>
        <v/>
      </c>
      <c r="AM240" s="32"/>
      <c r="AN240" s="32"/>
      <c r="AO240" s="32"/>
      <c r="AP240" s="32">
        <v>0</v>
      </c>
      <c r="AQ240" s="32">
        <v>0</v>
      </c>
      <c r="AR240" s="32"/>
      <c r="AS240" s="32" t="str">
        <f>IFERROR(SUMIFS(#REF!,#REF!,'Shift Wise-Data Sheet'!A:A,#REF!,"Samridhi Perk Line")/SUMIFS(#REF!,#REF!,'Shift Wise-Data Sheet'!A:A,#REF!,"Samridhi Perk Line"),"")</f>
        <v/>
      </c>
      <c r="AT240" s="32"/>
      <c r="AU240" s="32"/>
      <c r="AV240" s="211" t="str">
        <f>IFERROR(VLOOKUP(Table110[[#This Row],[Date]],'Overweight Data'!A238:G1333,6,FALSE),"")</f>
        <v/>
      </c>
      <c r="AW240" s="221">
        <f>IFERROR(
   IF(
      OR(Table110[[#This Row],[Operating Time]]=0, (Table110[[#This Row],[Operating Time]]/IF(AD240&lt;=1,AD240+1,AD240))*60=0),
      1,
      ((Table110[[#This Row],[Operating Time]])/IF(AD240&lt;=1,AD240+1,AD240))*60
   ),
"_")</f>
        <v>1</v>
      </c>
      <c r="AX240" s="221">
        <f>COUNTIFS('Downtime Data'!A:A,Table110[[#This Row],[Date]])</f>
        <v>0</v>
      </c>
      <c r="AY240" s="219" t="str">
        <f>IFERROR((SUM(Table110[[#This Row],[Minor Stoppages]:[Material Shortages]])/Table110[[#This Row],['# Stops]])*60,"")</f>
        <v/>
      </c>
      <c r="AZ240" s="219"/>
      <c r="BA240" s="33">
        <v>46260</v>
      </c>
    </row>
    <row r="241" spans="1:53" ht="20.149999999999999" customHeight="1" x14ac:dyDescent="0.35">
      <c r="A241" s="21">
        <v>46258</v>
      </c>
      <c r="B241" s="22" t="str">
        <f t="shared" si="4"/>
        <v>Monday</v>
      </c>
      <c r="C241" s="22"/>
      <c r="D241" s="23"/>
      <c r="E241" s="24" t="str" cm="1">
        <f t="array" aca="1" ref="E241" ca="1">IFERROR(INDIRECT(D241),"")</f>
        <v/>
      </c>
      <c r="F241" s="25"/>
      <c r="G241" s="26"/>
      <c r="H241" s="27" t="str">
        <f ca="1">IFERROR((Table110[[#This Row],[Plan]]/Table110[[#This Row],[Hours Used]])/(Table110[[#This Row],[SOC (TPD)]]/24),"")</f>
        <v/>
      </c>
      <c r="I241" s="27" t="str">
        <f ca="1">IFERROR((Table110[[#This Row],[Volume Delivered (T)]]/Table110[[#This Row],[Hours Used]])/(Table110[[#This Row],[SOC (TPD)]]/24),"")</f>
        <v/>
      </c>
      <c r="J241" s="28"/>
      <c r="K241" s="28"/>
      <c r="L241" s="28"/>
      <c r="M241" s="25"/>
      <c r="N241" s="29"/>
      <c r="O241" s="84"/>
      <c r="P241" s="25"/>
      <c r="Q241" s="25"/>
      <c r="R241" s="70"/>
      <c r="S241" s="71"/>
      <c r="T241" s="30">
        <f>IF(Table110[[#This Row],[SKU]]="",0,24-Table110[[#This Row],[Legal Non-Operating Time]]-Table110[[#This Row],[No Demand Time]]-Table110[[#This Row],[Force Majeure]])</f>
        <v>0</v>
      </c>
      <c r="U241" s="26"/>
      <c r="V241" s="26"/>
      <c r="W241" s="26"/>
      <c r="X241" s="26"/>
      <c r="Y241" s="26"/>
      <c r="Z241" s="26"/>
      <c r="AA241" s="26"/>
      <c r="AB241" s="30">
        <f>Table110[[#This Row],[Hours Used]]-SUM(Table110[[#This Row],[Planned Maintenance]:[Start and Finish Production]])</f>
        <v>0</v>
      </c>
      <c r="AC241" s="26"/>
      <c r="AD241" s="26"/>
      <c r="AE241" s="26"/>
      <c r="AF241" s="26"/>
      <c r="AG241" s="26"/>
      <c r="AH241" s="26"/>
      <c r="AI241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41" s="24">
        <f>IFERROR(IF(Table110[[#This Row],[SKU]]="",0,Table110[[#This Row],[Quality Loss (T)]]/(Table110[[#This Row],[SOC (TPD)]]/24)),"")</f>
        <v>0</v>
      </c>
      <c r="AK241" s="31">
        <f>IFERROR(IF(Table110[[#This Row],[SKU]]="",0,Table110[[#This Row],[Volume Delivered (T)]]/(Table110[[#This Row],[SOC (TPD)]]/24)),"")</f>
        <v>0</v>
      </c>
      <c r="AL241" s="31" t="str">
        <f>IFERROR(Table110[[#This Row],[Operating Time]]/Table110[[#This Row],[PRODUCTION HOURS]],"")</f>
        <v/>
      </c>
      <c r="AM241" s="32"/>
      <c r="AN241" s="32"/>
      <c r="AO241" s="32"/>
      <c r="AP241" s="32">
        <v>0</v>
      </c>
      <c r="AQ241" s="32">
        <v>0</v>
      </c>
      <c r="AR241" s="32"/>
      <c r="AS241" s="32" t="str">
        <f>IFERROR(SUMIFS(#REF!,#REF!,'Shift Wise-Data Sheet'!A:A,#REF!,"Samridhi Perk Line")/SUMIFS(#REF!,#REF!,'Shift Wise-Data Sheet'!A:A,#REF!,"Samridhi Perk Line"),"")</f>
        <v/>
      </c>
      <c r="AT241" s="32"/>
      <c r="AU241" s="32"/>
      <c r="AV241" s="211" t="str">
        <f>IFERROR(VLOOKUP(Table110[[#This Row],[Date]],'Overweight Data'!A239:G1334,6,FALSE),"")</f>
        <v/>
      </c>
      <c r="AW241" s="221">
        <f>IFERROR(
   IF(
      OR(Table110[[#This Row],[Operating Time]]=0, (Table110[[#This Row],[Operating Time]]/IF(AD241&lt;=1,AD241+1,AD241))*60=0),
      1,
      ((Table110[[#This Row],[Operating Time]])/IF(AD241&lt;=1,AD241+1,AD241))*60
   ),
"_")</f>
        <v>1</v>
      </c>
      <c r="AX241" s="221">
        <f>COUNTIFS('Downtime Data'!A:A,Table110[[#This Row],[Date]])</f>
        <v>0</v>
      </c>
      <c r="AY241" s="219" t="str">
        <f>IFERROR((SUM(Table110[[#This Row],[Minor Stoppages]:[Material Shortages]])/Table110[[#This Row],['# Stops]])*60,"")</f>
        <v/>
      </c>
      <c r="AZ241" s="219"/>
      <c r="BA241" s="33">
        <v>46260</v>
      </c>
    </row>
    <row r="242" spans="1:53" ht="20.149999999999999" customHeight="1" x14ac:dyDescent="0.35">
      <c r="A242" s="21">
        <v>46259</v>
      </c>
      <c r="B242" s="22" t="str">
        <f t="shared" si="4"/>
        <v>Tuesday</v>
      </c>
      <c r="C242" s="22"/>
      <c r="D242" s="23"/>
      <c r="E242" s="24"/>
      <c r="F242" s="25"/>
      <c r="G242" s="26"/>
      <c r="H242" s="27" t="str">
        <f>IFERROR((Table110[[#This Row],[Plan]]/Table110[[#This Row],[Hours Used]])/(Table110[[#This Row],[SOC (TPD)]]/24),"")</f>
        <v/>
      </c>
      <c r="I242" s="27" t="str">
        <f>IFERROR((Table110[[#This Row],[Volume Delivered (T)]]/Table110[[#This Row],[Hours Used]])/(Table110[[#This Row],[SOC (TPD)]]/24),"")</f>
        <v/>
      </c>
      <c r="J242" s="28"/>
      <c r="K242" s="28"/>
      <c r="L242" s="28"/>
      <c r="M242" s="25"/>
      <c r="N242" s="29"/>
      <c r="O242" s="84"/>
      <c r="P242" s="25"/>
      <c r="Q242" s="25"/>
      <c r="R242" s="70"/>
      <c r="S242" s="71"/>
      <c r="T242" s="30">
        <f>IF(Table110[[#This Row],[SKU]]="",0,24-Table110[[#This Row],[Legal Non-Operating Time]]-Table110[[#This Row],[No Demand Time]]-Table110[[#This Row],[Force Majeure]])</f>
        <v>0</v>
      </c>
      <c r="U242" s="26"/>
      <c r="V242" s="26"/>
      <c r="W242" s="26"/>
      <c r="X242" s="26"/>
      <c r="Y242" s="26"/>
      <c r="Z242" s="26"/>
      <c r="AA242" s="26"/>
      <c r="AB242" s="30">
        <f>Table110[[#This Row],[Hours Used]]-SUM(Table110[[#This Row],[Planned Maintenance]:[Start and Finish Production]])</f>
        <v>0</v>
      </c>
      <c r="AC242" s="26"/>
      <c r="AD242" s="26"/>
      <c r="AE242" s="26"/>
      <c r="AF242" s="26"/>
      <c r="AG242" s="26"/>
      <c r="AH242" s="26"/>
      <c r="AI242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42" s="24">
        <f>IFERROR(IF(Table110[[#This Row],[SKU]]="",0,Table110[[#This Row],[Quality Loss (T)]]/(Table110[[#This Row],[SOC (TPD)]]/24)),"")</f>
        <v>0</v>
      </c>
      <c r="AK242" s="31">
        <f>IFERROR(IF(Table110[[#This Row],[SKU]]="",0,Table110[[#This Row],[Volume Delivered (T)]]/(Table110[[#This Row],[SOC (TPD)]]/24)),"")</f>
        <v>0</v>
      </c>
      <c r="AL242" s="31" t="str">
        <f>IFERROR(Table110[[#This Row],[Operating Time]]/Table110[[#This Row],[PRODUCTION HOURS]],"")</f>
        <v/>
      </c>
      <c r="AM242" s="32"/>
      <c r="AN242" s="32"/>
      <c r="AO242" s="32"/>
      <c r="AP242" s="32">
        <v>0</v>
      </c>
      <c r="AQ242" s="32">
        <v>0</v>
      </c>
      <c r="AR242" s="32"/>
      <c r="AS242" s="32" t="str">
        <f>IFERROR(SUMIFS(#REF!,#REF!,'Shift Wise-Data Sheet'!A:A,#REF!,"Samridhi Perk Line")/SUMIFS(#REF!,#REF!,'Shift Wise-Data Sheet'!A:A,#REF!,"Samridhi Perk Line"),"")</f>
        <v/>
      </c>
      <c r="AT242" s="32"/>
      <c r="AU242" s="32"/>
      <c r="AV242" s="211" t="str">
        <f>IFERROR(VLOOKUP(Table110[[#This Row],[Date]],'Overweight Data'!A240:G1335,6,FALSE),"")</f>
        <v/>
      </c>
      <c r="AW242" s="221">
        <f>IFERROR(
   IF(
      OR(Table110[[#This Row],[Operating Time]]=0, (Table110[[#This Row],[Operating Time]]/IF(AD242&lt;=1,AD242+1,AD242))*60=0),
      1,
      ((Table110[[#This Row],[Operating Time]])/IF(AD242&lt;=1,AD242+1,AD242))*60
   ),
"_")</f>
        <v>1</v>
      </c>
      <c r="AX242" s="221">
        <f>COUNTIFS('Downtime Data'!A:A,Table110[[#This Row],[Date]])</f>
        <v>0</v>
      </c>
      <c r="AY242" s="219" t="str">
        <f>IFERROR((SUM(Table110[[#This Row],[Minor Stoppages]:[Material Shortages]])/Table110[[#This Row],['# Stops]])*60,"")</f>
        <v/>
      </c>
      <c r="AZ242" s="219"/>
      <c r="BA242" s="33">
        <v>46260</v>
      </c>
    </row>
    <row r="243" spans="1:53" ht="20.149999999999999" customHeight="1" x14ac:dyDescent="0.35">
      <c r="A243" s="21">
        <v>46260</v>
      </c>
      <c r="B243" s="22" t="str">
        <f t="shared" si="4"/>
        <v>Wednesday</v>
      </c>
      <c r="C243" s="22" t="s">
        <v>7</v>
      </c>
      <c r="D243" s="23" t="s">
        <v>108</v>
      </c>
      <c r="E243" s="24" cm="1">
        <f t="array" aca="1" ref="E243" ca="1">IFERROR(INDIRECT(D243),"")/3</f>
        <v>11.4</v>
      </c>
      <c r="F243" s="25"/>
      <c r="G243" s="26">
        <v>5.9</v>
      </c>
      <c r="H243" s="27">
        <f ca="1">IFERROR((Table110[[#This Row],[Plan]]/Table110[[#This Row],[Hours Used]])/(Table110[[#This Row],[SOC (TPD)]]/24),"")</f>
        <v>0</v>
      </c>
      <c r="I243" s="27">
        <f ca="1">IFERROR((Table110[[#This Row],[Volume Delivered (T)]]/Table110[[#This Row],[Hours Used]])/(Table110[[#This Row],[SOC (TPD)]]/24),"")</f>
        <v>0.51754385964912275</v>
      </c>
      <c r="J243" s="28"/>
      <c r="K243" s="28"/>
      <c r="L243" s="28"/>
      <c r="M243" s="25">
        <f>0.18+0.46+0.06+0.08-0.17</f>
        <v>0.60999999999999988</v>
      </c>
      <c r="N243" s="29"/>
      <c r="O243" s="84"/>
      <c r="P243" s="25"/>
      <c r="Q243" s="25"/>
      <c r="R243" s="70"/>
      <c r="S243" s="71"/>
      <c r="T243" s="30">
        <f>IF(Table110[[#This Row],[SKU]]="",0,24-Table110[[#This Row],[Legal Non-Operating Time]]-Table110[[#This Row],[No Demand Time]]-Table110[[#This Row],[Force Majeure]])</f>
        <v>24</v>
      </c>
      <c r="U243" s="26"/>
      <c r="V243" s="26"/>
      <c r="W243" s="26"/>
      <c r="X243" s="26"/>
      <c r="Y243" s="26"/>
      <c r="Z243" s="26"/>
      <c r="AA243" s="26"/>
      <c r="AB243" s="30">
        <f>Table110[[#This Row],[Hours Used]]-SUM(Table110[[#This Row],[Planned Maintenance]:[Start and Finish Production]])</f>
        <v>24</v>
      </c>
      <c r="AC243" s="26"/>
      <c r="AD243" s="26">
        <f>40/60</f>
        <v>0.66666666666666663</v>
      </c>
      <c r="AE243" s="26">
        <f>177/60</f>
        <v>2.95</v>
      </c>
      <c r="AF243" s="26">
        <f>20/60</f>
        <v>0.33333333333333331</v>
      </c>
      <c r="AG243" s="26"/>
      <c r="AH243" s="26"/>
      <c r="AI243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2.1149122807017551</v>
      </c>
      <c r="AJ243" s="24">
        <f ca="1">IFERROR(IF(Table110[[#This Row],[SKU]]="",0,Table110[[#This Row],[Quality Loss (T)]]/(Table110[[#This Row],[SOC (TPD)]]/24)),"")</f>
        <v>1.284210526315789</v>
      </c>
      <c r="AK243" s="31">
        <f ca="1">IFERROR(IF(Table110[[#This Row],[SKU]]="",0,Table110[[#This Row],[Volume Delivered (T)]]/(Table110[[#This Row],[SOC (TPD)]]/24)),"")</f>
        <v>12.421052631578947</v>
      </c>
      <c r="AL243" s="31">
        <f ca="1">IFERROR(Table110[[#This Row],[Operating Time]]/Table110[[#This Row],[PRODUCTION HOURS]],"")</f>
        <v>0.51754385964912275</v>
      </c>
      <c r="AM243" s="32"/>
      <c r="AN243" s="32"/>
      <c r="AO243" s="32"/>
      <c r="AP243" s="32">
        <v>0</v>
      </c>
      <c r="AQ243" s="32">
        <v>0</v>
      </c>
      <c r="AR243" s="32"/>
      <c r="AS243" s="32" t="str">
        <f>IFERROR(SUMIFS(#REF!,#REF!,'Shift Wise-Data Sheet'!A:A,#REF!,"Samridhi Perk Line")/SUMIFS(#REF!,#REF!,'Shift Wise-Data Sheet'!A:A,#REF!,"Samridhi Perk Line"),"")</f>
        <v/>
      </c>
      <c r="AT243" s="32"/>
      <c r="AU243" s="32"/>
      <c r="AV243" s="211" t="str">
        <f>IFERROR(VLOOKUP(Table110[[#This Row],[Date]],'Overweight Data'!A241:G1336,6,FALSE),"")</f>
        <v/>
      </c>
      <c r="AW243" s="221">
        <f ca="1">IFERROR(
   IF(
      OR(Table110[[#This Row],[Operating Time]]=0, (Table110[[#This Row],[Operating Time]]/IF(AD243&lt;=1,AD243+1,AD243))*60=0),
      1,
      ((Table110[[#This Row],[Operating Time]])/IF(AD243&lt;=1,AD243+1,AD243))*60
   ),
"_")</f>
        <v>447.15789473684208</v>
      </c>
      <c r="AX243" s="221">
        <f>COUNTIFS('Downtime Data'!A:A,Table110[[#This Row],[Date]])</f>
        <v>0</v>
      </c>
      <c r="AY243" s="219" t="str">
        <f>IFERROR((SUM(Table110[[#This Row],[Minor Stoppages]:[Material Shortages]])/Table110[[#This Row],['# Stops]])*60,"")</f>
        <v/>
      </c>
      <c r="AZ243" s="219"/>
      <c r="BA243" s="33">
        <v>46260</v>
      </c>
    </row>
    <row r="244" spans="1:53" ht="20.149999999999999" customHeight="1" x14ac:dyDescent="0.35">
      <c r="A244" s="21">
        <v>46260</v>
      </c>
      <c r="B244" s="22" t="str">
        <f t="shared" si="4"/>
        <v>Wednesday</v>
      </c>
      <c r="C244" s="22" t="s">
        <v>8</v>
      </c>
      <c r="D244" s="23" t="s">
        <v>108</v>
      </c>
      <c r="E244" s="24" cm="1">
        <f t="array" aca="1" ref="E244" ca="1">IFERROR(INDIRECT(D244),"")/3</f>
        <v>11.4</v>
      </c>
      <c r="F244" s="25"/>
      <c r="G244" s="26">
        <f>7.5+1.1</f>
        <v>8.6</v>
      </c>
      <c r="H244" s="27">
        <f ca="1">IFERROR((Table110[[#This Row],[Plan]]/Table110[[#This Row],[Hours Used]])/(Table110[[#This Row],[SOC (TPD)]]/24),"")</f>
        <v>0</v>
      </c>
      <c r="I244" s="27">
        <f ca="1">IFERROR((Table110[[#This Row],[Volume Delivered (T)]]/Table110[[#This Row],[Hours Used]])/(Table110[[#This Row],[SOC (TPD)]]/24),"")</f>
        <v>0.7543859649122806</v>
      </c>
      <c r="J244" s="28"/>
      <c r="K244" s="28"/>
      <c r="L244" s="28"/>
      <c r="M244" s="25">
        <f>0.29+0.97+0.04+0.12-0.31</f>
        <v>1.1099999999999999</v>
      </c>
      <c r="N244" s="29"/>
      <c r="O244" s="84"/>
      <c r="P244" s="25"/>
      <c r="Q244" s="25"/>
      <c r="R244" s="70"/>
      <c r="S244" s="71"/>
      <c r="T244" s="30">
        <f>IF(Table110[[#This Row],[SKU]]="",0,24-Table110[[#This Row],[Legal Non-Operating Time]]-Table110[[#This Row],[No Demand Time]]-Table110[[#This Row],[Force Majeure]])</f>
        <v>24</v>
      </c>
      <c r="U244" s="26"/>
      <c r="V244" s="26"/>
      <c r="W244" s="26"/>
      <c r="X244" s="26"/>
      <c r="Y244" s="26"/>
      <c r="Z244" s="26"/>
      <c r="AA244" s="26"/>
      <c r="AB244" s="30">
        <f>Table110[[#This Row],[Hours Used]]-SUM(Table110[[#This Row],[Planned Maintenance]:[Start and Finish Production]])</f>
        <v>24</v>
      </c>
      <c r="AC244" s="26"/>
      <c r="AD244" s="26">
        <v>1</v>
      </c>
      <c r="AE244" s="26"/>
      <c r="AF244" s="26"/>
      <c r="AG244" s="26"/>
      <c r="AH244" s="26"/>
      <c r="AI244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0.8526315789473683</v>
      </c>
      <c r="AJ244" s="24">
        <f ca="1">IFERROR(IF(Table110[[#This Row],[SKU]]="",0,Table110[[#This Row],[Quality Loss (T)]]/(Table110[[#This Row],[SOC (TPD)]]/24)),"")</f>
        <v>2.3368421052631576</v>
      </c>
      <c r="AK244" s="31">
        <f ca="1">IFERROR(IF(Table110[[#This Row],[SKU]]="",0,Table110[[#This Row],[Volume Delivered (T)]]/(Table110[[#This Row],[SOC (TPD)]]/24)),"")</f>
        <v>18.105263157894736</v>
      </c>
      <c r="AL244" s="31">
        <f ca="1">IFERROR(Table110[[#This Row],[Operating Time]]/Table110[[#This Row],[PRODUCTION HOURS]],"")</f>
        <v>0.75438596491228072</v>
      </c>
      <c r="AM244" s="32"/>
      <c r="AN244" s="32"/>
      <c r="AO244" s="32"/>
      <c r="AP244" s="32">
        <v>4</v>
      </c>
      <c r="AQ244" s="32">
        <v>0</v>
      </c>
      <c r="AR244" s="32"/>
      <c r="AS244" s="32" t="str">
        <f>IFERROR(SUMIFS(#REF!,#REF!,'Shift Wise-Data Sheet'!A:A,#REF!,"Samridhi Perk Line")/SUMIFS(#REF!,#REF!,'Shift Wise-Data Sheet'!A:A,#REF!,"Samridhi Perk Line"),"")</f>
        <v/>
      </c>
      <c r="AT244" s="32"/>
      <c r="AU244" s="32"/>
      <c r="AV244" s="211" t="str">
        <f>IFERROR(VLOOKUP(Table110[[#This Row],[Date]],'Overweight Data'!A242:G1337,6,FALSE),"")</f>
        <v/>
      </c>
      <c r="AW244" s="221">
        <f ca="1">IFERROR(
   IF(
      OR(Table110[[#This Row],[Operating Time]]=0, (Table110[[#This Row],[Operating Time]]/IF(AD244&lt;=1,AD244+1,AD244))*60=0),
      1,
      ((Table110[[#This Row],[Operating Time]])/IF(AD244&lt;=1,AD244+1,AD244))*60
   ),
"_")</f>
        <v>543.15789473684208</v>
      </c>
      <c r="AX244" s="221">
        <f>COUNTIFS('Downtime Data'!A:A,Table110[[#This Row],[Date]])</f>
        <v>0</v>
      </c>
      <c r="AY244" s="219" t="str">
        <f>IFERROR((SUM(Table110[[#This Row],[Minor Stoppages]:[Material Shortages]])/Table110[[#This Row],['# Stops]])*60,"")</f>
        <v/>
      </c>
      <c r="AZ244" s="219"/>
      <c r="BA244" s="33">
        <v>46260</v>
      </c>
    </row>
    <row r="245" spans="1:53" ht="20.149999999999999" customHeight="1" x14ac:dyDescent="0.35">
      <c r="A245" s="21">
        <v>46260</v>
      </c>
      <c r="B245" s="22" t="str">
        <f t="shared" si="4"/>
        <v>Wednesday</v>
      </c>
      <c r="C245" s="22" t="s">
        <v>9</v>
      </c>
      <c r="D245" s="23" t="s">
        <v>108</v>
      </c>
      <c r="E245" s="24" cm="1">
        <f t="array" aca="1" ref="E245" ca="1">IFERROR(INDIRECT(D245),"")/3</f>
        <v>11.4</v>
      </c>
      <c r="F245" s="25"/>
      <c r="G245" s="26">
        <f>3.88+0.69</f>
        <v>4.57</v>
      </c>
      <c r="H245" s="27">
        <f ca="1">IFERROR((Table110[[#This Row],[Plan]]/Table110[[#This Row],[Hours Used]])/(Table110[[#This Row],[SOC (TPD)]]/24),"")</f>
        <v>0</v>
      </c>
      <c r="I245" s="27">
        <f ca="1">IFERROR((Table110[[#This Row],[Volume Delivered (T)]]/Table110[[#This Row],[Hours Used]])/(Table110[[#This Row],[SOC (TPD)]]/24),"")</f>
        <v>0.40087719298245611</v>
      </c>
      <c r="J245" s="28"/>
      <c r="K245" s="28"/>
      <c r="L245" s="28"/>
      <c r="M245" s="25">
        <f>0.17+0.36+0.16+0.29-0.73</f>
        <v>0.25</v>
      </c>
      <c r="N245" s="29"/>
      <c r="O245" s="84"/>
      <c r="P245" s="25"/>
      <c r="Q245" s="25"/>
      <c r="R245" s="70"/>
      <c r="S245" s="71"/>
      <c r="T245" s="30">
        <f>IF(Table110[[#This Row],[SKU]]="",0,24-Table110[[#This Row],[Legal Non-Operating Time]]-Table110[[#This Row],[No Demand Time]]-Table110[[#This Row],[Force Majeure]])</f>
        <v>24</v>
      </c>
      <c r="U245" s="26"/>
      <c r="V245" s="26"/>
      <c r="W245" s="26"/>
      <c r="X245" s="26"/>
      <c r="Y245" s="26"/>
      <c r="Z245" s="26"/>
      <c r="AA245" s="26"/>
      <c r="AB245" s="30">
        <f>Table110[[#This Row],[Hours Used]]-SUM(Table110[[#This Row],[Planned Maintenance]:[Start and Finish Production]])</f>
        <v>24</v>
      </c>
      <c r="AC245" s="26"/>
      <c r="AD245" s="26">
        <f>200/60</f>
        <v>3.3333333333333335</v>
      </c>
      <c r="AE245" s="26"/>
      <c r="AF245" s="26"/>
      <c r="AG245" s="26"/>
      <c r="AH245" s="26"/>
      <c r="AI245" s="24">
        <f ca="1"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3.5064327485380118</v>
      </c>
      <c r="AJ245" s="24">
        <f ca="1">IFERROR(IF(Table110[[#This Row],[SKU]]="",0,Table110[[#This Row],[Quality Loss (T)]]/(Table110[[#This Row],[SOC (TPD)]]/24)),"")</f>
        <v>0.52631578947368418</v>
      </c>
      <c r="AK245" s="31">
        <f ca="1">IFERROR(IF(Table110[[#This Row],[SKU]]="",0,Table110[[#This Row],[Volume Delivered (T)]]/(Table110[[#This Row],[SOC (TPD)]]/24)),"")</f>
        <v>9.621052631578948</v>
      </c>
      <c r="AL245" s="31">
        <f ca="1">IFERROR(Table110[[#This Row],[Operating Time]]/Table110[[#This Row],[PRODUCTION HOURS]],"")</f>
        <v>0.40087719298245617</v>
      </c>
      <c r="AM245" s="32"/>
      <c r="AN245" s="32"/>
      <c r="AO245" s="32"/>
      <c r="AP245" s="32">
        <v>0</v>
      </c>
      <c r="AQ245" s="32">
        <v>0</v>
      </c>
      <c r="AR245" s="32"/>
      <c r="AS245" s="32" t="str">
        <f>IFERROR(SUMIFS(#REF!,#REF!,'Shift Wise-Data Sheet'!A:A,#REF!,"Samridhi Perk Line")/SUMIFS(#REF!,#REF!,'Shift Wise-Data Sheet'!A:A,#REF!,"Samridhi Perk Line"),"")</f>
        <v/>
      </c>
      <c r="AT245" s="32"/>
      <c r="AU245" s="32"/>
      <c r="AV245" s="211" t="str">
        <f>IFERROR(VLOOKUP(Table110[[#This Row],[Date]],'Overweight Data'!A243:G1338,6,FALSE),"")</f>
        <v/>
      </c>
      <c r="AW245" s="221">
        <f ca="1">IFERROR(
   IF(
      OR(Table110[[#This Row],[Operating Time]]=0, (Table110[[#This Row],[Operating Time]]/IF(AD245&lt;=1,AD245+1,AD245))*60=0),
      1,
      ((Table110[[#This Row],[Operating Time]])/IF(AD245&lt;=1,AD245+1,AD245))*60
   ),
"_")</f>
        <v>173.17894736842106</v>
      </c>
      <c r="AX245" s="221">
        <f>COUNTIFS('Downtime Data'!A:A,Table110[[#This Row],[Date]])</f>
        <v>0</v>
      </c>
      <c r="AY245" s="219" t="str">
        <f>IFERROR((SUM(Table110[[#This Row],[Minor Stoppages]:[Material Shortages]])/Table110[[#This Row],['# Stops]])*60,"")</f>
        <v/>
      </c>
      <c r="AZ245" s="219"/>
      <c r="BA245" s="33">
        <v>46260</v>
      </c>
    </row>
    <row r="246" spans="1:53" ht="20.149999999999999" customHeight="1" x14ac:dyDescent="0.35">
      <c r="A246" s="21">
        <v>46263</v>
      </c>
      <c r="B246" s="22" t="str">
        <f t="shared" si="4"/>
        <v>Saturday</v>
      </c>
      <c r="C246" s="22"/>
      <c r="D246" s="23"/>
      <c r="E246" s="24" t="str" cm="1">
        <f t="array" aca="1" ref="E246" ca="1">IFERROR(INDIRECT(D246),"")</f>
        <v/>
      </c>
      <c r="F246" s="25"/>
      <c r="G246" s="26"/>
      <c r="H246" s="27" t="str">
        <f ca="1">IFERROR((Table110[[#This Row],[Plan]]/Table110[[#This Row],[Hours Used]])/(Table110[[#This Row],[SOC (TPD)]]/24),"")</f>
        <v/>
      </c>
      <c r="I246" s="27" t="str">
        <f ca="1">IFERROR((Table110[[#This Row],[Volume Delivered (T)]]/Table110[[#This Row],[Hours Used]])/(Table110[[#This Row],[SOC (TPD)]]/24),"")</f>
        <v/>
      </c>
      <c r="J246" s="28"/>
      <c r="K246" s="28"/>
      <c r="L246" s="28"/>
      <c r="M246" s="25"/>
      <c r="N246" s="29"/>
      <c r="O246" s="84"/>
      <c r="P246" s="25"/>
      <c r="Q246" s="25"/>
      <c r="R246" s="70"/>
      <c r="S246" s="71"/>
      <c r="T246" s="30">
        <f>IF(Table110[[#This Row],[SKU]]="",0,24-Table110[[#This Row],[Legal Non-Operating Time]]-Table110[[#This Row],[No Demand Time]]-Table110[[#This Row],[Force Majeure]])</f>
        <v>0</v>
      </c>
      <c r="U246" s="26"/>
      <c r="V246" s="26"/>
      <c r="W246" s="26"/>
      <c r="X246" s="26"/>
      <c r="Y246" s="26"/>
      <c r="Z246" s="26"/>
      <c r="AA246" s="26"/>
      <c r="AB246" s="30">
        <f>Table110[[#This Row],[Hours Used]]-SUM(Table110[[#This Row],[Planned Maintenance]:[Start and Finish Production]])</f>
        <v>0</v>
      </c>
      <c r="AC246" s="26"/>
      <c r="AD246" s="26"/>
      <c r="AE246" s="26"/>
      <c r="AF246" s="26"/>
      <c r="AG246" s="26"/>
      <c r="AH246" s="26"/>
      <c r="AI246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46" s="24">
        <f>IFERROR(IF(Table110[[#This Row],[SKU]]="",0,Table110[[#This Row],[Quality Loss (T)]]/(Table110[[#This Row],[SOC (TPD)]]/24)),"")</f>
        <v>0</v>
      </c>
      <c r="AK246" s="31">
        <f>IFERROR(IF(Table110[[#This Row],[SKU]]="",0,Table110[[#This Row],[Volume Delivered (T)]]/(Table110[[#This Row],[SOC (TPD)]]/24)),"")</f>
        <v>0</v>
      </c>
      <c r="AL246" s="31" t="str">
        <f>IFERROR(Table110[[#This Row],[Operating Time]]/Table110[[#This Row],[PRODUCTION HOURS]],"")</f>
        <v/>
      </c>
      <c r="AM246" s="32"/>
      <c r="AN246" s="32"/>
      <c r="AO246" s="32"/>
      <c r="AP246" s="32">
        <v>0</v>
      </c>
      <c r="AQ246" s="32">
        <v>0</v>
      </c>
      <c r="AR246" s="32"/>
      <c r="AS246" s="32" t="str">
        <f>IFERROR(SUMIFS(#REF!,#REF!,'Shift Wise-Data Sheet'!A:A,#REF!,"Samridhi Perk Line")/SUMIFS(#REF!,#REF!,'Shift Wise-Data Sheet'!A:A,#REF!,"Samridhi Perk Line"),"")</f>
        <v/>
      </c>
      <c r="AT246" s="32"/>
      <c r="AU246" s="32"/>
      <c r="AV246" s="211" t="str">
        <f>IFERROR(VLOOKUP(Table110[[#This Row],[Date]],'Overweight Data'!A244:G1339,6,FALSE),"")</f>
        <v/>
      </c>
      <c r="AW246" s="221">
        <f>IFERROR(
   IF(
      OR(Table110[[#This Row],[Operating Time]]=0, (Table110[[#This Row],[Operating Time]]/IF(AD246&lt;=1,AD246+1,AD246))*60=0),
      1,
      ((Table110[[#This Row],[Operating Time]])/IF(AD246&lt;=1,AD246+1,AD246))*60
   ),
"_")</f>
        <v>1</v>
      </c>
      <c r="AX246" s="221">
        <f>COUNTIFS('Downtime Data'!A:A,Table110[[#This Row],[Date]])</f>
        <v>0</v>
      </c>
      <c r="AY246" s="219" t="str">
        <f>IFERROR((SUM(Table110[[#This Row],[Minor Stoppages]:[Material Shortages]])/Table110[[#This Row],['# Stops]])*60,"")</f>
        <v/>
      </c>
      <c r="AZ246" s="219"/>
      <c r="BA246" s="33">
        <v>46260</v>
      </c>
    </row>
    <row r="247" spans="1:53" ht="20.149999999999999" customHeight="1" x14ac:dyDescent="0.35">
      <c r="A247" s="21">
        <v>46264</v>
      </c>
      <c r="B247" s="22" t="str">
        <f t="shared" si="4"/>
        <v>Sunday</v>
      </c>
      <c r="C247" s="22"/>
      <c r="D247" s="23"/>
      <c r="E247" s="24" t="str" cm="1">
        <f t="array" aca="1" ref="E247" ca="1">IFERROR(INDIRECT(D247),"")</f>
        <v/>
      </c>
      <c r="F247" s="25"/>
      <c r="G247" s="26"/>
      <c r="H247" s="27" t="str">
        <f ca="1">IFERROR((Table110[[#This Row],[Plan]]/Table110[[#This Row],[Hours Used]])/(Table110[[#This Row],[SOC (TPD)]]/24),"")</f>
        <v/>
      </c>
      <c r="I247" s="27" t="str">
        <f ca="1">IFERROR((Table110[[#This Row],[Volume Delivered (T)]]/Table110[[#This Row],[Hours Used]])/(Table110[[#This Row],[SOC (TPD)]]/24),"")</f>
        <v/>
      </c>
      <c r="J247" s="28"/>
      <c r="K247" s="28"/>
      <c r="L247" s="28"/>
      <c r="M247" s="25"/>
      <c r="N247" s="29"/>
      <c r="O247" s="84"/>
      <c r="P247" s="25"/>
      <c r="Q247" s="25"/>
      <c r="R247" s="70"/>
      <c r="S247" s="71"/>
      <c r="T247" s="30">
        <f>IF(Table110[[#This Row],[SKU]]="",0,24-Table110[[#This Row],[Legal Non-Operating Time]]-Table110[[#This Row],[No Demand Time]]-Table110[[#This Row],[Force Majeure]])</f>
        <v>0</v>
      </c>
      <c r="U247" s="26"/>
      <c r="V247" s="26"/>
      <c r="W247" s="26"/>
      <c r="X247" s="26"/>
      <c r="Y247" s="26"/>
      <c r="Z247" s="26"/>
      <c r="AA247" s="26"/>
      <c r="AB247" s="30">
        <f>Table110[[#This Row],[Hours Used]]-SUM(Table110[[#This Row],[Planned Maintenance]:[Start and Finish Production]])</f>
        <v>0</v>
      </c>
      <c r="AC247" s="26"/>
      <c r="AD247" s="26"/>
      <c r="AE247" s="26"/>
      <c r="AF247" s="26"/>
      <c r="AG247" s="26"/>
      <c r="AH247" s="26"/>
      <c r="AI247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47" s="24">
        <f>IFERROR(IF(Table110[[#This Row],[SKU]]="",0,Table110[[#This Row],[Quality Loss (T)]]/(Table110[[#This Row],[SOC (TPD)]]/24)),"")</f>
        <v>0</v>
      </c>
      <c r="AK247" s="31">
        <f>IFERROR(IF(Table110[[#This Row],[SKU]]="",0,Table110[[#This Row],[Volume Delivered (T)]]/(Table110[[#This Row],[SOC (TPD)]]/24)),"")</f>
        <v>0</v>
      </c>
      <c r="AL247" s="31" t="str">
        <f>IFERROR(Table110[[#This Row],[Operating Time]]/Table110[[#This Row],[PRODUCTION HOURS]],"")</f>
        <v/>
      </c>
      <c r="AM247" s="32"/>
      <c r="AN247" s="32"/>
      <c r="AO247" s="32"/>
      <c r="AP247" s="32">
        <v>14</v>
      </c>
      <c r="AQ247" s="32">
        <v>0</v>
      </c>
      <c r="AR247" s="32"/>
      <c r="AS247" s="32" t="str">
        <f>IFERROR(SUMIFS(#REF!,#REF!,'Shift Wise-Data Sheet'!A:A,#REF!,"Samridhi Perk Line")/SUMIFS(#REF!,#REF!,'Shift Wise-Data Sheet'!A:A,#REF!,"Samridhi Perk Line"),"")</f>
        <v/>
      </c>
      <c r="AT247" s="32"/>
      <c r="AU247" s="32"/>
      <c r="AV247" s="211" t="str">
        <f>IFERROR(VLOOKUP(Table110[[#This Row],[Date]],'Overweight Data'!A245:G1340,6,FALSE),"")</f>
        <v/>
      </c>
      <c r="AW247" s="221">
        <f>IFERROR(
   IF(
      OR(Table110[[#This Row],[Operating Time]]=0, (Table110[[#This Row],[Operating Time]]/IF(AD247&lt;=1,AD247+1,AD247))*60=0),
      1,
      ((Table110[[#This Row],[Operating Time]])/IF(AD247&lt;=1,AD247+1,AD247))*60
   ),
"_")</f>
        <v>1</v>
      </c>
      <c r="AX247" s="221">
        <f>COUNTIFS('Downtime Data'!A:A,Table110[[#This Row],[Date]])</f>
        <v>0</v>
      </c>
      <c r="AY247" s="219" t="str">
        <f>IFERROR((SUM(Table110[[#This Row],[Minor Stoppages]:[Material Shortages]])/Table110[[#This Row],['# Stops]])*60,"")</f>
        <v/>
      </c>
      <c r="AZ247" s="219"/>
      <c r="BA247" s="33">
        <v>46260</v>
      </c>
    </row>
    <row r="248" spans="1:53" ht="20.149999999999999" customHeight="1" x14ac:dyDescent="0.35">
      <c r="A248" s="21">
        <v>46265</v>
      </c>
      <c r="B248" s="22" t="str">
        <f t="shared" si="4"/>
        <v>Monday</v>
      </c>
      <c r="C248" s="22"/>
      <c r="D248" s="23"/>
      <c r="E248" s="24" t="str" cm="1">
        <f t="array" aca="1" ref="E248" ca="1">IFERROR(INDIRECT(D248),"")</f>
        <v/>
      </c>
      <c r="F248" s="25"/>
      <c r="G248" s="26"/>
      <c r="H248" s="27" t="str">
        <f ca="1">IFERROR((Table110[[#This Row],[Plan]]/Table110[[#This Row],[Hours Used]])/(Table110[[#This Row],[SOC (TPD)]]/24),"")</f>
        <v/>
      </c>
      <c r="I248" s="27" t="str">
        <f ca="1">IFERROR((Table110[[#This Row],[Volume Delivered (T)]]/Table110[[#This Row],[Hours Used]])/(Table110[[#This Row],[SOC (TPD)]]/24),"")</f>
        <v/>
      </c>
      <c r="J248" s="28"/>
      <c r="K248" s="28"/>
      <c r="L248" s="28"/>
      <c r="M248" s="25"/>
      <c r="N248" s="29"/>
      <c r="O248" s="84"/>
      <c r="P248" s="25"/>
      <c r="Q248" s="25"/>
      <c r="R248" s="70"/>
      <c r="S248" s="71"/>
      <c r="T248" s="30">
        <f>IF(Table110[[#This Row],[SKU]]="",0,24-Table110[[#This Row],[Legal Non-Operating Time]]-Table110[[#This Row],[No Demand Time]]-Table110[[#This Row],[Force Majeure]])</f>
        <v>0</v>
      </c>
      <c r="U248" s="26"/>
      <c r="V248" s="26"/>
      <c r="W248" s="26"/>
      <c r="X248" s="26"/>
      <c r="Y248" s="26"/>
      <c r="Z248" s="26"/>
      <c r="AA248" s="26"/>
      <c r="AB248" s="30">
        <f>Table110[[#This Row],[Hours Used]]-SUM(Table110[[#This Row],[Planned Maintenance]:[Start and Finish Production]])</f>
        <v>0</v>
      </c>
      <c r="AC248" s="26"/>
      <c r="AD248" s="26"/>
      <c r="AE248" s="26"/>
      <c r="AF248" s="26"/>
      <c r="AG248" s="26"/>
      <c r="AH248" s="26"/>
      <c r="AI248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48" s="24">
        <f>IFERROR(IF(Table110[[#This Row],[SKU]]="",0,Table110[[#This Row],[Quality Loss (T)]]/(Table110[[#This Row],[SOC (TPD)]]/24)),"")</f>
        <v>0</v>
      </c>
      <c r="AK248" s="31">
        <f>IFERROR(IF(Table110[[#This Row],[SKU]]="",0,Table110[[#This Row],[Volume Delivered (T)]]/(Table110[[#This Row],[SOC (TPD)]]/24)),"")</f>
        <v>0</v>
      </c>
      <c r="AL248" s="31" t="str">
        <f>IFERROR(Table110[[#This Row],[Operating Time]]/Table110[[#This Row],[PRODUCTION HOURS]],"")</f>
        <v/>
      </c>
      <c r="AM248" s="32"/>
      <c r="AN248" s="32"/>
      <c r="AO248" s="32"/>
      <c r="AP248" s="32">
        <v>0</v>
      </c>
      <c r="AQ248" s="32">
        <v>0</v>
      </c>
      <c r="AR248" s="32"/>
      <c r="AS248" s="32" t="str">
        <f>IFERROR(SUMIFS(#REF!,#REF!,'Shift Wise-Data Sheet'!A:A,#REF!,"Samridhi Perk Line")/SUMIFS(#REF!,#REF!,'Shift Wise-Data Sheet'!A:A,#REF!,"Samridhi Perk Line"),"")</f>
        <v/>
      </c>
      <c r="AT248" s="32"/>
      <c r="AU248" s="32"/>
      <c r="AV248" s="211" t="str">
        <f>IFERROR(VLOOKUP(Table110[[#This Row],[Date]],'Overweight Data'!A246:G1341,6,FALSE),"")</f>
        <v/>
      </c>
      <c r="AW248" s="221">
        <f>IFERROR(
   IF(
      OR(Table110[[#This Row],[Operating Time]]=0, (Table110[[#This Row],[Operating Time]]/IF(AD248&lt;=1,AD248+1,AD248))*60=0),
      1,
      ((Table110[[#This Row],[Operating Time]])/IF(AD248&lt;=1,AD248+1,AD248))*60
   ),
"_")</f>
        <v>1</v>
      </c>
      <c r="AX248" s="221">
        <f>COUNTIFS('Downtime Data'!A:A,Table110[[#This Row],[Date]])</f>
        <v>29</v>
      </c>
      <c r="AY248" s="219">
        <f>IFERROR((SUM(Table110[[#This Row],[Minor Stoppages]:[Material Shortages]])/Table110[[#This Row],['# Stops]])*60,"")</f>
        <v>0</v>
      </c>
      <c r="AZ248" s="219"/>
      <c r="BA248" s="33">
        <v>46291</v>
      </c>
    </row>
    <row r="249" spans="1:53" ht="20.149999999999999" customHeight="1" x14ac:dyDescent="0.35">
      <c r="A249" s="21">
        <v>46266</v>
      </c>
      <c r="B249" s="22" t="str">
        <f t="shared" si="4"/>
        <v>Tuesday</v>
      </c>
      <c r="C249" s="22"/>
      <c r="D249" s="23"/>
      <c r="E249" s="24" t="str" cm="1">
        <f t="array" aca="1" ref="E249" ca="1">IFERROR(INDIRECT(D249),"")</f>
        <v/>
      </c>
      <c r="F249" s="25"/>
      <c r="G249" s="26"/>
      <c r="H249" s="27" t="str">
        <f ca="1">IFERROR((Table110[[#This Row],[Plan]]/Table110[[#This Row],[Hours Used]])/(Table110[[#This Row],[SOC (TPD)]]/24),"")</f>
        <v/>
      </c>
      <c r="I249" s="27" t="str">
        <f ca="1">IFERROR((Table110[[#This Row],[Volume Delivered (T)]]/Table110[[#This Row],[Hours Used]])/(Table110[[#This Row],[SOC (TPD)]]/24),"")</f>
        <v/>
      </c>
      <c r="J249" s="28"/>
      <c r="K249" s="28"/>
      <c r="L249" s="28"/>
      <c r="M249" s="25"/>
      <c r="N249" s="29"/>
      <c r="O249" s="84"/>
      <c r="P249" s="25"/>
      <c r="Q249" s="25"/>
      <c r="R249" s="70"/>
      <c r="S249" s="71"/>
      <c r="T249" s="30">
        <f>IF(Table110[[#This Row],[SKU]]="",0,24-Table110[[#This Row],[Legal Non-Operating Time]]-Table110[[#This Row],[No Demand Time]]-Table110[[#This Row],[Force Majeure]])</f>
        <v>0</v>
      </c>
      <c r="U249" s="26"/>
      <c r="V249" s="26"/>
      <c r="W249" s="26"/>
      <c r="X249" s="26"/>
      <c r="Y249" s="26"/>
      <c r="Z249" s="26"/>
      <c r="AA249" s="26"/>
      <c r="AB249" s="30">
        <f>Table110[[#This Row],[Hours Used]]-SUM(Table110[[#This Row],[Planned Maintenance]:[Start and Finish Production]])</f>
        <v>0</v>
      </c>
      <c r="AC249" s="26"/>
      <c r="AD249" s="26"/>
      <c r="AE249" s="26"/>
      <c r="AF249" s="26"/>
      <c r="AG249" s="26"/>
      <c r="AH249" s="26"/>
      <c r="AI249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49" s="24">
        <f>IFERROR(IF(Table110[[#This Row],[SKU]]="",0,Table110[[#This Row],[Quality Loss (T)]]/(Table110[[#This Row],[SOC (TPD)]]/24)),"")</f>
        <v>0</v>
      </c>
      <c r="AK249" s="31">
        <f>IFERROR(IF(Table110[[#This Row],[SKU]]="",0,Table110[[#This Row],[Volume Delivered (T)]]/(Table110[[#This Row],[SOC (TPD)]]/24)),"")</f>
        <v>0</v>
      </c>
      <c r="AL249" s="31" t="str">
        <f>IFERROR(Table110[[#This Row],[Operating Time]]/Table110[[#This Row],[PRODUCTION HOURS]],"")</f>
        <v/>
      </c>
      <c r="AM249" s="32"/>
      <c r="AN249" s="32"/>
      <c r="AO249" s="32"/>
      <c r="AP249" s="32">
        <v>0</v>
      </c>
      <c r="AQ249" s="32">
        <v>0</v>
      </c>
      <c r="AR249" s="32"/>
      <c r="AS249" s="32" t="str">
        <f>IFERROR(SUMIFS(#REF!,#REF!,'Shift Wise-Data Sheet'!A:A,#REF!,"Samridhi Perk Line")/SUMIFS(#REF!,#REF!,'Shift Wise-Data Sheet'!A:A,#REF!,"Samridhi Perk Line"),"")</f>
        <v/>
      </c>
      <c r="AT249" s="32"/>
      <c r="AU249" s="32"/>
      <c r="AV249" s="211" t="str">
        <f>IFERROR(VLOOKUP(Table110[[#This Row],[Date]],'Overweight Data'!A247:G1342,6,FALSE),"")</f>
        <v/>
      </c>
      <c r="AW249" s="221">
        <f>IFERROR(
   IF(
      OR(Table110[[#This Row],[Operating Time]]=0, (Table110[[#This Row],[Operating Time]]/IF(AD249&lt;=1,AD249+1,AD249))*60=0),
      1,
      ((Table110[[#This Row],[Operating Time]])/IF(AD249&lt;=1,AD249+1,AD249))*60
   ),
"_")</f>
        <v>1</v>
      </c>
      <c r="AX249" s="221">
        <f>COUNTIFS('Downtime Data'!A:A,Table110[[#This Row],[Date]])</f>
        <v>28</v>
      </c>
      <c r="AY249" s="219">
        <f>IFERROR((SUM(Table110[[#This Row],[Minor Stoppages]:[Material Shortages]])/Table110[[#This Row],['# Stops]])*60,"")</f>
        <v>0</v>
      </c>
      <c r="AZ249" s="219"/>
      <c r="BA249" s="33">
        <v>46291</v>
      </c>
    </row>
    <row r="250" spans="1:53" ht="20.149999999999999" customHeight="1" x14ac:dyDescent="0.35">
      <c r="A250" s="21">
        <v>46267</v>
      </c>
      <c r="B250" s="22" t="str">
        <f t="shared" si="4"/>
        <v>Wednesday</v>
      </c>
      <c r="C250" s="22"/>
      <c r="D250" s="23"/>
      <c r="E250" s="24" t="str" cm="1">
        <f t="array" aca="1" ref="E250" ca="1">IFERROR(INDIRECT(D250),"")</f>
        <v/>
      </c>
      <c r="F250" s="25"/>
      <c r="G250" s="26"/>
      <c r="H250" s="27" t="str">
        <f ca="1">IFERROR((Table110[[#This Row],[Plan]]/Table110[[#This Row],[Hours Used]])/(Table110[[#This Row],[SOC (TPD)]]/24),"")</f>
        <v/>
      </c>
      <c r="I250" s="27" t="str">
        <f ca="1">IFERROR((Table110[[#This Row],[Volume Delivered (T)]]/Table110[[#This Row],[Hours Used]])/(Table110[[#This Row],[SOC (TPD)]]/24),"")</f>
        <v/>
      </c>
      <c r="J250" s="28"/>
      <c r="K250" s="28"/>
      <c r="L250" s="28"/>
      <c r="M250" s="25"/>
      <c r="N250" s="29"/>
      <c r="O250" s="84"/>
      <c r="P250" s="25"/>
      <c r="Q250" s="25"/>
      <c r="R250" s="70"/>
      <c r="S250" s="71"/>
      <c r="T250" s="30">
        <f>IF(Table110[[#This Row],[SKU]]="",0,24-Table110[[#This Row],[Legal Non-Operating Time]]-Table110[[#This Row],[No Demand Time]]-Table110[[#This Row],[Force Majeure]])</f>
        <v>0</v>
      </c>
      <c r="U250" s="26"/>
      <c r="V250" s="26"/>
      <c r="W250" s="26"/>
      <c r="X250" s="26"/>
      <c r="Y250" s="26"/>
      <c r="Z250" s="26"/>
      <c r="AA250" s="26"/>
      <c r="AB250" s="30">
        <f>Table110[[#This Row],[Hours Used]]-SUM(Table110[[#This Row],[Planned Maintenance]:[Start and Finish Production]])</f>
        <v>0</v>
      </c>
      <c r="AC250" s="26"/>
      <c r="AD250" s="26"/>
      <c r="AE250" s="26"/>
      <c r="AF250" s="26"/>
      <c r="AG250" s="26"/>
      <c r="AH250" s="26"/>
      <c r="AI250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50" s="24">
        <f>IFERROR(IF(Table110[[#This Row],[SKU]]="",0,Table110[[#This Row],[Quality Loss (T)]]/(Table110[[#This Row],[SOC (TPD)]]/24)),"")</f>
        <v>0</v>
      </c>
      <c r="AK250" s="31">
        <f>IFERROR(IF(Table110[[#This Row],[SKU]]="",0,Table110[[#This Row],[Volume Delivered (T)]]/(Table110[[#This Row],[SOC (TPD)]]/24)),"")</f>
        <v>0</v>
      </c>
      <c r="AL250" s="31" t="str">
        <f>IFERROR(Table110[[#This Row],[Operating Time]]/Table110[[#This Row],[PRODUCTION HOURS]],"")</f>
        <v/>
      </c>
      <c r="AM250" s="32"/>
      <c r="AN250" s="32"/>
      <c r="AO250" s="32"/>
      <c r="AP250" s="32">
        <v>0</v>
      </c>
      <c r="AQ250" s="32">
        <v>0</v>
      </c>
      <c r="AR250" s="32"/>
      <c r="AS250" s="32" t="str">
        <f>IFERROR(SUMIFS(#REF!,#REF!,'Shift Wise-Data Sheet'!A:A,#REF!,"Samridhi Perk Line")/SUMIFS(#REF!,#REF!,'Shift Wise-Data Sheet'!A:A,#REF!,"Samridhi Perk Line"),"")</f>
        <v/>
      </c>
      <c r="AT250" s="32"/>
      <c r="AU250" s="32"/>
      <c r="AV250" s="211">
        <f>IFERROR(VLOOKUP(Table110[[#This Row],[Date]],'Overweight Data'!A248:G1343,6,FALSE),"")</f>
        <v>2.9539594843462233E-2</v>
      </c>
      <c r="AW250" s="221">
        <f>IFERROR(
   IF(
      OR(Table110[[#This Row],[Operating Time]]=0, (Table110[[#This Row],[Operating Time]]/IF(AD250&lt;=1,AD250+1,AD250))*60=0),
      1,
      ((Table110[[#This Row],[Operating Time]])/IF(AD250&lt;=1,AD250+1,AD250))*60
   ),
"_")</f>
        <v>1</v>
      </c>
      <c r="AX250" s="221">
        <f>COUNTIFS('Downtime Data'!A:A,Table110[[#This Row],[Date]])</f>
        <v>37</v>
      </c>
      <c r="AY250" s="219">
        <f>IFERROR((SUM(Table110[[#This Row],[Minor Stoppages]:[Material Shortages]])/Table110[[#This Row],['# Stops]])*60,"")</f>
        <v>0</v>
      </c>
      <c r="AZ250" s="219"/>
      <c r="BA250" s="33">
        <v>46291</v>
      </c>
    </row>
    <row r="251" spans="1:53" ht="20.149999999999999" customHeight="1" x14ac:dyDescent="0.35">
      <c r="A251" s="21">
        <v>46268</v>
      </c>
      <c r="B251" s="22" t="str">
        <f t="shared" si="4"/>
        <v>Thursday</v>
      </c>
      <c r="C251" s="22"/>
      <c r="D251" s="23"/>
      <c r="E251" s="24" t="str" cm="1">
        <f t="array" aca="1" ref="E251" ca="1">IFERROR(INDIRECT(D251),"")</f>
        <v/>
      </c>
      <c r="F251" s="25"/>
      <c r="G251" s="26"/>
      <c r="H251" s="27" t="str">
        <f ca="1">IFERROR((Table110[[#This Row],[Plan]]/Table110[[#This Row],[Hours Used]])/(Table110[[#This Row],[SOC (TPD)]]/24),"")</f>
        <v/>
      </c>
      <c r="I251" s="27" t="str">
        <f ca="1">IFERROR((Table110[[#This Row],[Volume Delivered (T)]]/Table110[[#This Row],[Hours Used]])/(Table110[[#This Row],[SOC (TPD)]]/24),"")</f>
        <v/>
      </c>
      <c r="J251" s="28"/>
      <c r="K251" s="28"/>
      <c r="L251" s="28"/>
      <c r="M251" s="25"/>
      <c r="N251" s="29"/>
      <c r="O251" s="84"/>
      <c r="P251" s="25"/>
      <c r="Q251" s="25"/>
      <c r="R251" s="70"/>
      <c r="S251" s="71"/>
      <c r="T251" s="30">
        <f>IF(Table110[[#This Row],[SKU]]="",0,24-Table110[[#This Row],[Legal Non-Operating Time]]-Table110[[#This Row],[No Demand Time]]-Table110[[#This Row],[Force Majeure]])</f>
        <v>0</v>
      </c>
      <c r="U251" s="26"/>
      <c r="V251" s="26"/>
      <c r="W251" s="26"/>
      <c r="X251" s="26"/>
      <c r="Y251" s="26"/>
      <c r="Z251" s="26"/>
      <c r="AA251" s="26"/>
      <c r="AB251" s="30">
        <f>Table110[[#This Row],[Hours Used]]-SUM(Table110[[#This Row],[Planned Maintenance]:[Start and Finish Production]])</f>
        <v>0</v>
      </c>
      <c r="AC251" s="26"/>
      <c r="AD251" s="26"/>
      <c r="AE251" s="26"/>
      <c r="AF251" s="26"/>
      <c r="AG251" s="26"/>
      <c r="AH251" s="26"/>
      <c r="AI251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51" s="24">
        <f>IFERROR(IF(Table110[[#This Row],[SKU]]="",0,Table110[[#This Row],[Quality Loss (T)]]/(Table110[[#This Row],[SOC (TPD)]]/24)),"")</f>
        <v>0</v>
      </c>
      <c r="AK251" s="31">
        <f>IFERROR(IF(Table110[[#This Row],[SKU]]="",0,Table110[[#This Row],[Volume Delivered (T)]]/(Table110[[#This Row],[SOC (TPD)]]/24)),"")</f>
        <v>0</v>
      </c>
      <c r="AL251" s="31" t="str">
        <f>IFERROR(Table110[[#This Row],[Operating Time]]/Table110[[#This Row],[PRODUCTION HOURS]],"")</f>
        <v/>
      </c>
      <c r="AM251" s="32"/>
      <c r="AN251" s="32"/>
      <c r="AO251" s="32"/>
      <c r="AP251" s="32">
        <v>0</v>
      </c>
      <c r="AQ251" s="32">
        <v>0</v>
      </c>
      <c r="AR251" s="32"/>
      <c r="AS251" s="32" t="str">
        <f>IFERROR(SUMIFS(#REF!,#REF!,'Shift Wise-Data Sheet'!A:A,#REF!,"Samridhi Perk Line")/SUMIFS(#REF!,#REF!,'Shift Wise-Data Sheet'!A:A,#REF!,"Samridhi Perk Line"),"")</f>
        <v/>
      </c>
      <c r="AT251" s="32"/>
      <c r="AU251" s="32"/>
      <c r="AV251" s="211">
        <f>IFERROR(VLOOKUP(Table110[[#This Row],[Date]],'Overweight Data'!A249:G1344,6,FALSE),"")</f>
        <v>2.9539594843462233E-2</v>
      </c>
      <c r="AW251" s="221">
        <f>IFERROR(
   IF(
      OR(Table110[[#This Row],[Operating Time]]=0, (Table110[[#This Row],[Operating Time]]/IF(AD251&lt;=1,AD251+1,AD251))*60=0),
      1,
      ((Table110[[#This Row],[Operating Time]])/IF(AD251&lt;=1,AD251+1,AD251))*60
   ),
"_")</f>
        <v>1</v>
      </c>
      <c r="AX251" s="221">
        <f>COUNTIFS('Downtime Data'!A:A,Table110[[#This Row],[Date]])</f>
        <v>32</v>
      </c>
      <c r="AY251" s="219">
        <f>IFERROR((SUM(Table110[[#This Row],[Minor Stoppages]:[Material Shortages]])/Table110[[#This Row],['# Stops]])*60,"")</f>
        <v>0</v>
      </c>
      <c r="AZ251" s="219"/>
      <c r="BA251" s="33">
        <v>46291</v>
      </c>
    </row>
    <row r="252" spans="1:53" ht="20.149999999999999" customHeight="1" x14ac:dyDescent="0.35">
      <c r="A252" s="21">
        <v>46269</v>
      </c>
      <c r="B252" s="22" t="str">
        <f t="shared" si="4"/>
        <v>Friday</v>
      </c>
      <c r="C252" s="22"/>
      <c r="D252" s="23"/>
      <c r="E252" s="24" t="str" cm="1">
        <f t="array" aca="1" ref="E252" ca="1">IFERROR(INDIRECT(D252),"")</f>
        <v/>
      </c>
      <c r="F252" s="25"/>
      <c r="G252" s="26"/>
      <c r="H252" s="27" t="str">
        <f ca="1">IFERROR((Table110[[#This Row],[Plan]]/Table110[[#This Row],[Hours Used]])/(Table110[[#This Row],[SOC (TPD)]]/24),"")</f>
        <v/>
      </c>
      <c r="I252" s="27" t="str">
        <f ca="1">IFERROR((Table110[[#This Row],[Volume Delivered (T)]]/Table110[[#This Row],[Hours Used]])/(Table110[[#This Row],[SOC (TPD)]]/24),"")</f>
        <v/>
      </c>
      <c r="J252" s="28"/>
      <c r="K252" s="28"/>
      <c r="L252" s="28"/>
      <c r="M252" s="25"/>
      <c r="N252" s="29"/>
      <c r="O252" s="84"/>
      <c r="P252" s="25"/>
      <c r="Q252" s="25"/>
      <c r="R252" s="70"/>
      <c r="S252" s="71"/>
      <c r="T252" s="30">
        <f>IF(Table110[[#This Row],[SKU]]="",0,24-Table110[[#This Row],[Legal Non-Operating Time]]-Table110[[#This Row],[No Demand Time]]-Table110[[#This Row],[Force Majeure]])</f>
        <v>0</v>
      </c>
      <c r="U252" s="26"/>
      <c r="V252" s="26"/>
      <c r="W252" s="26"/>
      <c r="X252" s="26"/>
      <c r="Y252" s="26"/>
      <c r="Z252" s="26"/>
      <c r="AA252" s="26"/>
      <c r="AB252" s="30">
        <f>Table110[[#This Row],[Hours Used]]-SUM(Table110[[#This Row],[Planned Maintenance]:[Start and Finish Production]])</f>
        <v>0</v>
      </c>
      <c r="AC252" s="26"/>
      <c r="AD252" s="26"/>
      <c r="AE252" s="26"/>
      <c r="AF252" s="26"/>
      <c r="AG252" s="26"/>
      <c r="AH252" s="26"/>
      <c r="AI252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52" s="24">
        <f>IFERROR(IF(Table110[[#This Row],[SKU]]="",0,Table110[[#This Row],[Quality Loss (T)]]/(Table110[[#This Row],[SOC (TPD)]]/24)),"")</f>
        <v>0</v>
      </c>
      <c r="AK252" s="31">
        <f>IFERROR(IF(Table110[[#This Row],[SKU]]="",0,Table110[[#This Row],[Volume Delivered (T)]]/(Table110[[#This Row],[SOC (TPD)]]/24)),"")</f>
        <v>0</v>
      </c>
      <c r="AL252" s="31" t="str">
        <f>IFERROR(Table110[[#This Row],[Operating Time]]/Table110[[#This Row],[PRODUCTION HOURS]],"")</f>
        <v/>
      </c>
      <c r="AM252" s="32"/>
      <c r="AN252" s="32"/>
      <c r="AO252" s="32"/>
      <c r="AP252" s="32">
        <v>0</v>
      </c>
      <c r="AQ252" s="32">
        <v>0</v>
      </c>
      <c r="AR252" s="32"/>
      <c r="AS252" s="32" t="str">
        <f>IFERROR(SUMIFS(#REF!,#REF!,'Shift Wise-Data Sheet'!A:A,#REF!,"Samridhi Perk Line")/SUMIFS(#REF!,#REF!,'Shift Wise-Data Sheet'!A:A,#REF!,"Samridhi Perk Line"),"")</f>
        <v/>
      </c>
      <c r="AT252" s="32"/>
      <c r="AU252" s="32"/>
      <c r="AV252" s="211" t="str">
        <f>IFERROR(VLOOKUP(Table110[[#This Row],[Date]],'Overweight Data'!A250:G1345,6,FALSE),"")</f>
        <v/>
      </c>
      <c r="AW252" s="221">
        <f>IFERROR(
   IF(
      OR(Table110[[#This Row],[Operating Time]]=0, (Table110[[#This Row],[Operating Time]]/IF(AD252&lt;=1,AD252+1,AD252))*60=0),
      1,
      ((Table110[[#This Row],[Operating Time]])/IF(AD252&lt;=1,AD252+1,AD252))*60
   ),
"_")</f>
        <v>1</v>
      </c>
      <c r="AX252" s="221">
        <f>COUNTIFS('Downtime Data'!A:A,Table110[[#This Row],[Date]])</f>
        <v>0</v>
      </c>
      <c r="AY252" s="219" t="str">
        <f>IFERROR((SUM(Table110[[#This Row],[Minor Stoppages]:[Material Shortages]])/Table110[[#This Row],['# Stops]])*60,"")</f>
        <v/>
      </c>
      <c r="AZ252" s="219"/>
      <c r="BA252" s="33">
        <v>46291</v>
      </c>
    </row>
    <row r="253" spans="1:53" ht="20.149999999999999" customHeight="1" x14ac:dyDescent="0.35">
      <c r="A253" s="21">
        <v>46270</v>
      </c>
      <c r="B253" s="22" t="str">
        <f t="shared" si="4"/>
        <v>Saturday</v>
      </c>
      <c r="C253" s="22"/>
      <c r="D253" s="23"/>
      <c r="E253" s="24" t="str" cm="1">
        <f t="array" aca="1" ref="E253" ca="1">IFERROR(INDIRECT(D253),"")</f>
        <v/>
      </c>
      <c r="F253" s="25"/>
      <c r="G253" s="26"/>
      <c r="H253" s="27" t="str">
        <f ca="1">IFERROR((Table110[[#This Row],[Plan]]/Table110[[#This Row],[Hours Used]])/(Table110[[#This Row],[SOC (TPD)]]/24),"")</f>
        <v/>
      </c>
      <c r="I253" s="27" t="str">
        <f ca="1">IFERROR((Table110[[#This Row],[Volume Delivered (T)]]/Table110[[#This Row],[Hours Used]])/(Table110[[#This Row],[SOC (TPD)]]/24),"")</f>
        <v/>
      </c>
      <c r="J253" s="28"/>
      <c r="K253" s="28"/>
      <c r="L253" s="28"/>
      <c r="M253" s="25"/>
      <c r="N253" s="29"/>
      <c r="O253" s="84"/>
      <c r="P253" s="25"/>
      <c r="Q253" s="25"/>
      <c r="R253" s="70"/>
      <c r="S253" s="71"/>
      <c r="T253" s="30">
        <f>IF(Table110[[#This Row],[SKU]]="",0,24-Table110[[#This Row],[Legal Non-Operating Time]]-Table110[[#This Row],[No Demand Time]]-Table110[[#This Row],[Force Majeure]])</f>
        <v>0</v>
      </c>
      <c r="U253" s="26"/>
      <c r="V253" s="26"/>
      <c r="W253" s="26"/>
      <c r="X253" s="26"/>
      <c r="Y253" s="26"/>
      <c r="Z253" s="26"/>
      <c r="AA253" s="26"/>
      <c r="AB253" s="30">
        <f>Table110[[#This Row],[Hours Used]]-SUM(Table110[[#This Row],[Planned Maintenance]:[Start and Finish Production]])</f>
        <v>0</v>
      </c>
      <c r="AC253" s="26"/>
      <c r="AD253" s="26"/>
      <c r="AE253" s="26"/>
      <c r="AF253" s="26"/>
      <c r="AG253" s="26"/>
      <c r="AH253" s="26"/>
      <c r="AI253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53" s="24">
        <f>IFERROR(IF(Table110[[#This Row],[SKU]]="",0,Table110[[#This Row],[Quality Loss (T)]]/(Table110[[#This Row],[SOC (TPD)]]/24)),"")</f>
        <v>0</v>
      </c>
      <c r="AK253" s="31">
        <f>IFERROR(IF(Table110[[#This Row],[SKU]]="",0,Table110[[#This Row],[Volume Delivered (T)]]/(Table110[[#This Row],[SOC (TPD)]]/24)),"")</f>
        <v>0</v>
      </c>
      <c r="AL253" s="31" t="str">
        <f>IFERROR(Table110[[#This Row],[Operating Time]]/Table110[[#This Row],[PRODUCTION HOURS]],"")</f>
        <v/>
      </c>
      <c r="AM253" s="32"/>
      <c r="AN253" s="32"/>
      <c r="AO253" s="32"/>
      <c r="AP253" s="32">
        <v>0</v>
      </c>
      <c r="AQ253" s="32">
        <v>0</v>
      </c>
      <c r="AR253" s="32"/>
      <c r="AS253" s="32" t="str">
        <f>IFERROR(SUMIFS(#REF!,#REF!,'Shift Wise-Data Sheet'!A:A,#REF!,"Samridhi Perk Line")/SUMIFS(#REF!,#REF!,'Shift Wise-Data Sheet'!A:A,#REF!,"Samridhi Perk Line"),"")</f>
        <v/>
      </c>
      <c r="AT253" s="32"/>
      <c r="AU253" s="32"/>
      <c r="AV253" s="211">
        <f>IFERROR(VLOOKUP(Table110[[#This Row],[Date]],'Overweight Data'!A251:G1346,6,FALSE),"")</f>
        <v>2.6813996316758754E-2</v>
      </c>
      <c r="AW253" s="221">
        <f>IFERROR(
   IF(
      OR(Table110[[#This Row],[Operating Time]]=0, (Table110[[#This Row],[Operating Time]]/IF(AD253&lt;=1,AD253+1,AD253))*60=0),
      1,
      ((Table110[[#This Row],[Operating Time]])/IF(AD253&lt;=1,AD253+1,AD253))*60
   ),
"_")</f>
        <v>1</v>
      </c>
      <c r="AX253" s="221">
        <f>COUNTIFS('Downtime Data'!A:A,Table110[[#This Row],[Date]])</f>
        <v>30</v>
      </c>
      <c r="AY253" s="219">
        <f>IFERROR((SUM(Table110[[#This Row],[Minor Stoppages]:[Material Shortages]])/Table110[[#This Row],['# Stops]])*60,"")</f>
        <v>0</v>
      </c>
      <c r="AZ253" s="219"/>
      <c r="BA253" s="33">
        <v>46291</v>
      </c>
    </row>
    <row r="254" spans="1:53" ht="20.149999999999999" customHeight="1" x14ac:dyDescent="0.35">
      <c r="A254" s="21">
        <v>46271</v>
      </c>
      <c r="B254" s="22" t="str">
        <f t="shared" si="4"/>
        <v>Sunday</v>
      </c>
      <c r="C254" s="22"/>
      <c r="D254" s="23"/>
      <c r="E254" s="24" t="str" cm="1">
        <f t="array" aca="1" ref="E254" ca="1">IFERROR(INDIRECT(D254),"")</f>
        <v/>
      </c>
      <c r="F254" s="25"/>
      <c r="G254" s="26"/>
      <c r="H254" s="27" t="str">
        <f ca="1">IFERROR((Table110[[#This Row],[Plan]]/Table110[[#This Row],[Hours Used]])/(Table110[[#This Row],[SOC (TPD)]]/24),"")</f>
        <v/>
      </c>
      <c r="I254" s="27" t="str">
        <f ca="1">IFERROR((Table110[[#This Row],[Volume Delivered (T)]]/Table110[[#This Row],[Hours Used]])/(Table110[[#This Row],[SOC (TPD)]]/24),"")</f>
        <v/>
      </c>
      <c r="J254" s="28"/>
      <c r="K254" s="28"/>
      <c r="L254" s="28"/>
      <c r="M254" s="25"/>
      <c r="N254" s="29"/>
      <c r="O254" s="84"/>
      <c r="P254" s="25"/>
      <c r="Q254" s="25"/>
      <c r="R254" s="70"/>
      <c r="S254" s="71"/>
      <c r="T254" s="30">
        <f>IF(Table110[[#This Row],[SKU]]="",0,24-Table110[[#This Row],[Legal Non-Operating Time]]-Table110[[#This Row],[No Demand Time]]-Table110[[#This Row],[Force Majeure]])</f>
        <v>0</v>
      </c>
      <c r="U254" s="26"/>
      <c r="V254" s="26"/>
      <c r="W254" s="26"/>
      <c r="X254" s="26"/>
      <c r="Y254" s="26"/>
      <c r="Z254" s="26"/>
      <c r="AA254" s="26"/>
      <c r="AB254" s="30">
        <f>Table110[[#This Row],[Hours Used]]-SUM(Table110[[#This Row],[Planned Maintenance]:[Start and Finish Production]])</f>
        <v>0</v>
      </c>
      <c r="AC254" s="26"/>
      <c r="AD254" s="26"/>
      <c r="AE254" s="26"/>
      <c r="AF254" s="26"/>
      <c r="AG254" s="26"/>
      <c r="AH254" s="26"/>
      <c r="AI254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54" s="24">
        <f>IFERROR(IF(Table110[[#This Row],[SKU]]="",0,Table110[[#This Row],[Quality Loss (T)]]/(Table110[[#This Row],[SOC (TPD)]]/24)),"")</f>
        <v>0</v>
      </c>
      <c r="AK254" s="31">
        <f>IFERROR(IF(Table110[[#This Row],[SKU]]="",0,Table110[[#This Row],[Volume Delivered (T)]]/(Table110[[#This Row],[SOC (TPD)]]/24)),"")</f>
        <v>0</v>
      </c>
      <c r="AL254" s="31" t="str">
        <f>IFERROR(Table110[[#This Row],[Operating Time]]/Table110[[#This Row],[PRODUCTION HOURS]],"")</f>
        <v/>
      </c>
      <c r="AM254" s="32"/>
      <c r="AN254" s="32"/>
      <c r="AO254" s="32"/>
      <c r="AP254" s="32">
        <v>0</v>
      </c>
      <c r="AQ254" s="32">
        <v>0</v>
      </c>
      <c r="AR254" s="32"/>
      <c r="AS254" s="32" t="str">
        <f>IFERROR(SUMIFS(#REF!,#REF!,'Shift Wise-Data Sheet'!A:A,#REF!,"Samridhi Perk Line")/SUMIFS(#REF!,#REF!,'Shift Wise-Data Sheet'!A:A,#REF!,"Samridhi Perk Line"),"")</f>
        <v/>
      </c>
      <c r="AT254" s="32"/>
      <c r="AU254" s="32"/>
      <c r="AV254" s="211">
        <f>IFERROR(VLOOKUP(Table110[[#This Row],[Date]],'Overweight Data'!A252:G1347,6,FALSE),"")</f>
        <v>2.6961325966850802E-2</v>
      </c>
      <c r="AW254" s="221">
        <f>IFERROR(
   IF(
      OR(Table110[[#This Row],[Operating Time]]=0, (Table110[[#This Row],[Operating Time]]/IF(AD254&lt;=1,AD254+1,AD254))*60=0),
      1,
      ((Table110[[#This Row],[Operating Time]])/IF(AD254&lt;=1,AD254+1,AD254))*60
   ),
"_")</f>
        <v>1</v>
      </c>
      <c r="AX254" s="221">
        <f>COUNTIFS('Downtime Data'!A:A,Table110[[#This Row],[Date]])</f>
        <v>33</v>
      </c>
      <c r="AY254" s="219">
        <f>IFERROR((SUM(Table110[[#This Row],[Minor Stoppages]:[Material Shortages]])/Table110[[#This Row],['# Stops]])*60,"")</f>
        <v>0</v>
      </c>
      <c r="AZ254" s="219"/>
      <c r="BA254" s="33">
        <v>46291</v>
      </c>
    </row>
    <row r="255" spans="1:53" ht="20.149999999999999" customHeight="1" x14ac:dyDescent="0.35">
      <c r="A255" s="21">
        <v>46272</v>
      </c>
      <c r="B255" s="22" t="str">
        <f t="shared" si="4"/>
        <v>Monday</v>
      </c>
      <c r="C255" s="22"/>
      <c r="D255" s="23"/>
      <c r="E255" s="24" t="str" cm="1">
        <f t="array" aca="1" ref="E255" ca="1">IFERROR(INDIRECT(D255),"")</f>
        <v/>
      </c>
      <c r="F255" s="25"/>
      <c r="G255" s="26"/>
      <c r="H255" s="27" t="str">
        <f ca="1">IFERROR((Table110[[#This Row],[Plan]]/Table110[[#This Row],[Hours Used]])/(Table110[[#This Row],[SOC (TPD)]]/24),"")</f>
        <v/>
      </c>
      <c r="I255" s="27" t="str">
        <f ca="1">IFERROR((Table110[[#This Row],[Volume Delivered (T)]]/Table110[[#This Row],[Hours Used]])/(Table110[[#This Row],[SOC (TPD)]]/24),"")</f>
        <v/>
      </c>
      <c r="J255" s="28"/>
      <c r="K255" s="28"/>
      <c r="L255" s="28"/>
      <c r="M255" s="25"/>
      <c r="N255" s="29"/>
      <c r="O255" s="84"/>
      <c r="P255" s="25"/>
      <c r="Q255" s="25"/>
      <c r="R255" s="70"/>
      <c r="S255" s="71"/>
      <c r="T255" s="30">
        <f>IF(Table110[[#This Row],[SKU]]="",0,24-Table110[[#This Row],[Legal Non-Operating Time]]-Table110[[#This Row],[No Demand Time]]-Table110[[#This Row],[Force Majeure]])</f>
        <v>0</v>
      </c>
      <c r="U255" s="26"/>
      <c r="V255" s="26"/>
      <c r="W255" s="26"/>
      <c r="X255" s="26"/>
      <c r="Y255" s="26"/>
      <c r="Z255" s="26"/>
      <c r="AA255" s="26"/>
      <c r="AB255" s="30">
        <f>Table110[[#This Row],[Hours Used]]-SUM(Table110[[#This Row],[Planned Maintenance]:[Start and Finish Production]])</f>
        <v>0</v>
      </c>
      <c r="AC255" s="26"/>
      <c r="AD255" s="26"/>
      <c r="AE255" s="26"/>
      <c r="AF255" s="26"/>
      <c r="AG255" s="26"/>
      <c r="AH255" s="26"/>
      <c r="AI255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55" s="24">
        <f>IFERROR(IF(Table110[[#This Row],[SKU]]="",0,Table110[[#This Row],[Quality Loss (T)]]/(Table110[[#This Row],[SOC (TPD)]]/24)),"")</f>
        <v>0</v>
      </c>
      <c r="AK255" s="31">
        <f>IFERROR(IF(Table110[[#This Row],[SKU]]="",0,Table110[[#This Row],[Volume Delivered (T)]]/(Table110[[#This Row],[SOC (TPD)]]/24)),"")</f>
        <v>0</v>
      </c>
      <c r="AL255" s="31" t="str">
        <f>IFERROR(Table110[[#This Row],[Operating Time]]/Table110[[#This Row],[PRODUCTION HOURS]],"")</f>
        <v/>
      </c>
      <c r="AM255" s="32"/>
      <c r="AN255" s="32"/>
      <c r="AO255" s="32"/>
      <c r="AP255" s="32">
        <v>0</v>
      </c>
      <c r="AQ255" s="32">
        <v>0</v>
      </c>
      <c r="AR255" s="32"/>
      <c r="AS255" s="32" t="str">
        <f>IFERROR(SUMIFS(#REF!,#REF!,'Shift Wise-Data Sheet'!A:A,#REF!,"Samridhi Perk Line")/SUMIFS(#REF!,#REF!,'Shift Wise-Data Sheet'!A:A,#REF!,"Samridhi Perk Line"),"")</f>
        <v/>
      </c>
      <c r="AT255" s="32"/>
      <c r="AU255" s="32"/>
      <c r="AV255" s="211">
        <f>IFERROR(VLOOKUP(Table110[[#This Row],[Date]],'Overweight Data'!A253:G1348,6,FALSE),"")</f>
        <v>3.1187845303867406E-2</v>
      </c>
      <c r="AW255" s="221">
        <f>IFERROR(
   IF(
      OR(Table110[[#This Row],[Operating Time]]=0, (Table110[[#This Row],[Operating Time]]/IF(AD255&lt;=1,AD255+1,AD255))*60=0),
      1,
      ((Table110[[#This Row],[Operating Time]])/IF(AD255&lt;=1,AD255+1,AD255))*60
   ),
"_")</f>
        <v>1</v>
      </c>
      <c r="AX255" s="221">
        <f>COUNTIFS('Downtime Data'!A:A,Table110[[#This Row],[Date]])</f>
        <v>0</v>
      </c>
      <c r="AY255" s="219" t="str">
        <f>IFERROR((SUM(Table110[[#This Row],[Minor Stoppages]:[Material Shortages]])/Table110[[#This Row],['# Stops]])*60,"")</f>
        <v/>
      </c>
      <c r="AZ255" s="219"/>
      <c r="BA255" s="33">
        <v>46291</v>
      </c>
    </row>
    <row r="256" spans="1:53" ht="20.149999999999999" customHeight="1" x14ac:dyDescent="0.35">
      <c r="A256" s="21">
        <v>46273</v>
      </c>
      <c r="B256" s="22" t="str">
        <f t="shared" si="4"/>
        <v>Tuesday</v>
      </c>
      <c r="C256" s="22"/>
      <c r="D256" s="23"/>
      <c r="E256" s="24" t="str" cm="1">
        <f t="array" aca="1" ref="E256" ca="1">IFERROR(INDIRECT(D256),"")</f>
        <v/>
      </c>
      <c r="F256" s="25"/>
      <c r="G256" s="26"/>
      <c r="H256" s="27" t="str">
        <f ca="1">IFERROR((Table110[[#This Row],[Plan]]/Table110[[#This Row],[Hours Used]])/(Table110[[#This Row],[SOC (TPD)]]/24),"")</f>
        <v/>
      </c>
      <c r="I256" s="27" t="str">
        <f ca="1">IFERROR((Table110[[#This Row],[Volume Delivered (T)]]/Table110[[#This Row],[Hours Used]])/(Table110[[#This Row],[SOC (TPD)]]/24),"")</f>
        <v/>
      </c>
      <c r="J256" s="28"/>
      <c r="K256" s="28"/>
      <c r="L256" s="28"/>
      <c r="M256" s="25"/>
      <c r="N256" s="29"/>
      <c r="O256" s="84"/>
      <c r="P256" s="25"/>
      <c r="Q256" s="25"/>
      <c r="R256" s="70"/>
      <c r="S256" s="71"/>
      <c r="T256" s="30">
        <f>IF(Table110[[#This Row],[SKU]]="",0,24-Table110[[#This Row],[Legal Non-Operating Time]]-Table110[[#This Row],[No Demand Time]]-Table110[[#This Row],[Force Majeure]])</f>
        <v>0</v>
      </c>
      <c r="U256" s="26"/>
      <c r="V256" s="26"/>
      <c r="W256" s="26"/>
      <c r="X256" s="26"/>
      <c r="Y256" s="26"/>
      <c r="Z256" s="26"/>
      <c r="AA256" s="26"/>
      <c r="AB256" s="30">
        <f>Table110[[#This Row],[Hours Used]]-SUM(Table110[[#This Row],[Planned Maintenance]:[Start and Finish Production]])</f>
        <v>0</v>
      </c>
      <c r="AC256" s="26"/>
      <c r="AD256" s="26"/>
      <c r="AE256" s="26"/>
      <c r="AF256" s="26"/>
      <c r="AG256" s="26"/>
      <c r="AH256" s="26"/>
      <c r="AI256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56" s="24">
        <f>IFERROR(IF(Table110[[#This Row],[SKU]]="",0,Table110[[#This Row],[Quality Loss (T)]]/(Table110[[#This Row],[SOC (TPD)]]/24)),"")</f>
        <v>0</v>
      </c>
      <c r="AK256" s="31">
        <f>IFERROR(IF(Table110[[#This Row],[SKU]]="",0,Table110[[#This Row],[Volume Delivered (T)]]/(Table110[[#This Row],[SOC (TPD)]]/24)),"")</f>
        <v>0</v>
      </c>
      <c r="AL256" s="31" t="str">
        <f>IFERROR(Table110[[#This Row],[Operating Time]]/Table110[[#This Row],[PRODUCTION HOURS]],"")</f>
        <v/>
      </c>
      <c r="AM256" s="32"/>
      <c r="AN256" s="32"/>
      <c r="AO256" s="32"/>
      <c r="AP256" s="32">
        <v>1</v>
      </c>
      <c r="AQ256" s="32">
        <v>0</v>
      </c>
      <c r="AR256" s="32"/>
      <c r="AS256" s="32" t="str">
        <f>IFERROR(SUMIFS(#REF!,#REF!,'Shift Wise-Data Sheet'!A:A,#REF!,"Samridhi Perk Line")/SUMIFS(#REF!,#REF!,'Shift Wise-Data Sheet'!A:A,#REF!,"Samridhi Perk Line"),"")</f>
        <v/>
      </c>
      <c r="AT256" s="32"/>
      <c r="AU256" s="32"/>
      <c r="AV256" s="211">
        <f>IFERROR(VLOOKUP(Table110[[#This Row],[Date]],'Overweight Data'!A254:G1349,6,FALSE),"")</f>
        <v>2.9162062615101302E-2</v>
      </c>
      <c r="AW256" s="221">
        <f>IFERROR(
   IF(
      OR(Table110[[#This Row],[Operating Time]]=0, (Table110[[#This Row],[Operating Time]]/IF(AD256&lt;=1,AD256+1,AD256))*60=0),
      1,
      ((Table110[[#This Row],[Operating Time]])/IF(AD256&lt;=1,AD256+1,AD256))*60
   ),
"_")</f>
        <v>1</v>
      </c>
      <c r="AX256" s="221">
        <f>COUNTIFS('Downtime Data'!A:A,Table110[[#This Row],[Date]])</f>
        <v>2</v>
      </c>
      <c r="AY256" s="219">
        <f>IFERROR((SUM(Table110[[#This Row],[Minor Stoppages]:[Material Shortages]])/Table110[[#This Row],['# Stops]])*60,"")</f>
        <v>0</v>
      </c>
      <c r="AZ256" s="219"/>
      <c r="BA256" s="33">
        <v>46291</v>
      </c>
    </row>
    <row r="257" spans="1:53" ht="20.149999999999999" customHeight="1" x14ac:dyDescent="0.35">
      <c r="A257" s="21">
        <v>46274</v>
      </c>
      <c r="B257" s="22" t="str">
        <f t="shared" si="4"/>
        <v>Wednesday</v>
      </c>
      <c r="C257" s="22"/>
      <c r="D257" s="23"/>
      <c r="E257" s="24" t="str" cm="1">
        <f t="array" aca="1" ref="E257" ca="1">IFERROR(INDIRECT(D257),"")</f>
        <v/>
      </c>
      <c r="F257" s="25"/>
      <c r="G257" s="26"/>
      <c r="H257" s="27" t="str">
        <f ca="1">IFERROR((Table110[[#This Row],[Plan]]/Table110[[#This Row],[Hours Used]])/(Table110[[#This Row],[SOC (TPD)]]/24),"")</f>
        <v/>
      </c>
      <c r="I257" s="27" t="str">
        <f ca="1">IFERROR((Table110[[#This Row],[Volume Delivered (T)]]/Table110[[#This Row],[Hours Used]])/(Table110[[#This Row],[SOC (TPD)]]/24),"")</f>
        <v/>
      </c>
      <c r="J257" s="28"/>
      <c r="K257" s="28"/>
      <c r="L257" s="28"/>
      <c r="M257" s="25"/>
      <c r="N257" s="29"/>
      <c r="O257" s="84"/>
      <c r="P257" s="25"/>
      <c r="Q257" s="25"/>
      <c r="R257" s="70"/>
      <c r="S257" s="71"/>
      <c r="T257" s="30">
        <f>IF(Table110[[#This Row],[SKU]]="",0,24-Table110[[#This Row],[Legal Non-Operating Time]]-Table110[[#This Row],[No Demand Time]]-Table110[[#This Row],[Force Majeure]])</f>
        <v>0</v>
      </c>
      <c r="U257" s="26"/>
      <c r="V257" s="26"/>
      <c r="W257" s="26"/>
      <c r="X257" s="26"/>
      <c r="Y257" s="26"/>
      <c r="Z257" s="26"/>
      <c r="AA257" s="26"/>
      <c r="AB257" s="30">
        <f>Table110[[#This Row],[Hours Used]]-SUM(Table110[[#This Row],[Planned Maintenance]:[Start and Finish Production]])</f>
        <v>0</v>
      </c>
      <c r="AC257" s="26"/>
      <c r="AD257" s="26"/>
      <c r="AE257" s="26"/>
      <c r="AF257" s="26"/>
      <c r="AG257" s="26"/>
      <c r="AH257" s="26"/>
      <c r="AI257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57" s="24">
        <f>IFERROR(IF(Table110[[#This Row],[SKU]]="",0,Table110[[#This Row],[Quality Loss (T)]]/(Table110[[#This Row],[SOC (TPD)]]/24)),"")</f>
        <v>0</v>
      </c>
      <c r="AK257" s="31">
        <f>IFERROR(IF(Table110[[#This Row],[SKU]]="",0,Table110[[#This Row],[Volume Delivered (T)]]/(Table110[[#This Row],[SOC (TPD)]]/24)),"")</f>
        <v>0</v>
      </c>
      <c r="AL257" s="31" t="str">
        <f>IFERROR(Table110[[#This Row],[Operating Time]]/Table110[[#This Row],[PRODUCTION HOURS]],"")</f>
        <v/>
      </c>
      <c r="AM257" s="32"/>
      <c r="AN257" s="32"/>
      <c r="AO257" s="32"/>
      <c r="AP257" s="32">
        <v>0</v>
      </c>
      <c r="AQ257" s="32">
        <v>0</v>
      </c>
      <c r="AR257" s="32"/>
      <c r="AS257" s="32" t="str">
        <f>IFERROR(SUMIFS(#REF!,#REF!,'Shift Wise-Data Sheet'!A:A,#REF!,"Samridhi Perk Line")/SUMIFS(#REF!,#REF!,'Shift Wise-Data Sheet'!A:A,#REF!,"Samridhi Perk Line"),"")</f>
        <v/>
      </c>
      <c r="AT257" s="32"/>
      <c r="AU257" s="32"/>
      <c r="AV257" s="211">
        <f>IFERROR(VLOOKUP(Table110[[#This Row],[Date]],'Overweight Data'!A255:G1350,6,FALSE),"")</f>
        <v>2.7863720073664815E-2</v>
      </c>
      <c r="AW257" s="221">
        <f>IFERROR(
   IF(
      OR(Table110[[#This Row],[Operating Time]]=0, (Table110[[#This Row],[Operating Time]]/IF(AD257&lt;=1,AD257+1,AD257))*60=0),
      1,
      ((Table110[[#This Row],[Operating Time]])/IF(AD257&lt;=1,AD257+1,AD257))*60
   ),
"_")</f>
        <v>1</v>
      </c>
      <c r="AX257" s="221">
        <f>COUNTIFS('Downtime Data'!A:A,Table110[[#This Row],[Date]])</f>
        <v>18</v>
      </c>
      <c r="AY257" s="219">
        <f>IFERROR((SUM(Table110[[#This Row],[Minor Stoppages]:[Material Shortages]])/Table110[[#This Row],['# Stops]])*60,"")</f>
        <v>0</v>
      </c>
      <c r="AZ257" s="219"/>
      <c r="BA257" s="33">
        <v>46291</v>
      </c>
    </row>
    <row r="258" spans="1:53" ht="20.149999999999999" customHeight="1" x14ac:dyDescent="0.35">
      <c r="A258" s="21">
        <v>46275</v>
      </c>
      <c r="B258" s="22" t="str">
        <f t="shared" si="4"/>
        <v>Thursday</v>
      </c>
      <c r="C258" s="22"/>
      <c r="D258" s="23"/>
      <c r="E258" s="24" t="str" cm="1">
        <f t="array" aca="1" ref="E258" ca="1">IFERROR(INDIRECT(D258),"")</f>
        <v/>
      </c>
      <c r="F258" s="25"/>
      <c r="G258" s="26"/>
      <c r="H258" s="27" t="str">
        <f ca="1">IFERROR((Table110[[#This Row],[Plan]]/Table110[[#This Row],[Hours Used]])/(Table110[[#This Row],[SOC (TPD)]]/24),"")</f>
        <v/>
      </c>
      <c r="I258" s="27" t="str">
        <f ca="1">IFERROR((Table110[[#This Row],[Volume Delivered (T)]]/Table110[[#This Row],[Hours Used]])/(Table110[[#This Row],[SOC (TPD)]]/24),"")</f>
        <v/>
      </c>
      <c r="J258" s="28"/>
      <c r="K258" s="28"/>
      <c r="L258" s="28"/>
      <c r="M258" s="25"/>
      <c r="N258" s="29"/>
      <c r="O258" s="84"/>
      <c r="P258" s="25"/>
      <c r="Q258" s="25"/>
      <c r="R258" s="70"/>
      <c r="S258" s="71"/>
      <c r="T258" s="30">
        <f>IF(Table110[[#This Row],[SKU]]="",0,24-Table110[[#This Row],[Legal Non-Operating Time]]-Table110[[#This Row],[No Demand Time]]-Table110[[#This Row],[Force Majeure]])</f>
        <v>0</v>
      </c>
      <c r="U258" s="26"/>
      <c r="V258" s="26"/>
      <c r="W258" s="26"/>
      <c r="X258" s="26"/>
      <c r="Y258" s="26"/>
      <c r="Z258" s="26"/>
      <c r="AA258" s="26"/>
      <c r="AB258" s="30">
        <f>Table110[[#This Row],[Hours Used]]-SUM(Table110[[#This Row],[Planned Maintenance]:[Start and Finish Production]])</f>
        <v>0</v>
      </c>
      <c r="AC258" s="26"/>
      <c r="AD258" s="26"/>
      <c r="AE258" s="26"/>
      <c r="AF258" s="26"/>
      <c r="AG258" s="26"/>
      <c r="AH258" s="26"/>
      <c r="AI258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58" s="24">
        <f>IFERROR(IF(Table110[[#This Row],[SKU]]="",0,Table110[[#This Row],[Quality Loss (T)]]/(Table110[[#This Row],[SOC (TPD)]]/24)),"")</f>
        <v>0</v>
      </c>
      <c r="AK258" s="31">
        <f>IFERROR(IF(Table110[[#This Row],[SKU]]="",0,Table110[[#This Row],[Volume Delivered (T)]]/(Table110[[#This Row],[SOC (TPD)]]/24)),"")</f>
        <v>0</v>
      </c>
      <c r="AL258" s="31" t="str">
        <f>IFERROR(Table110[[#This Row],[Operating Time]]/Table110[[#This Row],[PRODUCTION HOURS]],"")</f>
        <v/>
      </c>
      <c r="AM258" s="32"/>
      <c r="AN258" s="32"/>
      <c r="AO258" s="32"/>
      <c r="AP258" s="32">
        <v>0</v>
      </c>
      <c r="AQ258" s="32">
        <v>0</v>
      </c>
      <c r="AR258" s="32"/>
      <c r="AS258" s="32" t="str">
        <f>IFERROR(SUMIFS(#REF!,#REF!,'Shift Wise-Data Sheet'!A:A,#REF!,"Samridhi Perk Line")/SUMIFS(#REF!,#REF!,'Shift Wise-Data Sheet'!A:A,#REF!,"Samridhi Perk Line"),"")</f>
        <v/>
      </c>
      <c r="AT258" s="32"/>
      <c r="AU258" s="32"/>
      <c r="AV258" s="211">
        <f>IFERROR(VLOOKUP(Table110[[#This Row],[Date]],'Overweight Data'!A256:G1351,6,FALSE),"")</f>
        <v>0</v>
      </c>
      <c r="AW258" s="221">
        <f>IFERROR(
   IF(
      OR(Table110[[#This Row],[Operating Time]]=0, (Table110[[#This Row],[Operating Time]]/IF(AD258&lt;=1,AD258+1,AD258))*60=0),
      1,
      ((Table110[[#This Row],[Operating Time]])/IF(AD258&lt;=1,AD258+1,AD258))*60
   ),
"_")</f>
        <v>1</v>
      </c>
      <c r="AX258" s="221">
        <f>COUNTIFS('Downtime Data'!A:A,Table110[[#This Row],[Date]])</f>
        <v>2</v>
      </c>
      <c r="AY258" s="219">
        <f>IFERROR((SUM(Table110[[#This Row],[Minor Stoppages]:[Material Shortages]])/Table110[[#This Row],['# Stops]])*60,"")</f>
        <v>0</v>
      </c>
      <c r="AZ258" s="219"/>
      <c r="BA258" s="33">
        <v>46291</v>
      </c>
    </row>
    <row r="259" spans="1:53" ht="20.149999999999999" customHeight="1" x14ac:dyDescent="0.35">
      <c r="A259" s="21">
        <v>46276</v>
      </c>
      <c r="B259" s="22" t="str">
        <f t="shared" si="4"/>
        <v>Friday</v>
      </c>
      <c r="C259" s="22"/>
      <c r="D259" s="23"/>
      <c r="E259" s="24" t="str" cm="1">
        <f t="array" aca="1" ref="E259" ca="1">IFERROR(INDIRECT(D259),"")</f>
        <v/>
      </c>
      <c r="F259" s="25"/>
      <c r="G259" s="26"/>
      <c r="H259" s="27" t="str">
        <f ca="1">IFERROR((Table110[[#This Row],[Plan]]/Table110[[#This Row],[Hours Used]])/(Table110[[#This Row],[SOC (TPD)]]/24),"")</f>
        <v/>
      </c>
      <c r="I259" s="27" t="str">
        <f ca="1">IFERROR((Table110[[#This Row],[Volume Delivered (T)]]/Table110[[#This Row],[Hours Used]])/(Table110[[#This Row],[SOC (TPD)]]/24),"")</f>
        <v/>
      </c>
      <c r="J259" s="28"/>
      <c r="K259" s="28"/>
      <c r="L259" s="28"/>
      <c r="M259" s="25"/>
      <c r="N259" s="29"/>
      <c r="O259" s="84"/>
      <c r="P259" s="25"/>
      <c r="Q259" s="25"/>
      <c r="R259" s="70"/>
      <c r="S259" s="71"/>
      <c r="T259" s="30">
        <f>IF(Table110[[#This Row],[SKU]]="",0,24-Table110[[#This Row],[Legal Non-Operating Time]]-Table110[[#This Row],[No Demand Time]]-Table110[[#This Row],[Force Majeure]])</f>
        <v>0</v>
      </c>
      <c r="U259" s="26"/>
      <c r="V259" s="26"/>
      <c r="W259" s="26"/>
      <c r="X259" s="26"/>
      <c r="Y259" s="26"/>
      <c r="Z259" s="26"/>
      <c r="AA259" s="26"/>
      <c r="AB259" s="30">
        <f>Table110[[#This Row],[Hours Used]]-SUM(Table110[[#This Row],[Planned Maintenance]:[Start and Finish Production]])</f>
        <v>0</v>
      </c>
      <c r="AC259" s="26"/>
      <c r="AD259" s="26"/>
      <c r="AE259" s="26"/>
      <c r="AF259" s="26"/>
      <c r="AG259" s="26"/>
      <c r="AH259" s="26"/>
      <c r="AI259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59" s="24">
        <f>IFERROR(IF(Table110[[#This Row],[SKU]]="",0,Table110[[#This Row],[Quality Loss (T)]]/(Table110[[#This Row],[SOC (TPD)]]/24)),"")</f>
        <v>0</v>
      </c>
      <c r="AK259" s="31">
        <f>IFERROR(IF(Table110[[#This Row],[SKU]]="",0,Table110[[#This Row],[Volume Delivered (T)]]/(Table110[[#This Row],[SOC (TPD)]]/24)),"")</f>
        <v>0</v>
      </c>
      <c r="AL259" s="31" t="str">
        <f>IFERROR(Table110[[#This Row],[Operating Time]]/Table110[[#This Row],[PRODUCTION HOURS]],"")</f>
        <v/>
      </c>
      <c r="AM259" s="32"/>
      <c r="AN259" s="32"/>
      <c r="AO259" s="32"/>
      <c r="AP259" s="32">
        <v>0</v>
      </c>
      <c r="AQ259" s="32">
        <v>0</v>
      </c>
      <c r="AR259" s="32"/>
      <c r="AS259" s="32" t="str">
        <f>IFERROR(SUMIFS(#REF!,#REF!,'Shift Wise-Data Sheet'!A:A,#REF!,"Samridhi Perk Line")/SUMIFS(#REF!,#REF!,'Shift Wise-Data Sheet'!A:A,#REF!,"Samridhi Perk Line"),"")</f>
        <v/>
      </c>
      <c r="AT259" s="32"/>
      <c r="AU259" s="32"/>
      <c r="AV259" s="211">
        <f>IFERROR(VLOOKUP(Table110[[#This Row],[Date]],'Overweight Data'!A257:G1352,6,FALSE),"")</f>
        <v>0</v>
      </c>
      <c r="AW259" s="221">
        <f>IFERROR(
   IF(
      OR(Table110[[#This Row],[Operating Time]]=0, (Table110[[#This Row],[Operating Time]]/IF(AD259&lt;=1,AD259+1,AD259))*60=0),
      1,
      ((Table110[[#This Row],[Operating Time]])/IF(AD259&lt;=1,AD259+1,AD259))*60
   ),
"_")</f>
        <v>1</v>
      </c>
      <c r="AX259" s="221">
        <f>COUNTIFS('Downtime Data'!A:A,Table110[[#This Row],[Date]])</f>
        <v>0</v>
      </c>
      <c r="AY259" s="219" t="str">
        <f>IFERROR((SUM(Table110[[#This Row],[Minor Stoppages]:[Material Shortages]])/Table110[[#This Row],['# Stops]])*60,"")</f>
        <v/>
      </c>
      <c r="AZ259" s="219"/>
      <c r="BA259" s="33">
        <v>46291</v>
      </c>
    </row>
    <row r="260" spans="1:53" ht="20.149999999999999" customHeight="1" x14ac:dyDescent="0.35">
      <c r="A260" s="21">
        <v>46277</v>
      </c>
      <c r="B260" s="22" t="str">
        <f t="shared" si="4"/>
        <v>Saturday</v>
      </c>
      <c r="C260" s="22"/>
      <c r="D260" s="23"/>
      <c r="E260" s="24" t="str" cm="1">
        <f t="array" aca="1" ref="E260" ca="1">IFERROR(INDIRECT(D260),"")</f>
        <v/>
      </c>
      <c r="F260" s="25"/>
      <c r="G260" s="26"/>
      <c r="H260" s="27" t="str">
        <f ca="1">IFERROR((Table110[[#This Row],[Plan]]/Table110[[#This Row],[Hours Used]])/(Table110[[#This Row],[SOC (TPD)]]/24),"")</f>
        <v/>
      </c>
      <c r="I260" s="27" t="str">
        <f ca="1">IFERROR((Table110[[#This Row],[Volume Delivered (T)]]/Table110[[#This Row],[Hours Used]])/(Table110[[#This Row],[SOC (TPD)]]/24),"")</f>
        <v/>
      </c>
      <c r="J260" s="28"/>
      <c r="K260" s="28"/>
      <c r="L260" s="28"/>
      <c r="M260" s="25"/>
      <c r="N260" s="29"/>
      <c r="O260" s="84"/>
      <c r="P260" s="25"/>
      <c r="Q260" s="25"/>
      <c r="R260" s="70"/>
      <c r="S260" s="71"/>
      <c r="T260" s="30">
        <f>IF(Table110[[#This Row],[SKU]]="",0,24-Table110[[#This Row],[Legal Non-Operating Time]]-Table110[[#This Row],[No Demand Time]]-Table110[[#This Row],[Force Majeure]])</f>
        <v>0</v>
      </c>
      <c r="U260" s="26"/>
      <c r="V260" s="26"/>
      <c r="W260" s="26"/>
      <c r="X260" s="26"/>
      <c r="Y260" s="26"/>
      <c r="Z260" s="26"/>
      <c r="AA260" s="26"/>
      <c r="AB260" s="30">
        <f>Table110[[#This Row],[Hours Used]]-SUM(Table110[[#This Row],[Planned Maintenance]:[Start and Finish Production]])</f>
        <v>0</v>
      </c>
      <c r="AC260" s="26"/>
      <c r="AD260" s="26"/>
      <c r="AE260" s="26"/>
      <c r="AF260" s="26"/>
      <c r="AG260" s="26"/>
      <c r="AH260" s="26"/>
      <c r="AI260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60" s="24">
        <f>IFERROR(IF(Table110[[#This Row],[SKU]]="",0,Table110[[#This Row],[Quality Loss (T)]]/(Table110[[#This Row],[SOC (TPD)]]/24)),"")</f>
        <v>0</v>
      </c>
      <c r="AK260" s="31">
        <f>IFERROR(IF(Table110[[#This Row],[SKU]]="",0,Table110[[#This Row],[Volume Delivered (T)]]/(Table110[[#This Row],[SOC (TPD)]]/24)),"")</f>
        <v>0</v>
      </c>
      <c r="AL260" s="31" t="str">
        <f>IFERROR(Table110[[#This Row],[Operating Time]]/Table110[[#This Row],[PRODUCTION HOURS]],"")</f>
        <v/>
      </c>
      <c r="AM260" s="32"/>
      <c r="AN260" s="32"/>
      <c r="AO260" s="32"/>
      <c r="AP260" s="32">
        <v>0</v>
      </c>
      <c r="AQ260" s="32">
        <v>0</v>
      </c>
      <c r="AR260" s="32"/>
      <c r="AS260" s="32" t="str">
        <f>IFERROR(SUMIFS(#REF!,#REF!,'Shift Wise-Data Sheet'!A:A,#REF!,"Samridhi Perk Line")/SUMIFS(#REF!,#REF!,'Shift Wise-Data Sheet'!A:A,#REF!,"Samridhi Perk Line"),"")</f>
        <v/>
      </c>
      <c r="AT260" s="32"/>
      <c r="AU260" s="32"/>
      <c r="AV260" s="211">
        <f>IFERROR(VLOOKUP(Table110[[#This Row],[Date]],'Overweight Data'!A258:G1353,6,FALSE),"")</f>
        <v>0</v>
      </c>
      <c r="AW260" s="221">
        <f>IFERROR(
   IF(
      OR(Table110[[#This Row],[Operating Time]]=0, (Table110[[#This Row],[Operating Time]]/IF(AD260&lt;=1,AD260+1,AD260))*60=0),
      1,
      ((Table110[[#This Row],[Operating Time]])/IF(AD260&lt;=1,AD260+1,AD260))*60
   ),
"_")</f>
        <v>1</v>
      </c>
      <c r="AX260" s="221">
        <f>COUNTIFS('Downtime Data'!A:A,Table110[[#This Row],[Date]])</f>
        <v>0</v>
      </c>
      <c r="AY260" s="219" t="str">
        <f>IFERROR((SUM(Table110[[#This Row],[Minor Stoppages]:[Material Shortages]])/Table110[[#This Row],['# Stops]])*60,"")</f>
        <v/>
      </c>
      <c r="AZ260" s="219"/>
      <c r="BA260" s="33">
        <v>46291</v>
      </c>
    </row>
    <row r="261" spans="1:53" ht="20.149999999999999" customHeight="1" x14ac:dyDescent="0.35">
      <c r="A261" s="21">
        <v>46278</v>
      </c>
      <c r="B261" s="22" t="str">
        <f t="shared" si="4"/>
        <v>Sunday</v>
      </c>
      <c r="C261" s="22"/>
      <c r="D261" s="23"/>
      <c r="E261" s="24" t="str" cm="1">
        <f t="array" aca="1" ref="E261" ca="1">IFERROR(INDIRECT(D261),"")</f>
        <v/>
      </c>
      <c r="F261" s="25"/>
      <c r="G261" s="26"/>
      <c r="H261" s="27" t="str">
        <f ca="1">IFERROR((Table110[[#This Row],[Plan]]/Table110[[#This Row],[Hours Used]])/(Table110[[#This Row],[SOC (TPD)]]/24),"")</f>
        <v/>
      </c>
      <c r="I261" s="27" t="str">
        <f ca="1">IFERROR((Table110[[#This Row],[Volume Delivered (T)]]/Table110[[#This Row],[Hours Used]])/(Table110[[#This Row],[SOC (TPD)]]/24),"")</f>
        <v/>
      </c>
      <c r="J261" s="28"/>
      <c r="K261" s="28"/>
      <c r="L261" s="28"/>
      <c r="M261" s="25"/>
      <c r="N261" s="29"/>
      <c r="O261" s="84"/>
      <c r="P261" s="25"/>
      <c r="Q261" s="25"/>
      <c r="R261" s="70"/>
      <c r="S261" s="71"/>
      <c r="T261" s="30">
        <f>IF(Table110[[#This Row],[SKU]]="",0,24-Table110[[#This Row],[Legal Non-Operating Time]]-Table110[[#This Row],[No Demand Time]]-Table110[[#This Row],[Force Majeure]])</f>
        <v>0</v>
      </c>
      <c r="U261" s="26"/>
      <c r="V261" s="26"/>
      <c r="W261" s="26"/>
      <c r="X261" s="26"/>
      <c r="Y261" s="26"/>
      <c r="Z261" s="26"/>
      <c r="AA261" s="26"/>
      <c r="AB261" s="30">
        <f>Table110[[#This Row],[Hours Used]]-SUM(Table110[[#This Row],[Planned Maintenance]:[Start and Finish Production]])</f>
        <v>0</v>
      </c>
      <c r="AC261" s="26"/>
      <c r="AD261" s="26"/>
      <c r="AE261" s="26"/>
      <c r="AF261" s="26"/>
      <c r="AG261" s="26"/>
      <c r="AH261" s="26"/>
      <c r="AI261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61" s="24">
        <f>IFERROR(IF(Table110[[#This Row],[SKU]]="",0,Table110[[#This Row],[Quality Loss (T)]]/(Table110[[#This Row],[SOC (TPD)]]/24)),"")</f>
        <v>0</v>
      </c>
      <c r="AK261" s="31">
        <f>IFERROR(IF(Table110[[#This Row],[SKU]]="",0,Table110[[#This Row],[Volume Delivered (T)]]/(Table110[[#This Row],[SOC (TPD)]]/24)),"")</f>
        <v>0</v>
      </c>
      <c r="AL261" s="31" t="str">
        <f>IFERROR(Table110[[#This Row],[Operating Time]]/Table110[[#This Row],[PRODUCTION HOURS]],"")</f>
        <v/>
      </c>
      <c r="AM261" s="32"/>
      <c r="AN261" s="32"/>
      <c r="AO261" s="32"/>
      <c r="AP261" s="32">
        <v>0</v>
      </c>
      <c r="AQ261" s="32">
        <v>0</v>
      </c>
      <c r="AR261" s="32"/>
      <c r="AS261" s="32" t="str">
        <f>IFERROR(SUMIFS(#REF!,#REF!,'Shift Wise-Data Sheet'!A:A,#REF!,"Samridhi Perk Line")/SUMIFS(#REF!,#REF!,'Shift Wise-Data Sheet'!A:A,#REF!,"Samridhi Perk Line"),"")</f>
        <v/>
      </c>
      <c r="AT261" s="32"/>
      <c r="AU261" s="32"/>
      <c r="AV261" s="211">
        <f>IFERROR(VLOOKUP(Table110[[#This Row],[Date]],'Overweight Data'!A259:G1354,6,FALSE),"")</f>
        <v>0</v>
      </c>
      <c r="AW261" s="221">
        <f>IFERROR(
   IF(
      OR(Table110[[#This Row],[Operating Time]]=0, (Table110[[#This Row],[Operating Time]]/IF(AD261&lt;=1,AD261+1,AD261))*60=0),
      1,
      ((Table110[[#This Row],[Operating Time]])/IF(AD261&lt;=1,AD261+1,AD261))*60
   ),
"_")</f>
        <v>1</v>
      </c>
      <c r="AX261" s="221">
        <f>COUNTIFS('Downtime Data'!A:A,Table110[[#This Row],[Date]])</f>
        <v>0</v>
      </c>
      <c r="AY261" s="219" t="str">
        <f>IFERROR((SUM(Table110[[#This Row],[Minor Stoppages]:[Material Shortages]])/Table110[[#This Row],['# Stops]])*60,"")</f>
        <v/>
      </c>
      <c r="AZ261" s="219"/>
      <c r="BA261" s="33">
        <v>46291</v>
      </c>
    </row>
    <row r="262" spans="1:53" ht="20.149999999999999" customHeight="1" x14ac:dyDescent="0.35">
      <c r="A262" s="21">
        <v>46279</v>
      </c>
      <c r="B262" s="22" t="str">
        <f t="shared" si="4"/>
        <v>Monday</v>
      </c>
      <c r="C262" s="22"/>
      <c r="D262" s="23"/>
      <c r="E262" s="24" t="str" cm="1">
        <f t="array" aca="1" ref="E262" ca="1">IFERROR(INDIRECT(D262),"")</f>
        <v/>
      </c>
      <c r="F262" s="25"/>
      <c r="G262" s="26"/>
      <c r="H262" s="27" t="str">
        <f ca="1">IFERROR((Table110[[#This Row],[Plan]]/Table110[[#This Row],[Hours Used]])/(Table110[[#This Row],[SOC (TPD)]]/24),"")</f>
        <v/>
      </c>
      <c r="I262" s="27" t="str">
        <f ca="1">IFERROR((Table110[[#This Row],[Volume Delivered (T)]]/Table110[[#This Row],[Hours Used]])/(Table110[[#This Row],[SOC (TPD)]]/24),"")</f>
        <v/>
      </c>
      <c r="J262" s="28"/>
      <c r="K262" s="28"/>
      <c r="L262" s="28"/>
      <c r="M262" s="25"/>
      <c r="N262" s="29"/>
      <c r="O262" s="84"/>
      <c r="P262" s="25"/>
      <c r="Q262" s="25"/>
      <c r="R262" s="70"/>
      <c r="S262" s="71"/>
      <c r="T262" s="30">
        <f>IF(Table110[[#This Row],[SKU]]="",0,24-Table110[[#This Row],[Legal Non-Operating Time]]-Table110[[#This Row],[No Demand Time]]-Table110[[#This Row],[Force Majeure]])</f>
        <v>0</v>
      </c>
      <c r="U262" s="26"/>
      <c r="V262" s="26"/>
      <c r="W262" s="26"/>
      <c r="X262" s="26"/>
      <c r="Y262" s="26"/>
      <c r="Z262" s="26"/>
      <c r="AA262" s="26"/>
      <c r="AB262" s="30">
        <f>Table110[[#This Row],[Hours Used]]-SUM(Table110[[#This Row],[Planned Maintenance]:[Start and Finish Production]])</f>
        <v>0</v>
      </c>
      <c r="AC262" s="26"/>
      <c r="AD262" s="26"/>
      <c r="AE262" s="26"/>
      <c r="AF262" s="26"/>
      <c r="AG262" s="26"/>
      <c r="AH262" s="26"/>
      <c r="AI262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62" s="24">
        <f>IFERROR(IF(Table110[[#This Row],[SKU]]="",0,Table110[[#This Row],[Quality Loss (T)]]/(Table110[[#This Row],[SOC (TPD)]]/24)),"")</f>
        <v>0</v>
      </c>
      <c r="AK262" s="31">
        <f>IFERROR(IF(Table110[[#This Row],[SKU]]="",0,Table110[[#This Row],[Volume Delivered (T)]]/(Table110[[#This Row],[SOC (TPD)]]/24)),"")</f>
        <v>0</v>
      </c>
      <c r="AL262" s="31" t="str">
        <f>IFERROR(Table110[[#This Row],[Operating Time]]/Table110[[#This Row],[PRODUCTION HOURS]],"")</f>
        <v/>
      </c>
      <c r="AM262" s="32"/>
      <c r="AN262" s="32"/>
      <c r="AO262" s="32"/>
      <c r="AP262" s="32">
        <v>0</v>
      </c>
      <c r="AQ262" s="32">
        <v>0</v>
      </c>
      <c r="AR262" s="32"/>
      <c r="AS262" s="32" t="str">
        <f>IFERROR(SUMIFS(#REF!,#REF!,'Shift Wise-Data Sheet'!A:A,#REF!,"Samridhi Perk Line")/SUMIFS(#REF!,#REF!,'Shift Wise-Data Sheet'!A:A,#REF!,"Samridhi Perk Line"),"")</f>
        <v/>
      </c>
      <c r="AT262" s="32"/>
      <c r="AU262" s="32"/>
      <c r="AV262" s="211">
        <f>IFERROR(VLOOKUP(Table110[[#This Row],[Date]],'Overweight Data'!A260:G1355,6,FALSE),"")</f>
        <v>0</v>
      </c>
      <c r="AW262" s="221">
        <f>IFERROR(
   IF(
      OR(Table110[[#This Row],[Operating Time]]=0, (Table110[[#This Row],[Operating Time]]/IF(AD262&lt;=1,AD262+1,AD262))*60=0),
      1,
      ((Table110[[#This Row],[Operating Time]])/IF(AD262&lt;=1,AD262+1,AD262))*60
   ),
"_")</f>
        <v>1</v>
      </c>
      <c r="AX262" s="221">
        <f>COUNTIFS('Downtime Data'!A:A,Table110[[#This Row],[Date]])</f>
        <v>0</v>
      </c>
      <c r="AY262" s="219" t="str">
        <f>IFERROR((SUM(Table110[[#This Row],[Minor Stoppages]:[Material Shortages]])/Table110[[#This Row],['# Stops]])*60,"")</f>
        <v/>
      </c>
      <c r="AZ262" s="219"/>
      <c r="BA262" s="33">
        <v>46291</v>
      </c>
    </row>
    <row r="263" spans="1:53" ht="20.149999999999999" customHeight="1" x14ac:dyDescent="0.35">
      <c r="A263" s="21">
        <v>46280</v>
      </c>
      <c r="B263" s="22" t="str">
        <f t="shared" si="4"/>
        <v>Tuesday</v>
      </c>
      <c r="C263" s="22"/>
      <c r="D263" s="23"/>
      <c r="E263" s="24" t="str" cm="1">
        <f t="array" aca="1" ref="E263" ca="1">IFERROR(INDIRECT(D263),"")</f>
        <v/>
      </c>
      <c r="F263" s="25"/>
      <c r="G263" s="26"/>
      <c r="H263" s="27" t="str">
        <f ca="1">IFERROR((Table110[[#This Row],[Plan]]/Table110[[#This Row],[Hours Used]])/(Table110[[#This Row],[SOC (TPD)]]/24),"")</f>
        <v/>
      </c>
      <c r="I263" s="27" t="str">
        <f ca="1">IFERROR((Table110[[#This Row],[Volume Delivered (T)]]/Table110[[#This Row],[Hours Used]])/(Table110[[#This Row],[SOC (TPD)]]/24),"")</f>
        <v/>
      </c>
      <c r="J263" s="28"/>
      <c r="K263" s="28"/>
      <c r="L263" s="28"/>
      <c r="M263" s="25"/>
      <c r="N263" s="29"/>
      <c r="O263" s="84"/>
      <c r="P263" s="25"/>
      <c r="Q263" s="25"/>
      <c r="R263" s="70"/>
      <c r="S263" s="71"/>
      <c r="T263" s="30">
        <f>IF(Table110[[#This Row],[SKU]]="",0,24-Table110[[#This Row],[Legal Non-Operating Time]]-Table110[[#This Row],[No Demand Time]]-Table110[[#This Row],[Force Majeure]])</f>
        <v>0</v>
      </c>
      <c r="U263" s="26"/>
      <c r="V263" s="26"/>
      <c r="W263" s="26"/>
      <c r="X263" s="26"/>
      <c r="Y263" s="26"/>
      <c r="Z263" s="26"/>
      <c r="AA263" s="26"/>
      <c r="AB263" s="30">
        <f>Table110[[#This Row],[Hours Used]]-SUM(Table110[[#This Row],[Planned Maintenance]:[Start and Finish Production]])</f>
        <v>0</v>
      </c>
      <c r="AC263" s="26"/>
      <c r="AD263" s="26"/>
      <c r="AE263" s="26"/>
      <c r="AF263" s="26"/>
      <c r="AG263" s="26"/>
      <c r="AH263" s="26"/>
      <c r="AI263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63" s="24">
        <f>IFERROR(IF(Table110[[#This Row],[SKU]]="",0,Table110[[#This Row],[Quality Loss (T)]]/(Table110[[#This Row],[SOC (TPD)]]/24)),"")</f>
        <v>0</v>
      </c>
      <c r="AK263" s="31">
        <f>IFERROR(IF(Table110[[#This Row],[SKU]]="",0,Table110[[#This Row],[Volume Delivered (T)]]/(Table110[[#This Row],[SOC (TPD)]]/24)),"")</f>
        <v>0</v>
      </c>
      <c r="AL263" s="31" t="str">
        <f>IFERROR(Table110[[#This Row],[Operating Time]]/Table110[[#This Row],[PRODUCTION HOURS]],"")</f>
        <v/>
      </c>
      <c r="AM263" s="32"/>
      <c r="AN263" s="32"/>
      <c r="AO263" s="32"/>
      <c r="AP263" s="32">
        <v>0</v>
      </c>
      <c r="AQ263" s="32">
        <v>0</v>
      </c>
      <c r="AR263" s="32"/>
      <c r="AS263" s="32" t="str">
        <f>IFERROR(SUMIFS(#REF!,#REF!,'Shift Wise-Data Sheet'!A:A,#REF!,"Samridhi Perk Line")/SUMIFS(#REF!,#REF!,'Shift Wise-Data Sheet'!A:A,#REF!,"Samridhi Perk Line"),"")</f>
        <v/>
      </c>
      <c r="AT263" s="32"/>
      <c r="AU263" s="32"/>
      <c r="AV263" s="211">
        <f>IFERROR(VLOOKUP(Table110[[#This Row],[Date]],'Overweight Data'!A261:G1356,6,FALSE),"")</f>
        <v>0</v>
      </c>
      <c r="AW263" s="221">
        <f>IFERROR(
   IF(
      OR(Table110[[#This Row],[Operating Time]]=0, (Table110[[#This Row],[Operating Time]]/IF(AD263&lt;=1,AD263+1,AD263))*60=0),
      1,
      ((Table110[[#This Row],[Operating Time]])/IF(AD263&lt;=1,AD263+1,AD263))*60
   ),
"_")</f>
        <v>1</v>
      </c>
      <c r="AX263" s="221">
        <f>COUNTIFS('Downtime Data'!A:A,Table110[[#This Row],[Date]])</f>
        <v>0</v>
      </c>
      <c r="AY263" s="219" t="str">
        <f>IFERROR((SUM(Table110[[#This Row],[Minor Stoppages]:[Material Shortages]])/Table110[[#This Row],['# Stops]])*60,"")</f>
        <v/>
      </c>
      <c r="AZ263" s="219"/>
      <c r="BA263" s="33">
        <v>46291</v>
      </c>
    </row>
    <row r="264" spans="1:53" ht="20.149999999999999" customHeight="1" x14ac:dyDescent="0.35">
      <c r="A264" s="21">
        <v>46281</v>
      </c>
      <c r="B264" s="22" t="str">
        <f t="shared" si="4"/>
        <v>Wednesday</v>
      </c>
      <c r="C264" s="22"/>
      <c r="D264" s="23"/>
      <c r="E264" s="24" t="str" cm="1">
        <f t="array" aca="1" ref="E264" ca="1">IFERROR(INDIRECT(D264),"")</f>
        <v/>
      </c>
      <c r="F264" s="25"/>
      <c r="G264" s="26"/>
      <c r="H264" s="27" t="str">
        <f ca="1">IFERROR((Table110[[#This Row],[Plan]]/Table110[[#This Row],[Hours Used]])/(Table110[[#This Row],[SOC (TPD)]]/24),"")</f>
        <v/>
      </c>
      <c r="I264" s="27" t="str">
        <f ca="1">IFERROR((Table110[[#This Row],[Volume Delivered (T)]]/Table110[[#This Row],[Hours Used]])/(Table110[[#This Row],[SOC (TPD)]]/24),"")</f>
        <v/>
      </c>
      <c r="J264" s="28"/>
      <c r="K264" s="28"/>
      <c r="L264" s="28"/>
      <c r="M264" s="25"/>
      <c r="N264" s="29"/>
      <c r="O264" s="84"/>
      <c r="P264" s="25"/>
      <c r="Q264" s="25"/>
      <c r="R264" s="70"/>
      <c r="S264" s="71"/>
      <c r="T264" s="30">
        <f>IF(Table110[[#This Row],[SKU]]="",0,24-Table110[[#This Row],[Legal Non-Operating Time]]-Table110[[#This Row],[No Demand Time]]-Table110[[#This Row],[Force Majeure]])</f>
        <v>0</v>
      </c>
      <c r="U264" s="26"/>
      <c r="V264" s="26"/>
      <c r="W264" s="26"/>
      <c r="X264" s="26"/>
      <c r="Y264" s="26"/>
      <c r="Z264" s="26"/>
      <c r="AA264" s="26"/>
      <c r="AB264" s="30">
        <f>Table110[[#This Row],[Hours Used]]-SUM(Table110[[#This Row],[Planned Maintenance]:[Start and Finish Production]])</f>
        <v>0</v>
      </c>
      <c r="AC264" s="26"/>
      <c r="AD264" s="26"/>
      <c r="AE264" s="26"/>
      <c r="AF264" s="26"/>
      <c r="AG264" s="26"/>
      <c r="AH264" s="26"/>
      <c r="AI264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64" s="24">
        <f>IFERROR(IF(Table110[[#This Row],[SKU]]="",0,Table110[[#This Row],[Quality Loss (T)]]/(Table110[[#This Row],[SOC (TPD)]]/24)),"")</f>
        <v>0</v>
      </c>
      <c r="AK264" s="31">
        <f>IFERROR(IF(Table110[[#This Row],[SKU]]="",0,Table110[[#This Row],[Volume Delivered (T)]]/(Table110[[#This Row],[SOC (TPD)]]/24)),"")</f>
        <v>0</v>
      </c>
      <c r="AL264" s="31" t="str">
        <f>IFERROR(Table110[[#This Row],[Operating Time]]/Table110[[#This Row],[PRODUCTION HOURS]],"")</f>
        <v/>
      </c>
      <c r="AM264" s="32"/>
      <c r="AN264" s="32"/>
      <c r="AO264" s="32"/>
      <c r="AP264" s="32">
        <v>3</v>
      </c>
      <c r="AQ264" s="32">
        <v>0</v>
      </c>
      <c r="AR264" s="32"/>
      <c r="AS264" s="32" t="str">
        <f>IFERROR(SUMIFS(#REF!,#REF!,'Shift Wise-Data Sheet'!A:A,#REF!,"Samridhi Perk Line")/SUMIFS(#REF!,#REF!,'Shift Wise-Data Sheet'!A:A,#REF!,"Samridhi Perk Line"),"")</f>
        <v/>
      </c>
      <c r="AT264" s="32"/>
      <c r="AU264" s="32"/>
      <c r="AV264" s="211">
        <f>IFERROR(VLOOKUP(Table110[[#This Row],[Date]],'Overweight Data'!A262:G1357,6,FALSE),"")</f>
        <v>0</v>
      </c>
      <c r="AW264" s="221">
        <f>IFERROR(
   IF(
      OR(Table110[[#This Row],[Operating Time]]=0, (Table110[[#This Row],[Operating Time]]/IF(AD264&lt;=1,AD264+1,AD264))*60=0),
      1,
      ((Table110[[#This Row],[Operating Time]])/IF(AD264&lt;=1,AD264+1,AD264))*60
   ),
"_")</f>
        <v>1</v>
      </c>
      <c r="AX264" s="221">
        <f>COUNTIFS('Downtime Data'!A:A,Table110[[#This Row],[Date]])</f>
        <v>0</v>
      </c>
      <c r="AY264" s="219" t="str">
        <f>IFERROR((SUM(Table110[[#This Row],[Minor Stoppages]:[Material Shortages]])/Table110[[#This Row],['# Stops]])*60,"")</f>
        <v/>
      </c>
      <c r="AZ264" s="219"/>
      <c r="BA264" s="33">
        <v>46291</v>
      </c>
    </row>
    <row r="265" spans="1:53" ht="20.149999999999999" customHeight="1" x14ac:dyDescent="0.35">
      <c r="A265" s="21">
        <v>46282</v>
      </c>
      <c r="B265" s="22" t="str">
        <f t="shared" si="4"/>
        <v>Thursday</v>
      </c>
      <c r="C265" s="22"/>
      <c r="D265" s="23"/>
      <c r="E265" s="24" t="str" cm="1">
        <f t="array" aca="1" ref="E265" ca="1">IFERROR(INDIRECT(D265),"")</f>
        <v/>
      </c>
      <c r="F265" s="25"/>
      <c r="G265" s="26"/>
      <c r="H265" s="27" t="str">
        <f ca="1">IFERROR((Table110[[#This Row],[Plan]]/Table110[[#This Row],[Hours Used]])/(Table110[[#This Row],[SOC (TPD)]]/24),"")</f>
        <v/>
      </c>
      <c r="I265" s="27" t="str">
        <f ca="1">IFERROR((Table110[[#This Row],[Volume Delivered (T)]]/Table110[[#This Row],[Hours Used]])/(Table110[[#This Row],[SOC (TPD)]]/24),"")</f>
        <v/>
      </c>
      <c r="J265" s="28"/>
      <c r="K265" s="28"/>
      <c r="L265" s="28"/>
      <c r="M265" s="25"/>
      <c r="N265" s="29"/>
      <c r="O265" s="84"/>
      <c r="P265" s="25"/>
      <c r="Q265" s="25"/>
      <c r="R265" s="70"/>
      <c r="S265" s="71"/>
      <c r="T265" s="30">
        <f>IF(Table110[[#This Row],[SKU]]="",0,24-Table110[[#This Row],[Legal Non-Operating Time]]-Table110[[#This Row],[No Demand Time]]-Table110[[#This Row],[Force Majeure]])</f>
        <v>0</v>
      </c>
      <c r="U265" s="26"/>
      <c r="V265" s="26"/>
      <c r="W265" s="26"/>
      <c r="X265" s="26"/>
      <c r="Y265" s="26"/>
      <c r="Z265" s="26"/>
      <c r="AA265" s="26"/>
      <c r="AB265" s="30">
        <f>Table110[[#This Row],[Hours Used]]-SUM(Table110[[#This Row],[Planned Maintenance]:[Start and Finish Production]])</f>
        <v>0</v>
      </c>
      <c r="AC265" s="26"/>
      <c r="AD265" s="26"/>
      <c r="AE265" s="26"/>
      <c r="AF265" s="26"/>
      <c r="AG265" s="26"/>
      <c r="AH265" s="26"/>
      <c r="AI265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65" s="24">
        <f>IFERROR(IF(Table110[[#This Row],[SKU]]="",0,Table110[[#This Row],[Quality Loss (T)]]/(Table110[[#This Row],[SOC (TPD)]]/24)),"")</f>
        <v>0</v>
      </c>
      <c r="AK265" s="31">
        <f>IFERROR(IF(Table110[[#This Row],[SKU]]="",0,Table110[[#This Row],[Volume Delivered (T)]]/(Table110[[#This Row],[SOC (TPD)]]/24)),"")</f>
        <v>0</v>
      </c>
      <c r="AL265" s="31" t="str">
        <f>IFERROR(Table110[[#This Row],[Operating Time]]/Table110[[#This Row],[PRODUCTION HOURS]],"")</f>
        <v/>
      </c>
      <c r="AM265" s="32"/>
      <c r="AN265" s="32"/>
      <c r="AO265" s="32"/>
      <c r="AP265" s="32">
        <v>0</v>
      </c>
      <c r="AQ265" s="32">
        <v>0</v>
      </c>
      <c r="AR265" s="32"/>
      <c r="AS265" s="32" t="str">
        <f>IFERROR(SUMIFS(#REF!,#REF!,'Shift Wise-Data Sheet'!A:A,#REF!,"Samridhi Perk Line")/SUMIFS(#REF!,#REF!,'Shift Wise-Data Sheet'!A:A,#REF!,"Samridhi Perk Line"),"")</f>
        <v/>
      </c>
      <c r="AT265" s="32"/>
      <c r="AU265" s="32"/>
      <c r="AV265" s="211">
        <f>IFERROR(VLOOKUP(Table110[[#This Row],[Date]],'Overweight Data'!A263:G1358,6,FALSE),"")</f>
        <v>0</v>
      </c>
      <c r="AW265" s="221">
        <f>IFERROR(
   IF(
      OR(Table110[[#This Row],[Operating Time]]=0, (Table110[[#This Row],[Operating Time]]/IF(AD265&lt;=1,AD265+1,AD265))*60=0),
      1,
      ((Table110[[#This Row],[Operating Time]])/IF(AD265&lt;=1,AD265+1,AD265))*60
   ),
"_")</f>
        <v>1</v>
      </c>
      <c r="AX265" s="221">
        <f>COUNTIFS('Downtime Data'!A:A,Table110[[#This Row],[Date]])</f>
        <v>0</v>
      </c>
      <c r="AY265" s="219" t="str">
        <f>IFERROR((SUM(Table110[[#This Row],[Minor Stoppages]:[Material Shortages]])/Table110[[#This Row],['# Stops]])*60,"")</f>
        <v/>
      </c>
      <c r="AZ265" s="219"/>
      <c r="BA265" s="33">
        <v>46291</v>
      </c>
    </row>
    <row r="266" spans="1:53" ht="20.149999999999999" customHeight="1" x14ac:dyDescent="0.35">
      <c r="A266" s="21">
        <v>46283</v>
      </c>
      <c r="B266" s="22" t="str">
        <f t="shared" si="4"/>
        <v>Friday</v>
      </c>
      <c r="C266" s="22"/>
      <c r="D266" s="23"/>
      <c r="E266" s="24" t="str" cm="1">
        <f t="array" aca="1" ref="E266" ca="1">IFERROR(INDIRECT(D266),"")</f>
        <v/>
      </c>
      <c r="F266" s="25"/>
      <c r="G266" s="26"/>
      <c r="H266" s="27" t="str">
        <f ca="1">IFERROR((Table110[[#This Row],[Plan]]/Table110[[#This Row],[Hours Used]])/(Table110[[#This Row],[SOC (TPD)]]/24),"")</f>
        <v/>
      </c>
      <c r="I266" s="27" t="str">
        <f ca="1">IFERROR((Table110[[#This Row],[Volume Delivered (T)]]/Table110[[#This Row],[Hours Used]])/(Table110[[#This Row],[SOC (TPD)]]/24),"")</f>
        <v/>
      </c>
      <c r="J266" s="28"/>
      <c r="K266" s="28"/>
      <c r="L266" s="28"/>
      <c r="M266" s="25"/>
      <c r="N266" s="29"/>
      <c r="O266" s="84"/>
      <c r="P266" s="25"/>
      <c r="Q266" s="25"/>
      <c r="R266" s="70"/>
      <c r="S266" s="71"/>
      <c r="T266" s="30">
        <f>IF(Table110[[#This Row],[SKU]]="",0,24-Table110[[#This Row],[Legal Non-Operating Time]]-Table110[[#This Row],[No Demand Time]]-Table110[[#This Row],[Force Majeure]])</f>
        <v>0</v>
      </c>
      <c r="U266" s="26"/>
      <c r="V266" s="26"/>
      <c r="W266" s="26"/>
      <c r="X266" s="26"/>
      <c r="Y266" s="26"/>
      <c r="Z266" s="26"/>
      <c r="AA266" s="26"/>
      <c r="AB266" s="30">
        <f>Table110[[#This Row],[Hours Used]]-SUM(Table110[[#This Row],[Planned Maintenance]:[Start and Finish Production]])</f>
        <v>0</v>
      </c>
      <c r="AC266" s="26"/>
      <c r="AD266" s="26"/>
      <c r="AE266" s="26"/>
      <c r="AF266" s="26"/>
      <c r="AG266" s="26"/>
      <c r="AH266" s="26"/>
      <c r="AI266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66" s="24">
        <f>IFERROR(IF(Table110[[#This Row],[SKU]]="",0,Table110[[#This Row],[Quality Loss (T)]]/(Table110[[#This Row],[SOC (TPD)]]/24)),"")</f>
        <v>0</v>
      </c>
      <c r="AK266" s="31">
        <f>IFERROR(IF(Table110[[#This Row],[SKU]]="",0,Table110[[#This Row],[Volume Delivered (T)]]/(Table110[[#This Row],[SOC (TPD)]]/24)),"")</f>
        <v>0</v>
      </c>
      <c r="AL266" s="31" t="str">
        <f>IFERROR(Table110[[#This Row],[Operating Time]]/Table110[[#This Row],[PRODUCTION HOURS]],"")</f>
        <v/>
      </c>
      <c r="AM266" s="32"/>
      <c r="AN266" s="32"/>
      <c r="AO266" s="32"/>
      <c r="AP266" s="32">
        <v>0</v>
      </c>
      <c r="AQ266" s="32">
        <v>0</v>
      </c>
      <c r="AR266" s="32"/>
      <c r="AS266" s="32" t="str">
        <f>IFERROR(SUMIFS(#REF!,#REF!,'Shift Wise-Data Sheet'!A:A,#REF!,"Samridhi Perk Line")/SUMIFS(#REF!,#REF!,'Shift Wise-Data Sheet'!A:A,#REF!,"Samridhi Perk Line"),"")</f>
        <v/>
      </c>
      <c r="AT266" s="32"/>
      <c r="AU266" s="32"/>
      <c r="AV266" s="211">
        <f>IFERROR(VLOOKUP(Table110[[#This Row],[Date]],'Overweight Data'!A264:G1359,6,FALSE),"")</f>
        <v>0</v>
      </c>
      <c r="AW266" s="221">
        <f>IFERROR(
   IF(
      OR(Table110[[#This Row],[Operating Time]]=0, (Table110[[#This Row],[Operating Time]]/IF(AD266&lt;=1,AD266+1,AD266))*60=0),
      1,
      ((Table110[[#This Row],[Operating Time]])/IF(AD266&lt;=1,AD266+1,AD266))*60
   ),
"_")</f>
        <v>1</v>
      </c>
      <c r="AX266" s="221">
        <f>COUNTIFS('Downtime Data'!A:A,Table110[[#This Row],[Date]])</f>
        <v>0</v>
      </c>
      <c r="AY266" s="219" t="str">
        <f>IFERROR((SUM(Table110[[#This Row],[Minor Stoppages]:[Material Shortages]])/Table110[[#This Row],['# Stops]])*60,"")</f>
        <v/>
      </c>
      <c r="AZ266" s="219"/>
      <c r="BA266" s="33">
        <v>46291</v>
      </c>
    </row>
    <row r="267" spans="1:53" ht="20.149999999999999" customHeight="1" x14ac:dyDescent="0.35">
      <c r="A267" s="21">
        <v>46284</v>
      </c>
      <c r="B267" s="22" t="str">
        <f t="shared" ref="B267:B330" si="5">IF(A267="","",TEXT(A267,"dddddd"))</f>
        <v>Saturday</v>
      </c>
      <c r="C267" s="22"/>
      <c r="D267" s="23"/>
      <c r="E267" s="24" t="str" cm="1">
        <f t="array" aca="1" ref="E267" ca="1">IFERROR(INDIRECT(D267),"")</f>
        <v/>
      </c>
      <c r="F267" s="25"/>
      <c r="G267" s="26"/>
      <c r="H267" s="27" t="str">
        <f ca="1">IFERROR((Table110[[#This Row],[Plan]]/Table110[[#This Row],[Hours Used]])/(Table110[[#This Row],[SOC (TPD)]]/24),"")</f>
        <v/>
      </c>
      <c r="I267" s="27" t="str">
        <f ca="1">IFERROR((Table110[[#This Row],[Volume Delivered (T)]]/Table110[[#This Row],[Hours Used]])/(Table110[[#This Row],[SOC (TPD)]]/24),"")</f>
        <v/>
      </c>
      <c r="J267" s="28"/>
      <c r="K267" s="28"/>
      <c r="L267" s="28"/>
      <c r="M267" s="25"/>
      <c r="N267" s="29"/>
      <c r="O267" s="84"/>
      <c r="P267" s="25"/>
      <c r="Q267" s="25"/>
      <c r="R267" s="70"/>
      <c r="S267" s="71"/>
      <c r="T267" s="30">
        <f>IF(Table110[[#This Row],[SKU]]="",0,24-Table110[[#This Row],[Legal Non-Operating Time]]-Table110[[#This Row],[No Demand Time]]-Table110[[#This Row],[Force Majeure]])</f>
        <v>0</v>
      </c>
      <c r="U267" s="26"/>
      <c r="V267" s="26"/>
      <c r="W267" s="26"/>
      <c r="X267" s="26"/>
      <c r="Y267" s="26"/>
      <c r="Z267" s="26"/>
      <c r="AA267" s="26"/>
      <c r="AB267" s="30">
        <f>Table110[[#This Row],[Hours Used]]-SUM(Table110[[#This Row],[Planned Maintenance]:[Start and Finish Production]])</f>
        <v>0</v>
      </c>
      <c r="AC267" s="26"/>
      <c r="AD267" s="26"/>
      <c r="AE267" s="26"/>
      <c r="AF267" s="26"/>
      <c r="AG267" s="26"/>
      <c r="AH267" s="26"/>
      <c r="AI267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67" s="24">
        <f>IFERROR(IF(Table110[[#This Row],[SKU]]="",0,Table110[[#This Row],[Quality Loss (T)]]/(Table110[[#This Row],[SOC (TPD)]]/24)),"")</f>
        <v>0</v>
      </c>
      <c r="AK267" s="31">
        <f>IFERROR(IF(Table110[[#This Row],[SKU]]="",0,Table110[[#This Row],[Volume Delivered (T)]]/(Table110[[#This Row],[SOC (TPD)]]/24)),"")</f>
        <v>0</v>
      </c>
      <c r="AL267" s="31" t="str">
        <f>IFERROR(Table110[[#This Row],[Operating Time]]/Table110[[#This Row],[PRODUCTION HOURS]],"")</f>
        <v/>
      </c>
      <c r="AM267" s="32"/>
      <c r="AN267" s="32"/>
      <c r="AO267" s="32"/>
      <c r="AP267" s="32">
        <v>17</v>
      </c>
      <c r="AQ267" s="32">
        <v>0</v>
      </c>
      <c r="AR267" s="32"/>
      <c r="AS267" s="32" t="str">
        <f>IFERROR(SUMIFS(#REF!,#REF!,'Shift Wise-Data Sheet'!A:A,#REF!,"Samridhi Perk Line")/SUMIFS(#REF!,#REF!,'Shift Wise-Data Sheet'!A:A,#REF!,"Samridhi Perk Line"),"")</f>
        <v/>
      </c>
      <c r="AT267" s="32"/>
      <c r="AU267" s="32"/>
      <c r="AV267" s="211">
        <f>IFERROR(VLOOKUP(Table110[[#This Row],[Date]],'Overweight Data'!A265:G1360,6,FALSE),"")</f>
        <v>0</v>
      </c>
      <c r="AW267" s="221">
        <f>IFERROR(
   IF(
      OR(Table110[[#This Row],[Operating Time]]=0, (Table110[[#This Row],[Operating Time]]/IF(AD267&lt;=1,AD267+1,AD267))*60=0),
      1,
      ((Table110[[#This Row],[Operating Time]])/IF(AD267&lt;=1,AD267+1,AD267))*60
   ),
"_")</f>
        <v>1</v>
      </c>
      <c r="AX267" s="221">
        <f>COUNTIFS('Downtime Data'!A:A,Table110[[#This Row],[Date]])</f>
        <v>0</v>
      </c>
      <c r="AY267" s="219" t="str">
        <f>IFERROR((SUM(Table110[[#This Row],[Minor Stoppages]:[Material Shortages]])/Table110[[#This Row],['# Stops]])*60,"")</f>
        <v/>
      </c>
      <c r="AZ267" s="219"/>
      <c r="BA267" s="33">
        <v>46291</v>
      </c>
    </row>
    <row r="268" spans="1:53" ht="20.149999999999999" customHeight="1" x14ac:dyDescent="0.35">
      <c r="A268" s="21">
        <v>46285</v>
      </c>
      <c r="B268" s="22" t="str">
        <f t="shared" si="5"/>
        <v>Sunday</v>
      </c>
      <c r="C268" s="22"/>
      <c r="D268" s="23"/>
      <c r="E268" s="24" t="str" cm="1">
        <f t="array" aca="1" ref="E268" ca="1">IFERROR(INDIRECT(D268),"")</f>
        <v/>
      </c>
      <c r="F268" s="25"/>
      <c r="G268" s="26"/>
      <c r="H268" s="27" t="str">
        <f ca="1">IFERROR((Table110[[#This Row],[Plan]]/Table110[[#This Row],[Hours Used]])/(Table110[[#This Row],[SOC (TPD)]]/24),"")</f>
        <v/>
      </c>
      <c r="I268" s="27" t="str">
        <f ca="1">IFERROR((Table110[[#This Row],[Volume Delivered (T)]]/Table110[[#This Row],[Hours Used]])/(Table110[[#This Row],[SOC (TPD)]]/24),"")</f>
        <v/>
      </c>
      <c r="J268" s="28"/>
      <c r="K268" s="28"/>
      <c r="L268" s="28"/>
      <c r="M268" s="25"/>
      <c r="N268" s="29"/>
      <c r="O268" s="84"/>
      <c r="P268" s="25"/>
      <c r="Q268" s="25"/>
      <c r="R268" s="70"/>
      <c r="S268" s="71"/>
      <c r="T268" s="30">
        <f>IF(Table110[[#This Row],[SKU]]="",0,24-Table110[[#This Row],[Legal Non-Operating Time]]-Table110[[#This Row],[No Demand Time]]-Table110[[#This Row],[Force Majeure]])</f>
        <v>0</v>
      </c>
      <c r="U268" s="26"/>
      <c r="V268" s="26"/>
      <c r="W268" s="26"/>
      <c r="X268" s="26"/>
      <c r="Y268" s="26"/>
      <c r="Z268" s="26"/>
      <c r="AA268" s="26"/>
      <c r="AB268" s="30">
        <f>Table110[[#This Row],[Hours Used]]-SUM(Table110[[#This Row],[Planned Maintenance]:[Start and Finish Production]])</f>
        <v>0</v>
      </c>
      <c r="AC268" s="26"/>
      <c r="AD268" s="26"/>
      <c r="AE268" s="26"/>
      <c r="AF268" s="26"/>
      <c r="AG268" s="26"/>
      <c r="AH268" s="26"/>
      <c r="AI268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68" s="24">
        <f>IFERROR(IF(Table110[[#This Row],[SKU]]="",0,Table110[[#This Row],[Quality Loss (T)]]/(Table110[[#This Row],[SOC (TPD)]]/24)),"")</f>
        <v>0</v>
      </c>
      <c r="AK268" s="31">
        <f>IFERROR(IF(Table110[[#This Row],[SKU]]="",0,Table110[[#This Row],[Volume Delivered (T)]]/(Table110[[#This Row],[SOC (TPD)]]/24)),"")</f>
        <v>0</v>
      </c>
      <c r="AL268" s="31" t="str">
        <f>IFERROR(Table110[[#This Row],[Operating Time]]/Table110[[#This Row],[PRODUCTION HOURS]],"")</f>
        <v/>
      </c>
      <c r="AM268" s="32"/>
      <c r="AN268" s="32"/>
      <c r="AO268" s="32"/>
      <c r="AP268" s="32">
        <v>10</v>
      </c>
      <c r="AQ268" s="32">
        <v>0</v>
      </c>
      <c r="AR268" s="32"/>
      <c r="AS268" s="32" t="str">
        <f>IFERROR(SUMIFS(#REF!,#REF!,'Shift Wise-Data Sheet'!A:A,#REF!,"Samridhi Perk Line")/SUMIFS(#REF!,#REF!,'Shift Wise-Data Sheet'!A:A,#REF!,"Samridhi Perk Line"),"")</f>
        <v/>
      </c>
      <c r="AT268" s="32"/>
      <c r="AU268" s="32"/>
      <c r="AV268" s="211">
        <f>IFERROR(VLOOKUP(Table110[[#This Row],[Date]],'Overweight Data'!A266:G1361,6,FALSE),"")</f>
        <v>0</v>
      </c>
      <c r="AW268" s="221">
        <f>IFERROR(
   IF(
      OR(Table110[[#This Row],[Operating Time]]=0, (Table110[[#This Row],[Operating Time]]/IF(AD268&lt;=1,AD268+1,AD268))*60=0),
      1,
      ((Table110[[#This Row],[Operating Time]])/IF(AD268&lt;=1,AD268+1,AD268))*60
   ),
"_")</f>
        <v>1</v>
      </c>
      <c r="AX268" s="221">
        <f>COUNTIFS('Downtime Data'!A:A,Table110[[#This Row],[Date]])</f>
        <v>0</v>
      </c>
      <c r="AY268" s="219" t="str">
        <f>IFERROR((SUM(Table110[[#This Row],[Minor Stoppages]:[Material Shortages]])/Table110[[#This Row],['# Stops]])*60,"")</f>
        <v/>
      </c>
      <c r="AZ268" s="219"/>
      <c r="BA268" s="33">
        <v>46291</v>
      </c>
    </row>
    <row r="269" spans="1:53" ht="20.149999999999999" customHeight="1" x14ac:dyDescent="0.35">
      <c r="A269" s="21">
        <v>46286</v>
      </c>
      <c r="B269" s="22" t="str">
        <f t="shared" si="5"/>
        <v>Monday</v>
      </c>
      <c r="C269" s="22"/>
      <c r="D269" s="23"/>
      <c r="E269" s="24" t="str" cm="1">
        <f t="array" aca="1" ref="E269" ca="1">IFERROR(INDIRECT(D269),"")</f>
        <v/>
      </c>
      <c r="F269" s="25"/>
      <c r="G269" s="26"/>
      <c r="H269" s="27" t="str">
        <f ca="1">IFERROR((Table110[[#This Row],[Plan]]/Table110[[#This Row],[Hours Used]])/(Table110[[#This Row],[SOC (TPD)]]/24),"")</f>
        <v/>
      </c>
      <c r="I269" s="27" t="str">
        <f ca="1">IFERROR((Table110[[#This Row],[Volume Delivered (T)]]/Table110[[#This Row],[Hours Used]])/(Table110[[#This Row],[SOC (TPD)]]/24),"")</f>
        <v/>
      </c>
      <c r="J269" s="28"/>
      <c r="K269" s="28"/>
      <c r="L269" s="28"/>
      <c r="M269" s="25"/>
      <c r="N269" s="29"/>
      <c r="O269" s="84"/>
      <c r="P269" s="25"/>
      <c r="Q269" s="25"/>
      <c r="R269" s="70"/>
      <c r="S269" s="71"/>
      <c r="T269" s="30">
        <f>IF(Table110[[#This Row],[SKU]]="",0,24-Table110[[#This Row],[Legal Non-Operating Time]]-Table110[[#This Row],[No Demand Time]]-Table110[[#This Row],[Force Majeure]])</f>
        <v>0</v>
      </c>
      <c r="U269" s="26"/>
      <c r="V269" s="26"/>
      <c r="W269" s="26"/>
      <c r="X269" s="26"/>
      <c r="Y269" s="26"/>
      <c r="Z269" s="26"/>
      <c r="AA269" s="26"/>
      <c r="AB269" s="30">
        <f>Table110[[#This Row],[Hours Used]]-SUM(Table110[[#This Row],[Planned Maintenance]:[Start and Finish Production]])</f>
        <v>0</v>
      </c>
      <c r="AC269" s="26"/>
      <c r="AD269" s="26"/>
      <c r="AE269" s="26"/>
      <c r="AF269" s="26"/>
      <c r="AG269" s="26"/>
      <c r="AH269" s="26"/>
      <c r="AI269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69" s="24">
        <f>IFERROR(IF(Table110[[#This Row],[SKU]]="",0,Table110[[#This Row],[Quality Loss (T)]]/(Table110[[#This Row],[SOC (TPD)]]/24)),"")</f>
        <v>0</v>
      </c>
      <c r="AK269" s="31">
        <f>IFERROR(IF(Table110[[#This Row],[SKU]]="",0,Table110[[#This Row],[Volume Delivered (T)]]/(Table110[[#This Row],[SOC (TPD)]]/24)),"")</f>
        <v>0</v>
      </c>
      <c r="AL269" s="31" t="str">
        <f>IFERROR(Table110[[#This Row],[Operating Time]]/Table110[[#This Row],[PRODUCTION HOURS]],"")</f>
        <v/>
      </c>
      <c r="AM269" s="32"/>
      <c r="AN269" s="32"/>
      <c r="AO269" s="32"/>
      <c r="AP269" s="32">
        <v>0</v>
      </c>
      <c r="AQ269" s="32">
        <v>0</v>
      </c>
      <c r="AR269" s="32"/>
      <c r="AS269" s="32" t="str">
        <f>IFERROR(SUMIFS(#REF!,#REF!,'Shift Wise-Data Sheet'!A:A,#REF!,"Samridhi Perk Line")/SUMIFS(#REF!,#REF!,'Shift Wise-Data Sheet'!A:A,#REF!,"Samridhi Perk Line"),"")</f>
        <v/>
      </c>
      <c r="AT269" s="32"/>
      <c r="AU269" s="32"/>
      <c r="AV269" s="211">
        <f>IFERROR(VLOOKUP(Table110[[#This Row],[Date]],'Overweight Data'!A267:G1362,6,FALSE),"")</f>
        <v>0</v>
      </c>
      <c r="AW269" s="221">
        <f>IFERROR(
   IF(
      OR(Table110[[#This Row],[Operating Time]]=0, (Table110[[#This Row],[Operating Time]]/IF(AD269&lt;=1,AD269+1,AD269))*60=0),
      1,
      ((Table110[[#This Row],[Operating Time]])/IF(AD269&lt;=1,AD269+1,AD269))*60
   ),
"_")</f>
        <v>1</v>
      </c>
      <c r="AX269" s="221">
        <f>COUNTIFS('Downtime Data'!A:A,Table110[[#This Row],[Date]])</f>
        <v>0</v>
      </c>
      <c r="AY269" s="219" t="str">
        <f>IFERROR((SUM(Table110[[#This Row],[Minor Stoppages]:[Material Shortages]])/Table110[[#This Row],['# Stops]])*60,"")</f>
        <v/>
      </c>
      <c r="AZ269" s="219"/>
      <c r="BA269" s="33">
        <v>46291</v>
      </c>
    </row>
    <row r="270" spans="1:53" ht="20.149999999999999" customHeight="1" x14ac:dyDescent="0.35">
      <c r="A270" s="21">
        <v>46287</v>
      </c>
      <c r="B270" s="22" t="str">
        <f t="shared" si="5"/>
        <v>Tuesday</v>
      </c>
      <c r="C270" s="22"/>
      <c r="D270" s="23"/>
      <c r="E270" s="24" t="str" cm="1">
        <f t="array" aca="1" ref="E270" ca="1">IFERROR(INDIRECT(D270),"")</f>
        <v/>
      </c>
      <c r="F270" s="25"/>
      <c r="G270" s="26"/>
      <c r="H270" s="27" t="str">
        <f ca="1">IFERROR((Table110[[#This Row],[Plan]]/Table110[[#This Row],[Hours Used]])/(Table110[[#This Row],[SOC (TPD)]]/24),"")</f>
        <v/>
      </c>
      <c r="I270" s="27" t="str">
        <f ca="1">IFERROR((Table110[[#This Row],[Volume Delivered (T)]]/Table110[[#This Row],[Hours Used]])/(Table110[[#This Row],[SOC (TPD)]]/24),"")</f>
        <v/>
      </c>
      <c r="J270" s="28"/>
      <c r="K270" s="28"/>
      <c r="L270" s="28"/>
      <c r="M270" s="25"/>
      <c r="N270" s="29"/>
      <c r="O270" s="84"/>
      <c r="P270" s="25"/>
      <c r="Q270" s="25"/>
      <c r="R270" s="70"/>
      <c r="S270" s="71"/>
      <c r="T270" s="30">
        <f>IF(Table110[[#This Row],[SKU]]="",0,24-Table110[[#This Row],[Legal Non-Operating Time]]-Table110[[#This Row],[No Demand Time]]-Table110[[#This Row],[Force Majeure]])</f>
        <v>0</v>
      </c>
      <c r="U270" s="26"/>
      <c r="V270" s="26"/>
      <c r="W270" s="26"/>
      <c r="X270" s="26"/>
      <c r="Y270" s="26"/>
      <c r="Z270" s="26"/>
      <c r="AA270" s="26"/>
      <c r="AB270" s="30">
        <f>Table110[[#This Row],[Hours Used]]-SUM(Table110[[#This Row],[Planned Maintenance]:[Start and Finish Production]])</f>
        <v>0</v>
      </c>
      <c r="AC270" s="26"/>
      <c r="AD270" s="26"/>
      <c r="AE270" s="26"/>
      <c r="AF270" s="26"/>
      <c r="AG270" s="26"/>
      <c r="AH270" s="26"/>
      <c r="AI270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70" s="24">
        <f>IFERROR(IF(Table110[[#This Row],[SKU]]="",0,Table110[[#This Row],[Quality Loss (T)]]/(Table110[[#This Row],[SOC (TPD)]]/24)),"")</f>
        <v>0</v>
      </c>
      <c r="AK270" s="31">
        <f>IFERROR(IF(Table110[[#This Row],[SKU]]="",0,Table110[[#This Row],[Volume Delivered (T)]]/(Table110[[#This Row],[SOC (TPD)]]/24)),"")</f>
        <v>0</v>
      </c>
      <c r="AL270" s="31" t="str">
        <f>IFERROR(Table110[[#This Row],[Operating Time]]/Table110[[#This Row],[PRODUCTION HOURS]],"")</f>
        <v/>
      </c>
      <c r="AM270" s="32"/>
      <c r="AN270" s="32"/>
      <c r="AO270" s="32"/>
      <c r="AP270" s="32">
        <v>0</v>
      </c>
      <c r="AQ270" s="32">
        <v>0</v>
      </c>
      <c r="AR270" s="32"/>
      <c r="AS270" s="32" t="str">
        <f>IFERROR(SUMIFS(#REF!,#REF!,'Shift Wise-Data Sheet'!A:A,#REF!,"Samridhi Perk Line")/SUMIFS(#REF!,#REF!,'Shift Wise-Data Sheet'!A:A,#REF!,"Samridhi Perk Line"),"")</f>
        <v/>
      </c>
      <c r="AT270" s="32"/>
      <c r="AU270" s="32"/>
      <c r="AV270" s="211">
        <f>IFERROR(VLOOKUP(Table110[[#This Row],[Date]],'Overweight Data'!A268:G1363,6,FALSE),"")</f>
        <v>0</v>
      </c>
      <c r="AW270" s="221">
        <f>IFERROR(
   IF(
      OR(Table110[[#This Row],[Operating Time]]=0, (Table110[[#This Row],[Operating Time]]/IF(AD270&lt;=1,AD270+1,AD270))*60=0),
      1,
      ((Table110[[#This Row],[Operating Time]])/IF(AD270&lt;=1,AD270+1,AD270))*60
   ),
"_")</f>
        <v>1</v>
      </c>
      <c r="AX270" s="221">
        <f>COUNTIFS('Downtime Data'!A:A,Table110[[#This Row],[Date]])</f>
        <v>0</v>
      </c>
      <c r="AY270" s="219" t="str">
        <f>IFERROR((SUM(Table110[[#This Row],[Minor Stoppages]:[Material Shortages]])/Table110[[#This Row],['# Stops]])*60,"")</f>
        <v/>
      </c>
      <c r="AZ270" s="219"/>
      <c r="BA270" s="33">
        <v>46291</v>
      </c>
    </row>
    <row r="271" spans="1:53" ht="20.149999999999999" customHeight="1" x14ac:dyDescent="0.35">
      <c r="A271" s="21">
        <v>46288</v>
      </c>
      <c r="B271" s="22" t="str">
        <f t="shared" si="5"/>
        <v>Wednesday</v>
      </c>
      <c r="C271" s="22"/>
      <c r="D271" s="23"/>
      <c r="E271" s="24" t="str" cm="1">
        <f t="array" aca="1" ref="E271" ca="1">IFERROR(INDIRECT(D271),"")</f>
        <v/>
      </c>
      <c r="F271" s="25"/>
      <c r="G271" s="26"/>
      <c r="H271" s="27" t="str">
        <f ca="1">IFERROR((Table110[[#This Row],[Plan]]/Table110[[#This Row],[Hours Used]])/(Table110[[#This Row],[SOC (TPD)]]/24),"")</f>
        <v/>
      </c>
      <c r="I271" s="27" t="str">
        <f ca="1">IFERROR((Table110[[#This Row],[Volume Delivered (T)]]/Table110[[#This Row],[Hours Used]])/(Table110[[#This Row],[SOC (TPD)]]/24),"")</f>
        <v/>
      </c>
      <c r="J271" s="28"/>
      <c r="K271" s="28"/>
      <c r="L271" s="28"/>
      <c r="M271" s="25"/>
      <c r="N271" s="29"/>
      <c r="O271" s="84"/>
      <c r="P271" s="25"/>
      <c r="Q271" s="25"/>
      <c r="R271" s="70"/>
      <c r="S271" s="71"/>
      <c r="T271" s="30">
        <f>IF(Table110[[#This Row],[SKU]]="",0,24-Table110[[#This Row],[Legal Non-Operating Time]]-Table110[[#This Row],[No Demand Time]]-Table110[[#This Row],[Force Majeure]])</f>
        <v>0</v>
      </c>
      <c r="U271" s="26"/>
      <c r="V271" s="26"/>
      <c r="W271" s="26"/>
      <c r="X271" s="26"/>
      <c r="Y271" s="26"/>
      <c r="Z271" s="26"/>
      <c r="AA271" s="26"/>
      <c r="AB271" s="30">
        <f>Table110[[#This Row],[Hours Used]]-SUM(Table110[[#This Row],[Planned Maintenance]:[Start and Finish Production]])</f>
        <v>0</v>
      </c>
      <c r="AC271" s="26"/>
      <c r="AD271" s="26"/>
      <c r="AE271" s="26"/>
      <c r="AF271" s="26"/>
      <c r="AG271" s="26"/>
      <c r="AH271" s="26"/>
      <c r="AI271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71" s="24">
        <f>IFERROR(IF(Table110[[#This Row],[SKU]]="",0,Table110[[#This Row],[Quality Loss (T)]]/(Table110[[#This Row],[SOC (TPD)]]/24)),"")</f>
        <v>0</v>
      </c>
      <c r="AK271" s="31">
        <f>IFERROR(IF(Table110[[#This Row],[SKU]]="",0,Table110[[#This Row],[Volume Delivered (T)]]/(Table110[[#This Row],[SOC (TPD)]]/24)),"")</f>
        <v>0</v>
      </c>
      <c r="AL271" s="31" t="str">
        <f>IFERROR(Table110[[#This Row],[Operating Time]]/Table110[[#This Row],[PRODUCTION HOURS]],"")</f>
        <v/>
      </c>
      <c r="AM271" s="32"/>
      <c r="AN271" s="32"/>
      <c r="AO271" s="32"/>
      <c r="AP271" s="32">
        <v>0</v>
      </c>
      <c r="AQ271" s="32">
        <v>0</v>
      </c>
      <c r="AR271" s="32"/>
      <c r="AS271" s="32" t="str">
        <f>IFERROR(SUMIFS(#REF!,#REF!,'Shift Wise-Data Sheet'!A:A,#REF!,"Samridhi Perk Line")/SUMIFS(#REF!,#REF!,'Shift Wise-Data Sheet'!A:A,#REF!,"Samridhi Perk Line"),"")</f>
        <v/>
      </c>
      <c r="AT271" s="32"/>
      <c r="AU271" s="32"/>
      <c r="AV271" s="211">
        <f>IFERROR(VLOOKUP(Table110[[#This Row],[Date]],'Overweight Data'!A269:G1364,6,FALSE),"")</f>
        <v>0</v>
      </c>
      <c r="AW271" s="221">
        <f>IFERROR(
   IF(
      OR(Table110[[#This Row],[Operating Time]]=0, (Table110[[#This Row],[Operating Time]]/IF(AD271&lt;=1,AD271+1,AD271))*60=0),
      1,
      ((Table110[[#This Row],[Operating Time]])/IF(AD271&lt;=1,AD271+1,AD271))*60
   ),
"_")</f>
        <v>1</v>
      </c>
      <c r="AX271" s="221">
        <f>COUNTIFS('Downtime Data'!A:A,Table110[[#This Row],[Date]])</f>
        <v>0</v>
      </c>
      <c r="AY271" s="219" t="str">
        <f>IFERROR((SUM(Table110[[#This Row],[Minor Stoppages]:[Material Shortages]])/Table110[[#This Row],['# Stops]])*60,"")</f>
        <v/>
      </c>
      <c r="AZ271" s="219"/>
      <c r="BA271" s="33">
        <v>46291</v>
      </c>
    </row>
    <row r="272" spans="1:53" ht="20.149999999999999" customHeight="1" x14ac:dyDescent="0.35">
      <c r="A272" s="21">
        <v>46289</v>
      </c>
      <c r="B272" s="22" t="str">
        <f t="shared" si="5"/>
        <v>Thursday</v>
      </c>
      <c r="C272" s="22"/>
      <c r="D272" s="23"/>
      <c r="E272" s="24" t="str" cm="1">
        <f t="array" aca="1" ref="E272" ca="1">IFERROR(INDIRECT(D272),"")</f>
        <v/>
      </c>
      <c r="F272" s="25"/>
      <c r="G272" s="26"/>
      <c r="H272" s="27" t="str">
        <f ca="1">IFERROR((Table110[[#This Row],[Plan]]/Table110[[#This Row],[Hours Used]])/(Table110[[#This Row],[SOC (TPD)]]/24),"")</f>
        <v/>
      </c>
      <c r="I272" s="27" t="str">
        <f ca="1">IFERROR((Table110[[#This Row],[Volume Delivered (T)]]/Table110[[#This Row],[Hours Used]])/(Table110[[#This Row],[SOC (TPD)]]/24),"")</f>
        <v/>
      </c>
      <c r="J272" s="28"/>
      <c r="K272" s="28"/>
      <c r="L272" s="28"/>
      <c r="M272" s="25"/>
      <c r="N272" s="29"/>
      <c r="O272" s="84"/>
      <c r="P272" s="25"/>
      <c r="Q272" s="25"/>
      <c r="R272" s="70"/>
      <c r="S272" s="71"/>
      <c r="T272" s="30">
        <f>IF(Table110[[#This Row],[SKU]]="",0,24-Table110[[#This Row],[Legal Non-Operating Time]]-Table110[[#This Row],[No Demand Time]]-Table110[[#This Row],[Force Majeure]])</f>
        <v>0</v>
      </c>
      <c r="U272" s="26"/>
      <c r="V272" s="26"/>
      <c r="W272" s="26"/>
      <c r="X272" s="26"/>
      <c r="Y272" s="26"/>
      <c r="Z272" s="26"/>
      <c r="AA272" s="26"/>
      <c r="AB272" s="30">
        <f>Table110[[#This Row],[Hours Used]]-SUM(Table110[[#This Row],[Planned Maintenance]:[Start and Finish Production]])</f>
        <v>0</v>
      </c>
      <c r="AC272" s="26"/>
      <c r="AD272" s="26"/>
      <c r="AE272" s="26"/>
      <c r="AF272" s="26"/>
      <c r="AG272" s="26"/>
      <c r="AH272" s="26"/>
      <c r="AI272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72" s="24">
        <f>IFERROR(IF(Table110[[#This Row],[SKU]]="",0,Table110[[#This Row],[Quality Loss (T)]]/(Table110[[#This Row],[SOC (TPD)]]/24)),"")</f>
        <v>0</v>
      </c>
      <c r="AK272" s="31">
        <f>IFERROR(IF(Table110[[#This Row],[SKU]]="",0,Table110[[#This Row],[Volume Delivered (T)]]/(Table110[[#This Row],[SOC (TPD)]]/24)),"")</f>
        <v>0</v>
      </c>
      <c r="AL272" s="31" t="str">
        <f>IFERROR(Table110[[#This Row],[Operating Time]]/Table110[[#This Row],[PRODUCTION HOURS]],"")</f>
        <v/>
      </c>
      <c r="AM272" s="32"/>
      <c r="AN272" s="32"/>
      <c r="AO272" s="32"/>
      <c r="AP272" s="32">
        <v>0</v>
      </c>
      <c r="AQ272" s="32">
        <v>0</v>
      </c>
      <c r="AR272" s="32"/>
      <c r="AS272" s="32" t="str">
        <f>IFERROR(SUMIFS(#REF!,#REF!,'Shift Wise-Data Sheet'!A:A,#REF!,"Samridhi Perk Line")/SUMIFS(#REF!,#REF!,'Shift Wise-Data Sheet'!A:A,#REF!,"Samridhi Perk Line"),"")</f>
        <v/>
      </c>
      <c r="AT272" s="32"/>
      <c r="AU272" s="32"/>
      <c r="AV272" s="211">
        <f>IFERROR(VLOOKUP(Table110[[#This Row],[Date]],'Overweight Data'!A270:G1365,6,FALSE),"")</f>
        <v>0</v>
      </c>
      <c r="AW272" s="221">
        <f>IFERROR(
   IF(
      OR(Table110[[#This Row],[Operating Time]]=0, (Table110[[#This Row],[Operating Time]]/IF(AD272&lt;=1,AD272+1,AD272))*60=0),
      1,
      ((Table110[[#This Row],[Operating Time]])/IF(AD272&lt;=1,AD272+1,AD272))*60
   ),
"_")</f>
        <v>1</v>
      </c>
      <c r="AX272" s="221">
        <f>COUNTIFS('Downtime Data'!A:A,Table110[[#This Row],[Date]])</f>
        <v>0</v>
      </c>
      <c r="AY272" s="219" t="str">
        <f>IFERROR((SUM(Table110[[#This Row],[Minor Stoppages]:[Material Shortages]])/Table110[[#This Row],['# Stops]])*60,"")</f>
        <v/>
      </c>
      <c r="AZ272" s="219"/>
      <c r="BA272" s="33">
        <v>46291</v>
      </c>
    </row>
    <row r="273" spans="1:53" ht="20.149999999999999" customHeight="1" x14ac:dyDescent="0.35">
      <c r="A273" s="21">
        <v>46290</v>
      </c>
      <c r="B273" s="22" t="str">
        <f t="shared" si="5"/>
        <v>Friday</v>
      </c>
      <c r="C273" s="22"/>
      <c r="D273" s="23"/>
      <c r="E273" s="24" t="str" cm="1">
        <f t="array" aca="1" ref="E273" ca="1">IFERROR(INDIRECT(D273),"")</f>
        <v/>
      </c>
      <c r="F273" s="25"/>
      <c r="G273" s="26"/>
      <c r="H273" s="27" t="str">
        <f ca="1">IFERROR((Table110[[#This Row],[Plan]]/Table110[[#This Row],[Hours Used]])/(Table110[[#This Row],[SOC (TPD)]]/24),"")</f>
        <v/>
      </c>
      <c r="I273" s="27" t="str">
        <f ca="1">IFERROR((Table110[[#This Row],[Volume Delivered (T)]]/Table110[[#This Row],[Hours Used]])/(Table110[[#This Row],[SOC (TPD)]]/24),"")</f>
        <v/>
      </c>
      <c r="J273" s="28"/>
      <c r="K273" s="28"/>
      <c r="L273" s="28"/>
      <c r="M273" s="25"/>
      <c r="N273" s="29"/>
      <c r="O273" s="84"/>
      <c r="P273" s="25"/>
      <c r="Q273" s="25"/>
      <c r="R273" s="70"/>
      <c r="S273" s="71"/>
      <c r="T273" s="30">
        <f>IF(Table110[[#This Row],[SKU]]="",0,24-Table110[[#This Row],[Legal Non-Operating Time]]-Table110[[#This Row],[No Demand Time]]-Table110[[#This Row],[Force Majeure]])</f>
        <v>0</v>
      </c>
      <c r="U273" s="26"/>
      <c r="V273" s="26"/>
      <c r="W273" s="26"/>
      <c r="X273" s="26"/>
      <c r="Y273" s="26"/>
      <c r="Z273" s="26"/>
      <c r="AA273" s="26"/>
      <c r="AB273" s="30">
        <f>Table110[[#This Row],[Hours Used]]-SUM(Table110[[#This Row],[Planned Maintenance]:[Start and Finish Production]])</f>
        <v>0</v>
      </c>
      <c r="AC273" s="26"/>
      <c r="AD273" s="26"/>
      <c r="AE273" s="26"/>
      <c r="AF273" s="26"/>
      <c r="AG273" s="26"/>
      <c r="AH273" s="26"/>
      <c r="AI273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73" s="24">
        <f>IFERROR(IF(Table110[[#This Row],[SKU]]="",0,Table110[[#This Row],[Quality Loss (T)]]/(Table110[[#This Row],[SOC (TPD)]]/24)),"")</f>
        <v>0</v>
      </c>
      <c r="AK273" s="31">
        <f>IFERROR(IF(Table110[[#This Row],[SKU]]="",0,Table110[[#This Row],[Volume Delivered (T)]]/(Table110[[#This Row],[SOC (TPD)]]/24)),"")</f>
        <v>0</v>
      </c>
      <c r="AL273" s="31" t="str">
        <f>IFERROR(Table110[[#This Row],[Operating Time]]/Table110[[#This Row],[PRODUCTION HOURS]],"")</f>
        <v/>
      </c>
      <c r="AM273" s="32"/>
      <c r="AN273" s="32"/>
      <c r="AO273" s="32"/>
      <c r="AP273" s="32">
        <v>2</v>
      </c>
      <c r="AQ273" s="32">
        <v>0</v>
      </c>
      <c r="AR273" s="32"/>
      <c r="AS273" s="32" t="str">
        <f>IFERROR(SUMIFS(#REF!,#REF!,'Shift Wise-Data Sheet'!A:A,#REF!,"Samridhi Perk Line")/SUMIFS(#REF!,#REF!,'Shift Wise-Data Sheet'!A:A,#REF!,"Samridhi Perk Line"),"")</f>
        <v/>
      </c>
      <c r="AT273" s="32"/>
      <c r="AU273" s="32"/>
      <c r="AV273" s="211">
        <f>IFERROR(VLOOKUP(Table110[[#This Row],[Date]],'Overweight Data'!A271:G1366,6,FALSE),"")</f>
        <v>0</v>
      </c>
      <c r="AW273" s="221">
        <f>IFERROR(
   IF(
      OR(Table110[[#This Row],[Operating Time]]=0, (Table110[[#This Row],[Operating Time]]/IF(AD273&lt;=1,AD273+1,AD273))*60=0),
      1,
      ((Table110[[#This Row],[Operating Time]])/IF(AD273&lt;=1,AD273+1,AD273))*60
   ),
"_")</f>
        <v>1</v>
      </c>
      <c r="AX273" s="221">
        <f>COUNTIFS('Downtime Data'!A:A,Table110[[#This Row],[Date]])</f>
        <v>0</v>
      </c>
      <c r="AY273" s="219" t="str">
        <f>IFERROR((SUM(Table110[[#This Row],[Minor Stoppages]:[Material Shortages]])/Table110[[#This Row],['# Stops]])*60,"")</f>
        <v/>
      </c>
      <c r="AZ273" s="219"/>
      <c r="BA273" s="33">
        <v>46291</v>
      </c>
    </row>
    <row r="274" spans="1:53" ht="20.149999999999999" customHeight="1" x14ac:dyDescent="0.35">
      <c r="A274" s="21">
        <v>46291</v>
      </c>
      <c r="B274" s="22" t="str">
        <f t="shared" si="5"/>
        <v>Saturday</v>
      </c>
      <c r="C274" s="22"/>
      <c r="D274" s="23"/>
      <c r="E274" s="24" t="str" cm="1">
        <f t="array" aca="1" ref="E274" ca="1">IFERROR(INDIRECT(D274),"")</f>
        <v/>
      </c>
      <c r="F274" s="25"/>
      <c r="G274" s="26"/>
      <c r="H274" s="27" t="str">
        <f ca="1">IFERROR((Table110[[#This Row],[Plan]]/Table110[[#This Row],[Hours Used]])/(Table110[[#This Row],[SOC (TPD)]]/24),"")</f>
        <v/>
      </c>
      <c r="I274" s="27" t="str">
        <f ca="1">IFERROR((Table110[[#This Row],[Volume Delivered (T)]]/Table110[[#This Row],[Hours Used]])/(Table110[[#This Row],[SOC (TPD)]]/24),"")</f>
        <v/>
      </c>
      <c r="J274" s="28"/>
      <c r="K274" s="28"/>
      <c r="L274" s="28"/>
      <c r="M274" s="25"/>
      <c r="N274" s="29"/>
      <c r="O274" s="84"/>
      <c r="P274" s="25"/>
      <c r="Q274" s="25"/>
      <c r="R274" s="70"/>
      <c r="S274" s="71"/>
      <c r="T274" s="30">
        <f>IF(Table110[[#This Row],[SKU]]="",0,24-Table110[[#This Row],[Legal Non-Operating Time]]-Table110[[#This Row],[No Demand Time]]-Table110[[#This Row],[Force Majeure]])</f>
        <v>0</v>
      </c>
      <c r="U274" s="26"/>
      <c r="V274" s="26"/>
      <c r="W274" s="26"/>
      <c r="X274" s="26"/>
      <c r="Y274" s="26"/>
      <c r="Z274" s="26"/>
      <c r="AA274" s="26"/>
      <c r="AB274" s="30">
        <f>Table110[[#This Row],[Hours Used]]-SUM(Table110[[#This Row],[Planned Maintenance]:[Start and Finish Production]])</f>
        <v>0</v>
      </c>
      <c r="AC274" s="26"/>
      <c r="AD274" s="26"/>
      <c r="AE274" s="26"/>
      <c r="AF274" s="26"/>
      <c r="AG274" s="26"/>
      <c r="AH274" s="26"/>
      <c r="AI274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74" s="24">
        <f>IFERROR(IF(Table110[[#This Row],[SKU]]="",0,Table110[[#This Row],[Quality Loss (T)]]/(Table110[[#This Row],[SOC (TPD)]]/24)),"")</f>
        <v>0</v>
      </c>
      <c r="AK274" s="31">
        <f>IFERROR(IF(Table110[[#This Row],[SKU]]="",0,Table110[[#This Row],[Volume Delivered (T)]]/(Table110[[#This Row],[SOC (TPD)]]/24)),"")</f>
        <v>0</v>
      </c>
      <c r="AL274" s="31" t="str">
        <f>IFERROR(Table110[[#This Row],[Operating Time]]/Table110[[#This Row],[PRODUCTION HOURS]],"")</f>
        <v/>
      </c>
      <c r="AM274" s="32"/>
      <c r="AN274" s="32"/>
      <c r="AO274" s="32"/>
      <c r="AP274" s="32">
        <v>1</v>
      </c>
      <c r="AQ274" s="32">
        <v>0</v>
      </c>
      <c r="AR274" s="32"/>
      <c r="AS274" s="32" t="str">
        <f>IFERROR(SUMIFS(#REF!,#REF!,'Shift Wise-Data Sheet'!A:A,#REF!,"Samridhi Perk Line")/SUMIFS(#REF!,#REF!,'Shift Wise-Data Sheet'!A:A,#REF!,"Samridhi Perk Line"),"")</f>
        <v/>
      </c>
      <c r="AT274" s="32"/>
      <c r="AU274" s="32"/>
      <c r="AV274" s="211">
        <f>IFERROR(VLOOKUP(Table110[[#This Row],[Date]],'Overweight Data'!A272:G1367,6,FALSE),"")</f>
        <v>0</v>
      </c>
      <c r="AW274" s="221">
        <f>IFERROR(
   IF(
      OR(Table110[[#This Row],[Operating Time]]=0, (Table110[[#This Row],[Operating Time]]/IF(AD274&lt;=1,AD274+1,AD274))*60=0),
      1,
      ((Table110[[#This Row],[Operating Time]])/IF(AD274&lt;=1,AD274+1,AD274))*60
   ),
"_")</f>
        <v>1</v>
      </c>
      <c r="AX274" s="221">
        <f>COUNTIFS('Downtime Data'!A:A,Table110[[#This Row],[Date]])</f>
        <v>0</v>
      </c>
      <c r="AY274" s="219" t="str">
        <f>IFERROR((SUM(Table110[[#This Row],[Minor Stoppages]:[Material Shortages]])/Table110[[#This Row],['# Stops]])*60,"")</f>
        <v/>
      </c>
      <c r="AZ274" s="219"/>
      <c r="BA274" s="33">
        <v>46291</v>
      </c>
    </row>
    <row r="275" spans="1:53" ht="20.149999999999999" customHeight="1" x14ac:dyDescent="0.35">
      <c r="A275" s="21">
        <v>46292</v>
      </c>
      <c r="B275" s="22" t="str">
        <f t="shared" si="5"/>
        <v>Sunday</v>
      </c>
      <c r="C275" s="22"/>
      <c r="D275" s="23"/>
      <c r="E275" s="24" t="str" cm="1">
        <f t="array" aca="1" ref="E275" ca="1">IFERROR(INDIRECT(D275),"")</f>
        <v/>
      </c>
      <c r="F275" s="25"/>
      <c r="G275" s="26"/>
      <c r="H275" s="27" t="str">
        <f ca="1">IFERROR((Table110[[#This Row],[Plan]]/Table110[[#This Row],[Hours Used]])/(Table110[[#This Row],[SOC (TPD)]]/24),"")</f>
        <v/>
      </c>
      <c r="I275" s="27" t="str">
        <f ca="1">IFERROR((Table110[[#This Row],[Volume Delivered (T)]]/Table110[[#This Row],[Hours Used]])/(Table110[[#This Row],[SOC (TPD)]]/24),"")</f>
        <v/>
      </c>
      <c r="J275" s="28"/>
      <c r="K275" s="28"/>
      <c r="L275" s="28"/>
      <c r="M275" s="25"/>
      <c r="N275" s="29"/>
      <c r="O275" s="84"/>
      <c r="P275" s="25"/>
      <c r="Q275" s="25"/>
      <c r="R275" s="70"/>
      <c r="S275" s="71"/>
      <c r="T275" s="30">
        <f>IF(Table110[[#This Row],[SKU]]="",0,24-Table110[[#This Row],[Legal Non-Operating Time]]-Table110[[#This Row],[No Demand Time]]-Table110[[#This Row],[Force Majeure]])</f>
        <v>0</v>
      </c>
      <c r="U275" s="26"/>
      <c r="V275" s="26"/>
      <c r="W275" s="26"/>
      <c r="X275" s="26"/>
      <c r="Y275" s="26"/>
      <c r="Z275" s="26"/>
      <c r="AA275" s="26"/>
      <c r="AB275" s="30">
        <f>Table110[[#This Row],[Hours Used]]-SUM(Table110[[#This Row],[Planned Maintenance]:[Start and Finish Production]])</f>
        <v>0</v>
      </c>
      <c r="AC275" s="26"/>
      <c r="AD275" s="26"/>
      <c r="AE275" s="26"/>
      <c r="AF275" s="26"/>
      <c r="AG275" s="26"/>
      <c r="AH275" s="26"/>
      <c r="AI275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75" s="24">
        <f>IFERROR(IF(Table110[[#This Row],[SKU]]="",0,Table110[[#This Row],[Quality Loss (T)]]/(Table110[[#This Row],[SOC (TPD)]]/24)),"")</f>
        <v>0</v>
      </c>
      <c r="AK275" s="31">
        <f>IFERROR(IF(Table110[[#This Row],[SKU]]="",0,Table110[[#This Row],[Volume Delivered (T)]]/(Table110[[#This Row],[SOC (TPD)]]/24)),"")</f>
        <v>0</v>
      </c>
      <c r="AL275" s="31" t="str">
        <f>IFERROR(Table110[[#This Row],[Operating Time]]/Table110[[#This Row],[PRODUCTION HOURS]],"")</f>
        <v/>
      </c>
      <c r="AM275" s="32"/>
      <c r="AN275" s="32"/>
      <c r="AO275" s="32"/>
      <c r="AP275" s="32">
        <v>0</v>
      </c>
      <c r="AQ275" s="32">
        <v>0</v>
      </c>
      <c r="AR275" s="32"/>
      <c r="AS275" s="32" t="str">
        <f>IFERROR(SUMIFS(#REF!,#REF!,'Shift Wise-Data Sheet'!A:A,#REF!,"Samridhi Perk Line")/SUMIFS(#REF!,#REF!,'Shift Wise-Data Sheet'!A:A,#REF!,"Samridhi Perk Line"),"")</f>
        <v/>
      </c>
      <c r="AT275" s="32"/>
      <c r="AU275" s="32"/>
      <c r="AV275" s="211">
        <f>IFERROR(VLOOKUP(Table110[[#This Row],[Date]],'Overweight Data'!A273:G1368,6,FALSE),"")</f>
        <v>0</v>
      </c>
      <c r="AW275" s="221">
        <f>IFERROR(
   IF(
      OR(Table110[[#This Row],[Operating Time]]=0, (Table110[[#This Row],[Operating Time]]/IF(AD275&lt;=1,AD275+1,AD275))*60=0),
      1,
      ((Table110[[#This Row],[Operating Time]])/IF(AD275&lt;=1,AD275+1,AD275))*60
   ),
"_")</f>
        <v>1</v>
      </c>
      <c r="AX275" s="221">
        <f>COUNTIFS('Downtime Data'!A:A,Table110[[#This Row],[Date]])</f>
        <v>0</v>
      </c>
      <c r="AY275" s="219" t="str">
        <f>IFERROR((SUM(Table110[[#This Row],[Minor Stoppages]:[Material Shortages]])/Table110[[#This Row],['# Stops]])*60,"")</f>
        <v/>
      </c>
      <c r="AZ275" s="219"/>
      <c r="BA275" s="33">
        <v>46291</v>
      </c>
    </row>
    <row r="276" spans="1:53" ht="20.149999999999999" customHeight="1" x14ac:dyDescent="0.35">
      <c r="A276" s="21">
        <v>46293</v>
      </c>
      <c r="B276" s="22" t="str">
        <f t="shared" si="5"/>
        <v>Monday</v>
      </c>
      <c r="C276" s="22"/>
      <c r="D276" s="23"/>
      <c r="E276" s="24" t="str" cm="1">
        <f t="array" aca="1" ref="E276" ca="1">IFERROR(INDIRECT(D276),"")</f>
        <v/>
      </c>
      <c r="F276" s="25"/>
      <c r="G276" s="26"/>
      <c r="H276" s="27" t="str">
        <f ca="1">IFERROR((Table110[[#This Row],[Plan]]/Table110[[#This Row],[Hours Used]])/(Table110[[#This Row],[SOC (TPD)]]/24),"")</f>
        <v/>
      </c>
      <c r="I276" s="27" t="str">
        <f ca="1">IFERROR((Table110[[#This Row],[Volume Delivered (T)]]/Table110[[#This Row],[Hours Used]])/(Table110[[#This Row],[SOC (TPD)]]/24),"")</f>
        <v/>
      </c>
      <c r="J276" s="28"/>
      <c r="K276" s="28"/>
      <c r="L276" s="28"/>
      <c r="M276" s="25"/>
      <c r="N276" s="29"/>
      <c r="O276" s="84"/>
      <c r="P276" s="25"/>
      <c r="Q276" s="25"/>
      <c r="R276" s="70"/>
      <c r="S276" s="71"/>
      <c r="T276" s="30">
        <f>IF(Table110[[#This Row],[SKU]]="",0,24-Table110[[#This Row],[Legal Non-Operating Time]]-Table110[[#This Row],[No Demand Time]]-Table110[[#This Row],[Force Majeure]])</f>
        <v>0</v>
      </c>
      <c r="U276" s="26"/>
      <c r="V276" s="26"/>
      <c r="W276" s="26"/>
      <c r="X276" s="26"/>
      <c r="Y276" s="26"/>
      <c r="Z276" s="26"/>
      <c r="AA276" s="26"/>
      <c r="AB276" s="30">
        <f>Table110[[#This Row],[Hours Used]]-SUM(Table110[[#This Row],[Planned Maintenance]:[Start and Finish Production]])</f>
        <v>0</v>
      </c>
      <c r="AC276" s="26"/>
      <c r="AD276" s="26"/>
      <c r="AE276" s="26"/>
      <c r="AF276" s="26"/>
      <c r="AG276" s="26"/>
      <c r="AH276" s="26"/>
      <c r="AI276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76" s="24">
        <f>IFERROR(IF(Table110[[#This Row],[SKU]]="",0,Table110[[#This Row],[Quality Loss (T)]]/(Table110[[#This Row],[SOC (TPD)]]/24)),"")</f>
        <v>0</v>
      </c>
      <c r="AK276" s="31">
        <f>IFERROR(IF(Table110[[#This Row],[SKU]]="",0,Table110[[#This Row],[Volume Delivered (T)]]/(Table110[[#This Row],[SOC (TPD)]]/24)),"")</f>
        <v>0</v>
      </c>
      <c r="AL276" s="31" t="str">
        <f>IFERROR(Table110[[#This Row],[Operating Time]]/Table110[[#This Row],[PRODUCTION HOURS]],"")</f>
        <v/>
      </c>
      <c r="AM276" s="32"/>
      <c r="AN276" s="32"/>
      <c r="AO276" s="32"/>
      <c r="AP276" s="32">
        <v>23</v>
      </c>
      <c r="AQ276" s="32">
        <v>0</v>
      </c>
      <c r="AR276" s="32"/>
      <c r="AS276" s="32" t="str">
        <f>IFERROR(SUMIFS(#REF!,#REF!,'Shift Wise-Data Sheet'!A:A,#REF!,"Samridhi Perk Line")/SUMIFS(#REF!,#REF!,'Shift Wise-Data Sheet'!A:A,#REF!,"Samridhi Perk Line"),"")</f>
        <v/>
      </c>
      <c r="AT276" s="32"/>
      <c r="AU276" s="32"/>
      <c r="AV276" s="211">
        <f>IFERROR(VLOOKUP(Table110[[#This Row],[Date]],'Overweight Data'!A274:G1369,6,FALSE),"")</f>
        <v>0</v>
      </c>
      <c r="AW276" s="221">
        <f>IFERROR(
   IF(
      OR(Table110[[#This Row],[Operating Time]]=0, (Table110[[#This Row],[Operating Time]]/IF(AD276&lt;=1,AD276+1,AD276))*60=0),
      1,
      ((Table110[[#This Row],[Operating Time]])/IF(AD276&lt;=1,AD276+1,AD276))*60
   ),
"_")</f>
        <v>1</v>
      </c>
      <c r="AX276" s="221">
        <f>COUNTIFS('Downtime Data'!A:A,Table110[[#This Row],[Date]])</f>
        <v>0</v>
      </c>
      <c r="AY276" s="219" t="str">
        <f>IFERROR((SUM(Table110[[#This Row],[Minor Stoppages]:[Material Shortages]])/Table110[[#This Row],['# Stops]])*60,"")</f>
        <v/>
      </c>
      <c r="AZ276" s="219"/>
      <c r="BA276" s="33">
        <v>46321</v>
      </c>
    </row>
    <row r="277" spans="1:53" ht="20.149999999999999" customHeight="1" x14ac:dyDescent="0.35">
      <c r="A277" s="21">
        <v>46294</v>
      </c>
      <c r="B277" s="22" t="str">
        <f t="shared" si="5"/>
        <v>Tuesday</v>
      </c>
      <c r="C277" s="22"/>
      <c r="D277" s="23"/>
      <c r="E277" s="24" t="str" cm="1">
        <f t="array" aca="1" ref="E277" ca="1">IFERROR(INDIRECT(D277),"")</f>
        <v/>
      </c>
      <c r="F277" s="25"/>
      <c r="G277" s="26"/>
      <c r="H277" s="27" t="str">
        <f ca="1">IFERROR((Table110[[#This Row],[Plan]]/Table110[[#This Row],[Hours Used]])/(Table110[[#This Row],[SOC (TPD)]]/24),"")</f>
        <v/>
      </c>
      <c r="I277" s="27" t="str">
        <f ca="1">IFERROR((Table110[[#This Row],[Volume Delivered (T)]]/Table110[[#This Row],[Hours Used]])/(Table110[[#This Row],[SOC (TPD)]]/24),"")</f>
        <v/>
      </c>
      <c r="J277" s="28"/>
      <c r="K277" s="28"/>
      <c r="L277" s="28"/>
      <c r="M277" s="25"/>
      <c r="N277" s="29"/>
      <c r="O277" s="84"/>
      <c r="P277" s="25"/>
      <c r="Q277" s="25"/>
      <c r="R277" s="70"/>
      <c r="S277" s="71"/>
      <c r="T277" s="30">
        <f>IF(Table110[[#This Row],[SKU]]="",0,24-Table110[[#This Row],[Legal Non-Operating Time]]-Table110[[#This Row],[No Demand Time]]-Table110[[#This Row],[Force Majeure]])</f>
        <v>0</v>
      </c>
      <c r="U277" s="26"/>
      <c r="V277" s="26"/>
      <c r="W277" s="26"/>
      <c r="X277" s="26"/>
      <c r="Y277" s="26"/>
      <c r="Z277" s="26"/>
      <c r="AA277" s="26"/>
      <c r="AB277" s="30">
        <f>Table110[[#This Row],[Hours Used]]-SUM(Table110[[#This Row],[Planned Maintenance]:[Start and Finish Production]])</f>
        <v>0</v>
      </c>
      <c r="AC277" s="26"/>
      <c r="AD277" s="26"/>
      <c r="AE277" s="26"/>
      <c r="AF277" s="26"/>
      <c r="AG277" s="26"/>
      <c r="AH277" s="26"/>
      <c r="AI277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77" s="24">
        <f>IFERROR(IF(Table110[[#This Row],[SKU]]="",0,Table110[[#This Row],[Quality Loss (T)]]/(Table110[[#This Row],[SOC (TPD)]]/24)),"")</f>
        <v>0</v>
      </c>
      <c r="AK277" s="31">
        <f>IFERROR(IF(Table110[[#This Row],[SKU]]="",0,Table110[[#This Row],[Volume Delivered (T)]]/(Table110[[#This Row],[SOC (TPD)]]/24)),"")</f>
        <v>0</v>
      </c>
      <c r="AL277" s="31" t="str">
        <f>IFERROR(Table110[[#This Row],[Operating Time]]/Table110[[#This Row],[PRODUCTION HOURS]],"")</f>
        <v/>
      </c>
      <c r="AM277" s="32"/>
      <c r="AN277" s="32"/>
      <c r="AO277" s="32"/>
      <c r="AP277" s="32">
        <v>25</v>
      </c>
      <c r="AQ277" s="32">
        <v>0</v>
      </c>
      <c r="AR277" s="32"/>
      <c r="AS277" s="32" t="str">
        <f>IFERROR(SUMIFS(#REF!,#REF!,'Shift Wise-Data Sheet'!A:A,#REF!,"Samridhi Perk Line")/SUMIFS(#REF!,#REF!,'Shift Wise-Data Sheet'!A:A,#REF!,"Samridhi Perk Line"),"")</f>
        <v/>
      </c>
      <c r="AT277" s="32"/>
      <c r="AU277" s="32"/>
      <c r="AV277" s="211">
        <f>IFERROR(VLOOKUP(Table110[[#This Row],[Date]],'Overweight Data'!A275:G1370,6,FALSE),"")</f>
        <v>0</v>
      </c>
      <c r="AW277" s="221">
        <f>IFERROR(
   IF(
      OR(Table110[[#This Row],[Operating Time]]=0, (Table110[[#This Row],[Operating Time]]/IF(AD277&lt;=1,AD277+1,AD277))*60=0),
      1,
      ((Table110[[#This Row],[Operating Time]])/IF(AD277&lt;=1,AD277+1,AD277))*60
   ),
"_")</f>
        <v>1</v>
      </c>
      <c r="AX277" s="221">
        <f>COUNTIFS('Downtime Data'!A:A,Table110[[#This Row],[Date]])</f>
        <v>0</v>
      </c>
      <c r="AY277" s="219" t="str">
        <f>IFERROR((SUM(Table110[[#This Row],[Minor Stoppages]:[Material Shortages]])/Table110[[#This Row],['# Stops]])*60,"")</f>
        <v/>
      </c>
      <c r="AZ277" s="219"/>
      <c r="BA277" s="33">
        <v>46321</v>
      </c>
    </row>
    <row r="278" spans="1:53" ht="20.149999999999999" customHeight="1" x14ac:dyDescent="0.35">
      <c r="A278" s="21">
        <v>46295</v>
      </c>
      <c r="B278" s="22" t="str">
        <f t="shared" si="5"/>
        <v>Wednesday</v>
      </c>
      <c r="C278" s="22"/>
      <c r="D278" s="23"/>
      <c r="E278" s="24" t="str" cm="1">
        <f t="array" aca="1" ref="E278" ca="1">IFERROR(INDIRECT(D278),"")</f>
        <v/>
      </c>
      <c r="F278" s="25"/>
      <c r="G278" s="26"/>
      <c r="H278" s="27" t="str">
        <f ca="1">IFERROR((Table110[[#This Row],[Plan]]/Table110[[#This Row],[Hours Used]])/(Table110[[#This Row],[SOC (TPD)]]/24),"")</f>
        <v/>
      </c>
      <c r="I278" s="27" t="str">
        <f ca="1">IFERROR((Table110[[#This Row],[Volume Delivered (T)]]/Table110[[#This Row],[Hours Used]])/(Table110[[#This Row],[SOC (TPD)]]/24),"")</f>
        <v/>
      </c>
      <c r="J278" s="28"/>
      <c r="K278" s="28"/>
      <c r="L278" s="28"/>
      <c r="M278" s="25"/>
      <c r="N278" s="29"/>
      <c r="O278" s="84"/>
      <c r="P278" s="25"/>
      <c r="Q278" s="25"/>
      <c r="R278" s="70"/>
      <c r="S278" s="71"/>
      <c r="T278" s="30">
        <f>IF(Table110[[#This Row],[SKU]]="",0,24-Table110[[#This Row],[Legal Non-Operating Time]]-Table110[[#This Row],[No Demand Time]]-Table110[[#This Row],[Force Majeure]])</f>
        <v>0</v>
      </c>
      <c r="U278" s="26"/>
      <c r="V278" s="26"/>
      <c r="W278" s="26"/>
      <c r="X278" s="26"/>
      <c r="Y278" s="26"/>
      <c r="Z278" s="26"/>
      <c r="AA278" s="26"/>
      <c r="AB278" s="30">
        <f>Table110[[#This Row],[Hours Used]]-SUM(Table110[[#This Row],[Planned Maintenance]:[Start and Finish Production]])</f>
        <v>0</v>
      </c>
      <c r="AC278" s="26"/>
      <c r="AD278" s="26"/>
      <c r="AE278" s="26"/>
      <c r="AF278" s="26"/>
      <c r="AG278" s="26"/>
      <c r="AH278" s="26"/>
      <c r="AI278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78" s="24">
        <f>IFERROR(IF(Table110[[#This Row],[SKU]]="",0,Table110[[#This Row],[Quality Loss (T)]]/(Table110[[#This Row],[SOC (TPD)]]/24)),"")</f>
        <v>0</v>
      </c>
      <c r="AK278" s="31">
        <f>IFERROR(IF(Table110[[#This Row],[SKU]]="",0,Table110[[#This Row],[Volume Delivered (T)]]/(Table110[[#This Row],[SOC (TPD)]]/24)),"")</f>
        <v>0</v>
      </c>
      <c r="AL278" s="31" t="str">
        <f>IFERROR(Table110[[#This Row],[Operating Time]]/Table110[[#This Row],[PRODUCTION HOURS]],"")</f>
        <v/>
      </c>
      <c r="AM278" s="32"/>
      <c r="AN278" s="32"/>
      <c r="AO278" s="32"/>
      <c r="AP278" s="32">
        <v>0</v>
      </c>
      <c r="AQ278" s="32">
        <v>0</v>
      </c>
      <c r="AR278" s="32"/>
      <c r="AS278" s="32" t="str">
        <f>IFERROR(SUMIFS(#REF!,#REF!,'Shift Wise-Data Sheet'!A:A,#REF!,"Samridhi Perk Line")/SUMIFS(#REF!,#REF!,'Shift Wise-Data Sheet'!A:A,#REF!,"Samridhi Perk Line"),"")</f>
        <v/>
      </c>
      <c r="AT278" s="32"/>
      <c r="AU278" s="32"/>
      <c r="AV278" s="211">
        <f>IFERROR(VLOOKUP(Table110[[#This Row],[Date]],'Overweight Data'!A276:G1371,6,FALSE),"")</f>
        <v>0</v>
      </c>
      <c r="AW278" s="221">
        <f>IFERROR(
   IF(
      OR(Table110[[#This Row],[Operating Time]]=0, (Table110[[#This Row],[Operating Time]]/IF(AD278&lt;=1,AD278+1,AD278))*60=0),
      1,
      ((Table110[[#This Row],[Operating Time]])/IF(AD278&lt;=1,AD278+1,AD278))*60
   ),
"_")</f>
        <v>1</v>
      </c>
      <c r="AX278" s="221">
        <f>COUNTIFS('Downtime Data'!A:A,Table110[[#This Row],[Date]])</f>
        <v>0</v>
      </c>
      <c r="AY278" s="219" t="str">
        <f>IFERROR((SUM(Table110[[#This Row],[Minor Stoppages]:[Material Shortages]])/Table110[[#This Row],['# Stops]])*60,"")</f>
        <v/>
      </c>
      <c r="AZ278" s="219"/>
      <c r="BA278" s="33">
        <v>46321</v>
      </c>
    </row>
    <row r="279" spans="1:53" ht="20.149999999999999" customHeight="1" x14ac:dyDescent="0.35">
      <c r="A279" s="21">
        <v>46296</v>
      </c>
      <c r="B279" s="22" t="str">
        <f t="shared" si="5"/>
        <v>Thursday</v>
      </c>
      <c r="C279" s="22"/>
      <c r="D279" s="23"/>
      <c r="E279" s="24" t="str" cm="1">
        <f t="array" aca="1" ref="E279" ca="1">IFERROR(INDIRECT(D279),"")</f>
        <v/>
      </c>
      <c r="F279" s="25"/>
      <c r="G279" s="26"/>
      <c r="H279" s="27" t="str">
        <f ca="1">IFERROR((Table110[[#This Row],[Plan]]/Table110[[#This Row],[Hours Used]])/(Table110[[#This Row],[SOC (TPD)]]/24),"")</f>
        <v/>
      </c>
      <c r="I279" s="27" t="str">
        <f ca="1">IFERROR((Table110[[#This Row],[Volume Delivered (T)]]/Table110[[#This Row],[Hours Used]])/(Table110[[#This Row],[SOC (TPD)]]/24),"")</f>
        <v/>
      </c>
      <c r="J279" s="28"/>
      <c r="K279" s="28"/>
      <c r="L279" s="28"/>
      <c r="M279" s="25"/>
      <c r="N279" s="29"/>
      <c r="O279" s="84"/>
      <c r="P279" s="25"/>
      <c r="Q279" s="25"/>
      <c r="R279" s="70"/>
      <c r="S279" s="71"/>
      <c r="T279" s="30">
        <f>IF(Table110[[#This Row],[SKU]]="",0,24-Table110[[#This Row],[Legal Non-Operating Time]]-Table110[[#This Row],[No Demand Time]]-Table110[[#This Row],[Force Majeure]])</f>
        <v>0</v>
      </c>
      <c r="U279" s="26"/>
      <c r="V279" s="26"/>
      <c r="W279" s="26"/>
      <c r="X279" s="26"/>
      <c r="Y279" s="26"/>
      <c r="Z279" s="26"/>
      <c r="AA279" s="26"/>
      <c r="AB279" s="30">
        <f>Table110[[#This Row],[Hours Used]]-SUM(Table110[[#This Row],[Planned Maintenance]:[Start and Finish Production]])</f>
        <v>0</v>
      </c>
      <c r="AC279" s="26"/>
      <c r="AD279" s="26"/>
      <c r="AE279" s="26"/>
      <c r="AF279" s="26"/>
      <c r="AG279" s="26"/>
      <c r="AH279" s="26"/>
      <c r="AI279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79" s="24">
        <f>IFERROR(IF(Table110[[#This Row],[SKU]]="",0,Table110[[#This Row],[Quality Loss (T)]]/(Table110[[#This Row],[SOC (TPD)]]/24)),"")</f>
        <v>0</v>
      </c>
      <c r="AK279" s="31">
        <f>IFERROR(IF(Table110[[#This Row],[SKU]]="",0,Table110[[#This Row],[Volume Delivered (T)]]/(Table110[[#This Row],[SOC (TPD)]]/24)),"")</f>
        <v>0</v>
      </c>
      <c r="AL279" s="31" t="str">
        <f>IFERROR(Table110[[#This Row],[Operating Time]]/Table110[[#This Row],[PRODUCTION HOURS]],"")</f>
        <v/>
      </c>
      <c r="AM279" s="32"/>
      <c r="AN279" s="32"/>
      <c r="AO279" s="32"/>
      <c r="AP279" s="32">
        <v>4</v>
      </c>
      <c r="AQ279" s="32">
        <v>0</v>
      </c>
      <c r="AR279" s="32"/>
      <c r="AS279" s="32" t="str">
        <f>IFERROR(SUMIFS(#REF!,#REF!,'Shift Wise-Data Sheet'!A:A,#REF!,"Samridhi Perk Line")/SUMIFS(#REF!,#REF!,'Shift Wise-Data Sheet'!A:A,#REF!,"Samridhi Perk Line"),"")</f>
        <v/>
      </c>
      <c r="AT279" s="32"/>
      <c r="AU279" s="32"/>
      <c r="AV279" s="211">
        <f>IFERROR(VLOOKUP(Table110[[#This Row],[Date]],'Overweight Data'!A277:G1372,6,FALSE),"")</f>
        <v>0</v>
      </c>
      <c r="AW279" s="221">
        <f>IFERROR(
   IF(
      OR(Table110[[#This Row],[Operating Time]]=0, (Table110[[#This Row],[Operating Time]]/IF(AD279&lt;=1,AD279+1,AD279))*60=0),
      1,
      ((Table110[[#This Row],[Operating Time]])/IF(AD279&lt;=1,AD279+1,AD279))*60
   ),
"_")</f>
        <v>1</v>
      </c>
      <c r="AX279" s="221">
        <f>COUNTIFS('Downtime Data'!A:A,Table110[[#This Row],[Date]])</f>
        <v>0</v>
      </c>
      <c r="AY279" s="219" t="str">
        <f>IFERROR((SUM(Table110[[#This Row],[Minor Stoppages]:[Material Shortages]])/Table110[[#This Row],['# Stops]])*60,"")</f>
        <v/>
      </c>
      <c r="AZ279" s="219"/>
      <c r="BA279" s="33">
        <v>46321</v>
      </c>
    </row>
    <row r="280" spans="1:53" ht="20.149999999999999" customHeight="1" x14ac:dyDescent="0.35">
      <c r="A280" s="21">
        <v>46297</v>
      </c>
      <c r="B280" s="22" t="str">
        <f t="shared" si="5"/>
        <v>Friday</v>
      </c>
      <c r="C280" s="22"/>
      <c r="D280" s="23"/>
      <c r="E280" s="24" t="str" cm="1">
        <f t="array" aca="1" ref="E280" ca="1">IFERROR(INDIRECT(D280),"")</f>
        <v/>
      </c>
      <c r="F280" s="25"/>
      <c r="G280" s="26"/>
      <c r="H280" s="27" t="str">
        <f ca="1">IFERROR((Table110[[#This Row],[Plan]]/Table110[[#This Row],[Hours Used]])/(Table110[[#This Row],[SOC (TPD)]]/24),"")</f>
        <v/>
      </c>
      <c r="I280" s="27" t="str">
        <f ca="1">IFERROR((Table110[[#This Row],[Volume Delivered (T)]]/Table110[[#This Row],[Hours Used]])/(Table110[[#This Row],[SOC (TPD)]]/24),"")</f>
        <v/>
      </c>
      <c r="J280" s="28"/>
      <c r="K280" s="28"/>
      <c r="L280" s="28"/>
      <c r="M280" s="25"/>
      <c r="N280" s="29"/>
      <c r="O280" s="84"/>
      <c r="P280" s="25"/>
      <c r="Q280" s="25"/>
      <c r="R280" s="70"/>
      <c r="S280" s="71"/>
      <c r="T280" s="30">
        <f>IF(Table110[[#This Row],[SKU]]="",0,24-Table110[[#This Row],[Legal Non-Operating Time]]-Table110[[#This Row],[No Demand Time]]-Table110[[#This Row],[Force Majeure]])</f>
        <v>0</v>
      </c>
      <c r="U280" s="26"/>
      <c r="V280" s="26"/>
      <c r="W280" s="26"/>
      <c r="X280" s="26"/>
      <c r="Y280" s="26"/>
      <c r="Z280" s="26"/>
      <c r="AA280" s="26"/>
      <c r="AB280" s="30">
        <f>Table110[[#This Row],[Hours Used]]-SUM(Table110[[#This Row],[Planned Maintenance]:[Start and Finish Production]])</f>
        <v>0</v>
      </c>
      <c r="AC280" s="26"/>
      <c r="AD280" s="26"/>
      <c r="AE280" s="26"/>
      <c r="AF280" s="26"/>
      <c r="AG280" s="26"/>
      <c r="AH280" s="26"/>
      <c r="AI280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80" s="24">
        <f>IFERROR(IF(Table110[[#This Row],[SKU]]="",0,Table110[[#This Row],[Quality Loss (T)]]/(Table110[[#This Row],[SOC (TPD)]]/24)),"")</f>
        <v>0</v>
      </c>
      <c r="AK280" s="31">
        <f>IFERROR(IF(Table110[[#This Row],[SKU]]="",0,Table110[[#This Row],[Volume Delivered (T)]]/(Table110[[#This Row],[SOC (TPD)]]/24)),"")</f>
        <v>0</v>
      </c>
      <c r="AL280" s="31" t="str">
        <f>IFERROR(Table110[[#This Row],[Operating Time]]/Table110[[#This Row],[PRODUCTION HOURS]],"")</f>
        <v/>
      </c>
      <c r="AM280" s="32"/>
      <c r="AN280" s="32"/>
      <c r="AO280" s="32"/>
      <c r="AP280" s="32">
        <v>0</v>
      </c>
      <c r="AQ280" s="32">
        <v>0</v>
      </c>
      <c r="AR280" s="32"/>
      <c r="AS280" s="32" t="str">
        <f>IFERROR(SUMIFS(#REF!,#REF!,'Shift Wise-Data Sheet'!A:A,#REF!,"Samridhi Perk Line")/SUMIFS(#REF!,#REF!,'Shift Wise-Data Sheet'!A:A,#REF!,"Samridhi Perk Line"),"")</f>
        <v/>
      </c>
      <c r="AT280" s="32"/>
      <c r="AU280" s="32"/>
      <c r="AV280" s="211">
        <f>IFERROR(VLOOKUP(Table110[[#This Row],[Date]],'Overweight Data'!A278:G1373,6,FALSE),"")</f>
        <v>0</v>
      </c>
      <c r="AW280" s="221">
        <f>IFERROR(
   IF(
      OR(Table110[[#This Row],[Operating Time]]=0, (Table110[[#This Row],[Operating Time]]/IF(AD280&lt;=1,AD280+1,AD280))*60=0),
      1,
      ((Table110[[#This Row],[Operating Time]])/IF(AD280&lt;=1,AD280+1,AD280))*60
   ),
"_")</f>
        <v>1</v>
      </c>
      <c r="AX280" s="221">
        <f>COUNTIFS('Downtime Data'!A:A,Table110[[#This Row],[Date]])</f>
        <v>0</v>
      </c>
      <c r="AY280" s="219" t="str">
        <f>IFERROR((SUM(Table110[[#This Row],[Minor Stoppages]:[Material Shortages]])/Table110[[#This Row],['# Stops]])*60,"")</f>
        <v/>
      </c>
      <c r="AZ280" s="219"/>
      <c r="BA280" s="33">
        <v>46321</v>
      </c>
    </row>
    <row r="281" spans="1:53" ht="20.149999999999999" customHeight="1" x14ac:dyDescent="0.35">
      <c r="A281" s="21">
        <v>46298</v>
      </c>
      <c r="B281" s="22" t="str">
        <f t="shared" si="5"/>
        <v>Saturday</v>
      </c>
      <c r="C281" s="22"/>
      <c r="D281" s="23"/>
      <c r="E281" s="24" t="str" cm="1">
        <f t="array" aca="1" ref="E281" ca="1">IFERROR(INDIRECT(D281),"")</f>
        <v/>
      </c>
      <c r="F281" s="25"/>
      <c r="G281" s="26"/>
      <c r="H281" s="27" t="str">
        <f ca="1">IFERROR((Table110[[#This Row],[Plan]]/Table110[[#This Row],[Hours Used]])/(Table110[[#This Row],[SOC (TPD)]]/24),"")</f>
        <v/>
      </c>
      <c r="I281" s="27" t="str">
        <f ca="1">IFERROR((Table110[[#This Row],[Volume Delivered (T)]]/Table110[[#This Row],[Hours Used]])/(Table110[[#This Row],[SOC (TPD)]]/24),"")</f>
        <v/>
      </c>
      <c r="J281" s="28"/>
      <c r="K281" s="28"/>
      <c r="L281" s="28"/>
      <c r="M281" s="25"/>
      <c r="N281" s="29"/>
      <c r="O281" s="84"/>
      <c r="P281" s="25"/>
      <c r="Q281" s="25"/>
      <c r="R281" s="70"/>
      <c r="S281" s="71"/>
      <c r="T281" s="30">
        <f>IF(Table110[[#This Row],[SKU]]="",0,24-Table110[[#This Row],[Legal Non-Operating Time]]-Table110[[#This Row],[No Demand Time]]-Table110[[#This Row],[Force Majeure]])</f>
        <v>0</v>
      </c>
      <c r="U281" s="26"/>
      <c r="V281" s="26"/>
      <c r="W281" s="26"/>
      <c r="X281" s="26"/>
      <c r="Y281" s="26"/>
      <c r="Z281" s="26"/>
      <c r="AA281" s="26"/>
      <c r="AB281" s="30">
        <f>Table110[[#This Row],[Hours Used]]-SUM(Table110[[#This Row],[Planned Maintenance]:[Start and Finish Production]])</f>
        <v>0</v>
      </c>
      <c r="AC281" s="26"/>
      <c r="AD281" s="26"/>
      <c r="AE281" s="26"/>
      <c r="AF281" s="26"/>
      <c r="AG281" s="26"/>
      <c r="AH281" s="26"/>
      <c r="AI281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81" s="24">
        <f>IFERROR(IF(Table110[[#This Row],[SKU]]="",0,Table110[[#This Row],[Quality Loss (T)]]/(Table110[[#This Row],[SOC (TPD)]]/24)),"")</f>
        <v>0</v>
      </c>
      <c r="AK281" s="31">
        <f>IFERROR(IF(Table110[[#This Row],[SKU]]="",0,Table110[[#This Row],[Volume Delivered (T)]]/(Table110[[#This Row],[SOC (TPD)]]/24)),"")</f>
        <v>0</v>
      </c>
      <c r="AL281" s="31" t="str">
        <f>IFERROR(Table110[[#This Row],[Operating Time]]/Table110[[#This Row],[PRODUCTION HOURS]],"")</f>
        <v/>
      </c>
      <c r="AM281" s="32"/>
      <c r="AN281" s="32"/>
      <c r="AO281" s="32"/>
      <c r="AP281" s="32">
        <v>60</v>
      </c>
      <c r="AQ281" s="32">
        <v>0</v>
      </c>
      <c r="AR281" s="32"/>
      <c r="AS281" s="32" t="str">
        <f>IFERROR(SUMIFS(#REF!,#REF!,'Shift Wise-Data Sheet'!A:A,#REF!,"Samridhi Perk Line")/SUMIFS(#REF!,#REF!,'Shift Wise-Data Sheet'!A:A,#REF!,"Samridhi Perk Line"),"")</f>
        <v/>
      </c>
      <c r="AT281" s="32"/>
      <c r="AU281" s="32"/>
      <c r="AV281" s="211">
        <f>IFERROR(VLOOKUP(Table110[[#This Row],[Date]],'Overweight Data'!A279:G1374,6,FALSE),"")</f>
        <v>0</v>
      </c>
      <c r="AW281" s="221">
        <f>IFERROR(
   IF(
      OR(Table110[[#This Row],[Operating Time]]=0, (Table110[[#This Row],[Operating Time]]/IF(AD281&lt;=1,AD281+1,AD281))*60=0),
      1,
      ((Table110[[#This Row],[Operating Time]])/IF(AD281&lt;=1,AD281+1,AD281))*60
   ),
"_")</f>
        <v>1</v>
      </c>
      <c r="AX281" s="221">
        <f>COUNTIFS('Downtime Data'!A:A,Table110[[#This Row],[Date]])</f>
        <v>0</v>
      </c>
      <c r="AY281" s="219" t="str">
        <f>IFERROR((SUM(Table110[[#This Row],[Minor Stoppages]:[Material Shortages]])/Table110[[#This Row],['# Stops]])*60,"")</f>
        <v/>
      </c>
      <c r="AZ281" s="219"/>
      <c r="BA281" s="33">
        <v>46321</v>
      </c>
    </row>
    <row r="282" spans="1:53" ht="20.149999999999999" customHeight="1" x14ac:dyDescent="0.35">
      <c r="A282" s="21">
        <v>46299</v>
      </c>
      <c r="B282" s="22" t="str">
        <f t="shared" si="5"/>
        <v>Sunday</v>
      </c>
      <c r="C282" s="22"/>
      <c r="D282" s="23"/>
      <c r="E282" s="24" t="str" cm="1">
        <f t="array" aca="1" ref="E282" ca="1">IFERROR(INDIRECT(D282),"")</f>
        <v/>
      </c>
      <c r="F282" s="25"/>
      <c r="G282" s="26"/>
      <c r="H282" s="27" t="str">
        <f ca="1">IFERROR((Table110[[#This Row],[Plan]]/Table110[[#This Row],[Hours Used]])/(Table110[[#This Row],[SOC (TPD)]]/24),"")</f>
        <v/>
      </c>
      <c r="I282" s="27" t="str">
        <f ca="1">IFERROR((Table110[[#This Row],[Volume Delivered (T)]]/Table110[[#This Row],[Hours Used]])/(Table110[[#This Row],[SOC (TPD)]]/24),"")</f>
        <v/>
      </c>
      <c r="J282" s="28"/>
      <c r="K282" s="28"/>
      <c r="L282" s="28"/>
      <c r="M282" s="25"/>
      <c r="N282" s="29"/>
      <c r="O282" s="84"/>
      <c r="P282" s="25"/>
      <c r="Q282" s="25"/>
      <c r="R282" s="70"/>
      <c r="S282" s="71"/>
      <c r="T282" s="30">
        <f>IF(Table110[[#This Row],[SKU]]="",0,24-Table110[[#This Row],[Legal Non-Operating Time]]-Table110[[#This Row],[No Demand Time]]-Table110[[#This Row],[Force Majeure]])</f>
        <v>0</v>
      </c>
      <c r="U282" s="26"/>
      <c r="V282" s="26"/>
      <c r="W282" s="26"/>
      <c r="X282" s="26"/>
      <c r="Y282" s="26"/>
      <c r="Z282" s="26"/>
      <c r="AA282" s="26"/>
      <c r="AB282" s="30">
        <f>Table110[[#This Row],[Hours Used]]-SUM(Table110[[#This Row],[Planned Maintenance]:[Start and Finish Production]])</f>
        <v>0</v>
      </c>
      <c r="AC282" s="26"/>
      <c r="AD282" s="26"/>
      <c r="AE282" s="26"/>
      <c r="AF282" s="26"/>
      <c r="AG282" s="26"/>
      <c r="AH282" s="26"/>
      <c r="AI282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82" s="24">
        <f>IFERROR(IF(Table110[[#This Row],[SKU]]="",0,Table110[[#This Row],[Quality Loss (T)]]/(Table110[[#This Row],[SOC (TPD)]]/24)),"")</f>
        <v>0</v>
      </c>
      <c r="AK282" s="31">
        <f>IFERROR(IF(Table110[[#This Row],[SKU]]="",0,Table110[[#This Row],[Volume Delivered (T)]]/(Table110[[#This Row],[SOC (TPD)]]/24)),"")</f>
        <v>0</v>
      </c>
      <c r="AL282" s="31" t="str">
        <f>IFERROR(Table110[[#This Row],[Operating Time]]/Table110[[#This Row],[PRODUCTION HOURS]],"")</f>
        <v/>
      </c>
      <c r="AM282" s="32"/>
      <c r="AN282" s="32"/>
      <c r="AO282" s="32"/>
      <c r="AP282" s="32">
        <v>0</v>
      </c>
      <c r="AQ282" s="32">
        <v>0</v>
      </c>
      <c r="AR282" s="32"/>
      <c r="AS282" s="32" t="str">
        <f>IFERROR(SUMIFS(#REF!,#REF!,'Shift Wise-Data Sheet'!A:A,#REF!,"Samridhi Perk Line")/SUMIFS(#REF!,#REF!,'Shift Wise-Data Sheet'!A:A,#REF!,"Samridhi Perk Line"),"")</f>
        <v/>
      </c>
      <c r="AT282" s="32"/>
      <c r="AU282" s="32"/>
      <c r="AV282" s="211">
        <f>IFERROR(VLOOKUP(Table110[[#This Row],[Date]],'Overweight Data'!A280:G1375,6,FALSE),"")</f>
        <v>0</v>
      </c>
      <c r="AW282" s="221">
        <f>IFERROR(
   IF(
      OR(Table110[[#This Row],[Operating Time]]=0, (Table110[[#This Row],[Operating Time]]/IF(AD282&lt;=1,AD282+1,AD282))*60=0),
      1,
      ((Table110[[#This Row],[Operating Time]])/IF(AD282&lt;=1,AD282+1,AD282))*60
   ),
"_")</f>
        <v>1</v>
      </c>
      <c r="AX282" s="221">
        <f>COUNTIFS('Downtime Data'!A:A,Table110[[#This Row],[Date]])</f>
        <v>0</v>
      </c>
      <c r="AY282" s="219" t="str">
        <f>IFERROR((SUM(Table110[[#This Row],[Minor Stoppages]:[Material Shortages]])/Table110[[#This Row],['# Stops]])*60,"")</f>
        <v/>
      </c>
      <c r="AZ282" s="219"/>
      <c r="BA282" s="33">
        <v>46321</v>
      </c>
    </row>
    <row r="283" spans="1:53" ht="20.149999999999999" customHeight="1" x14ac:dyDescent="0.35">
      <c r="A283" s="21">
        <v>46300</v>
      </c>
      <c r="B283" s="22" t="str">
        <f t="shared" si="5"/>
        <v>Monday</v>
      </c>
      <c r="C283" s="22"/>
      <c r="D283" s="23"/>
      <c r="E283" s="24" t="str" cm="1">
        <f t="array" aca="1" ref="E283" ca="1">IFERROR(INDIRECT(D283),"")</f>
        <v/>
      </c>
      <c r="F283" s="25"/>
      <c r="G283" s="26"/>
      <c r="H283" s="27" t="str">
        <f ca="1">IFERROR((Table110[[#This Row],[Plan]]/Table110[[#This Row],[Hours Used]])/(Table110[[#This Row],[SOC (TPD)]]/24),"")</f>
        <v/>
      </c>
      <c r="I283" s="27" t="str">
        <f ca="1">IFERROR((Table110[[#This Row],[Volume Delivered (T)]]/Table110[[#This Row],[Hours Used]])/(Table110[[#This Row],[SOC (TPD)]]/24),"")</f>
        <v/>
      </c>
      <c r="J283" s="28"/>
      <c r="K283" s="28"/>
      <c r="L283" s="28"/>
      <c r="M283" s="25"/>
      <c r="N283" s="29"/>
      <c r="O283" s="84"/>
      <c r="P283" s="25"/>
      <c r="Q283" s="25"/>
      <c r="R283" s="70"/>
      <c r="S283" s="71"/>
      <c r="T283" s="30">
        <f>IF(Table110[[#This Row],[SKU]]="",0,24-Table110[[#This Row],[Legal Non-Operating Time]]-Table110[[#This Row],[No Demand Time]]-Table110[[#This Row],[Force Majeure]])</f>
        <v>0</v>
      </c>
      <c r="U283" s="26"/>
      <c r="V283" s="26"/>
      <c r="W283" s="26"/>
      <c r="X283" s="26"/>
      <c r="Y283" s="26"/>
      <c r="Z283" s="26"/>
      <c r="AA283" s="26"/>
      <c r="AB283" s="30">
        <f>Table110[[#This Row],[Hours Used]]-SUM(Table110[[#This Row],[Planned Maintenance]:[Start and Finish Production]])</f>
        <v>0</v>
      </c>
      <c r="AC283" s="26"/>
      <c r="AD283" s="26"/>
      <c r="AE283" s="26"/>
      <c r="AF283" s="26"/>
      <c r="AG283" s="26"/>
      <c r="AH283" s="26"/>
      <c r="AI283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83" s="24">
        <f>IFERROR(IF(Table110[[#This Row],[SKU]]="",0,Table110[[#This Row],[Quality Loss (T)]]/(Table110[[#This Row],[SOC (TPD)]]/24)),"")</f>
        <v>0</v>
      </c>
      <c r="AK283" s="31">
        <f>IFERROR(IF(Table110[[#This Row],[SKU]]="",0,Table110[[#This Row],[Volume Delivered (T)]]/(Table110[[#This Row],[SOC (TPD)]]/24)),"")</f>
        <v>0</v>
      </c>
      <c r="AL283" s="31" t="str">
        <f>IFERROR(Table110[[#This Row],[Operating Time]]/Table110[[#This Row],[PRODUCTION HOURS]],"")</f>
        <v/>
      </c>
      <c r="AM283" s="32"/>
      <c r="AN283" s="32"/>
      <c r="AO283" s="32"/>
      <c r="AP283" s="32">
        <v>1</v>
      </c>
      <c r="AQ283" s="32">
        <v>0</v>
      </c>
      <c r="AR283" s="32"/>
      <c r="AS283" s="32" t="str">
        <f>IFERROR(SUMIFS(#REF!,#REF!,'Shift Wise-Data Sheet'!A:A,#REF!,"Samridhi Perk Line")/SUMIFS(#REF!,#REF!,'Shift Wise-Data Sheet'!A:A,#REF!,"Samridhi Perk Line"),"")</f>
        <v/>
      </c>
      <c r="AT283" s="32"/>
      <c r="AU283" s="32"/>
      <c r="AV283" s="211">
        <f>IFERROR(VLOOKUP(Table110[[#This Row],[Date]],'Overweight Data'!A281:G1376,6,FALSE),"")</f>
        <v>0</v>
      </c>
      <c r="AW283" s="221">
        <f>IFERROR(
   IF(
      OR(Table110[[#This Row],[Operating Time]]=0, (Table110[[#This Row],[Operating Time]]/IF(AD283&lt;=1,AD283+1,AD283))*60=0),
      1,
      ((Table110[[#This Row],[Operating Time]])/IF(AD283&lt;=1,AD283+1,AD283))*60
   ),
"_")</f>
        <v>1</v>
      </c>
      <c r="AX283" s="221">
        <f>COUNTIFS('Downtime Data'!A:A,Table110[[#This Row],[Date]])</f>
        <v>0</v>
      </c>
      <c r="AY283" s="219" t="str">
        <f>IFERROR((SUM(Table110[[#This Row],[Minor Stoppages]:[Material Shortages]])/Table110[[#This Row],['# Stops]])*60,"")</f>
        <v/>
      </c>
      <c r="AZ283" s="219"/>
      <c r="BA283" s="33">
        <v>46321</v>
      </c>
    </row>
    <row r="284" spans="1:53" ht="20.149999999999999" customHeight="1" x14ac:dyDescent="0.35">
      <c r="A284" s="21">
        <v>46301</v>
      </c>
      <c r="B284" s="22" t="str">
        <f t="shared" si="5"/>
        <v>Tuesday</v>
      </c>
      <c r="C284" s="22"/>
      <c r="D284" s="23"/>
      <c r="E284" s="24" t="str" cm="1">
        <f t="array" aca="1" ref="E284" ca="1">IFERROR(INDIRECT(D284),"")</f>
        <v/>
      </c>
      <c r="F284" s="25"/>
      <c r="G284" s="26"/>
      <c r="H284" s="27" t="str">
        <f ca="1">IFERROR((Table110[[#This Row],[Plan]]/Table110[[#This Row],[Hours Used]])/(Table110[[#This Row],[SOC (TPD)]]/24),"")</f>
        <v/>
      </c>
      <c r="I284" s="27" t="str">
        <f ca="1">IFERROR((Table110[[#This Row],[Volume Delivered (T)]]/Table110[[#This Row],[Hours Used]])/(Table110[[#This Row],[SOC (TPD)]]/24),"")</f>
        <v/>
      </c>
      <c r="J284" s="28"/>
      <c r="K284" s="28"/>
      <c r="L284" s="28"/>
      <c r="M284" s="25"/>
      <c r="N284" s="29"/>
      <c r="O284" s="84"/>
      <c r="P284" s="25"/>
      <c r="Q284" s="25"/>
      <c r="R284" s="70"/>
      <c r="S284" s="71"/>
      <c r="T284" s="30">
        <f>IF(Table110[[#This Row],[SKU]]="",0,24-Table110[[#This Row],[Legal Non-Operating Time]]-Table110[[#This Row],[No Demand Time]]-Table110[[#This Row],[Force Majeure]])</f>
        <v>0</v>
      </c>
      <c r="U284" s="26"/>
      <c r="V284" s="26"/>
      <c r="W284" s="26"/>
      <c r="X284" s="26"/>
      <c r="Y284" s="26"/>
      <c r="Z284" s="26"/>
      <c r="AA284" s="26"/>
      <c r="AB284" s="30">
        <f>Table110[[#This Row],[Hours Used]]-SUM(Table110[[#This Row],[Planned Maintenance]:[Start and Finish Production]])</f>
        <v>0</v>
      </c>
      <c r="AC284" s="26"/>
      <c r="AD284" s="26"/>
      <c r="AE284" s="26"/>
      <c r="AF284" s="26"/>
      <c r="AG284" s="26"/>
      <c r="AH284" s="26"/>
      <c r="AI284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84" s="24">
        <f>IFERROR(IF(Table110[[#This Row],[SKU]]="",0,Table110[[#This Row],[Quality Loss (T)]]/(Table110[[#This Row],[SOC (TPD)]]/24)),"")</f>
        <v>0</v>
      </c>
      <c r="AK284" s="31">
        <f>IFERROR(IF(Table110[[#This Row],[SKU]]="",0,Table110[[#This Row],[Volume Delivered (T)]]/(Table110[[#This Row],[SOC (TPD)]]/24)),"")</f>
        <v>0</v>
      </c>
      <c r="AL284" s="31" t="str">
        <f>IFERROR(Table110[[#This Row],[Operating Time]]/Table110[[#This Row],[PRODUCTION HOURS]],"")</f>
        <v/>
      </c>
      <c r="AM284" s="32"/>
      <c r="AN284" s="32"/>
      <c r="AO284" s="32"/>
      <c r="AP284" s="32">
        <v>0</v>
      </c>
      <c r="AQ284" s="32">
        <v>0</v>
      </c>
      <c r="AR284" s="32"/>
      <c r="AS284" s="32" t="str">
        <f>IFERROR(SUMIFS(#REF!,#REF!,'Shift Wise-Data Sheet'!A:A,#REF!,"Samridhi Perk Line")/SUMIFS(#REF!,#REF!,'Shift Wise-Data Sheet'!A:A,#REF!,"Samridhi Perk Line"),"")</f>
        <v/>
      </c>
      <c r="AT284" s="32"/>
      <c r="AU284" s="32"/>
      <c r="AV284" s="211">
        <f>IFERROR(VLOOKUP(Table110[[#This Row],[Date]],'Overweight Data'!A282:G1377,6,FALSE),"")</f>
        <v>0</v>
      </c>
      <c r="AW284" s="221">
        <f>IFERROR(
   IF(
      OR(Table110[[#This Row],[Operating Time]]=0, (Table110[[#This Row],[Operating Time]]/IF(AD284&lt;=1,AD284+1,AD284))*60=0),
      1,
      ((Table110[[#This Row],[Operating Time]])/IF(AD284&lt;=1,AD284+1,AD284))*60
   ),
"_")</f>
        <v>1</v>
      </c>
      <c r="AX284" s="221">
        <f>COUNTIFS('Downtime Data'!A:A,Table110[[#This Row],[Date]])</f>
        <v>0</v>
      </c>
      <c r="AY284" s="219" t="str">
        <f>IFERROR((SUM(Table110[[#This Row],[Minor Stoppages]:[Material Shortages]])/Table110[[#This Row],['# Stops]])*60,"")</f>
        <v/>
      </c>
      <c r="AZ284" s="219"/>
      <c r="BA284" s="33">
        <v>46321</v>
      </c>
    </row>
    <row r="285" spans="1:53" ht="20.149999999999999" customHeight="1" x14ac:dyDescent="0.35">
      <c r="A285" s="21">
        <v>46302</v>
      </c>
      <c r="B285" s="22" t="str">
        <f t="shared" si="5"/>
        <v>Wednesday</v>
      </c>
      <c r="C285" s="22"/>
      <c r="D285" s="23"/>
      <c r="E285" s="24" t="str" cm="1">
        <f t="array" aca="1" ref="E285" ca="1">IFERROR(INDIRECT(D285),"")</f>
        <v/>
      </c>
      <c r="F285" s="25"/>
      <c r="G285" s="26"/>
      <c r="H285" s="27" t="str">
        <f ca="1">IFERROR((Table110[[#This Row],[Plan]]/Table110[[#This Row],[Hours Used]])/(Table110[[#This Row],[SOC (TPD)]]/24),"")</f>
        <v/>
      </c>
      <c r="I285" s="27" t="str">
        <f ca="1">IFERROR((Table110[[#This Row],[Volume Delivered (T)]]/Table110[[#This Row],[Hours Used]])/(Table110[[#This Row],[SOC (TPD)]]/24),"")</f>
        <v/>
      </c>
      <c r="J285" s="28"/>
      <c r="K285" s="28"/>
      <c r="L285" s="28"/>
      <c r="M285" s="25"/>
      <c r="N285" s="29"/>
      <c r="O285" s="84"/>
      <c r="P285" s="25"/>
      <c r="Q285" s="25"/>
      <c r="R285" s="70"/>
      <c r="S285" s="71"/>
      <c r="T285" s="30">
        <f>IF(Table110[[#This Row],[SKU]]="",0,24-Table110[[#This Row],[Legal Non-Operating Time]]-Table110[[#This Row],[No Demand Time]]-Table110[[#This Row],[Force Majeure]])</f>
        <v>0</v>
      </c>
      <c r="U285" s="26"/>
      <c r="V285" s="26"/>
      <c r="W285" s="26"/>
      <c r="X285" s="26"/>
      <c r="Y285" s="26"/>
      <c r="Z285" s="26"/>
      <c r="AA285" s="26"/>
      <c r="AB285" s="30">
        <f>Table110[[#This Row],[Hours Used]]-SUM(Table110[[#This Row],[Planned Maintenance]:[Start and Finish Production]])</f>
        <v>0</v>
      </c>
      <c r="AC285" s="26"/>
      <c r="AD285" s="26"/>
      <c r="AE285" s="26"/>
      <c r="AF285" s="26"/>
      <c r="AG285" s="26"/>
      <c r="AH285" s="26"/>
      <c r="AI285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85" s="24">
        <f>IFERROR(IF(Table110[[#This Row],[SKU]]="",0,Table110[[#This Row],[Quality Loss (T)]]/(Table110[[#This Row],[SOC (TPD)]]/24)),"")</f>
        <v>0</v>
      </c>
      <c r="AK285" s="31">
        <f>IFERROR(IF(Table110[[#This Row],[SKU]]="",0,Table110[[#This Row],[Volume Delivered (T)]]/(Table110[[#This Row],[SOC (TPD)]]/24)),"")</f>
        <v>0</v>
      </c>
      <c r="AL285" s="31" t="str">
        <f>IFERROR(Table110[[#This Row],[Operating Time]]/Table110[[#This Row],[PRODUCTION HOURS]],"")</f>
        <v/>
      </c>
      <c r="AM285" s="32"/>
      <c r="AN285" s="32"/>
      <c r="AO285" s="32"/>
      <c r="AP285" s="32">
        <v>0</v>
      </c>
      <c r="AQ285" s="32">
        <v>0</v>
      </c>
      <c r="AR285" s="32"/>
      <c r="AS285" s="32" t="str">
        <f>IFERROR(SUMIFS(#REF!,#REF!,'Shift Wise-Data Sheet'!A:A,#REF!,"Samridhi Perk Line")/SUMIFS(#REF!,#REF!,'Shift Wise-Data Sheet'!A:A,#REF!,"Samridhi Perk Line"),"")</f>
        <v/>
      </c>
      <c r="AT285" s="32"/>
      <c r="AU285" s="32"/>
      <c r="AV285" s="211">
        <f>IFERROR(VLOOKUP(Table110[[#This Row],[Date]],'Overweight Data'!A283:G1378,6,FALSE),"")</f>
        <v>0</v>
      </c>
      <c r="AW285" s="221">
        <f>IFERROR(
   IF(
      OR(Table110[[#This Row],[Operating Time]]=0, (Table110[[#This Row],[Operating Time]]/IF(AD285&lt;=1,AD285+1,AD285))*60=0),
      1,
      ((Table110[[#This Row],[Operating Time]])/IF(AD285&lt;=1,AD285+1,AD285))*60
   ),
"_")</f>
        <v>1</v>
      </c>
      <c r="AX285" s="221">
        <f>COUNTIFS('Downtime Data'!A:A,Table110[[#This Row],[Date]])</f>
        <v>0</v>
      </c>
      <c r="AY285" s="219" t="str">
        <f>IFERROR((SUM(Table110[[#This Row],[Minor Stoppages]:[Material Shortages]])/Table110[[#This Row],['# Stops]])*60,"")</f>
        <v/>
      </c>
      <c r="AZ285" s="219"/>
      <c r="BA285" s="33">
        <v>46321</v>
      </c>
    </row>
    <row r="286" spans="1:53" ht="20.149999999999999" customHeight="1" x14ac:dyDescent="0.35">
      <c r="A286" s="21">
        <v>46303</v>
      </c>
      <c r="B286" s="22" t="str">
        <f t="shared" si="5"/>
        <v>Thursday</v>
      </c>
      <c r="C286" s="22"/>
      <c r="D286" s="23"/>
      <c r="E286" s="24" t="str" cm="1">
        <f t="array" aca="1" ref="E286" ca="1">IFERROR(INDIRECT(D286),"")</f>
        <v/>
      </c>
      <c r="F286" s="25"/>
      <c r="G286" s="26"/>
      <c r="H286" s="27" t="str">
        <f ca="1">IFERROR((Table110[[#This Row],[Plan]]/Table110[[#This Row],[Hours Used]])/(Table110[[#This Row],[SOC (TPD)]]/24),"")</f>
        <v/>
      </c>
      <c r="I286" s="27" t="str">
        <f ca="1">IFERROR((Table110[[#This Row],[Volume Delivered (T)]]/Table110[[#This Row],[Hours Used]])/(Table110[[#This Row],[SOC (TPD)]]/24),"")</f>
        <v/>
      </c>
      <c r="J286" s="28"/>
      <c r="K286" s="28"/>
      <c r="L286" s="28"/>
      <c r="M286" s="25"/>
      <c r="N286" s="29"/>
      <c r="O286" s="84"/>
      <c r="P286" s="25"/>
      <c r="Q286" s="25"/>
      <c r="R286" s="70"/>
      <c r="S286" s="71"/>
      <c r="T286" s="30">
        <f>IF(Table110[[#This Row],[SKU]]="",0,24-Table110[[#This Row],[Legal Non-Operating Time]]-Table110[[#This Row],[No Demand Time]]-Table110[[#This Row],[Force Majeure]])</f>
        <v>0</v>
      </c>
      <c r="U286" s="26"/>
      <c r="V286" s="26"/>
      <c r="W286" s="26"/>
      <c r="X286" s="26"/>
      <c r="Y286" s="26"/>
      <c r="Z286" s="26"/>
      <c r="AA286" s="26"/>
      <c r="AB286" s="30">
        <f>Table110[[#This Row],[Hours Used]]-SUM(Table110[[#This Row],[Planned Maintenance]:[Start and Finish Production]])</f>
        <v>0</v>
      </c>
      <c r="AC286" s="26"/>
      <c r="AD286" s="26"/>
      <c r="AE286" s="26"/>
      <c r="AF286" s="26"/>
      <c r="AG286" s="26"/>
      <c r="AH286" s="26"/>
      <c r="AI286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86" s="24">
        <f>IFERROR(IF(Table110[[#This Row],[SKU]]="",0,Table110[[#This Row],[Quality Loss (T)]]/(Table110[[#This Row],[SOC (TPD)]]/24)),"")</f>
        <v>0</v>
      </c>
      <c r="AK286" s="31">
        <f>IFERROR(IF(Table110[[#This Row],[SKU]]="",0,Table110[[#This Row],[Volume Delivered (T)]]/(Table110[[#This Row],[SOC (TPD)]]/24)),"")</f>
        <v>0</v>
      </c>
      <c r="AL286" s="31" t="str">
        <f>IFERROR(Table110[[#This Row],[Operating Time]]/Table110[[#This Row],[PRODUCTION HOURS]],"")</f>
        <v/>
      </c>
      <c r="AM286" s="32"/>
      <c r="AN286" s="32"/>
      <c r="AO286" s="32"/>
      <c r="AP286" s="32">
        <v>4</v>
      </c>
      <c r="AQ286" s="32">
        <v>0</v>
      </c>
      <c r="AR286" s="32"/>
      <c r="AS286" s="32" t="str">
        <f>IFERROR(SUMIFS(#REF!,#REF!,'Shift Wise-Data Sheet'!A:A,#REF!,"Samridhi Perk Line")/SUMIFS(#REF!,#REF!,'Shift Wise-Data Sheet'!A:A,#REF!,"Samridhi Perk Line"),"")</f>
        <v/>
      </c>
      <c r="AT286" s="32"/>
      <c r="AU286" s="32"/>
      <c r="AV286" s="211">
        <f>IFERROR(VLOOKUP(Table110[[#This Row],[Date]],'Overweight Data'!A284:G1379,6,FALSE),"")</f>
        <v>0</v>
      </c>
      <c r="AW286" s="221">
        <f>IFERROR(
   IF(
      OR(Table110[[#This Row],[Operating Time]]=0, (Table110[[#This Row],[Operating Time]]/IF(AD286&lt;=1,AD286+1,AD286))*60=0),
      1,
      ((Table110[[#This Row],[Operating Time]])/IF(AD286&lt;=1,AD286+1,AD286))*60
   ),
"_")</f>
        <v>1</v>
      </c>
      <c r="AX286" s="221">
        <f>COUNTIFS('Downtime Data'!A:A,Table110[[#This Row],[Date]])</f>
        <v>0</v>
      </c>
      <c r="AY286" s="219" t="str">
        <f>IFERROR((SUM(Table110[[#This Row],[Minor Stoppages]:[Material Shortages]])/Table110[[#This Row],['# Stops]])*60,"")</f>
        <v/>
      </c>
      <c r="AZ286" s="219"/>
      <c r="BA286" s="33">
        <v>46321</v>
      </c>
    </row>
    <row r="287" spans="1:53" ht="20.149999999999999" customHeight="1" x14ac:dyDescent="0.35">
      <c r="A287" s="21">
        <v>46304</v>
      </c>
      <c r="B287" s="22" t="str">
        <f t="shared" si="5"/>
        <v>Friday</v>
      </c>
      <c r="C287" s="22"/>
      <c r="D287" s="23"/>
      <c r="E287" s="24" t="str" cm="1">
        <f t="array" aca="1" ref="E287" ca="1">IFERROR(INDIRECT(D287),"")</f>
        <v/>
      </c>
      <c r="F287" s="25"/>
      <c r="G287" s="26"/>
      <c r="H287" s="27" t="str">
        <f ca="1">IFERROR((Table110[[#This Row],[Plan]]/Table110[[#This Row],[Hours Used]])/(Table110[[#This Row],[SOC (TPD)]]/24),"")</f>
        <v/>
      </c>
      <c r="I287" s="27" t="str">
        <f ca="1">IFERROR((Table110[[#This Row],[Volume Delivered (T)]]/Table110[[#This Row],[Hours Used]])/(Table110[[#This Row],[SOC (TPD)]]/24),"")</f>
        <v/>
      </c>
      <c r="J287" s="28"/>
      <c r="K287" s="28"/>
      <c r="L287" s="28"/>
      <c r="M287" s="25"/>
      <c r="N287" s="29"/>
      <c r="O287" s="84"/>
      <c r="P287" s="25"/>
      <c r="Q287" s="25"/>
      <c r="R287" s="70"/>
      <c r="S287" s="71"/>
      <c r="T287" s="30">
        <f>IF(Table110[[#This Row],[SKU]]="",0,24-Table110[[#This Row],[Legal Non-Operating Time]]-Table110[[#This Row],[No Demand Time]]-Table110[[#This Row],[Force Majeure]])</f>
        <v>0</v>
      </c>
      <c r="U287" s="26"/>
      <c r="V287" s="26"/>
      <c r="W287" s="26"/>
      <c r="X287" s="26"/>
      <c r="Y287" s="26"/>
      <c r="Z287" s="26"/>
      <c r="AA287" s="26"/>
      <c r="AB287" s="30">
        <f>Table110[[#This Row],[Hours Used]]-SUM(Table110[[#This Row],[Planned Maintenance]:[Start and Finish Production]])</f>
        <v>0</v>
      </c>
      <c r="AC287" s="26"/>
      <c r="AD287" s="26"/>
      <c r="AE287" s="26"/>
      <c r="AF287" s="26"/>
      <c r="AG287" s="26"/>
      <c r="AH287" s="26"/>
      <c r="AI287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87" s="24">
        <f>IFERROR(IF(Table110[[#This Row],[SKU]]="",0,Table110[[#This Row],[Quality Loss (T)]]/(Table110[[#This Row],[SOC (TPD)]]/24)),"")</f>
        <v>0</v>
      </c>
      <c r="AK287" s="31">
        <f>IFERROR(IF(Table110[[#This Row],[SKU]]="",0,Table110[[#This Row],[Volume Delivered (T)]]/(Table110[[#This Row],[SOC (TPD)]]/24)),"")</f>
        <v>0</v>
      </c>
      <c r="AL287" s="31" t="str">
        <f>IFERROR(Table110[[#This Row],[Operating Time]]/Table110[[#This Row],[PRODUCTION HOURS]],"")</f>
        <v/>
      </c>
      <c r="AM287" s="32"/>
      <c r="AN287" s="32"/>
      <c r="AO287" s="32"/>
      <c r="AP287" s="32">
        <v>0</v>
      </c>
      <c r="AQ287" s="32">
        <v>0</v>
      </c>
      <c r="AR287" s="32"/>
      <c r="AS287" s="32" t="str">
        <f>IFERROR(SUMIFS(#REF!,#REF!,'Shift Wise-Data Sheet'!A:A,#REF!,"Samridhi Perk Line")/SUMIFS(#REF!,#REF!,'Shift Wise-Data Sheet'!A:A,#REF!,"Samridhi Perk Line"),"")</f>
        <v/>
      </c>
      <c r="AT287" s="32"/>
      <c r="AU287" s="32"/>
      <c r="AV287" s="211">
        <f>IFERROR(VLOOKUP(Table110[[#This Row],[Date]],'Overweight Data'!A285:G1380,6,FALSE),"")</f>
        <v>0</v>
      </c>
      <c r="AW287" s="221">
        <f>IFERROR(
   IF(
      OR(Table110[[#This Row],[Operating Time]]=0, (Table110[[#This Row],[Operating Time]]/IF(AD287&lt;=1,AD287+1,AD287))*60=0),
      1,
      ((Table110[[#This Row],[Operating Time]])/IF(AD287&lt;=1,AD287+1,AD287))*60
   ),
"_")</f>
        <v>1</v>
      </c>
      <c r="AX287" s="221">
        <f>COUNTIFS('Downtime Data'!A:A,Table110[[#This Row],[Date]])</f>
        <v>0</v>
      </c>
      <c r="AY287" s="219" t="str">
        <f>IFERROR((SUM(Table110[[#This Row],[Minor Stoppages]:[Material Shortages]])/Table110[[#This Row],['# Stops]])*60,"")</f>
        <v/>
      </c>
      <c r="AZ287" s="219"/>
      <c r="BA287" s="33">
        <v>46321</v>
      </c>
    </row>
    <row r="288" spans="1:53" ht="20.149999999999999" customHeight="1" x14ac:dyDescent="0.35">
      <c r="A288" s="21">
        <v>46305</v>
      </c>
      <c r="B288" s="22" t="str">
        <f t="shared" si="5"/>
        <v>Saturday</v>
      </c>
      <c r="C288" s="22"/>
      <c r="D288" s="23"/>
      <c r="E288" s="24" t="str" cm="1">
        <f t="array" aca="1" ref="E288" ca="1">IFERROR(INDIRECT(D288),"")</f>
        <v/>
      </c>
      <c r="F288" s="25"/>
      <c r="G288" s="26"/>
      <c r="H288" s="27" t="str">
        <f ca="1">IFERROR((Table110[[#This Row],[Plan]]/Table110[[#This Row],[Hours Used]])/(Table110[[#This Row],[SOC (TPD)]]/24),"")</f>
        <v/>
      </c>
      <c r="I288" s="27" t="str">
        <f ca="1">IFERROR((Table110[[#This Row],[Volume Delivered (T)]]/Table110[[#This Row],[Hours Used]])/(Table110[[#This Row],[SOC (TPD)]]/24),"")</f>
        <v/>
      </c>
      <c r="J288" s="28"/>
      <c r="K288" s="28"/>
      <c r="L288" s="28"/>
      <c r="M288" s="25"/>
      <c r="N288" s="29"/>
      <c r="O288" s="84"/>
      <c r="P288" s="25"/>
      <c r="Q288" s="25"/>
      <c r="R288" s="70"/>
      <c r="S288" s="71"/>
      <c r="T288" s="30">
        <f>IF(Table110[[#This Row],[SKU]]="",0,24-Table110[[#This Row],[Legal Non-Operating Time]]-Table110[[#This Row],[No Demand Time]]-Table110[[#This Row],[Force Majeure]])</f>
        <v>0</v>
      </c>
      <c r="U288" s="26"/>
      <c r="V288" s="26"/>
      <c r="W288" s="26"/>
      <c r="X288" s="26"/>
      <c r="Y288" s="26"/>
      <c r="Z288" s="26"/>
      <c r="AA288" s="26"/>
      <c r="AB288" s="30">
        <f>Table110[[#This Row],[Hours Used]]-SUM(Table110[[#This Row],[Planned Maintenance]:[Start and Finish Production]])</f>
        <v>0</v>
      </c>
      <c r="AC288" s="26"/>
      <c r="AD288" s="26"/>
      <c r="AE288" s="26"/>
      <c r="AF288" s="26"/>
      <c r="AG288" s="26"/>
      <c r="AH288" s="26"/>
      <c r="AI288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88" s="24">
        <f>IFERROR(IF(Table110[[#This Row],[SKU]]="",0,Table110[[#This Row],[Quality Loss (T)]]/(Table110[[#This Row],[SOC (TPD)]]/24)),"")</f>
        <v>0</v>
      </c>
      <c r="AK288" s="31">
        <f>IFERROR(IF(Table110[[#This Row],[SKU]]="",0,Table110[[#This Row],[Volume Delivered (T)]]/(Table110[[#This Row],[SOC (TPD)]]/24)),"")</f>
        <v>0</v>
      </c>
      <c r="AL288" s="31" t="str">
        <f>IFERROR(Table110[[#This Row],[Operating Time]]/Table110[[#This Row],[PRODUCTION HOURS]],"")</f>
        <v/>
      </c>
      <c r="AM288" s="32"/>
      <c r="AN288" s="32"/>
      <c r="AO288" s="32"/>
      <c r="AP288" s="32">
        <v>46</v>
      </c>
      <c r="AQ288" s="32">
        <v>0</v>
      </c>
      <c r="AR288" s="32"/>
      <c r="AS288" s="32" t="str">
        <f>IFERROR(SUMIFS(#REF!,#REF!,'Shift Wise-Data Sheet'!A:A,#REF!,"Samridhi Perk Line")/SUMIFS(#REF!,#REF!,'Shift Wise-Data Sheet'!A:A,#REF!,"Samridhi Perk Line"),"")</f>
        <v/>
      </c>
      <c r="AT288" s="32"/>
      <c r="AU288" s="32"/>
      <c r="AV288" s="211">
        <f>IFERROR(VLOOKUP(Table110[[#This Row],[Date]],'Overweight Data'!A286:G1381,6,FALSE),"")</f>
        <v>0</v>
      </c>
      <c r="AW288" s="221">
        <f>IFERROR(
   IF(
      OR(Table110[[#This Row],[Operating Time]]=0, (Table110[[#This Row],[Operating Time]]/IF(AD288&lt;=1,AD288+1,AD288))*60=0),
      1,
      ((Table110[[#This Row],[Operating Time]])/IF(AD288&lt;=1,AD288+1,AD288))*60
   ),
"_")</f>
        <v>1</v>
      </c>
      <c r="AX288" s="221">
        <f>COUNTIFS('Downtime Data'!A:A,Table110[[#This Row],[Date]])</f>
        <v>0</v>
      </c>
      <c r="AY288" s="219" t="str">
        <f>IFERROR((SUM(Table110[[#This Row],[Minor Stoppages]:[Material Shortages]])/Table110[[#This Row],['# Stops]])*60,"")</f>
        <v/>
      </c>
      <c r="AZ288" s="219"/>
      <c r="BA288" s="33">
        <v>46321</v>
      </c>
    </row>
    <row r="289" spans="1:53" ht="20.149999999999999" customHeight="1" x14ac:dyDescent="0.35">
      <c r="A289" s="21">
        <v>46306</v>
      </c>
      <c r="B289" s="22" t="str">
        <f t="shared" si="5"/>
        <v>Sunday</v>
      </c>
      <c r="C289" s="22"/>
      <c r="D289" s="23"/>
      <c r="E289" s="24" t="str" cm="1">
        <f t="array" aca="1" ref="E289" ca="1">IFERROR(INDIRECT(D289),"")</f>
        <v/>
      </c>
      <c r="F289" s="25"/>
      <c r="G289" s="26"/>
      <c r="H289" s="27" t="str">
        <f ca="1">IFERROR((Table110[[#This Row],[Plan]]/Table110[[#This Row],[Hours Used]])/(Table110[[#This Row],[SOC (TPD)]]/24),"")</f>
        <v/>
      </c>
      <c r="I289" s="27" t="str">
        <f ca="1">IFERROR((Table110[[#This Row],[Volume Delivered (T)]]/Table110[[#This Row],[Hours Used]])/(Table110[[#This Row],[SOC (TPD)]]/24),"")</f>
        <v/>
      </c>
      <c r="J289" s="28"/>
      <c r="K289" s="28"/>
      <c r="L289" s="28"/>
      <c r="M289" s="25"/>
      <c r="N289" s="29"/>
      <c r="O289" s="84"/>
      <c r="P289" s="25"/>
      <c r="Q289" s="25"/>
      <c r="R289" s="70"/>
      <c r="S289" s="71"/>
      <c r="T289" s="30">
        <f>IF(Table110[[#This Row],[SKU]]="",0,24-Table110[[#This Row],[Legal Non-Operating Time]]-Table110[[#This Row],[No Demand Time]]-Table110[[#This Row],[Force Majeure]])</f>
        <v>0</v>
      </c>
      <c r="U289" s="26"/>
      <c r="V289" s="26"/>
      <c r="W289" s="26"/>
      <c r="X289" s="26"/>
      <c r="Y289" s="26"/>
      <c r="Z289" s="26"/>
      <c r="AA289" s="26"/>
      <c r="AB289" s="30">
        <f>Table110[[#This Row],[Hours Used]]-SUM(Table110[[#This Row],[Planned Maintenance]:[Start and Finish Production]])</f>
        <v>0</v>
      </c>
      <c r="AC289" s="26"/>
      <c r="AD289" s="26"/>
      <c r="AE289" s="26"/>
      <c r="AF289" s="26"/>
      <c r="AG289" s="26"/>
      <c r="AH289" s="26"/>
      <c r="AI289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89" s="24">
        <f>IFERROR(IF(Table110[[#This Row],[SKU]]="",0,Table110[[#This Row],[Quality Loss (T)]]/(Table110[[#This Row],[SOC (TPD)]]/24)),"")</f>
        <v>0</v>
      </c>
      <c r="AK289" s="31">
        <f>IFERROR(IF(Table110[[#This Row],[SKU]]="",0,Table110[[#This Row],[Volume Delivered (T)]]/(Table110[[#This Row],[SOC (TPD)]]/24)),"")</f>
        <v>0</v>
      </c>
      <c r="AL289" s="31" t="str">
        <f>IFERROR(Table110[[#This Row],[Operating Time]]/Table110[[#This Row],[PRODUCTION HOURS]],"")</f>
        <v/>
      </c>
      <c r="AM289" s="32"/>
      <c r="AN289" s="32"/>
      <c r="AO289" s="32"/>
      <c r="AP289" s="32">
        <v>0</v>
      </c>
      <c r="AQ289" s="32">
        <v>0</v>
      </c>
      <c r="AR289" s="32"/>
      <c r="AS289" s="32" t="str">
        <f>IFERROR(SUMIFS(#REF!,#REF!,'Shift Wise-Data Sheet'!A:A,#REF!,"Samridhi Perk Line")/SUMIFS(#REF!,#REF!,'Shift Wise-Data Sheet'!A:A,#REF!,"Samridhi Perk Line"),"")</f>
        <v/>
      </c>
      <c r="AT289" s="32"/>
      <c r="AU289" s="32"/>
      <c r="AV289" s="211">
        <f>IFERROR(VLOOKUP(Table110[[#This Row],[Date]],'Overweight Data'!A287:G1382,6,FALSE),"")</f>
        <v>0</v>
      </c>
      <c r="AW289" s="221">
        <f>IFERROR(
   IF(
      OR(Table110[[#This Row],[Operating Time]]=0, (Table110[[#This Row],[Operating Time]]/IF(AD289&lt;=1,AD289+1,AD289))*60=0),
      1,
      ((Table110[[#This Row],[Operating Time]])/IF(AD289&lt;=1,AD289+1,AD289))*60
   ),
"_")</f>
        <v>1</v>
      </c>
      <c r="AX289" s="221">
        <f>COUNTIFS('Downtime Data'!A:A,Table110[[#This Row],[Date]])</f>
        <v>0</v>
      </c>
      <c r="AY289" s="219" t="str">
        <f>IFERROR((SUM(Table110[[#This Row],[Minor Stoppages]:[Material Shortages]])/Table110[[#This Row],['# Stops]])*60,"")</f>
        <v/>
      </c>
      <c r="AZ289" s="219"/>
      <c r="BA289" s="33">
        <v>46321</v>
      </c>
    </row>
    <row r="290" spans="1:53" ht="20.149999999999999" customHeight="1" x14ac:dyDescent="0.35">
      <c r="A290" s="21">
        <v>46307</v>
      </c>
      <c r="B290" s="22" t="str">
        <f t="shared" si="5"/>
        <v>Monday</v>
      </c>
      <c r="C290" s="22"/>
      <c r="D290" s="23"/>
      <c r="E290" s="24" t="str" cm="1">
        <f t="array" aca="1" ref="E290" ca="1">IFERROR(INDIRECT(D290),"")</f>
        <v/>
      </c>
      <c r="F290" s="25"/>
      <c r="G290" s="26"/>
      <c r="H290" s="27" t="str">
        <f ca="1">IFERROR((Table110[[#This Row],[Plan]]/Table110[[#This Row],[Hours Used]])/(Table110[[#This Row],[SOC (TPD)]]/24),"")</f>
        <v/>
      </c>
      <c r="I290" s="27" t="str">
        <f ca="1">IFERROR((Table110[[#This Row],[Volume Delivered (T)]]/Table110[[#This Row],[Hours Used]])/(Table110[[#This Row],[SOC (TPD)]]/24),"")</f>
        <v/>
      </c>
      <c r="J290" s="28"/>
      <c r="K290" s="28"/>
      <c r="L290" s="28"/>
      <c r="M290" s="25"/>
      <c r="N290" s="29"/>
      <c r="O290" s="84"/>
      <c r="P290" s="25"/>
      <c r="Q290" s="25"/>
      <c r="R290" s="70"/>
      <c r="S290" s="71"/>
      <c r="T290" s="30">
        <f>IF(Table110[[#This Row],[SKU]]="",0,24-Table110[[#This Row],[Legal Non-Operating Time]]-Table110[[#This Row],[No Demand Time]]-Table110[[#This Row],[Force Majeure]])</f>
        <v>0</v>
      </c>
      <c r="U290" s="26"/>
      <c r="V290" s="26"/>
      <c r="W290" s="26"/>
      <c r="X290" s="26"/>
      <c r="Y290" s="26"/>
      <c r="Z290" s="26"/>
      <c r="AA290" s="26"/>
      <c r="AB290" s="30">
        <f>Table110[[#This Row],[Hours Used]]-SUM(Table110[[#This Row],[Planned Maintenance]:[Start and Finish Production]])</f>
        <v>0</v>
      </c>
      <c r="AC290" s="26"/>
      <c r="AD290" s="26"/>
      <c r="AE290" s="26"/>
      <c r="AF290" s="26"/>
      <c r="AG290" s="26"/>
      <c r="AH290" s="26"/>
      <c r="AI290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90" s="24">
        <f>IFERROR(IF(Table110[[#This Row],[SKU]]="",0,Table110[[#This Row],[Quality Loss (T)]]/(Table110[[#This Row],[SOC (TPD)]]/24)),"")</f>
        <v>0</v>
      </c>
      <c r="AK290" s="31">
        <f>IFERROR(IF(Table110[[#This Row],[SKU]]="",0,Table110[[#This Row],[Volume Delivered (T)]]/(Table110[[#This Row],[SOC (TPD)]]/24)),"")</f>
        <v>0</v>
      </c>
      <c r="AL290" s="31" t="str">
        <f>IFERROR(Table110[[#This Row],[Operating Time]]/Table110[[#This Row],[PRODUCTION HOURS]],"")</f>
        <v/>
      </c>
      <c r="AM290" s="32"/>
      <c r="AN290" s="32"/>
      <c r="AO290" s="32"/>
      <c r="AP290" s="32">
        <v>3</v>
      </c>
      <c r="AQ290" s="32">
        <v>0</v>
      </c>
      <c r="AR290" s="32"/>
      <c r="AS290" s="32" t="str">
        <f>IFERROR(SUMIFS(#REF!,#REF!,'Shift Wise-Data Sheet'!A:A,#REF!,"Samridhi Perk Line")/SUMIFS(#REF!,#REF!,'Shift Wise-Data Sheet'!A:A,#REF!,"Samridhi Perk Line"),"")</f>
        <v/>
      </c>
      <c r="AT290" s="32"/>
      <c r="AU290" s="32"/>
      <c r="AV290" s="211">
        <f>IFERROR(VLOOKUP(Table110[[#This Row],[Date]],'Overweight Data'!A288:G1383,6,FALSE),"")</f>
        <v>0</v>
      </c>
      <c r="AW290" s="221">
        <f>IFERROR(
   IF(
      OR(Table110[[#This Row],[Operating Time]]=0, (Table110[[#This Row],[Operating Time]]/IF(AD290&lt;=1,AD290+1,AD290))*60=0),
      1,
      ((Table110[[#This Row],[Operating Time]])/IF(AD290&lt;=1,AD290+1,AD290))*60
   ),
"_")</f>
        <v>1</v>
      </c>
      <c r="AX290" s="221">
        <f>COUNTIFS('Downtime Data'!A:A,Table110[[#This Row],[Date]])</f>
        <v>0</v>
      </c>
      <c r="AY290" s="219" t="str">
        <f>IFERROR((SUM(Table110[[#This Row],[Minor Stoppages]:[Material Shortages]])/Table110[[#This Row],['# Stops]])*60,"")</f>
        <v/>
      </c>
      <c r="AZ290" s="219"/>
      <c r="BA290" s="33">
        <v>46321</v>
      </c>
    </row>
    <row r="291" spans="1:53" ht="20.149999999999999" customHeight="1" x14ac:dyDescent="0.35">
      <c r="A291" s="21">
        <v>46308</v>
      </c>
      <c r="B291" s="22" t="str">
        <f t="shared" si="5"/>
        <v>Tuesday</v>
      </c>
      <c r="C291" s="22"/>
      <c r="D291" s="23"/>
      <c r="E291" s="24" t="str" cm="1">
        <f t="array" aca="1" ref="E291" ca="1">IFERROR(INDIRECT(D291),"")</f>
        <v/>
      </c>
      <c r="F291" s="25"/>
      <c r="G291" s="26"/>
      <c r="H291" s="27" t="str">
        <f ca="1">IFERROR((Table110[[#This Row],[Plan]]/Table110[[#This Row],[Hours Used]])/(Table110[[#This Row],[SOC (TPD)]]/24),"")</f>
        <v/>
      </c>
      <c r="I291" s="27" t="str">
        <f ca="1">IFERROR((Table110[[#This Row],[Volume Delivered (T)]]/Table110[[#This Row],[Hours Used]])/(Table110[[#This Row],[SOC (TPD)]]/24),"")</f>
        <v/>
      </c>
      <c r="J291" s="28"/>
      <c r="K291" s="28"/>
      <c r="L291" s="28"/>
      <c r="M291" s="25"/>
      <c r="N291" s="29"/>
      <c r="O291" s="84"/>
      <c r="P291" s="25"/>
      <c r="Q291" s="25"/>
      <c r="R291" s="70"/>
      <c r="S291" s="71"/>
      <c r="T291" s="30">
        <f>IF(Table110[[#This Row],[SKU]]="",0,24-Table110[[#This Row],[Legal Non-Operating Time]]-Table110[[#This Row],[No Demand Time]]-Table110[[#This Row],[Force Majeure]])</f>
        <v>0</v>
      </c>
      <c r="U291" s="26"/>
      <c r="V291" s="26"/>
      <c r="W291" s="26"/>
      <c r="X291" s="26"/>
      <c r="Y291" s="26"/>
      <c r="Z291" s="26"/>
      <c r="AA291" s="26"/>
      <c r="AB291" s="30">
        <f>Table110[[#This Row],[Hours Used]]-SUM(Table110[[#This Row],[Planned Maintenance]:[Start and Finish Production]])</f>
        <v>0</v>
      </c>
      <c r="AC291" s="26"/>
      <c r="AD291" s="26"/>
      <c r="AE291" s="26"/>
      <c r="AF291" s="26"/>
      <c r="AG291" s="26"/>
      <c r="AH291" s="26"/>
      <c r="AI291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91" s="24">
        <f>IFERROR(IF(Table110[[#This Row],[SKU]]="",0,Table110[[#This Row],[Quality Loss (T)]]/(Table110[[#This Row],[SOC (TPD)]]/24)),"")</f>
        <v>0</v>
      </c>
      <c r="AK291" s="31">
        <f>IFERROR(IF(Table110[[#This Row],[SKU]]="",0,Table110[[#This Row],[Volume Delivered (T)]]/(Table110[[#This Row],[SOC (TPD)]]/24)),"")</f>
        <v>0</v>
      </c>
      <c r="AL291" s="31" t="str">
        <f>IFERROR(Table110[[#This Row],[Operating Time]]/Table110[[#This Row],[PRODUCTION HOURS]],"")</f>
        <v/>
      </c>
      <c r="AM291" s="32"/>
      <c r="AN291" s="32"/>
      <c r="AO291" s="32"/>
      <c r="AP291" s="32">
        <v>13</v>
      </c>
      <c r="AQ291" s="32">
        <v>0</v>
      </c>
      <c r="AR291" s="32"/>
      <c r="AS291" s="32" t="str">
        <f>IFERROR(SUMIFS(#REF!,#REF!,'Shift Wise-Data Sheet'!A:A,#REF!,"Samridhi Perk Line")/SUMIFS(#REF!,#REF!,'Shift Wise-Data Sheet'!A:A,#REF!,"Samridhi Perk Line"),"")</f>
        <v/>
      </c>
      <c r="AT291" s="32"/>
      <c r="AU291" s="32"/>
      <c r="AV291" s="211">
        <f>IFERROR(VLOOKUP(Table110[[#This Row],[Date]],'Overweight Data'!A289:G1384,6,FALSE),"")</f>
        <v>0</v>
      </c>
      <c r="AW291" s="221">
        <f>IFERROR(
   IF(
      OR(Table110[[#This Row],[Operating Time]]=0, (Table110[[#This Row],[Operating Time]]/IF(AD291&lt;=1,AD291+1,AD291))*60=0),
      1,
      ((Table110[[#This Row],[Operating Time]])/IF(AD291&lt;=1,AD291+1,AD291))*60
   ),
"_")</f>
        <v>1</v>
      </c>
      <c r="AX291" s="221">
        <f>COUNTIFS('Downtime Data'!A:A,Table110[[#This Row],[Date]])</f>
        <v>0</v>
      </c>
      <c r="AY291" s="219" t="str">
        <f>IFERROR((SUM(Table110[[#This Row],[Minor Stoppages]:[Material Shortages]])/Table110[[#This Row],['# Stops]])*60,"")</f>
        <v/>
      </c>
      <c r="AZ291" s="219"/>
      <c r="BA291" s="33">
        <v>46321</v>
      </c>
    </row>
    <row r="292" spans="1:53" ht="20.149999999999999" customHeight="1" x14ac:dyDescent="0.35">
      <c r="A292" s="21">
        <v>46309</v>
      </c>
      <c r="B292" s="22" t="str">
        <f t="shared" si="5"/>
        <v>Wednesday</v>
      </c>
      <c r="C292" s="22"/>
      <c r="D292" s="23"/>
      <c r="E292" s="24" t="str" cm="1">
        <f t="array" aca="1" ref="E292" ca="1">IFERROR(INDIRECT(D292),"")</f>
        <v/>
      </c>
      <c r="F292" s="25"/>
      <c r="G292" s="26"/>
      <c r="H292" s="27" t="str">
        <f ca="1">IFERROR((Table110[[#This Row],[Plan]]/Table110[[#This Row],[Hours Used]])/(Table110[[#This Row],[SOC (TPD)]]/24),"")</f>
        <v/>
      </c>
      <c r="I292" s="27" t="str">
        <f ca="1">IFERROR((Table110[[#This Row],[Volume Delivered (T)]]/Table110[[#This Row],[Hours Used]])/(Table110[[#This Row],[SOC (TPD)]]/24),"")</f>
        <v/>
      </c>
      <c r="J292" s="28"/>
      <c r="K292" s="28"/>
      <c r="L292" s="28"/>
      <c r="M292" s="25"/>
      <c r="N292" s="29"/>
      <c r="O292" s="84"/>
      <c r="P292" s="25"/>
      <c r="Q292" s="25"/>
      <c r="R292" s="70"/>
      <c r="S292" s="71"/>
      <c r="T292" s="30">
        <f>IF(Table110[[#This Row],[SKU]]="",0,24-Table110[[#This Row],[Legal Non-Operating Time]]-Table110[[#This Row],[No Demand Time]]-Table110[[#This Row],[Force Majeure]])</f>
        <v>0</v>
      </c>
      <c r="U292" s="26"/>
      <c r="V292" s="26"/>
      <c r="W292" s="26"/>
      <c r="X292" s="26"/>
      <c r="Y292" s="26"/>
      <c r="Z292" s="26"/>
      <c r="AA292" s="26"/>
      <c r="AB292" s="30">
        <f>Table110[[#This Row],[Hours Used]]-SUM(Table110[[#This Row],[Planned Maintenance]:[Start and Finish Production]])</f>
        <v>0</v>
      </c>
      <c r="AC292" s="26"/>
      <c r="AD292" s="26"/>
      <c r="AE292" s="26"/>
      <c r="AF292" s="26"/>
      <c r="AG292" s="26"/>
      <c r="AH292" s="26"/>
      <c r="AI292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92" s="24">
        <f>IFERROR(IF(Table110[[#This Row],[SKU]]="",0,Table110[[#This Row],[Quality Loss (T)]]/(Table110[[#This Row],[SOC (TPD)]]/24)),"")</f>
        <v>0</v>
      </c>
      <c r="AK292" s="31">
        <f>IFERROR(IF(Table110[[#This Row],[SKU]]="",0,Table110[[#This Row],[Volume Delivered (T)]]/(Table110[[#This Row],[SOC (TPD)]]/24)),"")</f>
        <v>0</v>
      </c>
      <c r="AL292" s="31" t="str">
        <f>IFERROR(Table110[[#This Row],[Operating Time]]/Table110[[#This Row],[PRODUCTION HOURS]],"")</f>
        <v/>
      </c>
      <c r="AM292" s="32"/>
      <c r="AN292" s="32"/>
      <c r="AO292" s="32"/>
      <c r="AP292" s="32">
        <v>0</v>
      </c>
      <c r="AQ292" s="32">
        <v>0</v>
      </c>
      <c r="AR292" s="32"/>
      <c r="AS292" s="32" t="str">
        <f>IFERROR(SUMIFS(#REF!,#REF!,'Shift Wise-Data Sheet'!A:A,#REF!,"Samridhi Perk Line")/SUMIFS(#REF!,#REF!,'Shift Wise-Data Sheet'!A:A,#REF!,"Samridhi Perk Line"),"")</f>
        <v/>
      </c>
      <c r="AT292" s="32"/>
      <c r="AU292" s="32"/>
      <c r="AV292" s="211">
        <f>IFERROR(VLOOKUP(Table110[[#This Row],[Date]],'Overweight Data'!A290:G1385,6,FALSE),"")</f>
        <v>0</v>
      </c>
      <c r="AW292" s="221">
        <f>IFERROR(
   IF(
      OR(Table110[[#This Row],[Operating Time]]=0, (Table110[[#This Row],[Operating Time]]/IF(AD292&lt;=1,AD292+1,AD292))*60=0),
      1,
      ((Table110[[#This Row],[Operating Time]])/IF(AD292&lt;=1,AD292+1,AD292))*60
   ),
"_")</f>
        <v>1</v>
      </c>
      <c r="AX292" s="221">
        <f>COUNTIFS('Downtime Data'!A:A,Table110[[#This Row],[Date]])</f>
        <v>0</v>
      </c>
      <c r="AY292" s="219" t="str">
        <f>IFERROR((SUM(Table110[[#This Row],[Minor Stoppages]:[Material Shortages]])/Table110[[#This Row],['# Stops]])*60,"")</f>
        <v/>
      </c>
      <c r="AZ292" s="219"/>
      <c r="BA292" s="33">
        <v>46321</v>
      </c>
    </row>
    <row r="293" spans="1:53" ht="20.149999999999999" customHeight="1" x14ac:dyDescent="0.35">
      <c r="A293" s="21">
        <v>46310</v>
      </c>
      <c r="B293" s="22" t="str">
        <f t="shared" si="5"/>
        <v>Thursday</v>
      </c>
      <c r="C293" s="22"/>
      <c r="D293" s="23"/>
      <c r="E293" s="24" t="str" cm="1">
        <f t="array" aca="1" ref="E293" ca="1">IFERROR(INDIRECT(D293),"")</f>
        <v/>
      </c>
      <c r="F293" s="25"/>
      <c r="G293" s="26"/>
      <c r="H293" s="27" t="str">
        <f ca="1">IFERROR((Table110[[#This Row],[Plan]]/Table110[[#This Row],[Hours Used]])/(Table110[[#This Row],[SOC (TPD)]]/24),"")</f>
        <v/>
      </c>
      <c r="I293" s="27" t="str">
        <f ca="1">IFERROR((Table110[[#This Row],[Volume Delivered (T)]]/Table110[[#This Row],[Hours Used]])/(Table110[[#This Row],[SOC (TPD)]]/24),"")</f>
        <v/>
      </c>
      <c r="J293" s="28"/>
      <c r="K293" s="28"/>
      <c r="L293" s="28"/>
      <c r="M293" s="25"/>
      <c r="N293" s="29"/>
      <c r="O293" s="84"/>
      <c r="P293" s="25"/>
      <c r="Q293" s="25"/>
      <c r="R293" s="70"/>
      <c r="S293" s="71"/>
      <c r="T293" s="30">
        <f>IF(Table110[[#This Row],[SKU]]="",0,24-Table110[[#This Row],[Legal Non-Operating Time]]-Table110[[#This Row],[No Demand Time]]-Table110[[#This Row],[Force Majeure]])</f>
        <v>0</v>
      </c>
      <c r="U293" s="26"/>
      <c r="V293" s="26"/>
      <c r="W293" s="26"/>
      <c r="X293" s="26"/>
      <c r="Y293" s="26"/>
      <c r="Z293" s="26"/>
      <c r="AA293" s="26"/>
      <c r="AB293" s="30">
        <f>Table110[[#This Row],[Hours Used]]-SUM(Table110[[#This Row],[Planned Maintenance]:[Start and Finish Production]])</f>
        <v>0</v>
      </c>
      <c r="AC293" s="26"/>
      <c r="AD293" s="26"/>
      <c r="AE293" s="26"/>
      <c r="AF293" s="26"/>
      <c r="AG293" s="26"/>
      <c r="AH293" s="26"/>
      <c r="AI293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93" s="24">
        <f>IFERROR(IF(Table110[[#This Row],[SKU]]="",0,Table110[[#This Row],[Quality Loss (T)]]/(Table110[[#This Row],[SOC (TPD)]]/24)),"")</f>
        <v>0</v>
      </c>
      <c r="AK293" s="31">
        <f>IFERROR(IF(Table110[[#This Row],[SKU]]="",0,Table110[[#This Row],[Volume Delivered (T)]]/(Table110[[#This Row],[SOC (TPD)]]/24)),"")</f>
        <v>0</v>
      </c>
      <c r="AL293" s="31" t="str">
        <f>IFERROR(Table110[[#This Row],[Operating Time]]/Table110[[#This Row],[PRODUCTION HOURS]],"")</f>
        <v/>
      </c>
      <c r="AM293" s="32"/>
      <c r="AN293" s="32"/>
      <c r="AO293" s="32"/>
      <c r="AP293" s="32">
        <v>0</v>
      </c>
      <c r="AQ293" s="32">
        <v>0</v>
      </c>
      <c r="AR293" s="32"/>
      <c r="AS293" s="32" t="str">
        <f>IFERROR(SUMIFS(#REF!,#REF!,'Shift Wise-Data Sheet'!A:A,#REF!,"Samridhi Perk Line")/SUMIFS(#REF!,#REF!,'Shift Wise-Data Sheet'!A:A,#REF!,"Samridhi Perk Line"),"")</f>
        <v/>
      </c>
      <c r="AT293" s="32"/>
      <c r="AU293" s="32"/>
      <c r="AV293" s="211">
        <f>IFERROR(VLOOKUP(Table110[[#This Row],[Date]],'Overweight Data'!A291:G1386,6,FALSE),"")</f>
        <v>0</v>
      </c>
      <c r="AW293" s="221">
        <f>IFERROR(
   IF(
      OR(Table110[[#This Row],[Operating Time]]=0, (Table110[[#This Row],[Operating Time]]/IF(AD293&lt;=1,AD293+1,AD293))*60=0),
      1,
      ((Table110[[#This Row],[Operating Time]])/IF(AD293&lt;=1,AD293+1,AD293))*60
   ),
"_")</f>
        <v>1</v>
      </c>
      <c r="AX293" s="221">
        <f>COUNTIFS('Downtime Data'!A:A,Table110[[#This Row],[Date]])</f>
        <v>0</v>
      </c>
      <c r="AY293" s="219" t="str">
        <f>IFERROR((SUM(Table110[[#This Row],[Minor Stoppages]:[Material Shortages]])/Table110[[#This Row],['# Stops]])*60,"")</f>
        <v/>
      </c>
      <c r="AZ293" s="219"/>
      <c r="BA293" s="33">
        <v>46321</v>
      </c>
    </row>
    <row r="294" spans="1:53" ht="20.149999999999999" customHeight="1" x14ac:dyDescent="0.35">
      <c r="A294" s="21">
        <v>46311</v>
      </c>
      <c r="B294" s="22" t="str">
        <f t="shared" si="5"/>
        <v>Friday</v>
      </c>
      <c r="C294" s="22"/>
      <c r="D294" s="23"/>
      <c r="E294" s="24" t="str" cm="1">
        <f t="array" aca="1" ref="E294" ca="1">IFERROR(INDIRECT(D294),"")</f>
        <v/>
      </c>
      <c r="F294" s="25"/>
      <c r="G294" s="26"/>
      <c r="H294" s="27" t="str">
        <f ca="1">IFERROR((Table110[[#This Row],[Plan]]/Table110[[#This Row],[Hours Used]])/(Table110[[#This Row],[SOC (TPD)]]/24),"")</f>
        <v/>
      </c>
      <c r="I294" s="27" t="str">
        <f ca="1">IFERROR((Table110[[#This Row],[Volume Delivered (T)]]/Table110[[#This Row],[Hours Used]])/(Table110[[#This Row],[SOC (TPD)]]/24),"")</f>
        <v/>
      </c>
      <c r="J294" s="28"/>
      <c r="K294" s="28"/>
      <c r="L294" s="28"/>
      <c r="M294" s="25"/>
      <c r="N294" s="29"/>
      <c r="O294" s="84"/>
      <c r="P294" s="25"/>
      <c r="Q294" s="25"/>
      <c r="R294" s="70"/>
      <c r="S294" s="71"/>
      <c r="T294" s="30">
        <f>IF(Table110[[#This Row],[SKU]]="",0,24-Table110[[#This Row],[Legal Non-Operating Time]]-Table110[[#This Row],[No Demand Time]]-Table110[[#This Row],[Force Majeure]])</f>
        <v>0</v>
      </c>
      <c r="U294" s="26"/>
      <c r="V294" s="26"/>
      <c r="W294" s="26"/>
      <c r="X294" s="26"/>
      <c r="Y294" s="26"/>
      <c r="Z294" s="26"/>
      <c r="AA294" s="26"/>
      <c r="AB294" s="30">
        <f>Table110[[#This Row],[Hours Used]]-SUM(Table110[[#This Row],[Planned Maintenance]:[Start and Finish Production]])</f>
        <v>0</v>
      </c>
      <c r="AC294" s="26"/>
      <c r="AD294" s="26"/>
      <c r="AE294" s="26"/>
      <c r="AF294" s="26"/>
      <c r="AG294" s="26"/>
      <c r="AH294" s="26"/>
      <c r="AI294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94" s="24">
        <f>IFERROR(IF(Table110[[#This Row],[SKU]]="",0,Table110[[#This Row],[Quality Loss (T)]]/(Table110[[#This Row],[SOC (TPD)]]/24)),"")</f>
        <v>0</v>
      </c>
      <c r="AK294" s="31">
        <f>IFERROR(IF(Table110[[#This Row],[SKU]]="",0,Table110[[#This Row],[Volume Delivered (T)]]/(Table110[[#This Row],[SOC (TPD)]]/24)),"")</f>
        <v>0</v>
      </c>
      <c r="AL294" s="31" t="str">
        <f>IFERROR(Table110[[#This Row],[Operating Time]]/Table110[[#This Row],[PRODUCTION HOURS]],"")</f>
        <v/>
      </c>
      <c r="AM294" s="32"/>
      <c r="AN294" s="32"/>
      <c r="AO294" s="32"/>
      <c r="AP294" s="32">
        <v>3</v>
      </c>
      <c r="AQ294" s="32">
        <v>0</v>
      </c>
      <c r="AR294" s="32"/>
      <c r="AS294" s="32" t="str">
        <f>IFERROR(SUMIFS(#REF!,#REF!,'Shift Wise-Data Sheet'!A:A,#REF!,"Samridhi Perk Line")/SUMIFS(#REF!,#REF!,'Shift Wise-Data Sheet'!A:A,#REF!,"Samridhi Perk Line"),"")</f>
        <v/>
      </c>
      <c r="AT294" s="32"/>
      <c r="AU294" s="32"/>
      <c r="AV294" s="211">
        <f>IFERROR(VLOOKUP(Table110[[#This Row],[Date]],'Overweight Data'!A292:G1387,6,FALSE),"")</f>
        <v>0</v>
      </c>
      <c r="AW294" s="221">
        <f>IFERROR(
   IF(
      OR(Table110[[#This Row],[Operating Time]]=0, (Table110[[#This Row],[Operating Time]]/IF(AD294&lt;=1,AD294+1,AD294))*60=0),
      1,
      ((Table110[[#This Row],[Operating Time]])/IF(AD294&lt;=1,AD294+1,AD294))*60
   ),
"_")</f>
        <v>1</v>
      </c>
      <c r="AX294" s="221">
        <f>COUNTIFS('Downtime Data'!A:A,Table110[[#This Row],[Date]])</f>
        <v>0</v>
      </c>
      <c r="AY294" s="219" t="str">
        <f>IFERROR((SUM(Table110[[#This Row],[Minor Stoppages]:[Material Shortages]])/Table110[[#This Row],['# Stops]])*60,"")</f>
        <v/>
      </c>
      <c r="AZ294" s="219"/>
      <c r="BA294" s="33">
        <v>46321</v>
      </c>
    </row>
    <row r="295" spans="1:53" ht="20.149999999999999" customHeight="1" x14ac:dyDescent="0.35">
      <c r="A295" s="21">
        <v>46312</v>
      </c>
      <c r="B295" s="22" t="str">
        <f t="shared" si="5"/>
        <v>Saturday</v>
      </c>
      <c r="C295" s="22"/>
      <c r="D295" s="23"/>
      <c r="E295" s="24" t="str" cm="1">
        <f t="array" aca="1" ref="E295" ca="1">IFERROR(INDIRECT(D295),"")</f>
        <v/>
      </c>
      <c r="F295" s="25"/>
      <c r="G295" s="26"/>
      <c r="H295" s="27" t="str">
        <f ca="1">IFERROR((Table110[[#This Row],[Plan]]/Table110[[#This Row],[Hours Used]])/(Table110[[#This Row],[SOC (TPD)]]/24),"")</f>
        <v/>
      </c>
      <c r="I295" s="27" t="str">
        <f ca="1">IFERROR((Table110[[#This Row],[Volume Delivered (T)]]/Table110[[#This Row],[Hours Used]])/(Table110[[#This Row],[SOC (TPD)]]/24),"")</f>
        <v/>
      </c>
      <c r="J295" s="28"/>
      <c r="K295" s="28"/>
      <c r="L295" s="28"/>
      <c r="M295" s="25"/>
      <c r="N295" s="29"/>
      <c r="O295" s="84"/>
      <c r="P295" s="25"/>
      <c r="Q295" s="25"/>
      <c r="R295" s="70"/>
      <c r="S295" s="71"/>
      <c r="T295" s="30">
        <f>IF(Table110[[#This Row],[SKU]]="",0,24-Table110[[#This Row],[Legal Non-Operating Time]]-Table110[[#This Row],[No Demand Time]]-Table110[[#This Row],[Force Majeure]])</f>
        <v>0</v>
      </c>
      <c r="U295" s="26"/>
      <c r="V295" s="26"/>
      <c r="W295" s="26"/>
      <c r="X295" s="26"/>
      <c r="Y295" s="26"/>
      <c r="Z295" s="26"/>
      <c r="AA295" s="26"/>
      <c r="AB295" s="30">
        <f>Table110[[#This Row],[Hours Used]]-SUM(Table110[[#This Row],[Planned Maintenance]:[Start and Finish Production]])</f>
        <v>0</v>
      </c>
      <c r="AC295" s="26"/>
      <c r="AD295" s="26"/>
      <c r="AE295" s="26"/>
      <c r="AF295" s="26"/>
      <c r="AG295" s="26"/>
      <c r="AH295" s="26"/>
      <c r="AI295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95" s="24">
        <f>IFERROR(IF(Table110[[#This Row],[SKU]]="",0,Table110[[#This Row],[Quality Loss (T)]]/(Table110[[#This Row],[SOC (TPD)]]/24)),"")</f>
        <v>0</v>
      </c>
      <c r="AK295" s="31">
        <f>IFERROR(IF(Table110[[#This Row],[SKU]]="",0,Table110[[#This Row],[Volume Delivered (T)]]/(Table110[[#This Row],[SOC (TPD)]]/24)),"")</f>
        <v>0</v>
      </c>
      <c r="AL295" s="31" t="str">
        <f>IFERROR(Table110[[#This Row],[Operating Time]]/Table110[[#This Row],[PRODUCTION HOURS]],"")</f>
        <v/>
      </c>
      <c r="AM295" s="32"/>
      <c r="AN295" s="32"/>
      <c r="AO295" s="32"/>
      <c r="AP295" s="32">
        <v>0</v>
      </c>
      <c r="AQ295" s="32">
        <v>0</v>
      </c>
      <c r="AR295" s="32"/>
      <c r="AS295" s="32" t="str">
        <f>IFERROR(SUMIFS(#REF!,#REF!,'Shift Wise-Data Sheet'!A:A,#REF!,"Samridhi Perk Line")/SUMIFS(#REF!,#REF!,'Shift Wise-Data Sheet'!A:A,#REF!,"Samridhi Perk Line"),"")</f>
        <v/>
      </c>
      <c r="AT295" s="32"/>
      <c r="AU295" s="32"/>
      <c r="AV295" s="211">
        <f>IFERROR(VLOOKUP(Table110[[#This Row],[Date]],'Overweight Data'!A293:G1388,6,FALSE),"")</f>
        <v>0</v>
      </c>
      <c r="AW295" s="221">
        <f>IFERROR(
   IF(
      OR(Table110[[#This Row],[Operating Time]]=0, (Table110[[#This Row],[Operating Time]]/IF(AD295&lt;=1,AD295+1,AD295))*60=0),
      1,
      ((Table110[[#This Row],[Operating Time]])/IF(AD295&lt;=1,AD295+1,AD295))*60
   ),
"_")</f>
        <v>1</v>
      </c>
      <c r="AX295" s="221">
        <f>COUNTIFS('Downtime Data'!A:A,Table110[[#This Row],[Date]])</f>
        <v>0</v>
      </c>
      <c r="AY295" s="219" t="str">
        <f>IFERROR((SUM(Table110[[#This Row],[Minor Stoppages]:[Material Shortages]])/Table110[[#This Row],['# Stops]])*60,"")</f>
        <v/>
      </c>
      <c r="AZ295" s="219"/>
      <c r="BA295" s="33">
        <v>46321</v>
      </c>
    </row>
    <row r="296" spans="1:53" ht="20.149999999999999" customHeight="1" x14ac:dyDescent="0.35">
      <c r="A296" s="21">
        <v>46313</v>
      </c>
      <c r="B296" s="22" t="str">
        <f t="shared" si="5"/>
        <v>Sunday</v>
      </c>
      <c r="C296" s="22"/>
      <c r="D296" s="23"/>
      <c r="E296" s="24" t="str" cm="1">
        <f t="array" aca="1" ref="E296" ca="1">IFERROR(INDIRECT(D296),"")</f>
        <v/>
      </c>
      <c r="F296" s="25"/>
      <c r="G296" s="26"/>
      <c r="H296" s="27" t="str">
        <f ca="1">IFERROR((Table110[[#This Row],[Plan]]/Table110[[#This Row],[Hours Used]])/(Table110[[#This Row],[SOC (TPD)]]/24),"")</f>
        <v/>
      </c>
      <c r="I296" s="27" t="str">
        <f ca="1">IFERROR((Table110[[#This Row],[Volume Delivered (T)]]/Table110[[#This Row],[Hours Used]])/(Table110[[#This Row],[SOC (TPD)]]/24),"")</f>
        <v/>
      </c>
      <c r="J296" s="28"/>
      <c r="K296" s="28"/>
      <c r="L296" s="28"/>
      <c r="M296" s="25"/>
      <c r="N296" s="29"/>
      <c r="O296" s="84"/>
      <c r="P296" s="25"/>
      <c r="Q296" s="25"/>
      <c r="R296" s="70"/>
      <c r="S296" s="71"/>
      <c r="T296" s="30">
        <f>IF(Table110[[#This Row],[SKU]]="",0,24-Table110[[#This Row],[Legal Non-Operating Time]]-Table110[[#This Row],[No Demand Time]]-Table110[[#This Row],[Force Majeure]])</f>
        <v>0</v>
      </c>
      <c r="U296" s="26"/>
      <c r="V296" s="26"/>
      <c r="W296" s="26"/>
      <c r="X296" s="26"/>
      <c r="Y296" s="26"/>
      <c r="Z296" s="26"/>
      <c r="AA296" s="26"/>
      <c r="AB296" s="30">
        <f>Table110[[#This Row],[Hours Used]]-SUM(Table110[[#This Row],[Planned Maintenance]:[Start and Finish Production]])</f>
        <v>0</v>
      </c>
      <c r="AC296" s="26"/>
      <c r="AD296" s="26"/>
      <c r="AE296" s="26"/>
      <c r="AF296" s="26"/>
      <c r="AG296" s="26"/>
      <c r="AH296" s="26"/>
      <c r="AI296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96" s="24">
        <f>IFERROR(IF(Table110[[#This Row],[SKU]]="",0,Table110[[#This Row],[Quality Loss (T)]]/(Table110[[#This Row],[SOC (TPD)]]/24)),"")</f>
        <v>0</v>
      </c>
      <c r="AK296" s="31">
        <f>IFERROR(IF(Table110[[#This Row],[SKU]]="",0,Table110[[#This Row],[Volume Delivered (T)]]/(Table110[[#This Row],[SOC (TPD)]]/24)),"")</f>
        <v>0</v>
      </c>
      <c r="AL296" s="31" t="str">
        <f>IFERROR(Table110[[#This Row],[Operating Time]]/Table110[[#This Row],[PRODUCTION HOURS]],"")</f>
        <v/>
      </c>
      <c r="AM296" s="32"/>
      <c r="AN296" s="32"/>
      <c r="AO296" s="32"/>
      <c r="AP296" s="32">
        <v>18</v>
      </c>
      <c r="AQ296" s="32">
        <v>0</v>
      </c>
      <c r="AR296" s="32"/>
      <c r="AS296" s="32" t="str">
        <f>IFERROR(SUMIFS(#REF!,#REF!,'Shift Wise-Data Sheet'!A:A,#REF!,"Samridhi Perk Line")/SUMIFS(#REF!,#REF!,'Shift Wise-Data Sheet'!A:A,#REF!,"Samridhi Perk Line"),"")</f>
        <v/>
      </c>
      <c r="AT296" s="32"/>
      <c r="AU296" s="32"/>
      <c r="AV296" s="211">
        <f>IFERROR(VLOOKUP(Table110[[#This Row],[Date]],'Overweight Data'!A294:G1389,6,FALSE),"")</f>
        <v>0</v>
      </c>
      <c r="AW296" s="221">
        <f>IFERROR(
   IF(
      OR(Table110[[#This Row],[Operating Time]]=0, (Table110[[#This Row],[Operating Time]]/IF(AD296&lt;=1,AD296+1,AD296))*60=0),
      1,
      ((Table110[[#This Row],[Operating Time]])/IF(AD296&lt;=1,AD296+1,AD296))*60
   ),
"_")</f>
        <v>1</v>
      </c>
      <c r="AX296" s="221">
        <f>COUNTIFS('Downtime Data'!A:A,Table110[[#This Row],[Date]])</f>
        <v>0</v>
      </c>
      <c r="AY296" s="219" t="str">
        <f>IFERROR((SUM(Table110[[#This Row],[Minor Stoppages]:[Material Shortages]])/Table110[[#This Row],['# Stops]])*60,"")</f>
        <v/>
      </c>
      <c r="AZ296" s="219"/>
      <c r="BA296" s="33">
        <v>46321</v>
      </c>
    </row>
    <row r="297" spans="1:53" ht="20.149999999999999" customHeight="1" x14ac:dyDescent="0.35">
      <c r="A297" s="21">
        <v>46314</v>
      </c>
      <c r="B297" s="22" t="str">
        <f t="shared" si="5"/>
        <v>Monday</v>
      </c>
      <c r="C297" s="22"/>
      <c r="D297" s="23"/>
      <c r="E297" s="24" t="str" cm="1">
        <f t="array" aca="1" ref="E297" ca="1">IFERROR(INDIRECT(D297),"")</f>
        <v/>
      </c>
      <c r="F297" s="25"/>
      <c r="G297" s="26"/>
      <c r="H297" s="27" t="str">
        <f ca="1">IFERROR((Table110[[#This Row],[Plan]]/Table110[[#This Row],[Hours Used]])/(Table110[[#This Row],[SOC (TPD)]]/24),"")</f>
        <v/>
      </c>
      <c r="I297" s="27" t="str">
        <f ca="1">IFERROR((Table110[[#This Row],[Volume Delivered (T)]]/Table110[[#This Row],[Hours Used]])/(Table110[[#This Row],[SOC (TPD)]]/24),"")</f>
        <v/>
      </c>
      <c r="J297" s="28"/>
      <c r="K297" s="28"/>
      <c r="L297" s="28"/>
      <c r="M297" s="25"/>
      <c r="N297" s="29"/>
      <c r="O297" s="84"/>
      <c r="P297" s="25"/>
      <c r="Q297" s="25"/>
      <c r="R297" s="70"/>
      <c r="S297" s="71"/>
      <c r="T297" s="30">
        <f>IF(Table110[[#This Row],[SKU]]="",0,24-Table110[[#This Row],[Legal Non-Operating Time]]-Table110[[#This Row],[No Demand Time]]-Table110[[#This Row],[Force Majeure]])</f>
        <v>0</v>
      </c>
      <c r="U297" s="26"/>
      <c r="V297" s="26"/>
      <c r="W297" s="26"/>
      <c r="X297" s="26"/>
      <c r="Y297" s="26"/>
      <c r="Z297" s="26"/>
      <c r="AA297" s="26"/>
      <c r="AB297" s="30">
        <f>Table110[[#This Row],[Hours Used]]-SUM(Table110[[#This Row],[Planned Maintenance]:[Start and Finish Production]])</f>
        <v>0</v>
      </c>
      <c r="AC297" s="26"/>
      <c r="AD297" s="26"/>
      <c r="AE297" s="26"/>
      <c r="AF297" s="26"/>
      <c r="AG297" s="26"/>
      <c r="AH297" s="26"/>
      <c r="AI297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97" s="24">
        <f>IFERROR(IF(Table110[[#This Row],[SKU]]="",0,Table110[[#This Row],[Quality Loss (T)]]/(Table110[[#This Row],[SOC (TPD)]]/24)),"")</f>
        <v>0</v>
      </c>
      <c r="AK297" s="31">
        <f>IFERROR(IF(Table110[[#This Row],[SKU]]="",0,Table110[[#This Row],[Volume Delivered (T)]]/(Table110[[#This Row],[SOC (TPD)]]/24)),"")</f>
        <v>0</v>
      </c>
      <c r="AL297" s="31" t="str">
        <f>IFERROR(Table110[[#This Row],[Operating Time]]/Table110[[#This Row],[PRODUCTION HOURS]],"")</f>
        <v/>
      </c>
      <c r="AM297" s="32"/>
      <c r="AN297" s="32"/>
      <c r="AO297" s="32"/>
      <c r="AP297" s="32">
        <v>1</v>
      </c>
      <c r="AQ297" s="32">
        <v>0</v>
      </c>
      <c r="AR297" s="32"/>
      <c r="AS297" s="32" t="str">
        <f>IFERROR(SUMIFS(#REF!,#REF!,'Shift Wise-Data Sheet'!A:A,#REF!,"Samridhi Perk Line")/SUMIFS(#REF!,#REF!,'Shift Wise-Data Sheet'!A:A,#REF!,"Samridhi Perk Line"),"")</f>
        <v/>
      </c>
      <c r="AT297" s="32"/>
      <c r="AU297" s="32"/>
      <c r="AV297" s="211">
        <f>IFERROR(VLOOKUP(Table110[[#This Row],[Date]],'Overweight Data'!A295:G1390,6,FALSE),"")</f>
        <v>0</v>
      </c>
      <c r="AW297" s="221">
        <f>IFERROR(
   IF(
      OR(Table110[[#This Row],[Operating Time]]=0, (Table110[[#This Row],[Operating Time]]/IF(AD297&lt;=1,AD297+1,AD297))*60=0),
      1,
      ((Table110[[#This Row],[Operating Time]])/IF(AD297&lt;=1,AD297+1,AD297))*60
   ),
"_")</f>
        <v>1</v>
      </c>
      <c r="AX297" s="221">
        <f>COUNTIFS('Downtime Data'!A:A,Table110[[#This Row],[Date]])</f>
        <v>0</v>
      </c>
      <c r="AY297" s="219" t="str">
        <f>IFERROR((SUM(Table110[[#This Row],[Minor Stoppages]:[Material Shortages]])/Table110[[#This Row],['# Stops]])*60,"")</f>
        <v/>
      </c>
      <c r="AZ297" s="219"/>
      <c r="BA297" s="33">
        <v>46321</v>
      </c>
    </row>
    <row r="298" spans="1:53" ht="20.149999999999999" customHeight="1" x14ac:dyDescent="0.35">
      <c r="A298" s="21">
        <v>46315</v>
      </c>
      <c r="B298" s="22" t="str">
        <f t="shared" si="5"/>
        <v>Tuesday</v>
      </c>
      <c r="C298" s="22"/>
      <c r="D298" s="23"/>
      <c r="E298" s="24" t="str" cm="1">
        <f t="array" aca="1" ref="E298" ca="1">IFERROR(INDIRECT(D298),"")</f>
        <v/>
      </c>
      <c r="F298" s="25"/>
      <c r="G298" s="26"/>
      <c r="H298" s="27" t="str">
        <f ca="1">IFERROR((Table110[[#This Row],[Plan]]/Table110[[#This Row],[Hours Used]])/(Table110[[#This Row],[SOC (TPD)]]/24),"")</f>
        <v/>
      </c>
      <c r="I298" s="27" t="str">
        <f ca="1">IFERROR((Table110[[#This Row],[Volume Delivered (T)]]/Table110[[#This Row],[Hours Used]])/(Table110[[#This Row],[SOC (TPD)]]/24),"")</f>
        <v/>
      </c>
      <c r="J298" s="28"/>
      <c r="K298" s="28"/>
      <c r="L298" s="28"/>
      <c r="M298" s="25"/>
      <c r="N298" s="29"/>
      <c r="O298" s="84"/>
      <c r="P298" s="25"/>
      <c r="Q298" s="25"/>
      <c r="R298" s="70"/>
      <c r="S298" s="71"/>
      <c r="T298" s="30">
        <f>IF(Table110[[#This Row],[SKU]]="",0,24-Table110[[#This Row],[Legal Non-Operating Time]]-Table110[[#This Row],[No Demand Time]]-Table110[[#This Row],[Force Majeure]])</f>
        <v>0</v>
      </c>
      <c r="U298" s="26"/>
      <c r="V298" s="26"/>
      <c r="W298" s="26"/>
      <c r="X298" s="26"/>
      <c r="Y298" s="26"/>
      <c r="Z298" s="26"/>
      <c r="AA298" s="26"/>
      <c r="AB298" s="30">
        <f>Table110[[#This Row],[Hours Used]]-SUM(Table110[[#This Row],[Planned Maintenance]:[Start and Finish Production]])</f>
        <v>0</v>
      </c>
      <c r="AC298" s="26"/>
      <c r="AD298" s="26"/>
      <c r="AE298" s="26"/>
      <c r="AF298" s="26"/>
      <c r="AG298" s="26"/>
      <c r="AH298" s="26"/>
      <c r="AI298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98" s="24">
        <f>IFERROR(IF(Table110[[#This Row],[SKU]]="",0,Table110[[#This Row],[Quality Loss (T)]]/(Table110[[#This Row],[SOC (TPD)]]/24)),"")</f>
        <v>0</v>
      </c>
      <c r="AK298" s="31">
        <f>IFERROR(IF(Table110[[#This Row],[SKU]]="",0,Table110[[#This Row],[Volume Delivered (T)]]/(Table110[[#This Row],[SOC (TPD)]]/24)),"")</f>
        <v>0</v>
      </c>
      <c r="AL298" s="31" t="str">
        <f>IFERROR(Table110[[#This Row],[Operating Time]]/Table110[[#This Row],[PRODUCTION HOURS]],"")</f>
        <v/>
      </c>
      <c r="AM298" s="32"/>
      <c r="AN298" s="32"/>
      <c r="AO298" s="32"/>
      <c r="AP298" s="32">
        <v>0</v>
      </c>
      <c r="AQ298" s="32">
        <v>0</v>
      </c>
      <c r="AR298" s="32"/>
      <c r="AS298" s="32" t="str">
        <f>IFERROR(SUMIFS(#REF!,#REF!,'Shift Wise-Data Sheet'!A:A,#REF!,"Samridhi Perk Line")/SUMIFS(#REF!,#REF!,'Shift Wise-Data Sheet'!A:A,#REF!,"Samridhi Perk Line"),"")</f>
        <v/>
      </c>
      <c r="AT298" s="32"/>
      <c r="AU298" s="32"/>
      <c r="AV298" s="211">
        <f>IFERROR(VLOOKUP(Table110[[#This Row],[Date]],'Overweight Data'!A296:G1391,6,FALSE),"")</f>
        <v>0</v>
      </c>
      <c r="AW298" s="221">
        <f>IFERROR(
   IF(
      OR(Table110[[#This Row],[Operating Time]]=0, (Table110[[#This Row],[Operating Time]]/IF(AD298&lt;=1,AD298+1,AD298))*60=0),
      1,
      ((Table110[[#This Row],[Operating Time]])/IF(AD298&lt;=1,AD298+1,AD298))*60
   ),
"_")</f>
        <v>1</v>
      </c>
      <c r="AX298" s="221">
        <f>COUNTIFS('Downtime Data'!A:A,Table110[[#This Row],[Date]])</f>
        <v>0</v>
      </c>
      <c r="AY298" s="219" t="str">
        <f>IFERROR((SUM(Table110[[#This Row],[Minor Stoppages]:[Material Shortages]])/Table110[[#This Row],['# Stops]])*60,"")</f>
        <v/>
      </c>
      <c r="AZ298" s="219"/>
      <c r="BA298" s="33">
        <v>46321</v>
      </c>
    </row>
    <row r="299" spans="1:53" ht="20.149999999999999" customHeight="1" x14ac:dyDescent="0.35">
      <c r="A299" s="21">
        <v>46316</v>
      </c>
      <c r="B299" s="22" t="str">
        <f t="shared" si="5"/>
        <v>Wednesday</v>
      </c>
      <c r="C299" s="22"/>
      <c r="D299" s="23"/>
      <c r="E299" s="24" t="str" cm="1">
        <f t="array" aca="1" ref="E299" ca="1">IFERROR(INDIRECT(D299),"")</f>
        <v/>
      </c>
      <c r="F299" s="25"/>
      <c r="G299" s="26"/>
      <c r="H299" s="27" t="str">
        <f ca="1">IFERROR((Table110[[#This Row],[Plan]]/Table110[[#This Row],[Hours Used]])/(Table110[[#This Row],[SOC (TPD)]]/24),"")</f>
        <v/>
      </c>
      <c r="I299" s="27" t="str">
        <f ca="1">IFERROR((Table110[[#This Row],[Volume Delivered (T)]]/Table110[[#This Row],[Hours Used]])/(Table110[[#This Row],[SOC (TPD)]]/24),"")</f>
        <v/>
      </c>
      <c r="J299" s="28"/>
      <c r="K299" s="28"/>
      <c r="L299" s="28"/>
      <c r="M299" s="25"/>
      <c r="N299" s="29"/>
      <c r="O299" s="84"/>
      <c r="P299" s="25"/>
      <c r="Q299" s="25"/>
      <c r="R299" s="70"/>
      <c r="S299" s="71"/>
      <c r="T299" s="30">
        <f>IF(Table110[[#This Row],[SKU]]="",0,24-Table110[[#This Row],[Legal Non-Operating Time]]-Table110[[#This Row],[No Demand Time]]-Table110[[#This Row],[Force Majeure]])</f>
        <v>0</v>
      </c>
      <c r="U299" s="26"/>
      <c r="V299" s="26"/>
      <c r="W299" s="26"/>
      <c r="X299" s="26"/>
      <c r="Y299" s="26"/>
      <c r="Z299" s="26"/>
      <c r="AA299" s="26"/>
      <c r="AB299" s="30">
        <f>Table110[[#This Row],[Hours Used]]-SUM(Table110[[#This Row],[Planned Maintenance]:[Start and Finish Production]])</f>
        <v>0</v>
      </c>
      <c r="AC299" s="26"/>
      <c r="AD299" s="26"/>
      <c r="AE299" s="26"/>
      <c r="AF299" s="26"/>
      <c r="AG299" s="26"/>
      <c r="AH299" s="26"/>
      <c r="AI299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299" s="24">
        <f>IFERROR(IF(Table110[[#This Row],[SKU]]="",0,Table110[[#This Row],[Quality Loss (T)]]/(Table110[[#This Row],[SOC (TPD)]]/24)),"")</f>
        <v>0</v>
      </c>
      <c r="AK299" s="31">
        <f>IFERROR(IF(Table110[[#This Row],[SKU]]="",0,Table110[[#This Row],[Volume Delivered (T)]]/(Table110[[#This Row],[SOC (TPD)]]/24)),"")</f>
        <v>0</v>
      </c>
      <c r="AL299" s="31" t="str">
        <f>IFERROR(Table110[[#This Row],[Operating Time]]/Table110[[#This Row],[PRODUCTION HOURS]],"")</f>
        <v/>
      </c>
      <c r="AM299" s="32"/>
      <c r="AN299" s="32"/>
      <c r="AO299" s="32"/>
      <c r="AP299" s="32">
        <v>0</v>
      </c>
      <c r="AQ299" s="32">
        <v>0</v>
      </c>
      <c r="AR299" s="32"/>
      <c r="AS299" s="32" t="str">
        <f>IFERROR(SUMIFS(#REF!,#REF!,'Shift Wise-Data Sheet'!A:A,#REF!,"Samridhi Perk Line")/SUMIFS(#REF!,#REF!,'Shift Wise-Data Sheet'!A:A,#REF!,"Samridhi Perk Line"),"")</f>
        <v/>
      </c>
      <c r="AT299" s="32"/>
      <c r="AU299" s="32"/>
      <c r="AV299" s="211">
        <f>IFERROR(VLOOKUP(Table110[[#This Row],[Date]],'Overweight Data'!A297:G1392,6,FALSE),"")</f>
        <v>0</v>
      </c>
      <c r="AW299" s="221">
        <f>IFERROR(
   IF(
      OR(Table110[[#This Row],[Operating Time]]=0, (Table110[[#This Row],[Operating Time]]/IF(AD299&lt;=1,AD299+1,AD299))*60=0),
      1,
      ((Table110[[#This Row],[Operating Time]])/IF(AD299&lt;=1,AD299+1,AD299))*60
   ),
"_")</f>
        <v>1</v>
      </c>
      <c r="AX299" s="221">
        <f>COUNTIFS('Downtime Data'!A:A,Table110[[#This Row],[Date]])</f>
        <v>0</v>
      </c>
      <c r="AY299" s="219" t="str">
        <f>IFERROR((SUM(Table110[[#This Row],[Minor Stoppages]:[Material Shortages]])/Table110[[#This Row],['# Stops]])*60,"")</f>
        <v/>
      </c>
      <c r="AZ299" s="219"/>
      <c r="BA299" s="33">
        <v>46321</v>
      </c>
    </row>
    <row r="300" spans="1:53" ht="20.149999999999999" customHeight="1" x14ac:dyDescent="0.35">
      <c r="A300" s="21">
        <v>46317</v>
      </c>
      <c r="B300" s="22" t="str">
        <f t="shared" si="5"/>
        <v>Thursday</v>
      </c>
      <c r="C300" s="22"/>
      <c r="D300" s="23"/>
      <c r="E300" s="24" t="str" cm="1">
        <f t="array" aca="1" ref="E300" ca="1">IFERROR(INDIRECT(D300),"")</f>
        <v/>
      </c>
      <c r="F300" s="25"/>
      <c r="G300" s="26"/>
      <c r="H300" s="27" t="str">
        <f ca="1">IFERROR((Table110[[#This Row],[Plan]]/Table110[[#This Row],[Hours Used]])/(Table110[[#This Row],[SOC (TPD)]]/24),"")</f>
        <v/>
      </c>
      <c r="I300" s="27" t="str">
        <f ca="1">IFERROR((Table110[[#This Row],[Volume Delivered (T)]]/Table110[[#This Row],[Hours Used]])/(Table110[[#This Row],[SOC (TPD)]]/24),"")</f>
        <v/>
      </c>
      <c r="J300" s="28"/>
      <c r="K300" s="28"/>
      <c r="L300" s="28"/>
      <c r="M300" s="25"/>
      <c r="N300" s="29"/>
      <c r="O300" s="84"/>
      <c r="P300" s="25"/>
      <c r="Q300" s="25"/>
      <c r="R300" s="70"/>
      <c r="S300" s="71"/>
      <c r="T300" s="30">
        <f>IF(Table110[[#This Row],[SKU]]="",0,24-Table110[[#This Row],[Legal Non-Operating Time]]-Table110[[#This Row],[No Demand Time]]-Table110[[#This Row],[Force Majeure]])</f>
        <v>0</v>
      </c>
      <c r="U300" s="26"/>
      <c r="V300" s="26"/>
      <c r="W300" s="26"/>
      <c r="X300" s="26"/>
      <c r="Y300" s="26"/>
      <c r="Z300" s="26"/>
      <c r="AA300" s="26"/>
      <c r="AB300" s="30">
        <f>Table110[[#This Row],[Hours Used]]-SUM(Table110[[#This Row],[Planned Maintenance]:[Start and Finish Production]])</f>
        <v>0</v>
      </c>
      <c r="AC300" s="26"/>
      <c r="AD300" s="26"/>
      <c r="AE300" s="26"/>
      <c r="AF300" s="26"/>
      <c r="AG300" s="26"/>
      <c r="AH300" s="26"/>
      <c r="AI300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300" s="24">
        <f>IFERROR(IF(Table110[[#This Row],[SKU]]="",0,Table110[[#This Row],[Quality Loss (T)]]/(Table110[[#This Row],[SOC (TPD)]]/24)),"")</f>
        <v>0</v>
      </c>
      <c r="AK300" s="31">
        <f>IFERROR(IF(Table110[[#This Row],[SKU]]="",0,Table110[[#This Row],[Volume Delivered (T)]]/(Table110[[#This Row],[SOC (TPD)]]/24)),"")</f>
        <v>0</v>
      </c>
      <c r="AL300" s="31" t="str">
        <f>IFERROR(Table110[[#This Row],[Operating Time]]/Table110[[#This Row],[PRODUCTION HOURS]],"")</f>
        <v/>
      </c>
      <c r="AM300" s="32"/>
      <c r="AN300" s="32"/>
      <c r="AO300" s="32"/>
      <c r="AP300" s="32">
        <v>0</v>
      </c>
      <c r="AQ300" s="32">
        <v>0</v>
      </c>
      <c r="AR300" s="32"/>
      <c r="AS300" s="32" t="str">
        <f>IFERROR(SUMIFS(#REF!,#REF!,'Shift Wise-Data Sheet'!A:A,#REF!,"Samridhi Perk Line")/SUMIFS(#REF!,#REF!,'Shift Wise-Data Sheet'!A:A,#REF!,"Samridhi Perk Line"),"")</f>
        <v/>
      </c>
      <c r="AT300" s="32"/>
      <c r="AU300" s="32"/>
      <c r="AV300" s="211">
        <f>IFERROR(VLOOKUP(Table110[[#This Row],[Date]],'Overweight Data'!A298:G1393,6,FALSE),"")</f>
        <v>0</v>
      </c>
      <c r="AW300" s="221">
        <f>IFERROR(
   IF(
      OR(Table110[[#This Row],[Operating Time]]=0, (Table110[[#This Row],[Operating Time]]/IF(AD300&lt;=1,AD300+1,AD300))*60=0),
      1,
      ((Table110[[#This Row],[Operating Time]])/IF(AD300&lt;=1,AD300+1,AD300))*60
   ),
"_")</f>
        <v>1</v>
      </c>
      <c r="AX300" s="221">
        <f>COUNTIFS('Downtime Data'!A:A,Table110[[#This Row],[Date]])</f>
        <v>0</v>
      </c>
      <c r="AY300" s="219" t="str">
        <f>IFERROR((SUM(Table110[[#This Row],[Minor Stoppages]:[Material Shortages]])/Table110[[#This Row],['# Stops]])*60,"")</f>
        <v/>
      </c>
      <c r="AZ300" s="219"/>
      <c r="BA300" s="33">
        <v>46321</v>
      </c>
    </row>
    <row r="301" spans="1:53" ht="20.149999999999999" customHeight="1" x14ac:dyDescent="0.35">
      <c r="A301" s="21">
        <v>46318</v>
      </c>
      <c r="B301" s="22" t="str">
        <f t="shared" si="5"/>
        <v>Friday</v>
      </c>
      <c r="C301" s="22"/>
      <c r="D301" s="23"/>
      <c r="E301" s="24" t="str" cm="1">
        <f t="array" aca="1" ref="E301" ca="1">IFERROR(INDIRECT(D301),"")</f>
        <v/>
      </c>
      <c r="F301" s="25"/>
      <c r="G301" s="26"/>
      <c r="H301" s="27" t="str">
        <f ca="1">IFERROR((Table110[[#This Row],[Plan]]/Table110[[#This Row],[Hours Used]])/(Table110[[#This Row],[SOC (TPD)]]/24),"")</f>
        <v/>
      </c>
      <c r="I301" s="27" t="str">
        <f ca="1">IFERROR((Table110[[#This Row],[Volume Delivered (T)]]/Table110[[#This Row],[Hours Used]])/(Table110[[#This Row],[SOC (TPD)]]/24),"")</f>
        <v/>
      </c>
      <c r="J301" s="28"/>
      <c r="K301" s="28"/>
      <c r="L301" s="28"/>
      <c r="M301" s="25"/>
      <c r="N301" s="29"/>
      <c r="O301" s="84"/>
      <c r="P301" s="25"/>
      <c r="Q301" s="25"/>
      <c r="R301" s="70"/>
      <c r="S301" s="71"/>
      <c r="T301" s="30">
        <f>IF(Table110[[#This Row],[SKU]]="",0,24-Table110[[#This Row],[Legal Non-Operating Time]]-Table110[[#This Row],[No Demand Time]]-Table110[[#This Row],[Force Majeure]])</f>
        <v>0</v>
      </c>
      <c r="U301" s="26"/>
      <c r="V301" s="26"/>
      <c r="W301" s="26"/>
      <c r="X301" s="26"/>
      <c r="Y301" s="26"/>
      <c r="Z301" s="26"/>
      <c r="AA301" s="26"/>
      <c r="AB301" s="30">
        <f>Table110[[#This Row],[Hours Used]]-SUM(Table110[[#This Row],[Planned Maintenance]:[Start and Finish Production]])</f>
        <v>0</v>
      </c>
      <c r="AC301" s="26"/>
      <c r="AD301" s="26"/>
      <c r="AE301" s="26"/>
      <c r="AF301" s="26"/>
      <c r="AG301" s="26"/>
      <c r="AH301" s="26"/>
      <c r="AI301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301" s="24">
        <f>IFERROR(IF(Table110[[#This Row],[SKU]]="",0,Table110[[#This Row],[Quality Loss (T)]]/(Table110[[#This Row],[SOC (TPD)]]/24)),"")</f>
        <v>0</v>
      </c>
      <c r="AK301" s="31">
        <f>IFERROR(IF(Table110[[#This Row],[SKU]]="",0,Table110[[#This Row],[Volume Delivered (T)]]/(Table110[[#This Row],[SOC (TPD)]]/24)),"")</f>
        <v>0</v>
      </c>
      <c r="AL301" s="31" t="str">
        <f>IFERROR(Table110[[#This Row],[Operating Time]]/Table110[[#This Row],[PRODUCTION HOURS]],"")</f>
        <v/>
      </c>
      <c r="AM301" s="32"/>
      <c r="AN301" s="32"/>
      <c r="AO301" s="32"/>
      <c r="AP301" s="32">
        <v>0</v>
      </c>
      <c r="AQ301" s="32">
        <v>0</v>
      </c>
      <c r="AR301" s="32"/>
      <c r="AS301" s="32" t="str">
        <f>IFERROR(SUMIFS(#REF!,#REF!,'Shift Wise-Data Sheet'!A:A,#REF!,"Samridhi Perk Line")/SUMIFS(#REF!,#REF!,'Shift Wise-Data Sheet'!A:A,#REF!,"Samridhi Perk Line"),"")</f>
        <v/>
      </c>
      <c r="AT301" s="32"/>
      <c r="AU301" s="32"/>
      <c r="AV301" s="211">
        <f>IFERROR(VLOOKUP(Table110[[#This Row],[Date]],'Overweight Data'!A299:G1394,6,FALSE),"")</f>
        <v>0</v>
      </c>
      <c r="AW301" s="221">
        <f>IFERROR(
   IF(
      OR(Table110[[#This Row],[Operating Time]]=0, (Table110[[#This Row],[Operating Time]]/IF(AD301&lt;=1,AD301+1,AD301))*60=0),
      1,
      ((Table110[[#This Row],[Operating Time]])/IF(AD301&lt;=1,AD301+1,AD301))*60
   ),
"_")</f>
        <v>1</v>
      </c>
      <c r="AX301" s="221">
        <f>COUNTIFS('Downtime Data'!A:A,Table110[[#This Row],[Date]])</f>
        <v>0</v>
      </c>
      <c r="AY301" s="219" t="str">
        <f>IFERROR((SUM(Table110[[#This Row],[Minor Stoppages]:[Material Shortages]])/Table110[[#This Row],['# Stops]])*60,"")</f>
        <v/>
      </c>
      <c r="AZ301" s="219"/>
      <c r="BA301" s="33">
        <v>46321</v>
      </c>
    </row>
    <row r="302" spans="1:53" ht="20.149999999999999" customHeight="1" x14ac:dyDescent="0.35">
      <c r="A302" s="21">
        <v>46319</v>
      </c>
      <c r="B302" s="22" t="str">
        <f t="shared" si="5"/>
        <v>Saturday</v>
      </c>
      <c r="C302" s="22"/>
      <c r="D302" s="23"/>
      <c r="E302" s="24" t="str" cm="1">
        <f t="array" aca="1" ref="E302" ca="1">IFERROR(INDIRECT(D302),"")</f>
        <v/>
      </c>
      <c r="F302" s="25"/>
      <c r="G302" s="26"/>
      <c r="H302" s="27" t="str">
        <f ca="1">IFERROR((Table110[[#This Row],[Plan]]/Table110[[#This Row],[Hours Used]])/(Table110[[#This Row],[SOC (TPD)]]/24),"")</f>
        <v/>
      </c>
      <c r="I302" s="27" t="str">
        <f ca="1">IFERROR((Table110[[#This Row],[Volume Delivered (T)]]/Table110[[#This Row],[Hours Used]])/(Table110[[#This Row],[SOC (TPD)]]/24),"")</f>
        <v/>
      </c>
      <c r="J302" s="28"/>
      <c r="K302" s="28"/>
      <c r="L302" s="28"/>
      <c r="M302" s="25"/>
      <c r="N302" s="29"/>
      <c r="O302" s="84"/>
      <c r="P302" s="25"/>
      <c r="Q302" s="25"/>
      <c r="R302" s="70"/>
      <c r="S302" s="71"/>
      <c r="T302" s="30">
        <f>IF(Table110[[#This Row],[SKU]]="",0,24-Table110[[#This Row],[Legal Non-Operating Time]]-Table110[[#This Row],[No Demand Time]]-Table110[[#This Row],[Force Majeure]])</f>
        <v>0</v>
      </c>
      <c r="U302" s="26"/>
      <c r="V302" s="26"/>
      <c r="W302" s="26"/>
      <c r="X302" s="26"/>
      <c r="Y302" s="26"/>
      <c r="Z302" s="26"/>
      <c r="AA302" s="26"/>
      <c r="AB302" s="30">
        <f>Table110[[#This Row],[Hours Used]]-SUM(Table110[[#This Row],[Planned Maintenance]:[Start and Finish Production]])</f>
        <v>0</v>
      </c>
      <c r="AC302" s="26"/>
      <c r="AD302" s="26"/>
      <c r="AE302" s="26"/>
      <c r="AF302" s="26"/>
      <c r="AG302" s="26"/>
      <c r="AH302" s="26"/>
      <c r="AI302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302" s="24">
        <f>IFERROR(IF(Table110[[#This Row],[SKU]]="",0,Table110[[#This Row],[Quality Loss (T)]]/(Table110[[#This Row],[SOC (TPD)]]/24)),"")</f>
        <v>0</v>
      </c>
      <c r="AK302" s="31">
        <f>IFERROR(IF(Table110[[#This Row],[SKU]]="",0,Table110[[#This Row],[Volume Delivered (T)]]/(Table110[[#This Row],[SOC (TPD)]]/24)),"")</f>
        <v>0</v>
      </c>
      <c r="AL302" s="31" t="str">
        <f>IFERROR(Table110[[#This Row],[Operating Time]]/Table110[[#This Row],[PRODUCTION HOURS]],"")</f>
        <v/>
      </c>
      <c r="AM302" s="32"/>
      <c r="AN302" s="32"/>
      <c r="AO302" s="32"/>
      <c r="AP302" s="32">
        <v>0</v>
      </c>
      <c r="AQ302" s="32">
        <v>0</v>
      </c>
      <c r="AR302" s="32"/>
      <c r="AS302" s="32" t="str">
        <f>IFERROR(SUMIFS(#REF!,#REF!,'Shift Wise-Data Sheet'!A:A,#REF!,"Samridhi Perk Line")/SUMIFS(#REF!,#REF!,'Shift Wise-Data Sheet'!A:A,#REF!,"Samridhi Perk Line"),"")</f>
        <v/>
      </c>
      <c r="AT302" s="32"/>
      <c r="AU302" s="32"/>
      <c r="AV302" s="211">
        <f>IFERROR(VLOOKUP(Table110[[#This Row],[Date]],'Overweight Data'!A300:G1395,6,FALSE),"")</f>
        <v>0</v>
      </c>
      <c r="AW302" s="221">
        <f>IFERROR(
   IF(
      OR(Table110[[#This Row],[Operating Time]]=0, (Table110[[#This Row],[Operating Time]]/IF(AD302&lt;=1,AD302+1,AD302))*60=0),
      1,
      ((Table110[[#This Row],[Operating Time]])/IF(AD302&lt;=1,AD302+1,AD302))*60
   ),
"_")</f>
        <v>1</v>
      </c>
      <c r="AX302" s="221">
        <f>COUNTIFS('Downtime Data'!A:A,Table110[[#This Row],[Date]])</f>
        <v>0</v>
      </c>
      <c r="AY302" s="219" t="str">
        <f>IFERROR((SUM(Table110[[#This Row],[Minor Stoppages]:[Material Shortages]])/Table110[[#This Row],['# Stops]])*60,"")</f>
        <v/>
      </c>
      <c r="AZ302" s="219"/>
      <c r="BA302" s="33">
        <v>46321</v>
      </c>
    </row>
    <row r="303" spans="1:53" ht="20.149999999999999" customHeight="1" x14ac:dyDescent="0.35">
      <c r="A303" s="21">
        <v>46320</v>
      </c>
      <c r="B303" s="22" t="str">
        <f t="shared" si="5"/>
        <v>Sunday</v>
      </c>
      <c r="C303" s="22"/>
      <c r="D303" s="23"/>
      <c r="E303" s="24" t="str" cm="1">
        <f t="array" aca="1" ref="E303" ca="1">IFERROR(INDIRECT(D303),"")</f>
        <v/>
      </c>
      <c r="F303" s="25"/>
      <c r="G303" s="26"/>
      <c r="H303" s="27" t="str">
        <f ca="1">IFERROR((Table110[[#This Row],[Plan]]/Table110[[#This Row],[Hours Used]])/(Table110[[#This Row],[SOC (TPD)]]/24),"")</f>
        <v/>
      </c>
      <c r="I303" s="27" t="str">
        <f ca="1">IFERROR((Table110[[#This Row],[Volume Delivered (T)]]/Table110[[#This Row],[Hours Used]])/(Table110[[#This Row],[SOC (TPD)]]/24),"")</f>
        <v/>
      </c>
      <c r="J303" s="28"/>
      <c r="K303" s="28"/>
      <c r="L303" s="28"/>
      <c r="M303" s="25"/>
      <c r="N303" s="29"/>
      <c r="O303" s="84"/>
      <c r="P303" s="25"/>
      <c r="Q303" s="25"/>
      <c r="R303" s="70"/>
      <c r="S303" s="71"/>
      <c r="T303" s="30">
        <f>IF(Table110[[#This Row],[SKU]]="",0,24-Table110[[#This Row],[Legal Non-Operating Time]]-Table110[[#This Row],[No Demand Time]]-Table110[[#This Row],[Force Majeure]])</f>
        <v>0</v>
      </c>
      <c r="U303" s="26"/>
      <c r="V303" s="26"/>
      <c r="W303" s="26"/>
      <c r="X303" s="26"/>
      <c r="Y303" s="26"/>
      <c r="Z303" s="26"/>
      <c r="AA303" s="26"/>
      <c r="AB303" s="30">
        <f>Table110[[#This Row],[Hours Used]]-SUM(Table110[[#This Row],[Planned Maintenance]:[Start and Finish Production]])</f>
        <v>0</v>
      </c>
      <c r="AC303" s="26"/>
      <c r="AD303" s="26"/>
      <c r="AE303" s="26"/>
      <c r="AF303" s="26"/>
      <c r="AG303" s="26"/>
      <c r="AH303" s="26"/>
      <c r="AI303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303" s="24">
        <f>IFERROR(IF(Table110[[#This Row],[SKU]]="",0,Table110[[#This Row],[Quality Loss (T)]]/(Table110[[#This Row],[SOC (TPD)]]/24)),"")</f>
        <v>0</v>
      </c>
      <c r="AK303" s="31">
        <f>IFERROR(IF(Table110[[#This Row],[SKU]]="",0,Table110[[#This Row],[Volume Delivered (T)]]/(Table110[[#This Row],[SOC (TPD)]]/24)),"")</f>
        <v>0</v>
      </c>
      <c r="AL303" s="31" t="str">
        <f>IFERROR(Table110[[#This Row],[Operating Time]]/Table110[[#This Row],[PRODUCTION HOURS]],"")</f>
        <v/>
      </c>
      <c r="AM303" s="32"/>
      <c r="AN303" s="32"/>
      <c r="AO303" s="32"/>
      <c r="AP303" s="32">
        <v>18</v>
      </c>
      <c r="AQ303" s="32">
        <v>0</v>
      </c>
      <c r="AR303" s="32"/>
      <c r="AS303" s="32" t="str">
        <f>IFERROR(SUMIFS(#REF!,#REF!,'Shift Wise-Data Sheet'!A:A,#REF!,"Samridhi Perk Line")/SUMIFS(#REF!,#REF!,'Shift Wise-Data Sheet'!A:A,#REF!,"Samridhi Perk Line"),"")</f>
        <v/>
      </c>
      <c r="AT303" s="32"/>
      <c r="AU303" s="32"/>
      <c r="AV303" s="211">
        <f>IFERROR(VLOOKUP(Table110[[#This Row],[Date]],'Overweight Data'!A301:G1396,6,FALSE),"")</f>
        <v>0</v>
      </c>
      <c r="AW303" s="221">
        <f>IFERROR(
   IF(
      OR(Table110[[#This Row],[Operating Time]]=0, (Table110[[#This Row],[Operating Time]]/IF(AD303&lt;=1,AD303+1,AD303))*60=0),
      1,
      ((Table110[[#This Row],[Operating Time]])/IF(AD303&lt;=1,AD303+1,AD303))*60
   ),
"_")</f>
        <v>1</v>
      </c>
      <c r="AX303" s="221">
        <f>COUNTIFS('Downtime Data'!A:A,Table110[[#This Row],[Date]])</f>
        <v>0</v>
      </c>
      <c r="AY303" s="219" t="str">
        <f>IFERROR((SUM(Table110[[#This Row],[Minor Stoppages]:[Material Shortages]])/Table110[[#This Row],['# Stops]])*60,"")</f>
        <v/>
      </c>
      <c r="AZ303" s="219"/>
      <c r="BA303" s="33">
        <v>46321</v>
      </c>
    </row>
    <row r="304" spans="1:53" ht="20.149999999999999" customHeight="1" x14ac:dyDescent="0.35">
      <c r="A304" s="21">
        <v>46321</v>
      </c>
      <c r="B304" s="22" t="str">
        <f t="shared" si="5"/>
        <v>Monday</v>
      </c>
      <c r="C304" s="22"/>
      <c r="D304" s="23"/>
      <c r="E304" s="24" t="str" cm="1">
        <f t="array" aca="1" ref="E304" ca="1">IFERROR(INDIRECT(D304),"")</f>
        <v/>
      </c>
      <c r="F304" s="25"/>
      <c r="G304" s="26"/>
      <c r="H304" s="27" t="str">
        <f ca="1">IFERROR((Table110[[#This Row],[Plan]]/Table110[[#This Row],[Hours Used]])/(Table110[[#This Row],[SOC (TPD)]]/24),"")</f>
        <v/>
      </c>
      <c r="I304" s="27" t="str">
        <f ca="1">IFERROR((Table110[[#This Row],[Volume Delivered (T)]]/Table110[[#This Row],[Hours Used]])/(Table110[[#This Row],[SOC (TPD)]]/24),"")</f>
        <v/>
      </c>
      <c r="J304" s="28"/>
      <c r="K304" s="28"/>
      <c r="L304" s="28"/>
      <c r="M304" s="25"/>
      <c r="N304" s="29"/>
      <c r="O304" s="84"/>
      <c r="P304" s="25"/>
      <c r="Q304" s="25"/>
      <c r="R304" s="70"/>
      <c r="S304" s="71"/>
      <c r="T304" s="30">
        <f>IF(Table110[[#This Row],[SKU]]="",0,24-Table110[[#This Row],[Legal Non-Operating Time]]-Table110[[#This Row],[No Demand Time]]-Table110[[#This Row],[Force Majeure]])</f>
        <v>0</v>
      </c>
      <c r="U304" s="26"/>
      <c r="V304" s="26"/>
      <c r="W304" s="26"/>
      <c r="X304" s="26"/>
      <c r="Y304" s="26"/>
      <c r="Z304" s="26"/>
      <c r="AA304" s="26"/>
      <c r="AB304" s="30">
        <f>Table110[[#This Row],[Hours Used]]-SUM(Table110[[#This Row],[Planned Maintenance]:[Start and Finish Production]])</f>
        <v>0</v>
      </c>
      <c r="AC304" s="26"/>
      <c r="AD304" s="26"/>
      <c r="AE304" s="26"/>
      <c r="AF304" s="26"/>
      <c r="AG304" s="26"/>
      <c r="AH304" s="26"/>
      <c r="AI304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304" s="24">
        <f>IFERROR(IF(Table110[[#This Row],[SKU]]="",0,Table110[[#This Row],[Quality Loss (T)]]/(Table110[[#This Row],[SOC (TPD)]]/24)),"")</f>
        <v>0</v>
      </c>
      <c r="AK304" s="31">
        <f>IFERROR(IF(Table110[[#This Row],[SKU]]="",0,Table110[[#This Row],[Volume Delivered (T)]]/(Table110[[#This Row],[SOC (TPD)]]/24)),"")</f>
        <v>0</v>
      </c>
      <c r="AL304" s="31" t="str">
        <f>IFERROR(Table110[[#This Row],[Operating Time]]/Table110[[#This Row],[PRODUCTION HOURS]],"")</f>
        <v/>
      </c>
      <c r="AM304" s="32"/>
      <c r="AN304" s="32"/>
      <c r="AO304" s="32"/>
      <c r="AP304" s="32">
        <v>1</v>
      </c>
      <c r="AQ304" s="32">
        <v>0</v>
      </c>
      <c r="AR304" s="32"/>
      <c r="AS304" s="32" t="str">
        <f>IFERROR(SUMIFS(#REF!,#REF!,'Shift Wise-Data Sheet'!A:A,#REF!,"Samridhi Perk Line")/SUMIFS(#REF!,#REF!,'Shift Wise-Data Sheet'!A:A,#REF!,"Samridhi Perk Line"),"")</f>
        <v/>
      </c>
      <c r="AT304" s="32"/>
      <c r="AU304" s="32"/>
      <c r="AV304" s="211">
        <f>IFERROR(VLOOKUP(Table110[[#This Row],[Date]],'Overweight Data'!A302:G1397,6,FALSE),"")</f>
        <v>0</v>
      </c>
      <c r="AW304" s="221">
        <f>IFERROR(
   IF(
      OR(Table110[[#This Row],[Operating Time]]=0, (Table110[[#This Row],[Operating Time]]/IF(AD304&lt;=1,AD304+1,AD304))*60=0),
      1,
      ((Table110[[#This Row],[Operating Time]])/IF(AD304&lt;=1,AD304+1,AD304))*60
   ),
"_")</f>
        <v>1</v>
      </c>
      <c r="AX304" s="221">
        <f>COUNTIFS('Downtime Data'!A:A,Table110[[#This Row],[Date]])</f>
        <v>0</v>
      </c>
      <c r="AY304" s="219" t="str">
        <f>IFERROR((SUM(Table110[[#This Row],[Minor Stoppages]:[Material Shortages]])/Table110[[#This Row],['# Stops]])*60,"")</f>
        <v/>
      </c>
      <c r="AZ304" s="219"/>
      <c r="BA304" s="33">
        <v>46321</v>
      </c>
    </row>
    <row r="305" spans="1:53" ht="20.149999999999999" customHeight="1" x14ac:dyDescent="0.35">
      <c r="A305" s="21">
        <v>46322</v>
      </c>
      <c r="B305" s="22" t="str">
        <f t="shared" si="5"/>
        <v>Tuesday</v>
      </c>
      <c r="C305" s="22"/>
      <c r="D305" s="23"/>
      <c r="E305" s="24" t="str" cm="1">
        <f t="array" aca="1" ref="E305" ca="1">IFERROR(INDIRECT(D305),"")</f>
        <v/>
      </c>
      <c r="F305" s="25"/>
      <c r="G305" s="26"/>
      <c r="H305" s="27" t="str">
        <f ca="1">IFERROR((Table110[[#This Row],[Plan]]/Table110[[#This Row],[Hours Used]])/(Table110[[#This Row],[SOC (TPD)]]/24),"")</f>
        <v/>
      </c>
      <c r="I305" s="27" t="str">
        <f ca="1">IFERROR((Table110[[#This Row],[Volume Delivered (T)]]/Table110[[#This Row],[Hours Used]])/(Table110[[#This Row],[SOC (TPD)]]/24),"")</f>
        <v/>
      </c>
      <c r="J305" s="28"/>
      <c r="K305" s="28"/>
      <c r="L305" s="28"/>
      <c r="M305" s="25"/>
      <c r="N305" s="29"/>
      <c r="O305" s="84"/>
      <c r="P305" s="25"/>
      <c r="Q305" s="25"/>
      <c r="R305" s="70"/>
      <c r="S305" s="71"/>
      <c r="T305" s="30">
        <f>IF(Table110[[#This Row],[SKU]]="",0,24-Table110[[#This Row],[Legal Non-Operating Time]]-Table110[[#This Row],[No Demand Time]]-Table110[[#This Row],[Force Majeure]])</f>
        <v>0</v>
      </c>
      <c r="U305" s="26"/>
      <c r="V305" s="26"/>
      <c r="W305" s="26"/>
      <c r="X305" s="26"/>
      <c r="Y305" s="26"/>
      <c r="Z305" s="26"/>
      <c r="AA305" s="26"/>
      <c r="AB305" s="30">
        <f>Table110[[#This Row],[Hours Used]]-SUM(Table110[[#This Row],[Planned Maintenance]:[Start and Finish Production]])</f>
        <v>0</v>
      </c>
      <c r="AC305" s="26"/>
      <c r="AD305" s="26"/>
      <c r="AE305" s="26"/>
      <c r="AF305" s="26"/>
      <c r="AG305" s="26"/>
      <c r="AH305" s="26"/>
      <c r="AI305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305" s="24">
        <f>IFERROR(IF(Table110[[#This Row],[SKU]]="",0,Table110[[#This Row],[Quality Loss (T)]]/(Table110[[#This Row],[SOC (TPD)]]/24)),"")</f>
        <v>0</v>
      </c>
      <c r="AK305" s="31">
        <f>IFERROR(IF(Table110[[#This Row],[SKU]]="",0,Table110[[#This Row],[Volume Delivered (T)]]/(Table110[[#This Row],[SOC (TPD)]]/24)),"")</f>
        <v>0</v>
      </c>
      <c r="AL305" s="31" t="str">
        <f>IFERROR(Table110[[#This Row],[Operating Time]]/Table110[[#This Row],[PRODUCTION HOURS]],"")</f>
        <v/>
      </c>
      <c r="AM305" s="32"/>
      <c r="AN305" s="32"/>
      <c r="AO305" s="32"/>
      <c r="AP305" s="32">
        <v>1</v>
      </c>
      <c r="AQ305" s="32">
        <v>0</v>
      </c>
      <c r="AR305" s="32"/>
      <c r="AS305" s="32" t="str">
        <f>IFERROR(SUMIFS(#REF!,#REF!,'Shift Wise-Data Sheet'!A:A,#REF!,"Samridhi Perk Line")/SUMIFS(#REF!,#REF!,'Shift Wise-Data Sheet'!A:A,#REF!,"Samridhi Perk Line"),"")</f>
        <v/>
      </c>
      <c r="AT305" s="32"/>
      <c r="AU305" s="32"/>
      <c r="AV305" s="211">
        <f>IFERROR(VLOOKUP(Table110[[#This Row],[Date]],'Overweight Data'!A303:G1398,6,FALSE),"")</f>
        <v>0</v>
      </c>
      <c r="AW305" s="221">
        <f>IFERROR(
   IF(
      OR(Table110[[#This Row],[Operating Time]]=0, (Table110[[#This Row],[Operating Time]]/IF(AD305&lt;=1,AD305+1,AD305))*60=0),
      1,
      ((Table110[[#This Row],[Operating Time]])/IF(AD305&lt;=1,AD305+1,AD305))*60
   ),
"_")</f>
        <v>1</v>
      </c>
      <c r="AX305" s="221">
        <f>COUNTIFS('Downtime Data'!A:A,Table110[[#This Row],[Date]])</f>
        <v>0</v>
      </c>
      <c r="AY305" s="219" t="str">
        <f>IFERROR((SUM(Table110[[#This Row],[Minor Stoppages]:[Material Shortages]])/Table110[[#This Row],['# Stops]])*60,"")</f>
        <v/>
      </c>
      <c r="AZ305" s="219"/>
      <c r="BA305" s="33">
        <v>46321</v>
      </c>
    </row>
    <row r="306" spans="1:53" ht="20.149999999999999" customHeight="1" x14ac:dyDescent="0.35">
      <c r="A306" s="21">
        <v>46323</v>
      </c>
      <c r="B306" s="22" t="str">
        <f t="shared" si="5"/>
        <v>Wednesday</v>
      </c>
      <c r="C306" s="22"/>
      <c r="D306" s="23"/>
      <c r="E306" s="24" t="str" cm="1">
        <f t="array" aca="1" ref="E306" ca="1">IFERROR(INDIRECT(D306),"")</f>
        <v/>
      </c>
      <c r="F306" s="25"/>
      <c r="G306" s="26"/>
      <c r="H306" s="27" t="str">
        <f ca="1">IFERROR((Table110[[#This Row],[Plan]]/Table110[[#This Row],[Hours Used]])/(Table110[[#This Row],[SOC (TPD)]]/24),"")</f>
        <v/>
      </c>
      <c r="I306" s="27" t="str">
        <f ca="1">IFERROR((Table110[[#This Row],[Volume Delivered (T)]]/Table110[[#This Row],[Hours Used]])/(Table110[[#This Row],[SOC (TPD)]]/24),"")</f>
        <v/>
      </c>
      <c r="J306" s="28"/>
      <c r="K306" s="28"/>
      <c r="L306" s="28"/>
      <c r="M306" s="25"/>
      <c r="N306" s="29"/>
      <c r="O306" s="84"/>
      <c r="P306" s="25"/>
      <c r="Q306" s="25"/>
      <c r="R306" s="70"/>
      <c r="S306" s="71"/>
      <c r="T306" s="30">
        <f>IF(Table110[[#This Row],[SKU]]="",0,24-Table110[[#This Row],[Legal Non-Operating Time]]-Table110[[#This Row],[No Demand Time]]-Table110[[#This Row],[Force Majeure]])</f>
        <v>0</v>
      </c>
      <c r="U306" s="26"/>
      <c r="V306" s="26"/>
      <c r="W306" s="26"/>
      <c r="X306" s="26"/>
      <c r="Y306" s="26"/>
      <c r="Z306" s="26"/>
      <c r="AA306" s="26"/>
      <c r="AB306" s="30">
        <f>Table110[[#This Row],[Hours Used]]-SUM(Table110[[#This Row],[Planned Maintenance]:[Start and Finish Production]])</f>
        <v>0</v>
      </c>
      <c r="AC306" s="26"/>
      <c r="AD306" s="26"/>
      <c r="AE306" s="26"/>
      <c r="AF306" s="26"/>
      <c r="AG306" s="26"/>
      <c r="AH306" s="26"/>
      <c r="AI306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306" s="24">
        <f>IFERROR(IF(Table110[[#This Row],[SKU]]="",0,Table110[[#This Row],[Quality Loss (T)]]/(Table110[[#This Row],[SOC (TPD)]]/24)),"")</f>
        <v>0</v>
      </c>
      <c r="AK306" s="31">
        <f>IFERROR(IF(Table110[[#This Row],[SKU]]="",0,Table110[[#This Row],[Volume Delivered (T)]]/(Table110[[#This Row],[SOC (TPD)]]/24)),"")</f>
        <v>0</v>
      </c>
      <c r="AL306" s="31" t="str">
        <f>IFERROR(Table110[[#This Row],[Operating Time]]/Table110[[#This Row],[PRODUCTION HOURS]],"")</f>
        <v/>
      </c>
      <c r="AM306" s="32"/>
      <c r="AN306" s="32"/>
      <c r="AO306" s="32"/>
      <c r="AP306" s="32">
        <v>0</v>
      </c>
      <c r="AQ306" s="32">
        <v>0</v>
      </c>
      <c r="AR306" s="32"/>
      <c r="AS306" s="32" t="str">
        <f>IFERROR(SUMIFS(#REF!,#REF!,'Shift Wise-Data Sheet'!A:A,#REF!,"Samridhi Perk Line")/SUMIFS(#REF!,#REF!,'Shift Wise-Data Sheet'!A:A,#REF!,"Samridhi Perk Line"),"")</f>
        <v/>
      </c>
      <c r="AT306" s="32"/>
      <c r="AU306" s="32"/>
      <c r="AV306" s="211">
        <f>IFERROR(VLOOKUP(Table110[[#This Row],[Date]],'Overweight Data'!A304:G1399,6,FALSE),"")</f>
        <v>0</v>
      </c>
      <c r="AW306" s="221">
        <f>IFERROR(
   IF(
      OR(Table110[[#This Row],[Operating Time]]=0, (Table110[[#This Row],[Operating Time]]/IF(AD306&lt;=1,AD306+1,AD306))*60=0),
      1,
      ((Table110[[#This Row],[Operating Time]])/IF(AD306&lt;=1,AD306+1,AD306))*60
   ),
"_")</f>
        <v>1</v>
      </c>
      <c r="AX306" s="221">
        <f>COUNTIFS('Downtime Data'!A:A,Table110[[#This Row],[Date]])</f>
        <v>0</v>
      </c>
      <c r="AY306" s="219" t="str">
        <f>IFERROR((SUM(Table110[[#This Row],[Minor Stoppages]:[Material Shortages]])/Table110[[#This Row],['# Stops]])*60,"")</f>
        <v/>
      </c>
      <c r="AZ306" s="219"/>
      <c r="BA306" s="33">
        <v>46321</v>
      </c>
    </row>
    <row r="307" spans="1:53" ht="20.149999999999999" customHeight="1" x14ac:dyDescent="0.35">
      <c r="A307" s="21">
        <v>46324</v>
      </c>
      <c r="B307" s="22" t="str">
        <f t="shared" si="5"/>
        <v>Thursday</v>
      </c>
      <c r="C307" s="22"/>
      <c r="D307" s="23"/>
      <c r="E307" s="24" t="str" cm="1">
        <f t="array" aca="1" ref="E307" ca="1">IFERROR(INDIRECT(D307),"")</f>
        <v/>
      </c>
      <c r="F307" s="25"/>
      <c r="G307" s="26"/>
      <c r="H307" s="27" t="str">
        <f ca="1">IFERROR((Table110[[#This Row],[Plan]]/Table110[[#This Row],[Hours Used]])/(Table110[[#This Row],[SOC (TPD)]]/24),"")</f>
        <v/>
      </c>
      <c r="I307" s="27" t="str">
        <f ca="1">IFERROR((Table110[[#This Row],[Volume Delivered (T)]]/Table110[[#This Row],[Hours Used]])/(Table110[[#This Row],[SOC (TPD)]]/24),"")</f>
        <v/>
      </c>
      <c r="J307" s="28"/>
      <c r="K307" s="28"/>
      <c r="L307" s="28"/>
      <c r="M307" s="25"/>
      <c r="N307" s="29"/>
      <c r="O307" s="84"/>
      <c r="P307" s="25"/>
      <c r="Q307" s="25"/>
      <c r="R307" s="70"/>
      <c r="S307" s="71"/>
      <c r="T307" s="30">
        <f>IF(Table110[[#This Row],[SKU]]="",0,24-Table110[[#This Row],[Legal Non-Operating Time]]-Table110[[#This Row],[No Demand Time]]-Table110[[#This Row],[Force Majeure]])</f>
        <v>0</v>
      </c>
      <c r="U307" s="26"/>
      <c r="V307" s="26"/>
      <c r="W307" s="26"/>
      <c r="X307" s="26"/>
      <c r="Y307" s="26"/>
      <c r="Z307" s="26"/>
      <c r="AA307" s="26"/>
      <c r="AB307" s="30">
        <f>Table110[[#This Row],[Hours Used]]-SUM(Table110[[#This Row],[Planned Maintenance]:[Start and Finish Production]])</f>
        <v>0</v>
      </c>
      <c r="AC307" s="26"/>
      <c r="AD307" s="26"/>
      <c r="AE307" s="26"/>
      <c r="AF307" s="26"/>
      <c r="AG307" s="26"/>
      <c r="AH307" s="26"/>
      <c r="AI307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307" s="24">
        <f>IFERROR(IF(Table110[[#This Row],[SKU]]="",0,Table110[[#This Row],[Quality Loss (T)]]/(Table110[[#This Row],[SOC (TPD)]]/24)),"")</f>
        <v>0</v>
      </c>
      <c r="AK307" s="31">
        <f>IFERROR(IF(Table110[[#This Row],[SKU]]="",0,Table110[[#This Row],[Volume Delivered (T)]]/(Table110[[#This Row],[SOC (TPD)]]/24)),"")</f>
        <v>0</v>
      </c>
      <c r="AL307" s="31" t="str">
        <f>IFERROR(Table110[[#This Row],[Operating Time]]/Table110[[#This Row],[PRODUCTION HOURS]],"")</f>
        <v/>
      </c>
      <c r="AM307" s="32"/>
      <c r="AN307" s="32"/>
      <c r="AO307" s="32"/>
      <c r="AP307" s="32">
        <v>1</v>
      </c>
      <c r="AQ307" s="32">
        <v>0</v>
      </c>
      <c r="AR307" s="32"/>
      <c r="AS307" s="32" t="str">
        <f>IFERROR(SUMIFS(#REF!,#REF!,'Shift Wise-Data Sheet'!A:A,#REF!,"Samridhi Perk Line")/SUMIFS(#REF!,#REF!,'Shift Wise-Data Sheet'!A:A,#REF!,"Samridhi Perk Line"),"")</f>
        <v/>
      </c>
      <c r="AT307" s="32"/>
      <c r="AU307" s="32"/>
      <c r="AV307" s="211">
        <f>IFERROR(VLOOKUP(Table110[[#This Row],[Date]],'Overweight Data'!A305:G1400,6,FALSE),"")</f>
        <v>0</v>
      </c>
      <c r="AW307" s="221">
        <f>IFERROR(
   IF(
      OR(Table110[[#This Row],[Operating Time]]=0, (Table110[[#This Row],[Operating Time]]/IF(AD307&lt;=1,AD307+1,AD307))*60=0),
      1,
      ((Table110[[#This Row],[Operating Time]])/IF(AD307&lt;=1,AD307+1,AD307))*60
   ),
"_")</f>
        <v>1</v>
      </c>
      <c r="AX307" s="221">
        <f>COUNTIFS('Downtime Data'!A:A,Table110[[#This Row],[Date]])</f>
        <v>0</v>
      </c>
      <c r="AY307" s="219" t="str">
        <f>IFERROR((SUM(Table110[[#This Row],[Minor Stoppages]:[Material Shortages]])/Table110[[#This Row],['# Stops]])*60,"")</f>
        <v/>
      </c>
      <c r="AZ307" s="219"/>
      <c r="BA307" s="33">
        <v>46321</v>
      </c>
    </row>
    <row r="308" spans="1:53" ht="20.149999999999999" customHeight="1" x14ac:dyDescent="0.35">
      <c r="A308" s="21">
        <v>46325</v>
      </c>
      <c r="B308" s="22" t="str">
        <f t="shared" si="5"/>
        <v>Friday</v>
      </c>
      <c r="C308" s="22"/>
      <c r="D308" s="23"/>
      <c r="E308" s="24" t="str" cm="1">
        <f t="array" aca="1" ref="E308" ca="1">IFERROR(INDIRECT(D308),"")</f>
        <v/>
      </c>
      <c r="F308" s="25"/>
      <c r="G308" s="26"/>
      <c r="H308" s="27" t="str">
        <f ca="1">IFERROR((Table110[[#This Row],[Plan]]/Table110[[#This Row],[Hours Used]])/(Table110[[#This Row],[SOC (TPD)]]/24),"")</f>
        <v/>
      </c>
      <c r="I308" s="27" t="str">
        <f ca="1">IFERROR((Table110[[#This Row],[Volume Delivered (T)]]/Table110[[#This Row],[Hours Used]])/(Table110[[#This Row],[SOC (TPD)]]/24),"")</f>
        <v/>
      </c>
      <c r="J308" s="28"/>
      <c r="K308" s="28"/>
      <c r="L308" s="28"/>
      <c r="M308" s="25"/>
      <c r="N308" s="29"/>
      <c r="O308" s="84"/>
      <c r="P308" s="25"/>
      <c r="Q308" s="25"/>
      <c r="R308" s="70"/>
      <c r="S308" s="71"/>
      <c r="T308" s="30">
        <f>IF(Table110[[#This Row],[SKU]]="",0,24-Table110[[#This Row],[Legal Non-Operating Time]]-Table110[[#This Row],[No Demand Time]]-Table110[[#This Row],[Force Majeure]])</f>
        <v>0</v>
      </c>
      <c r="U308" s="26"/>
      <c r="V308" s="26"/>
      <c r="W308" s="26"/>
      <c r="X308" s="26"/>
      <c r="Y308" s="26"/>
      <c r="Z308" s="26"/>
      <c r="AA308" s="26"/>
      <c r="AB308" s="30">
        <f>Table110[[#This Row],[Hours Used]]-SUM(Table110[[#This Row],[Planned Maintenance]:[Start and Finish Production]])</f>
        <v>0</v>
      </c>
      <c r="AC308" s="26"/>
      <c r="AD308" s="26"/>
      <c r="AE308" s="26"/>
      <c r="AF308" s="26"/>
      <c r="AG308" s="26"/>
      <c r="AH308" s="26"/>
      <c r="AI308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308" s="24">
        <f>IFERROR(IF(Table110[[#This Row],[SKU]]="",0,Table110[[#This Row],[Quality Loss (T)]]/(Table110[[#This Row],[SOC (TPD)]]/24)),"")</f>
        <v>0</v>
      </c>
      <c r="AK308" s="31">
        <f>IFERROR(IF(Table110[[#This Row],[SKU]]="",0,Table110[[#This Row],[Volume Delivered (T)]]/(Table110[[#This Row],[SOC (TPD)]]/24)),"")</f>
        <v>0</v>
      </c>
      <c r="AL308" s="31" t="str">
        <f>IFERROR(Table110[[#This Row],[Operating Time]]/Table110[[#This Row],[PRODUCTION HOURS]],"")</f>
        <v/>
      </c>
      <c r="AM308" s="32"/>
      <c r="AN308" s="32"/>
      <c r="AO308" s="32"/>
      <c r="AP308" s="32">
        <v>5</v>
      </c>
      <c r="AQ308" s="32">
        <v>0</v>
      </c>
      <c r="AR308" s="32"/>
      <c r="AS308" s="32" t="str">
        <f>IFERROR(SUMIFS(#REF!,#REF!,'Shift Wise-Data Sheet'!A:A,#REF!,"Samridhi Perk Line")/SUMIFS(#REF!,#REF!,'Shift Wise-Data Sheet'!A:A,#REF!,"Samridhi Perk Line"),"")</f>
        <v/>
      </c>
      <c r="AT308" s="32"/>
      <c r="AU308" s="32"/>
      <c r="AV308" s="211">
        <f>IFERROR(VLOOKUP(Table110[[#This Row],[Date]],'Overweight Data'!A306:G1401,6,FALSE),"")</f>
        <v>0</v>
      </c>
      <c r="AW308" s="221">
        <f>IFERROR(
   IF(
      OR(Table110[[#This Row],[Operating Time]]=0, (Table110[[#This Row],[Operating Time]]/IF(AD308&lt;=1,AD308+1,AD308))*60=0),
      1,
      ((Table110[[#This Row],[Operating Time]])/IF(AD308&lt;=1,AD308+1,AD308))*60
   ),
"_")</f>
        <v>1</v>
      </c>
      <c r="AX308" s="221">
        <f>COUNTIFS('Downtime Data'!A:A,Table110[[#This Row],[Date]])</f>
        <v>0</v>
      </c>
      <c r="AY308" s="219" t="str">
        <f>IFERROR((SUM(Table110[[#This Row],[Minor Stoppages]:[Material Shortages]])/Table110[[#This Row],['# Stops]])*60,"")</f>
        <v/>
      </c>
      <c r="AZ308" s="219"/>
      <c r="BA308" s="33">
        <v>46321</v>
      </c>
    </row>
    <row r="309" spans="1:53" ht="20.149999999999999" customHeight="1" x14ac:dyDescent="0.35">
      <c r="A309" s="21">
        <v>46326</v>
      </c>
      <c r="B309" s="22" t="str">
        <f t="shared" si="5"/>
        <v>Saturday</v>
      </c>
      <c r="C309" s="22"/>
      <c r="D309" s="23"/>
      <c r="E309" s="24" t="str" cm="1">
        <f t="array" aca="1" ref="E309" ca="1">IFERROR(INDIRECT(D309),"")</f>
        <v/>
      </c>
      <c r="F309" s="25"/>
      <c r="G309" s="26"/>
      <c r="H309" s="27" t="str">
        <f ca="1">IFERROR((Table110[[#This Row],[Plan]]/Table110[[#This Row],[Hours Used]])/(Table110[[#This Row],[SOC (TPD)]]/24),"")</f>
        <v/>
      </c>
      <c r="I309" s="27" t="str">
        <f ca="1">IFERROR((Table110[[#This Row],[Volume Delivered (T)]]/Table110[[#This Row],[Hours Used]])/(Table110[[#This Row],[SOC (TPD)]]/24),"")</f>
        <v/>
      </c>
      <c r="J309" s="28"/>
      <c r="K309" s="28"/>
      <c r="L309" s="28"/>
      <c r="M309" s="25"/>
      <c r="N309" s="29"/>
      <c r="O309" s="84"/>
      <c r="P309" s="25"/>
      <c r="Q309" s="25"/>
      <c r="R309" s="70"/>
      <c r="S309" s="71"/>
      <c r="T309" s="30">
        <f>IF(Table110[[#This Row],[SKU]]="",0,24-Table110[[#This Row],[Legal Non-Operating Time]]-Table110[[#This Row],[No Demand Time]]-Table110[[#This Row],[Force Majeure]])</f>
        <v>0</v>
      </c>
      <c r="U309" s="26"/>
      <c r="V309" s="26"/>
      <c r="W309" s="26"/>
      <c r="X309" s="26"/>
      <c r="Y309" s="26"/>
      <c r="Z309" s="26"/>
      <c r="AA309" s="26"/>
      <c r="AB309" s="30">
        <f>Table110[[#This Row],[Hours Used]]-SUM(Table110[[#This Row],[Planned Maintenance]:[Start and Finish Production]])</f>
        <v>0</v>
      </c>
      <c r="AC309" s="26"/>
      <c r="AD309" s="26"/>
      <c r="AE309" s="26"/>
      <c r="AF309" s="26"/>
      <c r="AG309" s="26"/>
      <c r="AH309" s="26"/>
      <c r="AI309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309" s="24">
        <f>IFERROR(IF(Table110[[#This Row],[SKU]]="",0,Table110[[#This Row],[Quality Loss (T)]]/(Table110[[#This Row],[SOC (TPD)]]/24)),"")</f>
        <v>0</v>
      </c>
      <c r="AK309" s="31">
        <f>IFERROR(IF(Table110[[#This Row],[SKU]]="",0,Table110[[#This Row],[Volume Delivered (T)]]/(Table110[[#This Row],[SOC (TPD)]]/24)),"")</f>
        <v>0</v>
      </c>
      <c r="AL309" s="31" t="str">
        <f>IFERROR(Table110[[#This Row],[Operating Time]]/Table110[[#This Row],[PRODUCTION HOURS]],"")</f>
        <v/>
      </c>
      <c r="AM309" s="32"/>
      <c r="AN309" s="32"/>
      <c r="AO309" s="32"/>
      <c r="AP309" s="32">
        <v>0</v>
      </c>
      <c r="AQ309" s="32">
        <v>0</v>
      </c>
      <c r="AR309" s="32"/>
      <c r="AS309" s="32" t="str">
        <f>IFERROR(SUMIFS(#REF!,#REF!,'Shift Wise-Data Sheet'!A:A,#REF!,"Samridhi Perk Line")/SUMIFS(#REF!,#REF!,'Shift Wise-Data Sheet'!A:A,#REF!,"Samridhi Perk Line"),"")</f>
        <v/>
      </c>
      <c r="AT309" s="32"/>
      <c r="AU309" s="32"/>
      <c r="AV309" s="211">
        <f>IFERROR(VLOOKUP(Table110[[#This Row],[Date]],'Overweight Data'!A307:G1402,6,FALSE),"")</f>
        <v>0</v>
      </c>
      <c r="AW309" s="221">
        <f>IFERROR(
   IF(
      OR(Table110[[#This Row],[Operating Time]]=0, (Table110[[#This Row],[Operating Time]]/IF(AD309&lt;=1,AD309+1,AD309))*60=0),
      1,
      ((Table110[[#This Row],[Operating Time]])/IF(AD309&lt;=1,AD309+1,AD309))*60
   ),
"_")</f>
        <v>1</v>
      </c>
      <c r="AX309" s="221">
        <f>COUNTIFS('Downtime Data'!A:A,Table110[[#This Row],[Date]])</f>
        <v>0</v>
      </c>
      <c r="AY309" s="219" t="str">
        <f>IFERROR((SUM(Table110[[#This Row],[Minor Stoppages]:[Material Shortages]])/Table110[[#This Row],['# Stops]])*60,"")</f>
        <v/>
      </c>
      <c r="AZ309" s="219"/>
      <c r="BA309" s="33">
        <v>46321</v>
      </c>
    </row>
    <row r="310" spans="1:53" ht="20.149999999999999" customHeight="1" x14ac:dyDescent="0.35">
      <c r="A310" s="21">
        <v>46327</v>
      </c>
      <c r="B310" s="22" t="str">
        <f t="shared" si="5"/>
        <v>Sunday</v>
      </c>
      <c r="C310" s="22"/>
      <c r="D310" s="23"/>
      <c r="E310" s="24" t="str" cm="1">
        <f t="array" aca="1" ref="E310" ca="1">IFERROR(INDIRECT(D310),"")</f>
        <v/>
      </c>
      <c r="F310" s="25"/>
      <c r="G310" s="26"/>
      <c r="H310" s="27" t="str">
        <f ca="1">IFERROR((Table110[[#This Row],[Plan]]/Table110[[#This Row],[Hours Used]])/(Table110[[#This Row],[SOC (TPD)]]/24),"")</f>
        <v/>
      </c>
      <c r="I310" s="27" t="str">
        <f ca="1">IFERROR((Table110[[#This Row],[Volume Delivered (T)]]/Table110[[#This Row],[Hours Used]])/(Table110[[#This Row],[SOC (TPD)]]/24),"")</f>
        <v/>
      </c>
      <c r="J310" s="28"/>
      <c r="K310" s="28"/>
      <c r="L310" s="28"/>
      <c r="M310" s="25"/>
      <c r="N310" s="29"/>
      <c r="O310" s="84"/>
      <c r="P310" s="25"/>
      <c r="Q310" s="25"/>
      <c r="R310" s="70"/>
      <c r="S310" s="71"/>
      <c r="T310" s="30">
        <f>IF(Table110[[#This Row],[SKU]]="",0,24-Table110[[#This Row],[Legal Non-Operating Time]]-Table110[[#This Row],[No Demand Time]]-Table110[[#This Row],[Force Majeure]])</f>
        <v>0</v>
      </c>
      <c r="U310" s="26"/>
      <c r="V310" s="26"/>
      <c r="W310" s="26"/>
      <c r="X310" s="26"/>
      <c r="Y310" s="26"/>
      <c r="Z310" s="26"/>
      <c r="AA310" s="26"/>
      <c r="AB310" s="30">
        <f>Table110[[#This Row],[Hours Used]]-SUM(Table110[[#This Row],[Planned Maintenance]:[Start and Finish Production]])</f>
        <v>0</v>
      </c>
      <c r="AC310" s="26"/>
      <c r="AD310" s="26"/>
      <c r="AE310" s="26"/>
      <c r="AF310" s="26"/>
      <c r="AG310" s="26"/>
      <c r="AH310" s="26"/>
      <c r="AI310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310" s="24">
        <f>IFERROR(IF(Table110[[#This Row],[SKU]]="",0,Table110[[#This Row],[Quality Loss (T)]]/(Table110[[#This Row],[SOC (TPD)]]/24)),"")</f>
        <v>0</v>
      </c>
      <c r="AK310" s="31">
        <f>IFERROR(IF(Table110[[#This Row],[SKU]]="",0,Table110[[#This Row],[Volume Delivered (T)]]/(Table110[[#This Row],[SOC (TPD)]]/24)),"")</f>
        <v>0</v>
      </c>
      <c r="AL310" s="31" t="str">
        <f>IFERROR(Table110[[#This Row],[Operating Time]]/Table110[[#This Row],[PRODUCTION HOURS]],"")</f>
        <v/>
      </c>
      <c r="AM310" s="32"/>
      <c r="AN310" s="32"/>
      <c r="AO310" s="32"/>
      <c r="AP310" s="32">
        <v>0</v>
      </c>
      <c r="AQ310" s="32">
        <v>0</v>
      </c>
      <c r="AR310" s="32"/>
      <c r="AS310" s="32" t="str">
        <f>IFERROR(SUMIFS(#REF!,#REF!,'Shift Wise-Data Sheet'!A:A,#REF!,"Samridhi Perk Line")/SUMIFS(#REF!,#REF!,'Shift Wise-Data Sheet'!A:A,#REF!,"Samridhi Perk Line"),"")</f>
        <v/>
      </c>
      <c r="AT310" s="32"/>
      <c r="AU310" s="32"/>
      <c r="AV310" s="211">
        <f>IFERROR(VLOOKUP(Table110[[#This Row],[Date]],'Overweight Data'!A308:G1403,6,FALSE),"")</f>
        <v>0</v>
      </c>
      <c r="AW310" s="221">
        <f>IFERROR(
   IF(
      OR(Table110[[#This Row],[Operating Time]]=0, (Table110[[#This Row],[Operating Time]]/IF(AD310&lt;=1,AD310+1,AD310))*60=0),
      1,
      ((Table110[[#This Row],[Operating Time]])/IF(AD310&lt;=1,AD310+1,AD310))*60
   ),
"_")</f>
        <v>1</v>
      </c>
      <c r="AX310" s="221">
        <f>COUNTIFS('Downtime Data'!A:A,Table110[[#This Row],[Date]])</f>
        <v>0</v>
      </c>
      <c r="AY310" s="219" t="str">
        <f>IFERROR((SUM(Table110[[#This Row],[Minor Stoppages]:[Material Shortages]])/Table110[[#This Row],['# Stops]])*60,"")</f>
        <v/>
      </c>
      <c r="AZ310" s="219"/>
      <c r="BA310" s="33">
        <v>46321</v>
      </c>
    </row>
    <row r="311" spans="1:53" ht="20.149999999999999" customHeight="1" x14ac:dyDescent="0.35">
      <c r="A311" s="21">
        <v>46328</v>
      </c>
      <c r="B311" s="22" t="str">
        <f t="shared" si="5"/>
        <v>Monday</v>
      </c>
      <c r="C311" s="22"/>
      <c r="D311" s="23"/>
      <c r="E311" s="24" t="str" cm="1">
        <f t="array" aca="1" ref="E311" ca="1">IFERROR(INDIRECT(D311),"")</f>
        <v/>
      </c>
      <c r="F311" s="25"/>
      <c r="G311" s="26"/>
      <c r="H311" s="27" t="str">
        <f ca="1">IFERROR((Table110[[#This Row],[Plan]]/Table110[[#This Row],[Hours Used]])/(Table110[[#This Row],[SOC (TPD)]]/24),"")</f>
        <v/>
      </c>
      <c r="I311" s="27" t="str">
        <f ca="1">IFERROR((Table110[[#This Row],[Volume Delivered (T)]]/Table110[[#This Row],[Hours Used]])/(Table110[[#This Row],[SOC (TPD)]]/24),"")</f>
        <v/>
      </c>
      <c r="J311" s="28"/>
      <c r="K311" s="28"/>
      <c r="L311" s="28"/>
      <c r="M311" s="25"/>
      <c r="N311" s="29"/>
      <c r="O311" s="84"/>
      <c r="P311" s="25"/>
      <c r="Q311" s="25"/>
      <c r="R311" s="70"/>
      <c r="S311" s="71"/>
      <c r="T311" s="30">
        <f>IF(Table110[[#This Row],[SKU]]="",0,24-Table110[[#This Row],[Legal Non-Operating Time]]-Table110[[#This Row],[No Demand Time]]-Table110[[#This Row],[Force Majeure]])</f>
        <v>0</v>
      </c>
      <c r="U311" s="26"/>
      <c r="V311" s="26"/>
      <c r="W311" s="26"/>
      <c r="X311" s="26"/>
      <c r="Y311" s="26"/>
      <c r="Z311" s="26"/>
      <c r="AA311" s="26"/>
      <c r="AB311" s="30">
        <f>Table110[[#This Row],[Hours Used]]-SUM(Table110[[#This Row],[Planned Maintenance]:[Start and Finish Production]])</f>
        <v>0</v>
      </c>
      <c r="AC311" s="26"/>
      <c r="AD311" s="26"/>
      <c r="AE311" s="26"/>
      <c r="AF311" s="26"/>
      <c r="AG311" s="26"/>
      <c r="AH311" s="26"/>
      <c r="AI311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311" s="24">
        <f>IFERROR(IF(Table110[[#This Row],[SKU]]="",0,Table110[[#This Row],[Quality Loss (T)]]/(Table110[[#This Row],[SOC (TPD)]]/24)),"")</f>
        <v>0</v>
      </c>
      <c r="AK311" s="31">
        <f>IFERROR(IF(Table110[[#This Row],[SKU]]="",0,Table110[[#This Row],[Volume Delivered (T)]]/(Table110[[#This Row],[SOC (TPD)]]/24)),"")</f>
        <v>0</v>
      </c>
      <c r="AL311" s="31" t="str">
        <f>IFERROR(Table110[[#This Row],[Operating Time]]/Table110[[#This Row],[PRODUCTION HOURS]],"")</f>
        <v/>
      </c>
      <c r="AM311" s="32"/>
      <c r="AN311" s="32"/>
      <c r="AO311" s="32"/>
      <c r="AP311" s="32">
        <v>0</v>
      </c>
      <c r="AQ311" s="32">
        <v>0</v>
      </c>
      <c r="AR311" s="32"/>
      <c r="AS311" s="32" t="str">
        <f>IFERROR(SUMIFS(#REF!,#REF!,'Shift Wise-Data Sheet'!A:A,#REF!,"Samridhi Perk Line")/SUMIFS(#REF!,#REF!,'Shift Wise-Data Sheet'!A:A,#REF!,"Samridhi Perk Line"),"")</f>
        <v/>
      </c>
      <c r="AT311" s="32"/>
      <c r="AU311" s="32"/>
      <c r="AV311" s="211">
        <f>IFERROR(VLOOKUP(Table110[[#This Row],[Date]],'Overweight Data'!A309:G1404,6,FALSE),"")</f>
        <v>0</v>
      </c>
      <c r="AW311" s="221">
        <f>IFERROR(
   IF(
      OR(Table110[[#This Row],[Operating Time]]=0, (Table110[[#This Row],[Operating Time]]/IF(AD311&lt;=1,AD311+1,AD311))*60=0),
      1,
      ((Table110[[#This Row],[Operating Time]])/IF(AD311&lt;=1,AD311+1,AD311))*60
   ),
"_")</f>
        <v>1</v>
      </c>
      <c r="AX311" s="221">
        <f>COUNTIFS('Downtime Data'!A:A,Table110[[#This Row],[Date]])</f>
        <v>0</v>
      </c>
      <c r="AY311" s="219" t="str">
        <f>IFERROR((SUM(Table110[[#This Row],[Minor Stoppages]:[Material Shortages]])/Table110[[#This Row],['# Stops]])*60,"")</f>
        <v/>
      </c>
      <c r="AZ311" s="219"/>
      <c r="BA311" s="33">
        <v>46352</v>
      </c>
    </row>
    <row r="312" spans="1:53" ht="20.149999999999999" customHeight="1" x14ac:dyDescent="0.35">
      <c r="A312" s="21">
        <v>46329</v>
      </c>
      <c r="B312" s="22" t="str">
        <f t="shared" si="5"/>
        <v>Tuesday</v>
      </c>
      <c r="C312" s="22"/>
      <c r="D312" s="23"/>
      <c r="E312" s="24" t="str" cm="1">
        <f t="array" aca="1" ref="E312" ca="1">IFERROR(INDIRECT(D312),"")</f>
        <v/>
      </c>
      <c r="F312" s="25"/>
      <c r="G312" s="26"/>
      <c r="H312" s="27" t="str">
        <f ca="1">IFERROR((Table110[[#This Row],[Plan]]/Table110[[#This Row],[Hours Used]])/(Table110[[#This Row],[SOC (TPD)]]/24),"")</f>
        <v/>
      </c>
      <c r="I312" s="27" t="str">
        <f ca="1">IFERROR((Table110[[#This Row],[Volume Delivered (T)]]/Table110[[#This Row],[Hours Used]])/(Table110[[#This Row],[SOC (TPD)]]/24),"")</f>
        <v/>
      </c>
      <c r="J312" s="28"/>
      <c r="K312" s="28"/>
      <c r="L312" s="28"/>
      <c r="M312" s="25"/>
      <c r="N312" s="29"/>
      <c r="O312" s="84"/>
      <c r="P312" s="25"/>
      <c r="Q312" s="25"/>
      <c r="R312" s="70"/>
      <c r="S312" s="71"/>
      <c r="T312" s="30">
        <f>IF(Table110[[#This Row],[SKU]]="",0,24-Table110[[#This Row],[Legal Non-Operating Time]]-Table110[[#This Row],[No Demand Time]]-Table110[[#This Row],[Force Majeure]])</f>
        <v>0</v>
      </c>
      <c r="U312" s="26"/>
      <c r="V312" s="26"/>
      <c r="W312" s="26"/>
      <c r="X312" s="26"/>
      <c r="Y312" s="26"/>
      <c r="Z312" s="26"/>
      <c r="AA312" s="26"/>
      <c r="AB312" s="30">
        <f>Table110[[#This Row],[Hours Used]]-SUM(Table110[[#This Row],[Planned Maintenance]:[Start and Finish Production]])</f>
        <v>0</v>
      </c>
      <c r="AC312" s="26"/>
      <c r="AD312" s="26"/>
      <c r="AE312" s="26"/>
      <c r="AF312" s="26"/>
      <c r="AG312" s="26"/>
      <c r="AH312" s="26"/>
      <c r="AI312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312" s="24">
        <f>IFERROR(IF(Table110[[#This Row],[SKU]]="",0,Table110[[#This Row],[Quality Loss (T)]]/(Table110[[#This Row],[SOC (TPD)]]/24)),"")</f>
        <v>0</v>
      </c>
      <c r="AK312" s="31">
        <f>IFERROR(IF(Table110[[#This Row],[SKU]]="",0,Table110[[#This Row],[Volume Delivered (T)]]/(Table110[[#This Row],[SOC (TPD)]]/24)),"")</f>
        <v>0</v>
      </c>
      <c r="AL312" s="31" t="str">
        <f>IFERROR(Table110[[#This Row],[Operating Time]]/Table110[[#This Row],[PRODUCTION HOURS]],"")</f>
        <v/>
      </c>
      <c r="AM312" s="32"/>
      <c r="AN312" s="32"/>
      <c r="AO312" s="32"/>
      <c r="AP312" s="32">
        <v>18</v>
      </c>
      <c r="AQ312" s="32">
        <v>0</v>
      </c>
      <c r="AR312" s="32"/>
      <c r="AS312" s="32" t="str">
        <f>IFERROR(SUMIFS(#REF!,#REF!,'Shift Wise-Data Sheet'!A:A,#REF!,"Samridhi Perk Line")/SUMIFS(#REF!,#REF!,'Shift Wise-Data Sheet'!A:A,#REF!,"Samridhi Perk Line"),"")</f>
        <v/>
      </c>
      <c r="AT312" s="32"/>
      <c r="AU312" s="32"/>
      <c r="AV312" s="211">
        <f>IFERROR(VLOOKUP(Table110[[#This Row],[Date]],'Overweight Data'!A310:G1405,6,FALSE),"")</f>
        <v>0</v>
      </c>
      <c r="AW312" s="221">
        <f>IFERROR(
   IF(
      OR(Table110[[#This Row],[Operating Time]]=0, (Table110[[#This Row],[Operating Time]]/IF(AD312&lt;=1,AD312+1,AD312))*60=0),
      1,
      ((Table110[[#This Row],[Operating Time]])/IF(AD312&lt;=1,AD312+1,AD312))*60
   ),
"_")</f>
        <v>1</v>
      </c>
      <c r="AX312" s="221">
        <f>COUNTIFS('Downtime Data'!A:A,Table110[[#This Row],[Date]])</f>
        <v>0</v>
      </c>
      <c r="AY312" s="219" t="str">
        <f>IFERROR((SUM(Table110[[#This Row],[Minor Stoppages]:[Material Shortages]])/Table110[[#This Row],['# Stops]])*60,"")</f>
        <v/>
      </c>
      <c r="AZ312" s="219"/>
      <c r="BA312" s="33">
        <v>46352</v>
      </c>
    </row>
    <row r="313" spans="1:53" ht="20.149999999999999" customHeight="1" x14ac:dyDescent="0.35">
      <c r="A313" s="21">
        <v>46330</v>
      </c>
      <c r="B313" s="22" t="str">
        <f t="shared" si="5"/>
        <v>Wednesday</v>
      </c>
      <c r="C313" s="22"/>
      <c r="D313" s="23"/>
      <c r="E313" s="24" t="str" cm="1">
        <f t="array" aca="1" ref="E313" ca="1">IFERROR(INDIRECT(D313),"")</f>
        <v/>
      </c>
      <c r="F313" s="25"/>
      <c r="G313" s="26"/>
      <c r="H313" s="27" t="str">
        <f ca="1">IFERROR((Table110[[#This Row],[Plan]]/Table110[[#This Row],[Hours Used]])/(Table110[[#This Row],[SOC (TPD)]]/24),"")</f>
        <v/>
      </c>
      <c r="I313" s="27" t="str">
        <f ca="1">IFERROR((Table110[[#This Row],[Volume Delivered (T)]]/Table110[[#This Row],[Hours Used]])/(Table110[[#This Row],[SOC (TPD)]]/24),"")</f>
        <v/>
      </c>
      <c r="J313" s="28"/>
      <c r="K313" s="28"/>
      <c r="L313" s="28"/>
      <c r="M313" s="25"/>
      <c r="N313" s="29"/>
      <c r="O313" s="84"/>
      <c r="P313" s="25"/>
      <c r="Q313" s="25"/>
      <c r="R313" s="70"/>
      <c r="S313" s="71"/>
      <c r="T313" s="30">
        <f>IF(Table110[[#This Row],[SKU]]="",0,24-Table110[[#This Row],[Legal Non-Operating Time]]-Table110[[#This Row],[No Demand Time]]-Table110[[#This Row],[Force Majeure]])</f>
        <v>0</v>
      </c>
      <c r="U313" s="26"/>
      <c r="V313" s="26"/>
      <c r="W313" s="26"/>
      <c r="X313" s="26"/>
      <c r="Y313" s="26"/>
      <c r="Z313" s="26"/>
      <c r="AA313" s="26"/>
      <c r="AB313" s="30">
        <f>Table110[[#This Row],[Hours Used]]-SUM(Table110[[#This Row],[Planned Maintenance]:[Start and Finish Production]])</f>
        <v>0</v>
      </c>
      <c r="AC313" s="26"/>
      <c r="AD313" s="26"/>
      <c r="AE313" s="26"/>
      <c r="AF313" s="26"/>
      <c r="AG313" s="26"/>
      <c r="AH313" s="26"/>
      <c r="AI313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313" s="24">
        <f>IFERROR(IF(Table110[[#This Row],[SKU]]="",0,Table110[[#This Row],[Quality Loss (T)]]/(Table110[[#This Row],[SOC (TPD)]]/24)),"")</f>
        <v>0</v>
      </c>
      <c r="AK313" s="31">
        <f>IFERROR(IF(Table110[[#This Row],[SKU]]="",0,Table110[[#This Row],[Volume Delivered (T)]]/(Table110[[#This Row],[SOC (TPD)]]/24)),"")</f>
        <v>0</v>
      </c>
      <c r="AL313" s="31" t="str">
        <f>IFERROR(Table110[[#This Row],[Operating Time]]/Table110[[#This Row],[PRODUCTION HOURS]],"")</f>
        <v/>
      </c>
      <c r="AM313" s="32"/>
      <c r="AN313" s="32"/>
      <c r="AO313" s="32"/>
      <c r="AP313" s="32">
        <v>2</v>
      </c>
      <c r="AQ313" s="32">
        <v>0</v>
      </c>
      <c r="AR313" s="32"/>
      <c r="AS313" s="32" t="str">
        <f>IFERROR(SUMIFS(#REF!,#REF!,'Shift Wise-Data Sheet'!A:A,#REF!,"Samridhi Perk Line")/SUMIFS(#REF!,#REF!,'Shift Wise-Data Sheet'!A:A,#REF!,"Samridhi Perk Line"),"")</f>
        <v/>
      </c>
      <c r="AT313" s="32"/>
      <c r="AU313" s="32"/>
      <c r="AV313" s="211">
        <f>IFERROR(VLOOKUP(Table110[[#This Row],[Date]],'Overweight Data'!A311:G1406,6,FALSE),"")</f>
        <v>0</v>
      </c>
      <c r="AW313" s="221">
        <f>IFERROR(
   IF(
      OR(Table110[[#This Row],[Operating Time]]=0, (Table110[[#This Row],[Operating Time]]/IF(AD313&lt;=1,AD313+1,AD313))*60=0),
      1,
      ((Table110[[#This Row],[Operating Time]])/IF(AD313&lt;=1,AD313+1,AD313))*60
   ),
"_")</f>
        <v>1</v>
      </c>
      <c r="AX313" s="221">
        <f>COUNTIFS('Downtime Data'!A:A,Table110[[#This Row],[Date]])</f>
        <v>0</v>
      </c>
      <c r="AY313" s="219" t="str">
        <f>IFERROR((SUM(Table110[[#This Row],[Minor Stoppages]:[Material Shortages]])/Table110[[#This Row],['# Stops]])*60,"")</f>
        <v/>
      </c>
      <c r="AZ313" s="219"/>
      <c r="BA313" s="33">
        <v>46352</v>
      </c>
    </row>
    <row r="314" spans="1:53" ht="20.149999999999999" customHeight="1" x14ac:dyDescent="0.35">
      <c r="A314" s="21">
        <v>46331</v>
      </c>
      <c r="B314" s="22" t="str">
        <f t="shared" si="5"/>
        <v>Thursday</v>
      </c>
      <c r="C314" s="22"/>
      <c r="D314" s="23"/>
      <c r="E314" s="24" t="str" cm="1">
        <f t="array" aca="1" ref="E314" ca="1">IFERROR(INDIRECT(D314),"")</f>
        <v/>
      </c>
      <c r="F314" s="25"/>
      <c r="G314" s="26"/>
      <c r="H314" s="27" t="str">
        <f ca="1">IFERROR((Table110[[#This Row],[Plan]]/Table110[[#This Row],[Hours Used]])/(Table110[[#This Row],[SOC (TPD)]]/24),"")</f>
        <v/>
      </c>
      <c r="I314" s="27" t="str">
        <f ca="1">IFERROR((Table110[[#This Row],[Volume Delivered (T)]]/Table110[[#This Row],[Hours Used]])/(Table110[[#This Row],[SOC (TPD)]]/24),"")</f>
        <v/>
      </c>
      <c r="J314" s="28"/>
      <c r="K314" s="28"/>
      <c r="L314" s="28"/>
      <c r="M314" s="25"/>
      <c r="N314" s="29"/>
      <c r="O314" s="84"/>
      <c r="P314" s="25"/>
      <c r="Q314" s="25"/>
      <c r="R314" s="70"/>
      <c r="S314" s="71"/>
      <c r="T314" s="30">
        <f>IF(Table110[[#This Row],[SKU]]="",0,24-Table110[[#This Row],[Legal Non-Operating Time]]-Table110[[#This Row],[No Demand Time]]-Table110[[#This Row],[Force Majeure]])</f>
        <v>0</v>
      </c>
      <c r="U314" s="26"/>
      <c r="V314" s="26"/>
      <c r="W314" s="26"/>
      <c r="X314" s="26"/>
      <c r="Y314" s="26"/>
      <c r="Z314" s="26"/>
      <c r="AA314" s="26"/>
      <c r="AB314" s="30">
        <f>Table110[[#This Row],[Hours Used]]-SUM(Table110[[#This Row],[Planned Maintenance]:[Start and Finish Production]])</f>
        <v>0</v>
      </c>
      <c r="AC314" s="26"/>
      <c r="AD314" s="26"/>
      <c r="AE314" s="26"/>
      <c r="AF314" s="26"/>
      <c r="AG314" s="26"/>
      <c r="AH314" s="26"/>
      <c r="AI314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314" s="24">
        <f>IFERROR(IF(Table110[[#This Row],[SKU]]="",0,Table110[[#This Row],[Quality Loss (T)]]/(Table110[[#This Row],[SOC (TPD)]]/24)),"")</f>
        <v>0</v>
      </c>
      <c r="AK314" s="31">
        <f>IFERROR(IF(Table110[[#This Row],[SKU]]="",0,Table110[[#This Row],[Volume Delivered (T)]]/(Table110[[#This Row],[SOC (TPD)]]/24)),"")</f>
        <v>0</v>
      </c>
      <c r="AL314" s="31" t="str">
        <f>IFERROR(Table110[[#This Row],[Operating Time]]/Table110[[#This Row],[PRODUCTION HOURS]],"")</f>
        <v/>
      </c>
      <c r="AM314" s="32"/>
      <c r="AN314" s="32"/>
      <c r="AO314" s="32"/>
      <c r="AP314" s="32">
        <v>0</v>
      </c>
      <c r="AQ314" s="32">
        <v>0</v>
      </c>
      <c r="AR314" s="32"/>
      <c r="AS314" s="32" t="str">
        <f>IFERROR(SUMIFS(#REF!,#REF!,'Shift Wise-Data Sheet'!A:A,#REF!,"Samridhi Perk Line")/SUMIFS(#REF!,#REF!,'Shift Wise-Data Sheet'!A:A,#REF!,"Samridhi Perk Line"),"")</f>
        <v/>
      </c>
      <c r="AT314" s="32"/>
      <c r="AU314" s="32"/>
      <c r="AV314" s="211">
        <f>IFERROR(VLOOKUP(Table110[[#This Row],[Date]],'Overweight Data'!A312:G1407,6,FALSE),"")</f>
        <v>0</v>
      </c>
      <c r="AW314" s="221">
        <f>IFERROR(
   IF(
      OR(Table110[[#This Row],[Operating Time]]=0, (Table110[[#This Row],[Operating Time]]/IF(AD314&lt;=1,AD314+1,AD314))*60=0),
      1,
      ((Table110[[#This Row],[Operating Time]])/IF(AD314&lt;=1,AD314+1,AD314))*60
   ),
"_")</f>
        <v>1</v>
      </c>
      <c r="AX314" s="221">
        <f>COUNTIFS('Downtime Data'!A:A,Table110[[#This Row],[Date]])</f>
        <v>0</v>
      </c>
      <c r="AY314" s="219" t="str">
        <f>IFERROR((SUM(Table110[[#This Row],[Minor Stoppages]:[Material Shortages]])/Table110[[#This Row],['# Stops]])*60,"")</f>
        <v/>
      </c>
      <c r="AZ314" s="219"/>
      <c r="BA314" s="33">
        <v>46352</v>
      </c>
    </row>
    <row r="315" spans="1:53" ht="20.149999999999999" customHeight="1" x14ac:dyDescent="0.35">
      <c r="A315" s="21">
        <v>46332</v>
      </c>
      <c r="B315" s="22" t="str">
        <f t="shared" si="5"/>
        <v>Friday</v>
      </c>
      <c r="C315" s="22"/>
      <c r="D315" s="23"/>
      <c r="E315" s="24" t="str" cm="1">
        <f t="array" aca="1" ref="E315" ca="1">IFERROR(INDIRECT(D315),"")</f>
        <v/>
      </c>
      <c r="F315" s="25"/>
      <c r="G315" s="26"/>
      <c r="H315" s="27" t="str">
        <f ca="1">IFERROR((Table110[[#This Row],[Plan]]/Table110[[#This Row],[Hours Used]])/(Table110[[#This Row],[SOC (TPD)]]/24),"")</f>
        <v/>
      </c>
      <c r="I315" s="27" t="str">
        <f ca="1">IFERROR((Table110[[#This Row],[Volume Delivered (T)]]/Table110[[#This Row],[Hours Used]])/(Table110[[#This Row],[SOC (TPD)]]/24),"")</f>
        <v/>
      </c>
      <c r="J315" s="28"/>
      <c r="K315" s="28"/>
      <c r="L315" s="28"/>
      <c r="M315" s="25"/>
      <c r="N315" s="29"/>
      <c r="O315" s="84"/>
      <c r="P315" s="25"/>
      <c r="Q315" s="25"/>
      <c r="R315" s="70"/>
      <c r="S315" s="71"/>
      <c r="T315" s="30">
        <f>IF(Table110[[#This Row],[SKU]]="",0,24-Table110[[#This Row],[Legal Non-Operating Time]]-Table110[[#This Row],[No Demand Time]]-Table110[[#This Row],[Force Majeure]])</f>
        <v>0</v>
      </c>
      <c r="U315" s="26"/>
      <c r="V315" s="26"/>
      <c r="W315" s="26"/>
      <c r="X315" s="26"/>
      <c r="Y315" s="26"/>
      <c r="Z315" s="26"/>
      <c r="AA315" s="26"/>
      <c r="AB315" s="30">
        <f>Table110[[#This Row],[Hours Used]]-SUM(Table110[[#This Row],[Planned Maintenance]:[Start and Finish Production]])</f>
        <v>0</v>
      </c>
      <c r="AC315" s="26"/>
      <c r="AD315" s="26"/>
      <c r="AE315" s="26"/>
      <c r="AF315" s="26"/>
      <c r="AG315" s="26"/>
      <c r="AH315" s="26"/>
      <c r="AI315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315" s="24">
        <f>IFERROR(IF(Table110[[#This Row],[SKU]]="",0,Table110[[#This Row],[Quality Loss (T)]]/(Table110[[#This Row],[SOC (TPD)]]/24)),"")</f>
        <v>0</v>
      </c>
      <c r="AK315" s="31">
        <f>IFERROR(IF(Table110[[#This Row],[SKU]]="",0,Table110[[#This Row],[Volume Delivered (T)]]/(Table110[[#This Row],[SOC (TPD)]]/24)),"")</f>
        <v>0</v>
      </c>
      <c r="AL315" s="31" t="str">
        <f>IFERROR(Table110[[#This Row],[Operating Time]]/Table110[[#This Row],[PRODUCTION HOURS]],"")</f>
        <v/>
      </c>
      <c r="AM315" s="32"/>
      <c r="AN315" s="32"/>
      <c r="AO315" s="32"/>
      <c r="AP315" s="32">
        <v>0</v>
      </c>
      <c r="AQ315" s="32">
        <v>0</v>
      </c>
      <c r="AR315" s="32"/>
      <c r="AS315" s="32" t="str">
        <f>IFERROR(SUMIFS(#REF!,#REF!,'Shift Wise-Data Sheet'!A:A,#REF!,"Samridhi Perk Line")/SUMIFS(#REF!,#REF!,'Shift Wise-Data Sheet'!A:A,#REF!,"Samridhi Perk Line"),"")</f>
        <v/>
      </c>
      <c r="AT315" s="32"/>
      <c r="AU315" s="32"/>
      <c r="AV315" s="211">
        <f>IFERROR(VLOOKUP(Table110[[#This Row],[Date]],'Overweight Data'!A313:G1408,6,FALSE),"")</f>
        <v>0</v>
      </c>
      <c r="AW315" s="221">
        <f>IFERROR(
   IF(
      OR(Table110[[#This Row],[Operating Time]]=0, (Table110[[#This Row],[Operating Time]]/IF(AD315&lt;=1,AD315+1,AD315))*60=0),
      1,
      ((Table110[[#This Row],[Operating Time]])/IF(AD315&lt;=1,AD315+1,AD315))*60
   ),
"_")</f>
        <v>1</v>
      </c>
      <c r="AX315" s="221">
        <f>COUNTIFS('Downtime Data'!A:A,Table110[[#This Row],[Date]])</f>
        <v>0</v>
      </c>
      <c r="AY315" s="219" t="str">
        <f>IFERROR((SUM(Table110[[#This Row],[Minor Stoppages]:[Material Shortages]])/Table110[[#This Row],['# Stops]])*60,"")</f>
        <v/>
      </c>
      <c r="AZ315" s="219"/>
      <c r="BA315" s="33">
        <v>46352</v>
      </c>
    </row>
    <row r="316" spans="1:53" ht="20.149999999999999" customHeight="1" x14ac:dyDescent="0.35">
      <c r="A316" s="21">
        <v>46333</v>
      </c>
      <c r="B316" s="22" t="str">
        <f t="shared" si="5"/>
        <v>Saturday</v>
      </c>
      <c r="C316" s="22"/>
      <c r="D316" s="23"/>
      <c r="E316" s="24" t="str" cm="1">
        <f t="array" aca="1" ref="E316" ca="1">IFERROR(INDIRECT(D316),"")</f>
        <v/>
      </c>
      <c r="F316" s="25"/>
      <c r="G316" s="26"/>
      <c r="H316" s="27" t="str">
        <f ca="1">IFERROR((Table110[[#This Row],[Plan]]/Table110[[#This Row],[Hours Used]])/(Table110[[#This Row],[SOC (TPD)]]/24),"")</f>
        <v/>
      </c>
      <c r="I316" s="27" t="str">
        <f ca="1">IFERROR((Table110[[#This Row],[Volume Delivered (T)]]/Table110[[#This Row],[Hours Used]])/(Table110[[#This Row],[SOC (TPD)]]/24),"")</f>
        <v/>
      </c>
      <c r="J316" s="28"/>
      <c r="K316" s="28"/>
      <c r="L316" s="28"/>
      <c r="M316" s="25"/>
      <c r="N316" s="29"/>
      <c r="O316" s="84"/>
      <c r="P316" s="25"/>
      <c r="Q316" s="25"/>
      <c r="R316" s="70"/>
      <c r="S316" s="71"/>
      <c r="T316" s="30">
        <f>IF(Table110[[#This Row],[SKU]]="",0,24-Table110[[#This Row],[Legal Non-Operating Time]]-Table110[[#This Row],[No Demand Time]]-Table110[[#This Row],[Force Majeure]])</f>
        <v>0</v>
      </c>
      <c r="U316" s="26"/>
      <c r="V316" s="26"/>
      <c r="W316" s="26"/>
      <c r="X316" s="26"/>
      <c r="Y316" s="26"/>
      <c r="Z316" s="26"/>
      <c r="AA316" s="26"/>
      <c r="AB316" s="30">
        <f>Table110[[#This Row],[Hours Used]]-SUM(Table110[[#This Row],[Planned Maintenance]:[Start and Finish Production]])</f>
        <v>0</v>
      </c>
      <c r="AC316" s="26"/>
      <c r="AD316" s="26"/>
      <c r="AE316" s="26"/>
      <c r="AF316" s="26"/>
      <c r="AG316" s="26"/>
      <c r="AH316" s="26"/>
      <c r="AI316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316" s="24">
        <f>IFERROR(IF(Table110[[#This Row],[SKU]]="",0,Table110[[#This Row],[Quality Loss (T)]]/(Table110[[#This Row],[SOC (TPD)]]/24)),"")</f>
        <v>0</v>
      </c>
      <c r="AK316" s="31">
        <f>IFERROR(IF(Table110[[#This Row],[SKU]]="",0,Table110[[#This Row],[Volume Delivered (T)]]/(Table110[[#This Row],[SOC (TPD)]]/24)),"")</f>
        <v>0</v>
      </c>
      <c r="AL316" s="31" t="str">
        <f>IFERROR(Table110[[#This Row],[Operating Time]]/Table110[[#This Row],[PRODUCTION HOURS]],"")</f>
        <v/>
      </c>
      <c r="AM316" s="32"/>
      <c r="AN316" s="32"/>
      <c r="AO316" s="32"/>
      <c r="AP316" s="32">
        <v>1</v>
      </c>
      <c r="AQ316" s="32">
        <v>0</v>
      </c>
      <c r="AR316" s="32"/>
      <c r="AS316" s="32" t="str">
        <f>IFERROR(SUMIFS(#REF!,#REF!,'Shift Wise-Data Sheet'!A:A,#REF!,"Samridhi Perk Line")/SUMIFS(#REF!,#REF!,'Shift Wise-Data Sheet'!A:A,#REF!,"Samridhi Perk Line"),"")</f>
        <v/>
      </c>
      <c r="AT316" s="32"/>
      <c r="AU316" s="32"/>
      <c r="AV316" s="211">
        <f>IFERROR(VLOOKUP(Table110[[#This Row],[Date]],'Overweight Data'!A314:G1409,6,FALSE),"")</f>
        <v>0</v>
      </c>
      <c r="AW316" s="221">
        <f>IFERROR(
   IF(
      OR(Table110[[#This Row],[Operating Time]]=0, (Table110[[#This Row],[Operating Time]]/IF(AD316&lt;=1,AD316+1,AD316))*60=0),
      1,
      ((Table110[[#This Row],[Operating Time]])/IF(AD316&lt;=1,AD316+1,AD316))*60
   ),
"_")</f>
        <v>1</v>
      </c>
      <c r="AX316" s="221">
        <f>COUNTIFS('Downtime Data'!A:A,Table110[[#This Row],[Date]])</f>
        <v>0</v>
      </c>
      <c r="AY316" s="219" t="str">
        <f>IFERROR((SUM(Table110[[#This Row],[Minor Stoppages]:[Material Shortages]])/Table110[[#This Row],['# Stops]])*60,"")</f>
        <v/>
      </c>
      <c r="AZ316" s="219"/>
      <c r="BA316" s="33">
        <v>46352</v>
      </c>
    </row>
    <row r="317" spans="1:53" ht="20.149999999999999" customHeight="1" x14ac:dyDescent="0.35">
      <c r="A317" s="21">
        <v>46334</v>
      </c>
      <c r="B317" s="22" t="str">
        <f t="shared" si="5"/>
        <v>Sunday</v>
      </c>
      <c r="C317" s="22"/>
      <c r="D317" s="23"/>
      <c r="E317" s="24" t="str" cm="1">
        <f t="array" aca="1" ref="E317" ca="1">IFERROR(INDIRECT(D317),"")</f>
        <v/>
      </c>
      <c r="F317" s="25"/>
      <c r="G317" s="26"/>
      <c r="H317" s="27" t="str">
        <f ca="1">IFERROR((Table110[[#This Row],[Plan]]/Table110[[#This Row],[Hours Used]])/(Table110[[#This Row],[SOC (TPD)]]/24),"")</f>
        <v/>
      </c>
      <c r="I317" s="27" t="str">
        <f ca="1">IFERROR((Table110[[#This Row],[Volume Delivered (T)]]/Table110[[#This Row],[Hours Used]])/(Table110[[#This Row],[SOC (TPD)]]/24),"")</f>
        <v/>
      </c>
      <c r="J317" s="28"/>
      <c r="K317" s="28"/>
      <c r="L317" s="28"/>
      <c r="M317" s="25"/>
      <c r="N317" s="29"/>
      <c r="O317" s="84"/>
      <c r="P317" s="25"/>
      <c r="Q317" s="25"/>
      <c r="R317" s="70"/>
      <c r="S317" s="71"/>
      <c r="T317" s="30">
        <f>IF(Table110[[#This Row],[SKU]]="",0,24-Table110[[#This Row],[Legal Non-Operating Time]]-Table110[[#This Row],[No Demand Time]]-Table110[[#This Row],[Force Majeure]])</f>
        <v>0</v>
      </c>
      <c r="U317" s="26"/>
      <c r="V317" s="26"/>
      <c r="W317" s="26"/>
      <c r="X317" s="26"/>
      <c r="Y317" s="26"/>
      <c r="Z317" s="26"/>
      <c r="AA317" s="26"/>
      <c r="AB317" s="30">
        <f>Table110[[#This Row],[Hours Used]]-SUM(Table110[[#This Row],[Planned Maintenance]:[Start and Finish Production]])</f>
        <v>0</v>
      </c>
      <c r="AC317" s="26"/>
      <c r="AD317" s="26"/>
      <c r="AE317" s="26"/>
      <c r="AF317" s="26"/>
      <c r="AG317" s="26"/>
      <c r="AH317" s="26"/>
      <c r="AI317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317" s="24">
        <f>IFERROR(IF(Table110[[#This Row],[SKU]]="",0,Table110[[#This Row],[Quality Loss (T)]]/(Table110[[#This Row],[SOC (TPD)]]/24)),"")</f>
        <v>0</v>
      </c>
      <c r="AK317" s="31">
        <f>IFERROR(IF(Table110[[#This Row],[SKU]]="",0,Table110[[#This Row],[Volume Delivered (T)]]/(Table110[[#This Row],[SOC (TPD)]]/24)),"")</f>
        <v>0</v>
      </c>
      <c r="AL317" s="31" t="str">
        <f>IFERROR(Table110[[#This Row],[Operating Time]]/Table110[[#This Row],[PRODUCTION HOURS]],"")</f>
        <v/>
      </c>
      <c r="AM317" s="32"/>
      <c r="AN317" s="32"/>
      <c r="AO317" s="32"/>
      <c r="AP317" s="32">
        <v>0</v>
      </c>
      <c r="AQ317" s="32">
        <v>0</v>
      </c>
      <c r="AR317" s="32"/>
      <c r="AS317" s="32" t="str">
        <f>IFERROR(SUMIFS(#REF!,#REF!,'Shift Wise-Data Sheet'!A:A,#REF!,"Samridhi Perk Line")/SUMIFS(#REF!,#REF!,'Shift Wise-Data Sheet'!A:A,#REF!,"Samridhi Perk Line"),"")</f>
        <v/>
      </c>
      <c r="AT317" s="32"/>
      <c r="AU317" s="32"/>
      <c r="AV317" s="211">
        <f>IFERROR(VLOOKUP(Table110[[#This Row],[Date]],'Overweight Data'!A315:G1410,6,FALSE),"")</f>
        <v>0</v>
      </c>
      <c r="AW317" s="221">
        <f>IFERROR(
   IF(
      OR(Table110[[#This Row],[Operating Time]]=0, (Table110[[#This Row],[Operating Time]]/IF(AD317&lt;=1,AD317+1,AD317))*60=0),
      1,
      ((Table110[[#This Row],[Operating Time]])/IF(AD317&lt;=1,AD317+1,AD317))*60
   ),
"_")</f>
        <v>1</v>
      </c>
      <c r="AX317" s="221">
        <f>COUNTIFS('Downtime Data'!A:A,Table110[[#This Row],[Date]])</f>
        <v>0</v>
      </c>
      <c r="AY317" s="219" t="str">
        <f>IFERROR((SUM(Table110[[#This Row],[Minor Stoppages]:[Material Shortages]])/Table110[[#This Row],['# Stops]])*60,"")</f>
        <v/>
      </c>
      <c r="AZ317" s="219"/>
      <c r="BA317" s="33">
        <v>46352</v>
      </c>
    </row>
    <row r="318" spans="1:53" ht="20.149999999999999" customHeight="1" x14ac:dyDescent="0.35">
      <c r="A318" s="21">
        <v>46335</v>
      </c>
      <c r="B318" s="22" t="str">
        <f t="shared" si="5"/>
        <v>Monday</v>
      </c>
      <c r="C318" s="22"/>
      <c r="D318" s="23"/>
      <c r="E318" s="24" t="str" cm="1">
        <f t="array" aca="1" ref="E318" ca="1">IFERROR(INDIRECT(D318),"")</f>
        <v/>
      </c>
      <c r="F318" s="25"/>
      <c r="G318" s="26"/>
      <c r="H318" s="27" t="str">
        <f ca="1">IFERROR((Table110[[#This Row],[Plan]]/Table110[[#This Row],[Hours Used]])/(Table110[[#This Row],[SOC (TPD)]]/24),"")</f>
        <v/>
      </c>
      <c r="I318" s="27" t="str">
        <f ca="1">IFERROR((Table110[[#This Row],[Volume Delivered (T)]]/Table110[[#This Row],[Hours Used]])/(Table110[[#This Row],[SOC (TPD)]]/24),"")</f>
        <v/>
      </c>
      <c r="J318" s="28"/>
      <c r="K318" s="28"/>
      <c r="L318" s="28"/>
      <c r="M318" s="25"/>
      <c r="N318" s="29"/>
      <c r="O318" s="84"/>
      <c r="P318" s="25"/>
      <c r="Q318" s="25"/>
      <c r="R318" s="70"/>
      <c r="S318" s="71"/>
      <c r="T318" s="30">
        <f>IF(Table110[[#This Row],[SKU]]="",0,24-Table110[[#This Row],[Legal Non-Operating Time]]-Table110[[#This Row],[No Demand Time]]-Table110[[#This Row],[Force Majeure]])</f>
        <v>0</v>
      </c>
      <c r="U318" s="26"/>
      <c r="V318" s="26"/>
      <c r="W318" s="26"/>
      <c r="X318" s="26"/>
      <c r="Y318" s="26"/>
      <c r="Z318" s="26"/>
      <c r="AA318" s="26"/>
      <c r="AB318" s="30">
        <f>Table110[[#This Row],[Hours Used]]-SUM(Table110[[#This Row],[Planned Maintenance]:[Start and Finish Production]])</f>
        <v>0</v>
      </c>
      <c r="AC318" s="26"/>
      <c r="AD318" s="26"/>
      <c r="AE318" s="26"/>
      <c r="AF318" s="26"/>
      <c r="AG318" s="26"/>
      <c r="AH318" s="26"/>
      <c r="AI318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318" s="24">
        <f>IFERROR(IF(Table110[[#This Row],[SKU]]="",0,Table110[[#This Row],[Quality Loss (T)]]/(Table110[[#This Row],[SOC (TPD)]]/24)),"")</f>
        <v>0</v>
      </c>
      <c r="AK318" s="31">
        <f>IFERROR(IF(Table110[[#This Row],[SKU]]="",0,Table110[[#This Row],[Volume Delivered (T)]]/(Table110[[#This Row],[SOC (TPD)]]/24)),"")</f>
        <v>0</v>
      </c>
      <c r="AL318" s="31" t="str">
        <f>IFERROR(Table110[[#This Row],[Operating Time]]/Table110[[#This Row],[PRODUCTION HOURS]],"")</f>
        <v/>
      </c>
      <c r="AM318" s="32"/>
      <c r="AN318" s="32"/>
      <c r="AO318" s="32"/>
      <c r="AP318" s="32">
        <v>0</v>
      </c>
      <c r="AQ318" s="32">
        <v>0</v>
      </c>
      <c r="AR318" s="32"/>
      <c r="AS318" s="32" t="str">
        <f>IFERROR(SUMIFS(#REF!,#REF!,'Shift Wise-Data Sheet'!A:A,#REF!,"Samridhi Perk Line")/SUMIFS(#REF!,#REF!,'Shift Wise-Data Sheet'!A:A,#REF!,"Samridhi Perk Line"),"")</f>
        <v/>
      </c>
      <c r="AT318" s="32"/>
      <c r="AU318" s="32"/>
      <c r="AV318" s="211">
        <f>IFERROR(VLOOKUP(Table110[[#This Row],[Date]],'Overweight Data'!A316:G1411,6,FALSE),"")</f>
        <v>0</v>
      </c>
      <c r="AW318" s="221">
        <f>IFERROR(
   IF(
      OR(Table110[[#This Row],[Operating Time]]=0, (Table110[[#This Row],[Operating Time]]/IF(AD318&lt;=1,AD318+1,AD318))*60=0),
      1,
      ((Table110[[#This Row],[Operating Time]])/IF(AD318&lt;=1,AD318+1,AD318))*60
   ),
"_")</f>
        <v>1</v>
      </c>
      <c r="AX318" s="221">
        <f>COUNTIFS('Downtime Data'!A:A,Table110[[#This Row],[Date]])</f>
        <v>0</v>
      </c>
      <c r="AY318" s="219" t="str">
        <f>IFERROR((SUM(Table110[[#This Row],[Minor Stoppages]:[Material Shortages]])/Table110[[#This Row],['# Stops]])*60,"")</f>
        <v/>
      </c>
      <c r="AZ318" s="219"/>
      <c r="BA318" s="33">
        <v>46352</v>
      </c>
    </row>
    <row r="319" spans="1:53" ht="20.149999999999999" customHeight="1" x14ac:dyDescent="0.35">
      <c r="A319" s="21">
        <v>46336</v>
      </c>
      <c r="B319" s="22" t="str">
        <f t="shared" si="5"/>
        <v>Tuesday</v>
      </c>
      <c r="C319" s="22"/>
      <c r="D319" s="23"/>
      <c r="E319" s="24" t="str" cm="1">
        <f t="array" aca="1" ref="E319" ca="1">IFERROR(INDIRECT(D319),"")</f>
        <v/>
      </c>
      <c r="F319" s="25"/>
      <c r="G319" s="26"/>
      <c r="H319" s="27" t="str">
        <f ca="1">IFERROR((Table110[[#This Row],[Plan]]/Table110[[#This Row],[Hours Used]])/(Table110[[#This Row],[SOC (TPD)]]/24),"")</f>
        <v/>
      </c>
      <c r="I319" s="27" t="str">
        <f ca="1">IFERROR((Table110[[#This Row],[Volume Delivered (T)]]/Table110[[#This Row],[Hours Used]])/(Table110[[#This Row],[SOC (TPD)]]/24),"")</f>
        <v/>
      </c>
      <c r="J319" s="28"/>
      <c r="K319" s="28"/>
      <c r="L319" s="28"/>
      <c r="M319" s="25"/>
      <c r="N319" s="29"/>
      <c r="O319" s="84"/>
      <c r="P319" s="25"/>
      <c r="Q319" s="25"/>
      <c r="R319" s="70"/>
      <c r="S319" s="71"/>
      <c r="T319" s="30">
        <f>IF(Table110[[#This Row],[SKU]]="",0,24-Table110[[#This Row],[Legal Non-Operating Time]]-Table110[[#This Row],[No Demand Time]]-Table110[[#This Row],[Force Majeure]])</f>
        <v>0</v>
      </c>
      <c r="U319" s="26"/>
      <c r="V319" s="26"/>
      <c r="W319" s="26"/>
      <c r="X319" s="26"/>
      <c r="Y319" s="26"/>
      <c r="Z319" s="26"/>
      <c r="AA319" s="26"/>
      <c r="AB319" s="30">
        <f>Table110[[#This Row],[Hours Used]]-SUM(Table110[[#This Row],[Planned Maintenance]:[Start and Finish Production]])</f>
        <v>0</v>
      </c>
      <c r="AC319" s="26"/>
      <c r="AD319" s="26"/>
      <c r="AE319" s="26"/>
      <c r="AF319" s="26"/>
      <c r="AG319" s="26"/>
      <c r="AH319" s="26"/>
      <c r="AI319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319" s="24">
        <f>IFERROR(IF(Table110[[#This Row],[SKU]]="",0,Table110[[#This Row],[Quality Loss (T)]]/(Table110[[#This Row],[SOC (TPD)]]/24)),"")</f>
        <v>0</v>
      </c>
      <c r="AK319" s="31">
        <f>IFERROR(IF(Table110[[#This Row],[SKU]]="",0,Table110[[#This Row],[Volume Delivered (T)]]/(Table110[[#This Row],[SOC (TPD)]]/24)),"")</f>
        <v>0</v>
      </c>
      <c r="AL319" s="31" t="str">
        <f>IFERROR(Table110[[#This Row],[Operating Time]]/Table110[[#This Row],[PRODUCTION HOURS]],"")</f>
        <v/>
      </c>
      <c r="AM319" s="32"/>
      <c r="AN319" s="32"/>
      <c r="AO319" s="32"/>
      <c r="AP319" s="32">
        <v>23</v>
      </c>
      <c r="AQ319" s="32">
        <v>0</v>
      </c>
      <c r="AR319" s="32"/>
      <c r="AS319" s="32" t="str">
        <f>IFERROR(SUMIFS(#REF!,#REF!,'Shift Wise-Data Sheet'!A:A,#REF!,"Samridhi Perk Line")/SUMIFS(#REF!,#REF!,'Shift Wise-Data Sheet'!A:A,#REF!,"Samridhi Perk Line"),"")</f>
        <v/>
      </c>
      <c r="AT319" s="32"/>
      <c r="AU319" s="32"/>
      <c r="AV319" s="211">
        <f>IFERROR(VLOOKUP(Table110[[#This Row],[Date]],'Overweight Data'!A317:G1412,6,FALSE),"")</f>
        <v>0</v>
      </c>
      <c r="AW319" s="221">
        <f>IFERROR(
   IF(
      OR(Table110[[#This Row],[Operating Time]]=0, (Table110[[#This Row],[Operating Time]]/IF(AD319&lt;=1,AD319+1,AD319))*60=0),
      1,
      ((Table110[[#This Row],[Operating Time]])/IF(AD319&lt;=1,AD319+1,AD319))*60
   ),
"_")</f>
        <v>1</v>
      </c>
      <c r="AX319" s="221">
        <f>COUNTIFS('Downtime Data'!A:A,Table110[[#This Row],[Date]])</f>
        <v>0</v>
      </c>
      <c r="AY319" s="219" t="str">
        <f>IFERROR((SUM(Table110[[#This Row],[Minor Stoppages]:[Material Shortages]])/Table110[[#This Row],['# Stops]])*60,"")</f>
        <v/>
      </c>
      <c r="AZ319" s="219"/>
      <c r="BA319" s="33">
        <v>46352</v>
      </c>
    </row>
    <row r="320" spans="1:53" ht="20.149999999999999" customHeight="1" x14ac:dyDescent="0.35">
      <c r="A320" s="21">
        <v>46337</v>
      </c>
      <c r="B320" s="22" t="str">
        <f t="shared" si="5"/>
        <v>Wednesday</v>
      </c>
      <c r="C320" s="22"/>
      <c r="D320" s="23"/>
      <c r="E320" s="24" t="str" cm="1">
        <f t="array" aca="1" ref="E320" ca="1">IFERROR(INDIRECT(D320),"")</f>
        <v/>
      </c>
      <c r="F320" s="25"/>
      <c r="G320" s="26"/>
      <c r="H320" s="27" t="str">
        <f ca="1">IFERROR((Table110[[#This Row],[Plan]]/Table110[[#This Row],[Hours Used]])/(Table110[[#This Row],[SOC (TPD)]]/24),"")</f>
        <v/>
      </c>
      <c r="I320" s="27" t="str">
        <f ca="1">IFERROR((Table110[[#This Row],[Volume Delivered (T)]]/Table110[[#This Row],[Hours Used]])/(Table110[[#This Row],[SOC (TPD)]]/24),"")</f>
        <v/>
      </c>
      <c r="J320" s="28"/>
      <c r="K320" s="28"/>
      <c r="L320" s="28"/>
      <c r="M320" s="25"/>
      <c r="N320" s="29"/>
      <c r="O320" s="84"/>
      <c r="P320" s="25"/>
      <c r="Q320" s="25"/>
      <c r="R320" s="70"/>
      <c r="S320" s="71"/>
      <c r="T320" s="30">
        <f>IF(Table110[[#This Row],[SKU]]="",0,24-Table110[[#This Row],[Legal Non-Operating Time]]-Table110[[#This Row],[No Demand Time]]-Table110[[#This Row],[Force Majeure]])</f>
        <v>0</v>
      </c>
      <c r="U320" s="26"/>
      <c r="V320" s="26"/>
      <c r="W320" s="26"/>
      <c r="X320" s="26"/>
      <c r="Y320" s="26"/>
      <c r="Z320" s="26"/>
      <c r="AA320" s="26"/>
      <c r="AB320" s="30">
        <f>Table110[[#This Row],[Hours Used]]-SUM(Table110[[#This Row],[Planned Maintenance]:[Start and Finish Production]])</f>
        <v>0</v>
      </c>
      <c r="AC320" s="26"/>
      <c r="AD320" s="26"/>
      <c r="AE320" s="26"/>
      <c r="AF320" s="26"/>
      <c r="AG320" s="26"/>
      <c r="AH320" s="26"/>
      <c r="AI320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320" s="24">
        <f>IFERROR(IF(Table110[[#This Row],[SKU]]="",0,Table110[[#This Row],[Quality Loss (T)]]/(Table110[[#This Row],[SOC (TPD)]]/24)),"")</f>
        <v>0</v>
      </c>
      <c r="AK320" s="31">
        <f>IFERROR(IF(Table110[[#This Row],[SKU]]="",0,Table110[[#This Row],[Volume Delivered (T)]]/(Table110[[#This Row],[SOC (TPD)]]/24)),"")</f>
        <v>0</v>
      </c>
      <c r="AL320" s="31" t="str">
        <f>IFERROR(Table110[[#This Row],[Operating Time]]/Table110[[#This Row],[PRODUCTION HOURS]],"")</f>
        <v/>
      </c>
      <c r="AM320" s="32"/>
      <c r="AN320" s="32"/>
      <c r="AO320" s="32"/>
      <c r="AP320" s="32">
        <v>0</v>
      </c>
      <c r="AQ320" s="32">
        <v>0</v>
      </c>
      <c r="AR320" s="32"/>
      <c r="AS320" s="32" t="str">
        <f>IFERROR(SUMIFS(#REF!,#REF!,'Shift Wise-Data Sheet'!A:A,#REF!,"Samridhi Perk Line")/SUMIFS(#REF!,#REF!,'Shift Wise-Data Sheet'!A:A,#REF!,"Samridhi Perk Line"),"")</f>
        <v/>
      </c>
      <c r="AT320" s="32"/>
      <c r="AU320" s="32"/>
      <c r="AV320" s="211">
        <f>IFERROR(VLOOKUP(Table110[[#This Row],[Date]],'Overweight Data'!A318:G1413,6,FALSE),"")</f>
        <v>0</v>
      </c>
      <c r="AW320" s="221">
        <f>IFERROR(
   IF(
      OR(Table110[[#This Row],[Operating Time]]=0, (Table110[[#This Row],[Operating Time]]/IF(AD320&lt;=1,AD320+1,AD320))*60=0),
      1,
      ((Table110[[#This Row],[Operating Time]])/IF(AD320&lt;=1,AD320+1,AD320))*60
   ),
"_")</f>
        <v>1</v>
      </c>
      <c r="AX320" s="221">
        <f>COUNTIFS('Downtime Data'!A:A,Table110[[#This Row],[Date]])</f>
        <v>0</v>
      </c>
      <c r="AY320" s="219" t="str">
        <f>IFERROR((SUM(Table110[[#This Row],[Minor Stoppages]:[Material Shortages]])/Table110[[#This Row],['# Stops]])*60,"")</f>
        <v/>
      </c>
      <c r="AZ320" s="219"/>
      <c r="BA320" s="33">
        <v>46352</v>
      </c>
    </row>
    <row r="321" spans="1:53" ht="20.149999999999999" customHeight="1" x14ac:dyDescent="0.35">
      <c r="A321" s="21">
        <v>46338</v>
      </c>
      <c r="B321" s="22" t="str">
        <f t="shared" si="5"/>
        <v>Thursday</v>
      </c>
      <c r="C321" s="22"/>
      <c r="D321" s="23"/>
      <c r="E321" s="24" t="str" cm="1">
        <f t="array" aca="1" ref="E321" ca="1">IFERROR(INDIRECT(D321),"")</f>
        <v/>
      </c>
      <c r="F321" s="25"/>
      <c r="G321" s="26"/>
      <c r="H321" s="27" t="str">
        <f ca="1">IFERROR((Table110[[#This Row],[Plan]]/Table110[[#This Row],[Hours Used]])/(Table110[[#This Row],[SOC (TPD)]]/24),"")</f>
        <v/>
      </c>
      <c r="I321" s="27" t="str">
        <f ca="1">IFERROR((Table110[[#This Row],[Volume Delivered (T)]]/Table110[[#This Row],[Hours Used]])/(Table110[[#This Row],[SOC (TPD)]]/24),"")</f>
        <v/>
      </c>
      <c r="J321" s="28"/>
      <c r="K321" s="28"/>
      <c r="L321" s="28"/>
      <c r="M321" s="25"/>
      <c r="N321" s="29"/>
      <c r="O321" s="84"/>
      <c r="P321" s="25"/>
      <c r="Q321" s="25"/>
      <c r="R321" s="70"/>
      <c r="S321" s="71"/>
      <c r="T321" s="30">
        <f>IF(Table110[[#This Row],[SKU]]="",0,24-Table110[[#This Row],[Legal Non-Operating Time]]-Table110[[#This Row],[No Demand Time]]-Table110[[#This Row],[Force Majeure]])</f>
        <v>0</v>
      </c>
      <c r="U321" s="26"/>
      <c r="V321" s="26"/>
      <c r="W321" s="26"/>
      <c r="X321" s="26"/>
      <c r="Y321" s="26"/>
      <c r="Z321" s="26"/>
      <c r="AA321" s="26"/>
      <c r="AB321" s="30">
        <f>Table110[[#This Row],[Hours Used]]-SUM(Table110[[#This Row],[Planned Maintenance]:[Start and Finish Production]])</f>
        <v>0</v>
      </c>
      <c r="AC321" s="26"/>
      <c r="AD321" s="26"/>
      <c r="AE321" s="26"/>
      <c r="AF321" s="26"/>
      <c r="AG321" s="26"/>
      <c r="AH321" s="26"/>
      <c r="AI321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321" s="24">
        <f>IFERROR(IF(Table110[[#This Row],[SKU]]="",0,Table110[[#This Row],[Quality Loss (T)]]/(Table110[[#This Row],[SOC (TPD)]]/24)),"")</f>
        <v>0</v>
      </c>
      <c r="AK321" s="31">
        <f>IFERROR(IF(Table110[[#This Row],[SKU]]="",0,Table110[[#This Row],[Volume Delivered (T)]]/(Table110[[#This Row],[SOC (TPD)]]/24)),"")</f>
        <v>0</v>
      </c>
      <c r="AL321" s="31" t="str">
        <f>IFERROR(Table110[[#This Row],[Operating Time]]/Table110[[#This Row],[PRODUCTION HOURS]],"")</f>
        <v/>
      </c>
      <c r="AM321" s="32"/>
      <c r="AN321" s="32"/>
      <c r="AO321" s="32"/>
      <c r="AP321" s="32">
        <v>0</v>
      </c>
      <c r="AQ321" s="32">
        <v>0</v>
      </c>
      <c r="AR321" s="32"/>
      <c r="AS321" s="32" t="str">
        <f>IFERROR(SUMIFS(#REF!,#REF!,'Shift Wise-Data Sheet'!A:A,#REF!,"Samridhi Perk Line")/SUMIFS(#REF!,#REF!,'Shift Wise-Data Sheet'!A:A,#REF!,"Samridhi Perk Line"),"")</f>
        <v/>
      </c>
      <c r="AT321" s="32"/>
      <c r="AU321" s="32"/>
      <c r="AV321" s="211">
        <f>IFERROR(VLOOKUP(Table110[[#This Row],[Date]],'Overweight Data'!A319:G1414,6,FALSE),"")</f>
        <v>0</v>
      </c>
      <c r="AW321" s="221">
        <f>IFERROR(
   IF(
      OR(Table110[[#This Row],[Operating Time]]=0, (Table110[[#This Row],[Operating Time]]/IF(AD321&lt;=1,AD321+1,AD321))*60=0),
      1,
      ((Table110[[#This Row],[Operating Time]])/IF(AD321&lt;=1,AD321+1,AD321))*60
   ),
"_")</f>
        <v>1</v>
      </c>
      <c r="AX321" s="221">
        <f>COUNTIFS('Downtime Data'!A:A,Table110[[#This Row],[Date]])</f>
        <v>0</v>
      </c>
      <c r="AY321" s="219" t="str">
        <f>IFERROR((SUM(Table110[[#This Row],[Minor Stoppages]:[Material Shortages]])/Table110[[#This Row],['# Stops]])*60,"")</f>
        <v/>
      </c>
      <c r="AZ321" s="219"/>
      <c r="BA321" s="33">
        <v>46352</v>
      </c>
    </row>
    <row r="322" spans="1:53" ht="20.149999999999999" customHeight="1" x14ac:dyDescent="0.35">
      <c r="A322" s="21">
        <v>46339</v>
      </c>
      <c r="B322" s="22" t="str">
        <f t="shared" si="5"/>
        <v>Friday</v>
      </c>
      <c r="C322" s="22"/>
      <c r="D322" s="23"/>
      <c r="E322" s="24" t="str" cm="1">
        <f t="array" aca="1" ref="E322" ca="1">IFERROR(INDIRECT(D322),"")</f>
        <v/>
      </c>
      <c r="F322" s="25"/>
      <c r="G322" s="26"/>
      <c r="H322" s="27" t="str">
        <f ca="1">IFERROR((Table110[[#This Row],[Plan]]/Table110[[#This Row],[Hours Used]])/(Table110[[#This Row],[SOC (TPD)]]/24),"")</f>
        <v/>
      </c>
      <c r="I322" s="27" t="str">
        <f ca="1">IFERROR((Table110[[#This Row],[Volume Delivered (T)]]/Table110[[#This Row],[Hours Used]])/(Table110[[#This Row],[SOC (TPD)]]/24),"")</f>
        <v/>
      </c>
      <c r="J322" s="28"/>
      <c r="K322" s="28"/>
      <c r="L322" s="28"/>
      <c r="M322" s="25"/>
      <c r="N322" s="29"/>
      <c r="O322" s="84"/>
      <c r="P322" s="25"/>
      <c r="Q322" s="25"/>
      <c r="R322" s="70"/>
      <c r="S322" s="71"/>
      <c r="T322" s="30">
        <f>IF(Table110[[#This Row],[SKU]]="",0,24-Table110[[#This Row],[Legal Non-Operating Time]]-Table110[[#This Row],[No Demand Time]]-Table110[[#This Row],[Force Majeure]])</f>
        <v>0</v>
      </c>
      <c r="U322" s="26"/>
      <c r="V322" s="26"/>
      <c r="W322" s="26"/>
      <c r="X322" s="26"/>
      <c r="Y322" s="26"/>
      <c r="Z322" s="26"/>
      <c r="AA322" s="26"/>
      <c r="AB322" s="30">
        <f>Table110[[#This Row],[Hours Used]]-SUM(Table110[[#This Row],[Planned Maintenance]:[Start and Finish Production]])</f>
        <v>0</v>
      </c>
      <c r="AC322" s="26"/>
      <c r="AD322" s="26"/>
      <c r="AE322" s="26"/>
      <c r="AF322" s="26"/>
      <c r="AG322" s="26"/>
      <c r="AH322" s="26"/>
      <c r="AI322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322" s="24">
        <f>IFERROR(IF(Table110[[#This Row],[SKU]]="",0,Table110[[#This Row],[Quality Loss (T)]]/(Table110[[#This Row],[SOC (TPD)]]/24)),"")</f>
        <v>0</v>
      </c>
      <c r="AK322" s="31">
        <f>IFERROR(IF(Table110[[#This Row],[SKU]]="",0,Table110[[#This Row],[Volume Delivered (T)]]/(Table110[[#This Row],[SOC (TPD)]]/24)),"")</f>
        <v>0</v>
      </c>
      <c r="AL322" s="31" t="str">
        <f>IFERROR(Table110[[#This Row],[Operating Time]]/Table110[[#This Row],[PRODUCTION HOURS]],"")</f>
        <v/>
      </c>
      <c r="AM322" s="32"/>
      <c r="AN322" s="32"/>
      <c r="AO322" s="32"/>
      <c r="AP322" s="32">
        <v>0</v>
      </c>
      <c r="AQ322" s="32">
        <v>0</v>
      </c>
      <c r="AR322" s="32"/>
      <c r="AS322" s="32" t="str">
        <f>IFERROR(SUMIFS(#REF!,#REF!,'Shift Wise-Data Sheet'!A:A,#REF!,"Samridhi Perk Line")/SUMIFS(#REF!,#REF!,'Shift Wise-Data Sheet'!A:A,#REF!,"Samridhi Perk Line"),"")</f>
        <v/>
      </c>
      <c r="AT322" s="32"/>
      <c r="AU322" s="32"/>
      <c r="AV322" s="211">
        <f>IFERROR(VLOOKUP(Table110[[#This Row],[Date]],'Overweight Data'!A320:G1415,6,FALSE),"")</f>
        <v>0</v>
      </c>
      <c r="AW322" s="221">
        <f>IFERROR(
   IF(
      OR(Table110[[#This Row],[Operating Time]]=0, (Table110[[#This Row],[Operating Time]]/IF(AD322&lt;=1,AD322+1,AD322))*60=0),
      1,
      ((Table110[[#This Row],[Operating Time]])/IF(AD322&lt;=1,AD322+1,AD322))*60
   ),
"_")</f>
        <v>1</v>
      </c>
      <c r="AX322" s="221">
        <f>COUNTIFS('Downtime Data'!A:A,Table110[[#This Row],[Date]])</f>
        <v>0</v>
      </c>
      <c r="AY322" s="219" t="str">
        <f>IFERROR((SUM(Table110[[#This Row],[Minor Stoppages]:[Material Shortages]])/Table110[[#This Row],['# Stops]])*60,"")</f>
        <v/>
      </c>
      <c r="AZ322" s="219"/>
      <c r="BA322" s="33">
        <v>46352</v>
      </c>
    </row>
    <row r="323" spans="1:53" ht="20.149999999999999" customHeight="1" x14ac:dyDescent="0.35">
      <c r="A323" s="21">
        <v>46340</v>
      </c>
      <c r="B323" s="22" t="str">
        <f t="shared" si="5"/>
        <v>Saturday</v>
      </c>
      <c r="C323" s="22"/>
      <c r="D323" s="23"/>
      <c r="E323" s="24" t="str" cm="1">
        <f t="array" aca="1" ref="E323" ca="1">IFERROR(INDIRECT(D323),"")</f>
        <v/>
      </c>
      <c r="F323" s="25"/>
      <c r="G323" s="26"/>
      <c r="H323" s="27" t="str">
        <f ca="1">IFERROR((Table110[[#This Row],[Plan]]/Table110[[#This Row],[Hours Used]])/(Table110[[#This Row],[SOC (TPD)]]/24),"")</f>
        <v/>
      </c>
      <c r="I323" s="27" t="str">
        <f ca="1">IFERROR((Table110[[#This Row],[Volume Delivered (T)]]/Table110[[#This Row],[Hours Used]])/(Table110[[#This Row],[SOC (TPD)]]/24),"")</f>
        <v/>
      </c>
      <c r="J323" s="28"/>
      <c r="K323" s="28"/>
      <c r="L323" s="28"/>
      <c r="M323" s="25"/>
      <c r="N323" s="29"/>
      <c r="O323" s="84"/>
      <c r="P323" s="25"/>
      <c r="Q323" s="25"/>
      <c r="R323" s="70"/>
      <c r="S323" s="71"/>
      <c r="T323" s="30">
        <f>IF(Table110[[#This Row],[SKU]]="",0,24-Table110[[#This Row],[Legal Non-Operating Time]]-Table110[[#This Row],[No Demand Time]]-Table110[[#This Row],[Force Majeure]])</f>
        <v>0</v>
      </c>
      <c r="U323" s="26"/>
      <c r="V323" s="26"/>
      <c r="W323" s="26"/>
      <c r="X323" s="26"/>
      <c r="Y323" s="26"/>
      <c r="Z323" s="26"/>
      <c r="AA323" s="26"/>
      <c r="AB323" s="30">
        <f>Table110[[#This Row],[Hours Used]]-SUM(Table110[[#This Row],[Planned Maintenance]:[Start and Finish Production]])</f>
        <v>0</v>
      </c>
      <c r="AC323" s="26"/>
      <c r="AD323" s="26"/>
      <c r="AE323" s="26"/>
      <c r="AF323" s="26"/>
      <c r="AG323" s="26"/>
      <c r="AH323" s="26"/>
      <c r="AI323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323" s="24">
        <f>IFERROR(IF(Table110[[#This Row],[SKU]]="",0,Table110[[#This Row],[Quality Loss (T)]]/(Table110[[#This Row],[SOC (TPD)]]/24)),"")</f>
        <v>0</v>
      </c>
      <c r="AK323" s="31">
        <f>IFERROR(IF(Table110[[#This Row],[SKU]]="",0,Table110[[#This Row],[Volume Delivered (T)]]/(Table110[[#This Row],[SOC (TPD)]]/24)),"")</f>
        <v>0</v>
      </c>
      <c r="AL323" s="31" t="str">
        <f>IFERROR(Table110[[#This Row],[Operating Time]]/Table110[[#This Row],[PRODUCTION HOURS]],"")</f>
        <v/>
      </c>
      <c r="AM323" s="32"/>
      <c r="AN323" s="32"/>
      <c r="AO323" s="32"/>
      <c r="AP323" s="32">
        <v>0</v>
      </c>
      <c r="AQ323" s="32">
        <v>0</v>
      </c>
      <c r="AR323" s="32"/>
      <c r="AS323" s="32" t="str">
        <f>IFERROR(SUMIFS(#REF!,#REF!,'Shift Wise-Data Sheet'!A:A,#REF!,"Samridhi Perk Line")/SUMIFS(#REF!,#REF!,'Shift Wise-Data Sheet'!A:A,#REF!,"Samridhi Perk Line"),"")</f>
        <v/>
      </c>
      <c r="AT323" s="32"/>
      <c r="AU323" s="32"/>
      <c r="AV323" s="211">
        <f>IFERROR(VLOOKUP(Table110[[#This Row],[Date]],'Overweight Data'!A321:G1416,6,FALSE),"")</f>
        <v>0</v>
      </c>
      <c r="AW323" s="221">
        <f>IFERROR(
   IF(
      OR(Table110[[#This Row],[Operating Time]]=0, (Table110[[#This Row],[Operating Time]]/IF(AD323&lt;=1,AD323+1,AD323))*60=0),
      1,
      ((Table110[[#This Row],[Operating Time]])/IF(AD323&lt;=1,AD323+1,AD323))*60
   ),
"_")</f>
        <v>1</v>
      </c>
      <c r="AX323" s="221">
        <f>COUNTIFS('Downtime Data'!A:A,Table110[[#This Row],[Date]])</f>
        <v>0</v>
      </c>
      <c r="AY323" s="219" t="str">
        <f>IFERROR((SUM(Table110[[#This Row],[Minor Stoppages]:[Material Shortages]])/Table110[[#This Row],['# Stops]])*60,"")</f>
        <v/>
      </c>
      <c r="AZ323" s="219"/>
      <c r="BA323" s="33">
        <v>46352</v>
      </c>
    </row>
    <row r="324" spans="1:53" ht="20.149999999999999" customHeight="1" x14ac:dyDescent="0.35">
      <c r="A324" s="21">
        <v>46341</v>
      </c>
      <c r="B324" s="22" t="str">
        <f t="shared" si="5"/>
        <v>Sunday</v>
      </c>
      <c r="C324" s="22"/>
      <c r="D324" s="23"/>
      <c r="E324" s="24" t="str" cm="1">
        <f t="array" aca="1" ref="E324" ca="1">IFERROR(INDIRECT(D324),"")</f>
        <v/>
      </c>
      <c r="F324" s="25"/>
      <c r="G324" s="26"/>
      <c r="H324" s="27" t="str">
        <f ca="1">IFERROR((Table110[[#This Row],[Plan]]/Table110[[#This Row],[Hours Used]])/(Table110[[#This Row],[SOC (TPD)]]/24),"")</f>
        <v/>
      </c>
      <c r="I324" s="27" t="str">
        <f ca="1">IFERROR((Table110[[#This Row],[Volume Delivered (T)]]/Table110[[#This Row],[Hours Used]])/(Table110[[#This Row],[SOC (TPD)]]/24),"")</f>
        <v/>
      </c>
      <c r="J324" s="28"/>
      <c r="K324" s="28"/>
      <c r="L324" s="28"/>
      <c r="M324" s="25"/>
      <c r="N324" s="29"/>
      <c r="O324" s="84"/>
      <c r="P324" s="25"/>
      <c r="Q324" s="25"/>
      <c r="R324" s="70"/>
      <c r="S324" s="71"/>
      <c r="T324" s="30">
        <f>IF(Table110[[#This Row],[SKU]]="",0,24-Table110[[#This Row],[Legal Non-Operating Time]]-Table110[[#This Row],[No Demand Time]]-Table110[[#This Row],[Force Majeure]])</f>
        <v>0</v>
      </c>
      <c r="U324" s="26"/>
      <c r="V324" s="26"/>
      <c r="W324" s="26"/>
      <c r="X324" s="26"/>
      <c r="Y324" s="26"/>
      <c r="Z324" s="26"/>
      <c r="AA324" s="26"/>
      <c r="AB324" s="30">
        <f>Table110[[#This Row],[Hours Used]]-SUM(Table110[[#This Row],[Planned Maintenance]:[Start and Finish Production]])</f>
        <v>0</v>
      </c>
      <c r="AC324" s="26"/>
      <c r="AD324" s="26"/>
      <c r="AE324" s="26"/>
      <c r="AF324" s="26"/>
      <c r="AG324" s="26"/>
      <c r="AH324" s="26"/>
      <c r="AI324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324" s="24">
        <f>IFERROR(IF(Table110[[#This Row],[SKU]]="",0,Table110[[#This Row],[Quality Loss (T)]]/(Table110[[#This Row],[SOC (TPD)]]/24)),"")</f>
        <v>0</v>
      </c>
      <c r="AK324" s="31">
        <f>IFERROR(IF(Table110[[#This Row],[SKU]]="",0,Table110[[#This Row],[Volume Delivered (T)]]/(Table110[[#This Row],[SOC (TPD)]]/24)),"")</f>
        <v>0</v>
      </c>
      <c r="AL324" s="31" t="str">
        <f>IFERROR(Table110[[#This Row],[Operating Time]]/Table110[[#This Row],[PRODUCTION HOURS]],"")</f>
        <v/>
      </c>
      <c r="AM324" s="32"/>
      <c r="AN324" s="32"/>
      <c r="AO324" s="32"/>
      <c r="AP324" s="32">
        <v>4</v>
      </c>
      <c r="AQ324" s="32">
        <v>0</v>
      </c>
      <c r="AR324" s="32"/>
      <c r="AS324" s="32" t="str">
        <f>IFERROR(SUMIFS(#REF!,#REF!,'Shift Wise-Data Sheet'!A:A,#REF!,"Samridhi Perk Line")/SUMIFS(#REF!,#REF!,'Shift Wise-Data Sheet'!A:A,#REF!,"Samridhi Perk Line"),"")</f>
        <v/>
      </c>
      <c r="AT324" s="32"/>
      <c r="AU324" s="32"/>
      <c r="AV324" s="211">
        <f>IFERROR(VLOOKUP(Table110[[#This Row],[Date]],'Overweight Data'!A322:G1417,6,FALSE),"")</f>
        <v>0</v>
      </c>
      <c r="AW324" s="221">
        <f>IFERROR(
   IF(
      OR(Table110[[#This Row],[Operating Time]]=0, (Table110[[#This Row],[Operating Time]]/IF(AD324&lt;=1,AD324+1,AD324))*60=0),
      1,
      ((Table110[[#This Row],[Operating Time]])/IF(AD324&lt;=1,AD324+1,AD324))*60
   ),
"_")</f>
        <v>1</v>
      </c>
      <c r="AX324" s="221">
        <f>COUNTIFS('Downtime Data'!A:A,Table110[[#This Row],[Date]])</f>
        <v>0</v>
      </c>
      <c r="AY324" s="219" t="str">
        <f>IFERROR((SUM(Table110[[#This Row],[Minor Stoppages]:[Material Shortages]])/Table110[[#This Row],['# Stops]])*60,"")</f>
        <v/>
      </c>
      <c r="AZ324" s="219"/>
      <c r="BA324" s="33">
        <v>46352</v>
      </c>
    </row>
    <row r="325" spans="1:53" ht="20.149999999999999" customHeight="1" x14ac:dyDescent="0.35">
      <c r="A325" s="21">
        <v>46342</v>
      </c>
      <c r="B325" s="22" t="str">
        <f t="shared" si="5"/>
        <v>Monday</v>
      </c>
      <c r="C325" s="22"/>
      <c r="D325" s="23"/>
      <c r="E325" s="24" t="str" cm="1">
        <f t="array" aca="1" ref="E325" ca="1">IFERROR(INDIRECT(D325),"")</f>
        <v/>
      </c>
      <c r="F325" s="25"/>
      <c r="G325" s="26"/>
      <c r="H325" s="27" t="str">
        <f ca="1">IFERROR((Table110[[#This Row],[Plan]]/Table110[[#This Row],[Hours Used]])/(Table110[[#This Row],[SOC (TPD)]]/24),"")</f>
        <v/>
      </c>
      <c r="I325" s="27" t="str">
        <f ca="1">IFERROR((Table110[[#This Row],[Volume Delivered (T)]]/Table110[[#This Row],[Hours Used]])/(Table110[[#This Row],[SOC (TPD)]]/24),"")</f>
        <v/>
      </c>
      <c r="J325" s="28"/>
      <c r="K325" s="28"/>
      <c r="L325" s="28"/>
      <c r="M325" s="25"/>
      <c r="N325" s="29"/>
      <c r="O325" s="84"/>
      <c r="P325" s="25"/>
      <c r="Q325" s="25"/>
      <c r="R325" s="70"/>
      <c r="S325" s="71"/>
      <c r="T325" s="30">
        <f>IF(Table110[[#This Row],[SKU]]="",0,24-Table110[[#This Row],[Legal Non-Operating Time]]-Table110[[#This Row],[No Demand Time]]-Table110[[#This Row],[Force Majeure]])</f>
        <v>0</v>
      </c>
      <c r="U325" s="26"/>
      <c r="V325" s="26"/>
      <c r="W325" s="26"/>
      <c r="X325" s="26"/>
      <c r="Y325" s="26"/>
      <c r="Z325" s="26"/>
      <c r="AA325" s="26"/>
      <c r="AB325" s="30">
        <f>Table110[[#This Row],[Hours Used]]-SUM(Table110[[#This Row],[Planned Maintenance]:[Start and Finish Production]])</f>
        <v>0</v>
      </c>
      <c r="AC325" s="26"/>
      <c r="AD325" s="26"/>
      <c r="AE325" s="26"/>
      <c r="AF325" s="26"/>
      <c r="AG325" s="26"/>
      <c r="AH325" s="26"/>
      <c r="AI325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325" s="24">
        <f>IFERROR(IF(Table110[[#This Row],[SKU]]="",0,Table110[[#This Row],[Quality Loss (T)]]/(Table110[[#This Row],[SOC (TPD)]]/24)),"")</f>
        <v>0</v>
      </c>
      <c r="AK325" s="31">
        <f>IFERROR(IF(Table110[[#This Row],[SKU]]="",0,Table110[[#This Row],[Volume Delivered (T)]]/(Table110[[#This Row],[SOC (TPD)]]/24)),"")</f>
        <v>0</v>
      </c>
      <c r="AL325" s="31" t="str">
        <f>IFERROR(Table110[[#This Row],[Operating Time]]/Table110[[#This Row],[PRODUCTION HOURS]],"")</f>
        <v/>
      </c>
      <c r="AM325" s="32"/>
      <c r="AN325" s="32"/>
      <c r="AO325" s="32"/>
      <c r="AP325" s="32">
        <v>0</v>
      </c>
      <c r="AQ325" s="32">
        <v>0</v>
      </c>
      <c r="AR325" s="32"/>
      <c r="AS325" s="32" t="str">
        <f>IFERROR(SUMIFS(#REF!,#REF!,'Shift Wise-Data Sheet'!A:A,#REF!,"Samridhi Perk Line")/SUMIFS(#REF!,#REF!,'Shift Wise-Data Sheet'!A:A,#REF!,"Samridhi Perk Line"),"")</f>
        <v/>
      </c>
      <c r="AT325" s="32"/>
      <c r="AU325" s="32"/>
      <c r="AV325" s="211">
        <f>IFERROR(VLOOKUP(Table110[[#This Row],[Date]],'Overweight Data'!A323:G1418,6,FALSE),"")</f>
        <v>0</v>
      </c>
      <c r="AW325" s="221">
        <f>IFERROR(
   IF(
      OR(Table110[[#This Row],[Operating Time]]=0, (Table110[[#This Row],[Operating Time]]/IF(AD325&lt;=1,AD325+1,AD325))*60=0),
      1,
      ((Table110[[#This Row],[Operating Time]])/IF(AD325&lt;=1,AD325+1,AD325))*60
   ),
"_")</f>
        <v>1</v>
      </c>
      <c r="AX325" s="221">
        <f>COUNTIFS('Downtime Data'!A:A,Table110[[#This Row],[Date]])</f>
        <v>0</v>
      </c>
      <c r="AY325" s="219" t="str">
        <f>IFERROR((SUM(Table110[[#This Row],[Minor Stoppages]:[Material Shortages]])/Table110[[#This Row],['# Stops]])*60,"")</f>
        <v/>
      </c>
      <c r="AZ325" s="219"/>
      <c r="BA325" s="33">
        <v>46352</v>
      </c>
    </row>
    <row r="326" spans="1:53" ht="20.149999999999999" customHeight="1" x14ac:dyDescent="0.35">
      <c r="A326" s="21">
        <v>46343</v>
      </c>
      <c r="B326" s="22" t="str">
        <f t="shared" si="5"/>
        <v>Tuesday</v>
      </c>
      <c r="C326" s="22"/>
      <c r="D326" s="23"/>
      <c r="E326" s="24" t="str" cm="1">
        <f t="array" aca="1" ref="E326" ca="1">IFERROR(INDIRECT(D326),"")</f>
        <v/>
      </c>
      <c r="F326" s="25"/>
      <c r="G326" s="26"/>
      <c r="H326" s="27" t="str">
        <f ca="1">IFERROR((Table110[[#This Row],[Plan]]/Table110[[#This Row],[Hours Used]])/(Table110[[#This Row],[SOC (TPD)]]/24),"")</f>
        <v/>
      </c>
      <c r="I326" s="27" t="str">
        <f ca="1">IFERROR((Table110[[#This Row],[Volume Delivered (T)]]/Table110[[#This Row],[Hours Used]])/(Table110[[#This Row],[SOC (TPD)]]/24),"")</f>
        <v/>
      </c>
      <c r="J326" s="28"/>
      <c r="K326" s="28"/>
      <c r="L326" s="28"/>
      <c r="M326" s="25"/>
      <c r="N326" s="29"/>
      <c r="O326" s="84"/>
      <c r="P326" s="25"/>
      <c r="Q326" s="25"/>
      <c r="R326" s="70"/>
      <c r="S326" s="71"/>
      <c r="T326" s="30">
        <f>IF(Table110[[#This Row],[SKU]]="",0,24-Table110[[#This Row],[Legal Non-Operating Time]]-Table110[[#This Row],[No Demand Time]]-Table110[[#This Row],[Force Majeure]])</f>
        <v>0</v>
      </c>
      <c r="U326" s="26"/>
      <c r="V326" s="26"/>
      <c r="W326" s="26"/>
      <c r="X326" s="26"/>
      <c r="Y326" s="26"/>
      <c r="Z326" s="26"/>
      <c r="AA326" s="26"/>
      <c r="AB326" s="30">
        <f>Table110[[#This Row],[Hours Used]]-SUM(Table110[[#This Row],[Planned Maintenance]:[Start and Finish Production]])</f>
        <v>0</v>
      </c>
      <c r="AC326" s="26"/>
      <c r="AD326" s="26"/>
      <c r="AE326" s="26"/>
      <c r="AF326" s="26"/>
      <c r="AG326" s="26"/>
      <c r="AH326" s="26"/>
      <c r="AI326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326" s="24">
        <f>IFERROR(IF(Table110[[#This Row],[SKU]]="",0,Table110[[#This Row],[Quality Loss (T)]]/(Table110[[#This Row],[SOC (TPD)]]/24)),"")</f>
        <v>0</v>
      </c>
      <c r="AK326" s="31">
        <f>IFERROR(IF(Table110[[#This Row],[SKU]]="",0,Table110[[#This Row],[Volume Delivered (T)]]/(Table110[[#This Row],[SOC (TPD)]]/24)),"")</f>
        <v>0</v>
      </c>
      <c r="AL326" s="31" t="str">
        <f>IFERROR(Table110[[#This Row],[Operating Time]]/Table110[[#This Row],[PRODUCTION HOURS]],"")</f>
        <v/>
      </c>
      <c r="AM326" s="32"/>
      <c r="AN326" s="32"/>
      <c r="AO326" s="32"/>
      <c r="AP326" s="32">
        <v>0</v>
      </c>
      <c r="AQ326" s="32">
        <v>0</v>
      </c>
      <c r="AR326" s="32"/>
      <c r="AS326" s="32" t="str">
        <f>IFERROR(SUMIFS(#REF!,#REF!,'Shift Wise-Data Sheet'!A:A,#REF!,"Samridhi Perk Line")/SUMIFS(#REF!,#REF!,'Shift Wise-Data Sheet'!A:A,#REF!,"Samridhi Perk Line"),"")</f>
        <v/>
      </c>
      <c r="AT326" s="32"/>
      <c r="AU326" s="32"/>
      <c r="AV326" s="211">
        <f>IFERROR(VLOOKUP(Table110[[#This Row],[Date]],'Overweight Data'!A324:G1419,6,FALSE),"")</f>
        <v>0</v>
      </c>
      <c r="AW326" s="221">
        <f>IFERROR(
   IF(
      OR(Table110[[#This Row],[Operating Time]]=0, (Table110[[#This Row],[Operating Time]]/IF(AD326&lt;=1,AD326+1,AD326))*60=0),
      1,
      ((Table110[[#This Row],[Operating Time]])/IF(AD326&lt;=1,AD326+1,AD326))*60
   ),
"_")</f>
        <v>1</v>
      </c>
      <c r="AX326" s="221">
        <f>COUNTIFS('Downtime Data'!A:A,Table110[[#This Row],[Date]])</f>
        <v>0</v>
      </c>
      <c r="AY326" s="219" t="str">
        <f>IFERROR((SUM(Table110[[#This Row],[Minor Stoppages]:[Material Shortages]])/Table110[[#This Row],['# Stops]])*60,"")</f>
        <v/>
      </c>
      <c r="AZ326" s="219"/>
      <c r="BA326" s="33">
        <v>46352</v>
      </c>
    </row>
    <row r="327" spans="1:53" ht="20.149999999999999" customHeight="1" x14ac:dyDescent="0.35">
      <c r="A327" s="21">
        <v>46344</v>
      </c>
      <c r="B327" s="22" t="str">
        <f t="shared" si="5"/>
        <v>Wednesday</v>
      </c>
      <c r="C327" s="22"/>
      <c r="D327" s="23"/>
      <c r="E327" s="24" t="str" cm="1">
        <f t="array" aca="1" ref="E327" ca="1">IFERROR(INDIRECT(D327),"")</f>
        <v/>
      </c>
      <c r="F327" s="25"/>
      <c r="G327" s="26"/>
      <c r="H327" s="27" t="str">
        <f ca="1">IFERROR((Table110[[#This Row],[Plan]]/Table110[[#This Row],[Hours Used]])/(Table110[[#This Row],[SOC (TPD)]]/24),"")</f>
        <v/>
      </c>
      <c r="I327" s="27" t="str">
        <f ca="1">IFERROR((Table110[[#This Row],[Volume Delivered (T)]]/Table110[[#This Row],[Hours Used]])/(Table110[[#This Row],[SOC (TPD)]]/24),"")</f>
        <v/>
      </c>
      <c r="J327" s="28"/>
      <c r="K327" s="28"/>
      <c r="L327" s="28"/>
      <c r="M327" s="25"/>
      <c r="N327" s="29"/>
      <c r="O327" s="84"/>
      <c r="P327" s="25"/>
      <c r="Q327" s="25"/>
      <c r="R327" s="70"/>
      <c r="S327" s="71"/>
      <c r="T327" s="30">
        <f>IF(Table110[[#This Row],[SKU]]="",0,24-Table110[[#This Row],[Legal Non-Operating Time]]-Table110[[#This Row],[No Demand Time]]-Table110[[#This Row],[Force Majeure]])</f>
        <v>0</v>
      </c>
      <c r="U327" s="26"/>
      <c r="V327" s="26"/>
      <c r="W327" s="26"/>
      <c r="X327" s="26"/>
      <c r="Y327" s="26"/>
      <c r="Z327" s="26"/>
      <c r="AA327" s="26"/>
      <c r="AB327" s="30">
        <f>Table110[[#This Row],[Hours Used]]-SUM(Table110[[#This Row],[Planned Maintenance]:[Start and Finish Production]])</f>
        <v>0</v>
      </c>
      <c r="AC327" s="26"/>
      <c r="AD327" s="26"/>
      <c r="AE327" s="26"/>
      <c r="AF327" s="26"/>
      <c r="AG327" s="26"/>
      <c r="AH327" s="26"/>
      <c r="AI327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327" s="24">
        <f>IFERROR(IF(Table110[[#This Row],[SKU]]="",0,Table110[[#This Row],[Quality Loss (T)]]/(Table110[[#This Row],[SOC (TPD)]]/24)),"")</f>
        <v>0</v>
      </c>
      <c r="AK327" s="31">
        <f>IFERROR(IF(Table110[[#This Row],[SKU]]="",0,Table110[[#This Row],[Volume Delivered (T)]]/(Table110[[#This Row],[SOC (TPD)]]/24)),"")</f>
        <v>0</v>
      </c>
      <c r="AL327" s="31" t="str">
        <f>IFERROR(Table110[[#This Row],[Operating Time]]/Table110[[#This Row],[PRODUCTION HOURS]],"")</f>
        <v/>
      </c>
      <c r="AM327" s="32"/>
      <c r="AN327" s="32"/>
      <c r="AO327" s="32"/>
      <c r="AP327" s="32">
        <v>0</v>
      </c>
      <c r="AQ327" s="32">
        <v>0</v>
      </c>
      <c r="AR327" s="32"/>
      <c r="AS327" s="32" t="str">
        <f>IFERROR(SUMIFS(#REF!,#REF!,'Shift Wise-Data Sheet'!A:A,#REF!,"Samridhi Perk Line")/SUMIFS(#REF!,#REF!,'Shift Wise-Data Sheet'!A:A,#REF!,"Samridhi Perk Line"),"")</f>
        <v/>
      </c>
      <c r="AT327" s="32"/>
      <c r="AU327" s="32"/>
      <c r="AV327" s="211">
        <f>IFERROR(VLOOKUP(Table110[[#This Row],[Date]],'Overweight Data'!A325:G1420,6,FALSE),"")</f>
        <v>0</v>
      </c>
      <c r="AW327" s="221">
        <f>IFERROR(
   IF(
      OR(Table110[[#This Row],[Operating Time]]=0, (Table110[[#This Row],[Operating Time]]/IF(AD327&lt;=1,AD327+1,AD327))*60=0),
      1,
      ((Table110[[#This Row],[Operating Time]])/IF(AD327&lt;=1,AD327+1,AD327))*60
   ),
"_")</f>
        <v>1</v>
      </c>
      <c r="AX327" s="221">
        <f>COUNTIFS('Downtime Data'!A:A,Table110[[#This Row],[Date]])</f>
        <v>0</v>
      </c>
      <c r="AY327" s="219" t="str">
        <f>IFERROR((SUM(Table110[[#This Row],[Minor Stoppages]:[Material Shortages]])/Table110[[#This Row],['# Stops]])*60,"")</f>
        <v/>
      </c>
      <c r="AZ327" s="219"/>
      <c r="BA327" s="33">
        <v>46352</v>
      </c>
    </row>
    <row r="328" spans="1:53" ht="20.149999999999999" customHeight="1" x14ac:dyDescent="0.35">
      <c r="A328" s="21">
        <v>46345</v>
      </c>
      <c r="B328" s="22" t="str">
        <f t="shared" si="5"/>
        <v>Thursday</v>
      </c>
      <c r="C328" s="22"/>
      <c r="D328" s="23"/>
      <c r="E328" s="24" t="str" cm="1">
        <f t="array" aca="1" ref="E328" ca="1">IFERROR(INDIRECT(D328),"")</f>
        <v/>
      </c>
      <c r="F328" s="25"/>
      <c r="G328" s="26"/>
      <c r="H328" s="27" t="str">
        <f ca="1">IFERROR((Table110[[#This Row],[Plan]]/Table110[[#This Row],[Hours Used]])/(Table110[[#This Row],[SOC (TPD)]]/24),"")</f>
        <v/>
      </c>
      <c r="I328" s="27" t="str">
        <f ca="1">IFERROR((Table110[[#This Row],[Volume Delivered (T)]]/Table110[[#This Row],[Hours Used]])/(Table110[[#This Row],[SOC (TPD)]]/24),"")</f>
        <v/>
      </c>
      <c r="J328" s="28"/>
      <c r="K328" s="28"/>
      <c r="L328" s="28"/>
      <c r="M328" s="25"/>
      <c r="N328" s="29"/>
      <c r="O328" s="84"/>
      <c r="P328" s="25"/>
      <c r="Q328" s="25"/>
      <c r="R328" s="70"/>
      <c r="S328" s="71"/>
      <c r="T328" s="30">
        <f>IF(Table110[[#This Row],[SKU]]="",0,24-Table110[[#This Row],[Legal Non-Operating Time]]-Table110[[#This Row],[No Demand Time]]-Table110[[#This Row],[Force Majeure]])</f>
        <v>0</v>
      </c>
      <c r="U328" s="26"/>
      <c r="V328" s="26"/>
      <c r="W328" s="26"/>
      <c r="X328" s="26"/>
      <c r="Y328" s="26"/>
      <c r="Z328" s="26"/>
      <c r="AA328" s="26"/>
      <c r="AB328" s="30">
        <f>Table110[[#This Row],[Hours Used]]-SUM(Table110[[#This Row],[Planned Maintenance]:[Start and Finish Production]])</f>
        <v>0</v>
      </c>
      <c r="AC328" s="26"/>
      <c r="AD328" s="26"/>
      <c r="AE328" s="26"/>
      <c r="AF328" s="26"/>
      <c r="AG328" s="26"/>
      <c r="AH328" s="26"/>
      <c r="AI328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328" s="24">
        <f>IFERROR(IF(Table110[[#This Row],[SKU]]="",0,Table110[[#This Row],[Quality Loss (T)]]/(Table110[[#This Row],[SOC (TPD)]]/24)),"")</f>
        <v>0</v>
      </c>
      <c r="AK328" s="31">
        <f>IFERROR(IF(Table110[[#This Row],[SKU]]="",0,Table110[[#This Row],[Volume Delivered (T)]]/(Table110[[#This Row],[SOC (TPD)]]/24)),"")</f>
        <v>0</v>
      </c>
      <c r="AL328" s="31" t="str">
        <f>IFERROR(Table110[[#This Row],[Operating Time]]/Table110[[#This Row],[PRODUCTION HOURS]],"")</f>
        <v/>
      </c>
      <c r="AM328" s="32"/>
      <c r="AN328" s="32"/>
      <c r="AO328" s="32"/>
      <c r="AP328" s="32">
        <v>0</v>
      </c>
      <c r="AQ328" s="32">
        <v>0</v>
      </c>
      <c r="AR328" s="32"/>
      <c r="AS328" s="32" t="str">
        <f>IFERROR(SUMIFS(#REF!,#REF!,'Shift Wise-Data Sheet'!A:A,#REF!,"Samridhi Perk Line")/SUMIFS(#REF!,#REF!,'Shift Wise-Data Sheet'!A:A,#REF!,"Samridhi Perk Line"),"")</f>
        <v/>
      </c>
      <c r="AT328" s="32"/>
      <c r="AU328" s="32"/>
      <c r="AV328" s="211">
        <f>IFERROR(VLOOKUP(Table110[[#This Row],[Date]],'Overweight Data'!A326:G1421,6,FALSE),"")</f>
        <v>0</v>
      </c>
      <c r="AW328" s="221">
        <f>IFERROR(
   IF(
      OR(Table110[[#This Row],[Operating Time]]=0, (Table110[[#This Row],[Operating Time]]/IF(AD328&lt;=1,AD328+1,AD328))*60=0),
      1,
      ((Table110[[#This Row],[Operating Time]])/IF(AD328&lt;=1,AD328+1,AD328))*60
   ),
"_")</f>
        <v>1</v>
      </c>
      <c r="AX328" s="221">
        <f>COUNTIFS('Downtime Data'!A:A,Table110[[#This Row],[Date]])</f>
        <v>0</v>
      </c>
      <c r="AY328" s="219" t="str">
        <f>IFERROR((SUM(Table110[[#This Row],[Minor Stoppages]:[Material Shortages]])/Table110[[#This Row],['# Stops]])*60,"")</f>
        <v/>
      </c>
      <c r="AZ328" s="219"/>
      <c r="BA328" s="33">
        <v>46352</v>
      </c>
    </row>
    <row r="329" spans="1:53" ht="20.149999999999999" customHeight="1" x14ac:dyDescent="0.35">
      <c r="A329" s="21">
        <v>46346</v>
      </c>
      <c r="B329" s="22" t="str">
        <f t="shared" si="5"/>
        <v>Friday</v>
      </c>
      <c r="C329" s="22"/>
      <c r="D329" s="23"/>
      <c r="E329" s="24" t="str" cm="1">
        <f t="array" aca="1" ref="E329" ca="1">IFERROR(INDIRECT(D329),"")</f>
        <v/>
      </c>
      <c r="F329" s="25"/>
      <c r="G329" s="26"/>
      <c r="H329" s="27" t="str">
        <f ca="1">IFERROR((Table110[[#This Row],[Plan]]/Table110[[#This Row],[Hours Used]])/(Table110[[#This Row],[SOC (TPD)]]/24),"")</f>
        <v/>
      </c>
      <c r="I329" s="27" t="str">
        <f ca="1">IFERROR((Table110[[#This Row],[Volume Delivered (T)]]/Table110[[#This Row],[Hours Used]])/(Table110[[#This Row],[SOC (TPD)]]/24),"")</f>
        <v/>
      </c>
      <c r="J329" s="28"/>
      <c r="K329" s="28"/>
      <c r="L329" s="28"/>
      <c r="M329" s="25"/>
      <c r="N329" s="29"/>
      <c r="O329" s="84"/>
      <c r="P329" s="25"/>
      <c r="Q329" s="25"/>
      <c r="R329" s="70"/>
      <c r="S329" s="71"/>
      <c r="T329" s="30">
        <f>IF(Table110[[#This Row],[SKU]]="",0,24-Table110[[#This Row],[Legal Non-Operating Time]]-Table110[[#This Row],[No Demand Time]]-Table110[[#This Row],[Force Majeure]])</f>
        <v>0</v>
      </c>
      <c r="U329" s="26"/>
      <c r="V329" s="26"/>
      <c r="W329" s="26"/>
      <c r="X329" s="26"/>
      <c r="Y329" s="26"/>
      <c r="Z329" s="26"/>
      <c r="AA329" s="26"/>
      <c r="AB329" s="30">
        <f>Table110[[#This Row],[Hours Used]]-SUM(Table110[[#This Row],[Planned Maintenance]:[Start and Finish Production]])</f>
        <v>0</v>
      </c>
      <c r="AC329" s="26"/>
      <c r="AD329" s="26"/>
      <c r="AE329" s="26"/>
      <c r="AF329" s="26"/>
      <c r="AG329" s="26"/>
      <c r="AH329" s="26"/>
      <c r="AI329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329" s="24">
        <f>IFERROR(IF(Table110[[#This Row],[SKU]]="",0,Table110[[#This Row],[Quality Loss (T)]]/(Table110[[#This Row],[SOC (TPD)]]/24)),"")</f>
        <v>0</v>
      </c>
      <c r="AK329" s="31">
        <f>IFERROR(IF(Table110[[#This Row],[SKU]]="",0,Table110[[#This Row],[Volume Delivered (T)]]/(Table110[[#This Row],[SOC (TPD)]]/24)),"")</f>
        <v>0</v>
      </c>
      <c r="AL329" s="31" t="str">
        <f>IFERROR(Table110[[#This Row],[Operating Time]]/Table110[[#This Row],[PRODUCTION HOURS]],"")</f>
        <v/>
      </c>
      <c r="AM329" s="32"/>
      <c r="AN329" s="32"/>
      <c r="AO329" s="32"/>
      <c r="AP329" s="32">
        <v>4</v>
      </c>
      <c r="AQ329" s="32">
        <v>0</v>
      </c>
      <c r="AR329" s="32"/>
      <c r="AS329" s="32" t="str">
        <f>IFERROR(SUMIFS(#REF!,#REF!,'Shift Wise-Data Sheet'!A:A,#REF!,"Samridhi Perk Line")/SUMIFS(#REF!,#REF!,'Shift Wise-Data Sheet'!A:A,#REF!,"Samridhi Perk Line"),"")</f>
        <v/>
      </c>
      <c r="AT329" s="32"/>
      <c r="AU329" s="32"/>
      <c r="AV329" s="211">
        <f>IFERROR(VLOOKUP(Table110[[#This Row],[Date]],'Overweight Data'!A327:G1422,6,FALSE),"")</f>
        <v>0</v>
      </c>
      <c r="AW329" s="221">
        <f>IFERROR(
   IF(
      OR(Table110[[#This Row],[Operating Time]]=0, (Table110[[#This Row],[Operating Time]]/IF(AD329&lt;=1,AD329+1,AD329))*60=0),
      1,
      ((Table110[[#This Row],[Operating Time]])/IF(AD329&lt;=1,AD329+1,AD329))*60
   ),
"_")</f>
        <v>1</v>
      </c>
      <c r="AX329" s="221">
        <f>COUNTIFS('Downtime Data'!A:A,Table110[[#This Row],[Date]])</f>
        <v>0</v>
      </c>
      <c r="AY329" s="219" t="str">
        <f>IFERROR((SUM(Table110[[#This Row],[Minor Stoppages]:[Material Shortages]])/Table110[[#This Row],['# Stops]])*60,"")</f>
        <v/>
      </c>
      <c r="AZ329" s="219"/>
      <c r="BA329" s="33">
        <v>46352</v>
      </c>
    </row>
    <row r="330" spans="1:53" ht="20.149999999999999" customHeight="1" x14ac:dyDescent="0.35">
      <c r="A330" s="21">
        <v>46347</v>
      </c>
      <c r="B330" s="22" t="str">
        <f t="shared" si="5"/>
        <v>Saturday</v>
      </c>
      <c r="C330" s="22"/>
      <c r="D330" s="23"/>
      <c r="E330" s="24" t="str" cm="1">
        <f t="array" aca="1" ref="E330" ca="1">IFERROR(INDIRECT(D330),"")</f>
        <v/>
      </c>
      <c r="F330" s="25"/>
      <c r="G330" s="26"/>
      <c r="H330" s="27" t="str">
        <f ca="1">IFERROR((Table110[[#This Row],[Plan]]/Table110[[#This Row],[Hours Used]])/(Table110[[#This Row],[SOC (TPD)]]/24),"")</f>
        <v/>
      </c>
      <c r="I330" s="27" t="str">
        <f ca="1">IFERROR((Table110[[#This Row],[Volume Delivered (T)]]/Table110[[#This Row],[Hours Used]])/(Table110[[#This Row],[SOC (TPD)]]/24),"")</f>
        <v/>
      </c>
      <c r="J330" s="28"/>
      <c r="K330" s="28"/>
      <c r="L330" s="28"/>
      <c r="M330" s="25"/>
      <c r="N330" s="29"/>
      <c r="O330" s="84"/>
      <c r="P330" s="25"/>
      <c r="Q330" s="25"/>
      <c r="R330" s="70"/>
      <c r="S330" s="71"/>
      <c r="T330" s="30">
        <f>IF(Table110[[#This Row],[SKU]]="",0,24-Table110[[#This Row],[Legal Non-Operating Time]]-Table110[[#This Row],[No Demand Time]]-Table110[[#This Row],[Force Majeure]])</f>
        <v>0</v>
      </c>
      <c r="U330" s="26"/>
      <c r="V330" s="26"/>
      <c r="W330" s="26"/>
      <c r="X330" s="26"/>
      <c r="Y330" s="26"/>
      <c r="Z330" s="26"/>
      <c r="AA330" s="26"/>
      <c r="AB330" s="30">
        <f>Table110[[#This Row],[Hours Used]]-SUM(Table110[[#This Row],[Planned Maintenance]:[Start and Finish Production]])</f>
        <v>0</v>
      </c>
      <c r="AC330" s="26"/>
      <c r="AD330" s="26"/>
      <c r="AE330" s="26"/>
      <c r="AF330" s="26"/>
      <c r="AG330" s="26"/>
      <c r="AH330" s="26"/>
      <c r="AI330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330" s="24">
        <f>IFERROR(IF(Table110[[#This Row],[SKU]]="",0,Table110[[#This Row],[Quality Loss (T)]]/(Table110[[#This Row],[SOC (TPD)]]/24)),"")</f>
        <v>0</v>
      </c>
      <c r="AK330" s="31">
        <f>IFERROR(IF(Table110[[#This Row],[SKU]]="",0,Table110[[#This Row],[Volume Delivered (T)]]/(Table110[[#This Row],[SOC (TPD)]]/24)),"")</f>
        <v>0</v>
      </c>
      <c r="AL330" s="31" t="str">
        <f>IFERROR(Table110[[#This Row],[Operating Time]]/Table110[[#This Row],[PRODUCTION HOURS]],"")</f>
        <v/>
      </c>
      <c r="AM330" s="32"/>
      <c r="AN330" s="32"/>
      <c r="AO330" s="32"/>
      <c r="AP330" s="32">
        <v>0</v>
      </c>
      <c r="AQ330" s="32">
        <v>0</v>
      </c>
      <c r="AR330" s="32"/>
      <c r="AS330" s="32" t="str">
        <f>IFERROR(SUMIFS(#REF!,#REF!,'Shift Wise-Data Sheet'!A:A,#REF!,"Samridhi Perk Line")/SUMIFS(#REF!,#REF!,'Shift Wise-Data Sheet'!A:A,#REF!,"Samridhi Perk Line"),"")</f>
        <v/>
      </c>
      <c r="AT330" s="32"/>
      <c r="AU330" s="32"/>
      <c r="AV330" s="211">
        <f>IFERROR(VLOOKUP(Table110[[#This Row],[Date]],'Overweight Data'!A328:G1423,6,FALSE),"")</f>
        <v>0</v>
      </c>
      <c r="AW330" s="221">
        <f>IFERROR(
   IF(
      OR(Table110[[#This Row],[Operating Time]]=0, (Table110[[#This Row],[Operating Time]]/IF(AD330&lt;=1,AD330+1,AD330))*60=0),
      1,
      ((Table110[[#This Row],[Operating Time]])/IF(AD330&lt;=1,AD330+1,AD330))*60
   ),
"_")</f>
        <v>1</v>
      </c>
      <c r="AX330" s="221">
        <f>COUNTIFS('Downtime Data'!A:A,Table110[[#This Row],[Date]])</f>
        <v>0</v>
      </c>
      <c r="AY330" s="219" t="str">
        <f>IFERROR((SUM(Table110[[#This Row],[Minor Stoppages]:[Material Shortages]])/Table110[[#This Row],['# Stops]])*60,"")</f>
        <v/>
      </c>
      <c r="AZ330" s="219"/>
      <c r="BA330" s="33">
        <v>46352</v>
      </c>
    </row>
    <row r="331" spans="1:53" ht="20.149999999999999" customHeight="1" x14ac:dyDescent="0.35">
      <c r="A331" s="21">
        <v>46348</v>
      </c>
      <c r="B331" s="22" t="str">
        <f t="shared" ref="B331:B373" si="6">IF(A331="","",TEXT(A331,"dddddd"))</f>
        <v>Sunday</v>
      </c>
      <c r="C331" s="22"/>
      <c r="D331" s="23"/>
      <c r="E331" s="24" t="str" cm="1">
        <f t="array" aca="1" ref="E331" ca="1">IFERROR(INDIRECT(D331),"")</f>
        <v/>
      </c>
      <c r="F331" s="25"/>
      <c r="G331" s="26"/>
      <c r="H331" s="27" t="str">
        <f ca="1">IFERROR((Table110[[#This Row],[Plan]]/Table110[[#This Row],[Hours Used]])/(Table110[[#This Row],[SOC (TPD)]]/24),"")</f>
        <v/>
      </c>
      <c r="I331" s="27" t="str">
        <f ca="1">IFERROR((Table110[[#This Row],[Volume Delivered (T)]]/Table110[[#This Row],[Hours Used]])/(Table110[[#This Row],[SOC (TPD)]]/24),"")</f>
        <v/>
      </c>
      <c r="J331" s="28"/>
      <c r="K331" s="28"/>
      <c r="L331" s="28"/>
      <c r="M331" s="25"/>
      <c r="N331" s="29"/>
      <c r="O331" s="84"/>
      <c r="P331" s="25"/>
      <c r="Q331" s="25"/>
      <c r="R331" s="70"/>
      <c r="S331" s="71"/>
      <c r="T331" s="30">
        <f>IF(Table110[[#This Row],[SKU]]="",0,24-Table110[[#This Row],[Legal Non-Operating Time]]-Table110[[#This Row],[No Demand Time]]-Table110[[#This Row],[Force Majeure]])</f>
        <v>0</v>
      </c>
      <c r="U331" s="26"/>
      <c r="V331" s="26"/>
      <c r="W331" s="26"/>
      <c r="X331" s="26"/>
      <c r="Y331" s="26"/>
      <c r="Z331" s="26"/>
      <c r="AA331" s="26"/>
      <c r="AB331" s="30">
        <f>Table110[[#This Row],[Hours Used]]-SUM(Table110[[#This Row],[Planned Maintenance]:[Start and Finish Production]])</f>
        <v>0</v>
      </c>
      <c r="AC331" s="26"/>
      <c r="AD331" s="26"/>
      <c r="AE331" s="26"/>
      <c r="AF331" s="26"/>
      <c r="AG331" s="26"/>
      <c r="AH331" s="26"/>
      <c r="AI331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331" s="24">
        <f>IFERROR(IF(Table110[[#This Row],[SKU]]="",0,Table110[[#This Row],[Quality Loss (T)]]/(Table110[[#This Row],[SOC (TPD)]]/24)),"")</f>
        <v>0</v>
      </c>
      <c r="AK331" s="31">
        <f>IFERROR(IF(Table110[[#This Row],[SKU]]="",0,Table110[[#This Row],[Volume Delivered (T)]]/(Table110[[#This Row],[SOC (TPD)]]/24)),"")</f>
        <v>0</v>
      </c>
      <c r="AL331" s="31" t="str">
        <f>IFERROR(Table110[[#This Row],[Operating Time]]/Table110[[#This Row],[PRODUCTION HOURS]],"")</f>
        <v/>
      </c>
      <c r="AM331" s="32"/>
      <c r="AN331" s="32"/>
      <c r="AO331" s="32"/>
      <c r="AP331" s="32">
        <v>6</v>
      </c>
      <c r="AQ331" s="32">
        <v>0</v>
      </c>
      <c r="AR331" s="32"/>
      <c r="AS331" s="32" t="str">
        <f>IFERROR(SUMIFS(#REF!,#REF!,'Shift Wise-Data Sheet'!A:A,#REF!,"Samridhi Perk Line")/SUMIFS(#REF!,#REF!,'Shift Wise-Data Sheet'!A:A,#REF!,"Samridhi Perk Line"),"")</f>
        <v/>
      </c>
      <c r="AT331" s="32"/>
      <c r="AU331" s="32"/>
      <c r="AV331" s="211">
        <f>IFERROR(VLOOKUP(Table110[[#This Row],[Date]],'Overweight Data'!A329:G1424,6,FALSE),"")</f>
        <v>0</v>
      </c>
      <c r="AW331" s="221">
        <f>IFERROR(
   IF(
      OR(Table110[[#This Row],[Operating Time]]=0, (Table110[[#This Row],[Operating Time]]/IF(AD331&lt;=1,AD331+1,AD331))*60=0),
      1,
      ((Table110[[#This Row],[Operating Time]])/IF(AD331&lt;=1,AD331+1,AD331))*60
   ),
"_")</f>
        <v>1</v>
      </c>
      <c r="AX331" s="221">
        <f>COUNTIFS('Downtime Data'!A:A,Table110[[#This Row],[Date]])</f>
        <v>0</v>
      </c>
      <c r="AY331" s="219" t="str">
        <f>IFERROR((SUM(Table110[[#This Row],[Minor Stoppages]:[Material Shortages]])/Table110[[#This Row],['# Stops]])*60,"")</f>
        <v/>
      </c>
      <c r="AZ331" s="219"/>
      <c r="BA331" s="33">
        <v>46352</v>
      </c>
    </row>
    <row r="332" spans="1:53" ht="20.149999999999999" customHeight="1" x14ac:dyDescent="0.35">
      <c r="A332" s="21">
        <v>46349</v>
      </c>
      <c r="B332" s="22" t="str">
        <f t="shared" si="6"/>
        <v>Monday</v>
      </c>
      <c r="C332" s="22"/>
      <c r="D332" s="23"/>
      <c r="E332" s="24" t="str" cm="1">
        <f t="array" aca="1" ref="E332" ca="1">IFERROR(INDIRECT(D332),"")</f>
        <v/>
      </c>
      <c r="F332" s="25"/>
      <c r="G332" s="26"/>
      <c r="H332" s="27" t="str">
        <f ca="1">IFERROR((Table110[[#This Row],[Plan]]/Table110[[#This Row],[Hours Used]])/(Table110[[#This Row],[SOC (TPD)]]/24),"")</f>
        <v/>
      </c>
      <c r="I332" s="27" t="str">
        <f ca="1">IFERROR((Table110[[#This Row],[Volume Delivered (T)]]/Table110[[#This Row],[Hours Used]])/(Table110[[#This Row],[SOC (TPD)]]/24),"")</f>
        <v/>
      </c>
      <c r="J332" s="28"/>
      <c r="K332" s="28"/>
      <c r="L332" s="28"/>
      <c r="M332" s="25"/>
      <c r="N332" s="29"/>
      <c r="O332" s="84"/>
      <c r="P332" s="25"/>
      <c r="Q332" s="25"/>
      <c r="R332" s="70"/>
      <c r="S332" s="71"/>
      <c r="T332" s="30">
        <f>IF(Table110[[#This Row],[SKU]]="",0,24-Table110[[#This Row],[Legal Non-Operating Time]]-Table110[[#This Row],[No Demand Time]]-Table110[[#This Row],[Force Majeure]])</f>
        <v>0</v>
      </c>
      <c r="U332" s="26"/>
      <c r="V332" s="26"/>
      <c r="W332" s="26"/>
      <c r="X332" s="26"/>
      <c r="Y332" s="26"/>
      <c r="Z332" s="26"/>
      <c r="AA332" s="26"/>
      <c r="AB332" s="30">
        <f>Table110[[#This Row],[Hours Used]]-SUM(Table110[[#This Row],[Planned Maintenance]:[Start and Finish Production]])</f>
        <v>0</v>
      </c>
      <c r="AC332" s="26"/>
      <c r="AD332" s="26"/>
      <c r="AE332" s="26"/>
      <c r="AF332" s="26"/>
      <c r="AG332" s="26"/>
      <c r="AH332" s="26"/>
      <c r="AI332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332" s="24">
        <f>IFERROR(IF(Table110[[#This Row],[SKU]]="",0,Table110[[#This Row],[Quality Loss (T)]]/(Table110[[#This Row],[SOC (TPD)]]/24)),"")</f>
        <v>0</v>
      </c>
      <c r="AK332" s="31">
        <f>IFERROR(IF(Table110[[#This Row],[SKU]]="",0,Table110[[#This Row],[Volume Delivered (T)]]/(Table110[[#This Row],[SOC (TPD)]]/24)),"")</f>
        <v>0</v>
      </c>
      <c r="AL332" s="31" t="str">
        <f>IFERROR(Table110[[#This Row],[Operating Time]]/Table110[[#This Row],[PRODUCTION HOURS]],"")</f>
        <v/>
      </c>
      <c r="AM332" s="32"/>
      <c r="AN332" s="32"/>
      <c r="AO332" s="32"/>
      <c r="AP332" s="32">
        <v>0</v>
      </c>
      <c r="AQ332" s="32">
        <v>0</v>
      </c>
      <c r="AR332" s="32"/>
      <c r="AS332" s="32" t="str">
        <f>IFERROR(SUMIFS(#REF!,#REF!,'Shift Wise-Data Sheet'!A:A,#REF!,"Samridhi Perk Line")/SUMIFS(#REF!,#REF!,'Shift Wise-Data Sheet'!A:A,#REF!,"Samridhi Perk Line"),"")</f>
        <v/>
      </c>
      <c r="AT332" s="32"/>
      <c r="AU332" s="32"/>
      <c r="AV332" s="211">
        <f>IFERROR(VLOOKUP(Table110[[#This Row],[Date]],'Overweight Data'!A330:G1425,6,FALSE),"")</f>
        <v>0</v>
      </c>
      <c r="AW332" s="221">
        <f>IFERROR(
   IF(
      OR(Table110[[#This Row],[Operating Time]]=0, (Table110[[#This Row],[Operating Time]]/IF(AD332&lt;=1,AD332+1,AD332))*60=0),
      1,
      ((Table110[[#This Row],[Operating Time]])/IF(AD332&lt;=1,AD332+1,AD332))*60
   ),
"_")</f>
        <v>1</v>
      </c>
      <c r="AX332" s="221">
        <f>COUNTIFS('Downtime Data'!A:A,Table110[[#This Row],[Date]])</f>
        <v>0</v>
      </c>
      <c r="AY332" s="219" t="str">
        <f>IFERROR((SUM(Table110[[#This Row],[Minor Stoppages]:[Material Shortages]])/Table110[[#This Row],['# Stops]])*60,"")</f>
        <v/>
      </c>
      <c r="AZ332" s="219"/>
      <c r="BA332" s="33">
        <v>46352</v>
      </c>
    </row>
    <row r="333" spans="1:53" ht="20.149999999999999" customHeight="1" x14ac:dyDescent="0.35">
      <c r="A333" s="21">
        <v>46350</v>
      </c>
      <c r="B333" s="22" t="str">
        <f t="shared" si="6"/>
        <v>Tuesday</v>
      </c>
      <c r="C333" s="22"/>
      <c r="D333" s="23"/>
      <c r="E333" s="24" t="str" cm="1">
        <f t="array" aca="1" ref="E333" ca="1">IFERROR(INDIRECT(D333),"")</f>
        <v/>
      </c>
      <c r="F333" s="25"/>
      <c r="G333" s="26"/>
      <c r="H333" s="27" t="str">
        <f ca="1">IFERROR((Table110[[#This Row],[Plan]]/Table110[[#This Row],[Hours Used]])/(Table110[[#This Row],[SOC (TPD)]]/24),"")</f>
        <v/>
      </c>
      <c r="I333" s="27" t="str">
        <f ca="1">IFERROR((Table110[[#This Row],[Volume Delivered (T)]]/Table110[[#This Row],[Hours Used]])/(Table110[[#This Row],[SOC (TPD)]]/24),"")</f>
        <v/>
      </c>
      <c r="J333" s="28"/>
      <c r="K333" s="28"/>
      <c r="L333" s="28"/>
      <c r="M333" s="25"/>
      <c r="N333" s="29"/>
      <c r="O333" s="84"/>
      <c r="P333" s="25"/>
      <c r="Q333" s="25"/>
      <c r="R333" s="70"/>
      <c r="S333" s="71"/>
      <c r="T333" s="30">
        <f>IF(Table110[[#This Row],[SKU]]="",0,24-Table110[[#This Row],[Legal Non-Operating Time]]-Table110[[#This Row],[No Demand Time]]-Table110[[#This Row],[Force Majeure]])</f>
        <v>0</v>
      </c>
      <c r="U333" s="26"/>
      <c r="V333" s="26"/>
      <c r="W333" s="26"/>
      <c r="X333" s="26"/>
      <c r="Y333" s="26"/>
      <c r="Z333" s="26"/>
      <c r="AA333" s="26"/>
      <c r="AB333" s="30">
        <f>Table110[[#This Row],[Hours Used]]-SUM(Table110[[#This Row],[Planned Maintenance]:[Start and Finish Production]])</f>
        <v>0</v>
      </c>
      <c r="AC333" s="26"/>
      <c r="AD333" s="26"/>
      <c r="AE333" s="26"/>
      <c r="AF333" s="26"/>
      <c r="AG333" s="26"/>
      <c r="AH333" s="26"/>
      <c r="AI333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333" s="24">
        <f>IFERROR(IF(Table110[[#This Row],[SKU]]="",0,Table110[[#This Row],[Quality Loss (T)]]/(Table110[[#This Row],[SOC (TPD)]]/24)),"")</f>
        <v>0</v>
      </c>
      <c r="AK333" s="31">
        <f>IFERROR(IF(Table110[[#This Row],[SKU]]="",0,Table110[[#This Row],[Volume Delivered (T)]]/(Table110[[#This Row],[SOC (TPD)]]/24)),"")</f>
        <v>0</v>
      </c>
      <c r="AL333" s="31" t="str">
        <f>IFERROR(Table110[[#This Row],[Operating Time]]/Table110[[#This Row],[PRODUCTION HOURS]],"")</f>
        <v/>
      </c>
      <c r="AM333" s="32"/>
      <c r="AN333" s="32"/>
      <c r="AO333" s="32"/>
      <c r="AP333" s="32">
        <v>0</v>
      </c>
      <c r="AQ333" s="32">
        <v>0</v>
      </c>
      <c r="AR333" s="32"/>
      <c r="AS333" s="32" t="str">
        <f>IFERROR(SUMIFS(#REF!,#REF!,'Shift Wise-Data Sheet'!A:A,#REF!,"Samridhi Perk Line")/SUMIFS(#REF!,#REF!,'Shift Wise-Data Sheet'!A:A,#REF!,"Samridhi Perk Line"),"")</f>
        <v/>
      </c>
      <c r="AT333" s="32"/>
      <c r="AU333" s="32"/>
      <c r="AV333" s="211">
        <f>IFERROR(VLOOKUP(Table110[[#This Row],[Date]],'Overweight Data'!A331:G1426,6,FALSE),"")</f>
        <v>0</v>
      </c>
      <c r="AW333" s="221">
        <f>IFERROR(
   IF(
      OR(Table110[[#This Row],[Operating Time]]=0, (Table110[[#This Row],[Operating Time]]/IF(AD333&lt;=1,AD333+1,AD333))*60=0),
      1,
      ((Table110[[#This Row],[Operating Time]])/IF(AD333&lt;=1,AD333+1,AD333))*60
   ),
"_")</f>
        <v>1</v>
      </c>
      <c r="AX333" s="221">
        <f>COUNTIFS('Downtime Data'!A:A,Table110[[#This Row],[Date]])</f>
        <v>0</v>
      </c>
      <c r="AY333" s="219" t="str">
        <f>IFERROR((SUM(Table110[[#This Row],[Minor Stoppages]:[Material Shortages]])/Table110[[#This Row],['# Stops]])*60,"")</f>
        <v/>
      </c>
      <c r="AZ333" s="219"/>
      <c r="BA333" s="33">
        <v>46352</v>
      </c>
    </row>
    <row r="334" spans="1:53" ht="20.149999999999999" customHeight="1" x14ac:dyDescent="0.35">
      <c r="A334" s="21">
        <v>46351</v>
      </c>
      <c r="B334" s="22" t="str">
        <f t="shared" si="6"/>
        <v>Wednesday</v>
      </c>
      <c r="C334" s="22"/>
      <c r="D334" s="23"/>
      <c r="E334" s="24" t="str" cm="1">
        <f t="array" aca="1" ref="E334" ca="1">IFERROR(INDIRECT(D334),"")</f>
        <v/>
      </c>
      <c r="F334" s="25"/>
      <c r="G334" s="26"/>
      <c r="H334" s="27" t="str">
        <f ca="1">IFERROR((Table110[[#This Row],[Plan]]/Table110[[#This Row],[Hours Used]])/(Table110[[#This Row],[SOC (TPD)]]/24),"")</f>
        <v/>
      </c>
      <c r="I334" s="27" t="str">
        <f ca="1">IFERROR((Table110[[#This Row],[Volume Delivered (T)]]/Table110[[#This Row],[Hours Used]])/(Table110[[#This Row],[SOC (TPD)]]/24),"")</f>
        <v/>
      </c>
      <c r="J334" s="28"/>
      <c r="K334" s="28"/>
      <c r="L334" s="28"/>
      <c r="M334" s="25"/>
      <c r="N334" s="29"/>
      <c r="O334" s="84"/>
      <c r="P334" s="25"/>
      <c r="Q334" s="25"/>
      <c r="R334" s="70"/>
      <c r="S334" s="71"/>
      <c r="T334" s="30">
        <f>IF(Table110[[#This Row],[SKU]]="",0,24-Table110[[#This Row],[Legal Non-Operating Time]]-Table110[[#This Row],[No Demand Time]]-Table110[[#This Row],[Force Majeure]])</f>
        <v>0</v>
      </c>
      <c r="U334" s="26"/>
      <c r="V334" s="26"/>
      <c r="W334" s="26"/>
      <c r="X334" s="26"/>
      <c r="Y334" s="26"/>
      <c r="Z334" s="26"/>
      <c r="AA334" s="26"/>
      <c r="AB334" s="30">
        <f>Table110[[#This Row],[Hours Used]]-SUM(Table110[[#This Row],[Planned Maintenance]:[Start and Finish Production]])</f>
        <v>0</v>
      </c>
      <c r="AC334" s="26"/>
      <c r="AD334" s="26"/>
      <c r="AE334" s="26"/>
      <c r="AF334" s="26"/>
      <c r="AG334" s="26"/>
      <c r="AH334" s="26"/>
      <c r="AI334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334" s="24">
        <f>IFERROR(IF(Table110[[#This Row],[SKU]]="",0,Table110[[#This Row],[Quality Loss (T)]]/(Table110[[#This Row],[SOC (TPD)]]/24)),"")</f>
        <v>0</v>
      </c>
      <c r="AK334" s="31">
        <f>IFERROR(IF(Table110[[#This Row],[SKU]]="",0,Table110[[#This Row],[Volume Delivered (T)]]/(Table110[[#This Row],[SOC (TPD)]]/24)),"")</f>
        <v>0</v>
      </c>
      <c r="AL334" s="31" t="str">
        <f>IFERROR(Table110[[#This Row],[Operating Time]]/Table110[[#This Row],[PRODUCTION HOURS]],"")</f>
        <v/>
      </c>
      <c r="AM334" s="32"/>
      <c r="AN334" s="32"/>
      <c r="AO334" s="32"/>
      <c r="AP334" s="32">
        <v>1</v>
      </c>
      <c r="AQ334" s="32">
        <v>0</v>
      </c>
      <c r="AR334" s="32"/>
      <c r="AS334" s="32" t="str">
        <f>IFERROR(SUMIFS(#REF!,#REF!,'Shift Wise-Data Sheet'!A:A,#REF!,"Samridhi Perk Line")/SUMIFS(#REF!,#REF!,'Shift Wise-Data Sheet'!A:A,#REF!,"Samridhi Perk Line"),"")</f>
        <v/>
      </c>
      <c r="AT334" s="32"/>
      <c r="AU334" s="32"/>
      <c r="AV334" s="211">
        <f>IFERROR(VLOOKUP(Table110[[#This Row],[Date]],'Overweight Data'!A332:G1427,6,FALSE),"")</f>
        <v>0</v>
      </c>
      <c r="AW334" s="221">
        <f>IFERROR(
   IF(
      OR(Table110[[#This Row],[Operating Time]]=0, (Table110[[#This Row],[Operating Time]]/IF(AD334&lt;=1,AD334+1,AD334))*60=0),
      1,
      ((Table110[[#This Row],[Operating Time]])/IF(AD334&lt;=1,AD334+1,AD334))*60
   ),
"_")</f>
        <v>1</v>
      </c>
      <c r="AX334" s="221">
        <f>COUNTIFS('Downtime Data'!A:A,Table110[[#This Row],[Date]])</f>
        <v>0</v>
      </c>
      <c r="AY334" s="219" t="str">
        <f>IFERROR((SUM(Table110[[#This Row],[Minor Stoppages]:[Material Shortages]])/Table110[[#This Row],['# Stops]])*60,"")</f>
        <v/>
      </c>
      <c r="AZ334" s="219"/>
      <c r="BA334" s="33">
        <v>46352</v>
      </c>
    </row>
    <row r="335" spans="1:53" ht="20.149999999999999" customHeight="1" x14ac:dyDescent="0.35">
      <c r="A335" s="21">
        <v>46352</v>
      </c>
      <c r="B335" s="22" t="str">
        <f t="shared" si="6"/>
        <v>Thursday</v>
      </c>
      <c r="C335" s="22"/>
      <c r="D335" s="23"/>
      <c r="E335" s="24" t="str" cm="1">
        <f t="array" aca="1" ref="E335" ca="1">IFERROR(INDIRECT(D335),"")</f>
        <v/>
      </c>
      <c r="F335" s="25"/>
      <c r="G335" s="26"/>
      <c r="H335" s="27" t="str">
        <f ca="1">IFERROR((Table110[[#This Row],[Plan]]/Table110[[#This Row],[Hours Used]])/(Table110[[#This Row],[SOC (TPD)]]/24),"")</f>
        <v/>
      </c>
      <c r="I335" s="27" t="str">
        <f ca="1">IFERROR((Table110[[#This Row],[Volume Delivered (T)]]/Table110[[#This Row],[Hours Used]])/(Table110[[#This Row],[SOC (TPD)]]/24),"")</f>
        <v/>
      </c>
      <c r="J335" s="28"/>
      <c r="K335" s="28"/>
      <c r="L335" s="28"/>
      <c r="M335" s="25"/>
      <c r="N335" s="29"/>
      <c r="O335" s="84"/>
      <c r="P335" s="25"/>
      <c r="Q335" s="25"/>
      <c r="R335" s="70"/>
      <c r="S335" s="71"/>
      <c r="T335" s="30">
        <f>IF(Table110[[#This Row],[SKU]]="",0,24-Table110[[#This Row],[Legal Non-Operating Time]]-Table110[[#This Row],[No Demand Time]]-Table110[[#This Row],[Force Majeure]])</f>
        <v>0</v>
      </c>
      <c r="U335" s="26"/>
      <c r="V335" s="26"/>
      <c r="W335" s="26"/>
      <c r="X335" s="26"/>
      <c r="Y335" s="26"/>
      <c r="Z335" s="26"/>
      <c r="AA335" s="26"/>
      <c r="AB335" s="30">
        <f>Table110[[#This Row],[Hours Used]]-SUM(Table110[[#This Row],[Planned Maintenance]:[Start and Finish Production]])</f>
        <v>0</v>
      </c>
      <c r="AC335" s="26"/>
      <c r="AD335" s="26"/>
      <c r="AE335" s="26"/>
      <c r="AF335" s="26"/>
      <c r="AG335" s="26"/>
      <c r="AH335" s="26"/>
      <c r="AI335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335" s="24">
        <f>IFERROR(IF(Table110[[#This Row],[SKU]]="",0,Table110[[#This Row],[Quality Loss (T)]]/(Table110[[#This Row],[SOC (TPD)]]/24)),"")</f>
        <v>0</v>
      </c>
      <c r="AK335" s="31">
        <f>IFERROR(IF(Table110[[#This Row],[SKU]]="",0,Table110[[#This Row],[Volume Delivered (T)]]/(Table110[[#This Row],[SOC (TPD)]]/24)),"")</f>
        <v>0</v>
      </c>
      <c r="AL335" s="31" t="str">
        <f>IFERROR(Table110[[#This Row],[Operating Time]]/Table110[[#This Row],[PRODUCTION HOURS]],"")</f>
        <v/>
      </c>
      <c r="AM335" s="32"/>
      <c r="AN335" s="32"/>
      <c r="AO335" s="32"/>
      <c r="AP335" s="32">
        <v>1</v>
      </c>
      <c r="AQ335" s="32">
        <v>0</v>
      </c>
      <c r="AR335" s="32"/>
      <c r="AS335" s="32" t="str">
        <f>IFERROR(SUMIFS(#REF!,#REF!,'Shift Wise-Data Sheet'!A:A,#REF!,"Samridhi Perk Line")/SUMIFS(#REF!,#REF!,'Shift Wise-Data Sheet'!A:A,#REF!,"Samridhi Perk Line"),"")</f>
        <v/>
      </c>
      <c r="AT335" s="32"/>
      <c r="AU335" s="32"/>
      <c r="AV335" s="211">
        <f>IFERROR(VLOOKUP(Table110[[#This Row],[Date]],'Overweight Data'!A333:G1428,6,FALSE),"")</f>
        <v>0</v>
      </c>
      <c r="AW335" s="221">
        <f>IFERROR(
   IF(
      OR(Table110[[#This Row],[Operating Time]]=0, (Table110[[#This Row],[Operating Time]]/IF(AD335&lt;=1,AD335+1,AD335))*60=0),
      1,
      ((Table110[[#This Row],[Operating Time]])/IF(AD335&lt;=1,AD335+1,AD335))*60
   ),
"_")</f>
        <v>1</v>
      </c>
      <c r="AX335" s="221">
        <f>COUNTIFS('Downtime Data'!A:A,Table110[[#This Row],[Date]])</f>
        <v>0</v>
      </c>
      <c r="AY335" s="219" t="str">
        <f>IFERROR((SUM(Table110[[#This Row],[Minor Stoppages]:[Material Shortages]])/Table110[[#This Row],['# Stops]])*60,"")</f>
        <v/>
      </c>
      <c r="AZ335" s="219"/>
      <c r="BA335" s="33">
        <v>46352</v>
      </c>
    </row>
    <row r="336" spans="1:53" ht="20.149999999999999" customHeight="1" x14ac:dyDescent="0.35">
      <c r="A336" s="21">
        <v>46353</v>
      </c>
      <c r="B336" s="22" t="str">
        <f t="shared" si="6"/>
        <v>Friday</v>
      </c>
      <c r="C336" s="22"/>
      <c r="D336" s="23"/>
      <c r="E336" s="24" t="str" cm="1">
        <f t="array" aca="1" ref="E336" ca="1">IFERROR(INDIRECT(D336),"")</f>
        <v/>
      </c>
      <c r="F336" s="25"/>
      <c r="G336" s="26"/>
      <c r="H336" s="27" t="str">
        <f ca="1">IFERROR((Table110[[#This Row],[Plan]]/Table110[[#This Row],[Hours Used]])/(Table110[[#This Row],[SOC (TPD)]]/24),"")</f>
        <v/>
      </c>
      <c r="I336" s="27" t="str">
        <f ca="1">IFERROR((Table110[[#This Row],[Volume Delivered (T)]]/Table110[[#This Row],[Hours Used]])/(Table110[[#This Row],[SOC (TPD)]]/24),"")</f>
        <v/>
      </c>
      <c r="J336" s="28"/>
      <c r="K336" s="28"/>
      <c r="L336" s="28"/>
      <c r="M336" s="25"/>
      <c r="N336" s="29"/>
      <c r="O336" s="84"/>
      <c r="P336" s="25"/>
      <c r="Q336" s="25"/>
      <c r="R336" s="70"/>
      <c r="S336" s="71"/>
      <c r="T336" s="30">
        <f>IF(Table110[[#This Row],[SKU]]="",0,24-Table110[[#This Row],[Legal Non-Operating Time]]-Table110[[#This Row],[No Demand Time]]-Table110[[#This Row],[Force Majeure]])</f>
        <v>0</v>
      </c>
      <c r="U336" s="26"/>
      <c r="V336" s="26"/>
      <c r="W336" s="26"/>
      <c r="X336" s="26"/>
      <c r="Y336" s="26"/>
      <c r="Z336" s="26"/>
      <c r="AA336" s="26"/>
      <c r="AB336" s="30">
        <f>Table110[[#This Row],[Hours Used]]-SUM(Table110[[#This Row],[Planned Maintenance]:[Start and Finish Production]])</f>
        <v>0</v>
      </c>
      <c r="AC336" s="26"/>
      <c r="AD336" s="26"/>
      <c r="AE336" s="26"/>
      <c r="AF336" s="26"/>
      <c r="AG336" s="26"/>
      <c r="AH336" s="26"/>
      <c r="AI336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336" s="24">
        <f>IFERROR(IF(Table110[[#This Row],[SKU]]="",0,Table110[[#This Row],[Quality Loss (T)]]/(Table110[[#This Row],[SOC (TPD)]]/24)),"")</f>
        <v>0</v>
      </c>
      <c r="AK336" s="31">
        <f>IFERROR(IF(Table110[[#This Row],[SKU]]="",0,Table110[[#This Row],[Volume Delivered (T)]]/(Table110[[#This Row],[SOC (TPD)]]/24)),"")</f>
        <v>0</v>
      </c>
      <c r="AL336" s="31" t="str">
        <f>IFERROR(Table110[[#This Row],[Operating Time]]/Table110[[#This Row],[PRODUCTION HOURS]],"")</f>
        <v/>
      </c>
      <c r="AM336" s="32"/>
      <c r="AN336" s="32"/>
      <c r="AO336" s="32"/>
      <c r="AP336" s="32">
        <v>26</v>
      </c>
      <c r="AQ336" s="32">
        <v>0</v>
      </c>
      <c r="AR336" s="32"/>
      <c r="AS336" s="32" t="str">
        <f>IFERROR(SUMIFS(#REF!,#REF!,'Shift Wise-Data Sheet'!A:A,#REF!,"Samridhi Perk Line")/SUMIFS(#REF!,#REF!,'Shift Wise-Data Sheet'!A:A,#REF!,"Samridhi Perk Line"),"")</f>
        <v/>
      </c>
      <c r="AT336" s="32"/>
      <c r="AU336" s="32"/>
      <c r="AV336" s="211">
        <f>IFERROR(VLOOKUP(Table110[[#This Row],[Date]],'Overweight Data'!A334:G1429,6,FALSE),"")</f>
        <v>0</v>
      </c>
      <c r="AW336" s="221">
        <f>IFERROR(
   IF(
      OR(Table110[[#This Row],[Operating Time]]=0, (Table110[[#This Row],[Operating Time]]/IF(AD336&lt;=1,AD336+1,AD336))*60=0),
      1,
      ((Table110[[#This Row],[Operating Time]])/IF(AD336&lt;=1,AD336+1,AD336))*60
   ),
"_")</f>
        <v>1</v>
      </c>
      <c r="AX336" s="221">
        <f>COUNTIFS('Downtime Data'!A:A,Table110[[#This Row],[Date]])</f>
        <v>0</v>
      </c>
      <c r="AY336" s="219" t="str">
        <f>IFERROR((SUM(Table110[[#This Row],[Minor Stoppages]:[Material Shortages]])/Table110[[#This Row],['# Stops]])*60,"")</f>
        <v/>
      </c>
      <c r="AZ336" s="219"/>
      <c r="BA336" s="33">
        <v>46352</v>
      </c>
    </row>
    <row r="337" spans="1:53" ht="20.149999999999999" customHeight="1" x14ac:dyDescent="0.35">
      <c r="A337" s="21">
        <v>46354</v>
      </c>
      <c r="B337" s="22" t="str">
        <f t="shared" si="6"/>
        <v>Saturday</v>
      </c>
      <c r="C337" s="22"/>
      <c r="D337" s="23"/>
      <c r="E337" s="24" t="str" cm="1">
        <f t="array" aca="1" ref="E337" ca="1">IFERROR(INDIRECT(D337),"")</f>
        <v/>
      </c>
      <c r="F337" s="25"/>
      <c r="G337" s="26"/>
      <c r="H337" s="27" t="str">
        <f ca="1">IFERROR((Table110[[#This Row],[Plan]]/Table110[[#This Row],[Hours Used]])/(Table110[[#This Row],[SOC (TPD)]]/24),"")</f>
        <v/>
      </c>
      <c r="I337" s="27" t="str">
        <f ca="1">IFERROR((Table110[[#This Row],[Volume Delivered (T)]]/Table110[[#This Row],[Hours Used]])/(Table110[[#This Row],[SOC (TPD)]]/24),"")</f>
        <v/>
      </c>
      <c r="J337" s="28"/>
      <c r="K337" s="28"/>
      <c r="L337" s="28"/>
      <c r="M337" s="25"/>
      <c r="N337" s="29"/>
      <c r="O337" s="84"/>
      <c r="P337" s="25"/>
      <c r="Q337" s="25"/>
      <c r="R337" s="70"/>
      <c r="S337" s="71"/>
      <c r="T337" s="30">
        <f>IF(Table110[[#This Row],[SKU]]="",0,24-Table110[[#This Row],[Legal Non-Operating Time]]-Table110[[#This Row],[No Demand Time]]-Table110[[#This Row],[Force Majeure]])</f>
        <v>0</v>
      </c>
      <c r="U337" s="26"/>
      <c r="V337" s="26"/>
      <c r="W337" s="26"/>
      <c r="X337" s="26"/>
      <c r="Y337" s="26"/>
      <c r="Z337" s="26"/>
      <c r="AA337" s="26"/>
      <c r="AB337" s="30">
        <f>Table110[[#This Row],[Hours Used]]-SUM(Table110[[#This Row],[Planned Maintenance]:[Start and Finish Production]])</f>
        <v>0</v>
      </c>
      <c r="AC337" s="26"/>
      <c r="AD337" s="26"/>
      <c r="AE337" s="26"/>
      <c r="AF337" s="26"/>
      <c r="AG337" s="26"/>
      <c r="AH337" s="26"/>
      <c r="AI337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337" s="24">
        <f>IFERROR(IF(Table110[[#This Row],[SKU]]="",0,Table110[[#This Row],[Quality Loss (T)]]/(Table110[[#This Row],[SOC (TPD)]]/24)),"")</f>
        <v>0</v>
      </c>
      <c r="AK337" s="31">
        <f>IFERROR(IF(Table110[[#This Row],[SKU]]="",0,Table110[[#This Row],[Volume Delivered (T)]]/(Table110[[#This Row],[SOC (TPD)]]/24)),"")</f>
        <v>0</v>
      </c>
      <c r="AL337" s="31" t="str">
        <f>IFERROR(Table110[[#This Row],[Operating Time]]/Table110[[#This Row],[PRODUCTION HOURS]],"")</f>
        <v/>
      </c>
      <c r="AM337" s="32"/>
      <c r="AN337" s="32"/>
      <c r="AO337" s="32"/>
      <c r="AP337" s="32">
        <v>25</v>
      </c>
      <c r="AQ337" s="32">
        <v>0</v>
      </c>
      <c r="AR337" s="32"/>
      <c r="AS337" s="32" t="str">
        <f>IFERROR(SUMIFS(#REF!,#REF!,'Shift Wise-Data Sheet'!A:A,#REF!,"Samridhi Perk Line")/SUMIFS(#REF!,#REF!,'Shift Wise-Data Sheet'!A:A,#REF!,"Samridhi Perk Line"),"")</f>
        <v/>
      </c>
      <c r="AT337" s="32"/>
      <c r="AU337" s="32"/>
      <c r="AV337" s="211">
        <f>IFERROR(VLOOKUP(Table110[[#This Row],[Date]],'Overweight Data'!A335:G1430,6,FALSE),"")</f>
        <v>0</v>
      </c>
      <c r="AW337" s="221">
        <f>IFERROR(
   IF(
      OR(Table110[[#This Row],[Operating Time]]=0, (Table110[[#This Row],[Operating Time]]/IF(AD337&lt;=1,AD337+1,AD337))*60=0),
      1,
      ((Table110[[#This Row],[Operating Time]])/IF(AD337&lt;=1,AD337+1,AD337))*60
   ),
"_")</f>
        <v>1</v>
      </c>
      <c r="AX337" s="221">
        <f>COUNTIFS('Downtime Data'!A:A,Table110[[#This Row],[Date]])</f>
        <v>0</v>
      </c>
      <c r="AY337" s="219" t="str">
        <f>IFERROR((SUM(Table110[[#This Row],[Minor Stoppages]:[Material Shortages]])/Table110[[#This Row],['# Stops]])*60,"")</f>
        <v/>
      </c>
      <c r="AZ337" s="219"/>
      <c r="BA337" s="33">
        <v>46352</v>
      </c>
    </row>
    <row r="338" spans="1:53" ht="20.149999999999999" customHeight="1" x14ac:dyDescent="0.35">
      <c r="A338" s="21">
        <v>46355</v>
      </c>
      <c r="B338" s="22" t="str">
        <f t="shared" si="6"/>
        <v>Sunday</v>
      </c>
      <c r="C338" s="22"/>
      <c r="D338" s="23"/>
      <c r="E338" s="24" t="str" cm="1">
        <f t="array" aca="1" ref="E338" ca="1">IFERROR(INDIRECT(D338),"")</f>
        <v/>
      </c>
      <c r="F338" s="25"/>
      <c r="G338" s="26"/>
      <c r="H338" s="27" t="str">
        <f ca="1">IFERROR((Table110[[#This Row],[Plan]]/Table110[[#This Row],[Hours Used]])/(Table110[[#This Row],[SOC (TPD)]]/24),"")</f>
        <v/>
      </c>
      <c r="I338" s="27" t="str">
        <f ca="1">IFERROR((Table110[[#This Row],[Volume Delivered (T)]]/Table110[[#This Row],[Hours Used]])/(Table110[[#This Row],[SOC (TPD)]]/24),"")</f>
        <v/>
      </c>
      <c r="J338" s="28"/>
      <c r="K338" s="28"/>
      <c r="L338" s="28"/>
      <c r="M338" s="25"/>
      <c r="N338" s="29"/>
      <c r="O338" s="84"/>
      <c r="P338" s="25"/>
      <c r="Q338" s="25"/>
      <c r="R338" s="70"/>
      <c r="S338" s="71"/>
      <c r="T338" s="30">
        <f>IF(Table110[[#This Row],[SKU]]="",0,24-Table110[[#This Row],[Legal Non-Operating Time]]-Table110[[#This Row],[No Demand Time]]-Table110[[#This Row],[Force Majeure]])</f>
        <v>0</v>
      </c>
      <c r="U338" s="26"/>
      <c r="V338" s="26"/>
      <c r="W338" s="26"/>
      <c r="X338" s="26"/>
      <c r="Y338" s="26"/>
      <c r="Z338" s="26"/>
      <c r="AA338" s="26"/>
      <c r="AB338" s="30">
        <f>Table110[[#This Row],[Hours Used]]-SUM(Table110[[#This Row],[Planned Maintenance]:[Start and Finish Production]])</f>
        <v>0</v>
      </c>
      <c r="AC338" s="26"/>
      <c r="AD338" s="26"/>
      <c r="AE338" s="26"/>
      <c r="AF338" s="26"/>
      <c r="AG338" s="26"/>
      <c r="AH338" s="26"/>
      <c r="AI338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338" s="24">
        <f>IFERROR(IF(Table110[[#This Row],[SKU]]="",0,Table110[[#This Row],[Quality Loss (T)]]/(Table110[[#This Row],[SOC (TPD)]]/24)),"")</f>
        <v>0</v>
      </c>
      <c r="AK338" s="31">
        <f>IFERROR(IF(Table110[[#This Row],[SKU]]="",0,Table110[[#This Row],[Volume Delivered (T)]]/(Table110[[#This Row],[SOC (TPD)]]/24)),"")</f>
        <v>0</v>
      </c>
      <c r="AL338" s="31" t="str">
        <f>IFERROR(Table110[[#This Row],[Operating Time]]/Table110[[#This Row],[PRODUCTION HOURS]],"")</f>
        <v/>
      </c>
      <c r="AM338" s="32"/>
      <c r="AN338" s="32"/>
      <c r="AO338" s="32"/>
      <c r="AP338" s="32">
        <v>2</v>
      </c>
      <c r="AQ338" s="32">
        <v>0</v>
      </c>
      <c r="AR338" s="32"/>
      <c r="AS338" s="32" t="str">
        <f>IFERROR(SUMIFS(#REF!,#REF!,'Shift Wise-Data Sheet'!A:A,#REF!,"Samridhi Perk Line")/SUMIFS(#REF!,#REF!,'Shift Wise-Data Sheet'!A:A,#REF!,"Samridhi Perk Line"),"")</f>
        <v/>
      </c>
      <c r="AT338" s="32"/>
      <c r="AU338" s="32"/>
      <c r="AV338" s="211">
        <f>IFERROR(VLOOKUP(Table110[[#This Row],[Date]],'Overweight Data'!A336:G1431,6,FALSE),"")</f>
        <v>0</v>
      </c>
      <c r="AW338" s="221">
        <f>IFERROR(
   IF(
      OR(Table110[[#This Row],[Operating Time]]=0, (Table110[[#This Row],[Operating Time]]/IF(AD338&lt;=1,AD338+1,AD338))*60=0),
      1,
      ((Table110[[#This Row],[Operating Time]])/IF(AD338&lt;=1,AD338+1,AD338))*60
   ),
"_")</f>
        <v>1</v>
      </c>
      <c r="AX338" s="221">
        <f>COUNTIFS('Downtime Data'!A:A,Table110[[#This Row],[Date]])</f>
        <v>0</v>
      </c>
      <c r="AY338" s="219" t="str">
        <f>IFERROR((SUM(Table110[[#This Row],[Minor Stoppages]:[Material Shortages]])/Table110[[#This Row],['# Stops]])*60,"")</f>
        <v/>
      </c>
      <c r="AZ338" s="219"/>
      <c r="BA338" s="33">
        <v>46352</v>
      </c>
    </row>
    <row r="339" spans="1:53" ht="20.149999999999999" customHeight="1" x14ac:dyDescent="0.35">
      <c r="A339" s="21">
        <v>46356</v>
      </c>
      <c r="B339" s="22" t="str">
        <f t="shared" si="6"/>
        <v>Monday</v>
      </c>
      <c r="C339" s="22"/>
      <c r="D339" s="23"/>
      <c r="E339" s="24" t="str" cm="1">
        <f t="array" aca="1" ref="E339" ca="1">IFERROR(INDIRECT(D339),"")</f>
        <v/>
      </c>
      <c r="F339" s="25"/>
      <c r="G339" s="26"/>
      <c r="H339" s="27" t="str">
        <f ca="1">IFERROR((Table110[[#This Row],[Plan]]/Table110[[#This Row],[Hours Used]])/(Table110[[#This Row],[SOC (TPD)]]/24),"")</f>
        <v/>
      </c>
      <c r="I339" s="27" t="str">
        <f ca="1">IFERROR((Table110[[#This Row],[Volume Delivered (T)]]/Table110[[#This Row],[Hours Used]])/(Table110[[#This Row],[SOC (TPD)]]/24),"")</f>
        <v/>
      </c>
      <c r="J339" s="28"/>
      <c r="K339" s="28"/>
      <c r="L339" s="28"/>
      <c r="M339" s="25"/>
      <c r="N339" s="29"/>
      <c r="O339" s="84"/>
      <c r="P339" s="25"/>
      <c r="Q339" s="25"/>
      <c r="R339" s="70"/>
      <c r="S339" s="71"/>
      <c r="T339" s="30">
        <f>IF(Table110[[#This Row],[SKU]]="",0,24-Table110[[#This Row],[Legal Non-Operating Time]]-Table110[[#This Row],[No Demand Time]]-Table110[[#This Row],[Force Majeure]])</f>
        <v>0</v>
      </c>
      <c r="U339" s="26"/>
      <c r="V339" s="26"/>
      <c r="W339" s="26"/>
      <c r="X339" s="26"/>
      <c r="Y339" s="26"/>
      <c r="Z339" s="26"/>
      <c r="AA339" s="26"/>
      <c r="AB339" s="30">
        <f>Table110[[#This Row],[Hours Used]]-SUM(Table110[[#This Row],[Planned Maintenance]:[Start and Finish Production]])</f>
        <v>0</v>
      </c>
      <c r="AC339" s="26"/>
      <c r="AD339" s="26"/>
      <c r="AE339" s="26"/>
      <c r="AF339" s="26"/>
      <c r="AG339" s="26"/>
      <c r="AH339" s="26"/>
      <c r="AI339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339" s="24">
        <f>IFERROR(IF(Table110[[#This Row],[SKU]]="",0,Table110[[#This Row],[Quality Loss (T)]]/(Table110[[#This Row],[SOC (TPD)]]/24)),"")</f>
        <v>0</v>
      </c>
      <c r="AK339" s="31">
        <f>IFERROR(IF(Table110[[#This Row],[SKU]]="",0,Table110[[#This Row],[Volume Delivered (T)]]/(Table110[[#This Row],[SOC (TPD)]]/24)),"")</f>
        <v>0</v>
      </c>
      <c r="AL339" s="31" t="str">
        <f>IFERROR(Table110[[#This Row],[Operating Time]]/Table110[[#This Row],[PRODUCTION HOURS]],"")</f>
        <v/>
      </c>
      <c r="AM339" s="32"/>
      <c r="AN339" s="32"/>
      <c r="AO339" s="32"/>
      <c r="AP339" s="32">
        <v>4</v>
      </c>
      <c r="AQ339" s="32">
        <v>0</v>
      </c>
      <c r="AR339" s="32"/>
      <c r="AS339" s="32" t="str">
        <f>IFERROR(SUMIFS(#REF!,#REF!,'Shift Wise-Data Sheet'!A:A,#REF!,"Samridhi Perk Line")/SUMIFS(#REF!,#REF!,'Shift Wise-Data Sheet'!A:A,#REF!,"Samridhi Perk Line"),"")</f>
        <v/>
      </c>
      <c r="AT339" s="32"/>
      <c r="AU339" s="32"/>
      <c r="AV339" s="211">
        <f>IFERROR(VLOOKUP(Table110[[#This Row],[Date]],'Overweight Data'!A337:G1432,6,FALSE),"")</f>
        <v>0</v>
      </c>
      <c r="AW339" s="221">
        <f>IFERROR(
   IF(
      OR(Table110[[#This Row],[Operating Time]]=0, (Table110[[#This Row],[Operating Time]]/IF(AD339&lt;=1,AD339+1,AD339))*60=0),
      1,
      ((Table110[[#This Row],[Operating Time]])/IF(AD339&lt;=1,AD339+1,AD339))*60
   ),
"_")</f>
        <v>1</v>
      </c>
      <c r="AX339" s="221">
        <f>COUNTIFS('Downtime Data'!A:A,Table110[[#This Row],[Date]])</f>
        <v>0</v>
      </c>
      <c r="AY339" s="219" t="str">
        <f>IFERROR((SUM(Table110[[#This Row],[Minor Stoppages]:[Material Shortages]])/Table110[[#This Row],['# Stops]])*60,"")</f>
        <v/>
      </c>
      <c r="AZ339" s="219"/>
      <c r="BA339" s="33">
        <v>46382</v>
      </c>
    </row>
    <row r="340" spans="1:53" ht="20.149999999999999" customHeight="1" x14ac:dyDescent="0.35">
      <c r="A340" s="21">
        <v>46357</v>
      </c>
      <c r="B340" s="22" t="str">
        <f t="shared" si="6"/>
        <v>Tuesday</v>
      </c>
      <c r="C340" s="22"/>
      <c r="D340" s="23"/>
      <c r="E340" s="24" t="str" cm="1">
        <f t="array" aca="1" ref="E340" ca="1">IFERROR(INDIRECT(D340),"")</f>
        <v/>
      </c>
      <c r="F340" s="25"/>
      <c r="G340" s="26"/>
      <c r="H340" s="27" t="str">
        <f ca="1">IFERROR((Table110[[#This Row],[Plan]]/Table110[[#This Row],[Hours Used]])/(Table110[[#This Row],[SOC (TPD)]]/24),"")</f>
        <v/>
      </c>
      <c r="I340" s="27" t="str">
        <f ca="1">IFERROR((Table110[[#This Row],[Volume Delivered (T)]]/Table110[[#This Row],[Hours Used]])/(Table110[[#This Row],[SOC (TPD)]]/24),"")</f>
        <v/>
      </c>
      <c r="J340" s="28"/>
      <c r="K340" s="28"/>
      <c r="L340" s="28"/>
      <c r="M340" s="25"/>
      <c r="N340" s="29"/>
      <c r="O340" s="84"/>
      <c r="P340" s="25"/>
      <c r="Q340" s="25"/>
      <c r="R340" s="70"/>
      <c r="S340" s="71"/>
      <c r="T340" s="30">
        <f>IF(Table110[[#This Row],[SKU]]="",0,24-Table110[[#This Row],[Legal Non-Operating Time]]-Table110[[#This Row],[No Demand Time]]-Table110[[#This Row],[Force Majeure]])</f>
        <v>0</v>
      </c>
      <c r="U340" s="26"/>
      <c r="V340" s="26"/>
      <c r="W340" s="26"/>
      <c r="X340" s="26"/>
      <c r="Y340" s="26"/>
      <c r="Z340" s="26"/>
      <c r="AA340" s="26"/>
      <c r="AB340" s="30">
        <f>Table110[[#This Row],[Hours Used]]-SUM(Table110[[#This Row],[Planned Maintenance]:[Start and Finish Production]])</f>
        <v>0</v>
      </c>
      <c r="AC340" s="26"/>
      <c r="AD340" s="26"/>
      <c r="AE340" s="26"/>
      <c r="AF340" s="26"/>
      <c r="AG340" s="26"/>
      <c r="AH340" s="26"/>
      <c r="AI340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340" s="24">
        <f>IFERROR(IF(Table110[[#This Row],[SKU]]="",0,Table110[[#This Row],[Quality Loss (T)]]/(Table110[[#This Row],[SOC (TPD)]]/24)),"")</f>
        <v>0</v>
      </c>
      <c r="AK340" s="31">
        <f>IFERROR(IF(Table110[[#This Row],[SKU]]="",0,Table110[[#This Row],[Volume Delivered (T)]]/(Table110[[#This Row],[SOC (TPD)]]/24)),"")</f>
        <v>0</v>
      </c>
      <c r="AL340" s="31" t="str">
        <f>IFERROR(Table110[[#This Row],[Operating Time]]/Table110[[#This Row],[PRODUCTION HOURS]],"")</f>
        <v/>
      </c>
      <c r="AM340" s="32"/>
      <c r="AN340" s="32"/>
      <c r="AO340" s="32"/>
      <c r="AP340" s="32">
        <v>0</v>
      </c>
      <c r="AQ340" s="32">
        <v>0</v>
      </c>
      <c r="AR340" s="32"/>
      <c r="AS340" s="32" t="str">
        <f>IFERROR(SUMIFS(#REF!,#REF!,'Shift Wise-Data Sheet'!A:A,#REF!,"Samridhi Perk Line")/SUMIFS(#REF!,#REF!,'Shift Wise-Data Sheet'!A:A,#REF!,"Samridhi Perk Line"),"")</f>
        <v/>
      </c>
      <c r="AT340" s="32"/>
      <c r="AU340" s="32"/>
      <c r="AV340" s="211">
        <f>IFERROR(VLOOKUP(Table110[[#This Row],[Date]],'Overweight Data'!A338:G1433,6,FALSE),"")</f>
        <v>0</v>
      </c>
      <c r="AW340" s="221">
        <f>IFERROR(
   IF(
      OR(Table110[[#This Row],[Operating Time]]=0, (Table110[[#This Row],[Operating Time]]/IF(AD340&lt;=1,AD340+1,AD340))*60=0),
      1,
      ((Table110[[#This Row],[Operating Time]])/IF(AD340&lt;=1,AD340+1,AD340))*60
   ),
"_")</f>
        <v>1</v>
      </c>
      <c r="AX340" s="221">
        <f>COUNTIFS('Downtime Data'!A:A,Table110[[#This Row],[Date]])</f>
        <v>0</v>
      </c>
      <c r="AY340" s="219" t="str">
        <f>IFERROR((SUM(Table110[[#This Row],[Minor Stoppages]:[Material Shortages]])/Table110[[#This Row],['# Stops]])*60,"")</f>
        <v/>
      </c>
      <c r="AZ340" s="219"/>
      <c r="BA340" s="33">
        <v>46382</v>
      </c>
    </row>
    <row r="341" spans="1:53" ht="20.149999999999999" customHeight="1" x14ac:dyDescent="0.35">
      <c r="A341" s="21">
        <v>46358</v>
      </c>
      <c r="B341" s="22" t="str">
        <f t="shared" si="6"/>
        <v>Wednesday</v>
      </c>
      <c r="C341" s="22"/>
      <c r="D341" s="23"/>
      <c r="E341" s="24" t="str" cm="1">
        <f t="array" aca="1" ref="E341" ca="1">IFERROR(INDIRECT(D341),"")</f>
        <v/>
      </c>
      <c r="F341" s="25"/>
      <c r="G341" s="26"/>
      <c r="H341" s="27" t="str">
        <f ca="1">IFERROR((Table110[[#This Row],[Plan]]/Table110[[#This Row],[Hours Used]])/(Table110[[#This Row],[SOC (TPD)]]/24),"")</f>
        <v/>
      </c>
      <c r="I341" s="27" t="str">
        <f ca="1">IFERROR((Table110[[#This Row],[Volume Delivered (T)]]/Table110[[#This Row],[Hours Used]])/(Table110[[#This Row],[SOC (TPD)]]/24),"")</f>
        <v/>
      </c>
      <c r="J341" s="28"/>
      <c r="K341" s="28"/>
      <c r="L341" s="28"/>
      <c r="M341" s="25"/>
      <c r="N341" s="29"/>
      <c r="O341" s="84"/>
      <c r="P341" s="25"/>
      <c r="Q341" s="25"/>
      <c r="R341" s="70"/>
      <c r="S341" s="71"/>
      <c r="T341" s="30">
        <f>IF(Table110[[#This Row],[SKU]]="",0,24-Table110[[#This Row],[Legal Non-Operating Time]]-Table110[[#This Row],[No Demand Time]]-Table110[[#This Row],[Force Majeure]])</f>
        <v>0</v>
      </c>
      <c r="U341" s="26"/>
      <c r="V341" s="26"/>
      <c r="W341" s="26"/>
      <c r="X341" s="26"/>
      <c r="Y341" s="26"/>
      <c r="Z341" s="26"/>
      <c r="AA341" s="26"/>
      <c r="AB341" s="30">
        <f>Table110[[#This Row],[Hours Used]]-SUM(Table110[[#This Row],[Planned Maintenance]:[Start and Finish Production]])</f>
        <v>0</v>
      </c>
      <c r="AC341" s="26"/>
      <c r="AD341" s="26"/>
      <c r="AE341" s="26"/>
      <c r="AF341" s="26"/>
      <c r="AG341" s="26"/>
      <c r="AH341" s="26"/>
      <c r="AI341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341" s="24">
        <f>IFERROR(IF(Table110[[#This Row],[SKU]]="",0,Table110[[#This Row],[Quality Loss (T)]]/(Table110[[#This Row],[SOC (TPD)]]/24)),"")</f>
        <v>0</v>
      </c>
      <c r="AK341" s="31">
        <f>IFERROR(IF(Table110[[#This Row],[SKU]]="",0,Table110[[#This Row],[Volume Delivered (T)]]/(Table110[[#This Row],[SOC (TPD)]]/24)),"")</f>
        <v>0</v>
      </c>
      <c r="AL341" s="31" t="str">
        <f>IFERROR(Table110[[#This Row],[Operating Time]]/Table110[[#This Row],[PRODUCTION HOURS]],"")</f>
        <v/>
      </c>
      <c r="AM341" s="32"/>
      <c r="AN341" s="32"/>
      <c r="AO341" s="32"/>
      <c r="AP341" s="32">
        <v>0</v>
      </c>
      <c r="AQ341" s="32">
        <v>0</v>
      </c>
      <c r="AR341" s="32"/>
      <c r="AS341" s="32" t="str">
        <f>IFERROR(SUMIFS(#REF!,#REF!,'Shift Wise-Data Sheet'!A:A,#REF!,"Samridhi Perk Line")/SUMIFS(#REF!,#REF!,'Shift Wise-Data Sheet'!A:A,#REF!,"Samridhi Perk Line"),"")</f>
        <v/>
      </c>
      <c r="AT341" s="32"/>
      <c r="AU341" s="32"/>
      <c r="AV341" s="211">
        <f>IFERROR(VLOOKUP(Table110[[#This Row],[Date]],'Overweight Data'!A339:G1434,6,FALSE),"")</f>
        <v>0</v>
      </c>
      <c r="AW341" s="221">
        <f>IFERROR(
   IF(
      OR(Table110[[#This Row],[Operating Time]]=0, (Table110[[#This Row],[Operating Time]]/IF(AD341&lt;=1,AD341+1,AD341))*60=0),
      1,
      ((Table110[[#This Row],[Operating Time]])/IF(AD341&lt;=1,AD341+1,AD341))*60
   ),
"_")</f>
        <v>1</v>
      </c>
      <c r="AX341" s="221">
        <f>COUNTIFS('Downtime Data'!A:A,Table110[[#This Row],[Date]])</f>
        <v>0</v>
      </c>
      <c r="AY341" s="219" t="str">
        <f>IFERROR((SUM(Table110[[#This Row],[Minor Stoppages]:[Material Shortages]])/Table110[[#This Row],['# Stops]])*60,"")</f>
        <v/>
      </c>
      <c r="AZ341" s="219"/>
      <c r="BA341" s="33">
        <v>46382</v>
      </c>
    </row>
    <row r="342" spans="1:53" ht="20.149999999999999" customHeight="1" x14ac:dyDescent="0.35">
      <c r="A342" s="21">
        <v>46359</v>
      </c>
      <c r="B342" s="22" t="str">
        <f t="shared" si="6"/>
        <v>Thursday</v>
      </c>
      <c r="C342" s="22"/>
      <c r="D342" s="23"/>
      <c r="E342" s="24" t="str" cm="1">
        <f t="array" aca="1" ref="E342" ca="1">IFERROR(INDIRECT(D342),"")</f>
        <v/>
      </c>
      <c r="F342" s="25"/>
      <c r="G342" s="26"/>
      <c r="H342" s="27" t="str">
        <f ca="1">IFERROR((Table110[[#This Row],[Plan]]/Table110[[#This Row],[Hours Used]])/(Table110[[#This Row],[SOC (TPD)]]/24),"")</f>
        <v/>
      </c>
      <c r="I342" s="27" t="str">
        <f ca="1">IFERROR((Table110[[#This Row],[Volume Delivered (T)]]/Table110[[#This Row],[Hours Used]])/(Table110[[#This Row],[SOC (TPD)]]/24),"")</f>
        <v/>
      </c>
      <c r="J342" s="28"/>
      <c r="K342" s="28"/>
      <c r="L342" s="28"/>
      <c r="M342" s="25"/>
      <c r="N342" s="29"/>
      <c r="O342" s="84"/>
      <c r="P342" s="25"/>
      <c r="Q342" s="25"/>
      <c r="R342" s="70"/>
      <c r="S342" s="71"/>
      <c r="T342" s="30">
        <f>IF(Table110[[#This Row],[SKU]]="",0,24-Table110[[#This Row],[Legal Non-Operating Time]]-Table110[[#This Row],[No Demand Time]]-Table110[[#This Row],[Force Majeure]])</f>
        <v>0</v>
      </c>
      <c r="U342" s="26"/>
      <c r="V342" s="26"/>
      <c r="W342" s="26"/>
      <c r="X342" s="26"/>
      <c r="Y342" s="26"/>
      <c r="Z342" s="26"/>
      <c r="AA342" s="26"/>
      <c r="AB342" s="30">
        <f>Table110[[#This Row],[Hours Used]]-SUM(Table110[[#This Row],[Planned Maintenance]:[Start and Finish Production]])</f>
        <v>0</v>
      </c>
      <c r="AC342" s="26"/>
      <c r="AD342" s="26"/>
      <c r="AE342" s="26"/>
      <c r="AF342" s="26"/>
      <c r="AG342" s="26"/>
      <c r="AH342" s="26"/>
      <c r="AI342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342" s="24">
        <f>IFERROR(IF(Table110[[#This Row],[SKU]]="",0,Table110[[#This Row],[Quality Loss (T)]]/(Table110[[#This Row],[SOC (TPD)]]/24)),"")</f>
        <v>0</v>
      </c>
      <c r="AK342" s="31">
        <f>IFERROR(IF(Table110[[#This Row],[SKU]]="",0,Table110[[#This Row],[Volume Delivered (T)]]/(Table110[[#This Row],[SOC (TPD)]]/24)),"")</f>
        <v>0</v>
      </c>
      <c r="AL342" s="31" t="str">
        <f>IFERROR(Table110[[#This Row],[Operating Time]]/Table110[[#This Row],[PRODUCTION HOURS]],"")</f>
        <v/>
      </c>
      <c r="AM342" s="32"/>
      <c r="AN342" s="32"/>
      <c r="AO342" s="32"/>
      <c r="AP342" s="32">
        <v>0</v>
      </c>
      <c r="AQ342" s="32">
        <v>0</v>
      </c>
      <c r="AR342" s="32"/>
      <c r="AS342" s="32" t="str">
        <f>IFERROR(SUMIFS(#REF!,#REF!,'Shift Wise-Data Sheet'!A:A,#REF!,"Samridhi Perk Line")/SUMIFS(#REF!,#REF!,'Shift Wise-Data Sheet'!A:A,#REF!,"Samridhi Perk Line"),"")</f>
        <v/>
      </c>
      <c r="AT342" s="32"/>
      <c r="AU342" s="32"/>
      <c r="AV342" s="211">
        <f>IFERROR(VLOOKUP(Table110[[#This Row],[Date]],'Overweight Data'!A340:G1435,6,FALSE),"")</f>
        <v>0</v>
      </c>
      <c r="AW342" s="221">
        <f>IFERROR(
   IF(
      OR(Table110[[#This Row],[Operating Time]]=0, (Table110[[#This Row],[Operating Time]]/IF(AD342&lt;=1,AD342+1,AD342))*60=0),
      1,
      ((Table110[[#This Row],[Operating Time]])/IF(AD342&lt;=1,AD342+1,AD342))*60
   ),
"_")</f>
        <v>1</v>
      </c>
      <c r="AX342" s="221">
        <f>COUNTIFS('Downtime Data'!A:A,Table110[[#This Row],[Date]])</f>
        <v>0</v>
      </c>
      <c r="AY342" s="219" t="str">
        <f>IFERROR((SUM(Table110[[#This Row],[Minor Stoppages]:[Material Shortages]])/Table110[[#This Row],['# Stops]])*60,"")</f>
        <v/>
      </c>
      <c r="AZ342" s="219"/>
      <c r="BA342" s="33">
        <v>46382</v>
      </c>
    </row>
    <row r="343" spans="1:53" ht="20.149999999999999" customHeight="1" x14ac:dyDescent="0.35">
      <c r="A343" s="21">
        <v>46360</v>
      </c>
      <c r="B343" s="22" t="str">
        <f t="shared" si="6"/>
        <v>Friday</v>
      </c>
      <c r="C343" s="22"/>
      <c r="D343" s="23"/>
      <c r="E343" s="24" t="str" cm="1">
        <f t="array" aca="1" ref="E343" ca="1">IFERROR(INDIRECT(D343),"")</f>
        <v/>
      </c>
      <c r="F343" s="25"/>
      <c r="G343" s="26"/>
      <c r="H343" s="27" t="str">
        <f ca="1">IFERROR((Table110[[#This Row],[Plan]]/Table110[[#This Row],[Hours Used]])/(Table110[[#This Row],[SOC (TPD)]]/24),"")</f>
        <v/>
      </c>
      <c r="I343" s="27" t="str">
        <f ca="1">IFERROR((Table110[[#This Row],[Volume Delivered (T)]]/Table110[[#This Row],[Hours Used]])/(Table110[[#This Row],[SOC (TPD)]]/24),"")</f>
        <v/>
      </c>
      <c r="J343" s="28"/>
      <c r="K343" s="28"/>
      <c r="L343" s="28"/>
      <c r="M343" s="25"/>
      <c r="N343" s="29"/>
      <c r="O343" s="84"/>
      <c r="P343" s="25"/>
      <c r="Q343" s="25"/>
      <c r="R343" s="70"/>
      <c r="S343" s="71"/>
      <c r="T343" s="30">
        <f>IF(Table110[[#This Row],[SKU]]="",0,24-Table110[[#This Row],[Legal Non-Operating Time]]-Table110[[#This Row],[No Demand Time]]-Table110[[#This Row],[Force Majeure]])</f>
        <v>0</v>
      </c>
      <c r="U343" s="26"/>
      <c r="V343" s="26"/>
      <c r="W343" s="26"/>
      <c r="X343" s="26"/>
      <c r="Y343" s="26"/>
      <c r="Z343" s="26"/>
      <c r="AA343" s="26"/>
      <c r="AB343" s="30">
        <f>Table110[[#This Row],[Hours Used]]-SUM(Table110[[#This Row],[Planned Maintenance]:[Start and Finish Production]])</f>
        <v>0</v>
      </c>
      <c r="AC343" s="26"/>
      <c r="AD343" s="26"/>
      <c r="AE343" s="26"/>
      <c r="AF343" s="26"/>
      <c r="AG343" s="26"/>
      <c r="AH343" s="26"/>
      <c r="AI343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343" s="24">
        <f>IFERROR(IF(Table110[[#This Row],[SKU]]="",0,Table110[[#This Row],[Quality Loss (T)]]/(Table110[[#This Row],[SOC (TPD)]]/24)),"")</f>
        <v>0</v>
      </c>
      <c r="AK343" s="31">
        <f>IFERROR(IF(Table110[[#This Row],[SKU]]="",0,Table110[[#This Row],[Volume Delivered (T)]]/(Table110[[#This Row],[SOC (TPD)]]/24)),"")</f>
        <v>0</v>
      </c>
      <c r="AL343" s="31" t="str">
        <f>IFERROR(Table110[[#This Row],[Operating Time]]/Table110[[#This Row],[PRODUCTION HOURS]],"")</f>
        <v/>
      </c>
      <c r="AM343" s="32"/>
      <c r="AN343" s="32"/>
      <c r="AO343" s="32"/>
      <c r="AP343" s="32">
        <v>1</v>
      </c>
      <c r="AQ343" s="32">
        <v>0</v>
      </c>
      <c r="AR343" s="32"/>
      <c r="AS343" s="32" t="str">
        <f>IFERROR(SUMIFS(#REF!,#REF!,'Shift Wise-Data Sheet'!A:A,#REF!,"Samridhi Perk Line")/SUMIFS(#REF!,#REF!,'Shift Wise-Data Sheet'!A:A,#REF!,"Samridhi Perk Line"),"")</f>
        <v/>
      </c>
      <c r="AT343" s="32"/>
      <c r="AU343" s="32"/>
      <c r="AV343" s="211">
        <f>IFERROR(VLOOKUP(Table110[[#This Row],[Date]],'Overweight Data'!A341:G1436,6,FALSE),"")</f>
        <v>0</v>
      </c>
      <c r="AW343" s="221">
        <f>IFERROR(
   IF(
      OR(Table110[[#This Row],[Operating Time]]=0, (Table110[[#This Row],[Operating Time]]/IF(AD343&lt;=1,AD343+1,AD343))*60=0),
      1,
      ((Table110[[#This Row],[Operating Time]])/IF(AD343&lt;=1,AD343+1,AD343))*60
   ),
"_")</f>
        <v>1</v>
      </c>
      <c r="AX343" s="221">
        <f>COUNTIFS('Downtime Data'!A:A,Table110[[#This Row],[Date]])</f>
        <v>0</v>
      </c>
      <c r="AY343" s="219" t="str">
        <f>IFERROR((SUM(Table110[[#This Row],[Minor Stoppages]:[Material Shortages]])/Table110[[#This Row],['# Stops]])*60,"")</f>
        <v/>
      </c>
      <c r="AZ343" s="219"/>
      <c r="BA343" s="33">
        <v>46382</v>
      </c>
    </row>
    <row r="344" spans="1:53" ht="20.149999999999999" customHeight="1" x14ac:dyDescent="0.35">
      <c r="A344" s="21">
        <v>46361</v>
      </c>
      <c r="B344" s="22" t="str">
        <f t="shared" si="6"/>
        <v>Saturday</v>
      </c>
      <c r="C344" s="22"/>
      <c r="D344" s="23"/>
      <c r="E344" s="24" t="str" cm="1">
        <f t="array" aca="1" ref="E344" ca="1">IFERROR(INDIRECT(D344),"")</f>
        <v/>
      </c>
      <c r="F344" s="25"/>
      <c r="G344" s="26"/>
      <c r="H344" s="27" t="str">
        <f ca="1">IFERROR((Table110[[#This Row],[Plan]]/Table110[[#This Row],[Hours Used]])/(Table110[[#This Row],[SOC (TPD)]]/24),"")</f>
        <v/>
      </c>
      <c r="I344" s="27" t="str">
        <f ca="1">IFERROR((Table110[[#This Row],[Volume Delivered (T)]]/Table110[[#This Row],[Hours Used]])/(Table110[[#This Row],[SOC (TPD)]]/24),"")</f>
        <v/>
      </c>
      <c r="J344" s="28"/>
      <c r="K344" s="28"/>
      <c r="L344" s="28"/>
      <c r="M344" s="25"/>
      <c r="N344" s="29"/>
      <c r="O344" s="84"/>
      <c r="P344" s="25"/>
      <c r="Q344" s="25"/>
      <c r="R344" s="70"/>
      <c r="S344" s="71"/>
      <c r="T344" s="30">
        <f>IF(Table110[[#This Row],[SKU]]="",0,24-Table110[[#This Row],[Legal Non-Operating Time]]-Table110[[#This Row],[No Demand Time]]-Table110[[#This Row],[Force Majeure]])</f>
        <v>0</v>
      </c>
      <c r="U344" s="26"/>
      <c r="V344" s="26"/>
      <c r="W344" s="26"/>
      <c r="X344" s="26"/>
      <c r="Y344" s="26"/>
      <c r="Z344" s="26"/>
      <c r="AA344" s="26"/>
      <c r="AB344" s="30">
        <f>Table110[[#This Row],[Hours Used]]-SUM(Table110[[#This Row],[Planned Maintenance]:[Start and Finish Production]])</f>
        <v>0</v>
      </c>
      <c r="AC344" s="26"/>
      <c r="AD344" s="26"/>
      <c r="AE344" s="26"/>
      <c r="AF344" s="26"/>
      <c r="AG344" s="26"/>
      <c r="AH344" s="26"/>
      <c r="AI344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344" s="24">
        <f>IFERROR(IF(Table110[[#This Row],[SKU]]="",0,Table110[[#This Row],[Quality Loss (T)]]/(Table110[[#This Row],[SOC (TPD)]]/24)),"")</f>
        <v>0</v>
      </c>
      <c r="AK344" s="31">
        <f>IFERROR(IF(Table110[[#This Row],[SKU]]="",0,Table110[[#This Row],[Volume Delivered (T)]]/(Table110[[#This Row],[SOC (TPD)]]/24)),"")</f>
        <v>0</v>
      </c>
      <c r="AL344" s="31" t="str">
        <f>IFERROR(Table110[[#This Row],[Operating Time]]/Table110[[#This Row],[PRODUCTION HOURS]],"")</f>
        <v/>
      </c>
      <c r="AM344" s="32"/>
      <c r="AN344" s="32"/>
      <c r="AO344" s="32"/>
      <c r="AP344" s="32">
        <v>0</v>
      </c>
      <c r="AQ344" s="32">
        <v>0</v>
      </c>
      <c r="AR344" s="32"/>
      <c r="AS344" s="32" t="str">
        <f>IFERROR(SUMIFS(#REF!,#REF!,'Shift Wise-Data Sheet'!A:A,#REF!,"Samridhi Perk Line")/SUMIFS(#REF!,#REF!,'Shift Wise-Data Sheet'!A:A,#REF!,"Samridhi Perk Line"),"")</f>
        <v/>
      </c>
      <c r="AT344" s="32"/>
      <c r="AU344" s="32"/>
      <c r="AV344" s="211">
        <f>IFERROR(VLOOKUP(Table110[[#This Row],[Date]],'Overweight Data'!A342:G1437,6,FALSE),"")</f>
        <v>0</v>
      </c>
      <c r="AW344" s="221">
        <f>IFERROR(
   IF(
      OR(Table110[[#This Row],[Operating Time]]=0, (Table110[[#This Row],[Operating Time]]/IF(AD344&lt;=1,AD344+1,AD344))*60=0),
      1,
      ((Table110[[#This Row],[Operating Time]])/IF(AD344&lt;=1,AD344+1,AD344))*60
   ),
"_")</f>
        <v>1</v>
      </c>
      <c r="AX344" s="221">
        <f>COUNTIFS('Downtime Data'!A:A,Table110[[#This Row],[Date]])</f>
        <v>0</v>
      </c>
      <c r="AY344" s="219" t="str">
        <f>IFERROR((SUM(Table110[[#This Row],[Minor Stoppages]:[Material Shortages]])/Table110[[#This Row],['# Stops]])*60,"")</f>
        <v/>
      </c>
      <c r="AZ344" s="219"/>
      <c r="BA344" s="33">
        <v>46382</v>
      </c>
    </row>
    <row r="345" spans="1:53" ht="20.149999999999999" customHeight="1" x14ac:dyDescent="0.35">
      <c r="A345" s="21">
        <v>46362</v>
      </c>
      <c r="B345" s="22" t="str">
        <f t="shared" si="6"/>
        <v>Sunday</v>
      </c>
      <c r="C345" s="22"/>
      <c r="D345" s="23"/>
      <c r="E345" s="24" t="str" cm="1">
        <f t="array" aca="1" ref="E345" ca="1">IFERROR(INDIRECT(D345),"")</f>
        <v/>
      </c>
      <c r="F345" s="25"/>
      <c r="G345" s="26"/>
      <c r="H345" s="27" t="str">
        <f ca="1">IFERROR((Table110[[#This Row],[Plan]]/Table110[[#This Row],[Hours Used]])/(Table110[[#This Row],[SOC (TPD)]]/24),"")</f>
        <v/>
      </c>
      <c r="I345" s="27" t="str">
        <f ca="1">IFERROR((Table110[[#This Row],[Volume Delivered (T)]]/Table110[[#This Row],[Hours Used]])/(Table110[[#This Row],[SOC (TPD)]]/24),"")</f>
        <v/>
      </c>
      <c r="J345" s="28"/>
      <c r="K345" s="28"/>
      <c r="L345" s="28"/>
      <c r="M345" s="25"/>
      <c r="N345" s="29"/>
      <c r="O345" s="84"/>
      <c r="P345" s="25"/>
      <c r="Q345" s="25"/>
      <c r="R345" s="70"/>
      <c r="S345" s="71"/>
      <c r="T345" s="30">
        <f>IF(Table110[[#This Row],[SKU]]="",0,24-Table110[[#This Row],[Legal Non-Operating Time]]-Table110[[#This Row],[No Demand Time]]-Table110[[#This Row],[Force Majeure]])</f>
        <v>0</v>
      </c>
      <c r="U345" s="26"/>
      <c r="V345" s="26"/>
      <c r="W345" s="26"/>
      <c r="X345" s="26"/>
      <c r="Y345" s="26"/>
      <c r="Z345" s="26"/>
      <c r="AA345" s="26"/>
      <c r="AB345" s="30">
        <f>Table110[[#This Row],[Hours Used]]-SUM(Table110[[#This Row],[Planned Maintenance]:[Start and Finish Production]])</f>
        <v>0</v>
      </c>
      <c r="AC345" s="26"/>
      <c r="AD345" s="26"/>
      <c r="AE345" s="26"/>
      <c r="AF345" s="26"/>
      <c r="AG345" s="26"/>
      <c r="AH345" s="26"/>
      <c r="AI345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345" s="24">
        <f>IFERROR(IF(Table110[[#This Row],[SKU]]="",0,Table110[[#This Row],[Quality Loss (T)]]/(Table110[[#This Row],[SOC (TPD)]]/24)),"")</f>
        <v>0</v>
      </c>
      <c r="AK345" s="31">
        <f>IFERROR(IF(Table110[[#This Row],[SKU]]="",0,Table110[[#This Row],[Volume Delivered (T)]]/(Table110[[#This Row],[SOC (TPD)]]/24)),"")</f>
        <v>0</v>
      </c>
      <c r="AL345" s="31" t="str">
        <f>IFERROR(Table110[[#This Row],[Operating Time]]/Table110[[#This Row],[PRODUCTION HOURS]],"")</f>
        <v/>
      </c>
      <c r="AM345" s="32"/>
      <c r="AN345" s="32"/>
      <c r="AO345" s="32"/>
      <c r="AP345" s="32">
        <v>0</v>
      </c>
      <c r="AQ345" s="32">
        <v>0</v>
      </c>
      <c r="AR345" s="32"/>
      <c r="AS345" s="32" t="str">
        <f>IFERROR(SUMIFS(#REF!,#REF!,'Shift Wise-Data Sheet'!A:A,#REF!,"Samridhi Perk Line")/SUMIFS(#REF!,#REF!,'Shift Wise-Data Sheet'!A:A,#REF!,"Samridhi Perk Line"),"")</f>
        <v/>
      </c>
      <c r="AT345" s="32"/>
      <c r="AU345" s="32"/>
      <c r="AV345" s="211">
        <f>IFERROR(VLOOKUP(Table110[[#This Row],[Date]],'Overweight Data'!A343:G1438,6,FALSE),"")</f>
        <v>0</v>
      </c>
      <c r="AW345" s="221">
        <f>IFERROR(
   IF(
      OR(Table110[[#This Row],[Operating Time]]=0, (Table110[[#This Row],[Operating Time]]/IF(AD345&lt;=1,AD345+1,AD345))*60=0),
      1,
      ((Table110[[#This Row],[Operating Time]])/IF(AD345&lt;=1,AD345+1,AD345))*60
   ),
"_")</f>
        <v>1</v>
      </c>
      <c r="AX345" s="221">
        <f>COUNTIFS('Downtime Data'!A:A,Table110[[#This Row],[Date]])</f>
        <v>0</v>
      </c>
      <c r="AY345" s="219" t="str">
        <f>IFERROR((SUM(Table110[[#This Row],[Minor Stoppages]:[Material Shortages]])/Table110[[#This Row],['# Stops]])*60,"")</f>
        <v/>
      </c>
      <c r="AZ345" s="219"/>
      <c r="BA345" s="33">
        <v>46382</v>
      </c>
    </row>
    <row r="346" spans="1:53" ht="20.149999999999999" customHeight="1" x14ac:dyDescent="0.35">
      <c r="A346" s="21">
        <v>46363</v>
      </c>
      <c r="B346" s="22" t="str">
        <f t="shared" si="6"/>
        <v>Monday</v>
      </c>
      <c r="C346" s="22"/>
      <c r="D346" s="23"/>
      <c r="E346" s="24" t="str" cm="1">
        <f t="array" aca="1" ref="E346" ca="1">IFERROR(INDIRECT(D346),"")</f>
        <v/>
      </c>
      <c r="F346" s="25"/>
      <c r="G346" s="26"/>
      <c r="H346" s="27" t="str">
        <f ca="1">IFERROR((Table110[[#This Row],[Plan]]/Table110[[#This Row],[Hours Used]])/(Table110[[#This Row],[SOC (TPD)]]/24),"")</f>
        <v/>
      </c>
      <c r="I346" s="27" t="str">
        <f ca="1">IFERROR((Table110[[#This Row],[Volume Delivered (T)]]/Table110[[#This Row],[Hours Used]])/(Table110[[#This Row],[SOC (TPD)]]/24),"")</f>
        <v/>
      </c>
      <c r="J346" s="28"/>
      <c r="K346" s="28"/>
      <c r="L346" s="28"/>
      <c r="M346" s="25"/>
      <c r="N346" s="29"/>
      <c r="O346" s="84"/>
      <c r="P346" s="25"/>
      <c r="Q346" s="25"/>
      <c r="R346" s="70"/>
      <c r="S346" s="71"/>
      <c r="T346" s="30">
        <f>IF(Table110[[#This Row],[SKU]]="",0,24-Table110[[#This Row],[Legal Non-Operating Time]]-Table110[[#This Row],[No Demand Time]]-Table110[[#This Row],[Force Majeure]])</f>
        <v>0</v>
      </c>
      <c r="U346" s="26"/>
      <c r="V346" s="26"/>
      <c r="W346" s="26"/>
      <c r="X346" s="26"/>
      <c r="Y346" s="26"/>
      <c r="Z346" s="26"/>
      <c r="AA346" s="26"/>
      <c r="AB346" s="30">
        <f>Table110[[#This Row],[Hours Used]]-SUM(Table110[[#This Row],[Planned Maintenance]:[Start and Finish Production]])</f>
        <v>0</v>
      </c>
      <c r="AC346" s="26"/>
      <c r="AD346" s="26"/>
      <c r="AE346" s="26"/>
      <c r="AF346" s="26"/>
      <c r="AG346" s="26"/>
      <c r="AH346" s="26"/>
      <c r="AI346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346" s="24">
        <f>IFERROR(IF(Table110[[#This Row],[SKU]]="",0,Table110[[#This Row],[Quality Loss (T)]]/(Table110[[#This Row],[SOC (TPD)]]/24)),"")</f>
        <v>0</v>
      </c>
      <c r="AK346" s="31">
        <f>IFERROR(IF(Table110[[#This Row],[SKU]]="",0,Table110[[#This Row],[Volume Delivered (T)]]/(Table110[[#This Row],[SOC (TPD)]]/24)),"")</f>
        <v>0</v>
      </c>
      <c r="AL346" s="31" t="str">
        <f>IFERROR(Table110[[#This Row],[Operating Time]]/Table110[[#This Row],[PRODUCTION HOURS]],"")</f>
        <v/>
      </c>
      <c r="AM346" s="32"/>
      <c r="AN346" s="32"/>
      <c r="AO346" s="32"/>
      <c r="AP346" s="32">
        <v>0</v>
      </c>
      <c r="AQ346" s="32">
        <v>0</v>
      </c>
      <c r="AR346" s="32"/>
      <c r="AS346" s="32" t="str">
        <f>IFERROR(SUMIFS(#REF!,#REF!,'Shift Wise-Data Sheet'!A:A,#REF!,"Samridhi Perk Line")/SUMIFS(#REF!,#REF!,'Shift Wise-Data Sheet'!A:A,#REF!,"Samridhi Perk Line"),"")</f>
        <v/>
      </c>
      <c r="AT346" s="32"/>
      <c r="AU346" s="32"/>
      <c r="AV346" s="211">
        <f>IFERROR(VLOOKUP(Table110[[#This Row],[Date]],'Overweight Data'!A344:G1439,6,FALSE),"")</f>
        <v>0</v>
      </c>
      <c r="AW346" s="221">
        <f>IFERROR(
   IF(
      OR(Table110[[#This Row],[Operating Time]]=0, (Table110[[#This Row],[Operating Time]]/IF(AD346&lt;=1,AD346+1,AD346))*60=0),
      1,
      ((Table110[[#This Row],[Operating Time]])/IF(AD346&lt;=1,AD346+1,AD346))*60
   ),
"_")</f>
        <v>1</v>
      </c>
      <c r="AX346" s="221">
        <f>COUNTIFS('Downtime Data'!A:A,Table110[[#This Row],[Date]])</f>
        <v>0</v>
      </c>
      <c r="AY346" s="219" t="str">
        <f>IFERROR((SUM(Table110[[#This Row],[Minor Stoppages]:[Material Shortages]])/Table110[[#This Row],['# Stops]])*60,"")</f>
        <v/>
      </c>
      <c r="AZ346" s="219"/>
      <c r="BA346" s="33">
        <v>46382</v>
      </c>
    </row>
    <row r="347" spans="1:53" ht="20.149999999999999" customHeight="1" x14ac:dyDescent="0.35">
      <c r="A347" s="21">
        <v>46364</v>
      </c>
      <c r="B347" s="22" t="str">
        <f t="shared" si="6"/>
        <v>Tuesday</v>
      </c>
      <c r="C347" s="22"/>
      <c r="D347" s="23"/>
      <c r="E347" s="24" t="str" cm="1">
        <f t="array" aca="1" ref="E347" ca="1">IFERROR(INDIRECT(D347),"")</f>
        <v/>
      </c>
      <c r="F347" s="25"/>
      <c r="G347" s="26"/>
      <c r="H347" s="27" t="str">
        <f ca="1">IFERROR((Table110[[#This Row],[Plan]]/Table110[[#This Row],[Hours Used]])/(Table110[[#This Row],[SOC (TPD)]]/24),"")</f>
        <v/>
      </c>
      <c r="I347" s="27" t="str">
        <f ca="1">IFERROR((Table110[[#This Row],[Volume Delivered (T)]]/Table110[[#This Row],[Hours Used]])/(Table110[[#This Row],[SOC (TPD)]]/24),"")</f>
        <v/>
      </c>
      <c r="J347" s="28"/>
      <c r="K347" s="28"/>
      <c r="L347" s="28"/>
      <c r="M347" s="25"/>
      <c r="N347" s="29"/>
      <c r="O347" s="84"/>
      <c r="P347" s="25"/>
      <c r="Q347" s="25"/>
      <c r="R347" s="70"/>
      <c r="S347" s="71"/>
      <c r="T347" s="30">
        <f>IF(Table110[[#This Row],[SKU]]="",0,24-Table110[[#This Row],[Legal Non-Operating Time]]-Table110[[#This Row],[No Demand Time]]-Table110[[#This Row],[Force Majeure]])</f>
        <v>0</v>
      </c>
      <c r="U347" s="26"/>
      <c r="V347" s="26"/>
      <c r="W347" s="26"/>
      <c r="X347" s="26"/>
      <c r="Y347" s="26"/>
      <c r="Z347" s="26"/>
      <c r="AA347" s="26"/>
      <c r="AB347" s="30">
        <f>Table110[[#This Row],[Hours Used]]-SUM(Table110[[#This Row],[Planned Maintenance]:[Start and Finish Production]])</f>
        <v>0</v>
      </c>
      <c r="AC347" s="26"/>
      <c r="AD347" s="26"/>
      <c r="AE347" s="26"/>
      <c r="AF347" s="26"/>
      <c r="AG347" s="26"/>
      <c r="AH347" s="26"/>
      <c r="AI347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347" s="24">
        <f>IFERROR(IF(Table110[[#This Row],[SKU]]="",0,Table110[[#This Row],[Quality Loss (T)]]/(Table110[[#This Row],[SOC (TPD)]]/24)),"")</f>
        <v>0</v>
      </c>
      <c r="AK347" s="31">
        <f>IFERROR(IF(Table110[[#This Row],[SKU]]="",0,Table110[[#This Row],[Volume Delivered (T)]]/(Table110[[#This Row],[SOC (TPD)]]/24)),"")</f>
        <v>0</v>
      </c>
      <c r="AL347" s="31" t="str">
        <f>IFERROR(Table110[[#This Row],[Operating Time]]/Table110[[#This Row],[PRODUCTION HOURS]],"")</f>
        <v/>
      </c>
      <c r="AM347" s="32"/>
      <c r="AN347" s="32"/>
      <c r="AO347" s="32"/>
      <c r="AP347" s="32">
        <v>0</v>
      </c>
      <c r="AQ347" s="32">
        <v>0</v>
      </c>
      <c r="AR347" s="32"/>
      <c r="AS347" s="32" t="str">
        <f>IFERROR(SUMIFS(#REF!,#REF!,'Shift Wise-Data Sheet'!A:A,#REF!,"Samridhi Perk Line")/SUMIFS(#REF!,#REF!,'Shift Wise-Data Sheet'!A:A,#REF!,"Samridhi Perk Line"),"")</f>
        <v/>
      </c>
      <c r="AT347" s="32"/>
      <c r="AU347" s="32"/>
      <c r="AV347" s="211">
        <f>IFERROR(VLOOKUP(Table110[[#This Row],[Date]],'Overweight Data'!A345:G1440,6,FALSE),"")</f>
        <v>0</v>
      </c>
      <c r="AW347" s="221">
        <f>IFERROR(
   IF(
      OR(Table110[[#This Row],[Operating Time]]=0, (Table110[[#This Row],[Operating Time]]/IF(AD347&lt;=1,AD347+1,AD347))*60=0),
      1,
      ((Table110[[#This Row],[Operating Time]])/IF(AD347&lt;=1,AD347+1,AD347))*60
   ),
"_")</f>
        <v>1</v>
      </c>
      <c r="AX347" s="221">
        <f>COUNTIFS('Downtime Data'!A:A,Table110[[#This Row],[Date]])</f>
        <v>0</v>
      </c>
      <c r="AY347" s="219" t="str">
        <f>IFERROR((SUM(Table110[[#This Row],[Minor Stoppages]:[Material Shortages]])/Table110[[#This Row],['# Stops]])*60,"")</f>
        <v/>
      </c>
      <c r="AZ347" s="219"/>
      <c r="BA347" s="33">
        <v>46382</v>
      </c>
    </row>
    <row r="348" spans="1:53" ht="20.149999999999999" customHeight="1" x14ac:dyDescent="0.35">
      <c r="A348" s="21">
        <v>46365</v>
      </c>
      <c r="B348" s="22" t="str">
        <f t="shared" si="6"/>
        <v>Wednesday</v>
      </c>
      <c r="C348" s="22"/>
      <c r="D348" s="23"/>
      <c r="E348" s="24" t="str" cm="1">
        <f t="array" aca="1" ref="E348" ca="1">IFERROR(INDIRECT(D348),"")</f>
        <v/>
      </c>
      <c r="F348" s="25"/>
      <c r="G348" s="26"/>
      <c r="H348" s="27" t="str">
        <f ca="1">IFERROR((Table110[[#This Row],[Plan]]/Table110[[#This Row],[Hours Used]])/(Table110[[#This Row],[SOC (TPD)]]/24),"")</f>
        <v/>
      </c>
      <c r="I348" s="27" t="str">
        <f ca="1">IFERROR((Table110[[#This Row],[Volume Delivered (T)]]/Table110[[#This Row],[Hours Used]])/(Table110[[#This Row],[SOC (TPD)]]/24),"")</f>
        <v/>
      </c>
      <c r="J348" s="28"/>
      <c r="K348" s="28"/>
      <c r="L348" s="28"/>
      <c r="M348" s="25"/>
      <c r="N348" s="29"/>
      <c r="O348" s="84"/>
      <c r="P348" s="25"/>
      <c r="Q348" s="25"/>
      <c r="R348" s="70"/>
      <c r="S348" s="71"/>
      <c r="T348" s="30">
        <f>IF(Table110[[#This Row],[SKU]]="",0,24-Table110[[#This Row],[Legal Non-Operating Time]]-Table110[[#This Row],[No Demand Time]]-Table110[[#This Row],[Force Majeure]])</f>
        <v>0</v>
      </c>
      <c r="U348" s="26"/>
      <c r="V348" s="26"/>
      <c r="W348" s="26"/>
      <c r="X348" s="26"/>
      <c r="Y348" s="26"/>
      <c r="Z348" s="26"/>
      <c r="AA348" s="26"/>
      <c r="AB348" s="30">
        <f>Table110[[#This Row],[Hours Used]]-SUM(Table110[[#This Row],[Planned Maintenance]:[Start and Finish Production]])</f>
        <v>0</v>
      </c>
      <c r="AC348" s="26"/>
      <c r="AD348" s="26"/>
      <c r="AE348" s="26"/>
      <c r="AF348" s="26"/>
      <c r="AG348" s="26"/>
      <c r="AH348" s="26"/>
      <c r="AI348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348" s="24">
        <f>IFERROR(IF(Table110[[#This Row],[SKU]]="",0,Table110[[#This Row],[Quality Loss (T)]]/(Table110[[#This Row],[SOC (TPD)]]/24)),"")</f>
        <v>0</v>
      </c>
      <c r="AK348" s="31">
        <f>IFERROR(IF(Table110[[#This Row],[SKU]]="",0,Table110[[#This Row],[Volume Delivered (T)]]/(Table110[[#This Row],[SOC (TPD)]]/24)),"")</f>
        <v>0</v>
      </c>
      <c r="AL348" s="31" t="str">
        <f>IFERROR(Table110[[#This Row],[Operating Time]]/Table110[[#This Row],[PRODUCTION HOURS]],"")</f>
        <v/>
      </c>
      <c r="AM348" s="32"/>
      <c r="AN348" s="32"/>
      <c r="AO348" s="32"/>
      <c r="AP348" s="32">
        <v>0</v>
      </c>
      <c r="AQ348" s="32">
        <v>0</v>
      </c>
      <c r="AR348" s="32"/>
      <c r="AS348" s="32" t="str">
        <f>IFERROR(SUMIFS(#REF!,#REF!,'Shift Wise-Data Sheet'!A:A,#REF!,"Samridhi Perk Line")/SUMIFS(#REF!,#REF!,'Shift Wise-Data Sheet'!A:A,#REF!,"Samridhi Perk Line"),"")</f>
        <v/>
      </c>
      <c r="AT348" s="32"/>
      <c r="AU348" s="32"/>
      <c r="AV348" s="211">
        <f>IFERROR(VLOOKUP(Table110[[#This Row],[Date]],'Overweight Data'!A346:G1441,6,FALSE),"")</f>
        <v>0</v>
      </c>
      <c r="AW348" s="221">
        <f>IFERROR(
   IF(
      OR(Table110[[#This Row],[Operating Time]]=0, (Table110[[#This Row],[Operating Time]]/IF(AD348&lt;=1,AD348+1,AD348))*60=0),
      1,
      ((Table110[[#This Row],[Operating Time]])/IF(AD348&lt;=1,AD348+1,AD348))*60
   ),
"_")</f>
        <v>1</v>
      </c>
      <c r="AX348" s="221">
        <f>COUNTIFS('Downtime Data'!A:A,Table110[[#This Row],[Date]])</f>
        <v>0</v>
      </c>
      <c r="AY348" s="219" t="str">
        <f>IFERROR((SUM(Table110[[#This Row],[Minor Stoppages]:[Material Shortages]])/Table110[[#This Row],['# Stops]])*60,"")</f>
        <v/>
      </c>
      <c r="AZ348" s="219"/>
      <c r="BA348" s="33">
        <v>46382</v>
      </c>
    </row>
    <row r="349" spans="1:53" ht="20.149999999999999" customHeight="1" x14ac:dyDescent="0.35">
      <c r="A349" s="21">
        <v>46366</v>
      </c>
      <c r="B349" s="22" t="str">
        <f t="shared" si="6"/>
        <v>Thursday</v>
      </c>
      <c r="C349" s="22"/>
      <c r="D349" s="23"/>
      <c r="E349" s="24" t="str" cm="1">
        <f t="array" aca="1" ref="E349" ca="1">IFERROR(INDIRECT(D349),"")</f>
        <v/>
      </c>
      <c r="F349" s="25"/>
      <c r="G349" s="26"/>
      <c r="H349" s="27" t="str">
        <f ca="1">IFERROR((Table110[[#This Row],[Plan]]/Table110[[#This Row],[Hours Used]])/(Table110[[#This Row],[SOC (TPD)]]/24),"")</f>
        <v/>
      </c>
      <c r="I349" s="27" t="str">
        <f ca="1">IFERROR((Table110[[#This Row],[Volume Delivered (T)]]/Table110[[#This Row],[Hours Used]])/(Table110[[#This Row],[SOC (TPD)]]/24),"")</f>
        <v/>
      </c>
      <c r="J349" s="28"/>
      <c r="K349" s="28"/>
      <c r="L349" s="28"/>
      <c r="M349" s="25"/>
      <c r="N349" s="29"/>
      <c r="O349" s="84"/>
      <c r="P349" s="25"/>
      <c r="Q349" s="25"/>
      <c r="R349" s="70"/>
      <c r="S349" s="71"/>
      <c r="T349" s="30">
        <f>IF(Table110[[#This Row],[SKU]]="",0,24-Table110[[#This Row],[Legal Non-Operating Time]]-Table110[[#This Row],[No Demand Time]]-Table110[[#This Row],[Force Majeure]])</f>
        <v>0</v>
      </c>
      <c r="U349" s="26"/>
      <c r="V349" s="26"/>
      <c r="W349" s="26"/>
      <c r="X349" s="26"/>
      <c r="Y349" s="26"/>
      <c r="Z349" s="26"/>
      <c r="AA349" s="26"/>
      <c r="AB349" s="30">
        <f>Table110[[#This Row],[Hours Used]]-SUM(Table110[[#This Row],[Planned Maintenance]:[Start and Finish Production]])</f>
        <v>0</v>
      </c>
      <c r="AC349" s="26"/>
      <c r="AD349" s="26"/>
      <c r="AE349" s="26"/>
      <c r="AF349" s="26"/>
      <c r="AG349" s="26"/>
      <c r="AH349" s="26"/>
      <c r="AI349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349" s="24">
        <f>IFERROR(IF(Table110[[#This Row],[SKU]]="",0,Table110[[#This Row],[Quality Loss (T)]]/(Table110[[#This Row],[SOC (TPD)]]/24)),"")</f>
        <v>0</v>
      </c>
      <c r="AK349" s="31">
        <f>IFERROR(IF(Table110[[#This Row],[SKU]]="",0,Table110[[#This Row],[Volume Delivered (T)]]/(Table110[[#This Row],[SOC (TPD)]]/24)),"")</f>
        <v>0</v>
      </c>
      <c r="AL349" s="31" t="str">
        <f>IFERROR(Table110[[#This Row],[Operating Time]]/Table110[[#This Row],[PRODUCTION HOURS]],"")</f>
        <v/>
      </c>
      <c r="AM349" s="32"/>
      <c r="AN349" s="32"/>
      <c r="AO349" s="32"/>
      <c r="AP349" s="32">
        <v>0</v>
      </c>
      <c r="AQ349" s="32">
        <v>0</v>
      </c>
      <c r="AR349" s="32"/>
      <c r="AS349" s="32" t="str">
        <f>IFERROR(SUMIFS(#REF!,#REF!,'Shift Wise-Data Sheet'!A:A,#REF!,"Samridhi Perk Line")/SUMIFS(#REF!,#REF!,'Shift Wise-Data Sheet'!A:A,#REF!,"Samridhi Perk Line"),"")</f>
        <v/>
      </c>
      <c r="AT349" s="32"/>
      <c r="AU349" s="32"/>
      <c r="AV349" s="211">
        <f>IFERROR(VLOOKUP(Table110[[#This Row],[Date]],'Overweight Data'!A347:G1442,6,FALSE),"")</f>
        <v>0</v>
      </c>
      <c r="AW349" s="221">
        <f>IFERROR(
   IF(
      OR(Table110[[#This Row],[Operating Time]]=0, (Table110[[#This Row],[Operating Time]]/IF(AD349&lt;=1,AD349+1,AD349))*60=0),
      1,
      ((Table110[[#This Row],[Operating Time]])/IF(AD349&lt;=1,AD349+1,AD349))*60
   ),
"_")</f>
        <v>1</v>
      </c>
      <c r="AX349" s="221">
        <f>COUNTIFS('Downtime Data'!A:A,Table110[[#This Row],[Date]])</f>
        <v>0</v>
      </c>
      <c r="AY349" s="219" t="str">
        <f>IFERROR((SUM(Table110[[#This Row],[Minor Stoppages]:[Material Shortages]])/Table110[[#This Row],['# Stops]])*60,"")</f>
        <v/>
      </c>
      <c r="AZ349" s="219"/>
      <c r="BA349" s="33">
        <v>46382</v>
      </c>
    </row>
    <row r="350" spans="1:53" ht="20.149999999999999" customHeight="1" x14ac:dyDescent="0.35">
      <c r="A350" s="21">
        <v>46367</v>
      </c>
      <c r="B350" s="22" t="str">
        <f t="shared" si="6"/>
        <v>Friday</v>
      </c>
      <c r="C350" s="22"/>
      <c r="D350" s="23"/>
      <c r="E350" s="24" t="str" cm="1">
        <f t="array" aca="1" ref="E350" ca="1">IFERROR(INDIRECT(D350),"")</f>
        <v/>
      </c>
      <c r="F350" s="25"/>
      <c r="G350" s="26"/>
      <c r="H350" s="27" t="str">
        <f ca="1">IFERROR((Table110[[#This Row],[Plan]]/Table110[[#This Row],[Hours Used]])/(Table110[[#This Row],[SOC (TPD)]]/24),"")</f>
        <v/>
      </c>
      <c r="I350" s="27" t="str">
        <f ca="1">IFERROR((Table110[[#This Row],[Volume Delivered (T)]]/Table110[[#This Row],[Hours Used]])/(Table110[[#This Row],[SOC (TPD)]]/24),"")</f>
        <v/>
      </c>
      <c r="J350" s="28"/>
      <c r="K350" s="28"/>
      <c r="L350" s="28"/>
      <c r="M350" s="25"/>
      <c r="N350" s="29"/>
      <c r="O350" s="84"/>
      <c r="P350" s="25"/>
      <c r="Q350" s="25"/>
      <c r="R350" s="70"/>
      <c r="S350" s="71"/>
      <c r="T350" s="30">
        <f>IF(Table110[[#This Row],[SKU]]="",0,24-Table110[[#This Row],[Legal Non-Operating Time]]-Table110[[#This Row],[No Demand Time]]-Table110[[#This Row],[Force Majeure]])</f>
        <v>0</v>
      </c>
      <c r="U350" s="26"/>
      <c r="V350" s="26"/>
      <c r="W350" s="26"/>
      <c r="X350" s="26"/>
      <c r="Y350" s="26"/>
      <c r="Z350" s="26"/>
      <c r="AA350" s="26"/>
      <c r="AB350" s="30">
        <f>Table110[[#This Row],[Hours Used]]-SUM(Table110[[#This Row],[Planned Maintenance]:[Start and Finish Production]])</f>
        <v>0</v>
      </c>
      <c r="AC350" s="26"/>
      <c r="AD350" s="26"/>
      <c r="AE350" s="26"/>
      <c r="AF350" s="26"/>
      <c r="AG350" s="26"/>
      <c r="AH350" s="26"/>
      <c r="AI350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350" s="24">
        <f>IFERROR(IF(Table110[[#This Row],[SKU]]="",0,Table110[[#This Row],[Quality Loss (T)]]/(Table110[[#This Row],[SOC (TPD)]]/24)),"")</f>
        <v>0</v>
      </c>
      <c r="AK350" s="31">
        <f>IFERROR(IF(Table110[[#This Row],[SKU]]="",0,Table110[[#This Row],[Volume Delivered (T)]]/(Table110[[#This Row],[SOC (TPD)]]/24)),"")</f>
        <v>0</v>
      </c>
      <c r="AL350" s="31" t="str">
        <f>IFERROR(Table110[[#This Row],[Operating Time]]/Table110[[#This Row],[PRODUCTION HOURS]],"")</f>
        <v/>
      </c>
      <c r="AM350" s="32"/>
      <c r="AN350" s="32"/>
      <c r="AO350" s="32"/>
      <c r="AP350" s="32">
        <v>1</v>
      </c>
      <c r="AQ350" s="32">
        <v>0</v>
      </c>
      <c r="AR350" s="32"/>
      <c r="AS350" s="32" t="str">
        <f>IFERROR(SUMIFS(#REF!,#REF!,'Shift Wise-Data Sheet'!A:A,#REF!,"Samridhi Perk Line")/SUMIFS(#REF!,#REF!,'Shift Wise-Data Sheet'!A:A,#REF!,"Samridhi Perk Line"),"")</f>
        <v/>
      </c>
      <c r="AT350" s="32"/>
      <c r="AU350" s="32"/>
      <c r="AV350" s="211">
        <f>IFERROR(VLOOKUP(Table110[[#This Row],[Date]],'Overweight Data'!A348:G1443,6,FALSE),"")</f>
        <v>0</v>
      </c>
      <c r="AW350" s="221">
        <f>IFERROR(
   IF(
      OR(Table110[[#This Row],[Operating Time]]=0, (Table110[[#This Row],[Operating Time]]/IF(AD350&lt;=1,AD350+1,AD350))*60=0),
      1,
      ((Table110[[#This Row],[Operating Time]])/IF(AD350&lt;=1,AD350+1,AD350))*60
   ),
"_")</f>
        <v>1</v>
      </c>
      <c r="AX350" s="221">
        <f>COUNTIFS('Downtime Data'!A:A,Table110[[#This Row],[Date]])</f>
        <v>0</v>
      </c>
      <c r="AY350" s="219" t="str">
        <f>IFERROR((SUM(Table110[[#This Row],[Minor Stoppages]:[Material Shortages]])/Table110[[#This Row],['# Stops]])*60,"")</f>
        <v/>
      </c>
      <c r="AZ350" s="219"/>
      <c r="BA350" s="33">
        <v>46382</v>
      </c>
    </row>
    <row r="351" spans="1:53" ht="20.149999999999999" customHeight="1" x14ac:dyDescent="0.35">
      <c r="A351" s="21">
        <v>46368</v>
      </c>
      <c r="B351" s="22" t="str">
        <f t="shared" si="6"/>
        <v>Saturday</v>
      </c>
      <c r="C351" s="22"/>
      <c r="D351" s="23"/>
      <c r="E351" s="24" t="str" cm="1">
        <f t="array" aca="1" ref="E351" ca="1">IFERROR(INDIRECT(D351),"")</f>
        <v/>
      </c>
      <c r="F351" s="25"/>
      <c r="G351" s="26"/>
      <c r="H351" s="27" t="str">
        <f ca="1">IFERROR((Table110[[#This Row],[Plan]]/Table110[[#This Row],[Hours Used]])/(Table110[[#This Row],[SOC (TPD)]]/24),"")</f>
        <v/>
      </c>
      <c r="I351" s="27" t="str">
        <f ca="1">IFERROR((Table110[[#This Row],[Volume Delivered (T)]]/Table110[[#This Row],[Hours Used]])/(Table110[[#This Row],[SOC (TPD)]]/24),"")</f>
        <v/>
      </c>
      <c r="J351" s="28"/>
      <c r="K351" s="28"/>
      <c r="L351" s="28"/>
      <c r="M351" s="25"/>
      <c r="N351" s="29"/>
      <c r="O351" s="84"/>
      <c r="P351" s="25"/>
      <c r="Q351" s="25"/>
      <c r="R351" s="70"/>
      <c r="S351" s="71"/>
      <c r="T351" s="30">
        <f>IF(Table110[[#This Row],[SKU]]="",0,24-Table110[[#This Row],[Legal Non-Operating Time]]-Table110[[#This Row],[No Demand Time]]-Table110[[#This Row],[Force Majeure]])</f>
        <v>0</v>
      </c>
      <c r="U351" s="26"/>
      <c r="V351" s="26"/>
      <c r="W351" s="26"/>
      <c r="X351" s="26"/>
      <c r="Y351" s="26"/>
      <c r="Z351" s="26"/>
      <c r="AA351" s="26"/>
      <c r="AB351" s="30">
        <f>Table110[[#This Row],[Hours Used]]-SUM(Table110[[#This Row],[Planned Maintenance]:[Start and Finish Production]])</f>
        <v>0</v>
      </c>
      <c r="AC351" s="26"/>
      <c r="AD351" s="26"/>
      <c r="AE351" s="26"/>
      <c r="AF351" s="26"/>
      <c r="AG351" s="26"/>
      <c r="AH351" s="26"/>
      <c r="AI351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351" s="24">
        <f>IFERROR(IF(Table110[[#This Row],[SKU]]="",0,Table110[[#This Row],[Quality Loss (T)]]/(Table110[[#This Row],[SOC (TPD)]]/24)),"")</f>
        <v>0</v>
      </c>
      <c r="AK351" s="31">
        <f>IFERROR(IF(Table110[[#This Row],[SKU]]="",0,Table110[[#This Row],[Volume Delivered (T)]]/(Table110[[#This Row],[SOC (TPD)]]/24)),"")</f>
        <v>0</v>
      </c>
      <c r="AL351" s="31" t="str">
        <f>IFERROR(Table110[[#This Row],[Operating Time]]/Table110[[#This Row],[PRODUCTION HOURS]],"")</f>
        <v/>
      </c>
      <c r="AM351" s="32"/>
      <c r="AN351" s="32"/>
      <c r="AO351" s="32"/>
      <c r="AP351" s="32">
        <v>0</v>
      </c>
      <c r="AQ351" s="32">
        <v>0</v>
      </c>
      <c r="AR351" s="32"/>
      <c r="AS351" s="32" t="str">
        <f>IFERROR(SUMIFS(#REF!,#REF!,'Shift Wise-Data Sheet'!A:A,#REF!,"Samridhi Perk Line")/SUMIFS(#REF!,#REF!,'Shift Wise-Data Sheet'!A:A,#REF!,"Samridhi Perk Line"),"")</f>
        <v/>
      </c>
      <c r="AT351" s="32"/>
      <c r="AU351" s="32"/>
      <c r="AV351" s="211">
        <f>IFERROR(VLOOKUP(Table110[[#This Row],[Date]],'Overweight Data'!A349:G1444,6,FALSE),"")</f>
        <v>0</v>
      </c>
      <c r="AW351" s="221">
        <f>IFERROR(
   IF(
      OR(Table110[[#This Row],[Operating Time]]=0, (Table110[[#This Row],[Operating Time]]/IF(AD351&lt;=1,AD351+1,AD351))*60=0),
      1,
      ((Table110[[#This Row],[Operating Time]])/IF(AD351&lt;=1,AD351+1,AD351))*60
   ),
"_")</f>
        <v>1</v>
      </c>
      <c r="AX351" s="221">
        <f>COUNTIFS('Downtime Data'!A:A,Table110[[#This Row],[Date]])</f>
        <v>0</v>
      </c>
      <c r="AY351" s="219" t="str">
        <f>IFERROR((SUM(Table110[[#This Row],[Minor Stoppages]:[Material Shortages]])/Table110[[#This Row],['# Stops]])*60,"")</f>
        <v/>
      </c>
      <c r="AZ351" s="219"/>
      <c r="BA351" s="33">
        <v>46382</v>
      </c>
    </row>
    <row r="352" spans="1:53" ht="20.149999999999999" customHeight="1" x14ac:dyDescent="0.35">
      <c r="A352" s="21">
        <v>46369</v>
      </c>
      <c r="B352" s="22" t="str">
        <f t="shared" si="6"/>
        <v>Sunday</v>
      </c>
      <c r="C352" s="22"/>
      <c r="D352" s="23"/>
      <c r="E352" s="24" t="str" cm="1">
        <f t="array" aca="1" ref="E352" ca="1">IFERROR(INDIRECT(D352),"")</f>
        <v/>
      </c>
      <c r="F352" s="25"/>
      <c r="G352" s="26"/>
      <c r="H352" s="27" t="str">
        <f ca="1">IFERROR((Table110[[#This Row],[Plan]]/Table110[[#This Row],[Hours Used]])/(Table110[[#This Row],[SOC (TPD)]]/24),"")</f>
        <v/>
      </c>
      <c r="I352" s="27" t="str">
        <f ca="1">IFERROR((Table110[[#This Row],[Volume Delivered (T)]]/Table110[[#This Row],[Hours Used]])/(Table110[[#This Row],[SOC (TPD)]]/24),"")</f>
        <v/>
      </c>
      <c r="J352" s="28"/>
      <c r="K352" s="28"/>
      <c r="L352" s="28"/>
      <c r="M352" s="25"/>
      <c r="N352" s="29"/>
      <c r="O352" s="84"/>
      <c r="P352" s="25"/>
      <c r="Q352" s="25"/>
      <c r="R352" s="70"/>
      <c r="S352" s="71"/>
      <c r="T352" s="30">
        <f>IF(Table110[[#This Row],[SKU]]="",0,24-Table110[[#This Row],[Legal Non-Operating Time]]-Table110[[#This Row],[No Demand Time]]-Table110[[#This Row],[Force Majeure]])</f>
        <v>0</v>
      </c>
      <c r="U352" s="26"/>
      <c r="V352" s="26"/>
      <c r="W352" s="26"/>
      <c r="X352" s="26"/>
      <c r="Y352" s="26"/>
      <c r="Z352" s="26"/>
      <c r="AA352" s="26"/>
      <c r="AB352" s="30">
        <f>Table110[[#This Row],[Hours Used]]-SUM(Table110[[#This Row],[Planned Maintenance]:[Start and Finish Production]])</f>
        <v>0</v>
      </c>
      <c r="AC352" s="26"/>
      <c r="AD352" s="26"/>
      <c r="AE352" s="26"/>
      <c r="AF352" s="26"/>
      <c r="AG352" s="26"/>
      <c r="AH352" s="26"/>
      <c r="AI352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352" s="24">
        <f>IFERROR(IF(Table110[[#This Row],[SKU]]="",0,Table110[[#This Row],[Quality Loss (T)]]/(Table110[[#This Row],[SOC (TPD)]]/24)),"")</f>
        <v>0</v>
      </c>
      <c r="AK352" s="31">
        <f>IFERROR(IF(Table110[[#This Row],[SKU]]="",0,Table110[[#This Row],[Volume Delivered (T)]]/(Table110[[#This Row],[SOC (TPD)]]/24)),"")</f>
        <v>0</v>
      </c>
      <c r="AL352" s="31" t="str">
        <f>IFERROR(Table110[[#This Row],[Operating Time]]/Table110[[#This Row],[PRODUCTION HOURS]],"")</f>
        <v/>
      </c>
      <c r="AM352" s="32"/>
      <c r="AN352" s="32"/>
      <c r="AO352" s="32"/>
      <c r="AP352" s="32">
        <v>0</v>
      </c>
      <c r="AQ352" s="32">
        <v>0</v>
      </c>
      <c r="AR352" s="32"/>
      <c r="AS352" s="32" t="str">
        <f>IFERROR(SUMIFS(#REF!,#REF!,'Shift Wise-Data Sheet'!A:A,#REF!,"Samridhi Perk Line")/SUMIFS(#REF!,#REF!,'Shift Wise-Data Sheet'!A:A,#REF!,"Samridhi Perk Line"),"")</f>
        <v/>
      </c>
      <c r="AT352" s="32"/>
      <c r="AU352" s="32"/>
      <c r="AV352" s="211">
        <f>IFERROR(VLOOKUP(Table110[[#This Row],[Date]],'Overweight Data'!A350:G1445,6,FALSE),"")</f>
        <v>0</v>
      </c>
      <c r="AW352" s="221">
        <f>IFERROR(
   IF(
      OR(Table110[[#This Row],[Operating Time]]=0, (Table110[[#This Row],[Operating Time]]/IF(AD352&lt;=1,AD352+1,AD352))*60=0),
      1,
      ((Table110[[#This Row],[Operating Time]])/IF(AD352&lt;=1,AD352+1,AD352))*60
   ),
"_")</f>
        <v>1</v>
      </c>
      <c r="AX352" s="221">
        <f>COUNTIFS('Downtime Data'!A:A,Table110[[#This Row],[Date]])</f>
        <v>0</v>
      </c>
      <c r="AY352" s="219" t="str">
        <f>IFERROR((SUM(Table110[[#This Row],[Minor Stoppages]:[Material Shortages]])/Table110[[#This Row],['# Stops]])*60,"")</f>
        <v/>
      </c>
      <c r="AZ352" s="219"/>
      <c r="BA352" s="33">
        <v>46382</v>
      </c>
    </row>
    <row r="353" spans="1:53" ht="20.149999999999999" customHeight="1" x14ac:dyDescent="0.35">
      <c r="A353" s="21">
        <v>46370</v>
      </c>
      <c r="B353" s="22" t="str">
        <f t="shared" si="6"/>
        <v>Monday</v>
      </c>
      <c r="C353" s="22"/>
      <c r="D353" s="23"/>
      <c r="E353" s="24" t="str" cm="1">
        <f t="array" aca="1" ref="E353" ca="1">IFERROR(INDIRECT(D353),"")</f>
        <v/>
      </c>
      <c r="F353" s="25"/>
      <c r="G353" s="26"/>
      <c r="H353" s="27" t="str">
        <f ca="1">IFERROR((Table110[[#This Row],[Plan]]/Table110[[#This Row],[Hours Used]])/(Table110[[#This Row],[SOC (TPD)]]/24),"")</f>
        <v/>
      </c>
      <c r="I353" s="27" t="str">
        <f ca="1">IFERROR((Table110[[#This Row],[Volume Delivered (T)]]/Table110[[#This Row],[Hours Used]])/(Table110[[#This Row],[SOC (TPD)]]/24),"")</f>
        <v/>
      </c>
      <c r="J353" s="28"/>
      <c r="K353" s="28"/>
      <c r="L353" s="28"/>
      <c r="M353" s="25"/>
      <c r="N353" s="29"/>
      <c r="O353" s="84"/>
      <c r="P353" s="25"/>
      <c r="Q353" s="25"/>
      <c r="R353" s="70"/>
      <c r="S353" s="71"/>
      <c r="T353" s="30">
        <f>IF(Table110[[#This Row],[SKU]]="",0,24-Table110[[#This Row],[Legal Non-Operating Time]]-Table110[[#This Row],[No Demand Time]]-Table110[[#This Row],[Force Majeure]])</f>
        <v>0</v>
      </c>
      <c r="U353" s="26"/>
      <c r="V353" s="26"/>
      <c r="W353" s="26"/>
      <c r="X353" s="26"/>
      <c r="Y353" s="26"/>
      <c r="Z353" s="26"/>
      <c r="AA353" s="26"/>
      <c r="AB353" s="30">
        <f>Table110[[#This Row],[Hours Used]]-SUM(Table110[[#This Row],[Planned Maintenance]:[Start and Finish Production]])</f>
        <v>0</v>
      </c>
      <c r="AC353" s="26"/>
      <c r="AD353" s="26"/>
      <c r="AE353" s="26"/>
      <c r="AF353" s="26"/>
      <c r="AG353" s="26"/>
      <c r="AH353" s="26"/>
      <c r="AI353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353" s="24">
        <f>IFERROR(IF(Table110[[#This Row],[SKU]]="",0,Table110[[#This Row],[Quality Loss (T)]]/(Table110[[#This Row],[SOC (TPD)]]/24)),"")</f>
        <v>0</v>
      </c>
      <c r="AK353" s="31">
        <f>IFERROR(IF(Table110[[#This Row],[SKU]]="",0,Table110[[#This Row],[Volume Delivered (T)]]/(Table110[[#This Row],[SOC (TPD)]]/24)),"")</f>
        <v>0</v>
      </c>
      <c r="AL353" s="31" t="str">
        <f>IFERROR(Table110[[#This Row],[Operating Time]]/Table110[[#This Row],[PRODUCTION HOURS]],"")</f>
        <v/>
      </c>
      <c r="AM353" s="32"/>
      <c r="AN353" s="32"/>
      <c r="AO353" s="32"/>
      <c r="AP353" s="32">
        <v>0</v>
      </c>
      <c r="AQ353" s="32">
        <v>0</v>
      </c>
      <c r="AR353" s="32"/>
      <c r="AS353" s="32" t="str">
        <f>IFERROR(SUMIFS(#REF!,#REF!,'Shift Wise-Data Sheet'!A:A,#REF!,"Samridhi Perk Line")/SUMIFS(#REF!,#REF!,'Shift Wise-Data Sheet'!A:A,#REF!,"Samridhi Perk Line"),"")</f>
        <v/>
      </c>
      <c r="AT353" s="32"/>
      <c r="AU353" s="32"/>
      <c r="AV353" s="211">
        <f>IFERROR(VLOOKUP(Table110[[#This Row],[Date]],'Overweight Data'!A351:G1446,6,FALSE),"")</f>
        <v>0</v>
      </c>
      <c r="AW353" s="221">
        <f>IFERROR(
   IF(
      OR(Table110[[#This Row],[Operating Time]]=0, (Table110[[#This Row],[Operating Time]]/IF(AD353&lt;=1,AD353+1,AD353))*60=0),
      1,
      ((Table110[[#This Row],[Operating Time]])/IF(AD353&lt;=1,AD353+1,AD353))*60
   ),
"_")</f>
        <v>1</v>
      </c>
      <c r="AX353" s="221">
        <f>COUNTIFS('Downtime Data'!A:A,Table110[[#This Row],[Date]])</f>
        <v>0</v>
      </c>
      <c r="AY353" s="219" t="str">
        <f>IFERROR((SUM(Table110[[#This Row],[Minor Stoppages]:[Material Shortages]])/Table110[[#This Row],['# Stops]])*60,"")</f>
        <v/>
      </c>
      <c r="AZ353" s="219"/>
      <c r="BA353" s="33">
        <v>46382</v>
      </c>
    </row>
    <row r="354" spans="1:53" ht="20.149999999999999" customHeight="1" x14ac:dyDescent="0.35">
      <c r="A354" s="21">
        <v>46371</v>
      </c>
      <c r="B354" s="22" t="str">
        <f t="shared" si="6"/>
        <v>Tuesday</v>
      </c>
      <c r="C354" s="22"/>
      <c r="D354" s="23"/>
      <c r="E354" s="24" t="str" cm="1">
        <f t="array" aca="1" ref="E354" ca="1">IFERROR(INDIRECT(D354),"")</f>
        <v/>
      </c>
      <c r="F354" s="25"/>
      <c r="G354" s="26"/>
      <c r="H354" s="27" t="str">
        <f ca="1">IFERROR((Table110[[#This Row],[Plan]]/Table110[[#This Row],[Hours Used]])/(Table110[[#This Row],[SOC (TPD)]]/24),"")</f>
        <v/>
      </c>
      <c r="I354" s="27" t="str">
        <f ca="1">IFERROR((Table110[[#This Row],[Volume Delivered (T)]]/Table110[[#This Row],[Hours Used]])/(Table110[[#This Row],[SOC (TPD)]]/24),"")</f>
        <v/>
      </c>
      <c r="J354" s="28"/>
      <c r="K354" s="28"/>
      <c r="L354" s="28"/>
      <c r="M354" s="25"/>
      <c r="N354" s="29"/>
      <c r="O354" s="84"/>
      <c r="P354" s="25"/>
      <c r="Q354" s="25"/>
      <c r="R354" s="70"/>
      <c r="S354" s="71"/>
      <c r="T354" s="30">
        <f>IF(Table110[[#This Row],[SKU]]="",0,24-Table110[[#This Row],[Legal Non-Operating Time]]-Table110[[#This Row],[No Demand Time]]-Table110[[#This Row],[Force Majeure]])</f>
        <v>0</v>
      </c>
      <c r="U354" s="26"/>
      <c r="V354" s="26"/>
      <c r="W354" s="26"/>
      <c r="X354" s="26"/>
      <c r="Y354" s="26"/>
      <c r="Z354" s="26"/>
      <c r="AA354" s="26"/>
      <c r="AB354" s="30">
        <f>Table110[[#This Row],[Hours Used]]-SUM(Table110[[#This Row],[Planned Maintenance]:[Start and Finish Production]])</f>
        <v>0</v>
      </c>
      <c r="AC354" s="26"/>
      <c r="AD354" s="26"/>
      <c r="AE354" s="26"/>
      <c r="AF354" s="26"/>
      <c r="AG354" s="26"/>
      <c r="AH354" s="26"/>
      <c r="AI354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354" s="24">
        <f>IFERROR(IF(Table110[[#This Row],[SKU]]="",0,Table110[[#This Row],[Quality Loss (T)]]/(Table110[[#This Row],[SOC (TPD)]]/24)),"")</f>
        <v>0</v>
      </c>
      <c r="AK354" s="31">
        <f>IFERROR(IF(Table110[[#This Row],[SKU]]="",0,Table110[[#This Row],[Volume Delivered (T)]]/(Table110[[#This Row],[SOC (TPD)]]/24)),"")</f>
        <v>0</v>
      </c>
      <c r="AL354" s="31" t="str">
        <f>IFERROR(Table110[[#This Row],[Operating Time]]/Table110[[#This Row],[PRODUCTION HOURS]],"")</f>
        <v/>
      </c>
      <c r="AM354" s="32"/>
      <c r="AN354" s="32"/>
      <c r="AO354" s="32"/>
      <c r="AP354" s="32">
        <v>3</v>
      </c>
      <c r="AQ354" s="32">
        <v>0</v>
      </c>
      <c r="AR354" s="32"/>
      <c r="AS354" s="32" t="str">
        <f>IFERROR(SUMIFS(#REF!,#REF!,'Shift Wise-Data Sheet'!A:A,#REF!,"Samridhi Perk Line")/SUMIFS(#REF!,#REF!,'Shift Wise-Data Sheet'!A:A,#REF!,"Samridhi Perk Line"),"")</f>
        <v/>
      </c>
      <c r="AT354" s="32"/>
      <c r="AU354" s="32"/>
      <c r="AV354" s="211">
        <f>IFERROR(VLOOKUP(Table110[[#This Row],[Date]],'Overweight Data'!A352:G1447,6,FALSE),"")</f>
        <v>0</v>
      </c>
      <c r="AW354" s="221">
        <f>IFERROR(
   IF(
      OR(Table110[[#This Row],[Operating Time]]=0, (Table110[[#This Row],[Operating Time]]/IF(AD354&lt;=1,AD354+1,AD354))*60=0),
      1,
      ((Table110[[#This Row],[Operating Time]])/IF(AD354&lt;=1,AD354+1,AD354))*60
   ),
"_")</f>
        <v>1</v>
      </c>
      <c r="AX354" s="221">
        <f>COUNTIFS('Downtime Data'!A:A,Table110[[#This Row],[Date]])</f>
        <v>0</v>
      </c>
      <c r="AY354" s="219" t="str">
        <f>IFERROR((SUM(Table110[[#This Row],[Minor Stoppages]:[Material Shortages]])/Table110[[#This Row],['# Stops]])*60,"")</f>
        <v/>
      </c>
      <c r="AZ354" s="219"/>
      <c r="BA354" s="33">
        <v>46382</v>
      </c>
    </row>
    <row r="355" spans="1:53" ht="20.149999999999999" customHeight="1" x14ac:dyDescent="0.35">
      <c r="A355" s="21">
        <v>46372</v>
      </c>
      <c r="B355" s="22" t="str">
        <f t="shared" si="6"/>
        <v>Wednesday</v>
      </c>
      <c r="C355" s="22"/>
      <c r="D355" s="23"/>
      <c r="E355" s="24" t="str" cm="1">
        <f t="array" aca="1" ref="E355" ca="1">IFERROR(INDIRECT(D355),"")</f>
        <v/>
      </c>
      <c r="F355" s="25"/>
      <c r="G355" s="26"/>
      <c r="H355" s="27" t="str">
        <f ca="1">IFERROR((Table110[[#This Row],[Plan]]/Table110[[#This Row],[Hours Used]])/(Table110[[#This Row],[SOC (TPD)]]/24),"")</f>
        <v/>
      </c>
      <c r="I355" s="27" t="str">
        <f ca="1">IFERROR((Table110[[#This Row],[Volume Delivered (T)]]/Table110[[#This Row],[Hours Used]])/(Table110[[#This Row],[SOC (TPD)]]/24),"")</f>
        <v/>
      </c>
      <c r="J355" s="28"/>
      <c r="K355" s="28"/>
      <c r="L355" s="28"/>
      <c r="M355" s="25"/>
      <c r="N355" s="29"/>
      <c r="O355" s="84"/>
      <c r="P355" s="25"/>
      <c r="Q355" s="25"/>
      <c r="R355" s="70"/>
      <c r="S355" s="71"/>
      <c r="T355" s="30">
        <f>IF(Table110[[#This Row],[SKU]]="",0,24-Table110[[#This Row],[Legal Non-Operating Time]]-Table110[[#This Row],[No Demand Time]]-Table110[[#This Row],[Force Majeure]])</f>
        <v>0</v>
      </c>
      <c r="U355" s="26"/>
      <c r="V355" s="26"/>
      <c r="W355" s="26"/>
      <c r="X355" s="26"/>
      <c r="Y355" s="26"/>
      <c r="Z355" s="26"/>
      <c r="AA355" s="26"/>
      <c r="AB355" s="30">
        <f>Table110[[#This Row],[Hours Used]]-SUM(Table110[[#This Row],[Planned Maintenance]:[Start and Finish Production]])</f>
        <v>0</v>
      </c>
      <c r="AC355" s="26"/>
      <c r="AD355" s="26"/>
      <c r="AE355" s="26"/>
      <c r="AF355" s="26"/>
      <c r="AG355" s="26"/>
      <c r="AH355" s="26"/>
      <c r="AI355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355" s="24">
        <f>IFERROR(IF(Table110[[#This Row],[SKU]]="",0,Table110[[#This Row],[Quality Loss (T)]]/(Table110[[#This Row],[SOC (TPD)]]/24)),"")</f>
        <v>0</v>
      </c>
      <c r="AK355" s="31">
        <f>IFERROR(IF(Table110[[#This Row],[SKU]]="",0,Table110[[#This Row],[Volume Delivered (T)]]/(Table110[[#This Row],[SOC (TPD)]]/24)),"")</f>
        <v>0</v>
      </c>
      <c r="AL355" s="31" t="str">
        <f>IFERROR(Table110[[#This Row],[Operating Time]]/Table110[[#This Row],[PRODUCTION HOURS]],"")</f>
        <v/>
      </c>
      <c r="AM355" s="32"/>
      <c r="AN355" s="32"/>
      <c r="AO355" s="32"/>
      <c r="AP355" s="32">
        <v>0</v>
      </c>
      <c r="AQ355" s="32">
        <v>0</v>
      </c>
      <c r="AR355" s="32"/>
      <c r="AS355" s="32" t="str">
        <f>IFERROR(SUMIFS(#REF!,#REF!,'Shift Wise-Data Sheet'!A:A,#REF!,"Samridhi Perk Line")/SUMIFS(#REF!,#REF!,'Shift Wise-Data Sheet'!A:A,#REF!,"Samridhi Perk Line"),"")</f>
        <v/>
      </c>
      <c r="AT355" s="32"/>
      <c r="AU355" s="32"/>
      <c r="AV355" s="211">
        <f>IFERROR(VLOOKUP(Table110[[#This Row],[Date]],'Overweight Data'!A353:G1448,6,FALSE),"")</f>
        <v>0</v>
      </c>
      <c r="AW355" s="221">
        <f>IFERROR(
   IF(
      OR(Table110[[#This Row],[Operating Time]]=0, (Table110[[#This Row],[Operating Time]]/IF(AD355&lt;=1,AD355+1,AD355))*60=0),
      1,
      ((Table110[[#This Row],[Operating Time]])/IF(AD355&lt;=1,AD355+1,AD355))*60
   ),
"_")</f>
        <v>1</v>
      </c>
      <c r="AX355" s="221">
        <f>COUNTIFS('Downtime Data'!A:A,Table110[[#This Row],[Date]])</f>
        <v>0</v>
      </c>
      <c r="AY355" s="219" t="str">
        <f>IFERROR((SUM(Table110[[#This Row],[Minor Stoppages]:[Material Shortages]])/Table110[[#This Row],['# Stops]])*60,"")</f>
        <v/>
      </c>
      <c r="AZ355" s="219"/>
      <c r="BA355" s="33">
        <v>46382</v>
      </c>
    </row>
    <row r="356" spans="1:53" ht="20.149999999999999" customHeight="1" x14ac:dyDescent="0.35">
      <c r="A356" s="21">
        <v>46373</v>
      </c>
      <c r="B356" s="22" t="str">
        <f t="shared" si="6"/>
        <v>Thursday</v>
      </c>
      <c r="C356" s="22"/>
      <c r="D356" s="23"/>
      <c r="E356" s="24" t="str" cm="1">
        <f t="array" aca="1" ref="E356" ca="1">IFERROR(INDIRECT(D356),"")</f>
        <v/>
      </c>
      <c r="F356" s="25"/>
      <c r="G356" s="26"/>
      <c r="H356" s="27" t="str">
        <f ca="1">IFERROR((Table110[[#This Row],[Plan]]/Table110[[#This Row],[Hours Used]])/(Table110[[#This Row],[SOC (TPD)]]/24),"")</f>
        <v/>
      </c>
      <c r="I356" s="27" t="str">
        <f ca="1">IFERROR((Table110[[#This Row],[Volume Delivered (T)]]/Table110[[#This Row],[Hours Used]])/(Table110[[#This Row],[SOC (TPD)]]/24),"")</f>
        <v/>
      </c>
      <c r="J356" s="28"/>
      <c r="K356" s="28"/>
      <c r="L356" s="28"/>
      <c r="M356" s="25"/>
      <c r="N356" s="29"/>
      <c r="O356" s="84"/>
      <c r="P356" s="25"/>
      <c r="Q356" s="25"/>
      <c r="R356" s="70"/>
      <c r="S356" s="71"/>
      <c r="T356" s="30">
        <f>IF(Table110[[#This Row],[SKU]]="",0,24-Table110[[#This Row],[Legal Non-Operating Time]]-Table110[[#This Row],[No Demand Time]]-Table110[[#This Row],[Force Majeure]])</f>
        <v>0</v>
      </c>
      <c r="U356" s="26"/>
      <c r="V356" s="26"/>
      <c r="W356" s="26"/>
      <c r="X356" s="26"/>
      <c r="Y356" s="26"/>
      <c r="Z356" s="26"/>
      <c r="AA356" s="26"/>
      <c r="AB356" s="30">
        <f>Table110[[#This Row],[Hours Used]]-SUM(Table110[[#This Row],[Planned Maintenance]:[Start and Finish Production]])</f>
        <v>0</v>
      </c>
      <c r="AC356" s="26"/>
      <c r="AD356" s="26"/>
      <c r="AE356" s="26"/>
      <c r="AF356" s="26"/>
      <c r="AG356" s="26"/>
      <c r="AH356" s="26"/>
      <c r="AI356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356" s="24">
        <f>IFERROR(IF(Table110[[#This Row],[SKU]]="",0,Table110[[#This Row],[Quality Loss (T)]]/(Table110[[#This Row],[SOC (TPD)]]/24)),"")</f>
        <v>0</v>
      </c>
      <c r="AK356" s="31">
        <f>IFERROR(IF(Table110[[#This Row],[SKU]]="",0,Table110[[#This Row],[Volume Delivered (T)]]/(Table110[[#This Row],[SOC (TPD)]]/24)),"")</f>
        <v>0</v>
      </c>
      <c r="AL356" s="31" t="str">
        <f>IFERROR(Table110[[#This Row],[Operating Time]]/Table110[[#This Row],[PRODUCTION HOURS]],"")</f>
        <v/>
      </c>
      <c r="AM356" s="32"/>
      <c r="AN356" s="32"/>
      <c r="AO356" s="32"/>
      <c r="AP356" s="32">
        <v>0</v>
      </c>
      <c r="AQ356" s="32">
        <v>0</v>
      </c>
      <c r="AR356" s="32"/>
      <c r="AS356" s="32" t="str">
        <f>IFERROR(SUMIFS(#REF!,#REF!,'Shift Wise-Data Sheet'!A:A,#REF!,"Samridhi Perk Line")/SUMIFS(#REF!,#REF!,'Shift Wise-Data Sheet'!A:A,#REF!,"Samridhi Perk Line"),"")</f>
        <v/>
      </c>
      <c r="AT356" s="32"/>
      <c r="AU356" s="32"/>
      <c r="AV356" s="211">
        <f>IFERROR(VLOOKUP(Table110[[#This Row],[Date]],'Overweight Data'!A354:G1449,6,FALSE),"")</f>
        <v>0</v>
      </c>
      <c r="AW356" s="221">
        <f>IFERROR(
   IF(
      OR(Table110[[#This Row],[Operating Time]]=0, (Table110[[#This Row],[Operating Time]]/IF(AD356&lt;=1,AD356+1,AD356))*60=0),
      1,
      ((Table110[[#This Row],[Operating Time]])/IF(AD356&lt;=1,AD356+1,AD356))*60
   ),
"_")</f>
        <v>1</v>
      </c>
      <c r="AX356" s="221">
        <f>COUNTIFS('Downtime Data'!A:A,Table110[[#This Row],[Date]])</f>
        <v>0</v>
      </c>
      <c r="AY356" s="219" t="str">
        <f>IFERROR((SUM(Table110[[#This Row],[Minor Stoppages]:[Material Shortages]])/Table110[[#This Row],['# Stops]])*60,"")</f>
        <v/>
      </c>
      <c r="AZ356" s="219"/>
      <c r="BA356" s="33">
        <v>46382</v>
      </c>
    </row>
    <row r="357" spans="1:53" ht="20.149999999999999" customHeight="1" x14ac:dyDescent="0.35">
      <c r="A357" s="21">
        <v>46374</v>
      </c>
      <c r="B357" s="22" t="str">
        <f t="shared" si="6"/>
        <v>Friday</v>
      </c>
      <c r="C357" s="22"/>
      <c r="D357" s="23"/>
      <c r="E357" s="24" t="str" cm="1">
        <f t="array" aca="1" ref="E357" ca="1">IFERROR(INDIRECT(D357),"")</f>
        <v/>
      </c>
      <c r="F357" s="25"/>
      <c r="G357" s="26"/>
      <c r="H357" s="27" t="str">
        <f ca="1">IFERROR((Table110[[#This Row],[Plan]]/Table110[[#This Row],[Hours Used]])/(Table110[[#This Row],[SOC (TPD)]]/24),"")</f>
        <v/>
      </c>
      <c r="I357" s="27" t="str">
        <f ca="1">IFERROR((Table110[[#This Row],[Volume Delivered (T)]]/Table110[[#This Row],[Hours Used]])/(Table110[[#This Row],[SOC (TPD)]]/24),"")</f>
        <v/>
      </c>
      <c r="J357" s="28"/>
      <c r="K357" s="28"/>
      <c r="L357" s="28"/>
      <c r="M357" s="25"/>
      <c r="N357" s="29"/>
      <c r="O357" s="84"/>
      <c r="P357" s="25"/>
      <c r="Q357" s="25"/>
      <c r="R357" s="70"/>
      <c r="S357" s="71"/>
      <c r="T357" s="30">
        <f>IF(Table110[[#This Row],[SKU]]="",0,24-Table110[[#This Row],[Legal Non-Operating Time]]-Table110[[#This Row],[No Demand Time]]-Table110[[#This Row],[Force Majeure]])</f>
        <v>0</v>
      </c>
      <c r="U357" s="26"/>
      <c r="V357" s="26"/>
      <c r="W357" s="26"/>
      <c r="X357" s="26"/>
      <c r="Y357" s="26"/>
      <c r="Z357" s="26"/>
      <c r="AA357" s="26"/>
      <c r="AB357" s="30">
        <f>Table110[[#This Row],[Hours Used]]-SUM(Table110[[#This Row],[Planned Maintenance]:[Start and Finish Production]])</f>
        <v>0</v>
      </c>
      <c r="AC357" s="26"/>
      <c r="AD357" s="26"/>
      <c r="AE357" s="26"/>
      <c r="AF357" s="26"/>
      <c r="AG357" s="26"/>
      <c r="AH357" s="26"/>
      <c r="AI357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357" s="24">
        <f>IFERROR(IF(Table110[[#This Row],[SKU]]="",0,Table110[[#This Row],[Quality Loss (T)]]/(Table110[[#This Row],[SOC (TPD)]]/24)),"")</f>
        <v>0</v>
      </c>
      <c r="AK357" s="31">
        <f>IFERROR(IF(Table110[[#This Row],[SKU]]="",0,Table110[[#This Row],[Volume Delivered (T)]]/(Table110[[#This Row],[SOC (TPD)]]/24)),"")</f>
        <v>0</v>
      </c>
      <c r="AL357" s="31" t="str">
        <f>IFERROR(Table110[[#This Row],[Operating Time]]/Table110[[#This Row],[PRODUCTION HOURS]],"")</f>
        <v/>
      </c>
      <c r="AM357" s="32"/>
      <c r="AN357" s="32"/>
      <c r="AO357" s="32"/>
      <c r="AP357" s="32">
        <v>19</v>
      </c>
      <c r="AQ357" s="32">
        <v>0</v>
      </c>
      <c r="AR357" s="32"/>
      <c r="AS357" s="32" t="str">
        <f>IFERROR(SUMIFS(#REF!,#REF!,'Shift Wise-Data Sheet'!A:A,#REF!,"Samridhi Perk Line")/SUMIFS(#REF!,#REF!,'Shift Wise-Data Sheet'!A:A,#REF!,"Samridhi Perk Line"),"")</f>
        <v/>
      </c>
      <c r="AT357" s="32"/>
      <c r="AU357" s="32"/>
      <c r="AV357" s="211">
        <f>IFERROR(VLOOKUP(Table110[[#This Row],[Date]],'Overweight Data'!A355:G1450,6,FALSE),"")</f>
        <v>0</v>
      </c>
      <c r="AW357" s="221">
        <f>IFERROR(
   IF(
      OR(Table110[[#This Row],[Operating Time]]=0, (Table110[[#This Row],[Operating Time]]/IF(AD357&lt;=1,AD357+1,AD357))*60=0),
      1,
      ((Table110[[#This Row],[Operating Time]])/IF(AD357&lt;=1,AD357+1,AD357))*60
   ),
"_")</f>
        <v>1</v>
      </c>
      <c r="AX357" s="221">
        <f>COUNTIFS('Downtime Data'!A:A,Table110[[#This Row],[Date]])</f>
        <v>0</v>
      </c>
      <c r="AY357" s="219" t="str">
        <f>IFERROR((SUM(Table110[[#This Row],[Minor Stoppages]:[Material Shortages]])/Table110[[#This Row],['# Stops]])*60,"")</f>
        <v/>
      </c>
      <c r="AZ357" s="219"/>
      <c r="BA357" s="33">
        <v>46382</v>
      </c>
    </row>
    <row r="358" spans="1:53" ht="20.149999999999999" customHeight="1" x14ac:dyDescent="0.35">
      <c r="A358" s="21">
        <v>46375</v>
      </c>
      <c r="B358" s="22" t="str">
        <f t="shared" si="6"/>
        <v>Saturday</v>
      </c>
      <c r="C358" s="22"/>
      <c r="D358" s="23"/>
      <c r="E358" s="24" t="str" cm="1">
        <f t="array" aca="1" ref="E358" ca="1">IFERROR(INDIRECT(D358),"")</f>
        <v/>
      </c>
      <c r="F358" s="25"/>
      <c r="G358" s="26"/>
      <c r="H358" s="27" t="str">
        <f ca="1">IFERROR((Table110[[#This Row],[Plan]]/Table110[[#This Row],[Hours Used]])/(Table110[[#This Row],[SOC (TPD)]]/24),"")</f>
        <v/>
      </c>
      <c r="I358" s="27" t="str">
        <f ca="1">IFERROR((Table110[[#This Row],[Volume Delivered (T)]]/Table110[[#This Row],[Hours Used]])/(Table110[[#This Row],[SOC (TPD)]]/24),"")</f>
        <v/>
      </c>
      <c r="J358" s="28"/>
      <c r="K358" s="28"/>
      <c r="L358" s="28"/>
      <c r="M358" s="25"/>
      <c r="N358" s="29"/>
      <c r="O358" s="84"/>
      <c r="P358" s="25"/>
      <c r="Q358" s="25"/>
      <c r="R358" s="70"/>
      <c r="S358" s="71"/>
      <c r="T358" s="30">
        <f>IF(Table110[[#This Row],[SKU]]="",0,24-Table110[[#This Row],[Legal Non-Operating Time]]-Table110[[#This Row],[No Demand Time]]-Table110[[#This Row],[Force Majeure]])</f>
        <v>0</v>
      </c>
      <c r="U358" s="26"/>
      <c r="V358" s="26"/>
      <c r="W358" s="26"/>
      <c r="X358" s="26"/>
      <c r="Y358" s="26"/>
      <c r="Z358" s="26"/>
      <c r="AA358" s="26"/>
      <c r="AB358" s="30">
        <f>Table110[[#This Row],[Hours Used]]-SUM(Table110[[#This Row],[Planned Maintenance]:[Start and Finish Production]])</f>
        <v>0</v>
      </c>
      <c r="AC358" s="26"/>
      <c r="AD358" s="26"/>
      <c r="AE358" s="26"/>
      <c r="AF358" s="26"/>
      <c r="AG358" s="26"/>
      <c r="AH358" s="26"/>
      <c r="AI358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358" s="24">
        <f>IFERROR(IF(Table110[[#This Row],[SKU]]="",0,Table110[[#This Row],[Quality Loss (T)]]/(Table110[[#This Row],[SOC (TPD)]]/24)),"")</f>
        <v>0</v>
      </c>
      <c r="AK358" s="31">
        <f>IFERROR(IF(Table110[[#This Row],[SKU]]="",0,Table110[[#This Row],[Volume Delivered (T)]]/(Table110[[#This Row],[SOC (TPD)]]/24)),"")</f>
        <v>0</v>
      </c>
      <c r="AL358" s="31" t="str">
        <f>IFERROR(Table110[[#This Row],[Operating Time]]/Table110[[#This Row],[PRODUCTION HOURS]],"")</f>
        <v/>
      </c>
      <c r="AM358" s="32"/>
      <c r="AN358" s="32"/>
      <c r="AO358" s="32"/>
      <c r="AP358" s="32">
        <v>10</v>
      </c>
      <c r="AQ358" s="32">
        <v>0</v>
      </c>
      <c r="AR358" s="32"/>
      <c r="AS358" s="32" t="str">
        <f>IFERROR(SUMIFS(#REF!,#REF!,'Shift Wise-Data Sheet'!A:A,#REF!,"Samridhi Perk Line")/SUMIFS(#REF!,#REF!,'Shift Wise-Data Sheet'!A:A,#REF!,"Samridhi Perk Line"),"")</f>
        <v/>
      </c>
      <c r="AT358" s="32"/>
      <c r="AU358" s="32"/>
      <c r="AV358" s="211">
        <f>IFERROR(VLOOKUP(Table110[[#This Row],[Date]],'Overweight Data'!A356:G1451,6,FALSE),"")</f>
        <v>0</v>
      </c>
      <c r="AW358" s="221">
        <f>IFERROR(
   IF(
      OR(Table110[[#This Row],[Operating Time]]=0, (Table110[[#This Row],[Operating Time]]/IF(AD358&lt;=1,AD358+1,AD358))*60=0),
      1,
      ((Table110[[#This Row],[Operating Time]])/IF(AD358&lt;=1,AD358+1,AD358))*60
   ),
"_")</f>
        <v>1</v>
      </c>
      <c r="AX358" s="221">
        <f>COUNTIFS('Downtime Data'!A:A,Table110[[#This Row],[Date]])</f>
        <v>0</v>
      </c>
      <c r="AY358" s="219" t="str">
        <f>IFERROR((SUM(Table110[[#This Row],[Minor Stoppages]:[Material Shortages]])/Table110[[#This Row],['# Stops]])*60,"")</f>
        <v/>
      </c>
      <c r="AZ358" s="219"/>
      <c r="BA358" s="33">
        <v>46382</v>
      </c>
    </row>
    <row r="359" spans="1:53" ht="20.149999999999999" customHeight="1" x14ac:dyDescent="0.35">
      <c r="A359" s="21">
        <v>46376</v>
      </c>
      <c r="B359" s="22" t="str">
        <f t="shared" si="6"/>
        <v>Sunday</v>
      </c>
      <c r="C359" s="22"/>
      <c r="D359" s="23"/>
      <c r="E359" s="24" t="str" cm="1">
        <f t="array" aca="1" ref="E359" ca="1">IFERROR(INDIRECT(D359),"")</f>
        <v/>
      </c>
      <c r="F359" s="25"/>
      <c r="G359" s="26"/>
      <c r="H359" s="27" t="str">
        <f ca="1">IFERROR((Table110[[#This Row],[Plan]]/Table110[[#This Row],[Hours Used]])/(Table110[[#This Row],[SOC (TPD)]]/24),"")</f>
        <v/>
      </c>
      <c r="I359" s="27" t="str">
        <f ca="1">IFERROR((Table110[[#This Row],[Volume Delivered (T)]]/Table110[[#This Row],[Hours Used]])/(Table110[[#This Row],[SOC (TPD)]]/24),"")</f>
        <v/>
      </c>
      <c r="J359" s="28"/>
      <c r="K359" s="28"/>
      <c r="L359" s="28"/>
      <c r="M359" s="25"/>
      <c r="N359" s="29"/>
      <c r="O359" s="84"/>
      <c r="P359" s="25"/>
      <c r="Q359" s="25"/>
      <c r="R359" s="70"/>
      <c r="S359" s="71"/>
      <c r="T359" s="30">
        <f>IF(Table110[[#This Row],[SKU]]="",0,24-Table110[[#This Row],[Legal Non-Operating Time]]-Table110[[#This Row],[No Demand Time]]-Table110[[#This Row],[Force Majeure]])</f>
        <v>0</v>
      </c>
      <c r="U359" s="26"/>
      <c r="V359" s="26"/>
      <c r="W359" s="26"/>
      <c r="X359" s="26"/>
      <c r="Y359" s="26"/>
      <c r="Z359" s="26"/>
      <c r="AA359" s="26"/>
      <c r="AB359" s="30">
        <f>Table110[[#This Row],[Hours Used]]-SUM(Table110[[#This Row],[Planned Maintenance]:[Start and Finish Production]])</f>
        <v>0</v>
      </c>
      <c r="AC359" s="26"/>
      <c r="AD359" s="26"/>
      <c r="AE359" s="26"/>
      <c r="AF359" s="26"/>
      <c r="AG359" s="26"/>
      <c r="AH359" s="26"/>
      <c r="AI359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359" s="24">
        <f>IFERROR(IF(Table110[[#This Row],[SKU]]="",0,Table110[[#This Row],[Quality Loss (T)]]/(Table110[[#This Row],[SOC (TPD)]]/24)),"")</f>
        <v>0</v>
      </c>
      <c r="AK359" s="31">
        <f>IFERROR(IF(Table110[[#This Row],[SKU]]="",0,Table110[[#This Row],[Volume Delivered (T)]]/(Table110[[#This Row],[SOC (TPD)]]/24)),"")</f>
        <v>0</v>
      </c>
      <c r="AL359" s="31" t="str">
        <f>IFERROR(Table110[[#This Row],[Operating Time]]/Table110[[#This Row],[PRODUCTION HOURS]],"")</f>
        <v/>
      </c>
      <c r="AM359" s="32"/>
      <c r="AN359" s="32"/>
      <c r="AO359" s="32"/>
      <c r="AP359" s="32">
        <v>0</v>
      </c>
      <c r="AQ359" s="32">
        <v>0</v>
      </c>
      <c r="AR359" s="32"/>
      <c r="AS359" s="32" t="str">
        <f>IFERROR(SUMIFS(#REF!,#REF!,'Shift Wise-Data Sheet'!A:A,#REF!,"Samridhi Perk Line")/SUMIFS(#REF!,#REF!,'Shift Wise-Data Sheet'!A:A,#REF!,"Samridhi Perk Line"),"")</f>
        <v/>
      </c>
      <c r="AT359" s="32"/>
      <c r="AU359" s="32"/>
      <c r="AV359" s="211">
        <f>IFERROR(VLOOKUP(Table110[[#This Row],[Date]],'Overweight Data'!A357:G1452,6,FALSE),"")</f>
        <v>0</v>
      </c>
      <c r="AW359" s="221">
        <f>IFERROR(
   IF(
      OR(Table110[[#This Row],[Operating Time]]=0, (Table110[[#This Row],[Operating Time]]/IF(AD359&lt;=1,AD359+1,AD359))*60=0),
      1,
      ((Table110[[#This Row],[Operating Time]])/IF(AD359&lt;=1,AD359+1,AD359))*60
   ),
"_")</f>
        <v>1</v>
      </c>
      <c r="AX359" s="221">
        <f>COUNTIFS('Downtime Data'!A:A,Table110[[#This Row],[Date]])</f>
        <v>0</v>
      </c>
      <c r="AY359" s="219" t="str">
        <f>IFERROR((SUM(Table110[[#This Row],[Minor Stoppages]:[Material Shortages]])/Table110[[#This Row],['# Stops]])*60,"")</f>
        <v/>
      </c>
      <c r="AZ359" s="219"/>
      <c r="BA359" s="33">
        <v>46382</v>
      </c>
    </row>
    <row r="360" spans="1:53" ht="20.149999999999999" customHeight="1" x14ac:dyDescent="0.35">
      <c r="A360" s="21">
        <v>46377</v>
      </c>
      <c r="B360" s="22" t="str">
        <f t="shared" si="6"/>
        <v>Monday</v>
      </c>
      <c r="C360" s="22"/>
      <c r="D360" s="23"/>
      <c r="E360" s="24" t="str" cm="1">
        <f t="array" aca="1" ref="E360" ca="1">IFERROR(INDIRECT(D360),"")</f>
        <v/>
      </c>
      <c r="F360" s="25"/>
      <c r="G360" s="26"/>
      <c r="H360" s="27" t="str">
        <f ca="1">IFERROR((Table110[[#This Row],[Plan]]/Table110[[#This Row],[Hours Used]])/(Table110[[#This Row],[SOC (TPD)]]/24),"")</f>
        <v/>
      </c>
      <c r="I360" s="27" t="str">
        <f ca="1">IFERROR((Table110[[#This Row],[Volume Delivered (T)]]/Table110[[#This Row],[Hours Used]])/(Table110[[#This Row],[SOC (TPD)]]/24),"")</f>
        <v/>
      </c>
      <c r="J360" s="28"/>
      <c r="K360" s="28"/>
      <c r="L360" s="28"/>
      <c r="M360" s="25"/>
      <c r="N360" s="29"/>
      <c r="O360" s="84"/>
      <c r="P360" s="25"/>
      <c r="Q360" s="25"/>
      <c r="R360" s="70"/>
      <c r="S360" s="71"/>
      <c r="T360" s="30">
        <f>IF(Table110[[#This Row],[SKU]]="",0,24-Table110[[#This Row],[Legal Non-Operating Time]]-Table110[[#This Row],[No Demand Time]]-Table110[[#This Row],[Force Majeure]])</f>
        <v>0</v>
      </c>
      <c r="U360" s="26"/>
      <c r="V360" s="26"/>
      <c r="W360" s="26"/>
      <c r="X360" s="26"/>
      <c r="Y360" s="26"/>
      <c r="Z360" s="26"/>
      <c r="AA360" s="26"/>
      <c r="AB360" s="30">
        <f>Table110[[#This Row],[Hours Used]]-SUM(Table110[[#This Row],[Planned Maintenance]:[Start and Finish Production]])</f>
        <v>0</v>
      </c>
      <c r="AC360" s="26"/>
      <c r="AD360" s="26"/>
      <c r="AE360" s="26"/>
      <c r="AF360" s="26"/>
      <c r="AG360" s="26"/>
      <c r="AH360" s="26"/>
      <c r="AI360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360" s="24">
        <f>IFERROR(IF(Table110[[#This Row],[SKU]]="",0,Table110[[#This Row],[Quality Loss (T)]]/(Table110[[#This Row],[SOC (TPD)]]/24)),"")</f>
        <v>0</v>
      </c>
      <c r="AK360" s="31">
        <f>IFERROR(IF(Table110[[#This Row],[SKU]]="",0,Table110[[#This Row],[Volume Delivered (T)]]/(Table110[[#This Row],[SOC (TPD)]]/24)),"")</f>
        <v>0</v>
      </c>
      <c r="AL360" s="31" t="str">
        <f>IFERROR(Table110[[#This Row],[Operating Time]]/Table110[[#This Row],[PRODUCTION HOURS]],"")</f>
        <v/>
      </c>
      <c r="AM360" s="32"/>
      <c r="AN360" s="32"/>
      <c r="AO360" s="32"/>
      <c r="AP360" s="32">
        <v>0</v>
      </c>
      <c r="AQ360" s="32">
        <v>0</v>
      </c>
      <c r="AR360" s="32"/>
      <c r="AS360" s="32" t="str">
        <f>IFERROR(SUMIFS(#REF!,#REF!,'Shift Wise-Data Sheet'!A:A,#REF!,"Samridhi Perk Line")/SUMIFS(#REF!,#REF!,'Shift Wise-Data Sheet'!A:A,#REF!,"Samridhi Perk Line"),"")</f>
        <v/>
      </c>
      <c r="AT360" s="32"/>
      <c r="AU360" s="32"/>
      <c r="AV360" s="211">
        <f>IFERROR(VLOOKUP(Table110[[#This Row],[Date]],'Overweight Data'!A358:G1453,6,FALSE),"")</f>
        <v>0</v>
      </c>
      <c r="AW360" s="221">
        <f>IFERROR(
   IF(
      OR(Table110[[#This Row],[Operating Time]]=0, (Table110[[#This Row],[Operating Time]]/IF(AD360&lt;=1,AD360+1,AD360))*60=0),
      1,
      ((Table110[[#This Row],[Operating Time]])/IF(AD360&lt;=1,AD360+1,AD360))*60
   ),
"_")</f>
        <v>1</v>
      </c>
      <c r="AX360" s="221">
        <f>COUNTIFS('Downtime Data'!A:A,Table110[[#This Row],[Date]])</f>
        <v>0</v>
      </c>
      <c r="AY360" s="219" t="str">
        <f>IFERROR((SUM(Table110[[#This Row],[Minor Stoppages]:[Material Shortages]])/Table110[[#This Row],['# Stops]])*60,"")</f>
        <v/>
      </c>
      <c r="AZ360" s="219"/>
      <c r="BA360" s="33">
        <v>46382</v>
      </c>
    </row>
    <row r="361" spans="1:53" ht="20.149999999999999" customHeight="1" x14ac:dyDescent="0.35">
      <c r="A361" s="21">
        <v>46378</v>
      </c>
      <c r="B361" s="22" t="str">
        <f t="shared" si="6"/>
        <v>Tuesday</v>
      </c>
      <c r="C361" s="22"/>
      <c r="D361" s="23"/>
      <c r="E361" s="24" t="str" cm="1">
        <f t="array" aca="1" ref="E361" ca="1">IFERROR(INDIRECT(D361),"")</f>
        <v/>
      </c>
      <c r="F361" s="25"/>
      <c r="G361" s="26"/>
      <c r="H361" s="27" t="str">
        <f ca="1">IFERROR((Table110[[#This Row],[Plan]]/Table110[[#This Row],[Hours Used]])/(Table110[[#This Row],[SOC (TPD)]]/24),"")</f>
        <v/>
      </c>
      <c r="I361" s="27" t="str">
        <f ca="1">IFERROR((Table110[[#This Row],[Volume Delivered (T)]]/Table110[[#This Row],[Hours Used]])/(Table110[[#This Row],[SOC (TPD)]]/24),"")</f>
        <v/>
      </c>
      <c r="J361" s="28"/>
      <c r="K361" s="28"/>
      <c r="L361" s="28"/>
      <c r="M361" s="25"/>
      <c r="N361" s="29"/>
      <c r="O361" s="84"/>
      <c r="P361" s="25"/>
      <c r="Q361" s="25"/>
      <c r="R361" s="70"/>
      <c r="S361" s="71"/>
      <c r="T361" s="30">
        <f>IF(Table110[[#This Row],[SKU]]="",0,24-Table110[[#This Row],[Legal Non-Operating Time]]-Table110[[#This Row],[No Demand Time]]-Table110[[#This Row],[Force Majeure]])</f>
        <v>0</v>
      </c>
      <c r="U361" s="26"/>
      <c r="V361" s="26"/>
      <c r="W361" s="26"/>
      <c r="X361" s="26"/>
      <c r="Y361" s="26"/>
      <c r="Z361" s="26"/>
      <c r="AA361" s="26"/>
      <c r="AB361" s="30">
        <f>Table110[[#This Row],[Hours Used]]-SUM(Table110[[#This Row],[Planned Maintenance]:[Start and Finish Production]])</f>
        <v>0</v>
      </c>
      <c r="AC361" s="26"/>
      <c r="AD361" s="26"/>
      <c r="AE361" s="26"/>
      <c r="AF361" s="26"/>
      <c r="AG361" s="26"/>
      <c r="AH361" s="26"/>
      <c r="AI361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361" s="24">
        <f>IFERROR(IF(Table110[[#This Row],[SKU]]="",0,Table110[[#This Row],[Quality Loss (T)]]/(Table110[[#This Row],[SOC (TPD)]]/24)),"")</f>
        <v>0</v>
      </c>
      <c r="AK361" s="31">
        <f>IFERROR(IF(Table110[[#This Row],[SKU]]="",0,Table110[[#This Row],[Volume Delivered (T)]]/(Table110[[#This Row],[SOC (TPD)]]/24)),"")</f>
        <v>0</v>
      </c>
      <c r="AL361" s="31" t="str">
        <f>IFERROR(Table110[[#This Row],[Operating Time]]/Table110[[#This Row],[PRODUCTION HOURS]],"")</f>
        <v/>
      </c>
      <c r="AM361" s="32"/>
      <c r="AN361" s="32"/>
      <c r="AO361" s="32"/>
      <c r="AP361" s="32">
        <v>0</v>
      </c>
      <c r="AQ361" s="32">
        <v>0</v>
      </c>
      <c r="AR361" s="32"/>
      <c r="AS361" s="32" t="str">
        <f>IFERROR(SUMIFS(#REF!,#REF!,'Shift Wise-Data Sheet'!A:A,#REF!,"Samridhi Perk Line")/SUMIFS(#REF!,#REF!,'Shift Wise-Data Sheet'!A:A,#REF!,"Samridhi Perk Line"),"")</f>
        <v/>
      </c>
      <c r="AT361" s="32"/>
      <c r="AU361" s="32"/>
      <c r="AV361" s="211">
        <f>IFERROR(VLOOKUP(Table110[[#This Row],[Date]],'Overweight Data'!A359:G1454,6,FALSE),"")</f>
        <v>0</v>
      </c>
      <c r="AW361" s="221">
        <f>IFERROR(
   IF(
      OR(Table110[[#This Row],[Operating Time]]=0, (Table110[[#This Row],[Operating Time]]/IF(AD361&lt;=1,AD361+1,AD361))*60=0),
      1,
      ((Table110[[#This Row],[Operating Time]])/IF(AD361&lt;=1,AD361+1,AD361))*60
   ),
"_")</f>
        <v>1</v>
      </c>
      <c r="AX361" s="221">
        <f>COUNTIFS('Downtime Data'!A:A,Table110[[#This Row],[Date]])</f>
        <v>0</v>
      </c>
      <c r="AY361" s="219" t="str">
        <f>IFERROR((SUM(Table110[[#This Row],[Minor Stoppages]:[Material Shortages]])/Table110[[#This Row],['# Stops]])*60,"")</f>
        <v/>
      </c>
      <c r="AZ361" s="219"/>
      <c r="BA361" s="33">
        <v>46382</v>
      </c>
    </row>
    <row r="362" spans="1:53" ht="20.149999999999999" customHeight="1" x14ac:dyDescent="0.35">
      <c r="A362" s="21">
        <v>46379</v>
      </c>
      <c r="B362" s="22" t="str">
        <f t="shared" si="6"/>
        <v>Wednesday</v>
      </c>
      <c r="C362" s="22"/>
      <c r="D362" s="23"/>
      <c r="E362" s="24" t="str" cm="1">
        <f t="array" aca="1" ref="E362" ca="1">IFERROR(INDIRECT(D362),"")</f>
        <v/>
      </c>
      <c r="F362" s="25"/>
      <c r="G362" s="26"/>
      <c r="H362" s="27" t="str">
        <f ca="1">IFERROR((Table110[[#This Row],[Plan]]/Table110[[#This Row],[Hours Used]])/(Table110[[#This Row],[SOC (TPD)]]/24),"")</f>
        <v/>
      </c>
      <c r="I362" s="27" t="str">
        <f ca="1">IFERROR((Table110[[#This Row],[Volume Delivered (T)]]/Table110[[#This Row],[Hours Used]])/(Table110[[#This Row],[SOC (TPD)]]/24),"")</f>
        <v/>
      </c>
      <c r="J362" s="28"/>
      <c r="K362" s="28"/>
      <c r="L362" s="28"/>
      <c r="M362" s="25"/>
      <c r="N362" s="29"/>
      <c r="O362" s="84"/>
      <c r="P362" s="25"/>
      <c r="Q362" s="25"/>
      <c r="R362" s="70"/>
      <c r="S362" s="71"/>
      <c r="T362" s="30">
        <f>IF(Table110[[#This Row],[SKU]]="",0,24-Table110[[#This Row],[Legal Non-Operating Time]]-Table110[[#This Row],[No Demand Time]]-Table110[[#This Row],[Force Majeure]])</f>
        <v>0</v>
      </c>
      <c r="U362" s="26"/>
      <c r="V362" s="26"/>
      <c r="W362" s="26"/>
      <c r="X362" s="26"/>
      <c r="Y362" s="26"/>
      <c r="Z362" s="26"/>
      <c r="AA362" s="26"/>
      <c r="AB362" s="30">
        <f>Table110[[#This Row],[Hours Used]]-SUM(Table110[[#This Row],[Planned Maintenance]:[Start and Finish Production]])</f>
        <v>0</v>
      </c>
      <c r="AC362" s="26"/>
      <c r="AD362" s="26"/>
      <c r="AE362" s="26"/>
      <c r="AF362" s="26"/>
      <c r="AG362" s="26"/>
      <c r="AH362" s="26"/>
      <c r="AI362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362" s="24">
        <f>IFERROR(IF(Table110[[#This Row],[SKU]]="",0,Table110[[#This Row],[Quality Loss (T)]]/(Table110[[#This Row],[SOC (TPD)]]/24)),"")</f>
        <v>0</v>
      </c>
      <c r="AK362" s="31">
        <f>IFERROR(IF(Table110[[#This Row],[SKU]]="",0,Table110[[#This Row],[Volume Delivered (T)]]/(Table110[[#This Row],[SOC (TPD)]]/24)),"")</f>
        <v>0</v>
      </c>
      <c r="AL362" s="31" t="str">
        <f>IFERROR(Table110[[#This Row],[Operating Time]]/Table110[[#This Row],[PRODUCTION HOURS]],"")</f>
        <v/>
      </c>
      <c r="AM362" s="32"/>
      <c r="AN362" s="32"/>
      <c r="AO362" s="32"/>
      <c r="AP362" s="32">
        <v>2</v>
      </c>
      <c r="AQ362" s="32">
        <v>0</v>
      </c>
      <c r="AR362" s="32"/>
      <c r="AS362" s="32" t="str">
        <f>IFERROR(SUMIFS(#REF!,#REF!,'Shift Wise-Data Sheet'!A:A,#REF!,"Samridhi Perk Line")/SUMIFS(#REF!,#REF!,'Shift Wise-Data Sheet'!A:A,#REF!,"Samridhi Perk Line"),"")</f>
        <v/>
      </c>
      <c r="AT362" s="32"/>
      <c r="AU362" s="32"/>
      <c r="AV362" s="211">
        <f>IFERROR(VLOOKUP(Table110[[#This Row],[Date]],'Overweight Data'!A360:G1455,6,FALSE),"")</f>
        <v>0</v>
      </c>
      <c r="AW362" s="221">
        <f>IFERROR(
   IF(
      OR(Table110[[#This Row],[Operating Time]]=0, (Table110[[#This Row],[Operating Time]]/IF(AD362&lt;=1,AD362+1,AD362))*60=0),
      1,
      ((Table110[[#This Row],[Operating Time]])/IF(AD362&lt;=1,AD362+1,AD362))*60
   ),
"_")</f>
        <v>1</v>
      </c>
      <c r="AX362" s="221">
        <f>COUNTIFS('Downtime Data'!A:A,Table110[[#This Row],[Date]])</f>
        <v>0</v>
      </c>
      <c r="AY362" s="219" t="str">
        <f>IFERROR((SUM(Table110[[#This Row],[Minor Stoppages]:[Material Shortages]])/Table110[[#This Row],['# Stops]])*60,"")</f>
        <v/>
      </c>
      <c r="AZ362" s="219"/>
      <c r="BA362" s="33">
        <v>46382</v>
      </c>
    </row>
    <row r="363" spans="1:53" ht="20.149999999999999" customHeight="1" x14ac:dyDescent="0.35">
      <c r="A363" s="21">
        <v>46380</v>
      </c>
      <c r="B363" s="22" t="str">
        <f t="shared" si="6"/>
        <v>Thursday</v>
      </c>
      <c r="C363" s="22"/>
      <c r="D363" s="23"/>
      <c r="E363" s="24" t="str" cm="1">
        <f t="array" aca="1" ref="E363" ca="1">IFERROR(INDIRECT(D363),"")</f>
        <v/>
      </c>
      <c r="F363" s="25"/>
      <c r="G363" s="26"/>
      <c r="H363" s="27" t="str">
        <f ca="1">IFERROR((Table110[[#This Row],[Plan]]/Table110[[#This Row],[Hours Used]])/(Table110[[#This Row],[SOC (TPD)]]/24),"")</f>
        <v/>
      </c>
      <c r="I363" s="27" t="str">
        <f ca="1">IFERROR((Table110[[#This Row],[Volume Delivered (T)]]/Table110[[#This Row],[Hours Used]])/(Table110[[#This Row],[SOC (TPD)]]/24),"")</f>
        <v/>
      </c>
      <c r="J363" s="28"/>
      <c r="K363" s="28"/>
      <c r="L363" s="28"/>
      <c r="M363" s="25"/>
      <c r="N363" s="29"/>
      <c r="O363" s="84"/>
      <c r="P363" s="25"/>
      <c r="Q363" s="25"/>
      <c r="R363" s="70"/>
      <c r="S363" s="71"/>
      <c r="T363" s="30">
        <f>IF(Table110[[#This Row],[SKU]]="",0,24-Table110[[#This Row],[Legal Non-Operating Time]]-Table110[[#This Row],[No Demand Time]]-Table110[[#This Row],[Force Majeure]])</f>
        <v>0</v>
      </c>
      <c r="U363" s="26"/>
      <c r="V363" s="26"/>
      <c r="W363" s="26"/>
      <c r="X363" s="26"/>
      <c r="Y363" s="26"/>
      <c r="Z363" s="26"/>
      <c r="AA363" s="26"/>
      <c r="AB363" s="30">
        <f>Table110[[#This Row],[Hours Used]]-SUM(Table110[[#This Row],[Planned Maintenance]:[Start and Finish Production]])</f>
        <v>0</v>
      </c>
      <c r="AC363" s="26"/>
      <c r="AD363" s="26"/>
      <c r="AE363" s="26"/>
      <c r="AF363" s="26"/>
      <c r="AG363" s="26"/>
      <c r="AH363" s="26"/>
      <c r="AI363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363" s="24">
        <f>IFERROR(IF(Table110[[#This Row],[SKU]]="",0,Table110[[#This Row],[Quality Loss (T)]]/(Table110[[#This Row],[SOC (TPD)]]/24)),"")</f>
        <v>0</v>
      </c>
      <c r="AK363" s="31">
        <f>IFERROR(IF(Table110[[#This Row],[SKU]]="",0,Table110[[#This Row],[Volume Delivered (T)]]/(Table110[[#This Row],[SOC (TPD)]]/24)),"")</f>
        <v>0</v>
      </c>
      <c r="AL363" s="31" t="str">
        <f>IFERROR(Table110[[#This Row],[Operating Time]]/Table110[[#This Row],[PRODUCTION HOURS]],"")</f>
        <v/>
      </c>
      <c r="AM363" s="32"/>
      <c r="AN363" s="32"/>
      <c r="AO363" s="32"/>
      <c r="AP363" s="32">
        <v>4</v>
      </c>
      <c r="AQ363" s="32">
        <v>0</v>
      </c>
      <c r="AR363" s="32"/>
      <c r="AS363" s="32" t="str">
        <f>IFERROR(SUMIFS(#REF!,#REF!,'Shift Wise-Data Sheet'!A:A,#REF!,"Samridhi Perk Line")/SUMIFS(#REF!,#REF!,'Shift Wise-Data Sheet'!A:A,#REF!,"Samridhi Perk Line"),"")</f>
        <v/>
      </c>
      <c r="AT363" s="32"/>
      <c r="AU363" s="32"/>
      <c r="AV363" s="211">
        <f>IFERROR(VLOOKUP(Table110[[#This Row],[Date]],'Overweight Data'!A361:G1456,6,FALSE),"")</f>
        <v>0</v>
      </c>
      <c r="AW363" s="221">
        <f>IFERROR(
   IF(
      OR(Table110[[#This Row],[Operating Time]]=0, (Table110[[#This Row],[Operating Time]]/IF(AD363&lt;=1,AD363+1,AD363))*60=0),
      1,
      ((Table110[[#This Row],[Operating Time]])/IF(AD363&lt;=1,AD363+1,AD363))*60
   ),
"_")</f>
        <v>1</v>
      </c>
      <c r="AX363" s="221">
        <f>COUNTIFS('Downtime Data'!A:A,Table110[[#This Row],[Date]])</f>
        <v>0</v>
      </c>
      <c r="AY363" s="219" t="str">
        <f>IFERROR((SUM(Table110[[#This Row],[Minor Stoppages]:[Material Shortages]])/Table110[[#This Row],['# Stops]])*60,"")</f>
        <v/>
      </c>
      <c r="AZ363" s="219"/>
      <c r="BA363" s="33">
        <v>46382</v>
      </c>
    </row>
    <row r="364" spans="1:53" ht="20.149999999999999" customHeight="1" x14ac:dyDescent="0.35">
      <c r="A364" s="21">
        <v>46381</v>
      </c>
      <c r="B364" s="22" t="str">
        <f t="shared" si="6"/>
        <v>Friday</v>
      </c>
      <c r="C364" s="22"/>
      <c r="D364" s="23"/>
      <c r="E364" s="24" t="str" cm="1">
        <f t="array" aca="1" ref="E364" ca="1">IFERROR(INDIRECT(D364),"")</f>
        <v/>
      </c>
      <c r="F364" s="25"/>
      <c r="G364" s="26"/>
      <c r="H364" s="27" t="str">
        <f ca="1">IFERROR((Table110[[#This Row],[Plan]]/Table110[[#This Row],[Hours Used]])/(Table110[[#This Row],[SOC (TPD)]]/24),"")</f>
        <v/>
      </c>
      <c r="I364" s="27" t="str">
        <f ca="1">IFERROR((Table110[[#This Row],[Volume Delivered (T)]]/Table110[[#This Row],[Hours Used]])/(Table110[[#This Row],[SOC (TPD)]]/24),"")</f>
        <v/>
      </c>
      <c r="J364" s="28"/>
      <c r="K364" s="28"/>
      <c r="L364" s="28"/>
      <c r="M364" s="25"/>
      <c r="N364" s="29"/>
      <c r="O364" s="84"/>
      <c r="P364" s="25"/>
      <c r="Q364" s="25"/>
      <c r="R364" s="70"/>
      <c r="S364" s="71"/>
      <c r="T364" s="30">
        <f>IF(Table110[[#This Row],[SKU]]="",0,24-Table110[[#This Row],[Legal Non-Operating Time]]-Table110[[#This Row],[No Demand Time]]-Table110[[#This Row],[Force Majeure]])</f>
        <v>0</v>
      </c>
      <c r="U364" s="26"/>
      <c r="V364" s="26"/>
      <c r="W364" s="26"/>
      <c r="X364" s="26"/>
      <c r="Y364" s="26"/>
      <c r="Z364" s="26"/>
      <c r="AA364" s="26"/>
      <c r="AB364" s="30">
        <f>Table110[[#This Row],[Hours Used]]-SUM(Table110[[#This Row],[Planned Maintenance]:[Start and Finish Production]])</f>
        <v>0</v>
      </c>
      <c r="AC364" s="26"/>
      <c r="AD364" s="26"/>
      <c r="AE364" s="26"/>
      <c r="AF364" s="26"/>
      <c r="AG364" s="26"/>
      <c r="AH364" s="26"/>
      <c r="AI364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364" s="24">
        <f>IFERROR(IF(Table110[[#This Row],[SKU]]="",0,Table110[[#This Row],[Quality Loss (T)]]/(Table110[[#This Row],[SOC (TPD)]]/24)),"")</f>
        <v>0</v>
      </c>
      <c r="AK364" s="31">
        <f>IFERROR(IF(Table110[[#This Row],[SKU]]="",0,Table110[[#This Row],[Volume Delivered (T)]]/(Table110[[#This Row],[SOC (TPD)]]/24)),"")</f>
        <v>0</v>
      </c>
      <c r="AL364" s="31" t="str">
        <f>IFERROR(Table110[[#This Row],[Operating Time]]/Table110[[#This Row],[PRODUCTION HOURS]],"")</f>
        <v/>
      </c>
      <c r="AM364" s="32"/>
      <c r="AN364" s="32"/>
      <c r="AO364" s="32"/>
      <c r="AP364" s="32">
        <v>1</v>
      </c>
      <c r="AQ364" s="32">
        <v>0</v>
      </c>
      <c r="AR364" s="32"/>
      <c r="AS364" s="32" t="str">
        <f>IFERROR(SUMIFS(#REF!,#REF!,'Shift Wise-Data Sheet'!A:A,#REF!,"Samridhi Perk Line")/SUMIFS(#REF!,#REF!,'Shift Wise-Data Sheet'!A:A,#REF!,"Samridhi Perk Line"),"")</f>
        <v/>
      </c>
      <c r="AT364" s="32"/>
      <c r="AU364" s="32"/>
      <c r="AV364" s="211">
        <f>IFERROR(VLOOKUP(Table110[[#This Row],[Date]],'Overweight Data'!A362:G1457,6,FALSE),"")</f>
        <v>0</v>
      </c>
      <c r="AW364" s="221">
        <f>IFERROR(
   IF(
      OR(Table110[[#This Row],[Operating Time]]=0, (Table110[[#This Row],[Operating Time]]/IF(AD364&lt;=1,AD364+1,AD364))*60=0),
      1,
      ((Table110[[#This Row],[Operating Time]])/IF(AD364&lt;=1,AD364+1,AD364))*60
   ),
"_")</f>
        <v>1</v>
      </c>
      <c r="AX364" s="221">
        <f>COUNTIFS('Downtime Data'!A:A,Table110[[#This Row],[Date]])</f>
        <v>0</v>
      </c>
      <c r="AY364" s="219" t="str">
        <f>IFERROR((SUM(Table110[[#This Row],[Minor Stoppages]:[Material Shortages]])/Table110[[#This Row],['# Stops]])*60,"")</f>
        <v/>
      </c>
      <c r="AZ364" s="219"/>
      <c r="BA364" s="33">
        <v>46382</v>
      </c>
    </row>
    <row r="365" spans="1:53" ht="20.149999999999999" customHeight="1" x14ac:dyDescent="0.35">
      <c r="A365" s="21">
        <v>46382</v>
      </c>
      <c r="B365" s="22" t="str">
        <f t="shared" si="6"/>
        <v>Saturday</v>
      </c>
      <c r="C365" s="22"/>
      <c r="D365" s="23"/>
      <c r="E365" s="24" t="str" cm="1">
        <f t="array" aca="1" ref="E365" ca="1">IFERROR(INDIRECT(D365),"")</f>
        <v/>
      </c>
      <c r="F365" s="25"/>
      <c r="G365" s="26"/>
      <c r="H365" s="27" t="str">
        <f ca="1">IFERROR((Table110[[#This Row],[Plan]]/Table110[[#This Row],[Hours Used]])/(Table110[[#This Row],[SOC (TPD)]]/24),"")</f>
        <v/>
      </c>
      <c r="I365" s="27" t="str">
        <f ca="1">IFERROR((Table110[[#This Row],[Volume Delivered (T)]]/Table110[[#This Row],[Hours Used]])/(Table110[[#This Row],[SOC (TPD)]]/24),"")</f>
        <v/>
      </c>
      <c r="J365" s="28"/>
      <c r="K365" s="28"/>
      <c r="L365" s="28"/>
      <c r="M365" s="25"/>
      <c r="N365" s="29"/>
      <c r="O365" s="84"/>
      <c r="P365" s="25"/>
      <c r="Q365" s="25"/>
      <c r="R365" s="70"/>
      <c r="S365" s="71"/>
      <c r="T365" s="30">
        <f>IF(Table110[[#This Row],[SKU]]="",0,24-Table110[[#This Row],[Legal Non-Operating Time]]-Table110[[#This Row],[No Demand Time]]-Table110[[#This Row],[Force Majeure]])</f>
        <v>0</v>
      </c>
      <c r="U365" s="26"/>
      <c r="V365" s="26"/>
      <c r="W365" s="26"/>
      <c r="X365" s="26"/>
      <c r="Y365" s="26"/>
      <c r="Z365" s="26"/>
      <c r="AA365" s="26"/>
      <c r="AB365" s="30">
        <f>Table110[[#This Row],[Hours Used]]-SUM(Table110[[#This Row],[Planned Maintenance]:[Start and Finish Production]])</f>
        <v>0</v>
      </c>
      <c r="AC365" s="26"/>
      <c r="AD365" s="26"/>
      <c r="AE365" s="26"/>
      <c r="AF365" s="26"/>
      <c r="AG365" s="26"/>
      <c r="AH365" s="26"/>
      <c r="AI365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365" s="24">
        <f>IFERROR(IF(Table110[[#This Row],[SKU]]="",0,Table110[[#This Row],[Quality Loss (T)]]/(Table110[[#This Row],[SOC (TPD)]]/24)),"")</f>
        <v>0</v>
      </c>
      <c r="AK365" s="31">
        <f>IFERROR(IF(Table110[[#This Row],[SKU]]="",0,Table110[[#This Row],[Volume Delivered (T)]]/(Table110[[#This Row],[SOC (TPD)]]/24)),"")</f>
        <v>0</v>
      </c>
      <c r="AL365" s="31" t="str">
        <f>IFERROR(Table110[[#This Row],[Operating Time]]/Table110[[#This Row],[PRODUCTION HOURS]],"")</f>
        <v/>
      </c>
      <c r="AM365" s="32"/>
      <c r="AN365" s="32"/>
      <c r="AO365" s="32"/>
      <c r="AP365" s="32">
        <v>0</v>
      </c>
      <c r="AQ365" s="32">
        <v>0</v>
      </c>
      <c r="AR365" s="32"/>
      <c r="AS365" s="32" t="str">
        <f>IFERROR(SUMIFS(#REF!,#REF!,'Shift Wise-Data Sheet'!A:A,#REF!,"Samridhi Perk Line")/SUMIFS(#REF!,#REF!,'Shift Wise-Data Sheet'!A:A,#REF!,"Samridhi Perk Line"),"")</f>
        <v/>
      </c>
      <c r="AT365" s="32"/>
      <c r="AU365" s="32"/>
      <c r="AV365" s="211">
        <f>IFERROR(VLOOKUP(Table110[[#This Row],[Date]],'Overweight Data'!A363:G1458,6,FALSE),"")</f>
        <v>0</v>
      </c>
      <c r="AW365" s="221">
        <f>IFERROR(
   IF(
      OR(Table110[[#This Row],[Operating Time]]=0, (Table110[[#This Row],[Operating Time]]/IF(AD365&lt;=1,AD365+1,AD365))*60=0),
      1,
      ((Table110[[#This Row],[Operating Time]])/IF(AD365&lt;=1,AD365+1,AD365))*60
   ),
"_")</f>
        <v>1</v>
      </c>
      <c r="AX365" s="221">
        <f>COUNTIFS('Downtime Data'!A:A,Table110[[#This Row],[Date]])</f>
        <v>0</v>
      </c>
      <c r="AY365" s="219" t="str">
        <f>IFERROR((SUM(Table110[[#This Row],[Minor Stoppages]:[Material Shortages]])/Table110[[#This Row],['# Stops]])*60,"")</f>
        <v/>
      </c>
      <c r="AZ365" s="219"/>
      <c r="BA365" s="33">
        <v>46382</v>
      </c>
    </row>
    <row r="366" spans="1:53" ht="20.149999999999999" customHeight="1" x14ac:dyDescent="0.35">
      <c r="A366" s="21">
        <v>46383</v>
      </c>
      <c r="B366" s="22" t="str">
        <f t="shared" si="6"/>
        <v>Sunday</v>
      </c>
      <c r="C366" s="22"/>
      <c r="D366" s="23"/>
      <c r="E366" s="24" t="str" cm="1">
        <f t="array" aca="1" ref="E366" ca="1">IFERROR(INDIRECT(D366),"")</f>
        <v/>
      </c>
      <c r="F366" s="25"/>
      <c r="G366" s="26"/>
      <c r="H366" s="27" t="str">
        <f ca="1">IFERROR((Table110[[#This Row],[Plan]]/Table110[[#This Row],[Hours Used]])/(Table110[[#This Row],[SOC (TPD)]]/24),"")</f>
        <v/>
      </c>
      <c r="I366" s="27" t="str">
        <f ca="1">IFERROR((Table110[[#This Row],[Volume Delivered (T)]]/Table110[[#This Row],[Hours Used]])/(Table110[[#This Row],[SOC (TPD)]]/24),"")</f>
        <v/>
      </c>
      <c r="J366" s="28"/>
      <c r="K366" s="28"/>
      <c r="L366" s="28"/>
      <c r="M366" s="25"/>
      <c r="N366" s="29"/>
      <c r="O366" s="84"/>
      <c r="P366" s="25"/>
      <c r="Q366" s="25"/>
      <c r="R366" s="70"/>
      <c r="S366" s="71"/>
      <c r="T366" s="30">
        <f>IF(Table110[[#This Row],[SKU]]="",0,24-Table110[[#This Row],[Legal Non-Operating Time]]-Table110[[#This Row],[No Demand Time]]-Table110[[#This Row],[Force Majeure]])</f>
        <v>0</v>
      </c>
      <c r="U366" s="26"/>
      <c r="V366" s="26"/>
      <c r="W366" s="26"/>
      <c r="X366" s="26"/>
      <c r="Y366" s="26"/>
      <c r="Z366" s="26"/>
      <c r="AA366" s="26"/>
      <c r="AB366" s="30">
        <f>Table110[[#This Row],[Hours Used]]-SUM(Table110[[#This Row],[Planned Maintenance]:[Start and Finish Production]])</f>
        <v>0</v>
      </c>
      <c r="AC366" s="26"/>
      <c r="AD366" s="26"/>
      <c r="AE366" s="26"/>
      <c r="AF366" s="26"/>
      <c r="AG366" s="26"/>
      <c r="AH366" s="26"/>
      <c r="AI366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366" s="24">
        <f>IFERROR(IF(Table110[[#This Row],[SKU]]="",0,Table110[[#This Row],[Quality Loss (T)]]/(Table110[[#This Row],[SOC (TPD)]]/24)),"")</f>
        <v>0</v>
      </c>
      <c r="AK366" s="31">
        <f>IFERROR(IF(Table110[[#This Row],[SKU]]="",0,Table110[[#This Row],[Volume Delivered (T)]]/(Table110[[#This Row],[SOC (TPD)]]/24)),"")</f>
        <v>0</v>
      </c>
      <c r="AL366" s="31" t="str">
        <f>IFERROR(Table110[[#This Row],[Operating Time]]/Table110[[#This Row],[PRODUCTION HOURS]],"")</f>
        <v/>
      </c>
      <c r="AM366" s="32"/>
      <c r="AN366" s="32"/>
      <c r="AO366" s="32"/>
      <c r="AP366" s="32">
        <v>23</v>
      </c>
      <c r="AQ366" s="32">
        <v>0</v>
      </c>
      <c r="AR366" s="32"/>
      <c r="AS366" s="32" t="str">
        <f>IFERROR(SUMIFS(#REF!,#REF!,'Shift Wise-Data Sheet'!A:A,#REF!,"Samridhi Perk Line")/SUMIFS(#REF!,#REF!,'Shift Wise-Data Sheet'!A:A,#REF!,"Samridhi Perk Line"),"")</f>
        <v/>
      </c>
      <c r="AT366" s="32"/>
      <c r="AU366" s="32"/>
      <c r="AV366" s="211">
        <f>IFERROR(VLOOKUP(Table110[[#This Row],[Date]],'Overweight Data'!A364:G1459,6,FALSE),"")</f>
        <v>0</v>
      </c>
      <c r="AW366" s="221">
        <f>IFERROR(
   IF(
      OR(Table110[[#This Row],[Operating Time]]=0, (Table110[[#This Row],[Operating Time]]/IF(AD366&lt;=1,AD366+1,AD366))*60=0),
      1,
      ((Table110[[#This Row],[Operating Time]])/IF(AD366&lt;=1,AD366+1,AD366))*60
   ),
"_")</f>
        <v>1</v>
      </c>
      <c r="AX366" s="221">
        <f>COUNTIFS('Downtime Data'!A:A,Table110[[#This Row],[Date]])</f>
        <v>0</v>
      </c>
      <c r="AY366" s="219" t="str">
        <f>IFERROR((SUM(Table110[[#This Row],[Minor Stoppages]:[Material Shortages]])/Table110[[#This Row],['# Stops]])*60,"")</f>
        <v/>
      </c>
      <c r="AZ366" s="219"/>
      <c r="BA366" s="33">
        <v>46382</v>
      </c>
    </row>
    <row r="367" spans="1:53" ht="20.149999999999999" customHeight="1" x14ac:dyDescent="0.35">
      <c r="A367" s="21">
        <v>46384</v>
      </c>
      <c r="B367" s="22" t="str">
        <f t="shared" si="6"/>
        <v>Monday</v>
      </c>
      <c r="C367" s="22"/>
      <c r="D367" s="23"/>
      <c r="E367" s="24" t="str" cm="1">
        <f t="array" aca="1" ref="E367" ca="1">IFERROR(INDIRECT(D367),"")</f>
        <v/>
      </c>
      <c r="F367" s="25"/>
      <c r="G367" s="26"/>
      <c r="H367" s="27" t="str">
        <f ca="1">IFERROR((Table110[[#This Row],[Plan]]/Table110[[#This Row],[Hours Used]])/(Table110[[#This Row],[SOC (TPD)]]/24),"")</f>
        <v/>
      </c>
      <c r="I367" s="27" t="str">
        <f ca="1">IFERROR((Table110[[#This Row],[Volume Delivered (T)]]/Table110[[#This Row],[Hours Used]])/(Table110[[#This Row],[SOC (TPD)]]/24),"")</f>
        <v/>
      </c>
      <c r="J367" s="28"/>
      <c r="K367" s="28"/>
      <c r="L367" s="28"/>
      <c r="M367" s="25"/>
      <c r="N367" s="29"/>
      <c r="O367" s="84"/>
      <c r="P367" s="25"/>
      <c r="Q367" s="25"/>
      <c r="R367" s="70"/>
      <c r="S367" s="71"/>
      <c r="T367" s="30">
        <f>IF(Table110[[#This Row],[SKU]]="",0,24-Table110[[#This Row],[Legal Non-Operating Time]]-Table110[[#This Row],[No Demand Time]]-Table110[[#This Row],[Force Majeure]])</f>
        <v>0</v>
      </c>
      <c r="U367" s="26"/>
      <c r="V367" s="26"/>
      <c r="W367" s="26"/>
      <c r="X367" s="26"/>
      <c r="Y367" s="26"/>
      <c r="Z367" s="26"/>
      <c r="AA367" s="26"/>
      <c r="AB367" s="30">
        <f>Table110[[#This Row],[Hours Used]]-SUM(Table110[[#This Row],[Planned Maintenance]:[Start and Finish Production]])</f>
        <v>0</v>
      </c>
      <c r="AC367" s="26"/>
      <c r="AD367" s="26"/>
      <c r="AE367" s="26"/>
      <c r="AF367" s="26"/>
      <c r="AG367" s="26"/>
      <c r="AH367" s="26"/>
      <c r="AI367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367" s="24">
        <f>IFERROR(IF(Table110[[#This Row],[SKU]]="",0,Table110[[#This Row],[Quality Loss (T)]]/(Table110[[#This Row],[SOC (TPD)]]/24)),"")</f>
        <v>0</v>
      </c>
      <c r="AK367" s="31">
        <f>IFERROR(IF(Table110[[#This Row],[SKU]]="",0,Table110[[#This Row],[Volume Delivered (T)]]/(Table110[[#This Row],[SOC (TPD)]]/24)),"")</f>
        <v>0</v>
      </c>
      <c r="AL367" s="31" t="str">
        <f>IFERROR(Table110[[#This Row],[Operating Time]]/Table110[[#This Row],[PRODUCTION HOURS]],"")</f>
        <v/>
      </c>
      <c r="AM367" s="32"/>
      <c r="AN367" s="32"/>
      <c r="AO367" s="32"/>
      <c r="AP367" s="32"/>
      <c r="AQ367" s="32"/>
      <c r="AR367" s="32"/>
      <c r="AS367" s="32" t="str">
        <f>IFERROR(SUMIFS(#REF!,#REF!,'Shift Wise-Data Sheet'!A:A,#REF!,"Samridhi Perk Line")/SUMIFS(#REF!,#REF!,'Shift Wise-Data Sheet'!A:A,#REF!,"Samridhi Perk Line"),"")</f>
        <v/>
      </c>
      <c r="AT367" s="32"/>
      <c r="AU367" s="32"/>
      <c r="AV367" s="211">
        <f>IFERROR(VLOOKUP(Table110[[#This Row],[Date]],'Overweight Data'!A365:G1460,6,FALSE),"")</f>
        <v>0</v>
      </c>
      <c r="AW367" s="221">
        <f>IFERROR(
   IF(
      OR(Table110[[#This Row],[Operating Time]]=0, (Table110[[#This Row],[Operating Time]]/IF(AD367&lt;=1,AD367+1,AD367))*60=0),
      1,
      ((Table110[[#This Row],[Operating Time]])/IF(AD367&lt;=1,AD367+1,AD367))*60
   ),
"_")</f>
        <v>1</v>
      </c>
      <c r="AX367" s="221">
        <f>COUNTIFS('Downtime Data'!A:A,Table110[[#This Row],[Date]])</f>
        <v>0</v>
      </c>
      <c r="AY367" s="219" t="str">
        <f>IFERROR((SUM(Table110[[#This Row],[Minor Stoppages]:[Material Shortages]])/Table110[[#This Row],['# Stops]])*60,"")</f>
        <v/>
      </c>
      <c r="AZ367" s="219"/>
      <c r="BA367" s="33">
        <v>46382</v>
      </c>
    </row>
    <row r="368" spans="1:53" ht="20.149999999999999" customHeight="1" x14ac:dyDescent="0.35">
      <c r="A368" s="21">
        <v>46385</v>
      </c>
      <c r="B368" s="22" t="str">
        <f t="shared" si="6"/>
        <v>Tuesday</v>
      </c>
      <c r="C368" s="22"/>
      <c r="D368" s="23"/>
      <c r="E368" s="24" t="str" cm="1">
        <f t="array" aca="1" ref="E368" ca="1">IFERROR(INDIRECT(D368),"")</f>
        <v/>
      </c>
      <c r="F368" s="25"/>
      <c r="G368" s="26"/>
      <c r="H368" s="27" t="str">
        <f ca="1">IFERROR((Table110[[#This Row],[Plan]]/Table110[[#This Row],[Hours Used]])/(Table110[[#This Row],[SOC (TPD)]]/24),"")</f>
        <v/>
      </c>
      <c r="I368" s="27" t="str">
        <f ca="1">IFERROR((Table110[[#This Row],[Volume Delivered (T)]]/Table110[[#This Row],[Hours Used]])/(Table110[[#This Row],[SOC (TPD)]]/24),"")</f>
        <v/>
      </c>
      <c r="J368" s="28"/>
      <c r="K368" s="28"/>
      <c r="L368" s="28"/>
      <c r="M368" s="25"/>
      <c r="N368" s="29"/>
      <c r="O368" s="84"/>
      <c r="P368" s="25"/>
      <c r="Q368" s="25"/>
      <c r="R368" s="70"/>
      <c r="S368" s="71"/>
      <c r="T368" s="30">
        <f>IF(Table110[[#This Row],[SKU]]="",0,24-Table110[[#This Row],[Legal Non-Operating Time]]-Table110[[#This Row],[No Demand Time]]-Table110[[#This Row],[Force Majeure]])</f>
        <v>0</v>
      </c>
      <c r="U368" s="26"/>
      <c r="V368" s="26"/>
      <c r="W368" s="26"/>
      <c r="X368" s="26"/>
      <c r="Y368" s="26"/>
      <c r="Z368" s="26"/>
      <c r="AA368" s="26"/>
      <c r="AB368" s="30">
        <f>Table110[[#This Row],[Hours Used]]-SUM(Table110[[#This Row],[Planned Maintenance]:[Start and Finish Production]])</f>
        <v>0</v>
      </c>
      <c r="AC368" s="26"/>
      <c r="AD368" s="26"/>
      <c r="AE368" s="26"/>
      <c r="AF368" s="26"/>
      <c r="AG368" s="26"/>
      <c r="AH368" s="26"/>
      <c r="AI368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368" s="24">
        <f>IFERROR(IF(Table110[[#This Row],[SKU]]="",0,Table110[[#This Row],[Quality Loss (T)]]/(Table110[[#This Row],[SOC (TPD)]]/24)),"")</f>
        <v>0</v>
      </c>
      <c r="AK368" s="31">
        <f>IFERROR(IF(Table110[[#This Row],[SKU]]="",0,Table110[[#This Row],[Volume Delivered (T)]]/(Table110[[#This Row],[SOC (TPD)]]/24)),"")</f>
        <v>0</v>
      </c>
      <c r="AL368" s="31" t="str">
        <f>IFERROR(Table110[[#This Row],[Operating Time]]/Table110[[#This Row],[PRODUCTION HOURS]],"")</f>
        <v/>
      </c>
      <c r="AM368" s="32"/>
      <c r="AN368" s="32"/>
      <c r="AO368" s="32"/>
      <c r="AP368" s="32"/>
      <c r="AQ368" s="32"/>
      <c r="AR368" s="32"/>
      <c r="AS368" s="32" t="str">
        <f>IFERROR(SUMIFS(#REF!,#REF!,'Shift Wise-Data Sheet'!A:A,#REF!,"Samridhi Perk Line")/SUMIFS(#REF!,#REF!,'Shift Wise-Data Sheet'!A:A,#REF!,"Samridhi Perk Line"),"")</f>
        <v/>
      </c>
      <c r="AT368" s="32"/>
      <c r="AU368" s="32"/>
      <c r="AV368" s="211">
        <f>IFERROR(VLOOKUP(Table110[[#This Row],[Date]],'Overweight Data'!A366:G1461,6,FALSE),"")</f>
        <v>0</v>
      </c>
      <c r="AW368" s="221">
        <f>IFERROR(
   IF(
      OR(Table110[[#This Row],[Operating Time]]=0, (Table110[[#This Row],[Operating Time]]/IF(AD368&lt;=1,AD368+1,AD368))*60=0),
      1,
      ((Table110[[#This Row],[Operating Time]])/IF(AD368&lt;=1,AD368+1,AD368))*60
   ),
"_")</f>
        <v>1</v>
      </c>
      <c r="AX368" s="221">
        <f>COUNTIFS('Downtime Data'!A:A,Table110[[#This Row],[Date]])</f>
        <v>0</v>
      </c>
      <c r="AY368" s="219" t="str">
        <f>IFERROR((SUM(Table110[[#This Row],[Minor Stoppages]:[Material Shortages]])/Table110[[#This Row],['# Stops]])*60,"")</f>
        <v/>
      </c>
      <c r="AZ368" s="219"/>
      <c r="BA368" s="33">
        <v>46382</v>
      </c>
    </row>
    <row r="369" spans="1:53" ht="20.149999999999999" customHeight="1" x14ac:dyDescent="0.35">
      <c r="A369" s="21">
        <v>46386</v>
      </c>
      <c r="B369" s="22" t="str">
        <f t="shared" si="6"/>
        <v>Wednesday</v>
      </c>
      <c r="C369" s="22"/>
      <c r="D369" s="23"/>
      <c r="E369" s="24" t="str" cm="1">
        <f t="array" aca="1" ref="E369" ca="1">IFERROR(INDIRECT(D369),"")</f>
        <v/>
      </c>
      <c r="F369" s="25"/>
      <c r="G369" s="26"/>
      <c r="H369" s="27" t="str">
        <f ca="1">IFERROR((Table110[[#This Row],[Plan]]/Table110[[#This Row],[Hours Used]])/(Table110[[#This Row],[SOC (TPD)]]/24),"")</f>
        <v/>
      </c>
      <c r="I369" s="27" t="str">
        <f ca="1">IFERROR((Table110[[#This Row],[Volume Delivered (T)]]/Table110[[#This Row],[Hours Used]])/(Table110[[#This Row],[SOC (TPD)]]/24),"")</f>
        <v/>
      </c>
      <c r="J369" s="28"/>
      <c r="K369" s="28"/>
      <c r="L369" s="28"/>
      <c r="M369" s="25"/>
      <c r="N369" s="29"/>
      <c r="O369" s="84"/>
      <c r="P369" s="25"/>
      <c r="Q369" s="25"/>
      <c r="R369" s="70"/>
      <c r="S369" s="71"/>
      <c r="T369" s="30">
        <f>IF(Table110[[#This Row],[SKU]]="",0,24-Table110[[#This Row],[Legal Non-Operating Time]]-Table110[[#This Row],[No Demand Time]]-Table110[[#This Row],[Force Majeure]])</f>
        <v>0</v>
      </c>
      <c r="U369" s="26"/>
      <c r="V369" s="26"/>
      <c r="W369" s="26"/>
      <c r="X369" s="26"/>
      <c r="Y369" s="26"/>
      <c r="Z369" s="26"/>
      <c r="AA369" s="26"/>
      <c r="AB369" s="30">
        <f>Table110[[#This Row],[Hours Used]]-SUM(Table110[[#This Row],[Planned Maintenance]:[Start and Finish Production]])</f>
        <v>0</v>
      </c>
      <c r="AC369" s="26"/>
      <c r="AD369" s="26"/>
      <c r="AE369" s="26"/>
      <c r="AF369" s="26"/>
      <c r="AG369" s="26"/>
      <c r="AH369" s="26"/>
      <c r="AI369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369" s="24">
        <f>IFERROR(IF(Table110[[#This Row],[SKU]]="",0,Table110[[#This Row],[Quality Loss (T)]]/(Table110[[#This Row],[SOC (TPD)]]/24)),"")</f>
        <v>0</v>
      </c>
      <c r="AK369" s="31">
        <f>IFERROR(IF(Table110[[#This Row],[SKU]]="",0,Table110[[#This Row],[Volume Delivered (T)]]/(Table110[[#This Row],[SOC (TPD)]]/24)),"")</f>
        <v>0</v>
      </c>
      <c r="AL369" s="31" t="str">
        <f>IFERROR(Table110[[#This Row],[Operating Time]]/Table110[[#This Row],[PRODUCTION HOURS]],"")</f>
        <v/>
      </c>
      <c r="AM369" s="32"/>
      <c r="AN369" s="32"/>
      <c r="AO369" s="32"/>
      <c r="AP369" s="32"/>
      <c r="AQ369" s="32"/>
      <c r="AR369" s="32"/>
      <c r="AS369" s="32" t="str">
        <f>IFERROR(SUMIFS(#REF!,#REF!,'Shift Wise-Data Sheet'!A:A,#REF!,"Samridhi Perk Line")/SUMIFS(#REF!,#REF!,'Shift Wise-Data Sheet'!A:A,#REF!,"Samridhi Perk Line"),"")</f>
        <v/>
      </c>
      <c r="AT369" s="32"/>
      <c r="AU369" s="32"/>
      <c r="AV369" s="211">
        <f>IFERROR(VLOOKUP(Table110[[#This Row],[Date]],'Overweight Data'!A367:G1462,6,FALSE),"")</f>
        <v>0</v>
      </c>
      <c r="AW369" s="221">
        <f>IFERROR(
   IF(
      OR(Table110[[#This Row],[Operating Time]]=0, (Table110[[#This Row],[Operating Time]]/IF(AD369&lt;=1,AD369+1,AD369))*60=0),
      1,
      ((Table110[[#This Row],[Operating Time]])/IF(AD369&lt;=1,AD369+1,AD369))*60
   ),
"_")</f>
        <v>1</v>
      </c>
      <c r="AX369" s="221">
        <f>COUNTIFS('Downtime Data'!A:A,Table110[[#This Row],[Date]])</f>
        <v>0</v>
      </c>
      <c r="AY369" s="219" t="str">
        <f>IFERROR((SUM(Table110[[#This Row],[Minor Stoppages]:[Material Shortages]])/Table110[[#This Row],['# Stops]])*60,"")</f>
        <v/>
      </c>
      <c r="AZ369" s="219"/>
      <c r="BA369" s="33">
        <v>46382</v>
      </c>
    </row>
    <row r="370" spans="1:53" ht="20.149999999999999" customHeight="1" x14ac:dyDescent="0.35">
      <c r="A370" s="21">
        <v>46387</v>
      </c>
      <c r="B370" s="22" t="str">
        <f t="shared" si="6"/>
        <v>Thursday</v>
      </c>
      <c r="C370" s="22"/>
      <c r="D370" s="23"/>
      <c r="E370" s="24" t="str" cm="1">
        <f t="array" aca="1" ref="E370" ca="1">IFERROR(INDIRECT(D370),"")</f>
        <v/>
      </c>
      <c r="F370" s="25"/>
      <c r="G370" s="26"/>
      <c r="H370" s="27" t="str">
        <f ca="1">IFERROR((Table110[[#This Row],[Plan]]/Table110[[#This Row],[Hours Used]])/(Table110[[#This Row],[SOC (TPD)]]/24),"")</f>
        <v/>
      </c>
      <c r="I370" s="27" t="str">
        <f ca="1">IFERROR((Table110[[#This Row],[Volume Delivered (T)]]/Table110[[#This Row],[Hours Used]])/(Table110[[#This Row],[SOC (TPD)]]/24),"")</f>
        <v/>
      </c>
      <c r="J370" s="28"/>
      <c r="K370" s="28"/>
      <c r="L370" s="28"/>
      <c r="M370" s="25"/>
      <c r="N370" s="29"/>
      <c r="O370" s="84"/>
      <c r="P370" s="25"/>
      <c r="Q370" s="25"/>
      <c r="R370" s="70"/>
      <c r="S370" s="71"/>
      <c r="T370" s="30">
        <f>IF(Table110[[#This Row],[SKU]]="",0,24-Table110[[#This Row],[Legal Non-Operating Time]]-Table110[[#This Row],[No Demand Time]]-Table110[[#This Row],[Force Majeure]])</f>
        <v>0</v>
      </c>
      <c r="U370" s="26"/>
      <c r="V370" s="26"/>
      <c r="W370" s="26"/>
      <c r="X370" s="26"/>
      <c r="Y370" s="26"/>
      <c r="Z370" s="26"/>
      <c r="AA370" s="26"/>
      <c r="AB370" s="30">
        <f>Table110[[#This Row],[Hours Used]]-SUM(Table110[[#This Row],[Planned Maintenance]:[Start and Finish Production]])</f>
        <v>0</v>
      </c>
      <c r="AC370" s="26"/>
      <c r="AD370" s="26"/>
      <c r="AE370" s="26"/>
      <c r="AF370" s="26"/>
      <c r="AG370" s="26"/>
      <c r="AH370" s="26"/>
      <c r="AI370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370" s="24">
        <f>IFERROR(IF(Table110[[#This Row],[SKU]]="",0,Table110[[#This Row],[Quality Loss (T)]]/(Table110[[#This Row],[SOC (TPD)]]/24)),"")</f>
        <v>0</v>
      </c>
      <c r="AK370" s="31">
        <f>IFERROR(IF(Table110[[#This Row],[SKU]]="",0,Table110[[#This Row],[Volume Delivered (T)]]/(Table110[[#This Row],[SOC (TPD)]]/24)),"")</f>
        <v>0</v>
      </c>
      <c r="AL370" s="31" t="str">
        <f>IFERROR(Table110[[#This Row],[Operating Time]]/Table110[[#This Row],[PRODUCTION HOURS]],"")</f>
        <v/>
      </c>
      <c r="AM370" s="32"/>
      <c r="AN370" s="32"/>
      <c r="AO370" s="32"/>
      <c r="AP370" s="32"/>
      <c r="AQ370" s="32"/>
      <c r="AR370" s="32"/>
      <c r="AS370" s="32" t="str">
        <f>IFERROR(SUMIFS(#REF!,#REF!,'Shift Wise-Data Sheet'!A:A,#REF!,"Samridhi Perk Line")/SUMIFS(#REF!,#REF!,'Shift Wise-Data Sheet'!A:A,#REF!,"Samridhi Perk Line"),"")</f>
        <v/>
      </c>
      <c r="AT370" s="32"/>
      <c r="AU370" s="32"/>
      <c r="AV370" s="211">
        <f>IFERROR(VLOOKUP(Table110[[#This Row],[Date]],'Overweight Data'!A368:G1463,6,FALSE),"")</f>
        <v>0</v>
      </c>
      <c r="AW370" s="221">
        <f>IFERROR(
   IF(
      OR(Table110[[#This Row],[Operating Time]]=0, (Table110[[#This Row],[Operating Time]]/IF(AD370&lt;=1,AD370+1,AD370))*60=0),
      1,
      ((Table110[[#This Row],[Operating Time]])/IF(AD370&lt;=1,AD370+1,AD370))*60
   ),
"_")</f>
        <v>1</v>
      </c>
      <c r="AX370" s="221">
        <f>COUNTIFS('Downtime Data'!A:A,Table110[[#This Row],[Date]])</f>
        <v>0</v>
      </c>
      <c r="AY370" s="219" t="str">
        <f>IFERROR((SUM(Table110[[#This Row],[Minor Stoppages]:[Material Shortages]])/Table110[[#This Row],['# Stops]])*60,"")</f>
        <v/>
      </c>
      <c r="AZ370" s="219"/>
      <c r="BA370" s="33">
        <v>46382</v>
      </c>
    </row>
    <row r="371" spans="1:53" ht="20.149999999999999" customHeight="1" x14ac:dyDescent="0.35">
      <c r="A371" s="21">
        <v>46388</v>
      </c>
      <c r="B371" s="22" t="str">
        <f t="shared" si="6"/>
        <v>Friday</v>
      </c>
      <c r="C371" s="22"/>
      <c r="D371" s="23"/>
      <c r="E371" s="24" t="str" cm="1">
        <f t="array" aca="1" ref="E371" ca="1">IFERROR(INDIRECT(D371),"")</f>
        <v/>
      </c>
      <c r="F371" s="25"/>
      <c r="G371" s="26"/>
      <c r="H371" s="27" t="str">
        <f ca="1">IFERROR((Table110[[#This Row],[Plan]]/Table110[[#This Row],[Hours Used]])/(Table110[[#This Row],[SOC (TPD)]]/24),"")</f>
        <v/>
      </c>
      <c r="I371" s="27" t="str">
        <f ca="1">IFERROR((Table110[[#This Row],[Volume Delivered (T)]]/Table110[[#This Row],[Hours Used]])/(Table110[[#This Row],[SOC (TPD)]]/24),"")</f>
        <v/>
      </c>
      <c r="J371" s="28"/>
      <c r="K371" s="28"/>
      <c r="L371" s="28"/>
      <c r="M371" s="25"/>
      <c r="N371" s="29"/>
      <c r="O371" s="84"/>
      <c r="P371" s="25"/>
      <c r="Q371" s="25"/>
      <c r="R371" s="70"/>
      <c r="S371" s="71"/>
      <c r="T371" s="30">
        <f>IF(Table110[[#This Row],[SKU]]="",0,24-Table110[[#This Row],[Legal Non-Operating Time]]-Table110[[#This Row],[No Demand Time]]-Table110[[#This Row],[Force Majeure]])</f>
        <v>0</v>
      </c>
      <c r="U371" s="26"/>
      <c r="V371" s="26"/>
      <c r="W371" s="26"/>
      <c r="X371" s="26"/>
      <c r="Y371" s="26"/>
      <c r="Z371" s="26"/>
      <c r="AA371" s="26"/>
      <c r="AB371" s="30">
        <f>Table110[[#This Row],[Hours Used]]-SUM(Table110[[#This Row],[Planned Maintenance]:[Start and Finish Production]])</f>
        <v>0</v>
      </c>
      <c r="AC371" s="26"/>
      <c r="AD371" s="26"/>
      <c r="AE371" s="26"/>
      <c r="AF371" s="26"/>
      <c r="AG371" s="26"/>
      <c r="AH371" s="26"/>
      <c r="AI371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371" s="24">
        <f>IFERROR(IF(Table110[[#This Row],[SKU]]="",0,Table110[[#This Row],[Quality Loss (T)]]/(Table110[[#This Row],[SOC (TPD)]]/24)),"")</f>
        <v>0</v>
      </c>
      <c r="AK371" s="31">
        <f>IFERROR(IF(Table110[[#This Row],[SKU]]="",0,Table110[[#This Row],[Volume Delivered (T)]]/(Table110[[#This Row],[SOC (TPD)]]/24)),"")</f>
        <v>0</v>
      </c>
      <c r="AL371" s="31" t="str">
        <f>IFERROR(Table110[[#This Row],[Operating Time]]/Table110[[#This Row],[PRODUCTION HOURS]],"")</f>
        <v/>
      </c>
      <c r="AM371" s="32"/>
      <c r="AN371" s="32"/>
      <c r="AO371" s="32"/>
      <c r="AP371" s="32"/>
      <c r="AQ371" s="32"/>
      <c r="AR371" s="32"/>
      <c r="AS371" s="32" t="str">
        <f>IFERROR(SUMIFS(#REF!,#REF!,'Shift Wise-Data Sheet'!A:A,#REF!,"Samridhi Perk Line")/SUMIFS(#REF!,#REF!,'Shift Wise-Data Sheet'!A:A,#REF!,"Samridhi Perk Line"),"")</f>
        <v/>
      </c>
      <c r="AT371" s="32"/>
      <c r="AU371" s="32"/>
      <c r="AV371" s="211" t="str">
        <f>IFERROR(VLOOKUP(Table110[[#This Row],[Date]],'Overweight Data'!A369:G1464,6,FALSE),"")</f>
        <v/>
      </c>
      <c r="AW371" s="221">
        <f>IFERROR(
   IF(
      OR(Table110[[#This Row],[Operating Time]]=0, (Table110[[#This Row],[Operating Time]]/IF(AD371&lt;=1,AD371+1,AD371))*60=0),
      1,
      ((Table110[[#This Row],[Operating Time]])/IF(AD371&lt;=1,AD371+1,AD371))*60
   ),
"_")</f>
        <v>1</v>
      </c>
      <c r="AX371" s="221">
        <f>COUNTIFS('Downtime Data'!A:A,Table110[[#This Row],[Date]])</f>
        <v>0</v>
      </c>
      <c r="AY371" s="219" t="str">
        <f>IFERROR((SUM(Table110[[#This Row],[Minor Stoppages]:[Material Shortages]])/Table110[[#This Row],['# Stops]])*60,"")</f>
        <v/>
      </c>
      <c r="AZ371" s="219"/>
      <c r="BA371" s="33">
        <v>46382</v>
      </c>
    </row>
    <row r="372" spans="1:53" ht="20.149999999999999" customHeight="1" x14ac:dyDescent="0.35">
      <c r="A372" s="21">
        <v>46389</v>
      </c>
      <c r="B372" s="22" t="str">
        <f t="shared" si="6"/>
        <v>Saturday</v>
      </c>
      <c r="C372" s="22"/>
      <c r="D372" s="23"/>
      <c r="E372" s="24" t="str" cm="1">
        <f t="array" aca="1" ref="E372" ca="1">IFERROR(INDIRECT(D372),"")</f>
        <v/>
      </c>
      <c r="F372" s="25"/>
      <c r="G372" s="26"/>
      <c r="H372" s="27" t="str">
        <f ca="1">IFERROR((Table110[[#This Row],[Plan]]/Table110[[#This Row],[Hours Used]])/(Table110[[#This Row],[SOC (TPD)]]/24),"")</f>
        <v/>
      </c>
      <c r="I372" s="27" t="str">
        <f ca="1">IFERROR((Table110[[#This Row],[Volume Delivered (T)]]/Table110[[#This Row],[Hours Used]])/(Table110[[#This Row],[SOC (TPD)]]/24),"")</f>
        <v/>
      </c>
      <c r="J372" s="28"/>
      <c r="K372" s="28"/>
      <c r="L372" s="28"/>
      <c r="M372" s="25"/>
      <c r="N372" s="29"/>
      <c r="O372" s="84"/>
      <c r="P372" s="25"/>
      <c r="Q372" s="25"/>
      <c r="R372" s="70"/>
      <c r="S372" s="71"/>
      <c r="T372" s="30">
        <f>IF(Table110[[#This Row],[SKU]]="",0,24-Table110[[#This Row],[Legal Non-Operating Time]]-Table110[[#This Row],[No Demand Time]]-Table110[[#This Row],[Force Majeure]])</f>
        <v>0</v>
      </c>
      <c r="U372" s="26"/>
      <c r="V372" s="26"/>
      <c r="W372" s="26"/>
      <c r="X372" s="26"/>
      <c r="Y372" s="26"/>
      <c r="Z372" s="26"/>
      <c r="AA372" s="26"/>
      <c r="AB372" s="30">
        <f>Table110[[#This Row],[Hours Used]]-SUM(Table110[[#This Row],[Planned Maintenance]:[Start and Finish Production]])</f>
        <v>0</v>
      </c>
      <c r="AC372" s="26"/>
      <c r="AD372" s="26"/>
      <c r="AE372" s="26"/>
      <c r="AF372" s="26"/>
      <c r="AG372" s="26"/>
      <c r="AH372" s="26"/>
      <c r="AI372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372" s="24">
        <f>IFERROR(IF(Table110[[#This Row],[SKU]]="",0,Table110[[#This Row],[Quality Loss (T)]]/(Table110[[#This Row],[SOC (TPD)]]/24)),"")</f>
        <v>0</v>
      </c>
      <c r="AK372" s="31">
        <f>IFERROR(IF(Table110[[#This Row],[SKU]]="",0,Table110[[#This Row],[Volume Delivered (T)]]/(Table110[[#This Row],[SOC (TPD)]]/24)),"")</f>
        <v>0</v>
      </c>
      <c r="AL372" s="31" t="str">
        <f>IFERROR(Table110[[#This Row],[Operating Time]]/Table110[[#This Row],[PRODUCTION HOURS]],"")</f>
        <v/>
      </c>
      <c r="AM372" s="32"/>
      <c r="AN372" s="32"/>
      <c r="AO372" s="32"/>
      <c r="AP372" s="32"/>
      <c r="AQ372" s="32"/>
      <c r="AR372" s="32"/>
      <c r="AS372" s="32" t="str">
        <f>IFERROR(SUMIFS(#REF!,#REF!,'Shift Wise-Data Sheet'!A:A,#REF!,"Samridhi Perk Line")/SUMIFS(#REF!,#REF!,'Shift Wise-Data Sheet'!A:A,#REF!,"Samridhi Perk Line"),"")</f>
        <v/>
      </c>
      <c r="AT372" s="32"/>
      <c r="AU372" s="32"/>
      <c r="AV372" s="211" t="str">
        <f>IFERROR(VLOOKUP(Table110[[#This Row],[Date]],'Overweight Data'!A370:G1465,6,FALSE),"")</f>
        <v/>
      </c>
      <c r="AW372" s="221">
        <f>IFERROR(
   IF(
      OR(Table110[[#This Row],[Operating Time]]=0, (Table110[[#This Row],[Operating Time]]/IF(AD372&lt;=1,AD372+1,AD372))*60=0),
      1,
      ((Table110[[#This Row],[Operating Time]])/IF(AD372&lt;=1,AD372+1,AD372))*60
   ),
"_")</f>
        <v>1</v>
      </c>
      <c r="AX372" s="221">
        <f>COUNTIFS('Downtime Data'!A:A,Table110[[#This Row],[Date]])</f>
        <v>0</v>
      </c>
      <c r="AY372" s="219" t="str">
        <f>IFERROR((SUM(Table110[[#This Row],[Minor Stoppages]:[Material Shortages]])/Table110[[#This Row],['# Stops]])*60,"")</f>
        <v/>
      </c>
      <c r="AZ372" s="219"/>
      <c r="BA372" s="33">
        <v>46382</v>
      </c>
    </row>
    <row r="373" spans="1:53" ht="20.149999999999999" customHeight="1" x14ac:dyDescent="0.35">
      <c r="A373" s="21">
        <v>46390</v>
      </c>
      <c r="B373" s="22" t="str">
        <f t="shared" si="6"/>
        <v>Sunday</v>
      </c>
      <c r="C373" s="22"/>
      <c r="D373" s="23"/>
      <c r="E373" s="24" t="str" cm="1">
        <f t="array" aca="1" ref="E373" ca="1">IFERROR(INDIRECT(D373),"")</f>
        <v/>
      </c>
      <c r="F373" s="25"/>
      <c r="G373" s="26"/>
      <c r="H373" s="27" t="str">
        <f ca="1">IFERROR((Table110[[#This Row],[Plan]]/Table110[[#This Row],[Hours Used]])/(Table110[[#This Row],[SOC (TPD)]]/24),"")</f>
        <v/>
      </c>
      <c r="I373" s="27" t="str">
        <f ca="1">IFERROR((Table110[[#This Row],[Volume Delivered (T)]]/Table110[[#This Row],[Hours Used]])/(Table110[[#This Row],[SOC (TPD)]]/24),"")</f>
        <v/>
      </c>
      <c r="J373" s="28"/>
      <c r="K373" s="28"/>
      <c r="L373" s="28"/>
      <c r="M373" s="25"/>
      <c r="N373" s="29"/>
      <c r="O373" s="84"/>
      <c r="P373" s="25"/>
      <c r="Q373" s="25"/>
      <c r="R373" s="70"/>
      <c r="S373" s="71"/>
      <c r="T373" s="30">
        <f>IF(Table110[[#This Row],[SKU]]="",0,24-Table110[[#This Row],[Legal Non-Operating Time]]-Table110[[#This Row],[No Demand Time]]-Table110[[#This Row],[Force Majeure]])</f>
        <v>0</v>
      </c>
      <c r="U373" s="26"/>
      <c r="V373" s="26"/>
      <c r="W373" s="26"/>
      <c r="X373" s="26"/>
      <c r="Y373" s="26"/>
      <c r="Z373" s="26"/>
      <c r="AA373" s="26"/>
      <c r="AB373" s="30">
        <f>Table110[[#This Row],[Hours Used]]-SUM(Table110[[#This Row],[Planned Maintenance]:[Start and Finish Production]])</f>
        <v>0</v>
      </c>
      <c r="AC373" s="26"/>
      <c r="AD373" s="26"/>
      <c r="AE373" s="26"/>
      <c r="AF373" s="26"/>
      <c r="AG373" s="26"/>
      <c r="AH373" s="26"/>
      <c r="AI373" s="24">
        <f>(Table110[[#This Row],[Hours Used]]-SUM(Table110[[#This Row],[Planned Maintenance]:[Start and Finish Production]])-SUM(Table110[[#This Row],[Minor Stoppages]:[Material Shortages]])-Table110[[#This Row],[Quality Loss (Hrs)]]-Table110[[#This Row],[Operating Time]])/3</f>
        <v>0</v>
      </c>
      <c r="AJ373" s="24">
        <f>IFERROR(IF(Table110[[#This Row],[SKU]]="",0,Table110[[#This Row],[Quality Loss (T)]]/(Table110[[#This Row],[SOC (TPD)]]/24)),"")</f>
        <v>0</v>
      </c>
      <c r="AK373" s="31">
        <f>IFERROR(IF(Table110[[#This Row],[SKU]]="",0,Table110[[#This Row],[Volume Delivered (T)]]/(Table110[[#This Row],[SOC (TPD)]]/24)),"")</f>
        <v>0</v>
      </c>
      <c r="AL373" s="31" t="str">
        <f>IFERROR(Table110[[#This Row],[Operating Time]]/Table110[[#This Row],[PRODUCTION HOURS]],"")</f>
        <v/>
      </c>
      <c r="AM373" s="32"/>
      <c r="AN373" s="32"/>
      <c r="AO373" s="32"/>
      <c r="AP373" s="32"/>
      <c r="AQ373" s="32"/>
      <c r="AR373" s="32"/>
      <c r="AS373" s="32" t="str">
        <f>IFERROR(SUMIFS(#REF!,#REF!,'Shift Wise-Data Sheet'!A:A,#REF!,"Samridhi Perk Line")/SUMIFS(#REF!,#REF!,'Shift Wise-Data Sheet'!A:A,#REF!,"Samridhi Perk Line"),"")</f>
        <v/>
      </c>
      <c r="AT373" s="32"/>
      <c r="AU373" s="32"/>
      <c r="AV373" s="211" t="str">
        <f>IFERROR(VLOOKUP(Table110[[#This Row],[Date]],'Overweight Data'!A371:G1466,6,FALSE),"")</f>
        <v/>
      </c>
      <c r="AW373" s="221">
        <f>IFERROR(
   IF(
      OR(Table110[[#This Row],[Operating Time]]=0, (Table110[[#This Row],[Operating Time]]/IF(AD373&lt;=1,AD373+1,AD373))*60=0),
      1,
      ((Table110[[#This Row],[Operating Time]])/IF(AD373&lt;=1,AD373+1,AD373))*60
   ),
"_")</f>
        <v>1</v>
      </c>
      <c r="AX373" s="221">
        <f>COUNTIFS('Downtime Data'!A:A,Table110[[#This Row],[Date]])</f>
        <v>0</v>
      </c>
      <c r="AY373" s="219" t="str">
        <f>IFERROR((SUM(Table110[[#This Row],[Minor Stoppages]:[Material Shortages]])/Table110[[#This Row],['# Stops]])*60,"")</f>
        <v/>
      </c>
      <c r="AZ373" s="219"/>
      <c r="BA373" s="33">
        <v>46382</v>
      </c>
    </row>
  </sheetData>
  <conditionalFormatting sqref="G3:G112 G130:G373">
    <cfRule type="cellIs" dxfId="212" priority="9" operator="lessThan">
      <formula>$F3</formula>
    </cfRule>
    <cfRule type="cellIs" dxfId="211" priority="10" operator="greaterThan">
      <formula>$F$3</formula>
    </cfRule>
    <cfRule type="cellIs" dxfId="210" priority="11" operator="lessThan">
      <formula>$H3</formula>
    </cfRule>
    <cfRule type="containsBlanks" dxfId="209" priority="12" stopIfTrue="1">
      <formula>LEN(TRIM(G3))=0</formula>
    </cfRule>
    <cfRule type="cellIs" dxfId="208" priority="13" operator="greaterThanOrEqual">
      <formula>$H3</formula>
    </cfRule>
  </conditionalFormatting>
  <conditionalFormatting sqref="G113:G121">
    <cfRule type="cellIs" dxfId="207" priority="3" operator="lessThan">
      <formula>$F113</formula>
    </cfRule>
    <cfRule type="cellIs" dxfId="206" priority="4" operator="greaterThan">
      <formula>$F$3</formula>
    </cfRule>
    <cfRule type="cellIs" dxfId="205" priority="5" operator="lessThan">
      <formula>$H113</formula>
    </cfRule>
    <cfRule type="containsBlanks" dxfId="204" priority="6" stopIfTrue="1">
      <formula>LEN(TRIM(G113))=0</formula>
    </cfRule>
    <cfRule type="cellIs" dxfId="203" priority="7" operator="greaterThanOrEqual">
      <formula>$H113</formula>
    </cfRule>
  </conditionalFormatting>
  <conditionalFormatting sqref="G3:BA112 A3:E373 H113:T121 AB113:BA121 H122:BA129 G130:BA151 G152:L152 N152:BA152 G153:BA199 G200:AD200 AF200:BA200 G201:BA373">
    <cfRule type="expression" dxfId="202" priority="8">
      <formula>ROW()=CELL("row")</formula>
    </cfRule>
  </conditionalFormatting>
  <conditionalFormatting sqref="I3:I373">
    <cfRule type="containsBlanks" dxfId="201" priority="16" stopIfTrue="1">
      <formula>LEN(TRIM(I3))=0</formula>
    </cfRule>
    <cfRule type="cellIs" dxfId="200" priority="17" operator="greaterThan">
      <formula>$J3</formula>
    </cfRule>
    <cfRule type="cellIs" dxfId="199" priority="18" operator="lessThan">
      <formula>$J3</formula>
    </cfRule>
  </conditionalFormatting>
  <conditionalFormatting sqref="P3:Q373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{924AC601-3C35-4ED1-9C98-6D7015C5DBFA}</x14:id>
        </ext>
      </extLst>
    </cfRule>
  </conditionalFormatting>
  <conditionalFormatting sqref="S3:S373">
    <cfRule type="dataBar" priority="1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{BD58F002-C2DC-4873-A398-6AFA88370F8C}</x14:id>
        </ext>
      </extLst>
    </cfRule>
  </conditionalFormatting>
  <conditionalFormatting sqref="U3:AA112 AC3:AH199 U122:AA373 AC200:AD200 AF200:AH200 AC201:AH373">
    <cfRule type="cellIs" dxfId="198" priority="21" operator="equal">
      <formula>0</formula>
    </cfRule>
    <cfRule type="cellIs" dxfId="197" priority="22" operator="greaterThan">
      <formula>0</formula>
    </cfRule>
  </conditionalFormatting>
  <conditionalFormatting sqref="U113:AA121">
    <cfRule type="cellIs" dxfId="196" priority="1" operator="equal">
      <formula>0</formula>
    </cfRule>
    <cfRule type="cellIs" dxfId="195" priority="2" operator="greaterThan">
      <formula>0</formula>
    </cfRule>
  </conditionalFormatting>
  <conditionalFormatting sqref="AI3:AI373">
    <cfRule type="cellIs" dxfId="194" priority="15" stopIfTrue="1" operator="equal">
      <formula>0</formula>
    </cfRule>
    <cfRule type="cellIs" dxfId="193" priority="23" operator="lessThan">
      <formula>0</formula>
    </cfRule>
    <cfRule type="cellIs" dxfId="192" priority="24" operator="greaterThanOrEqual">
      <formula>0</formula>
    </cfRule>
  </conditionalFormatting>
  <conditionalFormatting sqref="AK3:AL373">
    <cfRule type="cellIs" dxfId="191" priority="14" operator="equal">
      <formula>0</formula>
    </cfRule>
  </conditionalFormatting>
  <dataValidations count="2">
    <dataValidation type="list" allowBlank="1" showInputMessage="1" showErrorMessage="1" sqref="AN3:AO373" xr:uid="{88419BFB-A2F4-4BF5-8BB1-4E86E2AFD54F}">
      <formula1>"YES,NO"</formula1>
    </dataValidation>
    <dataValidation type="list" allowBlank="1" showInputMessage="1" showErrorMessage="1" sqref="C3:C373" xr:uid="{24BFF774-0D70-44A0-8EB0-16416A801C29}">
      <formula1>"A,B,C"</formula1>
    </dataValidation>
  </dataValidations>
  <pageMargins left="0.7" right="0.7" top="0.75" bottom="0.75" header="0.3" footer="0.3"/>
  <headerFooter>
    <oddFooter>&amp;C_x000D_&amp;1#&amp;"Calibri"&amp;10&amp;K000000 Mondelez International Internal</oddFooter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2769" r:id="rId3" name=" 134">
              <controlPr defaultSize="0" print="0" uiObject="1" autoLine="0" autoPict="0">
                <anchor moveWithCells="1" sizeWithCells="1">
                  <from>
                    <xdr:col>3</xdr:col>
                    <xdr:colOff>0</xdr:colOff>
                    <xdr:row>111</xdr:row>
                    <xdr:rowOff>0</xdr:rowOff>
                  </from>
                  <to>
                    <xdr:col>4</xdr:col>
                    <xdr:colOff>0</xdr:colOff>
                    <xdr:row>112</xdr:row>
                    <xdr:rowOff>0</xdr:rowOff>
                  </to>
                </anchor>
              </controlPr>
            </control>
          </mc:Choice>
        </mc:AlternateContent>
      </controls>
    </mc:Choice>
  </mc:AlternateContent>
  <tableParts count="1"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4AC601-3C35-4ED1-9C98-6D7015C5DBF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P3:Q373</xm:sqref>
        </x14:conditionalFormatting>
        <x14:conditionalFormatting xmlns:xm="http://schemas.microsoft.com/office/excel/2006/main">
          <x14:cfRule type="dataBar" id="{BD58F002-C2DC-4873-A398-6AFA88370F8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S3:S373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47DAB5D-7658-4E95-A6D9-955B35587AF2}">
          <x14:formula1>
            <xm:f>'Look up (2)'!$BC$2:$BC$22</xm:f>
          </x14:formula1>
          <xm:sqref>D3:D373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A6C90-2F05-4EF1-A377-4CB19AB00EB1}">
  <sheetPr codeName="Sheet5"/>
  <dimension ref="A1:M4996"/>
  <sheetViews>
    <sheetView showGridLines="0" topLeftCell="A418" zoomScale="60" zoomScaleNormal="60" workbookViewId="0">
      <selection activeCell="E429" sqref="E429"/>
    </sheetView>
  </sheetViews>
  <sheetFormatPr defaultRowHeight="14.5" x14ac:dyDescent="0.35"/>
  <cols>
    <col min="1" max="1" width="13.7265625" style="15" bestFit="1" customWidth="1"/>
    <col min="2" max="2" width="19.453125" bestFit="1" customWidth="1"/>
    <col min="3" max="3" width="21.26953125" bestFit="1" customWidth="1"/>
    <col min="4" max="4" width="46.453125" bestFit="1" customWidth="1"/>
    <col min="5" max="5" width="22.1796875" customWidth="1"/>
    <col min="6" max="6" width="31.81640625" bestFit="1" customWidth="1"/>
    <col min="7" max="7" width="19.26953125" style="15" customWidth="1"/>
    <col min="8" max="8" width="16.453125" style="15" customWidth="1"/>
    <col min="9" max="9" width="13.453125" style="15" customWidth="1"/>
    <col min="10" max="10" width="45.54296875" bestFit="1" customWidth="1"/>
    <col min="11" max="11" width="13.1796875" customWidth="1"/>
    <col min="12" max="12" width="14.453125" style="79" customWidth="1"/>
    <col min="13" max="13" width="17.1796875" customWidth="1"/>
  </cols>
  <sheetData>
    <row r="1" spans="1:13" s="265" customFormat="1" ht="22" customHeight="1" x14ac:dyDescent="0.35">
      <c r="A1" s="264" t="s">
        <v>0</v>
      </c>
      <c r="B1" s="264" t="s">
        <v>12</v>
      </c>
      <c r="C1" s="264" t="s">
        <v>13</v>
      </c>
      <c r="D1" s="264" t="s">
        <v>14</v>
      </c>
      <c r="E1" s="264" t="s">
        <v>46</v>
      </c>
      <c r="F1" s="264" t="s">
        <v>47</v>
      </c>
      <c r="G1" s="264" t="s">
        <v>48</v>
      </c>
      <c r="H1" s="264" t="s">
        <v>49</v>
      </c>
      <c r="I1" s="264" t="s">
        <v>15</v>
      </c>
      <c r="J1" s="264" t="s">
        <v>16</v>
      </c>
      <c r="K1" s="264" t="s">
        <v>112</v>
      </c>
      <c r="L1" s="293" t="s">
        <v>113</v>
      </c>
      <c r="M1" s="294" t="s">
        <v>114</v>
      </c>
    </row>
    <row r="2" spans="1:13" s="268" customFormat="1" ht="22" customHeight="1" x14ac:dyDescent="0.45">
      <c r="A2" s="353">
        <v>46020</v>
      </c>
      <c r="B2" s="267" t="s">
        <v>115</v>
      </c>
      <c r="C2" s="267" t="s">
        <v>116</v>
      </c>
      <c r="D2" s="267" t="s">
        <v>74</v>
      </c>
      <c r="E2" s="267" t="s">
        <v>117</v>
      </c>
      <c r="F2" s="267" t="s">
        <v>74</v>
      </c>
      <c r="G2" s="267" t="s">
        <v>9</v>
      </c>
      <c r="H2" s="267">
        <v>720</v>
      </c>
      <c r="I2" s="267">
        <v>720</v>
      </c>
      <c r="J2" s="267"/>
      <c r="K2" s="295" t="s">
        <v>118</v>
      </c>
      <c r="L2" s="296"/>
    </row>
    <row r="3" spans="1:13" s="268" customFormat="1" ht="22" customHeight="1" x14ac:dyDescent="0.45">
      <c r="A3" s="353">
        <v>46021</v>
      </c>
      <c r="B3" s="267" t="s">
        <v>115</v>
      </c>
      <c r="C3" s="267" t="s">
        <v>116</v>
      </c>
      <c r="D3" s="267" t="s">
        <v>119</v>
      </c>
      <c r="E3" s="267" t="s">
        <v>117</v>
      </c>
      <c r="F3" s="267" t="s">
        <v>75</v>
      </c>
      <c r="G3" s="267" t="s">
        <v>9</v>
      </c>
      <c r="H3" s="267">
        <v>120</v>
      </c>
      <c r="I3" s="267">
        <v>120</v>
      </c>
      <c r="J3" s="267"/>
      <c r="K3" s="295"/>
      <c r="L3" s="296"/>
    </row>
    <row r="4" spans="1:13" s="268" customFormat="1" ht="22" customHeight="1" x14ac:dyDescent="0.45">
      <c r="A4" s="353">
        <v>46023</v>
      </c>
      <c r="B4" s="267" t="s">
        <v>115</v>
      </c>
      <c r="C4" s="267" t="s">
        <v>116</v>
      </c>
      <c r="D4" s="267" t="s">
        <v>120</v>
      </c>
      <c r="E4" s="267" t="s">
        <v>117</v>
      </c>
      <c r="F4" s="267" t="s">
        <v>75</v>
      </c>
      <c r="G4" s="267" t="s">
        <v>9</v>
      </c>
      <c r="H4" s="267">
        <v>60</v>
      </c>
      <c r="I4" s="267">
        <v>60</v>
      </c>
      <c r="J4" s="267"/>
      <c r="K4" s="295"/>
      <c r="L4" s="296"/>
    </row>
    <row r="5" spans="1:13" s="268" customFormat="1" ht="22" customHeight="1" x14ac:dyDescent="0.45">
      <c r="A5" s="353">
        <v>46024</v>
      </c>
      <c r="B5" s="267" t="s">
        <v>29</v>
      </c>
      <c r="C5" s="267" t="s">
        <v>121</v>
      </c>
      <c r="D5" s="267" t="s">
        <v>122</v>
      </c>
      <c r="E5" s="267" t="s">
        <v>50</v>
      </c>
      <c r="F5" s="267" t="s">
        <v>52</v>
      </c>
      <c r="G5" s="267" t="s">
        <v>8</v>
      </c>
      <c r="H5" s="267">
        <v>45</v>
      </c>
      <c r="I5" s="267">
        <v>15</v>
      </c>
      <c r="J5" s="267"/>
      <c r="K5" s="295" t="s">
        <v>118</v>
      </c>
      <c r="L5" s="296" t="s">
        <v>123</v>
      </c>
      <c r="M5" s="268" t="s">
        <v>124</v>
      </c>
    </row>
    <row r="6" spans="1:13" s="268" customFormat="1" ht="22" customHeight="1" x14ac:dyDescent="0.45">
      <c r="A6" s="353">
        <v>46024</v>
      </c>
      <c r="B6" s="267" t="s">
        <v>33</v>
      </c>
      <c r="C6" s="267" t="s">
        <v>125</v>
      </c>
      <c r="D6" s="267" t="s">
        <v>126</v>
      </c>
      <c r="E6" s="267" t="s">
        <v>50</v>
      </c>
      <c r="F6" s="267" t="s">
        <v>127</v>
      </c>
      <c r="G6" s="267" t="s">
        <v>8</v>
      </c>
      <c r="H6" s="267">
        <v>44</v>
      </c>
      <c r="I6" s="267">
        <v>11</v>
      </c>
      <c r="J6" s="267"/>
      <c r="K6" s="295" t="s">
        <v>118</v>
      </c>
      <c r="L6" s="296" t="s">
        <v>128</v>
      </c>
      <c r="M6" s="268" t="s">
        <v>124</v>
      </c>
    </row>
    <row r="7" spans="1:13" s="268" customFormat="1" ht="22" customHeight="1" x14ac:dyDescent="0.45">
      <c r="A7" s="353">
        <v>46025</v>
      </c>
      <c r="B7" s="267" t="s">
        <v>129</v>
      </c>
      <c r="C7" s="267" t="s">
        <v>130</v>
      </c>
      <c r="D7" s="267" t="s">
        <v>131</v>
      </c>
      <c r="E7" s="267" t="s">
        <v>50</v>
      </c>
      <c r="F7" s="267" t="s">
        <v>52</v>
      </c>
      <c r="G7" s="267" t="s">
        <v>8</v>
      </c>
      <c r="H7" s="269">
        <v>15</v>
      </c>
      <c r="I7" s="269">
        <v>15</v>
      </c>
      <c r="J7" s="267" t="s">
        <v>132</v>
      </c>
      <c r="K7" s="295" t="s">
        <v>133</v>
      </c>
      <c r="L7" s="296" t="s">
        <v>128</v>
      </c>
      <c r="M7" s="268" t="s">
        <v>134</v>
      </c>
    </row>
    <row r="8" spans="1:13" s="268" customFormat="1" ht="22" customHeight="1" x14ac:dyDescent="0.45">
      <c r="A8" s="353">
        <v>46025</v>
      </c>
      <c r="B8" s="267" t="s">
        <v>33</v>
      </c>
      <c r="C8" s="267" t="s">
        <v>135</v>
      </c>
      <c r="D8" s="267" t="s">
        <v>126</v>
      </c>
      <c r="E8" s="267" t="s">
        <v>50</v>
      </c>
      <c r="F8" s="267" t="s">
        <v>127</v>
      </c>
      <c r="G8" s="267" t="s">
        <v>8</v>
      </c>
      <c r="H8" s="269">
        <v>46.14</v>
      </c>
      <c r="I8" s="269">
        <v>11.535</v>
      </c>
      <c r="J8" s="267"/>
      <c r="K8" s="295" t="s">
        <v>118</v>
      </c>
      <c r="L8" s="296" t="s">
        <v>128</v>
      </c>
      <c r="M8" s="268" t="s">
        <v>124</v>
      </c>
    </row>
    <row r="9" spans="1:13" s="268" customFormat="1" ht="22" customHeight="1" x14ac:dyDescent="0.45">
      <c r="A9" s="353">
        <v>46025</v>
      </c>
      <c r="B9" s="267" t="s">
        <v>33</v>
      </c>
      <c r="C9" s="267" t="s">
        <v>125</v>
      </c>
      <c r="D9" s="267" t="s">
        <v>126</v>
      </c>
      <c r="E9" s="267" t="s">
        <v>50</v>
      </c>
      <c r="F9" s="267" t="s">
        <v>127</v>
      </c>
      <c r="G9" s="267" t="s">
        <v>8</v>
      </c>
      <c r="H9" s="267">
        <v>25</v>
      </c>
      <c r="I9" s="267">
        <v>6.25</v>
      </c>
      <c r="J9" s="267"/>
      <c r="K9" s="295" t="s">
        <v>118</v>
      </c>
      <c r="L9" s="296" t="s">
        <v>128</v>
      </c>
      <c r="M9" s="268" t="s">
        <v>124</v>
      </c>
    </row>
    <row r="10" spans="1:13" s="268" customFormat="1" ht="22" customHeight="1" x14ac:dyDescent="0.45">
      <c r="A10" s="353">
        <v>46027</v>
      </c>
      <c r="B10" s="267" t="s">
        <v>136</v>
      </c>
      <c r="C10" s="267" t="s">
        <v>137</v>
      </c>
      <c r="D10" s="267" t="s">
        <v>138</v>
      </c>
      <c r="E10" s="267" t="s">
        <v>50</v>
      </c>
      <c r="F10" s="267" t="s">
        <v>52</v>
      </c>
      <c r="G10" s="267" t="s">
        <v>7</v>
      </c>
      <c r="H10" s="267">
        <v>15</v>
      </c>
      <c r="I10" s="267">
        <v>15</v>
      </c>
      <c r="J10" s="267"/>
      <c r="K10" s="295" t="s">
        <v>133</v>
      </c>
      <c r="L10" s="296" t="s">
        <v>123</v>
      </c>
      <c r="M10" s="268" t="s">
        <v>134</v>
      </c>
    </row>
    <row r="11" spans="1:13" s="268" customFormat="1" ht="22" customHeight="1" x14ac:dyDescent="0.45">
      <c r="A11" s="353">
        <v>46027</v>
      </c>
      <c r="B11" s="267" t="s">
        <v>115</v>
      </c>
      <c r="C11" s="267" t="s">
        <v>116</v>
      </c>
      <c r="D11" s="267" t="s">
        <v>139</v>
      </c>
      <c r="E11" s="267" t="s">
        <v>117</v>
      </c>
      <c r="F11" s="267" t="s">
        <v>75</v>
      </c>
      <c r="G11" s="267" t="s">
        <v>9</v>
      </c>
      <c r="H11" s="267">
        <v>120</v>
      </c>
      <c r="I11" s="267">
        <v>120</v>
      </c>
      <c r="J11" s="267"/>
      <c r="K11" s="295"/>
      <c r="L11" s="296"/>
    </row>
    <row r="12" spans="1:13" s="268" customFormat="1" ht="22" customHeight="1" x14ac:dyDescent="0.45">
      <c r="A12" s="354">
        <v>46028</v>
      </c>
      <c r="B12" s="267" t="s">
        <v>115</v>
      </c>
      <c r="C12" s="267" t="s">
        <v>116</v>
      </c>
      <c r="D12" s="267" t="s">
        <v>140</v>
      </c>
      <c r="E12" s="267" t="s">
        <v>117</v>
      </c>
      <c r="F12" s="267" t="s">
        <v>75</v>
      </c>
      <c r="G12" s="267" t="s">
        <v>9</v>
      </c>
      <c r="H12" s="267">
        <v>60</v>
      </c>
      <c r="I12" s="267">
        <v>60</v>
      </c>
      <c r="J12" s="270"/>
      <c r="K12" s="295"/>
      <c r="L12" s="296"/>
    </row>
    <row r="13" spans="1:13" s="268" customFormat="1" ht="22" customHeight="1" x14ac:dyDescent="0.45">
      <c r="A13" s="353">
        <v>46029</v>
      </c>
      <c r="B13" s="267" t="s">
        <v>40</v>
      </c>
      <c r="C13" s="267" t="s">
        <v>41</v>
      </c>
      <c r="D13" s="267" t="s">
        <v>141</v>
      </c>
      <c r="E13" s="267" t="s">
        <v>50</v>
      </c>
      <c r="F13" s="267" t="s">
        <v>53</v>
      </c>
      <c r="G13" s="267" t="s">
        <v>7</v>
      </c>
      <c r="H13" s="267">
        <v>90</v>
      </c>
      <c r="I13" s="267">
        <v>90</v>
      </c>
      <c r="J13" s="267" t="s">
        <v>142</v>
      </c>
      <c r="K13" s="295" t="s">
        <v>143</v>
      </c>
      <c r="L13" s="296" t="s">
        <v>128</v>
      </c>
      <c r="M13" s="268" t="s">
        <v>134</v>
      </c>
    </row>
    <row r="14" spans="1:13" s="268" customFormat="1" ht="22" customHeight="1" x14ac:dyDescent="0.45">
      <c r="A14" s="353">
        <v>46031</v>
      </c>
      <c r="B14" s="267" t="s">
        <v>40</v>
      </c>
      <c r="C14" s="267" t="s">
        <v>41</v>
      </c>
      <c r="D14" s="267" t="s">
        <v>144</v>
      </c>
      <c r="E14" s="267" t="s">
        <v>50</v>
      </c>
      <c r="F14" s="267" t="s">
        <v>53</v>
      </c>
      <c r="G14" s="267" t="s">
        <v>7</v>
      </c>
      <c r="H14" s="267">
        <v>360</v>
      </c>
      <c r="I14" s="267">
        <v>360</v>
      </c>
      <c r="J14" s="267" t="s">
        <v>145</v>
      </c>
      <c r="K14" s="295" t="s">
        <v>143</v>
      </c>
      <c r="L14" s="296" t="s">
        <v>128</v>
      </c>
      <c r="M14" s="268" t="s">
        <v>134</v>
      </c>
    </row>
    <row r="15" spans="1:13" s="268" customFormat="1" ht="22" customHeight="1" x14ac:dyDescent="0.45">
      <c r="A15" s="353">
        <v>46033</v>
      </c>
      <c r="B15" s="267" t="s">
        <v>33</v>
      </c>
      <c r="C15" s="267" t="s">
        <v>34</v>
      </c>
      <c r="D15" s="267" t="s">
        <v>35</v>
      </c>
      <c r="E15" s="267" t="s">
        <v>50</v>
      </c>
      <c r="F15" s="267" t="s">
        <v>53</v>
      </c>
      <c r="G15" s="267" t="s">
        <v>8</v>
      </c>
      <c r="H15" s="267">
        <v>145</v>
      </c>
      <c r="I15" s="267">
        <v>36.25</v>
      </c>
      <c r="J15" s="267"/>
      <c r="K15" s="295" t="s">
        <v>143</v>
      </c>
      <c r="L15" s="296" t="s">
        <v>146</v>
      </c>
      <c r="M15" s="268" t="s">
        <v>124</v>
      </c>
    </row>
    <row r="16" spans="1:13" s="268" customFormat="1" ht="22" customHeight="1" x14ac:dyDescent="0.45">
      <c r="A16" s="353">
        <v>46034</v>
      </c>
      <c r="B16" s="267" t="s">
        <v>40</v>
      </c>
      <c r="C16" s="267" t="s">
        <v>41</v>
      </c>
      <c r="D16" s="267" t="s">
        <v>144</v>
      </c>
      <c r="E16" s="267" t="s">
        <v>50</v>
      </c>
      <c r="F16" s="267" t="s">
        <v>53</v>
      </c>
      <c r="G16" s="267" t="s">
        <v>7</v>
      </c>
      <c r="H16" s="267">
        <v>300</v>
      </c>
      <c r="I16" s="267">
        <v>300</v>
      </c>
      <c r="J16" s="267" t="s">
        <v>145</v>
      </c>
      <c r="K16" s="295" t="s">
        <v>143</v>
      </c>
      <c r="L16" s="296" t="s">
        <v>128</v>
      </c>
      <c r="M16" s="268" t="s">
        <v>134</v>
      </c>
    </row>
    <row r="17" spans="1:13" s="268" customFormat="1" ht="22" customHeight="1" x14ac:dyDescent="0.45">
      <c r="A17" s="353">
        <v>46034</v>
      </c>
      <c r="B17" s="267" t="s">
        <v>115</v>
      </c>
      <c r="C17" s="267" t="s">
        <v>116</v>
      </c>
      <c r="D17" s="267" t="s">
        <v>120</v>
      </c>
      <c r="E17" s="267" t="s">
        <v>117</v>
      </c>
      <c r="F17" s="267" t="s">
        <v>75</v>
      </c>
      <c r="G17" s="267" t="s">
        <v>9</v>
      </c>
      <c r="H17" s="267">
        <v>60</v>
      </c>
      <c r="I17" s="267">
        <v>60</v>
      </c>
      <c r="J17" s="267"/>
      <c r="K17" s="295"/>
      <c r="L17" s="296"/>
    </row>
    <row r="18" spans="1:13" s="268" customFormat="1" ht="22" customHeight="1" x14ac:dyDescent="0.45">
      <c r="A18" s="353">
        <v>46036</v>
      </c>
      <c r="B18" s="267" t="s">
        <v>22</v>
      </c>
      <c r="C18" s="267" t="s">
        <v>147</v>
      </c>
      <c r="D18" s="267" t="s">
        <v>148</v>
      </c>
      <c r="E18" s="267" t="s">
        <v>50</v>
      </c>
      <c r="F18" s="267" t="s">
        <v>52</v>
      </c>
      <c r="G18" s="267" t="s">
        <v>9</v>
      </c>
      <c r="H18" s="267">
        <v>180</v>
      </c>
      <c r="I18" s="267">
        <v>45</v>
      </c>
      <c r="J18" s="267"/>
      <c r="K18" s="295" t="s">
        <v>118</v>
      </c>
      <c r="L18" s="296" t="s">
        <v>128</v>
      </c>
      <c r="M18" s="268" t="s">
        <v>124</v>
      </c>
    </row>
    <row r="19" spans="1:13" s="268" customFormat="1" ht="22" customHeight="1" x14ac:dyDescent="0.45">
      <c r="A19" s="353">
        <v>46036</v>
      </c>
      <c r="B19" s="267" t="s">
        <v>115</v>
      </c>
      <c r="C19" s="267" t="s">
        <v>116</v>
      </c>
      <c r="D19" s="267" t="s">
        <v>140</v>
      </c>
      <c r="E19" s="267" t="s">
        <v>117</v>
      </c>
      <c r="F19" s="267" t="s">
        <v>75</v>
      </c>
      <c r="G19" s="267" t="s">
        <v>9</v>
      </c>
      <c r="H19" s="267">
        <v>60</v>
      </c>
      <c r="I19" s="267">
        <v>60</v>
      </c>
      <c r="J19" s="267"/>
      <c r="K19" s="295"/>
      <c r="L19" s="296"/>
    </row>
    <row r="20" spans="1:13" s="268" customFormat="1" ht="22" customHeight="1" x14ac:dyDescent="0.45">
      <c r="A20" s="353">
        <v>46037</v>
      </c>
      <c r="B20" s="267" t="s">
        <v>115</v>
      </c>
      <c r="C20" s="267" t="s">
        <v>116</v>
      </c>
      <c r="D20" s="267" t="s">
        <v>119</v>
      </c>
      <c r="E20" s="267" t="s">
        <v>117</v>
      </c>
      <c r="F20" s="267" t="s">
        <v>75</v>
      </c>
      <c r="G20" s="267" t="s">
        <v>9</v>
      </c>
      <c r="H20" s="267">
        <v>120</v>
      </c>
      <c r="I20" s="267">
        <v>120</v>
      </c>
      <c r="J20" s="267"/>
      <c r="K20" s="295"/>
      <c r="L20" s="296"/>
    </row>
    <row r="21" spans="1:13" s="268" customFormat="1" ht="22" customHeight="1" x14ac:dyDescent="0.45">
      <c r="A21" s="353">
        <v>46039</v>
      </c>
      <c r="B21" s="267" t="s">
        <v>29</v>
      </c>
      <c r="C21" s="267" t="s">
        <v>121</v>
      </c>
      <c r="D21" s="267" t="s">
        <v>122</v>
      </c>
      <c r="E21" s="267" t="s">
        <v>50</v>
      </c>
      <c r="F21" s="267" t="s">
        <v>52</v>
      </c>
      <c r="G21" s="267" t="s">
        <v>8</v>
      </c>
      <c r="H21" s="267">
        <v>60</v>
      </c>
      <c r="I21" s="267">
        <v>60</v>
      </c>
      <c r="J21" s="267"/>
      <c r="K21" s="295" t="s">
        <v>118</v>
      </c>
      <c r="L21" s="296" t="s">
        <v>123</v>
      </c>
      <c r="M21" s="268" t="s">
        <v>124</v>
      </c>
    </row>
    <row r="22" spans="1:13" s="268" customFormat="1" ht="22" customHeight="1" x14ac:dyDescent="0.45">
      <c r="A22" s="353">
        <v>46040</v>
      </c>
      <c r="B22" s="267" t="s">
        <v>136</v>
      </c>
      <c r="C22" s="267" t="s">
        <v>137</v>
      </c>
      <c r="D22" s="267" t="s">
        <v>138</v>
      </c>
      <c r="E22" s="267" t="s">
        <v>50</v>
      </c>
      <c r="F22" s="267" t="s">
        <v>52</v>
      </c>
      <c r="G22" s="267" t="s">
        <v>7</v>
      </c>
      <c r="H22" s="267">
        <v>35</v>
      </c>
      <c r="I22" s="267">
        <v>35</v>
      </c>
      <c r="J22" s="267"/>
      <c r="K22" s="295" t="s">
        <v>133</v>
      </c>
      <c r="L22" s="296" t="s">
        <v>123</v>
      </c>
      <c r="M22" s="268" t="s">
        <v>134</v>
      </c>
    </row>
    <row r="23" spans="1:13" s="268" customFormat="1" ht="22" customHeight="1" x14ac:dyDescent="0.45">
      <c r="A23" s="353">
        <v>46040</v>
      </c>
      <c r="B23" s="267" t="s">
        <v>22</v>
      </c>
      <c r="C23" s="267" t="s">
        <v>147</v>
      </c>
      <c r="D23" s="267"/>
      <c r="E23" s="267" t="s">
        <v>50</v>
      </c>
      <c r="F23" s="267" t="s">
        <v>52</v>
      </c>
      <c r="G23" s="267" t="s">
        <v>9</v>
      </c>
      <c r="H23" s="267">
        <v>80</v>
      </c>
      <c r="I23" s="267">
        <v>20</v>
      </c>
      <c r="J23" s="267" t="s">
        <v>150</v>
      </c>
      <c r="K23" s="295" t="s">
        <v>133</v>
      </c>
      <c r="L23" s="296" t="s">
        <v>128</v>
      </c>
      <c r="M23" s="268" t="s">
        <v>124</v>
      </c>
    </row>
    <row r="24" spans="1:13" s="268" customFormat="1" ht="22" customHeight="1" x14ac:dyDescent="0.45">
      <c r="A24" s="353">
        <v>46040</v>
      </c>
      <c r="B24" s="267" t="s">
        <v>136</v>
      </c>
      <c r="C24" s="267" t="s">
        <v>137</v>
      </c>
      <c r="D24" s="267" t="s">
        <v>151</v>
      </c>
      <c r="E24" s="267" t="s">
        <v>50</v>
      </c>
      <c r="F24" s="267" t="s">
        <v>53</v>
      </c>
      <c r="G24" s="267" t="s">
        <v>7</v>
      </c>
      <c r="H24" s="267">
        <v>35</v>
      </c>
      <c r="I24" s="267">
        <v>35</v>
      </c>
      <c r="J24" s="267" t="s">
        <v>150</v>
      </c>
      <c r="K24" s="295" t="s">
        <v>133</v>
      </c>
      <c r="L24" s="296" t="s">
        <v>123</v>
      </c>
      <c r="M24" s="268" t="s">
        <v>134</v>
      </c>
    </row>
    <row r="25" spans="1:13" s="268" customFormat="1" ht="22" customHeight="1" x14ac:dyDescent="0.45">
      <c r="A25" s="353">
        <v>46040</v>
      </c>
      <c r="B25" s="267" t="s">
        <v>29</v>
      </c>
      <c r="C25" s="267" t="s">
        <v>30</v>
      </c>
      <c r="D25" s="267" t="s">
        <v>152</v>
      </c>
      <c r="E25" s="267" t="s">
        <v>50</v>
      </c>
      <c r="F25" s="267" t="s">
        <v>53</v>
      </c>
      <c r="G25" s="267" t="s">
        <v>8</v>
      </c>
      <c r="H25" s="267">
        <v>70</v>
      </c>
      <c r="I25" s="267">
        <v>25</v>
      </c>
      <c r="J25" s="267"/>
      <c r="K25" s="295" t="s">
        <v>143</v>
      </c>
      <c r="L25" s="296" t="s">
        <v>128</v>
      </c>
      <c r="M25" s="268" t="s">
        <v>124</v>
      </c>
    </row>
    <row r="26" spans="1:13" s="268" customFormat="1" ht="22" customHeight="1" x14ac:dyDescent="0.45">
      <c r="A26" s="353">
        <v>46041</v>
      </c>
      <c r="B26" s="267" t="s">
        <v>22</v>
      </c>
      <c r="C26" s="267" t="s">
        <v>153</v>
      </c>
      <c r="D26" s="267" t="s">
        <v>38</v>
      </c>
      <c r="E26" s="267" t="s">
        <v>50</v>
      </c>
      <c r="F26" s="267" t="s">
        <v>52</v>
      </c>
      <c r="G26" s="267" t="s">
        <v>9</v>
      </c>
      <c r="H26" s="267">
        <v>135</v>
      </c>
      <c r="I26" s="267">
        <v>35</v>
      </c>
      <c r="J26" s="267"/>
      <c r="K26" s="295" t="s">
        <v>133</v>
      </c>
      <c r="L26" s="296" t="s">
        <v>154</v>
      </c>
      <c r="M26" s="268" t="s">
        <v>124</v>
      </c>
    </row>
    <row r="27" spans="1:13" s="268" customFormat="1" ht="22" customHeight="1" x14ac:dyDescent="0.45">
      <c r="A27" s="353">
        <v>46041</v>
      </c>
      <c r="B27" s="267" t="s">
        <v>22</v>
      </c>
      <c r="C27" s="267" t="s">
        <v>153</v>
      </c>
      <c r="D27" s="267" t="s">
        <v>38</v>
      </c>
      <c r="E27" s="267" t="s">
        <v>50</v>
      </c>
      <c r="F27" s="267" t="s">
        <v>52</v>
      </c>
      <c r="G27" s="267" t="s">
        <v>9</v>
      </c>
      <c r="H27" s="267">
        <v>40</v>
      </c>
      <c r="I27" s="267">
        <v>10</v>
      </c>
      <c r="J27" s="267"/>
      <c r="K27" s="295" t="s">
        <v>133</v>
      </c>
      <c r="L27" s="296" t="s">
        <v>154</v>
      </c>
      <c r="M27" s="268" t="s">
        <v>124</v>
      </c>
    </row>
    <row r="28" spans="1:13" s="268" customFormat="1" ht="22" customHeight="1" x14ac:dyDescent="0.45">
      <c r="A28" s="353">
        <v>46041</v>
      </c>
      <c r="B28" s="267" t="s">
        <v>25</v>
      </c>
      <c r="C28" s="267" t="s">
        <v>26</v>
      </c>
      <c r="D28" s="267" t="s">
        <v>155</v>
      </c>
      <c r="E28" s="267" t="s">
        <v>50</v>
      </c>
      <c r="F28" s="267" t="s">
        <v>53</v>
      </c>
      <c r="G28" s="267" t="s">
        <v>9</v>
      </c>
      <c r="H28" s="267">
        <v>30</v>
      </c>
      <c r="I28" s="267">
        <v>30</v>
      </c>
      <c r="J28" s="267"/>
      <c r="K28" s="295" t="s">
        <v>143</v>
      </c>
      <c r="L28" s="296" t="s">
        <v>128</v>
      </c>
      <c r="M28" s="268" t="s">
        <v>134</v>
      </c>
    </row>
    <row r="29" spans="1:13" s="268" customFormat="1" ht="22" customHeight="1" x14ac:dyDescent="0.45">
      <c r="A29" s="353">
        <v>46042</v>
      </c>
      <c r="B29" s="267" t="s">
        <v>22</v>
      </c>
      <c r="C29" s="267" t="s">
        <v>153</v>
      </c>
      <c r="D29" s="267" t="s">
        <v>38</v>
      </c>
      <c r="E29" s="267" t="s">
        <v>50</v>
      </c>
      <c r="F29" s="267" t="s">
        <v>52</v>
      </c>
      <c r="G29" s="267" t="s">
        <v>9</v>
      </c>
      <c r="H29" s="267">
        <v>120</v>
      </c>
      <c r="I29" s="267">
        <v>30</v>
      </c>
      <c r="J29" s="267"/>
      <c r="K29" s="295" t="s">
        <v>133</v>
      </c>
      <c r="L29" s="296" t="s">
        <v>154</v>
      </c>
      <c r="M29" s="268" t="s">
        <v>124</v>
      </c>
    </row>
    <row r="30" spans="1:13" s="268" customFormat="1" ht="22" customHeight="1" x14ac:dyDescent="0.45">
      <c r="A30" s="353">
        <v>46043</v>
      </c>
      <c r="B30" s="267" t="s">
        <v>115</v>
      </c>
      <c r="C30" s="267" t="s">
        <v>116</v>
      </c>
      <c r="D30" s="267" t="s">
        <v>156</v>
      </c>
      <c r="E30" s="267" t="s">
        <v>50</v>
      </c>
      <c r="F30" s="267" t="s">
        <v>52</v>
      </c>
      <c r="G30" s="267" t="s">
        <v>9</v>
      </c>
      <c r="H30" s="267">
        <v>180</v>
      </c>
      <c r="I30" s="267">
        <v>180</v>
      </c>
      <c r="J30" s="267"/>
      <c r="K30" s="295"/>
      <c r="L30" s="296"/>
      <c r="M30" s="268" t="s">
        <v>134</v>
      </c>
    </row>
    <row r="31" spans="1:13" s="268" customFormat="1" ht="22" customHeight="1" x14ac:dyDescent="0.45">
      <c r="A31" s="353">
        <v>46044</v>
      </c>
      <c r="B31" s="267" t="s">
        <v>129</v>
      </c>
      <c r="C31" s="267" t="s">
        <v>130</v>
      </c>
      <c r="D31" s="267" t="s">
        <v>157</v>
      </c>
      <c r="E31" s="267" t="s">
        <v>50</v>
      </c>
      <c r="F31" s="267" t="s">
        <v>52</v>
      </c>
      <c r="G31" s="267" t="s">
        <v>8</v>
      </c>
      <c r="H31" s="267">
        <v>60</v>
      </c>
      <c r="I31" s="267">
        <v>60</v>
      </c>
      <c r="J31" s="267" t="s">
        <v>158</v>
      </c>
      <c r="K31" s="295" t="s">
        <v>133</v>
      </c>
      <c r="L31" s="296" t="s">
        <v>128</v>
      </c>
      <c r="M31" s="268" t="s">
        <v>134</v>
      </c>
    </row>
    <row r="32" spans="1:13" s="268" customFormat="1" ht="22" customHeight="1" x14ac:dyDescent="0.45">
      <c r="A32" s="353">
        <v>46045</v>
      </c>
      <c r="B32" s="267" t="s">
        <v>115</v>
      </c>
      <c r="C32" s="267" t="s">
        <v>116</v>
      </c>
      <c r="D32" s="267" t="s">
        <v>159</v>
      </c>
      <c r="E32" s="267" t="s">
        <v>50</v>
      </c>
      <c r="F32" s="267" t="s">
        <v>160</v>
      </c>
      <c r="G32" s="267" t="s">
        <v>9</v>
      </c>
      <c r="H32" s="267">
        <v>180</v>
      </c>
      <c r="I32" s="267">
        <v>180</v>
      </c>
      <c r="J32" s="267"/>
      <c r="K32" s="295"/>
      <c r="L32" s="296"/>
      <c r="M32" s="268" t="s">
        <v>134</v>
      </c>
    </row>
    <row r="33" spans="1:13" s="268" customFormat="1" ht="22" customHeight="1" x14ac:dyDescent="0.45">
      <c r="A33" s="353">
        <v>46046</v>
      </c>
      <c r="B33" s="267" t="s">
        <v>161</v>
      </c>
      <c r="C33" s="267" t="s">
        <v>162</v>
      </c>
      <c r="D33" s="267" t="s">
        <v>163</v>
      </c>
      <c r="E33" s="267" t="s">
        <v>50</v>
      </c>
      <c r="F33" s="267" t="s">
        <v>53</v>
      </c>
      <c r="G33" s="267" t="s">
        <v>8</v>
      </c>
      <c r="H33" s="267">
        <v>60</v>
      </c>
      <c r="I33" s="267">
        <v>60</v>
      </c>
      <c r="J33" s="267"/>
      <c r="K33" s="295" t="s">
        <v>164</v>
      </c>
      <c r="L33" s="296" t="s">
        <v>123</v>
      </c>
      <c r="M33" s="268" t="s">
        <v>134</v>
      </c>
    </row>
    <row r="34" spans="1:13" s="268" customFormat="1" ht="22" customHeight="1" x14ac:dyDescent="0.45">
      <c r="A34" s="353">
        <v>46046</v>
      </c>
      <c r="B34" s="267" t="s">
        <v>29</v>
      </c>
      <c r="C34" s="267" t="s">
        <v>165</v>
      </c>
      <c r="D34" s="267" t="s">
        <v>166</v>
      </c>
      <c r="E34" s="267" t="s">
        <v>50</v>
      </c>
      <c r="F34" s="267" t="s">
        <v>52</v>
      </c>
      <c r="G34" s="267" t="s">
        <v>8</v>
      </c>
      <c r="H34" s="267">
        <v>30</v>
      </c>
      <c r="I34" s="267">
        <v>30</v>
      </c>
      <c r="J34" s="267"/>
      <c r="K34" s="295" t="s">
        <v>118</v>
      </c>
      <c r="L34" s="296" t="s">
        <v>123</v>
      </c>
      <c r="M34" s="268" t="s">
        <v>124</v>
      </c>
    </row>
    <row r="35" spans="1:13" s="268" customFormat="1" ht="22" customHeight="1" x14ac:dyDescent="0.45">
      <c r="A35" s="353">
        <v>46049</v>
      </c>
      <c r="B35" s="267" t="s">
        <v>167</v>
      </c>
      <c r="C35" s="267" t="s">
        <v>168</v>
      </c>
      <c r="D35" s="267" t="s">
        <v>169</v>
      </c>
      <c r="E35" s="267" t="s">
        <v>50</v>
      </c>
      <c r="F35" s="267" t="s">
        <v>53</v>
      </c>
      <c r="G35" s="267" t="s">
        <v>9</v>
      </c>
      <c r="H35" s="267">
        <v>540</v>
      </c>
      <c r="I35" s="267">
        <v>540</v>
      </c>
      <c r="J35" s="267"/>
      <c r="K35" s="295" t="s">
        <v>164</v>
      </c>
      <c r="L35" s="296" t="s">
        <v>170</v>
      </c>
      <c r="M35" s="268" t="s">
        <v>134</v>
      </c>
    </row>
    <row r="36" spans="1:13" s="268" customFormat="1" ht="22" customHeight="1" x14ac:dyDescent="0.45">
      <c r="A36" s="353">
        <v>46050</v>
      </c>
      <c r="B36" s="267" t="s">
        <v>25</v>
      </c>
      <c r="C36" s="267" t="s">
        <v>26</v>
      </c>
      <c r="D36" s="267" t="s">
        <v>155</v>
      </c>
      <c r="E36" s="267" t="s">
        <v>50</v>
      </c>
      <c r="F36" s="267" t="s">
        <v>53</v>
      </c>
      <c r="G36" s="267" t="s">
        <v>9</v>
      </c>
      <c r="H36" s="267">
        <v>90</v>
      </c>
      <c r="I36" s="267">
        <v>90</v>
      </c>
      <c r="J36" s="267"/>
      <c r="K36" s="295" t="s">
        <v>143</v>
      </c>
      <c r="L36" s="296" t="s">
        <v>128</v>
      </c>
      <c r="M36" s="268" t="s">
        <v>134</v>
      </c>
    </row>
    <row r="37" spans="1:13" s="268" customFormat="1" ht="22" customHeight="1" x14ac:dyDescent="0.45">
      <c r="A37" s="353">
        <v>46051</v>
      </c>
      <c r="B37" s="267" t="s">
        <v>25</v>
      </c>
      <c r="C37" s="267" t="s">
        <v>26</v>
      </c>
      <c r="D37" s="267" t="s">
        <v>155</v>
      </c>
      <c r="E37" s="267" t="s">
        <v>50</v>
      </c>
      <c r="F37" s="267" t="s">
        <v>53</v>
      </c>
      <c r="G37" s="267" t="s">
        <v>9</v>
      </c>
      <c r="H37" s="267">
        <v>40</v>
      </c>
      <c r="I37" s="267">
        <v>40</v>
      </c>
      <c r="J37" s="267"/>
      <c r="K37" s="295" t="s">
        <v>143</v>
      </c>
      <c r="L37" s="296" t="s">
        <v>128</v>
      </c>
      <c r="M37" s="268" t="s">
        <v>134</v>
      </c>
    </row>
    <row r="38" spans="1:13" s="268" customFormat="1" ht="22" customHeight="1" x14ac:dyDescent="0.45">
      <c r="A38" s="353">
        <v>46051</v>
      </c>
      <c r="B38" s="267" t="s">
        <v>25</v>
      </c>
      <c r="C38" s="267" t="s">
        <v>26</v>
      </c>
      <c r="D38" s="267" t="s">
        <v>155</v>
      </c>
      <c r="E38" s="267" t="s">
        <v>50</v>
      </c>
      <c r="F38" s="267" t="s">
        <v>53</v>
      </c>
      <c r="G38" s="267" t="s">
        <v>9</v>
      </c>
      <c r="H38" s="267">
        <v>40</v>
      </c>
      <c r="I38" s="267">
        <v>40</v>
      </c>
      <c r="J38" s="267"/>
      <c r="K38" s="295" t="s">
        <v>143</v>
      </c>
      <c r="L38" s="296" t="s">
        <v>128</v>
      </c>
      <c r="M38" s="268" t="s">
        <v>134</v>
      </c>
    </row>
    <row r="39" spans="1:13" s="268" customFormat="1" ht="22" customHeight="1" x14ac:dyDescent="0.45">
      <c r="A39" s="353">
        <v>46051</v>
      </c>
      <c r="B39" s="267" t="s">
        <v>115</v>
      </c>
      <c r="C39" s="267" t="s">
        <v>116</v>
      </c>
      <c r="D39" s="267" t="s">
        <v>140</v>
      </c>
      <c r="E39" s="267" t="s">
        <v>117</v>
      </c>
      <c r="F39" s="267" t="s">
        <v>75</v>
      </c>
      <c r="G39" s="267" t="s">
        <v>9</v>
      </c>
      <c r="H39" s="267">
        <v>60</v>
      </c>
      <c r="I39" s="267">
        <v>60</v>
      </c>
      <c r="J39" s="267"/>
      <c r="K39" s="295"/>
      <c r="L39" s="296"/>
      <c r="M39" s="268" t="s">
        <v>134</v>
      </c>
    </row>
    <row r="40" spans="1:13" s="268" customFormat="1" ht="22" customHeight="1" x14ac:dyDescent="0.45">
      <c r="A40" s="353">
        <v>46051</v>
      </c>
      <c r="B40" s="267" t="s">
        <v>25</v>
      </c>
      <c r="C40" s="267" t="s">
        <v>171</v>
      </c>
      <c r="D40" s="267" t="s">
        <v>172</v>
      </c>
      <c r="E40" s="267" t="s">
        <v>50</v>
      </c>
      <c r="F40" s="267" t="s">
        <v>53</v>
      </c>
      <c r="G40" s="267" t="s">
        <v>9</v>
      </c>
      <c r="H40" s="267">
        <v>60</v>
      </c>
      <c r="I40" s="267">
        <v>20</v>
      </c>
      <c r="J40" s="267"/>
      <c r="K40" s="295" t="s">
        <v>143</v>
      </c>
      <c r="L40" s="296" t="s">
        <v>128</v>
      </c>
      <c r="M40" s="268" t="s">
        <v>134</v>
      </c>
    </row>
    <row r="41" spans="1:13" s="268" customFormat="1" ht="22" customHeight="1" x14ac:dyDescent="0.45">
      <c r="A41" s="353">
        <v>46052</v>
      </c>
      <c r="B41" s="267" t="s">
        <v>33</v>
      </c>
      <c r="C41" s="267" t="s">
        <v>34</v>
      </c>
      <c r="D41" s="267" t="s">
        <v>173</v>
      </c>
      <c r="E41" s="267" t="s">
        <v>50</v>
      </c>
      <c r="F41" s="267" t="s">
        <v>53</v>
      </c>
      <c r="G41" s="267" t="s">
        <v>8</v>
      </c>
      <c r="H41" s="267">
        <v>90</v>
      </c>
      <c r="I41" s="267">
        <v>25</v>
      </c>
      <c r="J41" s="267"/>
      <c r="K41" s="295" t="s">
        <v>164</v>
      </c>
      <c r="L41" s="296" t="s">
        <v>174</v>
      </c>
      <c r="M41" s="268" t="s">
        <v>134</v>
      </c>
    </row>
    <row r="42" spans="1:13" s="268" customFormat="1" ht="22" customHeight="1" x14ac:dyDescent="0.45">
      <c r="A42" s="353">
        <v>46052</v>
      </c>
      <c r="B42" s="267" t="s">
        <v>22</v>
      </c>
      <c r="C42" s="267" t="s">
        <v>175</v>
      </c>
      <c r="D42" s="267" t="s">
        <v>38</v>
      </c>
      <c r="E42" s="267" t="s">
        <v>50</v>
      </c>
      <c r="F42" s="267" t="s">
        <v>53</v>
      </c>
      <c r="G42" s="267" t="s">
        <v>9</v>
      </c>
      <c r="H42" s="267">
        <v>75</v>
      </c>
      <c r="I42" s="267">
        <v>20</v>
      </c>
      <c r="J42" s="267"/>
      <c r="K42" s="295" t="s">
        <v>133</v>
      </c>
      <c r="L42" s="296" t="s">
        <v>154</v>
      </c>
      <c r="M42" s="268" t="s">
        <v>124</v>
      </c>
    </row>
    <row r="43" spans="1:13" s="268" customFormat="1" ht="22" customHeight="1" x14ac:dyDescent="0.45">
      <c r="A43" s="353">
        <v>46053</v>
      </c>
      <c r="B43" s="267" t="s">
        <v>176</v>
      </c>
      <c r="C43" s="267" t="s">
        <v>177</v>
      </c>
      <c r="D43" s="267" t="s">
        <v>178</v>
      </c>
      <c r="E43" s="267" t="s">
        <v>50</v>
      </c>
      <c r="F43" s="267" t="s">
        <v>53</v>
      </c>
      <c r="G43" s="267" t="s">
        <v>9</v>
      </c>
      <c r="H43" s="267">
        <v>90</v>
      </c>
      <c r="I43" s="267">
        <v>90</v>
      </c>
      <c r="J43" s="267"/>
      <c r="K43" s="295" t="s">
        <v>164</v>
      </c>
      <c r="L43" s="296" t="s">
        <v>123</v>
      </c>
      <c r="M43" s="268" t="s">
        <v>134</v>
      </c>
    </row>
    <row r="44" spans="1:13" s="268" customFormat="1" ht="22" customHeight="1" x14ac:dyDescent="0.45">
      <c r="A44" s="353">
        <v>46055</v>
      </c>
      <c r="B44" s="267" t="s">
        <v>115</v>
      </c>
      <c r="C44" s="267" t="s">
        <v>116</v>
      </c>
      <c r="D44" s="267" t="s">
        <v>74</v>
      </c>
      <c r="E44" s="267" t="s">
        <v>117</v>
      </c>
      <c r="F44" s="267" t="s">
        <v>74</v>
      </c>
      <c r="G44" s="267" t="s">
        <v>9</v>
      </c>
      <c r="H44" s="267">
        <v>720</v>
      </c>
      <c r="I44" s="267">
        <v>720</v>
      </c>
      <c r="J44" s="267"/>
      <c r="K44" s="295"/>
      <c r="L44" s="296"/>
      <c r="M44" s="268" t="s">
        <v>134</v>
      </c>
    </row>
    <row r="45" spans="1:13" s="268" customFormat="1" ht="22" customHeight="1" x14ac:dyDescent="0.45">
      <c r="A45" s="353">
        <v>46056</v>
      </c>
      <c r="B45" s="267" t="s">
        <v>22</v>
      </c>
      <c r="C45" s="267" t="s">
        <v>147</v>
      </c>
      <c r="D45" s="267" t="s">
        <v>149</v>
      </c>
      <c r="E45" s="267" t="s">
        <v>50</v>
      </c>
      <c r="F45" s="267" t="s">
        <v>52</v>
      </c>
      <c r="G45" s="267" t="s">
        <v>9</v>
      </c>
      <c r="H45" s="267">
        <v>180</v>
      </c>
      <c r="I45" s="267">
        <v>45</v>
      </c>
      <c r="J45" s="267"/>
      <c r="K45" s="295" t="s">
        <v>133</v>
      </c>
      <c r="L45" s="296" t="s">
        <v>128</v>
      </c>
      <c r="M45" s="268" t="s">
        <v>124</v>
      </c>
    </row>
    <row r="46" spans="1:13" s="268" customFormat="1" ht="22" customHeight="1" x14ac:dyDescent="0.45">
      <c r="A46" s="353">
        <v>46057</v>
      </c>
      <c r="B46" s="267" t="s">
        <v>22</v>
      </c>
      <c r="C46" s="267" t="s">
        <v>147</v>
      </c>
      <c r="D46" s="267" t="s">
        <v>149</v>
      </c>
      <c r="E46" s="267" t="s">
        <v>50</v>
      </c>
      <c r="F46" s="267" t="s">
        <v>52</v>
      </c>
      <c r="G46" s="267" t="s">
        <v>9</v>
      </c>
      <c r="H46" s="267">
        <v>180</v>
      </c>
      <c r="I46" s="267">
        <v>45</v>
      </c>
      <c r="J46" s="267"/>
      <c r="K46" s="295" t="s">
        <v>133</v>
      </c>
      <c r="L46" s="296" t="s">
        <v>128</v>
      </c>
      <c r="M46" s="268" t="s">
        <v>124</v>
      </c>
    </row>
    <row r="47" spans="1:13" s="268" customFormat="1" ht="22" customHeight="1" x14ac:dyDescent="0.45">
      <c r="A47" s="353">
        <v>46057</v>
      </c>
      <c r="B47" s="267" t="s">
        <v>25</v>
      </c>
      <c r="C47" s="267" t="s">
        <v>26</v>
      </c>
      <c r="D47" s="267" t="s">
        <v>155</v>
      </c>
      <c r="E47" s="267" t="s">
        <v>50</v>
      </c>
      <c r="F47" s="267" t="s">
        <v>53</v>
      </c>
      <c r="G47" s="267" t="s">
        <v>9</v>
      </c>
      <c r="H47" s="267">
        <v>90</v>
      </c>
      <c r="I47" s="267">
        <v>90</v>
      </c>
      <c r="J47" s="267"/>
      <c r="K47" s="295" t="s">
        <v>143</v>
      </c>
      <c r="L47" s="296" t="s">
        <v>128</v>
      </c>
      <c r="M47" s="268" t="s">
        <v>134</v>
      </c>
    </row>
    <row r="48" spans="1:13" s="268" customFormat="1" ht="22" customHeight="1" x14ac:dyDescent="0.45">
      <c r="A48" s="353">
        <v>46058</v>
      </c>
      <c r="B48" s="267" t="s">
        <v>25</v>
      </c>
      <c r="C48" s="267" t="s">
        <v>26</v>
      </c>
      <c r="D48" s="267" t="s">
        <v>155</v>
      </c>
      <c r="E48" s="267" t="s">
        <v>50</v>
      </c>
      <c r="F48" s="267" t="s">
        <v>53</v>
      </c>
      <c r="G48" s="267" t="s">
        <v>9</v>
      </c>
      <c r="H48" s="267">
        <v>60</v>
      </c>
      <c r="I48" s="267">
        <v>60</v>
      </c>
      <c r="J48" s="267"/>
      <c r="K48" s="295" t="s">
        <v>143</v>
      </c>
      <c r="L48" s="296" t="s">
        <v>128</v>
      </c>
      <c r="M48" s="268" t="s">
        <v>134</v>
      </c>
    </row>
    <row r="49" spans="1:13" s="268" customFormat="1" ht="22" customHeight="1" x14ac:dyDescent="0.45">
      <c r="A49" s="353">
        <v>46058</v>
      </c>
      <c r="B49" s="267" t="s">
        <v>22</v>
      </c>
      <c r="C49" s="267" t="s">
        <v>147</v>
      </c>
      <c r="D49" s="267" t="s">
        <v>149</v>
      </c>
      <c r="E49" s="267" t="s">
        <v>50</v>
      </c>
      <c r="F49" s="267" t="s">
        <v>52</v>
      </c>
      <c r="G49" s="267" t="s">
        <v>9</v>
      </c>
      <c r="H49" s="267">
        <v>120</v>
      </c>
      <c r="I49" s="267">
        <v>30</v>
      </c>
      <c r="J49" s="267"/>
      <c r="K49" s="295" t="s">
        <v>143</v>
      </c>
      <c r="L49" s="296" t="s">
        <v>128</v>
      </c>
      <c r="M49" s="268" t="s">
        <v>124</v>
      </c>
    </row>
    <row r="50" spans="1:13" s="268" customFormat="1" ht="22" customHeight="1" x14ac:dyDescent="0.45">
      <c r="A50" s="353">
        <v>46059</v>
      </c>
      <c r="B50" s="267" t="s">
        <v>22</v>
      </c>
      <c r="C50" s="267" t="s">
        <v>147</v>
      </c>
      <c r="D50" s="267" t="s">
        <v>149</v>
      </c>
      <c r="E50" s="267" t="s">
        <v>50</v>
      </c>
      <c r="F50" s="267" t="s">
        <v>52</v>
      </c>
      <c r="G50" s="267" t="s">
        <v>9</v>
      </c>
      <c r="H50" s="267">
        <v>120</v>
      </c>
      <c r="I50" s="267">
        <v>30</v>
      </c>
      <c r="J50" s="267" t="s">
        <v>179</v>
      </c>
      <c r="K50" s="295" t="s">
        <v>133</v>
      </c>
      <c r="L50" s="296" t="s">
        <v>128</v>
      </c>
      <c r="M50" s="268" t="s">
        <v>124</v>
      </c>
    </row>
    <row r="51" spans="1:13" s="268" customFormat="1" ht="22" customHeight="1" x14ac:dyDescent="0.45">
      <c r="A51" s="353">
        <v>46060</v>
      </c>
      <c r="B51" s="267" t="s">
        <v>136</v>
      </c>
      <c r="C51" s="267" t="s">
        <v>137</v>
      </c>
      <c r="D51" s="267" t="s">
        <v>138</v>
      </c>
      <c r="E51" s="267" t="s">
        <v>50</v>
      </c>
      <c r="F51" s="267" t="s">
        <v>52</v>
      </c>
      <c r="G51" s="267" t="s">
        <v>9</v>
      </c>
      <c r="H51" s="267">
        <v>30</v>
      </c>
      <c r="I51" s="267">
        <v>30</v>
      </c>
      <c r="J51" s="267"/>
      <c r="K51" s="295" t="s">
        <v>133</v>
      </c>
      <c r="L51" s="296" t="s">
        <v>123</v>
      </c>
      <c r="M51" s="268" t="s">
        <v>134</v>
      </c>
    </row>
    <row r="52" spans="1:13" s="268" customFormat="1" ht="22" customHeight="1" x14ac:dyDescent="0.45">
      <c r="A52" s="353">
        <v>46061</v>
      </c>
      <c r="B52" s="267" t="s">
        <v>115</v>
      </c>
      <c r="C52" s="267" t="s">
        <v>116</v>
      </c>
      <c r="D52" s="267" t="s">
        <v>120</v>
      </c>
      <c r="E52" s="267" t="s">
        <v>117</v>
      </c>
      <c r="F52" s="267" t="s">
        <v>75</v>
      </c>
      <c r="G52" s="267" t="s">
        <v>9</v>
      </c>
      <c r="H52" s="267">
        <v>60</v>
      </c>
      <c r="I52" s="267">
        <v>60</v>
      </c>
      <c r="J52" s="267"/>
      <c r="K52" s="295"/>
      <c r="L52" s="296"/>
      <c r="M52" s="268" t="s">
        <v>134</v>
      </c>
    </row>
    <row r="53" spans="1:13" s="268" customFormat="1" ht="22" customHeight="1" x14ac:dyDescent="0.45">
      <c r="A53" s="353">
        <v>46062</v>
      </c>
      <c r="B53" s="267" t="s">
        <v>40</v>
      </c>
      <c r="C53" s="267" t="s">
        <v>41</v>
      </c>
      <c r="D53" s="267" t="s">
        <v>44</v>
      </c>
      <c r="E53" s="267" t="s">
        <v>50</v>
      </c>
      <c r="F53" s="267" t="s">
        <v>52</v>
      </c>
      <c r="G53" s="267" t="s">
        <v>9</v>
      </c>
      <c r="H53" s="267">
        <v>30</v>
      </c>
      <c r="I53" s="267">
        <v>30</v>
      </c>
      <c r="J53" s="267" t="s">
        <v>180</v>
      </c>
      <c r="K53" s="295" t="s">
        <v>164</v>
      </c>
      <c r="L53" s="296" t="s">
        <v>170</v>
      </c>
      <c r="M53" s="268" t="s">
        <v>134</v>
      </c>
    </row>
    <row r="54" spans="1:13" s="268" customFormat="1" ht="22" customHeight="1" x14ac:dyDescent="0.45">
      <c r="A54" s="353">
        <v>46063</v>
      </c>
      <c r="B54" s="267" t="s">
        <v>18</v>
      </c>
      <c r="C54" s="267" t="s">
        <v>181</v>
      </c>
      <c r="D54" s="267" t="s">
        <v>182</v>
      </c>
      <c r="E54" s="267" t="s">
        <v>50</v>
      </c>
      <c r="F54" s="267" t="s">
        <v>51</v>
      </c>
      <c r="G54" s="267" t="s">
        <v>9</v>
      </c>
      <c r="H54" s="267">
        <v>180</v>
      </c>
      <c r="I54" s="267">
        <v>180</v>
      </c>
      <c r="J54" s="267"/>
      <c r="K54" s="295"/>
      <c r="L54" s="296"/>
      <c r="M54" s="268" t="s">
        <v>134</v>
      </c>
    </row>
    <row r="55" spans="1:13" s="268" customFormat="1" ht="22" customHeight="1" x14ac:dyDescent="0.45">
      <c r="A55" s="353">
        <v>46064</v>
      </c>
      <c r="B55" s="267" t="s">
        <v>18</v>
      </c>
      <c r="C55" s="267" t="s">
        <v>183</v>
      </c>
      <c r="D55" s="267" t="s">
        <v>184</v>
      </c>
      <c r="E55" s="267" t="s">
        <v>50</v>
      </c>
      <c r="F55" s="267" t="s">
        <v>53</v>
      </c>
      <c r="G55" s="267"/>
      <c r="H55" s="267">
        <v>360</v>
      </c>
      <c r="I55" s="267">
        <v>360</v>
      </c>
      <c r="J55" s="267" t="s">
        <v>185</v>
      </c>
      <c r="K55" s="295" t="s">
        <v>164</v>
      </c>
      <c r="L55" s="296" t="s">
        <v>123</v>
      </c>
      <c r="M55" s="268" t="s">
        <v>124</v>
      </c>
    </row>
    <row r="56" spans="1:13" s="268" customFormat="1" ht="22" customHeight="1" x14ac:dyDescent="0.45">
      <c r="A56" s="353">
        <v>46065</v>
      </c>
      <c r="B56" s="267" t="s">
        <v>25</v>
      </c>
      <c r="C56" s="267" t="s">
        <v>26</v>
      </c>
      <c r="D56" s="267" t="s">
        <v>155</v>
      </c>
      <c r="E56" s="267" t="s">
        <v>50</v>
      </c>
      <c r="F56" s="267" t="s">
        <v>53</v>
      </c>
      <c r="G56" s="267"/>
      <c r="H56" s="267">
        <v>20</v>
      </c>
      <c r="I56" s="267">
        <v>20</v>
      </c>
      <c r="J56" s="267"/>
      <c r="K56" s="295" t="s">
        <v>164</v>
      </c>
      <c r="L56" s="296" t="s">
        <v>128</v>
      </c>
      <c r="M56" s="268" t="s">
        <v>134</v>
      </c>
    </row>
    <row r="57" spans="1:13" s="268" customFormat="1" ht="22" customHeight="1" x14ac:dyDescent="0.45">
      <c r="A57" s="353">
        <v>46065</v>
      </c>
      <c r="B57" s="267" t="s">
        <v>186</v>
      </c>
      <c r="C57" s="267" t="s">
        <v>187</v>
      </c>
      <c r="D57" s="267" t="s">
        <v>188</v>
      </c>
      <c r="E57" s="267" t="s">
        <v>50</v>
      </c>
      <c r="F57" s="267" t="s">
        <v>52</v>
      </c>
      <c r="G57" s="267"/>
      <c r="H57" s="267">
        <v>30</v>
      </c>
      <c r="I57" s="267">
        <v>30</v>
      </c>
      <c r="J57" s="267"/>
      <c r="K57" s="295" t="s">
        <v>164</v>
      </c>
      <c r="L57" s="296" t="s">
        <v>123</v>
      </c>
      <c r="M57" s="268" t="s">
        <v>134</v>
      </c>
    </row>
    <row r="58" spans="1:13" s="268" customFormat="1" ht="22" customHeight="1" x14ac:dyDescent="0.45">
      <c r="A58" s="353">
        <v>46074</v>
      </c>
      <c r="B58" s="267" t="s">
        <v>186</v>
      </c>
      <c r="C58" s="267" t="s">
        <v>187</v>
      </c>
      <c r="D58" s="267" t="s">
        <v>188</v>
      </c>
      <c r="E58" s="267" t="s">
        <v>50</v>
      </c>
      <c r="F58" s="267" t="s">
        <v>52</v>
      </c>
      <c r="G58" s="267"/>
      <c r="H58" s="267">
        <v>30</v>
      </c>
      <c r="I58" s="267">
        <v>30</v>
      </c>
      <c r="J58" s="267"/>
      <c r="K58" s="295" t="s">
        <v>164</v>
      </c>
      <c r="L58" s="296" t="s">
        <v>123</v>
      </c>
      <c r="M58" s="268" t="s">
        <v>134</v>
      </c>
    </row>
    <row r="59" spans="1:13" s="268" customFormat="1" ht="22" customHeight="1" x14ac:dyDescent="0.45">
      <c r="A59" s="353">
        <v>46086</v>
      </c>
      <c r="B59" s="267" t="s">
        <v>115</v>
      </c>
      <c r="C59" s="267" t="s">
        <v>116</v>
      </c>
      <c r="D59" s="267" t="s">
        <v>189</v>
      </c>
      <c r="E59" s="267" t="s">
        <v>50</v>
      </c>
      <c r="F59" s="267" t="s">
        <v>190</v>
      </c>
      <c r="G59" s="267"/>
      <c r="H59" s="267">
        <v>180</v>
      </c>
      <c r="I59" s="267">
        <v>180</v>
      </c>
      <c r="J59" s="267" t="s">
        <v>191</v>
      </c>
      <c r="K59" s="295"/>
      <c r="L59" s="296"/>
      <c r="M59" s="268" t="s">
        <v>134</v>
      </c>
    </row>
    <row r="60" spans="1:13" s="268" customFormat="1" ht="22" customHeight="1" x14ac:dyDescent="0.45">
      <c r="A60" s="353">
        <v>46087</v>
      </c>
      <c r="B60" s="267" t="s">
        <v>129</v>
      </c>
      <c r="C60" s="267" t="s">
        <v>130</v>
      </c>
      <c r="D60" s="267" t="s">
        <v>192</v>
      </c>
      <c r="E60" s="267" t="s">
        <v>50</v>
      </c>
      <c r="F60" s="267" t="s">
        <v>53</v>
      </c>
      <c r="G60" s="267"/>
      <c r="H60" s="267">
        <v>120</v>
      </c>
      <c r="I60" s="267">
        <v>120</v>
      </c>
      <c r="J60" s="267" t="s">
        <v>193</v>
      </c>
      <c r="K60" s="295" t="s">
        <v>118</v>
      </c>
      <c r="L60" s="296"/>
      <c r="M60" s="268" t="s">
        <v>134</v>
      </c>
    </row>
    <row r="61" spans="1:13" s="268" customFormat="1" ht="22" customHeight="1" x14ac:dyDescent="0.45">
      <c r="A61" s="353">
        <v>46088</v>
      </c>
      <c r="B61" s="267" t="s">
        <v>115</v>
      </c>
      <c r="C61" s="267" t="s">
        <v>116</v>
      </c>
      <c r="D61" s="267" t="s">
        <v>120</v>
      </c>
      <c r="E61" s="267" t="s">
        <v>117</v>
      </c>
      <c r="F61" s="267" t="s">
        <v>75</v>
      </c>
      <c r="G61" s="267" t="s">
        <v>9</v>
      </c>
      <c r="H61" s="267">
        <v>60</v>
      </c>
      <c r="I61" s="267">
        <v>60</v>
      </c>
      <c r="J61" s="267"/>
      <c r="K61" s="295"/>
      <c r="L61" s="296"/>
      <c r="M61" s="268" t="s">
        <v>134</v>
      </c>
    </row>
    <row r="62" spans="1:13" s="268" customFormat="1" ht="22" customHeight="1" x14ac:dyDescent="0.45">
      <c r="A62" s="353">
        <v>46089</v>
      </c>
      <c r="B62" s="267" t="s">
        <v>25</v>
      </c>
      <c r="C62" s="267" t="s">
        <v>26</v>
      </c>
      <c r="D62" s="267" t="s">
        <v>155</v>
      </c>
      <c r="E62" s="267" t="s">
        <v>50</v>
      </c>
      <c r="F62" s="267" t="s">
        <v>53</v>
      </c>
      <c r="G62" s="267"/>
      <c r="H62" s="267">
        <v>35</v>
      </c>
      <c r="I62" s="267">
        <v>35</v>
      </c>
      <c r="J62" s="267"/>
      <c r="K62" s="295" t="s">
        <v>164</v>
      </c>
      <c r="L62" s="296" t="s">
        <v>170</v>
      </c>
      <c r="M62" s="268" t="s">
        <v>134</v>
      </c>
    </row>
    <row r="63" spans="1:13" s="268" customFormat="1" ht="22" customHeight="1" x14ac:dyDescent="0.45">
      <c r="A63" s="353">
        <v>46089</v>
      </c>
      <c r="B63" s="267" t="s">
        <v>22</v>
      </c>
      <c r="C63" s="267" t="s">
        <v>175</v>
      </c>
      <c r="D63" s="267" t="s">
        <v>194</v>
      </c>
      <c r="E63" s="267" t="s">
        <v>50</v>
      </c>
      <c r="F63" s="267" t="s">
        <v>53</v>
      </c>
      <c r="G63" s="267"/>
      <c r="H63" s="267">
        <v>120</v>
      </c>
      <c r="I63" s="267">
        <v>30</v>
      </c>
      <c r="J63" s="267"/>
      <c r="K63" s="295" t="s">
        <v>164</v>
      </c>
      <c r="L63" s="296" t="s">
        <v>123</v>
      </c>
      <c r="M63" s="268" t="s">
        <v>124</v>
      </c>
    </row>
    <row r="64" spans="1:13" s="268" customFormat="1" ht="22" customHeight="1" x14ac:dyDescent="0.45">
      <c r="A64" s="353">
        <v>46090</v>
      </c>
      <c r="B64" s="267" t="s">
        <v>22</v>
      </c>
      <c r="C64" s="267" t="s">
        <v>175</v>
      </c>
      <c r="D64" s="267" t="s">
        <v>194</v>
      </c>
      <c r="E64" s="267" t="s">
        <v>50</v>
      </c>
      <c r="F64" s="267" t="s">
        <v>53</v>
      </c>
      <c r="G64" s="267"/>
      <c r="H64" s="267">
        <v>180</v>
      </c>
      <c r="I64" s="267">
        <v>45</v>
      </c>
      <c r="J64" s="267"/>
      <c r="K64" s="295" t="s">
        <v>164</v>
      </c>
      <c r="L64" s="296" t="s">
        <v>123</v>
      </c>
      <c r="M64" s="268" t="s">
        <v>124</v>
      </c>
    </row>
    <row r="65" spans="1:13" s="268" customFormat="1" ht="22" customHeight="1" x14ac:dyDescent="0.45">
      <c r="A65" s="353">
        <v>46090</v>
      </c>
      <c r="B65" s="267" t="s">
        <v>25</v>
      </c>
      <c r="C65" s="267" t="s">
        <v>26</v>
      </c>
      <c r="D65" s="267" t="s">
        <v>155</v>
      </c>
      <c r="E65" s="267" t="s">
        <v>50</v>
      </c>
      <c r="F65" s="267" t="s">
        <v>53</v>
      </c>
      <c r="G65" s="267"/>
      <c r="H65" s="267">
        <v>25</v>
      </c>
      <c r="I65" s="267">
        <v>25</v>
      </c>
      <c r="J65" s="267"/>
      <c r="K65" s="295" t="s">
        <v>164</v>
      </c>
      <c r="L65" s="296" t="s">
        <v>128</v>
      </c>
      <c r="M65" s="268" t="s">
        <v>134</v>
      </c>
    </row>
    <row r="66" spans="1:13" s="268" customFormat="1" ht="22" customHeight="1" x14ac:dyDescent="0.45">
      <c r="A66" s="353">
        <v>46091</v>
      </c>
      <c r="B66" s="267" t="s">
        <v>25</v>
      </c>
      <c r="C66" s="267" t="s">
        <v>26</v>
      </c>
      <c r="D66" s="267" t="s">
        <v>195</v>
      </c>
      <c r="E66" s="267" t="s">
        <v>50</v>
      </c>
      <c r="F66" s="267" t="s">
        <v>53</v>
      </c>
      <c r="G66" s="267"/>
      <c r="H66" s="267">
        <v>90</v>
      </c>
      <c r="I66" s="267">
        <v>90</v>
      </c>
      <c r="J66" s="267"/>
      <c r="K66" s="295" t="s">
        <v>164</v>
      </c>
      <c r="L66" s="296" t="s">
        <v>174</v>
      </c>
      <c r="M66" s="268" t="s">
        <v>134</v>
      </c>
    </row>
    <row r="67" spans="1:13" s="268" customFormat="1" ht="22" customHeight="1" x14ac:dyDescent="0.45">
      <c r="A67" s="353">
        <v>46094</v>
      </c>
      <c r="B67" s="267" t="s">
        <v>33</v>
      </c>
      <c r="C67" s="267" t="s">
        <v>34</v>
      </c>
      <c r="D67" s="267" t="s">
        <v>196</v>
      </c>
      <c r="E67" s="267" t="s">
        <v>50</v>
      </c>
      <c r="F67" s="267" t="s">
        <v>53</v>
      </c>
      <c r="G67" s="267"/>
      <c r="H67" s="267">
        <v>180</v>
      </c>
      <c r="I67" s="267">
        <v>45</v>
      </c>
      <c r="J67" s="267"/>
      <c r="K67" s="295" t="s">
        <v>164</v>
      </c>
      <c r="L67" s="296" t="s">
        <v>123</v>
      </c>
      <c r="M67" s="268" t="s">
        <v>124</v>
      </c>
    </row>
    <row r="68" spans="1:13" s="268" customFormat="1" ht="22" customHeight="1" x14ac:dyDescent="0.45">
      <c r="A68" s="353">
        <v>46094</v>
      </c>
      <c r="B68" s="267" t="s">
        <v>186</v>
      </c>
      <c r="C68" s="267" t="s">
        <v>187</v>
      </c>
      <c r="D68" s="267" t="s">
        <v>197</v>
      </c>
      <c r="E68" s="267" t="s">
        <v>50</v>
      </c>
      <c r="F68" s="267" t="s">
        <v>53</v>
      </c>
      <c r="G68" s="267"/>
      <c r="H68" s="267">
        <v>25</v>
      </c>
      <c r="I68" s="267">
        <v>25</v>
      </c>
      <c r="J68" s="267"/>
      <c r="K68" s="295" t="s">
        <v>164</v>
      </c>
      <c r="L68" s="296" t="s">
        <v>123</v>
      </c>
      <c r="M68" s="268" t="s">
        <v>134</v>
      </c>
    </row>
    <row r="69" spans="1:13" s="268" customFormat="1" ht="22" customHeight="1" x14ac:dyDescent="0.45">
      <c r="A69" s="353">
        <v>46095</v>
      </c>
      <c r="B69" s="267" t="s">
        <v>115</v>
      </c>
      <c r="C69" s="267" t="s">
        <v>116</v>
      </c>
      <c r="D69" s="267" t="s">
        <v>74</v>
      </c>
      <c r="E69" s="267" t="s">
        <v>117</v>
      </c>
      <c r="F69" s="267" t="s">
        <v>74</v>
      </c>
      <c r="G69" s="267"/>
      <c r="H69" s="267">
        <v>720</v>
      </c>
      <c r="I69" s="267">
        <v>720</v>
      </c>
      <c r="J69" s="267"/>
      <c r="K69" s="295"/>
      <c r="L69" s="296"/>
      <c r="M69" s="268" t="s">
        <v>134</v>
      </c>
    </row>
    <row r="70" spans="1:13" s="268" customFormat="1" ht="22" customHeight="1" x14ac:dyDescent="0.45">
      <c r="A70" s="353">
        <v>46096</v>
      </c>
      <c r="B70" s="267" t="s">
        <v>40</v>
      </c>
      <c r="C70" s="267" t="s">
        <v>41</v>
      </c>
      <c r="D70" s="267" t="s">
        <v>141</v>
      </c>
      <c r="E70" s="267" t="s">
        <v>50</v>
      </c>
      <c r="F70" s="267" t="s">
        <v>53</v>
      </c>
      <c r="G70" s="267"/>
      <c r="H70" s="267">
        <v>60</v>
      </c>
      <c r="I70" s="267">
        <v>60</v>
      </c>
      <c r="J70" s="267"/>
      <c r="K70" s="295" t="s">
        <v>164</v>
      </c>
      <c r="L70" s="296" t="s">
        <v>128</v>
      </c>
      <c r="M70" s="268" t="s">
        <v>134</v>
      </c>
    </row>
    <row r="71" spans="1:13" s="268" customFormat="1" ht="22" customHeight="1" x14ac:dyDescent="0.45">
      <c r="A71" s="353">
        <v>46097</v>
      </c>
      <c r="B71" s="267" t="s">
        <v>25</v>
      </c>
      <c r="C71" s="267" t="s">
        <v>26</v>
      </c>
      <c r="D71" s="267" t="s">
        <v>155</v>
      </c>
      <c r="E71" s="267" t="s">
        <v>50</v>
      </c>
      <c r="F71" s="267" t="s">
        <v>53</v>
      </c>
      <c r="G71" s="267"/>
      <c r="H71" s="267">
        <v>55</v>
      </c>
      <c r="I71" s="267">
        <v>55</v>
      </c>
      <c r="J71" s="267"/>
      <c r="K71" s="295" t="s">
        <v>164</v>
      </c>
      <c r="L71" s="296" t="s">
        <v>128</v>
      </c>
      <c r="M71" s="268" t="s">
        <v>134</v>
      </c>
    </row>
    <row r="72" spans="1:13" s="268" customFormat="1" ht="22" customHeight="1" x14ac:dyDescent="0.45">
      <c r="A72" s="353">
        <v>46097</v>
      </c>
      <c r="B72" s="267" t="s">
        <v>115</v>
      </c>
      <c r="C72" s="267" t="s">
        <v>116</v>
      </c>
      <c r="D72" s="267" t="s">
        <v>198</v>
      </c>
      <c r="E72" s="267" t="s">
        <v>50</v>
      </c>
      <c r="F72" s="267" t="s">
        <v>190</v>
      </c>
      <c r="G72" s="267"/>
      <c r="H72" s="267">
        <v>45</v>
      </c>
      <c r="I72" s="267">
        <v>45</v>
      </c>
      <c r="J72" s="267" t="s">
        <v>199</v>
      </c>
      <c r="K72" s="295"/>
      <c r="L72" s="296"/>
      <c r="M72" s="268" t="s">
        <v>134</v>
      </c>
    </row>
    <row r="73" spans="1:13" s="268" customFormat="1" ht="22" customHeight="1" x14ac:dyDescent="0.45">
      <c r="A73" s="353">
        <v>46098</v>
      </c>
      <c r="B73" s="267" t="s">
        <v>33</v>
      </c>
      <c r="C73" s="267" t="s">
        <v>200</v>
      </c>
      <c r="D73" s="267" t="s">
        <v>201</v>
      </c>
      <c r="E73" s="267" t="s">
        <v>50</v>
      </c>
      <c r="F73" s="267" t="s">
        <v>53</v>
      </c>
      <c r="G73" s="267"/>
      <c r="H73" s="267">
        <v>1050</v>
      </c>
      <c r="I73" s="267">
        <v>150</v>
      </c>
      <c r="J73" s="267" t="s">
        <v>202</v>
      </c>
      <c r="K73" s="295"/>
      <c r="L73" s="296" t="s">
        <v>123</v>
      </c>
      <c r="M73" s="268" t="s">
        <v>124</v>
      </c>
    </row>
    <row r="74" spans="1:13" s="268" customFormat="1" ht="22" customHeight="1" x14ac:dyDescent="0.45">
      <c r="A74" s="353">
        <v>46099</v>
      </c>
      <c r="B74" s="267" t="s">
        <v>22</v>
      </c>
      <c r="C74" s="267" t="s">
        <v>37</v>
      </c>
      <c r="D74" s="267" t="s">
        <v>149</v>
      </c>
      <c r="E74" s="267" t="s">
        <v>50</v>
      </c>
      <c r="F74" s="267" t="s">
        <v>52</v>
      </c>
      <c r="G74" s="267"/>
      <c r="H74" s="267">
        <v>70</v>
      </c>
      <c r="I74" s="267">
        <v>17</v>
      </c>
      <c r="J74" s="267"/>
      <c r="K74" s="295" t="s">
        <v>133</v>
      </c>
      <c r="L74" s="296" t="s">
        <v>128</v>
      </c>
      <c r="M74" s="268" t="s">
        <v>124</v>
      </c>
    </row>
    <row r="75" spans="1:13" s="268" customFormat="1" ht="22" customHeight="1" x14ac:dyDescent="0.45">
      <c r="A75" s="353">
        <v>46099</v>
      </c>
      <c r="B75" s="267" t="s">
        <v>22</v>
      </c>
      <c r="C75" s="267" t="s">
        <v>153</v>
      </c>
      <c r="D75" s="267" t="s">
        <v>38</v>
      </c>
      <c r="E75" s="267" t="s">
        <v>50</v>
      </c>
      <c r="F75" s="267" t="s">
        <v>52</v>
      </c>
      <c r="G75" s="267"/>
      <c r="H75" s="267">
        <v>180</v>
      </c>
      <c r="I75" s="267">
        <v>45</v>
      </c>
      <c r="J75" s="267"/>
      <c r="K75" s="295" t="s">
        <v>133</v>
      </c>
      <c r="L75" s="296" t="s">
        <v>154</v>
      </c>
      <c r="M75" s="268" t="s">
        <v>124</v>
      </c>
    </row>
    <row r="76" spans="1:13" s="268" customFormat="1" ht="22" customHeight="1" x14ac:dyDescent="0.45">
      <c r="A76" s="353">
        <v>46099</v>
      </c>
      <c r="B76" s="267" t="s">
        <v>22</v>
      </c>
      <c r="C76" s="267" t="s">
        <v>147</v>
      </c>
      <c r="D76" s="267" t="s">
        <v>203</v>
      </c>
      <c r="E76" s="267" t="s">
        <v>50</v>
      </c>
      <c r="F76" s="267" t="s">
        <v>53</v>
      </c>
      <c r="G76" s="267"/>
      <c r="H76" s="267">
        <v>40</v>
      </c>
      <c r="I76" s="267">
        <v>10</v>
      </c>
      <c r="J76" s="267"/>
      <c r="K76" s="295" t="s">
        <v>164</v>
      </c>
      <c r="L76" s="296" t="s">
        <v>123</v>
      </c>
      <c r="M76" s="268" t="s">
        <v>124</v>
      </c>
    </row>
    <row r="77" spans="1:13" s="268" customFormat="1" ht="22" customHeight="1" x14ac:dyDescent="0.45">
      <c r="A77" s="353">
        <v>46100</v>
      </c>
      <c r="B77" s="267" t="s">
        <v>22</v>
      </c>
      <c r="C77" s="267" t="s">
        <v>37</v>
      </c>
      <c r="D77" s="267" t="s">
        <v>204</v>
      </c>
      <c r="E77" s="267" t="s">
        <v>50</v>
      </c>
      <c r="F77" s="267" t="s">
        <v>53</v>
      </c>
      <c r="G77" s="267"/>
      <c r="H77" s="267">
        <v>60</v>
      </c>
      <c r="I77" s="267">
        <v>15</v>
      </c>
      <c r="J77" s="267"/>
      <c r="K77" s="295"/>
      <c r="L77" s="296" t="s">
        <v>123</v>
      </c>
      <c r="M77" s="268" t="s">
        <v>124</v>
      </c>
    </row>
    <row r="78" spans="1:13" s="268" customFormat="1" ht="22" customHeight="1" x14ac:dyDescent="0.45">
      <c r="A78" s="353">
        <v>46101</v>
      </c>
      <c r="B78" s="267" t="s">
        <v>186</v>
      </c>
      <c r="C78" s="267" t="s">
        <v>187</v>
      </c>
      <c r="D78" s="267" t="s">
        <v>205</v>
      </c>
      <c r="E78" s="267" t="s">
        <v>117</v>
      </c>
      <c r="F78" s="267" t="s">
        <v>206</v>
      </c>
      <c r="G78" s="267"/>
      <c r="H78" s="267">
        <v>30</v>
      </c>
      <c r="I78" s="267">
        <v>30</v>
      </c>
      <c r="J78" s="267"/>
      <c r="K78" s="295"/>
      <c r="L78" s="296"/>
      <c r="M78" s="268" t="s">
        <v>134</v>
      </c>
    </row>
    <row r="79" spans="1:13" s="268" customFormat="1" ht="22" customHeight="1" x14ac:dyDescent="0.45">
      <c r="A79" s="353">
        <v>46101</v>
      </c>
      <c r="B79" s="267" t="s">
        <v>29</v>
      </c>
      <c r="C79" s="267" t="s">
        <v>165</v>
      </c>
      <c r="D79" s="267" t="s">
        <v>207</v>
      </c>
      <c r="E79" s="267" t="s">
        <v>50</v>
      </c>
      <c r="F79" s="267" t="s">
        <v>52</v>
      </c>
      <c r="G79" s="267"/>
      <c r="H79" s="267">
        <v>15</v>
      </c>
      <c r="I79" s="267">
        <v>15</v>
      </c>
      <c r="J79" s="267" t="s">
        <v>208</v>
      </c>
      <c r="K79" s="295" t="s">
        <v>143</v>
      </c>
      <c r="L79" s="296" t="s">
        <v>123</v>
      </c>
      <c r="M79" s="268" t="s">
        <v>124</v>
      </c>
    </row>
    <row r="80" spans="1:13" s="268" customFormat="1" ht="22" customHeight="1" x14ac:dyDescent="0.45">
      <c r="A80" s="353">
        <v>46102</v>
      </c>
      <c r="B80" s="267" t="s">
        <v>136</v>
      </c>
      <c r="C80" s="267" t="s">
        <v>137</v>
      </c>
      <c r="D80" s="267" t="s">
        <v>209</v>
      </c>
      <c r="E80" s="267" t="s">
        <v>50</v>
      </c>
      <c r="F80" s="267" t="s">
        <v>53</v>
      </c>
      <c r="G80" s="267"/>
      <c r="H80" s="267">
        <v>215</v>
      </c>
      <c r="I80" s="267">
        <v>215</v>
      </c>
      <c r="J80" s="267"/>
      <c r="K80" s="295" t="s">
        <v>133</v>
      </c>
      <c r="L80" s="296" t="s">
        <v>123</v>
      </c>
      <c r="M80" s="268" t="s">
        <v>134</v>
      </c>
    </row>
    <row r="81" spans="1:13" s="268" customFormat="1" ht="22" customHeight="1" x14ac:dyDescent="0.45">
      <c r="A81" s="353">
        <v>46102</v>
      </c>
      <c r="B81" s="267" t="s">
        <v>29</v>
      </c>
      <c r="C81" s="267" t="s">
        <v>165</v>
      </c>
      <c r="D81" s="267" t="s">
        <v>207</v>
      </c>
      <c r="E81" s="267" t="s">
        <v>50</v>
      </c>
      <c r="F81" s="267" t="s">
        <v>52</v>
      </c>
      <c r="G81" s="267"/>
      <c r="H81" s="267">
        <v>15</v>
      </c>
      <c r="I81" s="267">
        <v>15</v>
      </c>
      <c r="J81" s="267" t="s">
        <v>208</v>
      </c>
      <c r="K81" s="295" t="s">
        <v>143</v>
      </c>
      <c r="L81" s="296" t="s">
        <v>123</v>
      </c>
      <c r="M81" s="268" t="s">
        <v>124</v>
      </c>
    </row>
    <row r="82" spans="1:13" s="268" customFormat="1" ht="22" customHeight="1" x14ac:dyDescent="0.45">
      <c r="A82" s="353">
        <v>46104</v>
      </c>
      <c r="B82" s="267" t="s">
        <v>115</v>
      </c>
      <c r="C82" s="267" t="s">
        <v>116</v>
      </c>
      <c r="D82" s="267" t="s">
        <v>139</v>
      </c>
      <c r="E82" s="267" t="s">
        <v>117</v>
      </c>
      <c r="F82" s="267" t="s">
        <v>75</v>
      </c>
      <c r="G82" s="267"/>
      <c r="H82" s="267">
        <v>240</v>
      </c>
      <c r="I82" s="267">
        <v>240</v>
      </c>
      <c r="J82" s="267"/>
      <c r="K82" s="295"/>
      <c r="L82" s="296"/>
      <c r="M82" s="268" t="s">
        <v>134</v>
      </c>
    </row>
    <row r="83" spans="1:13" s="268" customFormat="1" ht="22" customHeight="1" x14ac:dyDescent="0.45">
      <c r="A83" s="353">
        <v>46106</v>
      </c>
      <c r="B83" s="267" t="s">
        <v>161</v>
      </c>
      <c r="C83" s="267" t="s">
        <v>162</v>
      </c>
      <c r="D83" s="267" t="s">
        <v>163</v>
      </c>
      <c r="E83" s="267" t="s">
        <v>50</v>
      </c>
      <c r="F83" s="267" t="s">
        <v>53</v>
      </c>
      <c r="G83" s="267"/>
      <c r="H83" s="267">
        <v>30</v>
      </c>
      <c r="I83" s="267">
        <v>30</v>
      </c>
      <c r="J83" s="267"/>
      <c r="K83" s="295" t="s">
        <v>164</v>
      </c>
      <c r="L83" s="296" t="s">
        <v>123</v>
      </c>
      <c r="M83" s="268" t="s">
        <v>134</v>
      </c>
    </row>
    <row r="84" spans="1:13" s="268" customFormat="1" ht="22" customHeight="1" x14ac:dyDescent="0.45">
      <c r="A84" s="353">
        <v>46106</v>
      </c>
      <c r="B84" s="267" t="s">
        <v>18</v>
      </c>
      <c r="C84" s="267" t="s">
        <v>19</v>
      </c>
      <c r="D84" s="267" t="s">
        <v>20</v>
      </c>
      <c r="E84" s="267" t="s">
        <v>50</v>
      </c>
      <c r="F84" s="267" t="s">
        <v>51</v>
      </c>
      <c r="G84" s="267"/>
      <c r="H84" s="267">
        <v>60</v>
      </c>
      <c r="I84" s="267">
        <v>60</v>
      </c>
      <c r="J84" s="267"/>
      <c r="K84" s="295" t="s">
        <v>164</v>
      </c>
      <c r="L84" s="296" t="s">
        <v>174</v>
      </c>
      <c r="M84" s="268" t="s">
        <v>134</v>
      </c>
    </row>
    <row r="85" spans="1:13" s="268" customFormat="1" ht="22" customHeight="1" x14ac:dyDescent="0.45">
      <c r="A85" s="353">
        <v>46106</v>
      </c>
      <c r="B85" s="267" t="s">
        <v>40</v>
      </c>
      <c r="C85" s="267" t="s">
        <v>41</v>
      </c>
      <c r="D85" s="267" t="s">
        <v>210</v>
      </c>
      <c r="E85" s="267" t="s">
        <v>50</v>
      </c>
      <c r="F85" s="267" t="s">
        <v>53</v>
      </c>
      <c r="G85" s="267"/>
      <c r="H85" s="267">
        <v>30</v>
      </c>
      <c r="I85" s="267">
        <v>30</v>
      </c>
      <c r="J85" s="267"/>
      <c r="K85" s="295" t="s">
        <v>164</v>
      </c>
      <c r="L85" s="296" t="s">
        <v>128</v>
      </c>
      <c r="M85" s="268" t="s">
        <v>134</v>
      </c>
    </row>
    <row r="86" spans="1:13" s="268" customFormat="1" ht="22" customHeight="1" x14ac:dyDescent="0.45">
      <c r="A86" s="353">
        <v>46108</v>
      </c>
      <c r="B86" s="267" t="s">
        <v>25</v>
      </c>
      <c r="C86" s="267" t="s">
        <v>26</v>
      </c>
      <c r="D86" s="267" t="s">
        <v>155</v>
      </c>
      <c r="E86" s="267" t="s">
        <v>50</v>
      </c>
      <c r="F86" s="267" t="s">
        <v>53</v>
      </c>
      <c r="G86" s="267"/>
      <c r="H86" s="267">
        <v>15</v>
      </c>
      <c r="I86" s="267">
        <v>15</v>
      </c>
      <c r="J86" s="267"/>
      <c r="K86" s="295" t="s">
        <v>164</v>
      </c>
      <c r="L86" s="296" t="s">
        <v>128</v>
      </c>
      <c r="M86" s="268" t="s">
        <v>134</v>
      </c>
    </row>
    <row r="87" spans="1:13" s="268" customFormat="1" ht="22" customHeight="1" x14ac:dyDescent="0.45">
      <c r="A87" s="353">
        <v>46111</v>
      </c>
      <c r="B87" s="267" t="s">
        <v>129</v>
      </c>
      <c r="C87" s="267" t="s">
        <v>130</v>
      </c>
      <c r="D87" s="267" t="s">
        <v>211</v>
      </c>
      <c r="E87" s="267" t="s">
        <v>50</v>
      </c>
      <c r="F87" s="267" t="s">
        <v>53</v>
      </c>
      <c r="G87" s="267"/>
      <c r="H87" s="267">
        <v>240</v>
      </c>
      <c r="I87" s="267">
        <v>240</v>
      </c>
      <c r="J87" s="267" t="s">
        <v>212</v>
      </c>
      <c r="K87" s="295" t="s">
        <v>164</v>
      </c>
      <c r="L87" s="296" t="s">
        <v>170</v>
      </c>
      <c r="M87" s="268" t="s">
        <v>134</v>
      </c>
    </row>
    <row r="88" spans="1:13" s="268" customFormat="1" ht="22" customHeight="1" x14ac:dyDescent="0.45">
      <c r="A88" s="353">
        <v>46111</v>
      </c>
      <c r="B88" s="267" t="s">
        <v>186</v>
      </c>
      <c r="C88" s="267" t="s">
        <v>187</v>
      </c>
      <c r="D88" s="267" t="s">
        <v>213</v>
      </c>
      <c r="E88" s="267" t="s">
        <v>50</v>
      </c>
      <c r="F88" s="267" t="s">
        <v>53</v>
      </c>
      <c r="G88" s="267"/>
      <c r="H88" s="267">
        <v>240</v>
      </c>
      <c r="I88" s="267">
        <v>240</v>
      </c>
      <c r="J88" s="267" t="s">
        <v>214</v>
      </c>
      <c r="K88" s="295" t="s">
        <v>164</v>
      </c>
      <c r="L88" s="296" t="s">
        <v>123</v>
      </c>
      <c r="M88" s="268" t="s">
        <v>134</v>
      </c>
    </row>
    <row r="89" spans="1:13" s="268" customFormat="1" ht="22" customHeight="1" x14ac:dyDescent="0.45">
      <c r="A89" s="353">
        <v>46112</v>
      </c>
      <c r="B89" s="267" t="s">
        <v>129</v>
      </c>
      <c r="C89" s="267" t="s">
        <v>130</v>
      </c>
      <c r="D89" s="267" t="s">
        <v>211</v>
      </c>
      <c r="E89" s="267" t="s">
        <v>50</v>
      </c>
      <c r="F89" s="267" t="s">
        <v>53</v>
      </c>
      <c r="G89" s="267"/>
      <c r="H89" s="267">
        <v>150</v>
      </c>
      <c r="I89" s="267">
        <v>150</v>
      </c>
      <c r="J89" s="267" t="s">
        <v>212</v>
      </c>
      <c r="K89" s="295" t="s">
        <v>164</v>
      </c>
      <c r="L89" s="296" t="s">
        <v>170</v>
      </c>
      <c r="M89" s="268" t="s">
        <v>134</v>
      </c>
    </row>
    <row r="90" spans="1:13" s="268" customFormat="1" ht="22" customHeight="1" x14ac:dyDescent="0.45">
      <c r="A90" s="353">
        <v>46112</v>
      </c>
      <c r="B90" s="267" t="s">
        <v>186</v>
      </c>
      <c r="C90" s="267" t="s">
        <v>187</v>
      </c>
      <c r="D90" s="267" t="s">
        <v>197</v>
      </c>
      <c r="E90" s="267" t="s">
        <v>50</v>
      </c>
      <c r="F90" s="267" t="s">
        <v>53</v>
      </c>
      <c r="G90" s="267"/>
      <c r="H90" s="267">
        <v>35</v>
      </c>
      <c r="I90" s="267">
        <v>35</v>
      </c>
      <c r="J90" s="267" t="s">
        <v>214</v>
      </c>
      <c r="K90" s="295" t="s">
        <v>164</v>
      </c>
      <c r="L90" s="296" t="s">
        <v>123</v>
      </c>
      <c r="M90" s="268" t="s">
        <v>134</v>
      </c>
    </row>
    <row r="91" spans="1:13" s="268" customFormat="1" ht="22" customHeight="1" x14ac:dyDescent="0.45">
      <c r="A91" s="353">
        <v>46113</v>
      </c>
      <c r="B91" s="267" t="s">
        <v>22</v>
      </c>
      <c r="C91" s="267" t="s">
        <v>37</v>
      </c>
      <c r="D91" s="267" t="s">
        <v>72</v>
      </c>
      <c r="E91" s="267" t="s">
        <v>117</v>
      </c>
      <c r="F91" s="267" t="s">
        <v>215</v>
      </c>
      <c r="G91" s="267"/>
      <c r="H91" s="267">
        <v>288</v>
      </c>
      <c r="I91" s="267">
        <v>72</v>
      </c>
      <c r="J91" s="267"/>
      <c r="K91" s="295"/>
      <c r="L91" s="296"/>
    </row>
    <row r="92" spans="1:13" s="268" customFormat="1" ht="22" customHeight="1" x14ac:dyDescent="0.45">
      <c r="A92" s="353">
        <v>46115</v>
      </c>
      <c r="B92" s="267" t="s">
        <v>40</v>
      </c>
      <c r="C92" s="267" t="s">
        <v>41</v>
      </c>
      <c r="D92" s="267" t="s">
        <v>141</v>
      </c>
      <c r="E92" s="267" t="s">
        <v>50</v>
      </c>
      <c r="F92" s="267" t="s">
        <v>53</v>
      </c>
      <c r="G92" s="267"/>
      <c r="H92" s="267">
        <v>300</v>
      </c>
      <c r="I92" s="267">
        <v>300</v>
      </c>
      <c r="J92" s="267" t="s">
        <v>216</v>
      </c>
      <c r="K92" s="295" t="s">
        <v>164</v>
      </c>
      <c r="L92" s="296" t="s">
        <v>128</v>
      </c>
      <c r="M92" s="268" t="s">
        <v>134</v>
      </c>
    </row>
    <row r="93" spans="1:13" s="268" customFormat="1" ht="22" customHeight="1" x14ac:dyDescent="0.45">
      <c r="A93" s="353">
        <v>46115</v>
      </c>
      <c r="B93" s="267" t="s">
        <v>25</v>
      </c>
      <c r="C93" s="267" t="s">
        <v>171</v>
      </c>
      <c r="D93" s="267" t="s">
        <v>217</v>
      </c>
      <c r="E93" s="267" t="s">
        <v>50</v>
      </c>
      <c r="F93" s="267" t="s">
        <v>53</v>
      </c>
      <c r="G93" s="267"/>
      <c r="H93" s="267">
        <v>60</v>
      </c>
      <c r="I93" s="267">
        <v>60</v>
      </c>
      <c r="J93" s="267"/>
      <c r="K93" s="295"/>
      <c r="L93" s="296" t="s">
        <v>123</v>
      </c>
      <c r="M93" s="268" t="s">
        <v>134</v>
      </c>
    </row>
    <row r="94" spans="1:13" s="268" customFormat="1" ht="22" customHeight="1" x14ac:dyDescent="0.45">
      <c r="A94" s="353">
        <v>46116</v>
      </c>
      <c r="B94" s="267" t="s">
        <v>115</v>
      </c>
      <c r="C94" s="267" t="s">
        <v>116</v>
      </c>
      <c r="D94" s="267" t="s">
        <v>74</v>
      </c>
      <c r="E94" s="267" t="s">
        <v>117</v>
      </c>
      <c r="F94" s="267" t="s">
        <v>74</v>
      </c>
      <c r="G94" s="267"/>
      <c r="H94" s="267">
        <v>630</v>
      </c>
      <c r="I94" s="267">
        <v>630</v>
      </c>
      <c r="J94" s="267"/>
      <c r="K94" s="295"/>
      <c r="L94" s="296"/>
      <c r="M94" s="268" t="s">
        <v>134</v>
      </c>
    </row>
    <row r="95" spans="1:13" s="268" customFormat="1" ht="22" customHeight="1" x14ac:dyDescent="0.45">
      <c r="A95" s="353">
        <v>46117</v>
      </c>
      <c r="B95" s="267" t="s">
        <v>186</v>
      </c>
      <c r="C95" s="267" t="s">
        <v>187</v>
      </c>
      <c r="D95" s="267" t="s">
        <v>218</v>
      </c>
      <c r="E95" s="267" t="s">
        <v>50</v>
      </c>
      <c r="F95" s="267" t="s">
        <v>52</v>
      </c>
      <c r="G95" s="267"/>
      <c r="H95" s="267">
        <v>15</v>
      </c>
      <c r="I95" s="267">
        <v>15</v>
      </c>
      <c r="J95" s="267"/>
      <c r="K95" s="295"/>
      <c r="L95" s="296"/>
      <c r="M95" s="268" t="s">
        <v>134</v>
      </c>
    </row>
    <row r="96" spans="1:13" s="268" customFormat="1" ht="22" customHeight="1" x14ac:dyDescent="0.45">
      <c r="A96" s="353">
        <v>46117</v>
      </c>
      <c r="B96" s="267" t="s">
        <v>40</v>
      </c>
      <c r="C96" s="267" t="s">
        <v>41</v>
      </c>
      <c r="D96" s="267" t="s">
        <v>44</v>
      </c>
      <c r="E96" s="267" t="s">
        <v>50</v>
      </c>
      <c r="F96" s="267" t="s">
        <v>52</v>
      </c>
      <c r="G96" s="267"/>
      <c r="H96" s="267">
        <v>30</v>
      </c>
      <c r="I96" s="267">
        <v>30</v>
      </c>
      <c r="J96" s="267"/>
      <c r="K96" s="295" t="s">
        <v>118</v>
      </c>
      <c r="L96" s="296" t="s">
        <v>170</v>
      </c>
      <c r="M96" s="268" t="s">
        <v>134</v>
      </c>
    </row>
    <row r="97" spans="1:13" s="268" customFormat="1" ht="22" customHeight="1" x14ac:dyDescent="0.45">
      <c r="A97" s="353">
        <v>46119</v>
      </c>
      <c r="B97" s="267" t="s">
        <v>186</v>
      </c>
      <c r="C97" s="267" t="s">
        <v>187</v>
      </c>
      <c r="D97" s="267" t="s">
        <v>218</v>
      </c>
      <c r="E97" s="267" t="s">
        <v>50</v>
      </c>
      <c r="F97" s="267" t="s">
        <v>53</v>
      </c>
      <c r="G97" s="267"/>
      <c r="H97" s="267">
        <v>45</v>
      </c>
      <c r="I97" s="267">
        <v>45</v>
      </c>
      <c r="J97" s="267" t="s">
        <v>219</v>
      </c>
      <c r="K97" s="295" t="s">
        <v>164</v>
      </c>
      <c r="L97" s="296"/>
      <c r="M97" s="268" t="s">
        <v>134</v>
      </c>
    </row>
    <row r="98" spans="1:13" s="268" customFormat="1" ht="22" customHeight="1" x14ac:dyDescent="0.45">
      <c r="A98" s="353">
        <v>46119</v>
      </c>
      <c r="B98" s="267" t="s">
        <v>186</v>
      </c>
      <c r="C98" s="267" t="s">
        <v>187</v>
      </c>
      <c r="D98" s="267" t="s">
        <v>197</v>
      </c>
      <c r="E98" s="267" t="s">
        <v>50</v>
      </c>
      <c r="F98" s="267" t="s">
        <v>53</v>
      </c>
      <c r="G98" s="267"/>
      <c r="H98" s="267">
        <v>25</v>
      </c>
      <c r="I98" s="267">
        <v>25</v>
      </c>
      <c r="J98" s="267" t="s">
        <v>220</v>
      </c>
      <c r="K98" s="295" t="s">
        <v>164</v>
      </c>
      <c r="L98" s="296" t="s">
        <v>123</v>
      </c>
      <c r="M98" s="268" t="s">
        <v>134</v>
      </c>
    </row>
    <row r="99" spans="1:13" s="268" customFormat="1" ht="22" customHeight="1" x14ac:dyDescent="0.45">
      <c r="A99" s="353">
        <v>46120</v>
      </c>
      <c r="B99" s="267" t="s">
        <v>129</v>
      </c>
      <c r="C99" s="267" t="s">
        <v>130</v>
      </c>
      <c r="D99" s="267" t="s">
        <v>221</v>
      </c>
      <c r="E99" s="267" t="s">
        <v>50</v>
      </c>
      <c r="F99" s="267" t="s">
        <v>53</v>
      </c>
      <c r="G99" s="267"/>
      <c r="H99" s="267">
        <v>150</v>
      </c>
      <c r="I99" s="267">
        <v>120</v>
      </c>
      <c r="J99" s="267"/>
      <c r="K99" s="295" t="s">
        <v>164</v>
      </c>
      <c r="L99" s="296" t="s">
        <v>174</v>
      </c>
      <c r="M99" s="268" t="s">
        <v>134</v>
      </c>
    </row>
    <row r="100" spans="1:13" s="268" customFormat="1" ht="22" customHeight="1" x14ac:dyDescent="0.45">
      <c r="A100" s="353">
        <v>46120</v>
      </c>
      <c r="B100" s="267" t="s">
        <v>136</v>
      </c>
      <c r="C100" s="267" t="s">
        <v>137</v>
      </c>
      <c r="D100" s="267" t="s">
        <v>151</v>
      </c>
      <c r="E100" s="267" t="s">
        <v>50</v>
      </c>
      <c r="F100" s="267" t="s">
        <v>53</v>
      </c>
      <c r="G100" s="267"/>
      <c r="H100" s="267">
        <v>120</v>
      </c>
      <c r="I100" s="267">
        <v>120</v>
      </c>
      <c r="J100" s="267"/>
      <c r="K100" s="295" t="s">
        <v>164</v>
      </c>
      <c r="L100" s="296" t="s">
        <v>123</v>
      </c>
      <c r="M100" s="268" t="s">
        <v>134</v>
      </c>
    </row>
    <row r="101" spans="1:13" s="268" customFormat="1" ht="22" customHeight="1" x14ac:dyDescent="0.45">
      <c r="A101" s="353">
        <v>46120</v>
      </c>
      <c r="B101" s="267" t="s">
        <v>167</v>
      </c>
      <c r="C101" s="267" t="s">
        <v>222</v>
      </c>
      <c r="D101" s="267" t="s">
        <v>223</v>
      </c>
      <c r="E101" s="267" t="s">
        <v>50</v>
      </c>
      <c r="F101" s="267" t="s">
        <v>52</v>
      </c>
      <c r="G101" s="267"/>
      <c r="H101" s="267">
        <v>150</v>
      </c>
      <c r="I101" s="267">
        <v>120</v>
      </c>
      <c r="J101" s="267"/>
      <c r="K101" s="295"/>
      <c r="L101" s="296"/>
    </row>
    <row r="102" spans="1:13" s="268" customFormat="1" ht="22" customHeight="1" x14ac:dyDescent="0.45">
      <c r="A102" s="353">
        <v>46120</v>
      </c>
      <c r="B102" s="267" t="s">
        <v>186</v>
      </c>
      <c r="C102" s="267" t="s">
        <v>187</v>
      </c>
      <c r="D102" s="267" t="s">
        <v>218</v>
      </c>
      <c r="E102" s="267" t="s">
        <v>50</v>
      </c>
      <c r="F102" s="267" t="s">
        <v>52</v>
      </c>
      <c r="G102" s="267"/>
      <c r="H102" s="267">
        <v>30</v>
      </c>
      <c r="I102" s="267">
        <v>30</v>
      </c>
      <c r="J102" s="267" t="s">
        <v>224</v>
      </c>
      <c r="K102" s="295" t="s">
        <v>164</v>
      </c>
      <c r="L102" s="296"/>
      <c r="M102" s="268" t="s">
        <v>134</v>
      </c>
    </row>
    <row r="103" spans="1:13" s="268" customFormat="1" ht="22" customHeight="1" x14ac:dyDescent="0.45">
      <c r="A103" s="353">
        <v>46121</v>
      </c>
      <c r="B103" s="267" t="s">
        <v>25</v>
      </c>
      <c r="C103" s="267" t="s">
        <v>26</v>
      </c>
      <c r="D103" s="267" t="s">
        <v>27</v>
      </c>
      <c r="E103" s="267" t="s">
        <v>50</v>
      </c>
      <c r="F103" s="267" t="s">
        <v>52</v>
      </c>
      <c r="G103" s="267"/>
      <c r="H103" s="267">
        <v>30</v>
      </c>
      <c r="I103" s="267">
        <v>30</v>
      </c>
      <c r="J103" s="267"/>
      <c r="K103" s="295" t="s">
        <v>164</v>
      </c>
      <c r="L103" s="296"/>
      <c r="M103" s="268" t="s">
        <v>134</v>
      </c>
    </row>
    <row r="104" spans="1:13" s="268" customFormat="1" ht="22" customHeight="1" x14ac:dyDescent="0.45">
      <c r="A104" s="353">
        <v>46122</v>
      </c>
      <c r="B104" s="267" t="s">
        <v>40</v>
      </c>
      <c r="C104" s="267" t="s">
        <v>41</v>
      </c>
      <c r="D104" s="267" t="s">
        <v>42</v>
      </c>
      <c r="E104" s="267" t="s">
        <v>50</v>
      </c>
      <c r="F104" s="267" t="s">
        <v>53</v>
      </c>
      <c r="G104" s="267"/>
      <c r="H104" s="267">
        <v>120</v>
      </c>
      <c r="I104" s="267">
        <v>120</v>
      </c>
      <c r="J104" s="267" t="s">
        <v>225</v>
      </c>
      <c r="K104" s="295" t="s">
        <v>164</v>
      </c>
      <c r="L104" s="296" t="s">
        <v>123</v>
      </c>
      <c r="M104" s="268" t="s">
        <v>134</v>
      </c>
    </row>
    <row r="105" spans="1:13" s="268" customFormat="1" ht="22" customHeight="1" x14ac:dyDescent="0.45">
      <c r="A105" s="353">
        <v>46125</v>
      </c>
      <c r="B105" s="267" t="s">
        <v>226</v>
      </c>
      <c r="C105" s="267" t="s">
        <v>227</v>
      </c>
      <c r="D105" s="267" t="s">
        <v>228</v>
      </c>
      <c r="E105" s="267" t="s">
        <v>50</v>
      </c>
      <c r="F105" s="267" t="s">
        <v>53</v>
      </c>
      <c r="G105" s="267"/>
      <c r="H105" s="267">
        <v>15</v>
      </c>
      <c r="I105" s="267">
        <v>15</v>
      </c>
      <c r="J105" s="267" t="s">
        <v>225</v>
      </c>
      <c r="K105" s="295" t="s">
        <v>118</v>
      </c>
      <c r="L105" s="296" t="s">
        <v>170</v>
      </c>
      <c r="M105" s="268" t="s">
        <v>134</v>
      </c>
    </row>
    <row r="106" spans="1:13" s="268" customFormat="1" ht="22" customHeight="1" x14ac:dyDescent="0.45">
      <c r="A106" s="353">
        <v>46127</v>
      </c>
      <c r="B106" s="267" t="s">
        <v>161</v>
      </c>
      <c r="C106" s="267" t="s">
        <v>162</v>
      </c>
      <c r="D106" s="267" t="s">
        <v>163</v>
      </c>
      <c r="E106" s="267" t="s">
        <v>50</v>
      </c>
      <c r="F106" s="267" t="s">
        <v>53</v>
      </c>
      <c r="G106" s="267"/>
      <c r="H106" s="267">
        <v>100</v>
      </c>
      <c r="I106" s="267">
        <v>100</v>
      </c>
      <c r="J106" s="267" t="s">
        <v>229</v>
      </c>
      <c r="K106" s="295" t="s">
        <v>164</v>
      </c>
      <c r="L106" s="296" t="s">
        <v>123</v>
      </c>
      <c r="M106" s="268" t="s">
        <v>134</v>
      </c>
    </row>
    <row r="107" spans="1:13" s="268" customFormat="1" ht="22" customHeight="1" x14ac:dyDescent="0.45">
      <c r="A107" s="353">
        <v>46127</v>
      </c>
      <c r="B107" s="267" t="s">
        <v>25</v>
      </c>
      <c r="C107" s="267" t="s">
        <v>26</v>
      </c>
      <c r="D107" s="267" t="s">
        <v>155</v>
      </c>
      <c r="E107" s="267" t="s">
        <v>50</v>
      </c>
      <c r="F107" s="267" t="s">
        <v>53</v>
      </c>
      <c r="G107" s="267"/>
      <c r="H107" s="267">
        <v>15</v>
      </c>
      <c r="I107" s="267">
        <v>15</v>
      </c>
      <c r="J107" s="267" t="s">
        <v>230</v>
      </c>
      <c r="K107" s="295" t="s">
        <v>164</v>
      </c>
      <c r="L107" s="296" t="s">
        <v>128</v>
      </c>
      <c r="M107" s="268" t="s">
        <v>134</v>
      </c>
    </row>
    <row r="108" spans="1:13" s="268" customFormat="1" ht="22" customHeight="1" x14ac:dyDescent="0.45">
      <c r="A108" s="353">
        <v>46128</v>
      </c>
      <c r="B108" s="267" t="s">
        <v>40</v>
      </c>
      <c r="C108" s="267" t="s">
        <v>41</v>
      </c>
      <c r="D108" s="267" t="s">
        <v>44</v>
      </c>
      <c r="E108" s="267" t="s">
        <v>50</v>
      </c>
      <c r="F108" s="267" t="s">
        <v>53</v>
      </c>
      <c r="G108" s="267"/>
      <c r="H108" s="267">
        <v>120</v>
      </c>
      <c r="I108" s="267">
        <v>120</v>
      </c>
      <c r="J108" s="267" t="s">
        <v>231</v>
      </c>
      <c r="K108" s="295" t="s">
        <v>164</v>
      </c>
      <c r="L108" s="296" t="s">
        <v>170</v>
      </c>
      <c r="M108" s="268" t="s">
        <v>134</v>
      </c>
    </row>
    <row r="109" spans="1:13" s="268" customFormat="1" ht="22" customHeight="1" x14ac:dyDescent="0.45">
      <c r="A109" s="353">
        <v>46129</v>
      </c>
      <c r="B109" s="267" t="s">
        <v>25</v>
      </c>
      <c r="C109" s="267" t="s">
        <v>26</v>
      </c>
      <c r="D109" s="267" t="s">
        <v>155</v>
      </c>
      <c r="E109" s="267" t="s">
        <v>50</v>
      </c>
      <c r="F109" s="267" t="s">
        <v>53</v>
      </c>
      <c r="G109" s="267"/>
      <c r="H109" s="267">
        <v>66</v>
      </c>
      <c r="I109" s="267">
        <v>66</v>
      </c>
      <c r="J109" s="267" t="s">
        <v>232</v>
      </c>
      <c r="K109" s="295" t="s">
        <v>164</v>
      </c>
      <c r="L109" s="296" t="s">
        <v>128</v>
      </c>
      <c r="M109" s="268" t="s">
        <v>134</v>
      </c>
    </row>
    <row r="110" spans="1:13" s="268" customFormat="1" ht="22" customHeight="1" x14ac:dyDescent="0.45">
      <c r="A110" s="353">
        <v>46130</v>
      </c>
      <c r="B110" s="267"/>
      <c r="C110" s="267"/>
      <c r="D110" s="267"/>
      <c r="E110" s="267"/>
      <c r="F110" s="267"/>
      <c r="G110" s="267"/>
      <c r="H110" s="267"/>
      <c r="I110" s="267"/>
      <c r="J110" s="267"/>
      <c r="K110" s="295"/>
      <c r="L110" s="296"/>
      <c r="M110" s="268" t="s">
        <v>134</v>
      </c>
    </row>
    <row r="111" spans="1:13" s="268" customFormat="1" ht="22" customHeight="1" x14ac:dyDescent="0.45">
      <c r="A111" s="353">
        <v>46130</v>
      </c>
      <c r="B111" s="267"/>
      <c r="C111" s="267"/>
      <c r="D111" s="267"/>
      <c r="E111" s="267"/>
      <c r="F111" s="267"/>
      <c r="G111" s="267"/>
      <c r="H111" s="267"/>
      <c r="I111" s="267"/>
      <c r="J111" s="267"/>
      <c r="K111" s="295"/>
      <c r="L111" s="296"/>
      <c r="M111" s="268" t="s">
        <v>134</v>
      </c>
    </row>
    <row r="112" spans="1:13" s="268" customFormat="1" ht="22" customHeight="1" x14ac:dyDescent="0.45">
      <c r="A112" s="353">
        <v>46131</v>
      </c>
      <c r="B112" s="267" t="s">
        <v>115</v>
      </c>
      <c r="C112" s="267" t="s">
        <v>116</v>
      </c>
      <c r="D112" s="267" t="s">
        <v>189</v>
      </c>
      <c r="E112" s="267" t="s">
        <v>50</v>
      </c>
      <c r="F112" s="267" t="s">
        <v>190</v>
      </c>
      <c r="G112" s="267"/>
      <c r="H112" s="267">
        <v>130</v>
      </c>
      <c r="I112" s="267">
        <v>130</v>
      </c>
      <c r="J112" s="267"/>
      <c r="K112" s="295"/>
      <c r="L112" s="296"/>
      <c r="M112" s="268" t="s">
        <v>134</v>
      </c>
    </row>
    <row r="113" spans="1:13" s="268" customFormat="1" ht="22" customHeight="1" x14ac:dyDescent="0.45">
      <c r="A113" s="353">
        <v>46131</v>
      </c>
      <c r="B113" s="267"/>
      <c r="C113" s="267"/>
      <c r="D113" s="267"/>
      <c r="E113" s="267"/>
      <c r="F113" s="267"/>
      <c r="G113" s="267"/>
      <c r="H113" s="267"/>
      <c r="I113" s="267"/>
      <c r="J113" s="267"/>
      <c r="K113" s="295"/>
      <c r="L113" s="296"/>
      <c r="M113" s="268" t="s">
        <v>134</v>
      </c>
    </row>
    <row r="114" spans="1:13" s="268" customFormat="1" ht="22" customHeight="1" x14ac:dyDescent="0.45">
      <c r="A114" s="353">
        <v>46132</v>
      </c>
      <c r="B114" s="267" t="s">
        <v>115</v>
      </c>
      <c r="C114" s="267" t="s">
        <v>116</v>
      </c>
      <c r="D114" s="267" t="s">
        <v>189</v>
      </c>
      <c r="E114" s="267" t="s">
        <v>50</v>
      </c>
      <c r="F114" s="267" t="s">
        <v>190</v>
      </c>
      <c r="G114" s="267"/>
      <c r="H114" s="267">
        <v>180</v>
      </c>
      <c r="I114" s="267">
        <v>180</v>
      </c>
      <c r="J114" s="267"/>
      <c r="K114" s="295"/>
      <c r="L114" s="296"/>
      <c r="M114" s="268" t="s">
        <v>134</v>
      </c>
    </row>
    <row r="115" spans="1:13" s="268" customFormat="1" ht="22" customHeight="1" x14ac:dyDescent="0.45">
      <c r="A115" s="353">
        <v>46132</v>
      </c>
      <c r="B115" s="267"/>
      <c r="C115" s="267"/>
      <c r="D115" s="267"/>
      <c r="E115" s="267"/>
      <c r="F115" s="267"/>
      <c r="G115" s="267"/>
      <c r="H115" s="267"/>
      <c r="I115" s="267"/>
      <c r="J115" s="267"/>
      <c r="K115" s="295"/>
      <c r="L115" s="296"/>
      <c r="M115" s="268" t="s">
        <v>134</v>
      </c>
    </row>
    <row r="116" spans="1:13" s="268" customFormat="1" ht="22" customHeight="1" x14ac:dyDescent="0.45">
      <c r="A116" s="353">
        <v>46133</v>
      </c>
      <c r="B116" s="267" t="s">
        <v>115</v>
      </c>
      <c r="C116" s="267" t="s">
        <v>116</v>
      </c>
      <c r="D116" s="267" t="s">
        <v>189</v>
      </c>
      <c r="E116" s="267" t="s">
        <v>50</v>
      </c>
      <c r="F116" s="267" t="s">
        <v>190</v>
      </c>
      <c r="G116" s="267"/>
      <c r="H116" s="267">
        <v>60</v>
      </c>
      <c r="I116" s="267">
        <v>60</v>
      </c>
      <c r="J116" s="267"/>
      <c r="K116" s="295"/>
      <c r="L116" s="296"/>
      <c r="M116" s="268" t="s">
        <v>134</v>
      </c>
    </row>
    <row r="117" spans="1:13" s="268" customFormat="1" ht="22" customHeight="1" x14ac:dyDescent="0.45">
      <c r="A117" s="353">
        <v>46134</v>
      </c>
      <c r="B117" s="267" t="s">
        <v>115</v>
      </c>
      <c r="C117" s="267" t="s">
        <v>116</v>
      </c>
      <c r="D117" s="267" t="s">
        <v>189</v>
      </c>
      <c r="E117" s="267" t="s">
        <v>50</v>
      </c>
      <c r="F117" s="267" t="s">
        <v>190</v>
      </c>
      <c r="G117" s="267"/>
      <c r="H117" s="267">
        <v>120</v>
      </c>
      <c r="I117" s="267">
        <v>120</v>
      </c>
      <c r="J117" s="267"/>
      <c r="K117" s="295"/>
      <c r="L117" s="296"/>
      <c r="M117" s="268" t="s">
        <v>134</v>
      </c>
    </row>
    <row r="118" spans="1:13" s="268" customFormat="1" ht="22" customHeight="1" x14ac:dyDescent="0.45">
      <c r="A118" s="353">
        <v>46141</v>
      </c>
      <c r="B118" s="267" t="s">
        <v>115</v>
      </c>
      <c r="C118" s="267" t="s">
        <v>116</v>
      </c>
      <c r="D118" s="267" t="s">
        <v>119</v>
      </c>
      <c r="E118" s="267" t="s">
        <v>117</v>
      </c>
      <c r="F118" s="267" t="s">
        <v>75</v>
      </c>
      <c r="G118" s="267"/>
      <c r="H118" s="267">
        <v>60</v>
      </c>
      <c r="I118" s="267">
        <v>60</v>
      </c>
      <c r="J118" s="267"/>
      <c r="K118" s="295"/>
      <c r="L118" s="296"/>
      <c r="M118" s="268" t="s">
        <v>134</v>
      </c>
    </row>
    <row r="119" spans="1:13" s="268" customFormat="1" ht="22" customHeight="1" x14ac:dyDescent="0.45">
      <c r="A119" s="353">
        <v>46141</v>
      </c>
      <c r="B119" s="267" t="s">
        <v>115</v>
      </c>
      <c r="C119" s="267" t="s">
        <v>116</v>
      </c>
      <c r="D119" s="267" t="s">
        <v>189</v>
      </c>
      <c r="E119" s="267" t="s">
        <v>50</v>
      </c>
      <c r="F119" s="267" t="s">
        <v>190</v>
      </c>
      <c r="G119" s="267"/>
      <c r="H119" s="267">
        <v>100</v>
      </c>
      <c r="I119" s="267">
        <v>100</v>
      </c>
      <c r="J119" s="267"/>
      <c r="K119" s="295"/>
      <c r="L119" s="296"/>
      <c r="M119" s="268" t="s">
        <v>134</v>
      </c>
    </row>
    <row r="120" spans="1:13" s="268" customFormat="1" ht="22" customHeight="1" x14ac:dyDescent="0.45">
      <c r="A120" s="353">
        <v>46141</v>
      </c>
      <c r="B120" s="267" t="s">
        <v>115</v>
      </c>
      <c r="C120" s="267" t="s">
        <v>116</v>
      </c>
      <c r="D120" s="267" t="s">
        <v>139</v>
      </c>
      <c r="E120" s="267" t="s">
        <v>117</v>
      </c>
      <c r="F120" s="267" t="s">
        <v>75</v>
      </c>
      <c r="G120" s="267"/>
      <c r="H120" s="267">
        <v>60</v>
      </c>
      <c r="I120" s="267">
        <v>60</v>
      </c>
      <c r="J120" s="267"/>
      <c r="K120" s="295"/>
      <c r="L120" s="296"/>
      <c r="M120" s="268" t="s">
        <v>134</v>
      </c>
    </row>
    <row r="121" spans="1:13" s="268" customFormat="1" ht="22" customHeight="1" x14ac:dyDescent="0.45">
      <c r="A121" s="353">
        <v>46142</v>
      </c>
      <c r="B121" s="267" t="s">
        <v>161</v>
      </c>
      <c r="C121" s="267" t="s">
        <v>162</v>
      </c>
      <c r="D121" s="267" t="s">
        <v>233</v>
      </c>
      <c r="E121" s="267" t="s">
        <v>50</v>
      </c>
      <c r="F121" s="267" t="s">
        <v>53</v>
      </c>
      <c r="G121" s="267"/>
      <c r="H121" s="267">
        <v>360</v>
      </c>
      <c r="I121" s="267">
        <v>360</v>
      </c>
      <c r="J121" s="267" t="s">
        <v>234</v>
      </c>
      <c r="K121" s="295" t="s">
        <v>164</v>
      </c>
      <c r="L121" s="296" t="s">
        <v>123</v>
      </c>
      <c r="M121" s="268" t="s">
        <v>134</v>
      </c>
    </row>
    <row r="122" spans="1:13" s="268" customFormat="1" ht="22" customHeight="1" x14ac:dyDescent="0.45">
      <c r="A122" s="353">
        <v>46142</v>
      </c>
      <c r="B122" s="267" t="s">
        <v>115</v>
      </c>
      <c r="C122" s="267" t="s">
        <v>116</v>
      </c>
      <c r="D122" s="267" t="s">
        <v>189</v>
      </c>
      <c r="E122" s="267" t="s">
        <v>50</v>
      </c>
      <c r="F122" s="267" t="s">
        <v>190</v>
      </c>
      <c r="G122" s="267"/>
      <c r="H122" s="267">
        <v>160</v>
      </c>
      <c r="I122" s="267">
        <v>160</v>
      </c>
      <c r="J122" s="267"/>
      <c r="K122" s="295"/>
      <c r="L122" s="296"/>
      <c r="M122" s="268" t="s">
        <v>134</v>
      </c>
    </row>
    <row r="123" spans="1:13" s="268" customFormat="1" ht="22" customHeight="1" x14ac:dyDescent="0.45">
      <c r="A123" s="353">
        <v>46145</v>
      </c>
      <c r="B123" s="267" t="s">
        <v>33</v>
      </c>
      <c r="C123" s="267" t="s">
        <v>135</v>
      </c>
      <c r="D123" s="267" t="s">
        <v>235</v>
      </c>
      <c r="E123" s="267" t="s">
        <v>50</v>
      </c>
      <c r="F123" s="267" t="s">
        <v>53</v>
      </c>
      <c r="G123" s="267"/>
      <c r="H123" s="267">
        <v>480</v>
      </c>
      <c r="I123" s="267">
        <v>120</v>
      </c>
      <c r="J123" s="267" t="s">
        <v>236</v>
      </c>
      <c r="K123" s="295" t="s">
        <v>164</v>
      </c>
      <c r="L123" s="296" t="s">
        <v>123</v>
      </c>
      <c r="M123" s="268" t="s">
        <v>124</v>
      </c>
    </row>
    <row r="124" spans="1:13" s="268" customFormat="1" ht="22" customHeight="1" x14ac:dyDescent="0.45">
      <c r="A124" s="353">
        <v>46146</v>
      </c>
      <c r="B124" s="267" t="s">
        <v>40</v>
      </c>
      <c r="C124" s="267" t="s">
        <v>41</v>
      </c>
      <c r="D124" s="267" t="s">
        <v>42</v>
      </c>
      <c r="E124" s="267" t="s">
        <v>50</v>
      </c>
      <c r="F124" s="267" t="s">
        <v>53</v>
      </c>
      <c r="G124" s="267"/>
      <c r="H124" s="267">
        <v>60</v>
      </c>
      <c r="I124" s="267">
        <v>45</v>
      </c>
      <c r="J124" s="267" t="s">
        <v>225</v>
      </c>
      <c r="K124" s="295" t="s">
        <v>164</v>
      </c>
      <c r="L124" s="296" t="s">
        <v>123</v>
      </c>
      <c r="M124" s="268" t="s">
        <v>134</v>
      </c>
    </row>
    <row r="125" spans="1:13" s="268" customFormat="1" ht="22" customHeight="1" x14ac:dyDescent="0.45">
      <c r="A125" s="353">
        <v>46149</v>
      </c>
      <c r="B125" s="267" t="s">
        <v>33</v>
      </c>
      <c r="C125" s="267" t="s">
        <v>34</v>
      </c>
      <c r="D125" s="267" t="s">
        <v>237</v>
      </c>
      <c r="E125" s="267" t="s">
        <v>50</v>
      </c>
      <c r="F125" s="267" t="s">
        <v>53</v>
      </c>
      <c r="G125" s="267"/>
      <c r="H125" s="267">
        <v>240</v>
      </c>
      <c r="I125" s="267">
        <v>60</v>
      </c>
      <c r="J125" s="267"/>
      <c r="K125" s="295" t="s">
        <v>164</v>
      </c>
      <c r="L125" s="296" t="s">
        <v>123</v>
      </c>
      <c r="M125" s="268" t="s">
        <v>124</v>
      </c>
    </row>
    <row r="126" spans="1:13" s="268" customFormat="1" ht="22" customHeight="1" x14ac:dyDescent="0.45">
      <c r="A126" s="353">
        <v>46150</v>
      </c>
      <c r="B126" s="267" t="s">
        <v>33</v>
      </c>
      <c r="C126" s="267" t="s">
        <v>200</v>
      </c>
      <c r="D126" s="267" t="s">
        <v>196</v>
      </c>
      <c r="E126" s="267" t="s">
        <v>50</v>
      </c>
      <c r="F126" s="267" t="s">
        <v>53</v>
      </c>
      <c r="G126" s="267"/>
      <c r="H126" s="267">
        <v>60</v>
      </c>
      <c r="I126" s="267">
        <v>15</v>
      </c>
      <c r="J126" s="267" t="s">
        <v>238</v>
      </c>
      <c r="K126" s="295" t="s">
        <v>118</v>
      </c>
      <c r="L126" s="296" t="s">
        <v>123</v>
      </c>
      <c r="M126" s="268" t="s">
        <v>124</v>
      </c>
    </row>
    <row r="127" spans="1:13" s="268" customFormat="1" ht="22" customHeight="1" x14ac:dyDescent="0.45">
      <c r="A127" s="353">
        <v>46150</v>
      </c>
      <c r="B127" s="267" t="s">
        <v>115</v>
      </c>
      <c r="C127" s="267" t="s">
        <v>116</v>
      </c>
      <c r="D127" s="267" t="s">
        <v>119</v>
      </c>
      <c r="E127" s="267" t="s">
        <v>117</v>
      </c>
      <c r="F127" s="267" t="s">
        <v>75</v>
      </c>
      <c r="G127" s="267"/>
      <c r="H127" s="267">
        <v>60</v>
      </c>
      <c r="I127" s="267">
        <v>60</v>
      </c>
      <c r="J127" s="267"/>
      <c r="K127" s="295"/>
      <c r="L127" s="296"/>
      <c r="M127" s="268" t="s">
        <v>134</v>
      </c>
    </row>
    <row r="128" spans="1:13" s="268" customFormat="1" ht="22" customHeight="1" x14ac:dyDescent="0.45">
      <c r="A128" s="353">
        <v>46151</v>
      </c>
      <c r="B128" s="267" t="s">
        <v>186</v>
      </c>
      <c r="C128" s="267" t="s">
        <v>187</v>
      </c>
      <c r="D128" s="267" t="s">
        <v>239</v>
      </c>
      <c r="E128" s="267" t="s">
        <v>50</v>
      </c>
      <c r="F128" s="267" t="s">
        <v>53</v>
      </c>
      <c r="G128" s="267"/>
      <c r="H128" s="267">
        <v>120</v>
      </c>
      <c r="I128" s="267">
        <v>120</v>
      </c>
      <c r="J128" s="267" t="s">
        <v>240</v>
      </c>
      <c r="K128" s="295" t="s">
        <v>164</v>
      </c>
      <c r="L128" s="296" t="s">
        <v>170</v>
      </c>
      <c r="M128" s="268" t="s">
        <v>134</v>
      </c>
    </row>
    <row r="129" spans="1:13" s="268" customFormat="1" ht="22" customHeight="1" x14ac:dyDescent="0.45">
      <c r="A129" s="353">
        <v>46151</v>
      </c>
      <c r="B129" s="267" t="s">
        <v>18</v>
      </c>
      <c r="C129" s="267" t="s">
        <v>181</v>
      </c>
      <c r="D129" s="267" t="s">
        <v>182</v>
      </c>
      <c r="E129" s="267" t="s">
        <v>50</v>
      </c>
      <c r="F129" s="267" t="s">
        <v>51</v>
      </c>
      <c r="G129" s="267"/>
      <c r="H129" s="267">
        <v>20</v>
      </c>
      <c r="I129" s="267">
        <v>20</v>
      </c>
      <c r="J129" s="267"/>
      <c r="K129" s="295"/>
      <c r="L129" s="296" t="s">
        <v>170</v>
      </c>
      <c r="M129" s="268" t="s">
        <v>134</v>
      </c>
    </row>
    <row r="130" spans="1:13" s="268" customFormat="1" ht="22" customHeight="1" x14ac:dyDescent="0.45">
      <c r="A130" s="353">
        <v>46152</v>
      </c>
      <c r="B130" s="267" t="s">
        <v>40</v>
      </c>
      <c r="C130" s="267" t="s">
        <v>41</v>
      </c>
      <c r="D130" s="267" t="s">
        <v>241</v>
      </c>
      <c r="E130" s="267" t="s">
        <v>50</v>
      </c>
      <c r="F130" s="267" t="s">
        <v>53</v>
      </c>
      <c r="G130" s="267"/>
      <c r="H130" s="267">
        <v>240</v>
      </c>
      <c r="I130" s="267">
        <v>240</v>
      </c>
      <c r="J130" s="267"/>
      <c r="K130" s="295" t="s">
        <v>164</v>
      </c>
      <c r="L130" s="296" t="s">
        <v>123</v>
      </c>
      <c r="M130" s="268" t="s">
        <v>134</v>
      </c>
    </row>
    <row r="131" spans="1:13" s="268" customFormat="1" ht="22" customHeight="1" x14ac:dyDescent="0.45">
      <c r="A131" s="353">
        <v>46154</v>
      </c>
      <c r="B131" s="267" t="s">
        <v>40</v>
      </c>
      <c r="C131" s="267" t="s">
        <v>41</v>
      </c>
      <c r="D131" s="267" t="s">
        <v>242</v>
      </c>
      <c r="E131" s="267" t="s">
        <v>50</v>
      </c>
      <c r="F131" s="267" t="s">
        <v>53</v>
      </c>
      <c r="G131" s="267"/>
      <c r="H131" s="267">
        <v>90</v>
      </c>
      <c r="I131" s="267">
        <v>90</v>
      </c>
      <c r="J131" s="267"/>
      <c r="K131" s="295" t="s">
        <v>143</v>
      </c>
      <c r="L131" s="296" t="s">
        <v>170</v>
      </c>
      <c r="M131" s="268" t="s">
        <v>134</v>
      </c>
    </row>
    <row r="132" spans="1:13" s="268" customFormat="1" ht="22" customHeight="1" x14ac:dyDescent="0.45">
      <c r="A132" s="353">
        <v>46154</v>
      </c>
      <c r="B132" s="267" t="s">
        <v>18</v>
      </c>
      <c r="C132" s="267" t="s">
        <v>181</v>
      </c>
      <c r="D132" s="267" t="s">
        <v>182</v>
      </c>
      <c r="E132" s="267" t="s">
        <v>50</v>
      </c>
      <c r="F132" s="267" t="s">
        <v>51</v>
      </c>
      <c r="G132" s="267"/>
      <c r="H132" s="267">
        <v>45</v>
      </c>
      <c r="I132" s="267">
        <v>45</v>
      </c>
      <c r="J132" s="267"/>
      <c r="K132" s="295"/>
      <c r="L132" s="296" t="s">
        <v>170</v>
      </c>
      <c r="M132" s="268" t="s">
        <v>134</v>
      </c>
    </row>
    <row r="133" spans="1:13" s="268" customFormat="1" ht="22" customHeight="1" x14ac:dyDescent="0.45">
      <c r="A133" s="353">
        <v>46154</v>
      </c>
      <c r="B133" s="267" t="s">
        <v>40</v>
      </c>
      <c r="C133" s="267" t="s">
        <v>41</v>
      </c>
      <c r="D133" s="267" t="s">
        <v>243</v>
      </c>
      <c r="E133" s="267" t="s">
        <v>117</v>
      </c>
      <c r="F133" s="267" t="s">
        <v>206</v>
      </c>
      <c r="G133" s="267"/>
      <c r="H133" s="267">
        <v>30</v>
      </c>
      <c r="I133" s="267">
        <v>30</v>
      </c>
      <c r="J133" s="267"/>
      <c r="K133" s="295"/>
      <c r="L133" s="296"/>
      <c r="M133" s="268" t="s">
        <v>134</v>
      </c>
    </row>
    <row r="134" spans="1:13" s="268" customFormat="1" ht="22" customHeight="1" x14ac:dyDescent="0.45">
      <c r="A134" s="353">
        <v>46154</v>
      </c>
      <c r="B134" s="267" t="s">
        <v>161</v>
      </c>
      <c r="C134" s="267" t="s">
        <v>162</v>
      </c>
      <c r="D134" s="267" t="s">
        <v>244</v>
      </c>
      <c r="E134" s="267" t="s">
        <v>50</v>
      </c>
      <c r="F134" s="267" t="s">
        <v>53</v>
      </c>
      <c r="G134" s="267"/>
      <c r="H134" s="267">
        <v>30</v>
      </c>
      <c r="I134" s="267">
        <v>30</v>
      </c>
      <c r="J134" s="267"/>
      <c r="K134" s="295"/>
      <c r="L134" s="296" t="s">
        <v>170</v>
      </c>
      <c r="M134" s="268" t="s">
        <v>134</v>
      </c>
    </row>
    <row r="135" spans="1:13" s="268" customFormat="1" ht="22" customHeight="1" x14ac:dyDescent="0.45">
      <c r="A135" s="353">
        <v>46155</v>
      </c>
      <c r="B135" s="267" t="s">
        <v>33</v>
      </c>
      <c r="C135" s="267" t="s">
        <v>34</v>
      </c>
      <c r="D135" s="267" t="s">
        <v>196</v>
      </c>
      <c r="E135" s="267" t="s">
        <v>50</v>
      </c>
      <c r="F135" s="267" t="s">
        <v>53</v>
      </c>
      <c r="G135" s="267"/>
      <c r="H135" s="267">
        <v>240</v>
      </c>
      <c r="I135" s="267">
        <v>60</v>
      </c>
      <c r="J135" s="267" t="s">
        <v>245</v>
      </c>
      <c r="K135" s="295" t="s">
        <v>164</v>
      </c>
      <c r="L135" s="296" t="s">
        <v>123</v>
      </c>
      <c r="M135" s="268" t="s">
        <v>124</v>
      </c>
    </row>
    <row r="136" spans="1:13" s="268" customFormat="1" ht="22" customHeight="1" x14ac:dyDescent="0.45">
      <c r="A136" s="353">
        <v>46156</v>
      </c>
      <c r="B136" s="267" t="s">
        <v>186</v>
      </c>
      <c r="C136" s="267" t="s">
        <v>187</v>
      </c>
      <c r="D136" s="267" t="s">
        <v>246</v>
      </c>
      <c r="E136" s="267" t="s">
        <v>50</v>
      </c>
      <c r="F136" s="267" t="s">
        <v>53</v>
      </c>
      <c r="G136" s="267"/>
      <c r="H136" s="267">
        <v>30</v>
      </c>
      <c r="I136" s="267">
        <v>30</v>
      </c>
      <c r="J136" s="267"/>
      <c r="K136" s="295"/>
      <c r="L136" s="296"/>
      <c r="M136" s="268" t="s">
        <v>134</v>
      </c>
    </row>
    <row r="137" spans="1:13" s="268" customFormat="1" ht="22" customHeight="1" x14ac:dyDescent="0.45">
      <c r="A137" s="353">
        <v>46156</v>
      </c>
      <c r="B137" s="267" t="s">
        <v>25</v>
      </c>
      <c r="C137" s="267" t="s">
        <v>26</v>
      </c>
      <c r="D137" s="267" t="s">
        <v>155</v>
      </c>
      <c r="E137" s="267" t="s">
        <v>50</v>
      </c>
      <c r="F137" s="267" t="s">
        <v>53</v>
      </c>
      <c r="G137" s="267"/>
      <c r="H137" s="267">
        <v>30</v>
      </c>
      <c r="I137" s="267">
        <v>30</v>
      </c>
      <c r="J137" s="267"/>
      <c r="K137" s="295" t="s">
        <v>143</v>
      </c>
      <c r="L137" s="296" t="s">
        <v>128</v>
      </c>
      <c r="M137" s="268" t="s">
        <v>134</v>
      </c>
    </row>
    <row r="138" spans="1:13" s="268" customFormat="1" ht="22" customHeight="1" x14ac:dyDescent="0.45">
      <c r="A138" s="353">
        <v>46157</v>
      </c>
      <c r="B138" s="267" t="s">
        <v>25</v>
      </c>
      <c r="C138" s="267" t="s">
        <v>26</v>
      </c>
      <c r="D138" s="267" t="s">
        <v>155</v>
      </c>
      <c r="E138" s="267" t="s">
        <v>50</v>
      </c>
      <c r="F138" s="267" t="s">
        <v>53</v>
      </c>
      <c r="G138" s="267"/>
      <c r="H138" s="267">
        <v>20</v>
      </c>
      <c r="I138" s="267">
        <v>20</v>
      </c>
      <c r="J138" s="267"/>
      <c r="K138" s="295" t="s">
        <v>143</v>
      </c>
      <c r="L138" s="296" t="s">
        <v>128</v>
      </c>
      <c r="M138" s="268" t="s">
        <v>134</v>
      </c>
    </row>
    <row r="139" spans="1:13" s="268" customFormat="1" ht="22" customHeight="1" x14ac:dyDescent="0.45">
      <c r="A139" s="353">
        <v>46157</v>
      </c>
      <c r="B139" s="267" t="s">
        <v>25</v>
      </c>
      <c r="C139" s="267" t="s">
        <v>26</v>
      </c>
      <c r="D139" s="267" t="s">
        <v>27</v>
      </c>
      <c r="E139" s="267" t="s">
        <v>50</v>
      </c>
      <c r="F139" s="267" t="s">
        <v>52</v>
      </c>
      <c r="G139" s="267"/>
      <c r="H139" s="267">
        <v>15</v>
      </c>
      <c r="I139" s="267">
        <v>15</v>
      </c>
      <c r="J139" s="267"/>
      <c r="K139" s="295"/>
      <c r="L139" s="296" t="s">
        <v>128</v>
      </c>
      <c r="M139" s="268" t="s">
        <v>134</v>
      </c>
    </row>
    <row r="140" spans="1:13" s="268" customFormat="1" ht="22" customHeight="1" x14ac:dyDescent="0.45">
      <c r="A140" s="353">
        <v>46157</v>
      </c>
      <c r="B140" s="267" t="s">
        <v>40</v>
      </c>
      <c r="C140" s="267" t="s">
        <v>41</v>
      </c>
      <c r="D140" s="267" t="s">
        <v>247</v>
      </c>
      <c r="E140" s="267" t="s">
        <v>50</v>
      </c>
      <c r="F140" s="267" t="s">
        <v>52</v>
      </c>
      <c r="G140" s="267"/>
      <c r="H140" s="267">
        <v>20</v>
      </c>
      <c r="I140" s="267">
        <v>20</v>
      </c>
      <c r="J140" s="267"/>
      <c r="K140" s="295"/>
      <c r="L140" s="296"/>
      <c r="M140" s="268" t="s">
        <v>134</v>
      </c>
    </row>
    <row r="141" spans="1:13" s="268" customFormat="1" ht="22" customHeight="1" x14ac:dyDescent="0.45">
      <c r="A141" s="353">
        <v>46158</v>
      </c>
      <c r="B141" s="267" t="s">
        <v>25</v>
      </c>
      <c r="C141" s="267" t="s">
        <v>26</v>
      </c>
      <c r="D141" s="267" t="s">
        <v>155</v>
      </c>
      <c r="E141" s="267" t="s">
        <v>50</v>
      </c>
      <c r="F141" s="267" t="s">
        <v>53</v>
      </c>
      <c r="G141" s="267"/>
      <c r="H141" s="267">
        <v>60</v>
      </c>
      <c r="I141" s="267">
        <v>60</v>
      </c>
      <c r="J141" s="267" t="s">
        <v>248</v>
      </c>
      <c r="K141" s="295" t="s">
        <v>143</v>
      </c>
      <c r="L141" s="296" t="s">
        <v>128</v>
      </c>
      <c r="M141" s="268" t="s">
        <v>134</v>
      </c>
    </row>
    <row r="142" spans="1:13" s="268" customFormat="1" ht="22" customHeight="1" x14ac:dyDescent="0.45">
      <c r="A142" s="353">
        <v>46158</v>
      </c>
      <c r="B142" s="267" t="s">
        <v>25</v>
      </c>
      <c r="C142" s="267" t="s">
        <v>26</v>
      </c>
      <c r="D142" s="267" t="s">
        <v>249</v>
      </c>
      <c r="E142" s="267" t="s">
        <v>50</v>
      </c>
      <c r="F142" s="267" t="s">
        <v>53</v>
      </c>
      <c r="G142" s="267"/>
      <c r="H142" s="267">
        <v>120</v>
      </c>
      <c r="I142" s="267">
        <v>120</v>
      </c>
      <c r="J142" s="267"/>
      <c r="K142" s="295" t="s">
        <v>164</v>
      </c>
      <c r="L142" s="296" t="s">
        <v>123</v>
      </c>
      <c r="M142" s="268" t="s">
        <v>134</v>
      </c>
    </row>
    <row r="143" spans="1:13" s="268" customFormat="1" ht="22" customHeight="1" x14ac:dyDescent="0.45">
      <c r="A143" s="353">
        <v>46160</v>
      </c>
      <c r="B143" s="267" t="s">
        <v>25</v>
      </c>
      <c r="C143" s="267" t="s">
        <v>26</v>
      </c>
      <c r="D143" s="267" t="s">
        <v>250</v>
      </c>
      <c r="E143" s="267" t="s">
        <v>50</v>
      </c>
      <c r="F143" s="267" t="s">
        <v>53</v>
      </c>
      <c r="G143" s="267"/>
      <c r="H143" s="267">
        <v>110</v>
      </c>
      <c r="I143" s="267">
        <v>110</v>
      </c>
      <c r="J143" s="267" t="s">
        <v>251</v>
      </c>
      <c r="K143" s="295" t="s">
        <v>164</v>
      </c>
      <c r="L143" s="296" t="s">
        <v>123</v>
      </c>
      <c r="M143" s="268" t="s">
        <v>134</v>
      </c>
    </row>
    <row r="144" spans="1:13" s="268" customFormat="1" ht="22" customHeight="1" x14ac:dyDescent="0.45">
      <c r="A144" s="353">
        <v>46161</v>
      </c>
      <c r="B144" s="267" t="s">
        <v>25</v>
      </c>
      <c r="C144" s="267" t="s">
        <v>26</v>
      </c>
      <c r="D144" s="267" t="s">
        <v>27</v>
      </c>
      <c r="E144" s="267" t="s">
        <v>50</v>
      </c>
      <c r="F144" s="267" t="s">
        <v>52</v>
      </c>
      <c r="G144" s="267"/>
      <c r="H144" s="267">
        <v>60</v>
      </c>
      <c r="I144" s="267">
        <v>60</v>
      </c>
      <c r="J144" s="267" t="s">
        <v>252</v>
      </c>
      <c r="K144" s="295" t="s">
        <v>143</v>
      </c>
      <c r="L144" s="296" t="s">
        <v>128</v>
      </c>
      <c r="M144" s="268" t="s">
        <v>134</v>
      </c>
    </row>
    <row r="145" spans="1:13" s="268" customFormat="1" ht="22" customHeight="1" x14ac:dyDescent="0.45">
      <c r="A145" s="353">
        <v>46161</v>
      </c>
      <c r="B145" s="267" t="s">
        <v>25</v>
      </c>
      <c r="C145" s="267" t="s">
        <v>26</v>
      </c>
      <c r="D145" s="267" t="s">
        <v>155</v>
      </c>
      <c r="E145" s="267" t="s">
        <v>50</v>
      </c>
      <c r="F145" s="267" t="s">
        <v>53</v>
      </c>
      <c r="G145" s="267"/>
      <c r="H145" s="267">
        <v>30</v>
      </c>
      <c r="I145" s="267">
        <v>30</v>
      </c>
      <c r="J145" s="267"/>
      <c r="K145" s="295"/>
      <c r="L145" s="296" t="s">
        <v>128</v>
      </c>
      <c r="M145" s="268" t="s">
        <v>134</v>
      </c>
    </row>
    <row r="146" spans="1:13" s="268" customFormat="1" ht="22" customHeight="1" x14ac:dyDescent="0.45">
      <c r="A146" s="353">
        <v>46163</v>
      </c>
      <c r="B146" s="267" t="s">
        <v>40</v>
      </c>
      <c r="C146" s="267" t="s">
        <v>41</v>
      </c>
      <c r="D146" s="267" t="s">
        <v>253</v>
      </c>
      <c r="E146" s="267" t="s">
        <v>50</v>
      </c>
      <c r="F146" s="267" t="s">
        <v>52</v>
      </c>
      <c r="G146" s="267"/>
      <c r="H146" s="267">
        <v>90</v>
      </c>
      <c r="I146" s="267">
        <v>90</v>
      </c>
      <c r="J146" s="267"/>
      <c r="K146" s="295"/>
      <c r="L146" s="296"/>
      <c r="M146" s="268" t="s">
        <v>134</v>
      </c>
    </row>
    <row r="147" spans="1:13" s="268" customFormat="1" ht="22" customHeight="1" x14ac:dyDescent="0.45">
      <c r="A147" s="353">
        <v>46163</v>
      </c>
      <c r="B147" s="267" t="s">
        <v>18</v>
      </c>
      <c r="C147" s="267" t="s">
        <v>181</v>
      </c>
      <c r="D147" s="267" t="s">
        <v>182</v>
      </c>
      <c r="E147" s="267" t="s">
        <v>50</v>
      </c>
      <c r="F147" s="267" t="s">
        <v>51</v>
      </c>
      <c r="G147" s="267"/>
      <c r="H147" s="267">
        <v>30</v>
      </c>
      <c r="I147" s="267">
        <v>30</v>
      </c>
      <c r="J147" s="267"/>
      <c r="K147" s="295"/>
      <c r="L147" s="296" t="s">
        <v>170</v>
      </c>
      <c r="M147" s="268" t="s">
        <v>134</v>
      </c>
    </row>
    <row r="148" spans="1:13" s="268" customFormat="1" ht="22" customHeight="1" x14ac:dyDescent="0.45">
      <c r="A148" s="353">
        <v>46166</v>
      </c>
      <c r="B148" s="267" t="s">
        <v>136</v>
      </c>
      <c r="C148" s="267" t="s">
        <v>137</v>
      </c>
      <c r="D148" s="267" t="s">
        <v>254</v>
      </c>
      <c r="E148" s="267" t="s">
        <v>50</v>
      </c>
      <c r="F148" s="267" t="s">
        <v>53</v>
      </c>
      <c r="G148" s="267"/>
      <c r="H148" s="267">
        <v>180</v>
      </c>
      <c r="I148" s="267">
        <v>180</v>
      </c>
      <c r="J148" s="267" t="s">
        <v>255</v>
      </c>
      <c r="K148" s="295" t="s">
        <v>143</v>
      </c>
      <c r="L148" s="296" t="s">
        <v>123</v>
      </c>
      <c r="M148" s="268" t="s">
        <v>134</v>
      </c>
    </row>
    <row r="149" spans="1:13" s="268" customFormat="1" ht="22" customHeight="1" x14ac:dyDescent="0.45">
      <c r="A149" s="353">
        <v>46167</v>
      </c>
      <c r="B149" s="267" t="s">
        <v>33</v>
      </c>
      <c r="C149" s="267" t="s">
        <v>200</v>
      </c>
      <c r="D149" s="267" t="s">
        <v>256</v>
      </c>
      <c r="E149" s="267" t="s">
        <v>50</v>
      </c>
      <c r="F149" s="267" t="s">
        <v>53</v>
      </c>
      <c r="G149" s="267"/>
      <c r="H149" s="267">
        <v>180</v>
      </c>
      <c r="I149" s="267">
        <v>45</v>
      </c>
      <c r="J149" s="267" t="s">
        <v>257</v>
      </c>
      <c r="K149" s="295" t="s">
        <v>143</v>
      </c>
      <c r="L149" s="296" t="s">
        <v>174</v>
      </c>
      <c r="M149" s="268" t="s">
        <v>124</v>
      </c>
    </row>
    <row r="150" spans="1:13" s="268" customFormat="1" ht="22" customHeight="1" x14ac:dyDescent="0.45">
      <c r="A150" s="353">
        <v>46167</v>
      </c>
      <c r="B150" s="267" t="s">
        <v>22</v>
      </c>
      <c r="C150" s="267" t="s">
        <v>175</v>
      </c>
      <c r="D150" s="267" t="s">
        <v>258</v>
      </c>
      <c r="E150" s="267" t="s">
        <v>50</v>
      </c>
      <c r="F150" s="267" t="s">
        <v>53</v>
      </c>
      <c r="G150" s="267"/>
      <c r="H150" s="267">
        <v>360</v>
      </c>
      <c r="I150" s="267">
        <v>90</v>
      </c>
      <c r="J150" s="267" t="s">
        <v>259</v>
      </c>
      <c r="K150" s="295" t="s">
        <v>143</v>
      </c>
      <c r="L150" s="296" t="s">
        <v>123</v>
      </c>
      <c r="M150" s="268" t="s">
        <v>124</v>
      </c>
    </row>
    <row r="151" spans="1:13" s="268" customFormat="1" ht="22" customHeight="1" x14ac:dyDescent="0.45">
      <c r="A151" s="353">
        <v>46168</v>
      </c>
      <c r="B151" s="267" t="s">
        <v>40</v>
      </c>
      <c r="C151" s="267" t="s">
        <v>41</v>
      </c>
      <c r="D151" s="267" t="s">
        <v>260</v>
      </c>
      <c r="E151" s="267" t="s">
        <v>50</v>
      </c>
      <c r="F151" s="267" t="s">
        <v>52</v>
      </c>
      <c r="G151" s="267"/>
      <c r="H151" s="267">
        <v>30</v>
      </c>
      <c r="I151" s="267">
        <v>30</v>
      </c>
      <c r="J151" s="267"/>
      <c r="K151" s="295"/>
      <c r="L151" s="296" t="s">
        <v>170</v>
      </c>
      <c r="M151" s="268" t="s">
        <v>134</v>
      </c>
    </row>
    <row r="152" spans="1:13" s="268" customFormat="1" ht="22" customHeight="1" x14ac:dyDescent="0.45">
      <c r="A152" s="353">
        <v>46169</v>
      </c>
      <c r="B152" s="267" t="s">
        <v>22</v>
      </c>
      <c r="C152" s="267" t="s">
        <v>37</v>
      </c>
      <c r="D152" s="267" t="s">
        <v>38</v>
      </c>
      <c r="E152" s="267" t="s">
        <v>50</v>
      </c>
      <c r="F152" s="267" t="s">
        <v>53</v>
      </c>
      <c r="G152" s="267"/>
      <c r="H152" s="267">
        <v>480</v>
      </c>
      <c r="I152" s="267">
        <v>120</v>
      </c>
      <c r="J152" s="267"/>
      <c r="K152" s="295" t="s">
        <v>164</v>
      </c>
      <c r="L152" s="296" t="s">
        <v>261</v>
      </c>
      <c r="M152" s="268" t="s">
        <v>124</v>
      </c>
    </row>
    <row r="153" spans="1:13" s="268" customFormat="1" ht="22" customHeight="1" x14ac:dyDescent="0.45">
      <c r="A153" s="353">
        <v>46169</v>
      </c>
      <c r="B153" s="267" t="s">
        <v>22</v>
      </c>
      <c r="C153" s="267" t="s">
        <v>23</v>
      </c>
      <c r="D153" s="267" t="s">
        <v>262</v>
      </c>
      <c r="E153" s="267" t="s">
        <v>50</v>
      </c>
      <c r="F153" s="267" t="s">
        <v>53</v>
      </c>
      <c r="G153" s="267"/>
      <c r="H153" s="267">
        <v>720</v>
      </c>
      <c r="I153" s="267">
        <v>120</v>
      </c>
      <c r="J153" s="267"/>
      <c r="K153" s="295" t="s">
        <v>164</v>
      </c>
      <c r="L153" s="296" t="s">
        <v>261</v>
      </c>
    </row>
    <row r="154" spans="1:13" s="268" customFormat="1" ht="22" customHeight="1" x14ac:dyDescent="0.45">
      <c r="A154" s="353">
        <v>46170</v>
      </c>
      <c r="B154" s="267" t="s">
        <v>18</v>
      </c>
      <c r="C154" s="267" t="s">
        <v>181</v>
      </c>
      <c r="D154" s="267" t="s">
        <v>182</v>
      </c>
      <c r="E154" s="267" t="s">
        <v>50</v>
      </c>
      <c r="F154" s="267" t="s">
        <v>51</v>
      </c>
      <c r="G154" s="267"/>
      <c r="H154" s="267">
        <v>30</v>
      </c>
      <c r="I154" s="267">
        <v>30</v>
      </c>
      <c r="J154" s="267"/>
      <c r="K154" s="295"/>
      <c r="L154" s="296"/>
    </row>
    <row r="155" spans="1:13" s="268" customFormat="1" ht="22" customHeight="1" x14ac:dyDescent="0.45">
      <c r="A155" s="353">
        <v>46171</v>
      </c>
      <c r="B155" s="267" t="s">
        <v>25</v>
      </c>
      <c r="C155" s="267" t="s">
        <v>26</v>
      </c>
      <c r="D155" s="267" t="s">
        <v>155</v>
      </c>
      <c r="E155" s="267" t="s">
        <v>50</v>
      </c>
      <c r="F155" s="267" t="s">
        <v>53</v>
      </c>
      <c r="G155" s="267"/>
      <c r="H155" s="267">
        <v>30</v>
      </c>
      <c r="I155" s="267">
        <v>30</v>
      </c>
      <c r="J155" s="267"/>
      <c r="K155" s="295"/>
      <c r="L155" s="296" t="s">
        <v>128</v>
      </c>
      <c r="M155" s="268" t="s">
        <v>134</v>
      </c>
    </row>
    <row r="156" spans="1:13" s="268" customFormat="1" ht="22" customHeight="1" x14ac:dyDescent="0.45">
      <c r="A156" s="353">
        <v>46171</v>
      </c>
      <c r="B156" s="267" t="s">
        <v>18</v>
      </c>
      <c r="C156" s="267" t="s">
        <v>19</v>
      </c>
      <c r="D156" s="267" t="s">
        <v>20</v>
      </c>
      <c r="E156" s="267" t="s">
        <v>50</v>
      </c>
      <c r="F156" s="267" t="s">
        <v>51</v>
      </c>
      <c r="G156" s="267"/>
      <c r="H156" s="267">
        <v>102</v>
      </c>
      <c r="I156" s="267">
        <v>25</v>
      </c>
      <c r="J156" s="267"/>
      <c r="K156" s="295"/>
      <c r="L156" s="296" t="s">
        <v>123</v>
      </c>
    </row>
    <row r="157" spans="1:13" s="268" customFormat="1" ht="22" customHeight="1" x14ac:dyDescent="0.45">
      <c r="A157" s="353">
        <v>46172</v>
      </c>
      <c r="B157" s="267" t="s">
        <v>22</v>
      </c>
      <c r="C157" s="267" t="s">
        <v>153</v>
      </c>
      <c r="D157" s="267" t="s">
        <v>263</v>
      </c>
      <c r="E157" s="267" t="s">
        <v>50</v>
      </c>
      <c r="F157" s="267" t="s">
        <v>53</v>
      </c>
      <c r="G157" s="267"/>
      <c r="H157" s="267">
        <v>120</v>
      </c>
      <c r="I157" s="267">
        <v>30</v>
      </c>
      <c r="J157" s="267"/>
      <c r="K157" s="295"/>
      <c r="L157" s="296" t="s">
        <v>123</v>
      </c>
      <c r="M157" s="268" t="s">
        <v>124</v>
      </c>
    </row>
    <row r="158" spans="1:13" s="268" customFormat="1" ht="22" customHeight="1" x14ac:dyDescent="0.45">
      <c r="A158" s="353">
        <v>46178</v>
      </c>
      <c r="B158" s="267" t="s">
        <v>115</v>
      </c>
      <c r="C158" s="267" t="s">
        <v>116</v>
      </c>
      <c r="D158" s="267" t="s">
        <v>264</v>
      </c>
      <c r="E158" s="267" t="s">
        <v>117</v>
      </c>
      <c r="F158" s="267" t="s">
        <v>265</v>
      </c>
      <c r="G158" s="267"/>
      <c r="H158" s="267">
        <v>600</v>
      </c>
      <c r="I158" s="267">
        <v>552</v>
      </c>
      <c r="J158" s="267"/>
      <c r="K158" s="295"/>
      <c r="L158" s="296"/>
    </row>
    <row r="159" spans="1:13" s="268" customFormat="1" ht="22" customHeight="1" x14ac:dyDescent="0.45">
      <c r="A159" s="353">
        <v>46179</v>
      </c>
      <c r="B159" s="267" t="s">
        <v>167</v>
      </c>
      <c r="C159" s="267" t="s">
        <v>266</v>
      </c>
      <c r="D159" s="267" t="s">
        <v>184</v>
      </c>
      <c r="E159" s="267" t="s">
        <v>50</v>
      </c>
      <c r="F159" s="267" t="s">
        <v>53</v>
      </c>
      <c r="G159" s="267"/>
      <c r="H159" s="267">
        <v>90</v>
      </c>
      <c r="I159" s="267">
        <v>90</v>
      </c>
      <c r="J159" s="267"/>
      <c r="K159" s="295"/>
      <c r="L159" s="296" t="s">
        <v>123</v>
      </c>
    </row>
    <row r="160" spans="1:13" s="268" customFormat="1" ht="22" customHeight="1" x14ac:dyDescent="0.45">
      <c r="A160" s="353">
        <v>46180</v>
      </c>
      <c r="B160" s="267" t="s">
        <v>186</v>
      </c>
      <c r="C160" s="267" t="s">
        <v>187</v>
      </c>
      <c r="D160" s="267" t="s">
        <v>197</v>
      </c>
      <c r="E160" s="267" t="s">
        <v>50</v>
      </c>
      <c r="F160" s="267" t="s">
        <v>53</v>
      </c>
      <c r="G160" s="267"/>
      <c r="H160" s="267">
        <v>25</v>
      </c>
      <c r="I160" s="267">
        <v>25</v>
      </c>
      <c r="J160" s="267"/>
      <c r="K160" s="295"/>
      <c r="L160" s="296" t="s">
        <v>123</v>
      </c>
    </row>
    <row r="161" spans="1:12" s="268" customFormat="1" ht="22" customHeight="1" x14ac:dyDescent="0.45">
      <c r="A161" s="353">
        <v>46180</v>
      </c>
      <c r="B161" s="267" t="s">
        <v>22</v>
      </c>
      <c r="C161" s="267" t="s">
        <v>37</v>
      </c>
      <c r="D161" s="267" t="s">
        <v>204</v>
      </c>
      <c r="E161" s="267" t="s">
        <v>50</v>
      </c>
      <c r="F161" s="267" t="s">
        <v>53</v>
      </c>
      <c r="G161" s="267"/>
      <c r="H161" s="267">
        <v>80</v>
      </c>
      <c r="I161" s="267">
        <v>20</v>
      </c>
      <c r="J161" s="267"/>
      <c r="K161" s="295"/>
      <c r="L161" s="296" t="s">
        <v>123</v>
      </c>
    </row>
    <row r="162" spans="1:12" s="268" customFormat="1" ht="22" customHeight="1" x14ac:dyDescent="0.45">
      <c r="A162" s="353">
        <v>46180</v>
      </c>
      <c r="B162" s="267" t="s">
        <v>22</v>
      </c>
      <c r="C162" s="267" t="s">
        <v>153</v>
      </c>
      <c r="D162" s="267" t="s">
        <v>267</v>
      </c>
      <c r="E162" s="267" t="s">
        <v>50</v>
      </c>
      <c r="F162" s="267" t="s">
        <v>53</v>
      </c>
      <c r="G162" s="267"/>
      <c r="H162" s="267">
        <v>100</v>
      </c>
      <c r="I162" s="267">
        <v>25</v>
      </c>
      <c r="J162" s="267"/>
      <c r="K162" s="295"/>
      <c r="L162" s="296" t="s">
        <v>123</v>
      </c>
    </row>
    <row r="163" spans="1:12" s="268" customFormat="1" ht="22" customHeight="1" x14ac:dyDescent="0.45">
      <c r="A163" s="353">
        <v>46181</v>
      </c>
      <c r="B163" s="267" t="s">
        <v>29</v>
      </c>
      <c r="C163" s="267" t="s">
        <v>30</v>
      </c>
      <c r="D163" s="267" t="s">
        <v>31</v>
      </c>
      <c r="E163" s="267" t="s">
        <v>50</v>
      </c>
      <c r="F163" s="267" t="s">
        <v>53</v>
      </c>
      <c r="G163" s="267"/>
      <c r="H163" s="267">
        <v>60</v>
      </c>
      <c r="I163" s="267">
        <v>60</v>
      </c>
      <c r="J163" s="267"/>
      <c r="K163" s="295"/>
      <c r="L163" s="296" t="s">
        <v>128</v>
      </c>
    </row>
    <row r="164" spans="1:12" s="268" customFormat="1" ht="22" customHeight="1" x14ac:dyDescent="0.45">
      <c r="A164" s="353">
        <v>46182</v>
      </c>
      <c r="B164" s="267" t="s">
        <v>22</v>
      </c>
      <c r="C164" s="267" t="s">
        <v>175</v>
      </c>
      <c r="D164" s="267" t="s">
        <v>268</v>
      </c>
      <c r="E164" s="267" t="s">
        <v>50</v>
      </c>
      <c r="F164" s="267" t="s">
        <v>53</v>
      </c>
      <c r="G164" s="267"/>
      <c r="H164" s="267">
        <v>60</v>
      </c>
      <c r="I164" s="267">
        <v>15</v>
      </c>
      <c r="J164" s="267"/>
      <c r="K164" s="295"/>
      <c r="L164" s="296" t="s">
        <v>128</v>
      </c>
    </row>
    <row r="165" spans="1:12" s="268" customFormat="1" ht="22" customHeight="1" x14ac:dyDescent="0.45">
      <c r="A165" s="353">
        <v>46182</v>
      </c>
      <c r="B165" s="267" t="s">
        <v>22</v>
      </c>
      <c r="C165" s="267" t="s">
        <v>153</v>
      </c>
      <c r="D165" s="267" t="s">
        <v>269</v>
      </c>
      <c r="E165" s="267" t="s">
        <v>50</v>
      </c>
      <c r="F165" s="267" t="s">
        <v>53</v>
      </c>
      <c r="G165" s="267"/>
      <c r="H165" s="267">
        <v>60</v>
      </c>
      <c r="I165" s="267">
        <v>15</v>
      </c>
      <c r="J165" s="267"/>
      <c r="K165" s="295"/>
      <c r="L165" s="296" t="s">
        <v>128</v>
      </c>
    </row>
    <row r="166" spans="1:12" s="268" customFormat="1" ht="22" customHeight="1" x14ac:dyDescent="0.45">
      <c r="A166" s="353">
        <v>46183</v>
      </c>
      <c r="B166" s="267" t="s">
        <v>129</v>
      </c>
      <c r="C166" s="267" t="s">
        <v>130</v>
      </c>
      <c r="D166" s="267" t="s">
        <v>270</v>
      </c>
      <c r="E166" s="267" t="s">
        <v>50</v>
      </c>
      <c r="F166" s="267" t="s">
        <v>53</v>
      </c>
      <c r="G166" s="267"/>
      <c r="H166" s="267">
        <v>500</v>
      </c>
      <c r="I166" s="267">
        <v>500</v>
      </c>
      <c r="J166" s="267"/>
      <c r="K166" s="295"/>
      <c r="L166" s="296" t="s">
        <v>123</v>
      </c>
    </row>
    <row r="167" spans="1:12" s="268" customFormat="1" ht="22" customHeight="1" x14ac:dyDescent="0.45">
      <c r="A167" s="353">
        <v>46184</v>
      </c>
      <c r="B167" s="267" t="s">
        <v>136</v>
      </c>
      <c r="C167" s="267" t="s">
        <v>137</v>
      </c>
      <c r="D167" s="267" t="s">
        <v>254</v>
      </c>
      <c r="E167" s="267" t="s">
        <v>50</v>
      </c>
      <c r="F167" s="267" t="s">
        <v>53</v>
      </c>
      <c r="G167" s="267"/>
      <c r="H167" s="267">
        <v>240</v>
      </c>
      <c r="I167" s="267">
        <v>240</v>
      </c>
      <c r="J167" s="267"/>
      <c r="K167" s="295"/>
      <c r="L167" s="296" t="s">
        <v>123</v>
      </c>
    </row>
    <row r="168" spans="1:12" s="268" customFormat="1" ht="22" customHeight="1" x14ac:dyDescent="0.45">
      <c r="A168" s="353">
        <v>46184</v>
      </c>
      <c r="B168" s="267" t="s">
        <v>186</v>
      </c>
      <c r="C168" s="267" t="s">
        <v>187</v>
      </c>
      <c r="D168" s="267" t="s">
        <v>271</v>
      </c>
      <c r="E168" s="267" t="s">
        <v>50</v>
      </c>
      <c r="F168" s="267" t="s">
        <v>52</v>
      </c>
      <c r="G168" s="267"/>
      <c r="H168" s="267">
        <v>180</v>
      </c>
      <c r="I168" s="267">
        <v>180</v>
      </c>
      <c r="J168" s="267"/>
      <c r="K168" s="295"/>
      <c r="L168" s="296" t="s">
        <v>123</v>
      </c>
    </row>
    <row r="169" spans="1:12" s="268" customFormat="1" ht="22" customHeight="1" x14ac:dyDescent="0.45">
      <c r="A169" s="353">
        <v>46186</v>
      </c>
      <c r="B169" s="267" t="s">
        <v>129</v>
      </c>
      <c r="C169" s="267" t="s">
        <v>130</v>
      </c>
      <c r="D169" s="267" t="s">
        <v>270</v>
      </c>
      <c r="E169" s="267" t="s">
        <v>50</v>
      </c>
      <c r="F169" s="267" t="s">
        <v>53</v>
      </c>
      <c r="G169" s="267"/>
      <c r="H169" s="267">
        <v>120</v>
      </c>
      <c r="I169" s="267">
        <v>120</v>
      </c>
      <c r="J169" s="267"/>
      <c r="K169" s="295"/>
      <c r="L169" s="296" t="s">
        <v>123</v>
      </c>
    </row>
    <row r="170" spans="1:12" s="268" customFormat="1" ht="22" customHeight="1" x14ac:dyDescent="0.45">
      <c r="A170" s="353">
        <v>46187</v>
      </c>
      <c r="B170" s="267" t="s">
        <v>29</v>
      </c>
      <c r="C170" s="267" t="s">
        <v>30</v>
      </c>
      <c r="D170" s="267" t="s">
        <v>31</v>
      </c>
      <c r="E170" s="267" t="s">
        <v>50</v>
      </c>
      <c r="F170" s="267" t="s">
        <v>53</v>
      </c>
      <c r="G170" s="267"/>
      <c r="H170" s="267">
        <v>360</v>
      </c>
      <c r="I170" s="267">
        <v>360</v>
      </c>
      <c r="J170" s="267"/>
      <c r="K170" s="295"/>
      <c r="L170" s="296" t="s">
        <v>123</v>
      </c>
    </row>
    <row r="171" spans="1:12" s="268" customFormat="1" ht="22" customHeight="1" x14ac:dyDescent="0.45">
      <c r="A171" s="353">
        <v>46187</v>
      </c>
      <c r="B171" s="267" t="s">
        <v>40</v>
      </c>
      <c r="C171" s="267" t="s">
        <v>41</v>
      </c>
      <c r="D171" s="267" t="s">
        <v>44</v>
      </c>
      <c r="E171" s="267" t="s">
        <v>50</v>
      </c>
      <c r="F171" s="267" t="s">
        <v>52</v>
      </c>
      <c r="G171" s="267"/>
      <c r="H171" s="267">
        <v>120</v>
      </c>
      <c r="I171" s="267">
        <v>120</v>
      </c>
      <c r="J171" s="267"/>
      <c r="K171" s="295"/>
      <c r="L171" s="296" t="s">
        <v>170</v>
      </c>
    </row>
    <row r="172" spans="1:12" s="268" customFormat="1" ht="22" customHeight="1" x14ac:dyDescent="0.45">
      <c r="A172" s="353">
        <v>46188</v>
      </c>
      <c r="B172" s="267" t="s">
        <v>22</v>
      </c>
      <c r="C172" s="267" t="s">
        <v>175</v>
      </c>
      <c r="D172" s="267" t="s">
        <v>149</v>
      </c>
      <c r="E172" s="267" t="s">
        <v>50</v>
      </c>
      <c r="F172" s="267" t="s">
        <v>53</v>
      </c>
      <c r="G172" s="267"/>
      <c r="H172" s="267">
        <v>540</v>
      </c>
      <c r="I172" s="267">
        <v>135</v>
      </c>
      <c r="J172" s="267" t="s">
        <v>272</v>
      </c>
      <c r="K172" s="295"/>
      <c r="L172" s="296" t="s">
        <v>123</v>
      </c>
    </row>
    <row r="173" spans="1:12" s="268" customFormat="1" ht="22" customHeight="1" x14ac:dyDescent="0.45">
      <c r="A173" s="353">
        <v>46188</v>
      </c>
      <c r="B173" s="267" t="s">
        <v>22</v>
      </c>
      <c r="C173" s="267" t="s">
        <v>37</v>
      </c>
      <c r="D173" s="267" t="s">
        <v>38</v>
      </c>
      <c r="E173" s="267" t="s">
        <v>50</v>
      </c>
      <c r="F173" s="267" t="s">
        <v>52</v>
      </c>
      <c r="G173" s="267"/>
      <c r="H173" s="267">
        <v>120</v>
      </c>
      <c r="I173" s="267">
        <v>30</v>
      </c>
      <c r="J173" s="267"/>
      <c r="K173" s="295"/>
      <c r="L173" s="296"/>
    </row>
    <row r="174" spans="1:12" s="268" customFormat="1" ht="22" customHeight="1" x14ac:dyDescent="0.45">
      <c r="A174" s="353">
        <v>46188</v>
      </c>
      <c r="B174" s="267" t="s">
        <v>40</v>
      </c>
      <c r="C174" s="267" t="s">
        <v>41</v>
      </c>
      <c r="D174" s="267" t="s">
        <v>273</v>
      </c>
      <c r="E174" s="267" t="s">
        <v>117</v>
      </c>
      <c r="F174" s="267" t="s">
        <v>215</v>
      </c>
      <c r="G174" s="267"/>
      <c r="H174" s="267">
        <v>60</v>
      </c>
      <c r="I174" s="267">
        <v>60</v>
      </c>
      <c r="J174" s="267"/>
      <c r="K174" s="295"/>
      <c r="L174" s="296"/>
    </row>
    <row r="175" spans="1:12" s="268" customFormat="1" ht="22" customHeight="1" x14ac:dyDescent="0.45">
      <c r="A175" s="353">
        <v>46189</v>
      </c>
      <c r="B175" s="267" t="s">
        <v>226</v>
      </c>
      <c r="C175" s="267" t="s">
        <v>227</v>
      </c>
      <c r="D175" s="267" t="s">
        <v>228</v>
      </c>
      <c r="E175" s="267" t="s">
        <v>50</v>
      </c>
      <c r="F175" s="267" t="s">
        <v>53</v>
      </c>
      <c r="G175" s="267"/>
      <c r="H175" s="267">
        <v>190</v>
      </c>
      <c r="I175" s="267">
        <v>190</v>
      </c>
      <c r="J175" s="267" t="s">
        <v>274</v>
      </c>
      <c r="K175" s="295"/>
      <c r="L175" s="296" t="s">
        <v>170</v>
      </c>
    </row>
    <row r="176" spans="1:12" s="268" customFormat="1" ht="22" customHeight="1" x14ac:dyDescent="0.45">
      <c r="A176" s="353">
        <v>46190</v>
      </c>
      <c r="B176" s="267" t="s">
        <v>226</v>
      </c>
      <c r="C176" s="267" t="s">
        <v>227</v>
      </c>
      <c r="D176" s="267" t="s">
        <v>228</v>
      </c>
      <c r="E176" s="267" t="s">
        <v>50</v>
      </c>
      <c r="F176" s="267" t="s">
        <v>53</v>
      </c>
      <c r="G176" s="267"/>
      <c r="H176" s="267">
        <v>190</v>
      </c>
      <c r="I176" s="267">
        <v>190</v>
      </c>
      <c r="J176" s="267" t="s">
        <v>275</v>
      </c>
      <c r="K176" s="295"/>
      <c r="L176" s="296" t="s">
        <v>170</v>
      </c>
    </row>
    <row r="177" spans="1:12" s="268" customFormat="1" ht="22" customHeight="1" x14ac:dyDescent="0.45">
      <c r="A177" s="353">
        <v>46190</v>
      </c>
      <c r="B177" s="267" t="s">
        <v>29</v>
      </c>
      <c r="C177" s="267" t="s">
        <v>30</v>
      </c>
      <c r="D177" s="267" t="s">
        <v>276</v>
      </c>
      <c r="E177" s="267" t="s">
        <v>50</v>
      </c>
      <c r="F177" s="267" t="s">
        <v>52</v>
      </c>
      <c r="G177" s="267"/>
      <c r="H177" s="267">
        <v>20</v>
      </c>
      <c r="I177" s="267">
        <v>20</v>
      </c>
      <c r="J177" s="267" t="s">
        <v>277</v>
      </c>
      <c r="K177" s="295"/>
      <c r="L177" s="296" t="s">
        <v>170</v>
      </c>
    </row>
    <row r="178" spans="1:12" s="268" customFormat="1" ht="22" customHeight="1" x14ac:dyDescent="0.45">
      <c r="A178" s="353">
        <v>46190</v>
      </c>
      <c r="B178" s="267" t="s">
        <v>29</v>
      </c>
      <c r="C178" s="267" t="s">
        <v>165</v>
      </c>
      <c r="D178" s="267" t="s">
        <v>278</v>
      </c>
      <c r="E178" s="267" t="s">
        <v>50</v>
      </c>
      <c r="F178" s="267" t="s">
        <v>53</v>
      </c>
      <c r="G178" s="267"/>
      <c r="H178" s="267">
        <v>35</v>
      </c>
      <c r="I178" s="267">
        <v>35</v>
      </c>
      <c r="J178" s="267" t="s">
        <v>279</v>
      </c>
      <c r="K178" s="295"/>
      <c r="L178" s="296" t="s">
        <v>128</v>
      </c>
    </row>
    <row r="179" spans="1:12" s="268" customFormat="1" ht="22" customHeight="1" x14ac:dyDescent="0.45">
      <c r="A179" s="353">
        <v>46190</v>
      </c>
      <c r="B179" s="267" t="s">
        <v>22</v>
      </c>
      <c r="C179" s="267" t="s">
        <v>175</v>
      </c>
      <c r="D179" s="267" t="s">
        <v>149</v>
      </c>
      <c r="E179" s="267" t="s">
        <v>50</v>
      </c>
      <c r="F179" s="267" t="s">
        <v>53</v>
      </c>
      <c r="G179" s="267"/>
      <c r="H179" s="267">
        <v>210</v>
      </c>
      <c r="I179" s="267">
        <v>35</v>
      </c>
      <c r="J179" s="267"/>
      <c r="K179" s="295"/>
      <c r="L179" s="296" t="s">
        <v>170</v>
      </c>
    </row>
    <row r="180" spans="1:12" s="268" customFormat="1" ht="22" customHeight="1" x14ac:dyDescent="0.45">
      <c r="A180" s="353">
        <v>46190</v>
      </c>
      <c r="B180" s="267" t="s">
        <v>22</v>
      </c>
      <c r="C180" s="267" t="s">
        <v>175</v>
      </c>
      <c r="D180" s="267" t="s">
        <v>263</v>
      </c>
      <c r="E180" s="267" t="s">
        <v>50</v>
      </c>
      <c r="F180" s="267" t="s">
        <v>53</v>
      </c>
      <c r="G180" s="267"/>
      <c r="H180" s="267">
        <v>30</v>
      </c>
      <c r="I180" s="267">
        <v>7</v>
      </c>
      <c r="J180" s="267"/>
      <c r="K180" s="295"/>
      <c r="L180" s="296" t="s">
        <v>170</v>
      </c>
    </row>
    <row r="181" spans="1:12" s="268" customFormat="1" ht="22" customHeight="1" x14ac:dyDescent="0.45">
      <c r="A181" s="353">
        <v>46191</v>
      </c>
      <c r="B181" s="267" t="s">
        <v>29</v>
      </c>
      <c r="C181" s="267" t="s">
        <v>165</v>
      </c>
      <c r="D181" s="267" t="s">
        <v>207</v>
      </c>
      <c r="E181" s="267" t="s">
        <v>50</v>
      </c>
      <c r="F181" s="267" t="s">
        <v>52</v>
      </c>
      <c r="G181" s="267"/>
      <c r="H181" s="267">
        <v>20</v>
      </c>
      <c r="I181" s="267">
        <v>5</v>
      </c>
      <c r="J181" s="267"/>
      <c r="K181" s="295"/>
      <c r="L181" s="296"/>
    </row>
    <row r="182" spans="1:12" s="268" customFormat="1" ht="22" customHeight="1" x14ac:dyDescent="0.45">
      <c r="A182" s="353">
        <v>46191</v>
      </c>
      <c r="B182" s="267" t="s">
        <v>25</v>
      </c>
      <c r="C182" s="267" t="s">
        <v>26</v>
      </c>
      <c r="D182" s="267" t="s">
        <v>27</v>
      </c>
      <c r="E182" s="267" t="s">
        <v>50</v>
      </c>
      <c r="F182" s="267" t="s">
        <v>52</v>
      </c>
      <c r="G182" s="267"/>
      <c r="H182" s="267">
        <v>90</v>
      </c>
      <c r="I182" s="267">
        <v>90</v>
      </c>
      <c r="J182" s="267"/>
      <c r="K182" s="295" t="s">
        <v>143</v>
      </c>
      <c r="L182" s="296" t="s">
        <v>128</v>
      </c>
    </row>
    <row r="183" spans="1:12" s="268" customFormat="1" ht="22" customHeight="1" x14ac:dyDescent="0.45">
      <c r="A183" s="353">
        <v>46192</v>
      </c>
      <c r="B183" s="267" t="s">
        <v>22</v>
      </c>
      <c r="C183" s="267" t="s">
        <v>153</v>
      </c>
      <c r="D183" s="267" t="s">
        <v>263</v>
      </c>
      <c r="E183" s="267" t="s">
        <v>50</v>
      </c>
      <c r="F183" s="267" t="s">
        <v>53</v>
      </c>
      <c r="G183" s="267"/>
      <c r="H183" s="267">
        <v>150</v>
      </c>
      <c r="I183" s="267">
        <v>38</v>
      </c>
      <c r="J183" s="267" t="s">
        <v>280</v>
      </c>
      <c r="K183" s="295" t="s">
        <v>143</v>
      </c>
      <c r="L183" s="296" t="s">
        <v>123</v>
      </c>
    </row>
    <row r="184" spans="1:12" s="268" customFormat="1" ht="22" customHeight="1" x14ac:dyDescent="0.45">
      <c r="A184" s="353">
        <v>46193</v>
      </c>
      <c r="B184" s="267" t="s">
        <v>115</v>
      </c>
      <c r="C184" s="267" t="s">
        <v>116</v>
      </c>
      <c r="D184" s="267" t="s">
        <v>74</v>
      </c>
      <c r="E184" s="267" t="s">
        <v>117</v>
      </c>
      <c r="F184" s="267" t="s">
        <v>74</v>
      </c>
      <c r="G184" s="267"/>
      <c r="H184" s="267">
        <v>720</v>
      </c>
      <c r="I184" s="267">
        <v>720</v>
      </c>
      <c r="J184" s="267"/>
      <c r="K184" s="295"/>
      <c r="L184" s="296"/>
    </row>
    <row r="185" spans="1:12" s="268" customFormat="1" ht="22" customHeight="1" x14ac:dyDescent="0.45">
      <c r="A185" s="353">
        <v>46195</v>
      </c>
      <c r="B185" s="267" t="s">
        <v>136</v>
      </c>
      <c r="C185" s="267" t="s">
        <v>137</v>
      </c>
      <c r="D185" s="267" t="s">
        <v>138</v>
      </c>
      <c r="E185" s="267" t="s">
        <v>50</v>
      </c>
      <c r="F185" s="267" t="s">
        <v>52</v>
      </c>
      <c r="G185" s="267"/>
      <c r="H185" s="267">
        <v>60</v>
      </c>
      <c r="I185" s="267">
        <v>60</v>
      </c>
      <c r="J185" s="267"/>
      <c r="K185" s="295"/>
      <c r="L185" s="296"/>
    </row>
    <row r="186" spans="1:12" s="268" customFormat="1" ht="22" customHeight="1" x14ac:dyDescent="0.45">
      <c r="A186" s="353">
        <v>46197</v>
      </c>
      <c r="B186" s="267" t="s">
        <v>33</v>
      </c>
      <c r="C186" s="267" t="s">
        <v>34</v>
      </c>
      <c r="D186" s="267" t="s">
        <v>281</v>
      </c>
      <c r="E186" s="267" t="s">
        <v>50</v>
      </c>
      <c r="F186" s="267" t="s">
        <v>52</v>
      </c>
      <c r="G186" s="267"/>
      <c r="H186" s="267">
        <v>60</v>
      </c>
      <c r="I186" s="267">
        <v>60</v>
      </c>
      <c r="J186" s="267"/>
      <c r="K186" s="295"/>
      <c r="L186" s="296" t="s">
        <v>123</v>
      </c>
    </row>
    <row r="187" spans="1:12" s="268" customFormat="1" ht="22" customHeight="1" x14ac:dyDescent="0.45">
      <c r="A187" s="353">
        <v>46198</v>
      </c>
      <c r="B187" s="267" t="s">
        <v>167</v>
      </c>
      <c r="C187" s="267" t="s">
        <v>222</v>
      </c>
      <c r="D187" s="267" t="s">
        <v>282</v>
      </c>
      <c r="E187" s="267" t="s">
        <v>50</v>
      </c>
      <c r="F187" s="267" t="s">
        <v>53</v>
      </c>
      <c r="G187" s="267"/>
      <c r="H187" s="267">
        <v>90</v>
      </c>
      <c r="I187" s="267">
        <v>90</v>
      </c>
      <c r="J187" s="267" t="s">
        <v>283</v>
      </c>
      <c r="K187" s="295" t="s">
        <v>143</v>
      </c>
      <c r="L187" s="296" t="s">
        <v>284</v>
      </c>
    </row>
    <row r="188" spans="1:12" s="268" customFormat="1" ht="22" customHeight="1" x14ac:dyDescent="0.45">
      <c r="A188" s="353">
        <v>46200</v>
      </c>
      <c r="B188" s="267" t="s">
        <v>22</v>
      </c>
      <c r="C188" s="267" t="s">
        <v>153</v>
      </c>
      <c r="D188" s="267" t="s">
        <v>72</v>
      </c>
      <c r="E188" s="267" t="s">
        <v>117</v>
      </c>
      <c r="F188" s="267" t="s">
        <v>215</v>
      </c>
      <c r="G188" s="267"/>
      <c r="H188" s="267">
        <v>120</v>
      </c>
      <c r="I188" s="267">
        <v>30</v>
      </c>
      <c r="J188" s="267"/>
      <c r="K188" s="295"/>
      <c r="L188" s="296"/>
    </row>
    <row r="189" spans="1:12" s="268" customFormat="1" ht="22" customHeight="1" x14ac:dyDescent="0.45">
      <c r="A189" s="353">
        <v>46200</v>
      </c>
      <c r="B189" s="267" t="s">
        <v>115</v>
      </c>
      <c r="C189" s="267" t="s">
        <v>116</v>
      </c>
      <c r="D189" s="267" t="s">
        <v>74</v>
      </c>
      <c r="E189" s="267" t="s">
        <v>117</v>
      </c>
      <c r="F189" s="267" t="s">
        <v>74</v>
      </c>
      <c r="G189" s="267"/>
      <c r="H189" s="267">
        <v>90</v>
      </c>
      <c r="I189" s="267">
        <v>90</v>
      </c>
      <c r="J189" s="267"/>
      <c r="K189" s="295"/>
      <c r="L189" s="296"/>
    </row>
    <row r="190" spans="1:12" s="268" customFormat="1" ht="22" customHeight="1" x14ac:dyDescent="0.45">
      <c r="A190" s="353">
        <v>46200</v>
      </c>
      <c r="B190" s="267" t="s">
        <v>29</v>
      </c>
      <c r="C190" s="267" t="s">
        <v>30</v>
      </c>
      <c r="D190" s="267" t="s">
        <v>31</v>
      </c>
      <c r="E190" s="267" t="s">
        <v>50</v>
      </c>
      <c r="F190" s="267" t="s">
        <v>52</v>
      </c>
      <c r="G190" s="267"/>
      <c r="H190" s="267">
        <v>90</v>
      </c>
      <c r="I190" s="267">
        <v>90</v>
      </c>
      <c r="J190" s="267"/>
      <c r="K190" s="295"/>
      <c r="L190" s="296"/>
    </row>
    <row r="191" spans="1:12" s="268" customFormat="1" ht="22" customHeight="1" x14ac:dyDescent="0.45">
      <c r="A191" s="353">
        <v>46201</v>
      </c>
      <c r="B191" s="267" t="s">
        <v>33</v>
      </c>
      <c r="C191" s="267" t="s">
        <v>200</v>
      </c>
      <c r="D191" s="267" t="s">
        <v>285</v>
      </c>
      <c r="E191" s="267" t="s">
        <v>50</v>
      </c>
      <c r="F191" s="267" t="s">
        <v>53</v>
      </c>
      <c r="G191" s="267"/>
      <c r="H191" s="267">
        <v>195</v>
      </c>
      <c r="I191" s="267">
        <v>50</v>
      </c>
      <c r="J191" s="267"/>
      <c r="K191" s="295"/>
      <c r="L191" s="296"/>
    </row>
    <row r="192" spans="1:12" s="268" customFormat="1" ht="22" customHeight="1" x14ac:dyDescent="0.45">
      <c r="A192" s="353">
        <v>46201</v>
      </c>
      <c r="B192" s="267" t="s">
        <v>33</v>
      </c>
      <c r="C192" s="267" t="s">
        <v>200</v>
      </c>
      <c r="D192" s="267" t="s">
        <v>281</v>
      </c>
      <c r="E192" s="267" t="s">
        <v>50</v>
      </c>
      <c r="F192" s="267" t="s">
        <v>52</v>
      </c>
      <c r="G192" s="267"/>
      <c r="H192" s="267">
        <v>60</v>
      </c>
      <c r="I192" s="267">
        <v>15</v>
      </c>
      <c r="J192" s="267"/>
      <c r="K192" s="295"/>
      <c r="L192" s="296"/>
    </row>
    <row r="193" spans="1:12" s="268" customFormat="1" ht="22" customHeight="1" x14ac:dyDescent="0.45">
      <c r="A193" s="353">
        <v>46202</v>
      </c>
      <c r="B193" s="267" t="s">
        <v>25</v>
      </c>
      <c r="C193" s="267" t="s">
        <v>26</v>
      </c>
      <c r="D193" s="267" t="s">
        <v>286</v>
      </c>
      <c r="E193" s="267" t="s">
        <v>50</v>
      </c>
      <c r="F193" s="267" t="s">
        <v>52</v>
      </c>
      <c r="G193" s="267"/>
      <c r="H193" s="267">
        <v>15</v>
      </c>
      <c r="I193" s="267">
        <v>15</v>
      </c>
      <c r="J193" s="267"/>
      <c r="K193" s="295" t="s">
        <v>143</v>
      </c>
      <c r="L193" s="296" t="s">
        <v>287</v>
      </c>
    </row>
    <row r="194" spans="1:12" s="268" customFormat="1" ht="22" customHeight="1" x14ac:dyDescent="0.45">
      <c r="A194" s="353">
        <v>46202</v>
      </c>
      <c r="B194" s="267" t="s">
        <v>33</v>
      </c>
      <c r="C194" s="267" t="s">
        <v>135</v>
      </c>
      <c r="D194" s="267" t="s">
        <v>72</v>
      </c>
      <c r="E194" s="267" t="s">
        <v>117</v>
      </c>
      <c r="F194" s="267" t="s">
        <v>215</v>
      </c>
      <c r="G194" s="267"/>
      <c r="H194" s="267">
        <v>180</v>
      </c>
      <c r="I194" s="267">
        <v>45</v>
      </c>
      <c r="J194" s="267"/>
      <c r="K194" s="295"/>
      <c r="L194" s="296"/>
    </row>
    <row r="195" spans="1:12" s="268" customFormat="1" ht="22" customHeight="1" x14ac:dyDescent="0.45">
      <c r="A195" s="353">
        <v>46203</v>
      </c>
      <c r="B195" s="267" t="s">
        <v>115</v>
      </c>
      <c r="C195" s="267" t="s">
        <v>116</v>
      </c>
      <c r="D195" s="267" t="s">
        <v>139</v>
      </c>
      <c r="E195" s="267" t="s">
        <v>117</v>
      </c>
      <c r="F195" s="267" t="s">
        <v>75</v>
      </c>
      <c r="G195" s="267"/>
      <c r="H195" s="267">
        <v>90</v>
      </c>
      <c r="I195" s="267">
        <v>90</v>
      </c>
      <c r="J195" s="267"/>
      <c r="K195" s="295"/>
      <c r="L195" s="296"/>
    </row>
    <row r="196" spans="1:12" s="268" customFormat="1" ht="22" customHeight="1" x14ac:dyDescent="0.45">
      <c r="A196" s="353">
        <v>46203</v>
      </c>
      <c r="B196" s="267" t="s">
        <v>40</v>
      </c>
      <c r="C196" s="267" t="s">
        <v>41</v>
      </c>
      <c r="D196" s="267" t="s">
        <v>141</v>
      </c>
      <c r="E196" s="267" t="s">
        <v>50</v>
      </c>
      <c r="F196" s="267" t="s">
        <v>52</v>
      </c>
      <c r="G196" s="267"/>
      <c r="H196" s="267">
        <v>180</v>
      </c>
      <c r="I196" s="267">
        <v>180</v>
      </c>
      <c r="J196" s="267"/>
      <c r="K196" s="295"/>
      <c r="L196" s="296"/>
    </row>
    <row r="197" spans="1:12" s="268" customFormat="1" ht="22" customHeight="1" x14ac:dyDescent="0.45">
      <c r="A197" s="353">
        <v>46206</v>
      </c>
      <c r="B197" s="267" t="s">
        <v>115</v>
      </c>
      <c r="C197" s="267" t="s">
        <v>116</v>
      </c>
      <c r="D197" s="267" t="s">
        <v>74</v>
      </c>
      <c r="E197" s="267" t="s">
        <v>117</v>
      </c>
      <c r="F197" s="267" t="s">
        <v>74</v>
      </c>
      <c r="G197" s="267"/>
      <c r="H197" s="267">
        <v>720</v>
      </c>
      <c r="I197" s="267">
        <v>720</v>
      </c>
      <c r="J197" s="267"/>
      <c r="K197" s="295"/>
      <c r="L197" s="296"/>
    </row>
    <row r="198" spans="1:12" s="268" customFormat="1" ht="22" customHeight="1" x14ac:dyDescent="0.45">
      <c r="A198" s="353">
        <v>46206</v>
      </c>
      <c r="B198" s="267" t="s">
        <v>136</v>
      </c>
      <c r="C198" s="267" t="s">
        <v>137</v>
      </c>
      <c r="D198" s="267" t="s">
        <v>151</v>
      </c>
      <c r="E198" s="267" t="s">
        <v>50</v>
      </c>
      <c r="F198" s="267" t="s">
        <v>53</v>
      </c>
      <c r="G198" s="267"/>
      <c r="H198" s="267">
        <v>60</v>
      </c>
      <c r="I198" s="267">
        <v>60</v>
      </c>
      <c r="J198" s="267"/>
      <c r="K198" s="295" t="s">
        <v>143</v>
      </c>
      <c r="L198" s="296" t="s">
        <v>123</v>
      </c>
    </row>
    <row r="199" spans="1:12" s="268" customFormat="1" ht="22" customHeight="1" x14ac:dyDescent="0.45">
      <c r="A199" s="353">
        <v>46206</v>
      </c>
      <c r="B199" s="267" t="s">
        <v>167</v>
      </c>
      <c r="C199" s="267" t="s">
        <v>222</v>
      </c>
      <c r="D199" s="267" t="s">
        <v>223</v>
      </c>
      <c r="E199" s="267" t="s">
        <v>50</v>
      </c>
      <c r="F199" s="267" t="s">
        <v>52</v>
      </c>
      <c r="G199" s="267"/>
      <c r="H199" s="267">
        <v>60</v>
      </c>
      <c r="I199" s="267">
        <v>60</v>
      </c>
      <c r="J199" s="267"/>
      <c r="K199" s="295"/>
      <c r="L199" s="296"/>
    </row>
    <row r="200" spans="1:12" s="268" customFormat="1" ht="22" customHeight="1" x14ac:dyDescent="0.45">
      <c r="A200" s="353">
        <v>46207</v>
      </c>
      <c r="B200" s="267" t="s">
        <v>136</v>
      </c>
      <c r="C200" s="267" t="s">
        <v>137</v>
      </c>
      <c r="D200" s="267" t="s">
        <v>254</v>
      </c>
      <c r="E200" s="267" t="s">
        <v>50</v>
      </c>
      <c r="F200" s="267" t="s">
        <v>53</v>
      </c>
      <c r="G200" s="267"/>
      <c r="H200" s="267">
        <v>180</v>
      </c>
      <c r="I200" s="267">
        <v>180</v>
      </c>
      <c r="J200" s="267"/>
      <c r="K200" s="295" t="s">
        <v>164</v>
      </c>
      <c r="L200" s="296" t="s">
        <v>123</v>
      </c>
    </row>
    <row r="201" spans="1:12" s="268" customFormat="1" ht="22" customHeight="1" x14ac:dyDescent="0.45">
      <c r="A201" s="353">
        <v>46207</v>
      </c>
      <c r="B201" s="267" t="s">
        <v>25</v>
      </c>
      <c r="C201" s="267" t="s">
        <v>26</v>
      </c>
      <c r="D201" s="267" t="s">
        <v>288</v>
      </c>
      <c r="E201" s="267" t="s">
        <v>50</v>
      </c>
      <c r="F201" s="267" t="s">
        <v>53</v>
      </c>
      <c r="G201" s="267"/>
      <c r="H201" s="267">
        <v>240</v>
      </c>
      <c r="I201" s="267">
        <v>240</v>
      </c>
      <c r="J201" s="267"/>
      <c r="K201" s="295" t="s">
        <v>164</v>
      </c>
      <c r="L201" s="296" t="s">
        <v>123</v>
      </c>
    </row>
    <row r="202" spans="1:12" s="268" customFormat="1" ht="22" customHeight="1" x14ac:dyDescent="0.45">
      <c r="A202" s="353">
        <v>46207</v>
      </c>
      <c r="B202" s="267" t="s">
        <v>40</v>
      </c>
      <c r="C202" s="267" t="s">
        <v>41</v>
      </c>
      <c r="D202" s="267" t="s">
        <v>289</v>
      </c>
      <c r="E202" s="267" t="s">
        <v>50</v>
      </c>
      <c r="F202" s="267" t="s">
        <v>53</v>
      </c>
      <c r="G202" s="267"/>
      <c r="H202" s="267">
        <v>120</v>
      </c>
      <c r="I202" s="267">
        <v>120</v>
      </c>
      <c r="J202" s="267"/>
      <c r="K202" s="295" t="s">
        <v>164</v>
      </c>
      <c r="L202" s="296" t="s">
        <v>123</v>
      </c>
    </row>
    <row r="203" spans="1:12" s="268" customFormat="1" ht="22" customHeight="1" x14ac:dyDescent="0.45">
      <c r="A203" s="353">
        <v>46208</v>
      </c>
      <c r="B203" s="267" t="s">
        <v>40</v>
      </c>
      <c r="C203" s="267" t="s">
        <v>41</v>
      </c>
      <c r="D203" s="267" t="s">
        <v>289</v>
      </c>
      <c r="E203" s="267" t="s">
        <v>50</v>
      </c>
      <c r="F203" s="267" t="s">
        <v>53</v>
      </c>
      <c r="G203" s="267"/>
      <c r="H203" s="267">
        <v>540</v>
      </c>
      <c r="I203" s="267">
        <v>540</v>
      </c>
      <c r="J203" s="267"/>
      <c r="K203" s="295" t="s">
        <v>164</v>
      </c>
      <c r="L203" s="296" t="s">
        <v>123</v>
      </c>
    </row>
    <row r="204" spans="1:12" s="268" customFormat="1" ht="22" customHeight="1" x14ac:dyDescent="0.45">
      <c r="A204" s="353">
        <v>46209</v>
      </c>
      <c r="B204" s="267" t="s">
        <v>40</v>
      </c>
      <c r="C204" s="267" t="s">
        <v>41</v>
      </c>
      <c r="D204" s="267" t="s">
        <v>72</v>
      </c>
      <c r="E204" s="267" t="s">
        <v>117</v>
      </c>
      <c r="F204" s="267" t="s">
        <v>215</v>
      </c>
      <c r="G204" s="267"/>
      <c r="H204" s="267">
        <v>60</v>
      </c>
      <c r="I204" s="267">
        <v>60</v>
      </c>
      <c r="J204" s="267"/>
      <c r="K204" s="295"/>
      <c r="L204" s="296"/>
    </row>
    <row r="205" spans="1:12" s="268" customFormat="1" ht="22" customHeight="1" x14ac:dyDescent="0.45">
      <c r="A205" s="353">
        <v>46209</v>
      </c>
      <c r="B205" s="267" t="s">
        <v>33</v>
      </c>
      <c r="C205" s="267" t="s">
        <v>125</v>
      </c>
      <c r="D205" s="267" t="s">
        <v>290</v>
      </c>
      <c r="E205" s="267" t="s">
        <v>50</v>
      </c>
      <c r="F205" s="267" t="s">
        <v>52</v>
      </c>
      <c r="G205" s="267"/>
      <c r="H205" s="267">
        <v>360</v>
      </c>
      <c r="I205" s="267">
        <v>90</v>
      </c>
      <c r="J205" s="267"/>
      <c r="K205" s="295" t="s">
        <v>164</v>
      </c>
      <c r="L205" s="296" t="s">
        <v>128</v>
      </c>
    </row>
    <row r="206" spans="1:12" s="268" customFormat="1" ht="22" customHeight="1" x14ac:dyDescent="0.45">
      <c r="A206" s="353">
        <v>46210</v>
      </c>
      <c r="B206" s="267" t="s">
        <v>33</v>
      </c>
      <c r="C206" s="267" t="s">
        <v>125</v>
      </c>
      <c r="D206" s="267" t="s">
        <v>290</v>
      </c>
      <c r="E206" s="267" t="s">
        <v>50</v>
      </c>
      <c r="F206" s="267" t="s">
        <v>53</v>
      </c>
      <c r="G206" s="267"/>
      <c r="H206" s="267">
        <v>960</v>
      </c>
      <c r="I206" s="267">
        <f>960/4</f>
        <v>240</v>
      </c>
      <c r="J206" s="267" t="s">
        <v>291</v>
      </c>
      <c r="K206" s="295" t="s">
        <v>164</v>
      </c>
      <c r="L206" s="296" t="s">
        <v>123</v>
      </c>
    </row>
    <row r="207" spans="1:12" s="268" customFormat="1" ht="22" customHeight="1" x14ac:dyDescent="0.45">
      <c r="A207" s="353">
        <v>46211</v>
      </c>
      <c r="B207" s="267" t="s">
        <v>40</v>
      </c>
      <c r="C207" s="267" t="s">
        <v>41</v>
      </c>
      <c r="D207" s="267" t="s">
        <v>141</v>
      </c>
      <c r="E207" s="267" t="s">
        <v>50</v>
      </c>
      <c r="F207" s="267" t="s">
        <v>53</v>
      </c>
      <c r="G207" s="267"/>
      <c r="H207" s="267">
        <v>480</v>
      </c>
      <c r="I207" s="267">
        <v>480</v>
      </c>
      <c r="J207" s="267"/>
      <c r="K207" s="295" t="s">
        <v>164</v>
      </c>
      <c r="L207" s="296" t="s">
        <v>128</v>
      </c>
    </row>
    <row r="208" spans="1:12" s="268" customFormat="1" ht="22" customHeight="1" x14ac:dyDescent="0.45">
      <c r="A208" s="353">
        <v>46213</v>
      </c>
      <c r="B208" s="267" t="s">
        <v>40</v>
      </c>
      <c r="C208" s="267" t="s">
        <v>41</v>
      </c>
      <c r="D208" s="267" t="s">
        <v>141</v>
      </c>
      <c r="E208" s="267" t="s">
        <v>50</v>
      </c>
      <c r="F208" s="267" t="s">
        <v>53</v>
      </c>
      <c r="G208" s="267"/>
      <c r="H208" s="267">
        <v>650</v>
      </c>
      <c r="I208" s="267">
        <v>650</v>
      </c>
      <c r="J208" s="267"/>
      <c r="K208" s="295" t="s">
        <v>164</v>
      </c>
      <c r="L208" s="296" t="s">
        <v>128</v>
      </c>
    </row>
    <row r="209" spans="1:13" s="268" customFormat="1" ht="22" customHeight="1" x14ac:dyDescent="0.45">
      <c r="A209" s="353">
        <v>46217</v>
      </c>
      <c r="B209" s="267" t="s">
        <v>18</v>
      </c>
      <c r="C209" s="267" t="s">
        <v>19</v>
      </c>
      <c r="D209" s="267" t="s">
        <v>20</v>
      </c>
      <c r="E209" s="267" t="s">
        <v>50</v>
      </c>
      <c r="F209" s="267" t="s">
        <v>51</v>
      </c>
      <c r="G209" s="267"/>
      <c r="H209" s="267">
        <v>30</v>
      </c>
      <c r="I209" s="267">
        <v>30</v>
      </c>
      <c r="J209" s="267"/>
      <c r="K209" s="295"/>
      <c r="L209" s="296"/>
    </row>
    <row r="210" spans="1:13" s="268" customFormat="1" ht="22" customHeight="1" x14ac:dyDescent="0.45">
      <c r="A210" s="353">
        <v>46218</v>
      </c>
      <c r="B210" s="267" t="s">
        <v>40</v>
      </c>
      <c r="C210" s="267" t="s">
        <v>41</v>
      </c>
      <c r="D210" s="267" t="s">
        <v>42</v>
      </c>
      <c r="E210" s="267" t="s">
        <v>50</v>
      </c>
      <c r="F210" s="267" t="s">
        <v>53</v>
      </c>
      <c r="G210" s="267"/>
      <c r="H210" s="267">
        <v>45</v>
      </c>
      <c r="I210" s="267">
        <v>45</v>
      </c>
      <c r="J210" s="267" t="s">
        <v>292</v>
      </c>
      <c r="K210" s="295" t="s">
        <v>164</v>
      </c>
      <c r="L210" s="296" t="s">
        <v>123</v>
      </c>
    </row>
    <row r="211" spans="1:13" s="268" customFormat="1" ht="22" customHeight="1" x14ac:dyDescent="0.45">
      <c r="A211" s="353">
        <v>46219</v>
      </c>
      <c r="B211" s="267" t="s">
        <v>115</v>
      </c>
      <c r="C211" s="267" t="s">
        <v>116</v>
      </c>
      <c r="D211" s="267" t="s">
        <v>74</v>
      </c>
      <c r="E211" s="267" t="s">
        <v>117</v>
      </c>
      <c r="F211" s="267" t="s">
        <v>74</v>
      </c>
      <c r="G211" s="267"/>
      <c r="H211" s="267">
        <v>720</v>
      </c>
      <c r="I211" s="267">
        <v>720</v>
      </c>
      <c r="J211" s="267"/>
      <c r="K211" s="295"/>
      <c r="L211" s="296"/>
    </row>
    <row r="212" spans="1:13" s="268" customFormat="1" ht="22" customHeight="1" x14ac:dyDescent="0.45">
      <c r="A212" s="353">
        <v>46219</v>
      </c>
      <c r="B212" s="267" t="s">
        <v>115</v>
      </c>
      <c r="C212" s="267" t="s">
        <v>116</v>
      </c>
      <c r="D212" s="267" t="s">
        <v>264</v>
      </c>
      <c r="E212" s="267" t="s">
        <v>117</v>
      </c>
      <c r="F212" s="267" t="s">
        <v>265</v>
      </c>
      <c r="G212" s="267"/>
      <c r="H212" s="267">
        <v>420</v>
      </c>
      <c r="I212" s="267">
        <v>420</v>
      </c>
      <c r="J212" s="267"/>
      <c r="K212" s="295"/>
      <c r="L212" s="296"/>
    </row>
    <row r="213" spans="1:13" s="268" customFormat="1" ht="22" customHeight="1" x14ac:dyDescent="0.45">
      <c r="A213" s="353">
        <v>46220</v>
      </c>
      <c r="B213" s="267" t="s">
        <v>136</v>
      </c>
      <c r="C213" s="267" t="s">
        <v>137</v>
      </c>
      <c r="D213" s="267" t="s">
        <v>151</v>
      </c>
      <c r="E213" s="267" t="s">
        <v>50</v>
      </c>
      <c r="F213" s="267" t="s">
        <v>53</v>
      </c>
      <c r="G213" s="267"/>
      <c r="H213" s="267">
        <v>140</v>
      </c>
      <c r="I213" s="267">
        <v>140</v>
      </c>
      <c r="J213" s="267"/>
      <c r="K213" s="295" t="s">
        <v>164</v>
      </c>
      <c r="L213" s="296" t="s">
        <v>123</v>
      </c>
    </row>
    <row r="214" spans="1:13" s="268" customFormat="1" ht="22" customHeight="1" x14ac:dyDescent="0.45">
      <c r="A214" s="353">
        <v>46220</v>
      </c>
      <c r="B214" s="267" t="s">
        <v>115</v>
      </c>
      <c r="C214" s="267" t="s">
        <v>116</v>
      </c>
      <c r="D214" s="267" t="s">
        <v>140</v>
      </c>
      <c r="E214" s="267" t="s">
        <v>117</v>
      </c>
      <c r="F214" s="267" t="s">
        <v>75</v>
      </c>
      <c r="G214" s="267"/>
      <c r="H214" s="267">
        <v>60</v>
      </c>
      <c r="I214" s="267">
        <v>60</v>
      </c>
      <c r="J214" s="267"/>
      <c r="K214" s="295"/>
      <c r="L214" s="296"/>
    </row>
    <row r="215" spans="1:13" s="268" customFormat="1" ht="22" customHeight="1" x14ac:dyDescent="0.45">
      <c r="A215" s="353">
        <v>46221</v>
      </c>
      <c r="B215" s="267" t="s">
        <v>40</v>
      </c>
      <c r="C215" s="267" t="s">
        <v>41</v>
      </c>
      <c r="D215" s="267" t="s">
        <v>42</v>
      </c>
      <c r="E215" s="267" t="s">
        <v>50</v>
      </c>
      <c r="F215" s="267" t="s">
        <v>53</v>
      </c>
      <c r="G215" s="267"/>
      <c r="H215" s="267">
        <v>45</v>
      </c>
      <c r="I215" s="267">
        <v>45</v>
      </c>
      <c r="J215" s="267"/>
      <c r="K215" s="295" t="s">
        <v>143</v>
      </c>
      <c r="L215" s="296" t="s">
        <v>123</v>
      </c>
    </row>
    <row r="216" spans="1:13" s="268" customFormat="1" ht="22" customHeight="1" x14ac:dyDescent="0.45">
      <c r="A216" s="353">
        <v>46221</v>
      </c>
      <c r="B216" s="267" t="s">
        <v>33</v>
      </c>
      <c r="C216" s="267" t="s">
        <v>135</v>
      </c>
      <c r="D216" s="267" t="s">
        <v>293</v>
      </c>
      <c r="E216" s="267" t="s">
        <v>50</v>
      </c>
      <c r="F216" s="267" t="s">
        <v>53</v>
      </c>
      <c r="G216" s="267"/>
      <c r="H216" s="267">
        <v>80</v>
      </c>
      <c r="I216" s="267">
        <v>20</v>
      </c>
      <c r="J216" s="267"/>
      <c r="K216" s="295"/>
      <c r="L216" s="296"/>
    </row>
    <row r="217" spans="1:13" s="268" customFormat="1" ht="22" customHeight="1" x14ac:dyDescent="0.45">
      <c r="A217" s="353">
        <v>46221</v>
      </c>
      <c r="B217" s="267" t="s">
        <v>33</v>
      </c>
      <c r="C217" s="267" t="s">
        <v>135</v>
      </c>
      <c r="D217" s="267" t="s">
        <v>294</v>
      </c>
      <c r="E217" s="267" t="s">
        <v>50</v>
      </c>
      <c r="F217" s="267" t="s">
        <v>52</v>
      </c>
      <c r="G217" s="267"/>
      <c r="H217" s="267">
        <v>100</v>
      </c>
      <c r="I217" s="267">
        <v>25</v>
      </c>
      <c r="J217" s="267"/>
      <c r="K217" s="295"/>
      <c r="L217" s="296"/>
    </row>
    <row r="218" spans="1:13" s="268" customFormat="1" ht="22" customHeight="1" x14ac:dyDescent="0.45">
      <c r="A218" s="353">
        <v>46222</v>
      </c>
      <c r="B218" s="267" t="s">
        <v>40</v>
      </c>
      <c r="C218" s="267" t="s">
        <v>41</v>
      </c>
      <c r="D218" s="267" t="s">
        <v>289</v>
      </c>
      <c r="E218" s="267" t="s">
        <v>50</v>
      </c>
      <c r="F218" s="267" t="s">
        <v>53</v>
      </c>
      <c r="G218" s="267"/>
      <c r="H218" s="267">
        <v>90</v>
      </c>
      <c r="I218" s="267">
        <v>90</v>
      </c>
      <c r="J218" s="267"/>
      <c r="K218" s="295"/>
      <c r="L218" s="296"/>
    </row>
    <row r="219" spans="1:13" s="268" customFormat="1" ht="22" customHeight="1" x14ac:dyDescent="0.45">
      <c r="A219" s="353">
        <v>46265</v>
      </c>
      <c r="B219" s="267" t="s">
        <v>22</v>
      </c>
      <c r="C219" s="298" t="s">
        <v>295</v>
      </c>
      <c r="D219" s="298" t="s">
        <v>296</v>
      </c>
      <c r="E219" s="267" t="s">
        <v>50</v>
      </c>
      <c r="F219" s="267" t="s">
        <v>127</v>
      </c>
      <c r="G219" s="267"/>
      <c r="H219" s="300">
        <v>13.1725166666667</v>
      </c>
      <c r="I219" s="269">
        <f>Table2[[#This Row],[Equipment Downtime]]/7</f>
        <v>1.8817880952381001</v>
      </c>
      <c r="J219" s="252"/>
      <c r="K219" s="253"/>
      <c r="L219" s="79"/>
      <c r="M219"/>
    </row>
    <row r="220" spans="1:13" ht="22" customHeight="1" x14ac:dyDescent="0.45">
      <c r="A220" s="353">
        <v>46265</v>
      </c>
      <c r="B220" s="267" t="s">
        <v>22</v>
      </c>
      <c r="C220" s="298" t="s">
        <v>295</v>
      </c>
      <c r="D220" s="298" t="s">
        <v>297</v>
      </c>
      <c r="E220" s="267" t="s">
        <v>50</v>
      </c>
      <c r="F220" s="267" t="s">
        <v>127</v>
      </c>
      <c r="G220" s="267"/>
      <c r="H220" s="300">
        <v>26.604516666666701</v>
      </c>
      <c r="I220" s="269">
        <f>Table2[[#This Row],[Equipment Downtime]]/7</f>
        <v>3.8006452380952429</v>
      </c>
      <c r="J220" s="252"/>
      <c r="K220" s="79"/>
    </row>
    <row r="221" spans="1:13" ht="22" customHeight="1" x14ac:dyDescent="0.45">
      <c r="A221" s="353">
        <v>46265</v>
      </c>
      <c r="B221" s="267" t="s">
        <v>22</v>
      </c>
      <c r="C221" s="298" t="s">
        <v>295</v>
      </c>
      <c r="D221" s="298" t="s">
        <v>298</v>
      </c>
      <c r="E221" s="267" t="s">
        <v>50</v>
      </c>
      <c r="F221" s="267" t="s">
        <v>127</v>
      </c>
      <c r="G221" s="267"/>
      <c r="H221" s="300">
        <v>31.764416666666701</v>
      </c>
      <c r="I221" s="269">
        <f>Table2[[#This Row],[Equipment Downtime]]/7</f>
        <v>4.5377738095238147</v>
      </c>
      <c r="J221" s="252"/>
      <c r="K221" s="253"/>
    </row>
    <row r="222" spans="1:13" ht="22" customHeight="1" x14ac:dyDescent="0.45">
      <c r="A222" s="353">
        <v>46265</v>
      </c>
      <c r="B222" s="267" t="s">
        <v>22</v>
      </c>
      <c r="C222" s="298" t="s">
        <v>299</v>
      </c>
      <c r="D222" s="298" t="s">
        <v>296</v>
      </c>
      <c r="E222" s="267" t="s">
        <v>50</v>
      </c>
      <c r="F222" s="267" t="s">
        <v>127</v>
      </c>
      <c r="G222" s="267"/>
      <c r="H222" s="300">
        <v>9.47596666666667</v>
      </c>
      <c r="I222" s="269">
        <f>Table2[[#This Row],[Equipment Downtime]]/7</f>
        <v>1.3537095238095243</v>
      </c>
      <c r="J222" s="252"/>
      <c r="K222" s="253"/>
    </row>
    <row r="223" spans="1:13" ht="22" customHeight="1" x14ac:dyDescent="0.45">
      <c r="A223" s="353">
        <v>46265</v>
      </c>
      <c r="B223" s="267" t="s">
        <v>22</v>
      </c>
      <c r="C223" s="298" t="s">
        <v>299</v>
      </c>
      <c r="D223" s="298" t="s">
        <v>300</v>
      </c>
      <c r="E223" s="267" t="s">
        <v>50</v>
      </c>
      <c r="F223" s="267" t="s">
        <v>127</v>
      </c>
      <c r="G223" s="267"/>
      <c r="H223" s="300">
        <v>19.1664833333333</v>
      </c>
      <c r="I223" s="269">
        <f>Table2[[#This Row],[Equipment Downtime]]/7</f>
        <v>2.7380690476190428</v>
      </c>
      <c r="J223" s="252"/>
      <c r="K223" s="253"/>
    </row>
    <row r="224" spans="1:13" ht="22" customHeight="1" x14ac:dyDescent="0.45">
      <c r="A224" s="353">
        <v>46265</v>
      </c>
      <c r="B224" s="267" t="s">
        <v>22</v>
      </c>
      <c r="C224" s="298" t="s">
        <v>299</v>
      </c>
      <c r="D224" s="298" t="s">
        <v>298</v>
      </c>
      <c r="E224" s="267" t="s">
        <v>50</v>
      </c>
      <c r="F224" s="267" t="s">
        <v>127</v>
      </c>
      <c r="G224" s="267"/>
      <c r="H224" s="300">
        <v>36.405749999999998</v>
      </c>
      <c r="I224" s="269">
        <f>Table2[[#This Row],[Equipment Downtime]]/7</f>
        <v>5.2008214285714285</v>
      </c>
      <c r="J224" s="252"/>
      <c r="K224" s="253"/>
    </row>
    <row r="225" spans="1:11" ht="22" customHeight="1" x14ac:dyDescent="0.45">
      <c r="A225" s="353">
        <v>46265</v>
      </c>
      <c r="B225" s="267" t="s">
        <v>22</v>
      </c>
      <c r="C225" s="298" t="s">
        <v>301</v>
      </c>
      <c r="D225" s="298" t="s">
        <v>296</v>
      </c>
      <c r="E225" s="267" t="s">
        <v>50</v>
      </c>
      <c r="F225" s="267" t="s">
        <v>127</v>
      </c>
      <c r="G225" s="267"/>
      <c r="H225" s="300">
        <v>5.3136333333333301</v>
      </c>
      <c r="I225" s="269">
        <f>Table2[[#This Row],[Equipment Downtime]]/7</f>
        <v>0.75909047619047576</v>
      </c>
      <c r="J225" s="252"/>
      <c r="K225" s="253"/>
    </row>
    <row r="226" spans="1:11" ht="22" customHeight="1" x14ac:dyDescent="0.45">
      <c r="A226" s="353">
        <v>46265</v>
      </c>
      <c r="B226" s="267" t="s">
        <v>22</v>
      </c>
      <c r="C226" s="298" t="s">
        <v>301</v>
      </c>
      <c r="D226" s="298" t="s">
        <v>297</v>
      </c>
      <c r="E226" s="267" t="s">
        <v>50</v>
      </c>
      <c r="F226" s="267" t="s">
        <v>127</v>
      </c>
      <c r="G226" s="267"/>
      <c r="H226" s="300">
        <v>7.8098000000000001</v>
      </c>
      <c r="I226" s="269">
        <f>Table2[[#This Row],[Equipment Downtime]]/7</f>
        <v>1.1156857142857144</v>
      </c>
      <c r="J226" s="252"/>
      <c r="K226" s="253"/>
    </row>
    <row r="227" spans="1:11" ht="22" customHeight="1" x14ac:dyDescent="0.45">
      <c r="A227" s="353">
        <v>46265</v>
      </c>
      <c r="B227" s="267" t="s">
        <v>22</v>
      </c>
      <c r="C227" s="298" t="s">
        <v>301</v>
      </c>
      <c r="D227" s="298" t="s">
        <v>302</v>
      </c>
      <c r="E227" s="267" t="s">
        <v>50</v>
      </c>
      <c r="F227" s="267" t="s">
        <v>127</v>
      </c>
      <c r="G227" s="267"/>
      <c r="H227" s="300">
        <v>7.4154999999999998</v>
      </c>
      <c r="I227" s="269">
        <f>Table2[[#This Row],[Equipment Downtime]]/7</f>
        <v>1.0593571428571429</v>
      </c>
      <c r="J227" s="252"/>
      <c r="K227" s="253"/>
    </row>
    <row r="228" spans="1:11" ht="22" customHeight="1" x14ac:dyDescent="0.45">
      <c r="A228" s="353">
        <v>46265</v>
      </c>
      <c r="B228" s="267" t="s">
        <v>22</v>
      </c>
      <c r="C228" s="298" t="s">
        <v>303</v>
      </c>
      <c r="D228" s="298" t="s">
        <v>304</v>
      </c>
      <c r="E228" s="267" t="s">
        <v>50</v>
      </c>
      <c r="F228" s="267" t="s">
        <v>127</v>
      </c>
      <c r="G228" s="267"/>
      <c r="H228" s="300">
        <v>6.1992000000000003</v>
      </c>
      <c r="I228" s="269">
        <f>Table2[[#This Row],[Equipment Downtime]]/7</f>
        <v>0.88560000000000005</v>
      </c>
      <c r="J228" s="252"/>
      <c r="K228" s="253"/>
    </row>
    <row r="229" spans="1:11" ht="22" customHeight="1" x14ac:dyDescent="0.45">
      <c r="A229" s="353">
        <v>46265</v>
      </c>
      <c r="B229" s="267" t="s">
        <v>22</v>
      </c>
      <c r="C229" s="298" t="s">
        <v>303</v>
      </c>
      <c r="D229" s="298" t="s">
        <v>296</v>
      </c>
      <c r="E229" s="267" t="s">
        <v>50</v>
      </c>
      <c r="F229" s="267" t="s">
        <v>127</v>
      </c>
      <c r="G229" s="267"/>
      <c r="H229" s="300">
        <v>25.160416666666698</v>
      </c>
      <c r="I229" s="269">
        <f>Table2[[#This Row],[Equipment Downtime]]/7</f>
        <v>3.5943452380952428</v>
      </c>
      <c r="J229" s="252"/>
      <c r="K229" s="253"/>
    </row>
    <row r="230" spans="1:11" ht="22" customHeight="1" x14ac:dyDescent="0.45">
      <c r="A230" s="353">
        <v>46265</v>
      </c>
      <c r="B230" s="267" t="s">
        <v>22</v>
      </c>
      <c r="C230" s="298" t="s">
        <v>303</v>
      </c>
      <c r="D230" s="298" t="s">
        <v>302</v>
      </c>
      <c r="E230" s="267" t="s">
        <v>50</v>
      </c>
      <c r="F230" s="267" t="s">
        <v>127</v>
      </c>
      <c r="G230" s="267"/>
      <c r="H230" s="300">
        <v>3.8674833333333298</v>
      </c>
      <c r="I230" s="269">
        <f>Table2[[#This Row],[Equipment Downtime]]/7</f>
        <v>0.55249761904761852</v>
      </c>
      <c r="J230" s="252"/>
      <c r="K230" s="253"/>
    </row>
    <row r="231" spans="1:11" ht="22" customHeight="1" x14ac:dyDescent="0.45">
      <c r="A231" s="353">
        <v>46265</v>
      </c>
      <c r="B231" s="267" t="s">
        <v>22</v>
      </c>
      <c r="C231" s="298" t="s">
        <v>305</v>
      </c>
      <c r="D231" s="298" t="s">
        <v>306</v>
      </c>
      <c r="E231" s="267" t="s">
        <v>50</v>
      </c>
      <c r="F231" s="267" t="s">
        <v>127</v>
      </c>
      <c r="G231" s="267"/>
      <c r="H231" s="300">
        <v>74.798716666666706</v>
      </c>
      <c r="I231" s="269">
        <f>Table2[[#This Row],[Equipment Downtime]]/7</f>
        <v>10.685530952380958</v>
      </c>
      <c r="J231" s="252"/>
      <c r="K231" s="253"/>
    </row>
    <row r="232" spans="1:11" ht="22" customHeight="1" x14ac:dyDescent="0.45">
      <c r="A232" s="353">
        <v>46265</v>
      </c>
      <c r="B232" s="267" t="s">
        <v>22</v>
      </c>
      <c r="C232" s="298" t="s">
        <v>305</v>
      </c>
      <c r="D232" s="298" t="s">
        <v>307</v>
      </c>
      <c r="E232" s="267" t="s">
        <v>50</v>
      </c>
      <c r="F232" s="267" t="s">
        <v>127</v>
      </c>
      <c r="G232" s="267"/>
      <c r="H232" s="300">
        <v>63.584283333333303</v>
      </c>
      <c r="I232" s="269">
        <f>Table2[[#This Row],[Equipment Downtime]]/7</f>
        <v>9.0834690476190438</v>
      </c>
      <c r="J232" s="252"/>
      <c r="K232" s="253"/>
    </row>
    <row r="233" spans="1:11" ht="22" customHeight="1" x14ac:dyDescent="0.45">
      <c r="A233" s="353">
        <v>46265</v>
      </c>
      <c r="B233" s="267" t="s">
        <v>22</v>
      </c>
      <c r="C233" s="298" t="s">
        <v>305</v>
      </c>
      <c r="D233" s="298" t="s">
        <v>308</v>
      </c>
      <c r="E233" s="267" t="s">
        <v>50</v>
      </c>
      <c r="F233" s="267" t="s">
        <v>127</v>
      </c>
      <c r="G233" s="267"/>
      <c r="H233" s="300">
        <v>44.966200000000001</v>
      </c>
      <c r="I233" s="269">
        <f>Table2[[#This Row],[Equipment Downtime]]/7</f>
        <v>6.423742857142857</v>
      </c>
      <c r="J233" s="252"/>
      <c r="K233" s="253"/>
    </row>
    <row r="234" spans="1:11" ht="22" customHeight="1" x14ac:dyDescent="0.45">
      <c r="A234" s="353">
        <v>46265</v>
      </c>
      <c r="B234" s="267" t="s">
        <v>22</v>
      </c>
      <c r="C234" s="298" t="s">
        <v>309</v>
      </c>
      <c r="D234" s="298" t="s">
        <v>306</v>
      </c>
      <c r="E234" s="267" t="s">
        <v>50</v>
      </c>
      <c r="F234" s="267" t="s">
        <v>127</v>
      </c>
      <c r="G234" s="267"/>
      <c r="H234" s="300">
        <v>42.416449999999998</v>
      </c>
      <c r="I234" s="269">
        <f>Table2[[#This Row],[Equipment Downtime]]/7</f>
        <v>6.0594928571428568</v>
      </c>
      <c r="J234" s="252"/>
      <c r="K234" s="253"/>
    </row>
    <row r="235" spans="1:11" ht="22" customHeight="1" x14ac:dyDescent="0.45">
      <c r="A235" s="353">
        <v>46265</v>
      </c>
      <c r="B235" s="267" t="s">
        <v>22</v>
      </c>
      <c r="C235" s="298" t="s">
        <v>309</v>
      </c>
      <c r="D235" s="298" t="s">
        <v>307</v>
      </c>
      <c r="E235" s="267" t="s">
        <v>50</v>
      </c>
      <c r="F235" s="267" t="s">
        <v>127</v>
      </c>
      <c r="G235" s="267"/>
      <c r="H235" s="300">
        <v>25.724616666666702</v>
      </c>
      <c r="I235" s="269">
        <f>Table2[[#This Row],[Equipment Downtime]]/7</f>
        <v>3.6749452380952432</v>
      </c>
      <c r="J235" s="252"/>
      <c r="K235" s="253"/>
    </row>
    <row r="236" spans="1:11" ht="22" customHeight="1" x14ac:dyDescent="0.45">
      <c r="A236" s="353">
        <v>46265</v>
      </c>
      <c r="B236" s="267" t="s">
        <v>22</v>
      </c>
      <c r="C236" s="298" t="s">
        <v>309</v>
      </c>
      <c r="D236" s="298" t="s">
        <v>308</v>
      </c>
      <c r="E236" s="267" t="s">
        <v>50</v>
      </c>
      <c r="F236" s="267" t="s">
        <v>127</v>
      </c>
      <c r="G236" s="267"/>
      <c r="H236" s="300">
        <v>85.693349999999995</v>
      </c>
      <c r="I236" s="269">
        <f>Table2[[#This Row],[Equipment Downtime]]/7</f>
        <v>12.241907142857142</v>
      </c>
      <c r="J236" s="252"/>
      <c r="K236" s="253"/>
    </row>
    <row r="237" spans="1:11" ht="22" customHeight="1" x14ac:dyDescent="0.45">
      <c r="A237" s="353">
        <v>46265</v>
      </c>
      <c r="B237" s="267" t="s">
        <v>33</v>
      </c>
      <c r="C237" s="298" t="s">
        <v>310</v>
      </c>
      <c r="D237" s="298" t="s">
        <v>126</v>
      </c>
      <c r="E237" s="267" t="s">
        <v>50</v>
      </c>
      <c r="F237" s="267" t="s">
        <v>127</v>
      </c>
      <c r="G237" s="267"/>
      <c r="H237" s="300">
        <v>23.394016666666701</v>
      </c>
      <c r="I237" s="269">
        <f>Table2[[#This Row],[Equipment Downtime]]/7</f>
        <v>3.342002380952386</v>
      </c>
      <c r="J237" s="252"/>
      <c r="K237" s="253"/>
    </row>
    <row r="238" spans="1:11" ht="22" customHeight="1" x14ac:dyDescent="0.45">
      <c r="A238" s="353">
        <v>46265</v>
      </c>
      <c r="B238" s="267" t="s">
        <v>33</v>
      </c>
      <c r="C238" s="298" t="s">
        <v>310</v>
      </c>
      <c r="D238" s="298" t="s">
        <v>311</v>
      </c>
      <c r="E238" s="267" t="s">
        <v>50</v>
      </c>
      <c r="F238" s="267" t="s">
        <v>127</v>
      </c>
      <c r="G238" s="267"/>
      <c r="H238" s="300">
        <v>28.590666666666699</v>
      </c>
      <c r="I238" s="269">
        <f>Table2[[#This Row],[Equipment Downtime]]/7</f>
        <v>4.0843809523809567</v>
      </c>
      <c r="J238" s="252"/>
      <c r="K238" s="253"/>
    </row>
    <row r="239" spans="1:11" ht="22" customHeight="1" x14ac:dyDescent="0.45">
      <c r="A239" s="353">
        <v>46265</v>
      </c>
      <c r="B239" s="267" t="s">
        <v>33</v>
      </c>
      <c r="C239" s="298" t="s">
        <v>310</v>
      </c>
      <c r="D239" s="298" t="s">
        <v>312</v>
      </c>
      <c r="E239" s="267" t="s">
        <v>50</v>
      </c>
      <c r="F239" s="267" t="s">
        <v>127</v>
      </c>
      <c r="G239" s="267"/>
      <c r="H239" s="300">
        <v>16.480416666666699</v>
      </c>
      <c r="I239" s="269">
        <f>Table2[[#This Row],[Equipment Downtime]]/7</f>
        <v>2.3543452380952425</v>
      </c>
      <c r="J239" s="252"/>
      <c r="K239" s="253"/>
    </row>
    <row r="240" spans="1:11" ht="22" customHeight="1" x14ac:dyDescent="0.45">
      <c r="A240" s="353">
        <v>46265</v>
      </c>
      <c r="B240" s="267" t="s">
        <v>33</v>
      </c>
      <c r="C240" s="298" t="s">
        <v>313</v>
      </c>
      <c r="D240" s="298" t="s">
        <v>126</v>
      </c>
      <c r="E240" s="267" t="s">
        <v>50</v>
      </c>
      <c r="F240" s="267" t="s">
        <v>127</v>
      </c>
      <c r="G240" s="252"/>
      <c r="H240" s="300">
        <v>8.7299000000000007</v>
      </c>
      <c r="I240" s="269">
        <f>Table2[[#This Row],[Equipment Downtime]]/7</f>
        <v>1.2471285714285716</v>
      </c>
      <c r="J240" s="252"/>
      <c r="K240" s="253"/>
    </row>
    <row r="241" spans="1:11" ht="22" customHeight="1" x14ac:dyDescent="0.45">
      <c r="A241" s="353">
        <v>46265</v>
      </c>
      <c r="B241" s="267" t="s">
        <v>33</v>
      </c>
      <c r="C241" s="298" t="s">
        <v>313</v>
      </c>
      <c r="D241" s="298" t="s">
        <v>311</v>
      </c>
      <c r="E241" s="267" t="s">
        <v>50</v>
      </c>
      <c r="F241" s="267" t="s">
        <v>127</v>
      </c>
      <c r="G241" s="252"/>
      <c r="H241" s="300">
        <v>17.224733333333301</v>
      </c>
      <c r="I241" s="269">
        <f>Table2[[#This Row],[Equipment Downtime]]/7</f>
        <v>2.4606761904761858</v>
      </c>
      <c r="J241" s="252"/>
      <c r="K241" s="253"/>
    </row>
    <row r="242" spans="1:11" ht="22" customHeight="1" x14ac:dyDescent="0.45">
      <c r="A242" s="353">
        <v>46265</v>
      </c>
      <c r="B242" s="267" t="s">
        <v>33</v>
      </c>
      <c r="C242" s="298" t="s">
        <v>313</v>
      </c>
      <c r="D242" s="298" t="s">
        <v>312</v>
      </c>
      <c r="E242" s="267" t="s">
        <v>50</v>
      </c>
      <c r="F242" s="267" t="s">
        <v>127</v>
      </c>
      <c r="G242" s="252"/>
      <c r="H242" s="300">
        <v>2.5235500000000002</v>
      </c>
      <c r="I242" s="269">
        <f>Table2[[#This Row],[Equipment Downtime]]/7</f>
        <v>0.36050714285714286</v>
      </c>
      <c r="J242" s="252"/>
      <c r="K242" s="253"/>
    </row>
    <row r="243" spans="1:11" ht="22" customHeight="1" x14ac:dyDescent="0.45">
      <c r="A243" s="353">
        <v>46265</v>
      </c>
      <c r="B243" s="267" t="s">
        <v>33</v>
      </c>
      <c r="C243" s="298" t="s">
        <v>314</v>
      </c>
      <c r="D243" s="298" t="s">
        <v>126</v>
      </c>
      <c r="E243" s="267" t="s">
        <v>50</v>
      </c>
      <c r="F243" s="267" t="s">
        <v>127</v>
      </c>
      <c r="G243" s="252"/>
      <c r="H243" s="300">
        <v>9.3244666666666696</v>
      </c>
      <c r="I243" s="269">
        <f>Table2[[#This Row],[Equipment Downtime]]/7</f>
        <v>1.3320666666666672</v>
      </c>
      <c r="J243" s="252"/>
      <c r="K243" s="253"/>
    </row>
    <row r="244" spans="1:11" ht="22" customHeight="1" x14ac:dyDescent="0.45">
      <c r="A244" s="353">
        <v>46265</v>
      </c>
      <c r="B244" s="267" t="s">
        <v>33</v>
      </c>
      <c r="C244" s="298" t="s">
        <v>314</v>
      </c>
      <c r="D244" s="298" t="s">
        <v>315</v>
      </c>
      <c r="E244" s="267" t="s">
        <v>50</v>
      </c>
      <c r="F244" s="267" t="s">
        <v>127</v>
      </c>
      <c r="G244" s="252"/>
      <c r="H244" s="300">
        <v>0.62528333333333297</v>
      </c>
      <c r="I244" s="269">
        <f>Table2[[#This Row],[Equipment Downtime]]/7</f>
        <v>8.932619047619042E-2</v>
      </c>
      <c r="J244" s="252"/>
      <c r="K244" s="253"/>
    </row>
    <row r="245" spans="1:11" ht="22" customHeight="1" x14ac:dyDescent="0.45">
      <c r="A245" s="353">
        <v>46265</v>
      </c>
      <c r="B245" s="267" t="s">
        <v>33</v>
      </c>
      <c r="C245" s="298" t="s">
        <v>314</v>
      </c>
      <c r="D245" s="298" t="s">
        <v>316</v>
      </c>
      <c r="E245" s="267" t="s">
        <v>50</v>
      </c>
      <c r="F245" s="267" t="s">
        <v>127</v>
      </c>
      <c r="G245" s="252"/>
      <c r="H245" s="300">
        <v>8.1859833333333292</v>
      </c>
      <c r="I245" s="269">
        <f>Table2[[#This Row],[Equipment Downtime]]/7</f>
        <v>1.1694261904761898</v>
      </c>
      <c r="J245" s="252"/>
      <c r="K245" s="253"/>
    </row>
    <row r="246" spans="1:11" ht="22" customHeight="1" x14ac:dyDescent="0.45">
      <c r="A246" s="353">
        <v>46265</v>
      </c>
      <c r="B246" s="267" t="s">
        <v>33</v>
      </c>
      <c r="C246" s="298" t="s">
        <v>317</v>
      </c>
      <c r="D246" s="298" t="s">
        <v>318</v>
      </c>
      <c r="E246" s="267" t="s">
        <v>50</v>
      </c>
      <c r="F246" s="267" t="s">
        <v>127</v>
      </c>
      <c r="G246" s="252"/>
      <c r="H246" s="300">
        <v>1.74206666666667</v>
      </c>
      <c r="I246" s="269">
        <f>Table2[[#This Row],[Equipment Downtime]]/7</f>
        <v>0.24886666666666715</v>
      </c>
      <c r="J246" s="252"/>
      <c r="K246" s="253"/>
    </row>
    <row r="247" spans="1:11" ht="22" customHeight="1" x14ac:dyDescent="0.45">
      <c r="A247" s="353">
        <v>46265</v>
      </c>
      <c r="B247" s="267" t="s">
        <v>33</v>
      </c>
      <c r="C247" s="298" t="s">
        <v>317</v>
      </c>
      <c r="D247" s="298" t="s">
        <v>319</v>
      </c>
      <c r="E247" s="267" t="s">
        <v>50</v>
      </c>
      <c r="F247" s="267" t="s">
        <v>127</v>
      </c>
      <c r="G247" s="252"/>
      <c r="H247" s="300">
        <v>0.244416666666667</v>
      </c>
      <c r="I247" s="269">
        <f>Table2[[#This Row],[Equipment Downtime]]/7</f>
        <v>3.4916666666666714E-2</v>
      </c>
      <c r="J247" s="252"/>
      <c r="K247" s="253"/>
    </row>
    <row r="248" spans="1:11" ht="22" customHeight="1" x14ac:dyDescent="0.45">
      <c r="A248" s="353">
        <v>46266</v>
      </c>
      <c r="B248" s="267" t="s">
        <v>22</v>
      </c>
      <c r="C248" s="298" t="s">
        <v>295</v>
      </c>
      <c r="D248" s="298" t="s">
        <v>296</v>
      </c>
      <c r="E248" s="267" t="s">
        <v>50</v>
      </c>
      <c r="F248" s="267" t="s">
        <v>127</v>
      </c>
      <c r="G248" s="267"/>
      <c r="H248" s="300">
        <v>12.6477166666667</v>
      </c>
      <c r="I248" s="269">
        <f>Table2[[#This Row],[Equipment Downtime]]/7</f>
        <v>1.8068166666666714</v>
      </c>
      <c r="J248" s="252"/>
      <c r="K248" s="253"/>
    </row>
    <row r="249" spans="1:11" ht="22" customHeight="1" x14ac:dyDescent="0.45">
      <c r="A249" s="353">
        <v>46266</v>
      </c>
      <c r="B249" s="267" t="s">
        <v>22</v>
      </c>
      <c r="C249" s="298" t="s">
        <v>295</v>
      </c>
      <c r="D249" s="298" t="s">
        <v>297</v>
      </c>
      <c r="E249" s="267" t="s">
        <v>50</v>
      </c>
      <c r="F249" s="267" t="s">
        <v>127</v>
      </c>
      <c r="G249" s="267"/>
      <c r="H249" s="300">
        <v>46.460433333333299</v>
      </c>
      <c r="I249" s="269">
        <f>Table2[[#This Row],[Equipment Downtime]]/7</f>
        <v>6.6372047619047567</v>
      </c>
      <c r="J249" s="252"/>
      <c r="K249" s="253"/>
    </row>
    <row r="250" spans="1:11" ht="22" customHeight="1" x14ac:dyDescent="0.45">
      <c r="A250" s="353">
        <v>46266</v>
      </c>
      <c r="B250" s="267" t="s">
        <v>22</v>
      </c>
      <c r="C250" s="298" t="s">
        <v>295</v>
      </c>
      <c r="D250" s="298" t="s">
        <v>298</v>
      </c>
      <c r="E250" s="267" t="s">
        <v>50</v>
      </c>
      <c r="F250" s="267" t="s">
        <v>127</v>
      </c>
      <c r="G250" s="267"/>
      <c r="H250" s="300">
        <v>16.982949999999999</v>
      </c>
      <c r="I250" s="269">
        <f>Table2[[#This Row],[Equipment Downtime]]/7</f>
        <v>2.4261357142857141</v>
      </c>
      <c r="J250" s="252"/>
      <c r="K250" s="253"/>
    </row>
    <row r="251" spans="1:11" ht="22" customHeight="1" x14ac:dyDescent="0.45">
      <c r="A251" s="353">
        <v>46266</v>
      </c>
      <c r="B251" s="267" t="s">
        <v>22</v>
      </c>
      <c r="C251" s="298" t="s">
        <v>299</v>
      </c>
      <c r="D251" s="298" t="s">
        <v>296</v>
      </c>
      <c r="E251" s="267" t="s">
        <v>50</v>
      </c>
      <c r="F251" s="267" t="s">
        <v>127</v>
      </c>
      <c r="G251" s="267"/>
      <c r="H251" s="300">
        <v>5.0693000000000001</v>
      </c>
      <c r="I251" s="269">
        <f>Table2[[#This Row],[Equipment Downtime]]/7</f>
        <v>0.72418571428571432</v>
      </c>
      <c r="J251" s="252"/>
      <c r="K251" s="253"/>
    </row>
    <row r="252" spans="1:11" ht="22" customHeight="1" x14ac:dyDescent="0.45">
      <c r="A252" s="353">
        <v>46266</v>
      </c>
      <c r="B252" s="267" t="s">
        <v>22</v>
      </c>
      <c r="C252" s="298" t="s">
        <v>299</v>
      </c>
      <c r="D252" s="298" t="s">
        <v>297</v>
      </c>
      <c r="E252" s="267" t="s">
        <v>50</v>
      </c>
      <c r="F252" s="267" t="s">
        <v>127</v>
      </c>
      <c r="G252" s="267"/>
      <c r="H252" s="300">
        <v>5.6787000000000001</v>
      </c>
      <c r="I252" s="269">
        <f>Table2[[#This Row],[Equipment Downtime]]/7</f>
        <v>0.81124285714285715</v>
      </c>
      <c r="J252" s="252"/>
      <c r="K252" s="253"/>
    </row>
    <row r="253" spans="1:11" ht="22" customHeight="1" x14ac:dyDescent="0.45">
      <c r="A253" s="353">
        <v>46266</v>
      </c>
      <c r="B253" s="267" t="s">
        <v>22</v>
      </c>
      <c r="C253" s="298" t="s">
        <v>299</v>
      </c>
      <c r="D253" s="298" t="s">
        <v>300</v>
      </c>
      <c r="E253" s="267" t="s">
        <v>50</v>
      </c>
      <c r="F253" s="267" t="s">
        <v>127</v>
      </c>
      <c r="G253" s="267"/>
      <c r="H253" s="300">
        <v>11.530583333333301</v>
      </c>
      <c r="I253" s="269">
        <f>Table2[[#This Row],[Equipment Downtime]]/7</f>
        <v>1.6472261904761858</v>
      </c>
      <c r="J253" s="252"/>
      <c r="K253" s="253"/>
    </row>
    <row r="254" spans="1:11" ht="22" customHeight="1" x14ac:dyDescent="0.45">
      <c r="A254" s="353">
        <v>46266</v>
      </c>
      <c r="B254" s="267" t="s">
        <v>22</v>
      </c>
      <c r="C254" s="298" t="s">
        <v>301</v>
      </c>
      <c r="D254" s="298" t="s">
        <v>297</v>
      </c>
      <c r="E254" s="267" t="s">
        <v>50</v>
      </c>
      <c r="F254" s="267" t="s">
        <v>127</v>
      </c>
      <c r="G254" s="267"/>
      <c r="H254" s="300">
        <v>3.5737000000000001</v>
      </c>
      <c r="I254" s="269">
        <f>Table2[[#This Row],[Equipment Downtime]]/7</f>
        <v>0.51052857142857144</v>
      </c>
      <c r="J254" s="252"/>
      <c r="K254" s="253"/>
    </row>
    <row r="255" spans="1:11" ht="22" customHeight="1" x14ac:dyDescent="0.45">
      <c r="A255" s="353">
        <v>46266</v>
      </c>
      <c r="B255" s="267" t="s">
        <v>22</v>
      </c>
      <c r="C255" s="298" t="s">
        <v>301</v>
      </c>
      <c r="D255" s="298" t="s">
        <v>298</v>
      </c>
      <c r="E255" s="267" t="s">
        <v>50</v>
      </c>
      <c r="F255" s="267" t="s">
        <v>127</v>
      </c>
      <c r="G255" s="267"/>
      <c r="H255" s="300">
        <v>8.3748166666666695</v>
      </c>
      <c r="I255" s="269">
        <f>Table2[[#This Row],[Equipment Downtime]]/7</f>
        <v>1.1964023809523814</v>
      </c>
      <c r="J255" s="252"/>
      <c r="K255" s="253"/>
    </row>
    <row r="256" spans="1:11" ht="22" customHeight="1" x14ac:dyDescent="0.45">
      <c r="A256" s="353">
        <v>46266</v>
      </c>
      <c r="B256" s="267" t="s">
        <v>22</v>
      </c>
      <c r="C256" s="298" t="s">
        <v>301</v>
      </c>
      <c r="D256" s="298" t="s">
        <v>302</v>
      </c>
      <c r="E256" s="267" t="s">
        <v>50</v>
      </c>
      <c r="F256" s="267" t="s">
        <v>127</v>
      </c>
      <c r="G256" s="267"/>
      <c r="H256" s="300">
        <v>11.239599999999999</v>
      </c>
      <c r="I256" s="269">
        <f>Table2[[#This Row],[Equipment Downtime]]/7</f>
        <v>1.6056571428571427</v>
      </c>
      <c r="J256" s="252"/>
      <c r="K256" s="253"/>
    </row>
    <row r="257" spans="1:11" ht="22" customHeight="1" x14ac:dyDescent="0.45">
      <c r="A257" s="353">
        <v>46266</v>
      </c>
      <c r="B257" s="267" t="s">
        <v>22</v>
      </c>
      <c r="C257" s="298" t="s">
        <v>303</v>
      </c>
      <c r="D257" s="298" t="s">
        <v>296</v>
      </c>
      <c r="E257" s="267" t="s">
        <v>50</v>
      </c>
      <c r="F257" s="267" t="s">
        <v>127</v>
      </c>
      <c r="G257" s="267"/>
      <c r="H257" s="300">
        <v>24.414466666666701</v>
      </c>
      <c r="I257" s="269">
        <f>Table2[[#This Row],[Equipment Downtime]]/7</f>
        <v>3.4877809523809575</v>
      </c>
      <c r="J257" s="252"/>
      <c r="K257" s="253"/>
    </row>
    <row r="258" spans="1:11" ht="22" customHeight="1" x14ac:dyDescent="0.45">
      <c r="A258" s="353">
        <v>46266</v>
      </c>
      <c r="B258" s="267" t="s">
        <v>22</v>
      </c>
      <c r="C258" s="298" t="s">
        <v>303</v>
      </c>
      <c r="D258" s="298" t="s">
        <v>298</v>
      </c>
      <c r="E258" s="267" t="s">
        <v>50</v>
      </c>
      <c r="F258" s="267" t="s">
        <v>127</v>
      </c>
      <c r="G258" s="267"/>
      <c r="H258" s="300">
        <v>20.903300000000002</v>
      </c>
      <c r="I258" s="269">
        <f>Table2[[#This Row],[Equipment Downtime]]/7</f>
        <v>2.9861857142857144</v>
      </c>
      <c r="J258" s="252"/>
      <c r="K258" s="253"/>
    </row>
    <row r="259" spans="1:11" ht="22" customHeight="1" x14ac:dyDescent="0.45">
      <c r="A259" s="353">
        <v>46266</v>
      </c>
      <c r="B259" s="267" t="s">
        <v>22</v>
      </c>
      <c r="C259" s="298" t="s">
        <v>303</v>
      </c>
      <c r="D259" s="298" t="s">
        <v>302</v>
      </c>
      <c r="E259" s="267" t="s">
        <v>50</v>
      </c>
      <c r="F259" s="267" t="s">
        <v>127</v>
      </c>
      <c r="G259" s="267"/>
      <c r="H259" s="300">
        <v>14.622916666666701</v>
      </c>
      <c r="I259" s="269">
        <f>Table2[[#This Row],[Equipment Downtime]]/7</f>
        <v>2.0889880952381001</v>
      </c>
      <c r="J259" s="252"/>
      <c r="K259" s="253"/>
    </row>
    <row r="260" spans="1:11" ht="22" customHeight="1" x14ac:dyDescent="0.45">
      <c r="A260" s="353">
        <v>46266</v>
      </c>
      <c r="B260" s="267" t="s">
        <v>22</v>
      </c>
      <c r="C260" s="298" t="s">
        <v>305</v>
      </c>
      <c r="D260" s="298" t="s">
        <v>306</v>
      </c>
      <c r="E260" s="267" t="s">
        <v>50</v>
      </c>
      <c r="F260" s="267" t="s">
        <v>127</v>
      </c>
      <c r="G260" s="267"/>
      <c r="H260" s="300">
        <v>44.237383333333298</v>
      </c>
      <c r="I260" s="269">
        <f>Table2[[#This Row],[Equipment Downtime]]/7</f>
        <v>6.3196261904761855</v>
      </c>
      <c r="J260" s="252"/>
      <c r="K260" s="253"/>
    </row>
    <row r="261" spans="1:11" ht="22" customHeight="1" x14ac:dyDescent="0.45">
      <c r="A261" s="353">
        <v>46266</v>
      </c>
      <c r="B261" s="267" t="s">
        <v>22</v>
      </c>
      <c r="C261" s="298" t="s">
        <v>305</v>
      </c>
      <c r="D261" s="298" t="s">
        <v>307</v>
      </c>
      <c r="E261" s="267" t="s">
        <v>50</v>
      </c>
      <c r="F261" s="267" t="s">
        <v>127</v>
      </c>
      <c r="G261" s="267"/>
      <c r="H261" s="300">
        <v>98.124616666666697</v>
      </c>
      <c r="I261" s="269">
        <f>Table2[[#This Row],[Equipment Downtime]]/7</f>
        <v>14.017802380952386</v>
      </c>
      <c r="J261" s="252"/>
      <c r="K261" s="253"/>
    </row>
    <row r="262" spans="1:11" ht="22" customHeight="1" x14ac:dyDescent="0.45">
      <c r="A262" s="353">
        <v>46266</v>
      </c>
      <c r="B262" s="267" t="s">
        <v>22</v>
      </c>
      <c r="C262" s="298" t="s">
        <v>305</v>
      </c>
      <c r="D262" s="298" t="s">
        <v>308</v>
      </c>
      <c r="E262" s="267" t="s">
        <v>50</v>
      </c>
      <c r="F262" s="267" t="s">
        <v>127</v>
      </c>
      <c r="G262" s="267"/>
      <c r="H262" s="300">
        <v>47.983249999999998</v>
      </c>
      <c r="I262" s="269">
        <f>Table2[[#This Row],[Equipment Downtime]]/7</f>
        <v>6.8547500000000001</v>
      </c>
      <c r="J262" s="252"/>
      <c r="K262" s="253"/>
    </row>
    <row r="263" spans="1:11" ht="22" customHeight="1" x14ac:dyDescent="0.45">
      <c r="A263" s="353">
        <v>46266</v>
      </c>
      <c r="B263" s="267" t="s">
        <v>22</v>
      </c>
      <c r="C263" s="298" t="s">
        <v>309</v>
      </c>
      <c r="D263" s="298" t="s">
        <v>306</v>
      </c>
      <c r="E263" s="267" t="s">
        <v>50</v>
      </c>
      <c r="F263" s="267" t="s">
        <v>127</v>
      </c>
      <c r="G263" s="267"/>
      <c r="H263" s="300">
        <v>17.0673666666667</v>
      </c>
      <c r="I263" s="269">
        <f>Table2[[#This Row],[Equipment Downtime]]/7</f>
        <v>2.438195238095243</v>
      </c>
      <c r="J263" s="252"/>
      <c r="K263" s="253"/>
    </row>
    <row r="264" spans="1:11" ht="22" customHeight="1" x14ac:dyDescent="0.45">
      <c r="A264" s="353">
        <v>46266</v>
      </c>
      <c r="B264" s="267" t="s">
        <v>22</v>
      </c>
      <c r="C264" s="298" t="s">
        <v>309</v>
      </c>
      <c r="D264" s="298" t="s">
        <v>308</v>
      </c>
      <c r="E264" s="267" t="s">
        <v>50</v>
      </c>
      <c r="F264" s="267" t="s">
        <v>127</v>
      </c>
      <c r="G264" s="267"/>
      <c r="H264" s="300">
        <v>107.263083333333</v>
      </c>
      <c r="I264" s="269">
        <f>Table2[[#This Row],[Equipment Downtime]]/7</f>
        <v>15.323297619047571</v>
      </c>
      <c r="J264" s="252"/>
      <c r="K264" s="253"/>
    </row>
    <row r="265" spans="1:11" ht="22" customHeight="1" x14ac:dyDescent="0.45">
      <c r="A265" s="353">
        <v>46266</v>
      </c>
      <c r="B265" s="267" t="s">
        <v>22</v>
      </c>
      <c r="C265" s="298" t="s">
        <v>309</v>
      </c>
      <c r="D265" s="298" t="s">
        <v>320</v>
      </c>
      <c r="E265" s="267" t="s">
        <v>50</v>
      </c>
      <c r="F265" s="267" t="s">
        <v>127</v>
      </c>
      <c r="G265" s="267"/>
      <c r="H265" s="300">
        <v>9.5710999999999995</v>
      </c>
      <c r="I265" s="269">
        <f>Table2[[#This Row],[Equipment Downtime]]/7</f>
        <v>1.3673</v>
      </c>
      <c r="J265" s="252"/>
      <c r="K265" s="253"/>
    </row>
    <row r="266" spans="1:11" ht="22" customHeight="1" x14ac:dyDescent="0.45">
      <c r="A266" s="353">
        <v>46266</v>
      </c>
      <c r="B266" s="267" t="s">
        <v>33</v>
      </c>
      <c r="C266" s="298" t="s">
        <v>310</v>
      </c>
      <c r="D266" s="298" t="s">
        <v>126</v>
      </c>
      <c r="E266" s="267" t="s">
        <v>50</v>
      </c>
      <c r="F266" s="267" t="s">
        <v>127</v>
      </c>
      <c r="G266" s="267"/>
      <c r="H266" s="300">
        <v>12.6012</v>
      </c>
      <c r="I266" s="269">
        <f>Table2[[#This Row],[Equipment Downtime]]/7</f>
        <v>1.8001714285714285</v>
      </c>
      <c r="J266" s="252"/>
      <c r="K266" s="253"/>
    </row>
    <row r="267" spans="1:11" ht="22" customHeight="1" x14ac:dyDescent="0.45">
      <c r="A267" s="353">
        <v>46266</v>
      </c>
      <c r="B267" s="267" t="s">
        <v>33</v>
      </c>
      <c r="C267" s="298" t="s">
        <v>310</v>
      </c>
      <c r="D267" s="298" t="s">
        <v>312</v>
      </c>
      <c r="E267" s="267" t="s">
        <v>50</v>
      </c>
      <c r="F267" s="267" t="s">
        <v>127</v>
      </c>
      <c r="G267" s="267"/>
      <c r="H267" s="300">
        <v>10.888199999999999</v>
      </c>
      <c r="I267" s="269">
        <f>Table2[[#This Row],[Equipment Downtime]]/7</f>
        <v>1.5554571428571429</v>
      </c>
      <c r="J267" s="252"/>
      <c r="K267" s="253"/>
    </row>
    <row r="268" spans="1:11" ht="22" customHeight="1" x14ac:dyDescent="0.45">
      <c r="A268" s="353">
        <v>46266</v>
      </c>
      <c r="B268" s="267" t="s">
        <v>33</v>
      </c>
      <c r="C268" s="298" t="s">
        <v>310</v>
      </c>
      <c r="D268" s="298" t="s">
        <v>321</v>
      </c>
      <c r="E268" s="267" t="s">
        <v>50</v>
      </c>
      <c r="F268" s="267" t="s">
        <v>127</v>
      </c>
      <c r="G268" s="267"/>
      <c r="H268" s="300">
        <v>3.29613333333333</v>
      </c>
      <c r="I268" s="269">
        <f>Table2[[#This Row],[Equipment Downtime]]/7</f>
        <v>0.47087619047619</v>
      </c>
      <c r="J268" s="252"/>
      <c r="K268" s="253"/>
    </row>
    <row r="269" spans="1:11" ht="22" customHeight="1" x14ac:dyDescent="0.45">
      <c r="A269" s="353">
        <v>46266</v>
      </c>
      <c r="B269" s="267" t="s">
        <v>33</v>
      </c>
      <c r="C269" s="298" t="s">
        <v>313</v>
      </c>
      <c r="D269" s="298" t="s">
        <v>126</v>
      </c>
      <c r="E269" s="267" t="s">
        <v>50</v>
      </c>
      <c r="F269" s="267" t="s">
        <v>127</v>
      </c>
      <c r="G269" s="267"/>
      <c r="H269" s="300">
        <v>6.3807499999999999</v>
      </c>
      <c r="I269" s="269">
        <f>Table2[[#This Row],[Equipment Downtime]]/7</f>
        <v>0.91153571428571423</v>
      </c>
      <c r="J269" s="252"/>
      <c r="K269" s="253"/>
    </row>
    <row r="270" spans="1:11" ht="22" customHeight="1" x14ac:dyDescent="0.45">
      <c r="A270" s="353">
        <v>46266</v>
      </c>
      <c r="B270" s="267" t="s">
        <v>33</v>
      </c>
      <c r="C270" s="298" t="s">
        <v>313</v>
      </c>
      <c r="D270" s="298" t="s">
        <v>311</v>
      </c>
      <c r="E270" s="267" t="s">
        <v>50</v>
      </c>
      <c r="F270" s="267" t="s">
        <v>127</v>
      </c>
      <c r="G270" s="267"/>
      <c r="H270" s="300">
        <v>16.853633333333299</v>
      </c>
      <c r="I270" s="269">
        <f>Table2[[#This Row],[Equipment Downtime]]/7</f>
        <v>2.4076619047618997</v>
      </c>
      <c r="J270" s="252"/>
      <c r="K270" s="253"/>
    </row>
    <row r="271" spans="1:11" ht="22" customHeight="1" x14ac:dyDescent="0.45">
      <c r="A271" s="353">
        <v>46266</v>
      </c>
      <c r="B271" s="267" t="s">
        <v>33</v>
      </c>
      <c r="C271" s="298" t="s">
        <v>313</v>
      </c>
      <c r="D271" s="298" t="s">
        <v>322</v>
      </c>
      <c r="E271" s="267" t="s">
        <v>50</v>
      </c>
      <c r="F271" s="267" t="s">
        <v>127</v>
      </c>
      <c r="G271" s="267"/>
      <c r="H271" s="300">
        <v>1.38126666666667</v>
      </c>
      <c r="I271" s="269">
        <f>Table2[[#This Row],[Equipment Downtime]]/7</f>
        <v>0.19732380952380998</v>
      </c>
      <c r="J271" s="252"/>
      <c r="K271" s="253"/>
    </row>
    <row r="272" spans="1:11" ht="22" customHeight="1" x14ac:dyDescent="0.45">
      <c r="A272" s="353">
        <v>46266</v>
      </c>
      <c r="B272" s="267" t="s">
        <v>33</v>
      </c>
      <c r="C272" s="298" t="s">
        <v>314</v>
      </c>
      <c r="D272" s="298" t="s">
        <v>126</v>
      </c>
      <c r="E272" s="267" t="s">
        <v>50</v>
      </c>
      <c r="F272" s="267" t="s">
        <v>127</v>
      </c>
      <c r="G272" s="267"/>
      <c r="H272" s="300">
        <v>9.2937833333333302</v>
      </c>
      <c r="I272" s="269">
        <f>Table2[[#This Row],[Equipment Downtime]]/7</f>
        <v>1.3276833333333329</v>
      </c>
      <c r="J272" s="252"/>
      <c r="K272" s="253"/>
    </row>
    <row r="273" spans="1:13" ht="22" customHeight="1" x14ac:dyDescent="0.45">
      <c r="A273" s="353">
        <v>46266</v>
      </c>
      <c r="B273" s="267" t="s">
        <v>33</v>
      </c>
      <c r="C273" s="298" t="s">
        <v>314</v>
      </c>
      <c r="D273" s="298" t="s">
        <v>316</v>
      </c>
      <c r="E273" s="267" t="s">
        <v>50</v>
      </c>
      <c r="F273" s="267" t="s">
        <v>127</v>
      </c>
      <c r="G273" s="267"/>
      <c r="H273" s="300">
        <v>3.5085500000000001</v>
      </c>
      <c r="I273" s="269">
        <f>Table2[[#This Row],[Equipment Downtime]]/7</f>
        <v>0.5012214285714286</v>
      </c>
      <c r="J273" s="252"/>
      <c r="K273" s="253"/>
    </row>
    <row r="274" spans="1:13" ht="22" customHeight="1" x14ac:dyDescent="0.45">
      <c r="A274" s="353">
        <v>46266</v>
      </c>
      <c r="B274" s="267" t="s">
        <v>33</v>
      </c>
      <c r="C274" s="298" t="s">
        <v>314</v>
      </c>
      <c r="D274" s="298" t="s">
        <v>321</v>
      </c>
      <c r="E274" s="267" t="s">
        <v>50</v>
      </c>
      <c r="F274" s="267" t="s">
        <v>127</v>
      </c>
      <c r="G274" s="267"/>
      <c r="H274" s="300">
        <v>0.895183333333333</v>
      </c>
      <c r="I274" s="269">
        <f>Table2[[#This Row],[Equipment Downtime]]/7</f>
        <v>0.12788333333333329</v>
      </c>
      <c r="J274" s="252"/>
      <c r="K274" s="253"/>
    </row>
    <row r="275" spans="1:13" ht="22" customHeight="1" x14ac:dyDescent="0.45">
      <c r="A275" s="353">
        <v>46266</v>
      </c>
      <c r="B275" s="267" t="s">
        <v>33</v>
      </c>
      <c r="C275" s="298" t="s">
        <v>317</v>
      </c>
      <c r="D275" s="298" t="s">
        <v>323</v>
      </c>
      <c r="E275" s="267" t="s">
        <v>50</v>
      </c>
      <c r="F275" s="267" t="s">
        <v>127</v>
      </c>
      <c r="G275" s="267"/>
      <c r="H275" s="300">
        <v>1.39178333333333</v>
      </c>
      <c r="I275" s="269">
        <f>Table2[[#This Row],[Equipment Downtime]]/7</f>
        <v>0.19882619047619002</v>
      </c>
      <c r="J275" s="252"/>
      <c r="K275" s="253"/>
    </row>
    <row r="276" spans="1:13" ht="22" customHeight="1" x14ac:dyDescent="0.45">
      <c r="A276" s="353">
        <v>46267</v>
      </c>
      <c r="B276" s="267" t="s">
        <v>40</v>
      </c>
      <c r="C276" s="267" t="s">
        <v>41</v>
      </c>
      <c r="D276" s="267" t="s">
        <v>324</v>
      </c>
      <c r="E276" s="267" t="s">
        <v>50</v>
      </c>
      <c r="F276" s="267" t="s">
        <v>53</v>
      </c>
      <c r="G276" s="267"/>
      <c r="H276" s="267">
        <v>95</v>
      </c>
      <c r="I276" s="267">
        <v>95</v>
      </c>
      <c r="J276" s="267" t="s">
        <v>325</v>
      </c>
      <c r="K276" s="295"/>
      <c r="L276" s="296"/>
      <c r="M276" s="268"/>
    </row>
    <row r="277" spans="1:13" ht="22" customHeight="1" x14ac:dyDescent="0.45">
      <c r="A277" s="353">
        <v>46267</v>
      </c>
      <c r="B277" s="267" t="s">
        <v>22</v>
      </c>
      <c r="C277" s="267" t="s">
        <v>23</v>
      </c>
      <c r="D277" s="267" t="s">
        <v>326</v>
      </c>
      <c r="E277" s="267" t="s">
        <v>50</v>
      </c>
      <c r="F277" s="267" t="s">
        <v>52</v>
      </c>
      <c r="G277" s="267"/>
      <c r="H277" s="267">
        <v>65</v>
      </c>
      <c r="I277" s="269">
        <f>65/7</f>
        <v>9.2857142857142865</v>
      </c>
      <c r="J277" s="267"/>
      <c r="K277" s="302"/>
      <c r="L277" s="267"/>
    </row>
    <row r="278" spans="1:13" ht="22" customHeight="1" x14ac:dyDescent="0.45">
      <c r="A278" s="353">
        <v>46267</v>
      </c>
      <c r="B278" s="267" t="s">
        <v>33</v>
      </c>
      <c r="C278" s="267" t="s">
        <v>200</v>
      </c>
      <c r="D278" s="267" t="s">
        <v>327</v>
      </c>
      <c r="E278" s="267" t="s">
        <v>50</v>
      </c>
      <c r="F278" s="267" t="s">
        <v>52</v>
      </c>
      <c r="G278" s="267"/>
      <c r="H278" s="267">
        <v>70</v>
      </c>
      <c r="I278" s="269">
        <f>70/4</f>
        <v>17.5</v>
      </c>
      <c r="J278" s="252"/>
      <c r="K278" s="253"/>
    </row>
    <row r="279" spans="1:13" ht="22" customHeight="1" x14ac:dyDescent="0.45">
      <c r="A279" s="353">
        <v>46267</v>
      </c>
      <c r="B279" s="267" t="s">
        <v>33</v>
      </c>
      <c r="C279" s="267" t="s">
        <v>135</v>
      </c>
      <c r="D279" s="267" t="s">
        <v>328</v>
      </c>
      <c r="E279" s="267" t="s">
        <v>50</v>
      </c>
      <c r="F279" s="267" t="s">
        <v>52</v>
      </c>
      <c r="G279" s="267"/>
      <c r="H279" s="267">
        <v>40</v>
      </c>
      <c r="I279" s="269">
        <v>10</v>
      </c>
      <c r="J279" s="252"/>
      <c r="K279" s="253"/>
    </row>
    <row r="280" spans="1:13" ht="22" customHeight="1" x14ac:dyDescent="0.45">
      <c r="A280" s="353">
        <v>46267</v>
      </c>
      <c r="B280" s="267" t="s">
        <v>33</v>
      </c>
      <c r="C280" s="267" t="s">
        <v>200</v>
      </c>
      <c r="D280" s="267" t="s">
        <v>329</v>
      </c>
      <c r="E280" s="267" t="s">
        <v>50</v>
      </c>
      <c r="F280" s="267" t="s">
        <v>52</v>
      </c>
      <c r="G280" s="267"/>
      <c r="H280" s="267">
        <v>30</v>
      </c>
      <c r="I280" s="269">
        <v>10</v>
      </c>
      <c r="J280" s="252"/>
      <c r="K280" s="253"/>
    </row>
    <row r="281" spans="1:13" ht="22" customHeight="1" x14ac:dyDescent="0.45">
      <c r="A281" s="353">
        <v>46267</v>
      </c>
      <c r="B281" s="267" t="s">
        <v>33</v>
      </c>
      <c r="C281" s="267" t="s">
        <v>200</v>
      </c>
      <c r="D281" s="267" t="s">
        <v>327</v>
      </c>
      <c r="E281" s="267" t="s">
        <v>50</v>
      </c>
      <c r="F281" s="267" t="s">
        <v>53</v>
      </c>
      <c r="G281" s="267"/>
      <c r="H281" s="267">
        <v>230</v>
      </c>
      <c r="I281" s="269">
        <v>60</v>
      </c>
      <c r="J281" s="267" t="s">
        <v>330</v>
      </c>
      <c r="K281" s="253"/>
    </row>
    <row r="282" spans="1:13" ht="22" customHeight="1" x14ac:dyDescent="0.45">
      <c r="A282" s="353">
        <v>46267</v>
      </c>
      <c r="B282" s="267" t="s">
        <v>33</v>
      </c>
      <c r="C282" s="267" t="s">
        <v>310</v>
      </c>
      <c r="D282" s="267" t="s">
        <v>328</v>
      </c>
      <c r="E282" s="267" t="s">
        <v>50</v>
      </c>
      <c r="F282" s="267" t="s">
        <v>53</v>
      </c>
      <c r="G282" s="267"/>
      <c r="H282" s="267">
        <v>60</v>
      </c>
      <c r="I282" s="269">
        <v>15</v>
      </c>
      <c r="J282" s="267" t="s">
        <v>331</v>
      </c>
      <c r="K282" s="253"/>
    </row>
    <row r="283" spans="1:13" ht="22" customHeight="1" x14ac:dyDescent="0.45">
      <c r="A283" s="353">
        <v>46267</v>
      </c>
      <c r="B283" s="267" t="s">
        <v>22</v>
      </c>
      <c r="C283" s="267" t="s">
        <v>295</v>
      </c>
      <c r="D283" s="267" t="s">
        <v>296</v>
      </c>
      <c r="E283" s="267" t="s">
        <v>50</v>
      </c>
      <c r="F283" s="267" t="s">
        <v>127</v>
      </c>
      <c r="G283" s="267"/>
      <c r="H283" s="269">
        <v>18.767616666666701</v>
      </c>
      <c r="I283" s="269">
        <f>Table2[[#This Row],[Equipment Downtime]]/7</f>
        <v>2.6810880952381</v>
      </c>
      <c r="J283" s="252"/>
      <c r="K283" s="253"/>
    </row>
    <row r="284" spans="1:13" ht="22" customHeight="1" x14ac:dyDescent="0.45">
      <c r="A284" s="353">
        <v>46267</v>
      </c>
      <c r="B284" s="267" t="s">
        <v>22</v>
      </c>
      <c r="C284" s="267" t="s">
        <v>295</v>
      </c>
      <c r="D284" s="267" t="s">
        <v>297</v>
      </c>
      <c r="E284" s="267" t="s">
        <v>50</v>
      </c>
      <c r="F284" s="267" t="s">
        <v>127</v>
      </c>
      <c r="G284" s="267"/>
      <c r="H284" s="269">
        <v>51.2853833333333</v>
      </c>
      <c r="I284" s="269">
        <f>Table2[[#This Row],[Equipment Downtime]]/7</f>
        <v>7.3264833333333286</v>
      </c>
      <c r="J284" s="252"/>
      <c r="K284" s="253"/>
    </row>
    <row r="285" spans="1:13" ht="22" customHeight="1" x14ac:dyDescent="0.45">
      <c r="A285" s="353">
        <v>46267</v>
      </c>
      <c r="B285" s="267" t="s">
        <v>22</v>
      </c>
      <c r="C285" s="267" t="s">
        <v>295</v>
      </c>
      <c r="D285" s="267" t="s">
        <v>332</v>
      </c>
      <c r="E285" s="267" t="s">
        <v>50</v>
      </c>
      <c r="F285" s="267" t="s">
        <v>127</v>
      </c>
      <c r="G285" s="267"/>
      <c r="H285" s="269">
        <v>10.179066666666699</v>
      </c>
      <c r="I285" s="269">
        <f>Table2[[#This Row],[Equipment Downtime]]/7</f>
        <v>1.4541523809523855</v>
      </c>
      <c r="J285" s="252"/>
      <c r="K285" s="253"/>
    </row>
    <row r="286" spans="1:13" ht="22" customHeight="1" x14ac:dyDescent="0.45">
      <c r="A286" s="353">
        <v>46267</v>
      </c>
      <c r="B286" s="267" t="s">
        <v>22</v>
      </c>
      <c r="C286" s="267" t="s">
        <v>299</v>
      </c>
      <c r="D286" s="267" t="s">
        <v>296</v>
      </c>
      <c r="E286" s="267" t="s">
        <v>50</v>
      </c>
      <c r="F286" s="267" t="s">
        <v>127</v>
      </c>
      <c r="G286" s="267"/>
      <c r="H286" s="269">
        <v>8.8087666666666706</v>
      </c>
      <c r="I286" s="269">
        <f>Table2[[#This Row],[Equipment Downtime]]/7</f>
        <v>1.2583952380952386</v>
      </c>
      <c r="J286" s="252"/>
      <c r="K286" s="253"/>
    </row>
    <row r="287" spans="1:13" ht="22" customHeight="1" x14ac:dyDescent="0.45">
      <c r="A287" s="353">
        <v>46267</v>
      </c>
      <c r="B287" s="267" t="s">
        <v>22</v>
      </c>
      <c r="C287" s="267" t="s">
        <v>299</v>
      </c>
      <c r="D287" s="267" t="s">
        <v>297</v>
      </c>
      <c r="E287" s="267" t="s">
        <v>50</v>
      </c>
      <c r="F287" s="267" t="s">
        <v>127</v>
      </c>
      <c r="G287" s="267"/>
      <c r="H287" s="269">
        <v>5.0141166666666699</v>
      </c>
      <c r="I287" s="269">
        <f>Table2[[#This Row],[Equipment Downtime]]/7</f>
        <v>0.71630238095238141</v>
      </c>
      <c r="J287" s="252"/>
      <c r="K287" s="253"/>
    </row>
    <row r="288" spans="1:13" ht="22" customHeight="1" x14ac:dyDescent="0.45">
      <c r="A288" s="353">
        <v>46267</v>
      </c>
      <c r="B288" s="267" t="s">
        <v>22</v>
      </c>
      <c r="C288" s="267" t="s">
        <v>299</v>
      </c>
      <c r="D288" s="267" t="s">
        <v>300</v>
      </c>
      <c r="E288" s="267" t="s">
        <v>50</v>
      </c>
      <c r="F288" s="267" t="s">
        <v>127</v>
      </c>
      <c r="G288" s="267"/>
      <c r="H288" s="269">
        <v>5.4545500000000002</v>
      </c>
      <c r="I288" s="269">
        <f>Table2[[#This Row],[Equipment Downtime]]/7</f>
        <v>0.77922142857142862</v>
      </c>
      <c r="J288" s="252"/>
      <c r="K288" s="253"/>
    </row>
    <row r="289" spans="1:11" ht="22" customHeight="1" x14ac:dyDescent="0.45">
      <c r="A289" s="353">
        <v>46267</v>
      </c>
      <c r="B289" s="267" t="s">
        <v>22</v>
      </c>
      <c r="C289" s="267" t="s">
        <v>301</v>
      </c>
      <c r="D289" s="267" t="s">
        <v>296</v>
      </c>
      <c r="E289" s="267" t="s">
        <v>50</v>
      </c>
      <c r="F289" s="267" t="s">
        <v>127</v>
      </c>
      <c r="G289" s="267"/>
      <c r="H289" s="269">
        <v>6.5170500000000002</v>
      </c>
      <c r="I289" s="269">
        <f>Table2[[#This Row],[Equipment Downtime]]/7</f>
        <v>0.93100714285714292</v>
      </c>
      <c r="J289" s="252"/>
      <c r="K289" s="253"/>
    </row>
    <row r="290" spans="1:11" ht="22" customHeight="1" x14ac:dyDescent="0.45">
      <c r="A290" s="353">
        <v>46267</v>
      </c>
      <c r="B290" s="267" t="s">
        <v>22</v>
      </c>
      <c r="C290" s="267" t="s">
        <v>301</v>
      </c>
      <c r="D290" s="267" t="s">
        <v>297</v>
      </c>
      <c r="E290" s="267" t="s">
        <v>50</v>
      </c>
      <c r="F290" s="267" t="s">
        <v>127</v>
      </c>
      <c r="G290" s="267"/>
      <c r="H290" s="269">
        <v>8.7856333333333296</v>
      </c>
      <c r="I290" s="269">
        <f>Table2[[#This Row],[Equipment Downtime]]/7</f>
        <v>1.2550904761904758</v>
      </c>
      <c r="J290" s="252"/>
      <c r="K290" s="253"/>
    </row>
    <row r="291" spans="1:11" ht="22" customHeight="1" x14ac:dyDescent="0.45">
      <c r="A291" s="353">
        <v>46267</v>
      </c>
      <c r="B291" s="267" t="s">
        <v>22</v>
      </c>
      <c r="C291" s="267" t="s">
        <v>301</v>
      </c>
      <c r="D291" s="267" t="s">
        <v>302</v>
      </c>
      <c r="E291" s="267" t="s">
        <v>50</v>
      </c>
      <c r="F291" s="267" t="s">
        <v>127</v>
      </c>
      <c r="G291" s="267"/>
      <c r="H291" s="269">
        <v>9.1338833333333298</v>
      </c>
      <c r="I291" s="269">
        <f>Table2[[#This Row],[Equipment Downtime]]/7</f>
        <v>1.3048404761904757</v>
      </c>
      <c r="J291" s="252"/>
      <c r="K291" s="253"/>
    </row>
    <row r="292" spans="1:11" ht="22" customHeight="1" x14ac:dyDescent="0.45">
      <c r="A292" s="353">
        <v>46267</v>
      </c>
      <c r="B292" s="267" t="s">
        <v>22</v>
      </c>
      <c r="C292" s="267" t="s">
        <v>303</v>
      </c>
      <c r="D292" s="267" t="s">
        <v>296</v>
      </c>
      <c r="E292" s="267" t="s">
        <v>50</v>
      </c>
      <c r="F292" s="267" t="s">
        <v>127</v>
      </c>
      <c r="G292" s="267"/>
      <c r="H292" s="269">
        <v>37.185699999999997</v>
      </c>
      <c r="I292" s="269">
        <f>Table2[[#This Row],[Equipment Downtime]]/7</f>
        <v>5.3122428571428566</v>
      </c>
      <c r="J292" s="252"/>
      <c r="K292" s="253"/>
    </row>
    <row r="293" spans="1:11" ht="22" customHeight="1" x14ac:dyDescent="0.45">
      <c r="A293" s="353">
        <v>46267</v>
      </c>
      <c r="B293" s="267" t="s">
        <v>22</v>
      </c>
      <c r="C293" s="267" t="s">
        <v>303</v>
      </c>
      <c r="D293" s="267" t="s">
        <v>298</v>
      </c>
      <c r="E293" s="267" t="s">
        <v>50</v>
      </c>
      <c r="F293" s="267" t="s">
        <v>127</v>
      </c>
      <c r="G293" s="267"/>
      <c r="H293" s="269">
        <v>25.6168333333333</v>
      </c>
      <c r="I293" s="269">
        <f>Table2[[#This Row],[Equipment Downtime]]/7</f>
        <v>3.6595476190476144</v>
      </c>
      <c r="J293" s="252"/>
      <c r="K293" s="253"/>
    </row>
    <row r="294" spans="1:11" ht="22" customHeight="1" x14ac:dyDescent="0.45">
      <c r="A294" s="353">
        <v>46267</v>
      </c>
      <c r="B294" s="267" t="s">
        <v>22</v>
      </c>
      <c r="C294" s="267" t="s">
        <v>303</v>
      </c>
      <c r="D294" s="267" t="s">
        <v>302</v>
      </c>
      <c r="E294" s="267" t="s">
        <v>50</v>
      </c>
      <c r="F294" s="267" t="s">
        <v>127</v>
      </c>
      <c r="G294" s="267"/>
      <c r="H294" s="269">
        <v>16.346150000000002</v>
      </c>
      <c r="I294" s="269">
        <f>Table2[[#This Row],[Equipment Downtime]]/7</f>
        <v>2.3351642857142858</v>
      </c>
      <c r="J294" s="252"/>
      <c r="K294" s="253"/>
    </row>
    <row r="295" spans="1:11" ht="22" customHeight="1" x14ac:dyDescent="0.45">
      <c r="A295" s="353">
        <v>46267</v>
      </c>
      <c r="B295" s="267" t="s">
        <v>22</v>
      </c>
      <c r="C295" s="267" t="s">
        <v>305</v>
      </c>
      <c r="D295" s="267" t="s">
        <v>306</v>
      </c>
      <c r="E295" s="267" t="s">
        <v>50</v>
      </c>
      <c r="F295" s="267" t="s">
        <v>127</v>
      </c>
      <c r="G295" s="267"/>
      <c r="H295" s="269">
        <v>37.112349999999999</v>
      </c>
      <c r="I295" s="269">
        <f>Table2[[#This Row],[Equipment Downtime]]/7</f>
        <v>5.3017642857142855</v>
      </c>
      <c r="J295" s="252"/>
      <c r="K295" s="253"/>
    </row>
    <row r="296" spans="1:11" ht="22" customHeight="1" x14ac:dyDescent="0.45">
      <c r="A296" s="353">
        <v>46267</v>
      </c>
      <c r="B296" s="267" t="s">
        <v>22</v>
      </c>
      <c r="C296" s="267" t="s">
        <v>305</v>
      </c>
      <c r="D296" s="267" t="s">
        <v>307</v>
      </c>
      <c r="E296" s="267" t="s">
        <v>50</v>
      </c>
      <c r="F296" s="267" t="s">
        <v>127</v>
      </c>
      <c r="G296" s="267"/>
      <c r="H296" s="269">
        <v>79.238066666666697</v>
      </c>
      <c r="I296" s="269">
        <f>Table2[[#This Row],[Equipment Downtime]]/7</f>
        <v>11.319723809523813</v>
      </c>
      <c r="J296" s="252"/>
      <c r="K296" s="253"/>
    </row>
    <row r="297" spans="1:11" ht="22" customHeight="1" x14ac:dyDescent="0.45">
      <c r="A297" s="353">
        <v>46267</v>
      </c>
      <c r="B297" s="267" t="s">
        <v>22</v>
      </c>
      <c r="C297" s="267" t="s">
        <v>305</v>
      </c>
      <c r="D297" s="267" t="s">
        <v>308</v>
      </c>
      <c r="E297" s="267" t="s">
        <v>50</v>
      </c>
      <c r="F297" s="267" t="s">
        <v>127</v>
      </c>
      <c r="G297" s="267"/>
      <c r="H297" s="269">
        <v>69.809383333333301</v>
      </c>
      <c r="I297" s="269">
        <f>Table2[[#This Row],[Equipment Downtime]]/7</f>
        <v>9.9727690476190425</v>
      </c>
      <c r="J297" s="252"/>
      <c r="K297" s="253"/>
    </row>
    <row r="298" spans="1:11" ht="22" customHeight="1" x14ac:dyDescent="0.45">
      <c r="A298" s="353">
        <v>46267</v>
      </c>
      <c r="B298" s="267" t="s">
        <v>22</v>
      </c>
      <c r="C298" s="267" t="s">
        <v>309</v>
      </c>
      <c r="D298" s="267" t="s">
        <v>306</v>
      </c>
      <c r="E298" s="267" t="s">
        <v>50</v>
      </c>
      <c r="F298" s="267" t="s">
        <v>127</v>
      </c>
      <c r="G298" s="267"/>
      <c r="H298" s="269">
        <v>40.080199999999998</v>
      </c>
      <c r="I298" s="269">
        <f>Table2[[#This Row],[Equipment Downtime]]/7</f>
        <v>5.7257428571428566</v>
      </c>
      <c r="J298" s="252"/>
      <c r="K298" s="253"/>
    </row>
    <row r="299" spans="1:11" ht="22" customHeight="1" x14ac:dyDescent="0.45">
      <c r="A299" s="353">
        <v>46267</v>
      </c>
      <c r="B299" s="267" t="s">
        <v>22</v>
      </c>
      <c r="C299" s="267" t="s">
        <v>309</v>
      </c>
      <c r="D299" s="267" t="s">
        <v>307</v>
      </c>
      <c r="E299" s="267" t="s">
        <v>50</v>
      </c>
      <c r="F299" s="267" t="s">
        <v>127</v>
      </c>
      <c r="G299" s="267"/>
      <c r="H299" s="269">
        <v>27.9738166666667</v>
      </c>
      <c r="I299" s="269">
        <f>Table2[[#This Row],[Equipment Downtime]]/7</f>
        <v>3.9962595238095284</v>
      </c>
      <c r="J299" s="252"/>
      <c r="K299" s="253"/>
    </row>
    <row r="300" spans="1:11" ht="22" customHeight="1" x14ac:dyDescent="0.45">
      <c r="A300" s="353">
        <v>46267</v>
      </c>
      <c r="B300" s="267" t="s">
        <v>22</v>
      </c>
      <c r="C300" s="267" t="s">
        <v>309</v>
      </c>
      <c r="D300" s="267" t="s">
        <v>308</v>
      </c>
      <c r="E300" s="267" t="s">
        <v>50</v>
      </c>
      <c r="F300" s="267" t="s">
        <v>127</v>
      </c>
      <c r="G300" s="267"/>
      <c r="H300" s="269">
        <v>61.057499999999997</v>
      </c>
      <c r="I300" s="269">
        <f>Table2[[#This Row],[Equipment Downtime]]/7</f>
        <v>8.7225000000000001</v>
      </c>
      <c r="J300" s="252"/>
      <c r="K300" s="253"/>
    </row>
    <row r="301" spans="1:11" ht="22" customHeight="1" x14ac:dyDescent="0.45">
      <c r="A301" s="353">
        <v>46267</v>
      </c>
      <c r="B301" s="267" t="s">
        <v>33</v>
      </c>
      <c r="C301" s="267" t="s">
        <v>310</v>
      </c>
      <c r="D301" s="267" t="s">
        <v>126</v>
      </c>
      <c r="E301" s="267" t="s">
        <v>50</v>
      </c>
      <c r="F301" s="267" t="s">
        <v>127</v>
      </c>
      <c r="G301" s="267"/>
      <c r="H301" s="269">
        <v>13.831049999999999</v>
      </c>
      <c r="I301" s="269">
        <f>Table2[[#This Row],[Equipment Downtime]]/7</f>
        <v>1.9758642857142856</v>
      </c>
      <c r="J301" s="252"/>
      <c r="K301" s="253"/>
    </row>
    <row r="302" spans="1:11" ht="22" customHeight="1" x14ac:dyDescent="0.45">
      <c r="A302" s="353">
        <v>46267</v>
      </c>
      <c r="B302" s="267" t="s">
        <v>33</v>
      </c>
      <c r="C302" s="267" t="s">
        <v>310</v>
      </c>
      <c r="D302" s="267" t="s">
        <v>321</v>
      </c>
      <c r="E302" s="267" t="s">
        <v>50</v>
      </c>
      <c r="F302" s="267" t="s">
        <v>127</v>
      </c>
      <c r="G302" s="267"/>
      <c r="H302" s="269">
        <v>6.1267333333333296</v>
      </c>
      <c r="I302" s="269">
        <f>Table2[[#This Row],[Equipment Downtime]]/7</f>
        <v>0.8752476190476185</v>
      </c>
      <c r="J302" s="252"/>
      <c r="K302" s="253"/>
    </row>
    <row r="303" spans="1:11" ht="22" customHeight="1" x14ac:dyDescent="0.45">
      <c r="A303" s="353">
        <v>46267</v>
      </c>
      <c r="B303" s="267" t="s">
        <v>33</v>
      </c>
      <c r="C303" s="267" t="s">
        <v>310</v>
      </c>
      <c r="D303" s="267" t="s">
        <v>333</v>
      </c>
      <c r="E303" s="267" t="s">
        <v>50</v>
      </c>
      <c r="F303" s="267" t="s">
        <v>127</v>
      </c>
      <c r="G303" s="267"/>
      <c r="H303" s="269">
        <v>3.2106499999999998</v>
      </c>
      <c r="I303" s="269">
        <f>Table2[[#This Row],[Equipment Downtime]]/7</f>
        <v>0.45866428571428569</v>
      </c>
      <c r="J303" s="252"/>
      <c r="K303" s="253"/>
    </row>
    <row r="304" spans="1:11" ht="22" customHeight="1" x14ac:dyDescent="0.45">
      <c r="A304" s="353">
        <v>46267</v>
      </c>
      <c r="B304" s="267" t="s">
        <v>33</v>
      </c>
      <c r="C304" s="267" t="s">
        <v>313</v>
      </c>
      <c r="D304" s="267" t="s">
        <v>126</v>
      </c>
      <c r="E304" s="267" t="s">
        <v>50</v>
      </c>
      <c r="F304" s="267" t="s">
        <v>127</v>
      </c>
      <c r="G304" s="267"/>
      <c r="H304" s="269">
        <v>24.3000333333333</v>
      </c>
      <c r="I304" s="269">
        <f>Table2[[#This Row],[Equipment Downtime]]/7</f>
        <v>3.4714333333333287</v>
      </c>
      <c r="J304" s="252"/>
      <c r="K304" s="253"/>
    </row>
    <row r="305" spans="1:11" ht="22" customHeight="1" x14ac:dyDescent="0.45">
      <c r="A305" s="353">
        <v>46267</v>
      </c>
      <c r="B305" s="267" t="s">
        <v>33</v>
      </c>
      <c r="C305" s="267" t="s">
        <v>313</v>
      </c>
      <c r="D305" s="267" t="s">
        <v>311</v>
      </c>
      <c r="E305" s="267" t="s">
        <v>50</v>
      </c>
      <c r="F305" s="267" t="s">
        <v>127</v>
      </c>
      <c r="G305" s="267"/>
      <c r="H305" s="269">
        <v>1.8768166666666699</v>
      </c>
      <c r="I305" s="269">
        <f>Table2[[#This Row],[Equipment Downtime]]/7</f>
        <v>0.26811666666666711</v>
      </c>
      <c r="J305" s="252"/>
      <c r="K305" s="253"/>
    </row>
    <row r="306" spans="1:11" ht="22" customHeight="1" x14ac:dyDescent="0.45">
      <c r="A306" s="353">
        <v>46267</v>
      </c>
      <c r="B306" s="267" t="s">
        <v>33</v>
      </c>
      <c r="C306" s="267" t="s">
        <v>313</v>
      </c>
      <c r="D306" s="267" t="s">
        <v>322</v>
      </c>
      <c r="E306" s="267" t="s">
        <v>50</v>
      </c>
      <c r="F306" s="267" t="s">
        <v>127</v>
      </c>
      <c r="G306" s="267"/>
      <c r="H306" s="269">
        <v>2.2901500000000001</v>
      </c>
      <c r="I306" s="269">
        <f>Table2[[#This Row],[Equipment Downtime]]/7</f>
        <v>0.32716428571428574</v>
      </c>
      <c r="J306" s="252"/>
      <c r="K306" s="253"/>
    </row>
    <row r="307" spans="1:11" ht="22" customHeight="1" x14ac:dyDescent="0.45">
      <c r="A307" s="353">
        <v>46267</v>
      </c>
      <c r="B307" s="267" t="s">
        <v>33</v>
      </c>
      <c r="C307" s="267" t="s">
        <v>314</v>
      </c>
      <c r="D307" s="267" t="s">
        <v>126</v>
      </c>
      <c r="E307" s="267" t="s">
        <v>50</v>
      </c>
      <c r="F307" s="267" t="s">
        <v>127</v>
      </c>
      <c r="G307" s="267"/>
      <c r="H307" s="269">
        <v>34.9146</v>
      </c>
      <c r="I307" s="269">
        <f>Table2[[#This Row],[Equipment Downtime]]/7</f>
        <v>4.9878</v>
      </c>
      <c r="J307" s="252"/>
      <c r="K307" s="253"/>
    </row>
    <row r="308" spans="1:11" ht="22" customHeight="1" x14ac:dyDescent="0.45">
      <c r="A308" s="353">
        <v>46267</v>
      </c>
      <c r="B308" s="267" t="s">
        <v>33</v>
      </c>
      <c r="C308" s="267" t="s">
        <v>314</v>
      </c>
      <c r="D308" s="267" t="s">
        <v>316</v>
      </c>
      <c r="E308" s="267" t="s">
        <v>50</v>
      </c>
      <c r="F308" s="267" t="s">
        <v>127</v>
      </c>
      <c r="G308" s="267"/>
      <c r="H308" s="269">
        <v>8.3561333333333305</v>
      </c>
      <c r="I308" s="269">
        <f>Table2[[#This Row],[Equipment Downtime]]/7</f>
        <v>1.1937333333333329</v>
      </c>
      <c r="J308" s="252"/>
      <c r="K308" s="253"/>
    </row>
    <row r="309" spans="1:11" ht="22" customHeight="1" x14ac:dyDescent="0.45">
      <c r="A309" s="353">
        <v>46267</v>
      </c>
      <c r="B309" s="267" t="s">
        <v>33</v>
      </c>
      <c r="C309" s="267" t="s">
        <v>314</v>
      </c>
      <c r="D309" s="267" t="s">
        <v>321</v>
      </c>
      <c r="E309" s="267" t="s">
        <v>50</v>
      </c>
      <c r="F309" s="267" t="s">
        <v>127</v>
      </c>
      <c r="G309" s="267"/>
      <c r="H309" s="269">
        <v>0.454616666666667</v>
      </c>
      <c r="I309" s="269">
        <f>Table2[[#This Row],[Equipment Downtime]]/7</f>
        <v>6.4945238095238139E-2</v>
      </c>
      <c r="J309" s="252"/>
      <c r="K309" s="253"/>
    </row>
    <row r="310" spans="1:11" ht="22" customHeight="1" x14ac:dyDescent="0.45">
      <c r="A310" s="353">
        <v>46267</v>
      </c>
      <c r="B310" s="267" t="s">
        <v>33</v>
      </c>
      <c r="C310" s="267" t="s">
        <v>317</v>
      </c>
      <c r="D310" s="267" t="s">
        <v>318</v>
      </c>
      <c r="E310" s="267" t="s">
        <v>50</v>
      </c>
      <c r="F310" s="267" t="s">
        <v>127</v>
      </c>
      <c r="G310" s="267"/>
      <c r="H310" s="269">
        <v>0.49828333333333302</v>
      </c>
      <c r="I310" s="269">
        <f>Table2[[#This Row],[Equipment Downtime]]/7</f>
        <v>7.1183333333333293E-2</v>
      </c>
      <c r="J310" s="252"/>
      <c r="K310" s="253"/>
    </row>
    <row r="311" spans="1:11" ht="22" customHeight="1" x14ac:dyDescent="0.45">
      <c r="A311" s="353">
        <v>46267</v>
      </c>
      <c r="B311" s="267" t="s">
        <v>33</v>
      </c>
      <c r="C311" s="267" t="s">
        <v>317</v>
      </c>
      <c r="D311" s="267" t="s">
        <v>319</v>
      </c>
      <c r="E311" s="267" t="s">
        <v>50</v>
      </c>
      <c r="F311" s="267" t="s">
        <v>127</v>
      </c>
      <c r="G311" s="267"/>
      <c r="H311" s="269">
        <v>6.0531166666666696</v>
      </c>
      <c r="I311" s="269">
        <f>Table2[[#This Row],[Equipment Downtime]]/7</f>
        <v>0.86473095238095277</v>
      </c>
      <c r="J311" s="252"/>
      <c r="K311" s="253"/>
    </row>
    <row r="312" spans="1:11" ht="22" customHeight="1" x14ac:dyDescent="0.45">
      <c r="A312" s="353">
        <v>46267</v>
      </c>
      <c r="B312" s="267" t="s">
        <v>22</v>
      </c>
      <c r="C312" s="267" t="s">
        <v>317</v>
      </c>
      <c r="D312" s="267" t="s">
        <v>322</v>
      </c>
      <c r="E312" s="267" t="s">
        <v>50</v>
      </c>
      <c r="F312" s="267" t="s">
        <v>127</v>
      </c>
      <c r="G312" s="267"/>
      <c r="H312" s="269">
        <v>7.0233166666666698</v>
      </c>
      <c r="I312" s="269">
        <f>Table2[[#This Row],[Equipment Downtime]]/7</f>
        <v>1.0033309523809528</v>
      </c>
      <c r="J312" s="252"/>
      <c r="K312" s="253"/>
    </row>
    <row r="313" spans="1:11" ht="22" customHeight="1" x14ac:dyDescent="0.45">
      <c r="A313" s="353">
        <v>46268</v>
      </c>
      <c r="B313" s="267" t="s">
        <v>18</v>
      </c>
      <c r="C313" s="267" t="s">
        <v>181</v>
      </c>
      <c r="D313" s="267" t="s">
        <v>182</v>
      </c>
      <c r="E313" s="267" t="s">
        <v>50</v>
      </c>
      <c r="F313" s="267" t="s">
        <v>51</v>
      </c>
      <c r="G313" s="267"/>
      <c r="H313" s="267">
        <v>100</v>
      </c>
      <c r="I313" s="269">
        <v>100</v>
      </c>
      <c r="J313" s="267"/>
      <c r="K313" s="253"/>
    </row>
    <row r="314" spans="1:11" ht="22" customHeight="1" x14ac:dyDescent="0.45">
      <c r="A314" s="353">
        <v>46268</v>
      </c>
      <c r="B314" s="267" t="s">
        <v>40</v>
      </c>
      <c r="C314" s="267" t="s">
        <v>41</v>
      </c>
      <c r="D314" s="267" t="s">
        <v>289</v>
      </c>
      <c r="E314" s="267" t="s">
        <v>50</v>
      </c>
      <c r="F314" s="267" t="s">
        <v>53</v>
      </c>
      <c r="G314" s="267"/>
      <c r="H314" s="267">
        <v>90</v>
      </c>
      <c r="I314" s="269">
        <v>90</v>
      </c>
      <c r="J314" s="267"/>
      <c r="K314" s="253"/>
    </row>
    <row r="315" spans="1:11" ht="22" customHeight="1" x14ac:dyDescent="0.45">
      <c r="A315" s="353">
        <v>46268</v>
      </c>
      <c r="B315" s="267" t="s">
        <v>129</v>
      </c>
      <c r="C315" s="267" t="s">
        <v>130</v>
      </c>
      <c r="D315" s="267" t="s">
        <v>192</v>
      </c>
      <c r="E315" s="267" t="s">
        <v>50</v>
      </c>
      <c r="F315" s="267" t="s">
        <v>52</v>
      </c>
      <c r="G315" s="267"/>
      <c r="H315" s="267">
        <v>90</v>
      </c>
      <c r="I315" s="269">
        <v>90</v>
      </c>
      <c r="J315" s="267"/>
      <c r="K315" s="253"/>
    </row>
    <row r="316" spans="1:11" ht="22" customHeight="1" x14ac:dyDescent="0.45">
      <c r="A316" s="353">
        <v>46268</v>
      </c>
      <c r="B316" s="267" t="s">
        <v>22</v>
      </c>
      <c r="C316" s="267" t="s">
        <v>295</v>
      </c>
      <c r="D316" s="267" t="s">
        <v>296</v>
      </c>
      <c r="E316" s="267" t="s">
        <v>50</v>
      </c>
      <c r="F316" s="267" t="s">
        <v>127</v>
      </c>
      <c r="G316" s="267"/>
      <c r="H316" s="269">
        <v>14.208116666666699</v>
      </c>
      <c r="I316" s="269">
        <f>Table2[[#This Row],[Equipment Downtime]]/7</f>
        <v>2.029730952380957</v>
      </c>
      <c r="J316" s="252"/>
      <c r="K316" s="253"/>
    </row>
    <row r="317" spans="1:11" ht="22" customHeight="1" x14ac:dyDescent="0.45">
      <c r="A317" s="353">
        <v>46268</v>
      </c>
      <c r="B317" s="267" t="s">
        <v>22</v>
      </c>
      <c r="C317" s="267" t="s">
        <v>295</v>
      </c>
      <c r="D317" s="267" t="s">
        <v>297</v>
      </c>
      <c r="E317" s="267" t="s">
        <v>50</v>
      </c>
      <c r="F317" s="267" t="s">
        <v>127</v>
      </c>
      <c r="G317" s="267"/>
      <c r="H317" s="269">
        <v>9.8498166666666709</v>
      </c>
      <c r="I317" s="269">
        <f>Table2[[#This Row],[Equipment Downtime]]/7</f>
        <v>1.4071166666666672</v>
      </c>
      <c r="J317" s="252"/>
      <c r="K317" s="253"/>
    </row>
    <row r="318" spans="1:11" ht="22" customHeight="1" x14ac:dyDescent="0.45">
      <c r="A318" s="353">
        <v>46268</v>
      </c>
      <c r="B318" s="267" t="s">
        <v>22</v>
      </c>
      <c r="C318" s="299" t="s">
        <v>295</v>
      </c>
      <c r="D318" s="299" t="s">
        <v>298</v>
      </c>
      <c r="E318" s="267" t="s">
        <v>50</v>
      </c>
      <c r="F318" s="267" t="s">
        <v>127</v>
      </c>
      <c r="G318" s="267"/>
      <c r="H318" s="301">
        <v>22.040749999999999</v>
      </c>
      <c r="I318" s="269">
        <f>Table2[[#This Row],[Equipment Downtime]]/7</f>
        <v>3.1486785714285714</v>
      </c>
      <c r="J318" s="252"/>
      <c r="K318" s="253"/>
    </row>
    <row r="319" spans="1:11" ht="22" customHeight="1" x14ac:dyDescent="0.45">
      <c r="A319" s="353">
        <v>46268</v>
      </c>
      <c r="B319" s="267" t="s">
        <v>22</v>
      </c>
      <c r="C319" s="299" t="s">
        <v>299</v>
      </c>
      <c r="D319" s="299" t="s">
        <v>296</v>
      </c>
      <c r="E319" s="267" t="s">
        <v>50</v>
      </c>
      <c r="F319" s="267" t="s">
        <v>127</v>
      </c>
      <c r="G319" s="267"/>
      <c r="H319" s="301">
        <v>7.0272500000000004</v>
      </c>
      <c r="I319" s="269">
        <f>Table2[[#This Row],[Equipment Downtime]]/7</f>
        <v>1.0038928571428571</v>
      </c>
      <c r="J319" s="252"/>
      <c r="K319" s="253"/>
    </row>
    <row r="320" spans="1:11" ht="22" customHeight="1" x14ac:dyDescent="0.45">
      <c r="A320" s="353">
        <v>46268</v>
      </c>
      <c r="B320" s="267" t="s">
        <v>22</v>
      </c>
      <c r="C320" s="299" t="s">
        <v>299</v>
      </c>
      <c r="D320" s="299" t="s">
        <v>297</v>
      </c>
      <c r="E320" s="267" t="s">
        <v>50</v>
      </c>
      <c r="F320" s="267" t="s">
        <v>127</v>
      </c>
      <c r="G320" s="267"/>
      <c r="H320" s="301">
        <v>3.8819333333333299</v>
      </c>
      <c r="I320" s="269">
        <f>Table2[[#This Row],[Equipment Downtime]]/7</f>
        <v>0.55456190476190426</v>
      </c>
      <c r="J320" s="252"/>
      <c r="K320" s="253"/>
    </row>
    <row r="321" spans="1:11" ht="22" customHeight="1" x14ac:dyDescent="0.45">
      <c r="A321" s="353">
        <v>46268</v>
      </c>
      <c r="B321" s="267" t="s">
        <v>22</v>
      </c>
      <c r="C321" s="299" t="s">
        <v>299</v>
      </c>
      <c r="D321" s="299" t="s">
        <v>298</v>
      </c>
      <c r="E321" s="267" t="s">
        <v>50</v>
      </c>
      <c r="F321" s="267" t="s">
        <v>127</v>
      </c>
      <c r="G321" s="267"/>
      <c r="H321" s="301">
        <v>24.948733333333301</v>
      </c>
      <c r="I321" s="269">
        <f>Table2[[#This Row],[Equipment Downtime]]/7</f>
        <v>3.5641047619047574</v>
      </c>
      <c r="J321" s="252"/>
      <c r="K321" s="253"/>
    </row>
    <row r="322" spans="1:11" ht="22" customHeight="1" x14ac:dyDescent="0.45">
      <c r="A322" s="353">
        <v>46268</v>
      </c>
      <c r="B322" s="267" t="s">
        <v>22</v>
      </c>
      <c r="C322" s="299" t="s">
        <v>301</v>
      </c>
      <c r="D322" s="299" t="s">
        <v>296</v>
      </c>
      <c r="E322" s="267" t="s">
        <v>50</v>
      </c>
      <c r="F322" s="267" t="s">
        <v>127</v>
      </c>
      <c r="G322" s="267"/>
      <c r="H322" s="301">
        <v>6.7763499999999999</v>
      </c>
      <c r="I322" s="269">
        <f>Table2[[#This Row],[Equipment Downtime]]/7</f>
        <v>0.96804999999999997</v>
      </c>
      <c r="J322" s="252"/>
      <c r="K322" s="253"/>
    </row>
    <row r="323" spans="1:11" ht="22" customHeight="1" x14ac:dyDescent="0.45">
      <c r="A323" s="353">
        <v>46268</v>
      </c>
      <c r="B323" s="267" t="s">
        <v>22</v>
      </c>
      <c r="C323" s="299" t="s">
        <v>301</v>
      </c>
      <c r="D323" s="299" t="s">
        <v>297</v>
      </c>
      <c r="E323" s="267" t="s">
        <v>50</v>
      </c>
      <c r="F323" s="267" t="s">
        <v>127</v>
      </c>
      <c r="G323" s="267"/>
      <c r="H323" s="301">
        <v>7.9125333333333296</v>
      </c>
      <c r="I323" s="269">
        <f>Table2[[#This Row],[Equipment Downtime]]/7</f>
        <v>1.1303619047619042</v>
      </c>
      <c r="J323" s="252"/>
      <c r="K323" s="253"/>
    </row>
    <row r="324" spans="1:11" ht="22" customHeight="1" x14ac:dyDescent="0.45">
      <c r="A324" s="353">
        <v>46268</v>
      </c>
      <c r="B324" s="267" t="s">
        <v>22</v>
      </c>
      <c r="C324" s="299" t="s">
        <v>301</v>
      </c>
      <c r="D324" s="299" t="s">
        <v>302</v>
      </c>
      <c r="E324" s="267" t="s">
        <v>50</v>
      </c>
      <c r="F324" s="267" t="s">
        <v>127</v>
      </c>
      <c r="G324" s="267"/>
      <c r="H324" s="301">
        <v>9.5541499999999999</v>
      </c>
      <c r="I324" s="269">
        <f>Table2[[#This Row],[Equipment Downtime]]/7</f>
        <v>1.3648785714285714</v>
      </c>
      <c r="J324" s="252"/>
      <c r="K324" s="253"/>
    </row>
    <row r="325" spans="1:11" ht="22" customHeight="1" x14ac:dyDescent="0.45">
      <c r="A325" s="353">
        <v>46268</v>
      </c>
      <c r="B325" s="267" t="s">
        <v>22</v>
      </c>
      <c r="C325" s="299" t="s">
        <v>303</v>
      </c>
      <c r="D325" s="299" t="s">
        <v>296</v>
      </c>
      <c r="E325" s="267" t="s">
        <v>50</v>
      </c>
      <c r="F325" s="267" t="s">
        <v>127</v>
      </c>
      <c r="G325" s="267"/>
      <c r="H325" s="301">
        <v>34.366966666666698</v>
      </c>
      <c r="I325" s="269">
        <f>Table2[[#This Row],[Equipment Downtime]]/7</f>
        <v>4.9095666666666711</v>
      </c>
      <c r="J325" s="252"/>
      <c r="K325" s="253"/>
    </row>
    <row r="326" spans="1:11" ht="22" customHeight="1" x14ac:dyDescent="0.45">
      <c r="A326" s="353">
        <v>46268</v>
      </c>
      <c r="B326" s="267" t="s">
        <v>22</v>
      </c>
      <c r="C326" s="299" t="s">
        <v>303</v>
      </c>
      <c r="D326" s="299" t="s">
        <v>298</v>
      </c>
      <c r="E326" s="267" t="s">
        <v>50</v>
      </c>
      <c r="F326" s="267" t="s">
        <v>127</v>
      </c>
      <c r="G326" s="267"/>
      <c r="H326" s="301">
        <v>9.5640833333333308</v>
      </c>
      <c r="I326" s="269">
        <f>Table2[[#This Row],[Equipment Downtime]]/7</f>
        <v>1.3662976190476186</v>
      </c>
      <c r="J326" s="252"/>
      <c r="K326" s="253"/>
    </row>
    <row r="327" spans="1:11" ht="22" customHeight="1" x14ac:dyDescent="0.45">
      <c r="A327" s="353">
        <v>46268</v>
      </c>
      <c r="B327" s="267" t="s">
        <v>22</v>
      </c>
      <c r="C327" s="299" t="s">
        <v>303</v>
      </c>
      <c r="D327" s="299" t="s">
        <v>302</v>
      </c>
      <c r="E327" s="267" t="s">
        <v>50</v>
      </c>
      <c r="F327" s="267" t="s">
        <v>127</v>
      </c>
      <c r="G327" s="267"/>
      <c r="H327" s="301">
        <v>18.5458</v>
      </c>
      <c r="I327" s="269">
        <f>Table2[[#This Row],[Equipment Downtime]]/7</f>
        <v>2.6494</v>
      </c>
      <c r="J327" s="252"/>
      <c r="K327" s="253"/>
    </row>
    <row r="328" spans="1:11" ht="22" customHeight="1" x14ac:dyDescent="0.45">
      <c r="A328" s="353">
        <v>46268</v>
      </c>
      <c r="B328" s="267" t="s">
        <v>22</v>
      </c>
      <c r="C328" s="299" t="s">
        <v>305</v>
      </c>
      <c r="D328" s="299" t="s">
        <v>306</v>
      </c>
      <c r="E328" s="267" t="s">
        <v>50</v>
      </c>
      <c r="F328" s="267" t="s">
        <v>127</v>
      </c>
      <c r="G328" s="267"/>
      <c r="H328" s="301">
        <v>61.977066666666701</v>
      </c>
      <c r="I328" s="269">
        <f>Table2[[#This Row],[Equipment Downtime]]/7</f>
        <v>8.8538666666666721</v>
      </c>
      <c r="J328" s="252"/>
      <c r="K328" s="253"/>
    </row>
    <row r="329" spans="1:11" ht="22" customHeight="1" x14ac:dyDescent="0.45">
      <c r="A329" s="353">
        <v>46268</v>
      </c>
      <c r="B329" s="267" t="s">
        <v>22</v>
      </c>
      <c r="C329" s="299" t="s">
        <v>305</v>
      </c>
      <c r="D329" s="299" t="s">
        <v>307</v>
      </c>
      <c r="E329" s="267" t="s">
        <v>50</v>
      </c>
      <c r="F329" s="267" t="s">
        <v>127</v>
      </c>
      <c r="G329" s="267"/>
      <c r="H329" s="301">
        <v>50.338433333333299</v>
      </c>
      <c r="I329" s="269">
        <f>Table2[[#This Row],[Equipment Downtime]]/7</f>
        <v>7.191204761904757</v>
      </c>
      <c r="J329" s="252"/>
      <c r="K329" s="253"/>
    </row>
    <row r="330" spans="1:11" ht="22" customHeight="1" x14ac:dyDescent="0.45">
      <c r="A330" s="353">
        <v>46268</v>
      </c>
      <c r="B330" s="267" t="s">
        <v>22</v>
      </c>
      <c r="C330" s="299" t="s">
        <v>305</v>
      </c>
      <c r="D330" s="299" t="s">
        <v>308</v>
      </c>
      <c r="E330" s="267" t="s">
        <v>50</v>
      </c>
      <c r="F330" s="267" t="s">
        <v>127</v>
      </c>
      <c r="G330" s="267"/>
      <c r="H330" s="301">
        <v>43.302183333333303</v>
      </c>
      <c r="I330" s="269">
        <f>Table2[[#This Row],[Equipment Downtime]]/7</f>
        <v>6.186026190476186</v>
      </c>
      <c r="J330" s="252"/>
      <c r="K330" s="253"/>
    </row>
    <row r="331" spans="1:11" ht="22" customHeight="1" x14ac:dyDescent="0.45">
      <c r="A331" s="353">
        <v>46268</v>
      </c>
      <c r="B331" s="267" t="s">
        <v>22</v>
      </c>
      <c r="C331" s="299" t="s">
        <v>309</v>
      </c>
      <c r="D331" s="299" t="s">
        <v>306</v>
      </c>
      <c r="E331" s="267" t="s">
        <v>50</v>
      </c>
      <c r="F331" s="267" t="s">
        <v>127</v>
      </c>
      <c r="G331" s="267"/>
      <c r="H331" s="301">
        <v>50.644733333333299</v>
      </c>
      <c r="I331" s="269">
        <f>Table2[[#This Row],[Equipment Downtime]]/7</f>
        <v>7.2349619047619003</v>
      </c>
      <c r="J331" s="252"/>
      <c r="K331" s="253"/>
    </row>
    <row r="332" spans="1:11" ht="22" customHeight="1" x14ac:dyDescent="0.45">
      <c r="A332" s="353">
        <v>46268</v>
      </c>
      <c r="B332" s="267" t="s">
        <v>22</v>
      </c>
      <c r="C332" s="299" t="s">
        <v>309</v>
      </c>
      <c r="D332" s="299" t="s">
        <v>308</v>
      </c>
      <c r="E332" s="267" t="s">
        <v>50</v>
      </c>
      <c r="F332" s="267" t="s">
        <v>127</v>
      </c>
      <c r="G332" s="267"/>
      <c r="H332" s="301">
        <v>324.968183333333</v>
      </c>
      <c r="I332" s="269">
        <f>Table2[[#This Row],[Equipment Downtime]]/7</f>
        <v>46.424026190476141</v>
      </c>
      <c r="J332" s="252"/>
      <c r="K332" s="253"/>
    </row>
    <row r="333" spans="1:11" ht="22" customHeight="1" x14ac:dyDescent="0.45">
      <c r="A333" s="353">
        <v>46268</v>
      </c>
      <c r="B333" s="267" t="s">
        <v>22</v>
      </c>
      <c r="C333" s="299" t="s">
        <v>309</v>
      </c>
      <c r="D333" s="299" t="s">
        <v>320</v>
      </c>
      <c r="E333" s="267" t="s">
        <v>50</v>
      </c>
      <c r="F333" s="267" t="s">
        <v>127</v>
      </c>
      <c r="G333" s="267"/>
      <c r="H333" s="301">
        <v>26.608533333333298</v>
      </c>
      <c r="I333" s="269">
        <f>Table2[[#This Row],[Equipment Downtime]]/7</f>
        <v>3.8012190476190426</v>
      </c>
      <c r="J333" s="252"/>
      <c r="K333" s="253"/>
    </row>
    <row r="334" spans="1:11" ht="22" customHeight="1" x14ac:dyDescent="0.45">
      <c r="A334" s="353">
        <v>46268</v>
      </c>
      <c r="B334" s="267" t="s">
        <v>29</v>
      </c>
      <c r="C334" s="299" t="s">
        <v>30</v>
      </c>
      <c r="D334" s="299" t="s">
        <v>31</v>
      </c>
      <c r="E334" s="267" t="s">
        <v>50</v>
      </c>
      <c r="F334" s="267" t="s">
        <v>127</v>
      </c>
      <c r="G334" s="267"/>
      <c r="H334" s="301">
        <v>77.305783333333295</v>
      </c>
      <c r="I334" s="269">
        <f>Table2[[#This Row],[Equipment Downtime]]/7</f>
        <v>11.043683333333329</v>
      </c>
      <c r="J334" s="252"/>
      <c r="K334" s="253"/>
    </row>
    <row r="335" spans="1:11" ht="22" customHeight="1" x14ac:dyDescent="0.45">
      <c r="A335" s="353">
        <v>46268</v>
      </c>
      <c r="B335" s="267" t="s">
        <v>33</v>
      </c>
      <c r="C335" s="299" t="s">
        <v>310</v>
      </c>
      <c r="D335" s="299" t="s">
        <v>311</v>
      </c>
      <c r="E335" s="267" t="s">
        <v>50</v>
      </c>
      <c r="F335" s="267" t="s">
        <v>127</v>
      </c>
      <c r="G335" s="267"/>
      <c r="H335" s="301">
        <v>29.175916666666701</v>
      </c>
      <c r="I335" s="269">
        <f>Table2[[#This Row],[Equipment Downtime]]/7</f>
        <v>4.1679880952381003</v>
      </c>
      <c r="J335" s="252"/>
      <c r="K335" s="253"/>
    </row>
    <row r="336" spans="1:11" ht="22" customHeight="1" x14ac:dyDescent="0.45">
      <c r="A336" s="353">
        <v>46268</v>
      </c>
      <c r="B336" s="267" t="s">
        <v>33</v>
      </c>
      <c r="C336" s="299" t="s">
        <v>310</v>
      </c>
      <c r="D336" s="299" t="s">
        <v>312</v>
      </c>
      <c r="E336" s="267" t="s">
        <v>50</v>
      </c>
      <c r="F336" s="267" t="s">
        <v>127</v>
      </c>
      <c r="G336" s="267"/>
      <c r="H336" s="301">
        <v>4.60558333333333</v>
      </c>
      <c r="I336" s="269">
        <f>Table2[[#This Row],[Equipment Downtime]]/7</f>
        <v>0.65794047619047569</v>
      </c>
      <c r="J336" s="252"/>
      <c r="K336" s="253"/>
    </row>
    <row r="337" spans="1:11" ht="22" customHeight="1" x14ac:dyDescent="0.45">
      <c r="A337" s="353">
        <v>46268</v>
      </c>
      <c r="B337" s="267" t="s">
        <v>33</v>
      </c>
      <c r="C337" s="299" t="s">
        <v>310</v>
      </c>
      <c r="D337" s="299" t="s">
        <v>321</v>
      </c>
      <c r="E337" s="267" t="s">
        <v>50</v>
      </c>
      <c r="F337" s="267" t="s">
        <v>127</v>
      </c>
      <c r="G337" s="267"/>
      <c r="H337" s="301">
        <v>55.843233333333302</v>
      </c>
      <c r="I337" s="269">
        <f>Table2[[#This Row],[Equipment Downtime]]/7</f>
        <v>7.9776047619047574</v>
      </c>
      <c r="J337" s="252"/>
      <c r="K337" s="253"/>
    </row>
    <row r="338" spans="1:11" ht="22" customHeight="1" x14ac:dyDescent="0.45">
      <c r="A338" s="353">
        <v>46268</v>
      </c>
      <c r="B338" s="267" t="s">
        <v>33</v>
      </c>
      <c r="C338" s="299" t="s">
        <v>313</v>
      </c>
      <c r="D338" s="299" t="s">
        <v>126</v>
      </c>
      <c r="E338" s="267" t="s">
        <v>50</v>
      </c>
      <c r="F338" s="267" t="s">
        <v>127</v>
      </c>
      <c r="G338" s="267"/>
      <c r="H338" s="301">
        <v>29.499466666666699</v>
      </c>
      <c r="I338" s="269">
        <f>Table2[[#This Row],[Equipment Downtime]]/7</f>
        <v>4.2142095238095285</v>
      </c>
      <c r="J338" s="252"/>
      <c r="K338" s="253"/>
    </row>
    <row r="339" spans="1:11" ht="22" customHeight="1" x14ac:dyDescent="0.45">
      <c r="A339" s="353">
        <v>46268</v>
      </c>
      <c r="B339" s="267" t="s">
        <v>33</v>
      </c>
      <c r="C339" s="299" t="s">
        <v>313</v>
      </c>
      <c r="D339" s="299" t="s">
        <v>311</v>
      </c>
      <c r="E339" s="267" t="s">
        <v>50</v>
      </c>
      <c r="F339" s="267" t="s">
        <v>127</v>
      </c>
      <c r="G339" s="267"/>
      <c r="H339" s="301">
        <v>17.51895</v>
      </c>
      <c r="I339" s="269">
        <f>Table2[[#This Row],[Equipment Downtime]]/7</f>
        <v>2.502707142857143</v>
      </c>
      <c r="J339" s="252"/>
      <c r="K339" s="253"/>
    </row>
    <row r="340" spans="1:11" ht="22" customHeight="1" x14ac:dyDescent="0.45">
      <c r="A340" s="353">
        <v>46268</v>
      </c>
      <c r="B340" s="267" t="s">
        <v>33</v>
      </c>
      <c r="C340" s="299" t="s">
        <v>313</v>
      </c>
      <c r="D340" s="299" t="s">
        <v>312</v>
      </c>
      <c r="E340" s="267" t="s">
        <v>50</v>
      </c>
      <c r="F340" s="267" t="s">
        <v>127</v>
      </c>
      <c r="G340" s="267"/>
      <c r="H340" s="301">
        <v>27.15325</v>
      </c>
      <c r="I340" s="269">
        <f>Table2[[#This Row],[Equipment Downtime]]/7</f>
        <v>3.8790357142857141</v>
      </c>
      <c r="J340" s="252"/>
      <c r="K340" s="253"/>
    </row>
    <row r="341" spans="1:11" ht="22" customHeight="1" x14ac:dyDescent="0.45">
      <c r="A341" s="353">
        <v>46268</v>
      </c>
      <c r="B341" s="267" t="s">
        <v>33</v>
      </c>
      <c r="C341" s="299" t="s">
        <v>314</v>
      </c>
      <c r="D341" s="299" t="s">
        <v>126</v>
      </c>
      <c r="E341" s="267" t="s">
        <v>50</v>
      </c>
      <c r="F341" s="267" t="s">
        <v>127</v>
      </c>
      <c r="G341" s="267"/>
      <c r="H341" s="301">
        <v>7.9144500000000004</v>
      </c>
      <c r="I341" s="269">
        <f>Table2[[#This Row],[Equipment Downtime]]/7</f>
        <v>1.1306357142857144</v>
      </c>
      <c r="J341" s="252"/>
      <c r="K341" s="253"/>
    </row>
    <row r="342" spans="1:11" ht="22" customHeight="1" x14ac:dyDescent="0.45">
      <c r="A342" s="353">
        <v>46268</v>
      </c>
      <c r="B342" s="267" t="s">
        <v>33</v>
      </c>
      <c r="C342" s="299" t="s">
        <v>314</v>
      </c>
      <c r="D342" s="299" t="s">
        <v>316</v>
      </c>
      <c r="E342" s="267" t="s">
        <v>50</v>
      </c>
      <c r="F342" s="267" t="s">
        <v>127</v>
      </c>
      <c r="G342" s="267"/>
      <c r="H342" s="301">
        <v>3.1525833333333302</v>
      </c>
      <c r="I342" s="269">
        <f>Table2[[#This Row],[Equipment Downtime]]/7</f>
        <v>0.45036904761904717</v>
      </c>
      <c r="J342" s="252"/>
      <c r="K342" s="253"/>
    </row>
    <row r="343" spans="1:11" ht="22" customHeight="1" x14ac:dyDescent="0.45">
      <c r="A343" s="353">
        <v>46268</v>
      </c>
      <c r="B343" s="267" t="s">
        <v>33</v>
      </c>
      <c r="C343" s="299" t="s">
        <v>314</v>
      </c>
      <c r="D343" s="299" t="s">
        <v>321</v>
      </c>
      <c r="E343" s="267" t="s">
        <v>50</v>
      </c>
      <c r="F343" s="267" t="s">
        <v>127</v>
      </c>
      <c r="G343" s="267"/>
      <c r="H343" s="301">
        <v>31.518633333333302</v>
      </c>
      <c r="I343" s="269">
        <f>Table2[[#This Row],[Equipment Downtime]]/7</f>
        <v>4.5026619047618999</v>
      </c>
      <c r="J343" s="252"/>
      <c r="K343" s="253"/>
    </row>
    <row r="344" spans="1:11" ht="22" customHeight="1" x14ac:dyDescent="0.45">
      <c r="A344" s="353">
        <v>46268</v>
      </c>
      <c r="B344" s="267" t="s">
        <v>33</v>
      </c>
      <c r="C344" s="299" t="s">
        <v>317</v>
      </c>
      <c r="D344" s="299" t="s">
        <v>319</v>
      </c>
      <c r="E344" s="267" t="s">
        <v>50</v>
      </c>
      <c r="F344" s="267" t="s">
        <v>127</v>
      </c>
      <c r="G344" s="267"/>
      <c r="H344" s="301">
        <v>50.399149999999999</v>
      </c>
      <c r="I344" s="269">
        <f>Table2[[#This Row],[Equipment Downtime]]/7</f>
        <v>7.1998785714285711</v>
      </c>
      <c r="J344" s="252"/>
      <c r="K344" s="253"/>
    </row>
    <row r="345" spans="1:11" ht="22" customHeight="1" x14ac:dyDescent="0.45">
      <c r="A345" s="353">
        <v>46270</v>
      </c>
      <c r="B345" s="267" t="s">
        <v>22</v>
      </c>
      <c r="C345" s="299" t="s">
        <v>295</v>
      </c>
      <c r="D345" s="299" t="s">
        <v>304</v>
      </c>
      <c r="E345" s="267" t="s">
        <v>50</v>
      </c>
      <c r="F345" s="267" t="s">
        <v>127</v>
      </c>
      <c r="G345" s="267"/>
      <c r="H345" s="301">
        <v>6.2081</v>
      </c>
      <c r="I345" s="269">
        <f>Table2[[#This Row],[Equipment Downtime]]/4</f>
        <v>1.552025</v>
      </c>
      <c r="J345" s="252"/>
      <c r="K345" s="253"/>
    </row>
    <row r="346" spans="1:11" ht="22" customHeight="1" x14ac:dyDescent="0.45">
      <c r="A346" s="353">
        <v>46270</v>
      </c>
      <c r="B346" s="267" t="s">
        <v>22</v>
      </c>
      <c r="C346" s="299" t="s">
        <v>295</v>
      </c>
      <c r="D346" s="299" t="s">
        <v>334</v>
      </c>
      <c r="E346" s="267" t="s">
        <v>50</v>
      </c>
      <c r="F346" s="267" t="s">
        <v>127</v>
      </c>
      <c r="G346" s="267"/>
      <c r="H346" s="301">
        <v>18.0217833333333</v>
      </c>
      <c r="I346" s="269">
        <f>Table2[[#This Row],[Equipment Downtime]]/4</f>
        <v>4.5054458333333249</v>
      </c>
      <c r="J346" s="252"/>
      <c r="K346" s="253"/>
    </row>
    <row r="347" spans="1:11" ht="22" customHeight="1" x14ac:dyDescent="0.45">
      <c r="A347" s="353">
        <v>46270</v>
      </c>
      <c r="B347" s="267" t="s">
        <v>22</v>
      </c>
      <c r="C347" s="299" t="s">
        <v>295</v>
      </c>
      <c r="D347" s="299" t="s">
        <v>296</v>
      </c>
      <c r="E347" s="267" t="s">
        <v>50</v>
      </c>
      <c r="F347" s="267" t="s">
        <v>127</v>
      </c>
      <c r="G347" s="267"/>
      <c r="H347" s="301">
        <v>7.8388</v>
      </c>
      <c r="I347" s="269">
        <f>Table2[[#This Row],[Equipment Downtime]]/4</f>
        <v>1.9597</v>
      </c>
      <c r="J347" s="252"/>
      <c r="K347" s="253"/>
    </row>
    <row r="348" spans="1:11" ht="22" customHeight="1" x14ac:dyDescent="0.45">
      <c r="A348" s="353">
        <v>46270</v>
      </c>
      <c r="B348" s="267" t="s">
        <v>22</v>
      </c>
      <c r="C348" s="299" t="s">
        <v>299</v>
      </c>
      <c r="D348" s="299" t="s">
        <v>296</v>
      </c>
      <c r="E348" s="267" t="s">
        <v>50</v>
      </c>
      <c r="F348" s="267" t="s">
        <v>127</v>
      </c>
      <c r="G348" s="267"/>
      <c r="H348" s="301">
        <v>22.0349166666667</v>
      </c>
      <c r="I348" s="269">
        <f>Table2[[#This Row],[Equipment Downtime]]/4</f>
        <v>5.5087291666666749</v>
      </c>
      <c r="J348" s="252"/>
      <c r="K348" s="253"/>
    </row>
    <row r="349" spans="1:11" ht="22" customHeight="1" x14ac:dyDescent="0.45">
      <c r="A349" s="353">
        <v>46270</v>
      </c>
      <c r="B349" s="267" t="s">
        <v>22</v>
      </c>
      <c r="C349" s="299" t="s">
        <v>299</v>
      </c>
      <c r="D349" s="299" t="s">
        <v>297</v>
      </c>
      <c r="E349" s="267" t="s">
        <v>50</v>
      </c>
      <c r="F349" s="267" t="s">
        <v>127</v>
      </c>
      <c r="G349" s="267"/>
      <c r="H349" s="301">
        <v>0.95</v>
      </c>
      <c r="I349" s="269">
        <f>Table2[[#This Row],[Equipment Downtime]]/4</f>
        <v>0.23749999999999999</v>
      </c>
      <c r="J349" s="252"/>
      <c r="K349" s="253"/>
    </row>
    <row r="350" spans="1:11" ht="22" customHeight="1" x14ac:dyDescent="0.45">
      <c r="A350" s="353">
        <v>46270</v>
      </c>
      <c r="B350" s="267" t="s">
        <v>22</v>
      </c>
      <c r="C350" s="299" t="s">
        <v>299</v>
      </c>
      <c r="D350" s="299" t="s">
        <v>300</v>
      </c>
      <c r="E350" s="267" t="s">
        <v>50</v>
      </c>
      <c r="F350" s="267" t="s">
        <v>127</v>
      </c>
      <c r="G350" s="267"/>
      <c r="H350" s="301">
        <v>7.3628833333333299</v>
      </c>
      <c r="I350" s="269">
        <f>Table2[[#This Row],[Equipment Downtime]]/4</f>
        <v>1.8407208333333325</v>
      </c>
      <c r="J350" s="252"/>
      <c r="K350" s="253"/>
    </row>
    <row r="351" spans="1:11" ht="22" customHeight="1" x14ac:dyDescent="0.45">
      <c r="A351" s="353">
        <v>46270</v>
      </c>
      <c r="B351" s="267" t="s">
        <v>22</v>
      </c>
      <c r="C351" s="299" t="s">
        <v>301</v>
      </c>
      <c r="D351" s="299" t="s">
        <v>304</v>
      </c>
      <c r="E351" s="267" t="s">
        <v>50</v>
      </c>
      <c r="F351" s="267" t="s">
        <v>127</v>
      </c>
      <c r="G351" s="267"/>
      <c r="H351" s="301">
        <v>591.88396666666699</v>
      </c>
      <c r="I351" s="269">
        <f>Table2[[#This Row],[Equipment Downtime]]/4</f>
        <v>147.97099166666675</v>
      </c>
      <c r="J351" s="252"/>
      <c r="K351" s="253"/>
    </row>
    <row r="352" spans="1:11" ht="22" customHeight="1" x14ac:dyDescent="0.45">
      <c r="A352" s="353">
        <v>46270</v>
      </c>
      <c r="B352" s="267" t="s">
        <v>22</v>
      </c>
      <c r="C352" s="299" t="s">
        <v>301</v>
      </c>
      <c r="D352" s="299" t="s">
        <v>296</v>
      </c>
      <c r="E352" s="267" t="s">
        <v>50</v>
      </c>
      <c r="F352" s="267" t="s">
        <v>127</v>
      </c>
      <c r="G352" s="267"/>
      <c r="H352" s="301">
        <v>4.3567499999999999</v>
      </c>
      <c r="I352" s="269">
        <f>Table2[[#This Row],[Equipment Downtime]]/4</f>
        <v>1.0891875</v>
      </c>
      <c r="J352" s="252"/>
      <c r="K352" s="253"/>
    </row>
    <row r="353" spans="1:11" ht="22" customHeight="1" x14ac:dyDescent="0.45">
      <c r="A353" s="353">
        <v>46270</v>
      </c>
      <c r="B353" s="267" t="s">
        <v>22</v>
      </c>
      <c r="C353" s="299" t="s">
        <v>301</v>
      </c>
      <c r="D353" s="299" t="s">
        <v>297</v>
      </c>
      <c r="E353" s="267" t="s">
        <v>50</v>
      </c>
      <c r="F353" s="267" t="s">
        <v>127</v>
      </c>
      <c r="G353" s="267"/>
      <c r="H353" s="301">
        <v>3.5334500000000002</v>
      </c>
      <c r="I353" s="269">
        <f>Table2[[#This Row],[Equipment Downtime]]/4</f>
        <v>0.88336250000000005</v>
      </c>
      <c r="J353" s="252"/>
      <c r="K353" s="253"/>
    </row>
    <row r="354" spans="1:11" ht="22" customHeight="1" x14ac:dyDescent="0.45">
      <c r="A354" s="353">
        <v>46270</v>
      </c>
      <c r="B354" s="267" t="s">
        <v>22</v>
      </c>
      <c r="C354" s="299" t="s">
        <v>303</v>
      </c>
      <c r="D354" s="299" t="s">
        <v>296</v>
      </c>
      <c r="E354" s="267" t="s">
        <v>50</v>
      </c>
      <c r="F354" s="267" t="s">
        <v>127</v>
      </c>
      <c r="G354" s="267"/>
      <c r="H354" s="301">
        <v>10.173583333333299</v>
      </c>
      <c r="I354" s="269">
        <f>Table2[[#This Row],[Equipment Downtime]]/4</f>
        <v>2.5433958333333249</v>
      </c>
      <c r="J354" s="252"/>
      <c r="K354" s="253"/>
    </row>
    <row r="355" spans="1:11" ht="22" customHeight="1" x14ac:dyDescent="0.45">
      <c r="A355" s="353">
        <v>46270</v>
      </c>
      <c r="B355" s="267" t="s">
        <v>22</v>
      </c>
      <c r="C355" s="299" t="s">
        <v>303</v>
      </c>
      <c r="D355" s="299" t="s">
        <v>298</v>
      </c>
      <c r="E355" s="267" t="s">
        <v>50</v>
      </c>
      <c r="F355" s="267" t="s">
        <v>127</v>
      </c>
      <c r="G355" s="267"/>
      <c r="H355" s="301">
        <v>15.2575</v>
      </c>
      <c r="I355" s="269">
        <f>Table2[[#This Row],[Equipment Downtime]]/4</f>
        <v>3.8143750000000001</v>
      </c>
      <c r="J355" s="252"/>
      <c r="K355" s="253"/>
    </row>
    <row r="356" spans="1:11" ht="22" customHeight="1" x14ac:dyDescent="0.45">
      <c r="A356" s="353">
        <v>46270</v>
      </c>
      <c r="B356" s="267" t="s">
        <v>22</v>
      </c>
      <c r="C356" s="299" t="s">
        <v>303</v>
      </c>
      <c r="D356" s="299" t="s">
        <v>302</v>
      </c>
      <c r="E356" s="267" t="s">
        <v>50</v>
      </c>
      <c r="F356" s="267" t="s">
        <v>127</v>
      </c>
      <c r="G356" s="267"/>
      <c r="H356" s="301">
        <v>12.437666666666701</v>
      </c>
      <c r="I356" s="269">
        <f>Table2[[#This Row],[Equipment Downtime]]/4</f>
        <v>3.1094166666666752</v>
      </c>
      <c r="J356" s="252"/>
      <c r="K356" s="253"/>
    </row>
    <row r="357" spans="1:11" ht="22" customHeight="1" x14ac:dyDescent="0.45">
      <c r="A357" s="353">
        <v>46270</v>
      </c>
      <c r="B357" s="267" t="s">
        <v>22</v>
      </c>
      <c r="C357" s="299" t="s">
        <v>305</v>
      </c>
      <c r="D357" s="299" t="s">
        <v>306</v>
      </c>
      <c r="E357" s="267" t="s">
        <v>50</v>
      </c>
      <c r="F357" s="267" t="s">
        <v>127</v>
      </c>
      <c r="G357" s="267"/>
      <c r="H357" s="301">
        <v>88.034183333333303</v>
      </c>
      <c r="I357" s="269">
        <f>Table2[[#This Row],[Equipment Downtime]]/4</f>
        <v>22.008545833333326</v>
      </c>
      <c r="J357" s="252"/>
      <c r="K357" s="253"/>
    </row>
    <row r="358" spans="1:11" ht="22" customHeight="1" x14ac:dyDescent="0.45">
      <c r="A358" s="353">
        <v>46270</v>
      </c>
      <c r="B358" s="267" t="s">
        <v>22</v>
      </c>
      <c r="C358" s="299" t="s">
        <v>305</v>
      </c>
      <c r="D358" s="299" t="s">
        <v>307</v>
      </c>
      <c r="E358" s="267" t="s">
        <v>50</v>
      </c>
      <c r="F358" s="267" t="s">
        <v>127</v>
      </c>
      <c r="G358" s="267"/>
      <c r="H358" s="301">
        <v>12.293049999999999</v>
      </c>
      <c r="I358" s="269">
        <f>Table2[[#This Row],[Equipment Downtime]]/4</f>
        <v>3.0732624999999998</v>
      </c>
      <c r="J358" s="252"/>
      <c r="K358" s="253"/>
    </row>
    <row r="359" spans="1:11" ht="22" customHeight="1" x14ac:dyDescent="0.45">
      <c r="A359" s="353">
        <v>46270</v>
      </c>
      <c r="B359" s="267" t="s">
        <v>22</v>
      </c>
      <c r="C359" s="299" t="s">
        <v>305</v>
      </c>
      <c r="D359" s="299" t="s">
        <v>308</v>
      </c>
      <c r="E359" s="267" t="s">
        <v>50</v>
      </c>
      <c r="F359" s="267" t="s">
        <v>127</v>
      </c>
      <c r="G359" s="267"/>
      <c r="H359" s="301">
        <v>14.50085</v>
      </c>
      <c r="I359" s="269">
        <f>Table2[[#This Row],[Equipment Downtime]]/4</f>
        <v>3.6252124999999999</v>
      </c>
      <c r="J359" s="252"/>
      <c r="K359" s="253"/>
    </row>
    <row r="360" spans="1:11" ht="22" customHeight="1" x14ac:dyDescent="0.45">
      <c r="A360" s="353">
        <v>46270</v>
      </c>
      <c r="B360" s="267" t="s">
        <v>22</v>
      </c>
      <c r="C360" s="299" t="s">
        <v>309</v>
      </c>
      <c r="D360" s="299" t="s">
        <v>306</v>
      </c>
      <c r="E360" s="267" t="s">
        <v>50</v>
      </c>
      <c r="F360" s="267" t="s">
        <v>127</v>
      </c>
      <c r="G360" s="267"/>
      <c r="H360" s="301">
        <v>8.1839333333333304</v>
      </c>
      <c r="I360" s="269">
        <f>Table2[[#This Row],[Equipment Downtime]]/4</f>
        <v>2.0459833333333326</v>
      </c>
      <c r="J360" s="252"/>
      <c r="K360" s="253"/>
    </row>
    <row r="361" spans="1:11" ht="22" customHeight="1" x14ac:dyDescent="0.45">
      <c r="A361" s="353">
        <v>46270</v>
      </c>
      <c r="B361" s="267" t="s">
        <v>22</v>
      </c>
      <c r="C361" s="299" t="s">
        <v>309</v>
      </c>
      <c r="D361" s="299" t="s">
        <v>308</v>
      </c>
      <c r="E361" s="267" t="s">
        <v>50</v>
      </c>
      <c r="F361" s="267" t="s">
        <v>127</v>
      </c>
      <c r="G361" s="267"/>
      <c r="H361" s="301">
        <v>19.191333333333301</v>
      </c>
      <c r="I361" s="269">
        <f>Table2[[#This Row],[Equipment Downtime]]/4</f>
        <v>4.7978333333333252</v>
      </c>
      <c r="J361" s="252"/>
      <c r="K361" s="253"/>
    </row>
    <row r="362" spans="1:11" ht="22" customHeight="1" x14ac:dyDescent="0.45">
      <c r="A362" s="353">
        <v>46270</v>
      </c>
      <c r="B362" s="267" t="s">
        <v>22</v>
      </c>
      <c r="C362" s="299" t="s">
        <v>309</v>
      </c>
      <c r="D362" s="299" t="s">
        <v>320</v>
      </c>
      <c r="E362" s="267" t="s">
        <v>50</v>
      </c>
      <c r="F362" s="267" t="s">
        <v>127</v>
      </c>
      <c r="G362" s="267"/>
      <c r="H362" s="301">
        <v>481.73826666666702</v>
      </c>
      <c r="I362" s="269">
        <f>Table2[[#This Row],[Equipment Downtime]]/4</f>
        <v>120.43456666666675</v>
      </c>
      <c r="J362" s="252"/>
      <c r="K362" s="253"/>
    </row>
    <row r="363" spans="1:11" ht="22" customHeight="1" x14ac:dyDescent="0.45">
      <c r="A363" s="353">
        <v>46270</v>
      </c>
      <c r="B363" s="267" t="s">
        <v>33</v>
      </c>
      <c r="C363" s="299" t="s">
        <v>310</v>
      </c>
      <c r="D363" s="299" t="s">
        <v>126</v>
      </c>
      <c r="E363" s="267" t="s">
        <v>50</v>
      </c>
      <c r="F363" s="267" t="s">
        <v>127</v>
      </c>
      <c r="G363" s="267"/>
      <c r="H363" s="301">
        <v>5.2930666666666699</v>
      </c>
      <c r="I363" s="269">
        <f>Table2[[#This Row],[Equipment Downtime]]/4</f>
        <v>1.3232666666666675</v>
      </c>
      <c r="J363" s="252"/>
      <c r="K363" s="253"/>
    </row>
    <row r="364" spans="1:11" ht="22" customHeight="1" x14ac:dyDescent="0.45">
      <c r="A364" s="353">
        <v>46270</v>
      </c>
      <c r="B364" s="267" t="s">
        <v>33</v>
      </c>
      <c r="C364" s="299" t="s">
        <v>310</v>
      </c>
      <c r="D364" s="299" t="s">
        <v>311</v>
      </c>
      <c r="E364" s="267" t="s">
        <v>50</v>
      </c>
      <c r="F364" s="267" t="s">
        <v>127</v>
      </c>
      <c r="G364" s="267"/>
      <c r="H364" s="301">
        <v>9.0332500000000007</v>
      </c>
      <c r="I364" s="269">
        <f>Table2[[#This Row],[Equipment Downtime]]/4</f>
        <v>2.2583125000000002</v>
      </c>
      <c r="J364" s="252"/>
      <c r="K364" s="253"/>
    </row>
    <row r="365" spans="1:11" ht="22" customHeight="1" x14ac:dyDescent="0.45">
      <c r="A365" s="353">
        <v>46270</v>
      </c>
      <c r="B365" s="267" t="s">
        <v>33</v>
      </c>
      <c r="C365" s="299" t="s">
        <v>310</v>
      </c>
      <c r="D365" s="299" t="s">
        <v>335</v>
      </c>
      <c r="E365" s="267" t="s">
        <v>50</v>
      </c>
      <c r="F365" s="267" t="s">
        <v>53</v>
      </c>
      <c r="G365" s="267"/>
      <c r="H365" s="301">
        <f>480</f>
        <v>480</v>
      </c>
      <c r="I365" s="269">
        <f>Table2[[#This Row],[Equipment Downtime]]/4</f>
        <v>120</v>
      </c>
      <c r="J365" s="252" t="s">
        <v>336</v>
      </c>
      <c r="K365" s="253"/>
    </row>
    <row r="366" spans="1:11" ht="22" customHeight="1" x14ac:dyDescent="0.45">
      <c r="A366" s="353">
        <v>46270</v>
      </c>
      <c r="B366" s="267" t="s">
        <v>33</v>
      </c>
      <c r="C366" s="299" t="s">
        <v>313</v>
      </c>
      <c r="D366" s="299" t="s">
        <v>337</v>
      </c>
      <c r="E366" s="267" t="s">
        <v>50</v>
      </c>
      <c r="F366" s="267" t="s">
        <v>127</v>
      </c>
      <c r="G366" s="267"/>
      <c r="H366" s="301">
        <v>2.42913333333333</v>
      </c>
      <c r="I366" s="269">
        <f>Table2[[#This Row],[Equipment Downtime]]/4</f>
        <v>0.60728333333333251</v>
      </c>
      <c r="J366" s="252"/>
      <c r="K366" s="253"/>
    </row>
    <row r="367" spans="1:11" ht="22" customHeight="1" x14ac:dyDescent="0.45">
      <c r="A367" s="353">
        <v>46270</v>
      </c>
      <c r="B367" s="267" t="s">
        <v>33</v>
      </c>
      <c r="C367" s="299" t="s">
        <v>313</v>
      </c>
      <c r="D367" s="299" t="s">
        <v>311</v>
      </c>
      <c r="E367" s="267" t="s">
        <v>50</v>
      </c>
      <c r="F367" s="267" t="s">
        <v>127</v>
      </c>
      <c r="G367" s="267"/>
      <c r="H367" s="301">
        <v>3.12863333333333</v>
      </c>
      <c r="I367" s="269">
        <f>Table2[[#This Row],[Equipment Downtime]]/4</f>
        <v>0.78215833333333251</v>
      </c>
      <c r="J367" s="252"/>
      <c r="K367" s="253"/>
    </row>
    <row r="368" spans="1:11" ht="22" customHeight="1" x14ac:dyDescent="0.45">
      <c r="A368" s="353">
        <v>46270</v>
      </c>
      <c r="B368" s="267" t="s">
        <v>33</v>
      </c>
      <c r="C368" s="299" t="s">
        <v>313</v>
      </c>
      <c r="D368" s="299" t="s">
        <v>312</v>
      </c>
      <c r="E368" s="267" t="s">
        <v>50</v>
      </c>
      <c r="F368" s="267" t="s">
        <v>127</v>
      </c>
      <c r="G368" s="267"/>
      <c r="H368" s="301">
        <v>1.1874499999999999</v>
      </c>
      <c r="I368" s="269">
        <f>Table2[[#This Row],[Equipment Downtime]]/4</f>
        <v>0.29686249999999997</v>
      </c>
      <c r="J368" s="252"/>
      <c r="K368" s="253"/>
    </row>
    <row r="369" spans="1:11" ht="22" customHeight="1" x14ac:dyDescent="0.45">
      <c r="A369" s="353">
        <v>46270</v>
      </c>
      <c r="B369" s="267" t="s">
        <v>33</v>
      </c>
      <c r="C369" s="299" t="s">
        <v>314</v>
      </c>
      <c r="D369" s="299" t="s">
        <v>126</v>
      </c>
      <c r="E369" s="267" t="s">
        <v>50</v>
      </c>
      <c r="F369" s="267" t="s">
        <v>127</v>
      </c>
      <c r="G369" s="267"/>
      <c r="H369" s="301">
        <v>9.8615333333333304</v>
      </c>
      <c r="I369" s="269">
        <f>Table2[[#This Row],[Equipment Downtime]]/4</f>
        <v>2.4653833333333326</v>
      </c>
      <c r="J369" s="252"/>
      <c r="K369" s="253"/>
    </row>
    <row r="370" spans="1:11" ht="22" customHeight="1" x14ac:dyDescent="0.45">
      <c r="A370" s="353">
        <v>46270</v>
      </c>
      <c r="B370" s="267" t="s">
        <v>33</v>
      </c>
      <c r="C370" s="299" t="s">
        <v>314</v>
      </c>
      <c r="D370" s="299" t="s">
        <v>338</v>
      </c>
      <c r="E370" s="267" t="s">
        <v>50</v>
      </c>
      <c r="F370" s="267" t="s">
        <v>127</v>
      </c>
      <c r="G370" s="267"/>
      <c r="H370" s="301">
        <v>3.29653333333333</v>
      </c>
      <c r="I370" s="269">
        <f>Table2[[#This Row],[Equipment Downtime]]/4</f>
        <v>0.8241333333333325</v>
      </c>
      <c r="J370" s="252"/>
      <c r="K370" s="253"/>
    </row>
    <row r="371" spans="1:11" ht="22" customHeight="1" x14ac:dyDescent="0.45">
      <c r="A371" s="353">
        <v>46270</v>
      </c>
      <c r="B371" s="267" t="s">
        <v>33</v>
      </c>
      <c r="C371" s="299" t="s">
        <v>314</v>
      </c>
      <c r="D371" s="299" t="s">
        <v>316</v>
      </c>
      <c r="E371" s="267" t="s">
        <v>50</v>
      </c>
      <c r="F371" s="267" t="s">
        <v>127</v>
      </c>
      <c r="G371" s="267"/>
      <c r="H371" s="301">
        <v>4.5457666666666698</v>
      </c>
      <c r="I371" s="269">
        <f>Table2[[#This Row],[Equipment Downtime]]/4</f>
        <v>1.1364416666666675</v>
      </c>
      <c r="J371" s="252"/>
      <c r="K371" s="253"/>
    </row>
    <row r="372" spans="1:11" ht="22" customHeight="1" x14ac:dyDescent="0.45">
      <c r="A372" s="353">
        <v>46270</v>
      </c>
      <c r="B372" s="267" t="s">
        <v>33</v>
      </c>
      <c r="C372" s="299" t="s">
        <v>317</v>
      </c>
      <c r="D372" s="299" t="s">
        <v>339</v>
      </c>
      <c r="E372" s="267" t="s">
        <v>50</v>
      </c>
      <c r="F372" s="267" t="s">
        <v>127</v>
      </c>
      <c r="G372" s="267"/>
      <c r="H372" s="301">
        <v>11.5952</v>
      </c>
      <c r="I372" s="269">
        <f>Table2[[#This Row],[Equipment Downtime]]/4</f>
        <v>2.8988</v>
      </c>
      <c r="J372" s="252"/>
      <c r="K372" s="253"/>
    </row>
    <row r="373" spans="1:11" ht="22" customHeight="1" x14ac:dyDescent="0.45">
      <c r="A373" s="353">
        <v>46270</v>
      </c>
      <c r="B373" s="267" t="s">
        <v>33</v>
      </c>
      <c r="C373" s="299" t="s">
        <v>317</v>
      </c>
      <c r="D373" s="299" t="s">
        <v>319</v>
      </c>
      <c r="E373" s="267" t="s">
        <v>50</v>
      </c>
      <c r="F373" s="267" t="s">
        <v>127</v>
      </c>
      <c r="G373" s="267"/>
      <c r="H373" s="301">
        <v>0.24413333333333301</v>
      </c>
      <c r="I373" s="269">
        <f>Table2[[#This Row],[Equipment Downtime]]/4</f>
        <v>6.1033333333333252E-2</v>
      </c>
      <c r="J373" s="252"/>
      <c r="K373" s="253"/>
    </row>
    <row r="374" spans="1:11" ht="22" customHeight="1" x14ac:dyDescent="0.45">
      <c r="A374" s="353">
        <v>46270</v>
      </c>
      <c r="B374" s="267" t="s">
        <v>33</v>
      </c>
      <c r="C374" s="299" t="s">
        <v>317</v>
      </c>
      <c r="D374" s="299" t="s">
        <v>322</v>
      </c>
      <c r="E374" s="267" t="s">
        <v>50</v>
      </c>
      <c r="F374" s="267" t="s">
        <v>127</v>
      </c>
      <c r="G374" s="267"/>
      <c r="H374" s="301">
        <v>0.45889999999999997</v>
      </c>
      <c r="I374" s="269">
        <f>Table2[[#This Row],[Equipment Downtime]]/4</f>
        <v>0.11472499999999999</v>
      </c>
      <c r="J374" s="252"/>
      <c r="K374" s="253"/>
    </row>
    <row r="375" spans="1:11" ht="22" customHeight="1" x14ac:dyDescent="0.45">
      <c r="A375" s="353">
        <v>46271</v>
      </c>
      <c r="B375" s="267" t="s">
        <v>129</v>
      </c>
      <c r="C375" s="299" t="s">
        <v>130</v>
      </c>
      <c r="D375" s="299" t="s">
        <v>340</v>
      </c>
      <c r="E375" s="267" t="s">
        <v>50</v>
      </c>
      <c r="F375" s="267" t="s">
        <v>160</v>
      </c>
      <c r="G375" s="267"/>
      <c r="H375" s="301">
        <v>30</v>
      </c>
      <c r="I375" s="269">
        <v>30</v>
      </c>
      <c r="J375" s="252"/>
      <c r="K375" s="253"/>
    </row>
    <row r="376" spans="1:11" ht="22" customHeight="1" x14ac:dyDescent="0.45">
      <c r="A376" s="353">
        <v>46271</v>
      </c>
      <c r="B376" s="267" t="s">
        <v>29</v>
      </c>
      <c r="C376" s="299" t="s">
        <v>30</v>
      </c>
      <c r="D376" s="299" t="s">
        <v>341</v>
      </c>
      <c r="E376" s="267" t="s">
        <v>50</v>
      </c>
      <c r="F376" s="267" t="s">
        <v>52</v>
      </c>
      <c r="G376" s="267"/>
      <c r="H376" s="301">
        <v>15</v>
      </c>
      <c r="I376" s="269">
        <v>15</v>
      </c>
      <c r="J376" s="252"/>
      <c r="K376" s="253"/>
    </row>
    <row r="377" spans="1:11" ht="22" customHeight="1" x14ac:dyDescent="0.45">
      <c r="A377" s="353">
        <v>46271</v>
      </c>
      <c r="B377" s="267" t="s">
        <v>33</v>
      </c>
      <c r="C377" s="299" t="s">
        <v>342</v>
      </c>
      <c r="D377" s="299"/>
      <c r="E377" s="267" t="s">
        <v>50</v>
      </c>
      <c r="F377" s="267" t="s">
        <v>52</v>
      </c>
      <c r="G377" s="267"/>
      <c r="H377" s="301">
        <v>1440</v>
      </c>
      <c r="I377" s="269">
        <f>1440/7</f>
        <v>205.71428571428572</v>
      </c>
      <c r="J377" s="266"/>
      <c r="K377" s="253"/>
    </row>
    <row r="378" spans="1:11" ht="22" customHeight="1" x14ac:dyDescent="0.45">
      <c r="A378" s="353">
        <v>46271</v>
      </c>
      <c r="B378" s="267" t="s">
        <v>22</v>
      </c>
      <c r="C378" s="299" t="s">
        <v>295</v>
      </c>
      <c r="D378" s="299" t="s">
        <v>304</v>
      </c>
      <c r="E378" s="267" t="s">
        <v>50</v>
      </c>
      <c r="F378" s="267" t="s">
        <v>127</v>
      </c>
      <c r="G378" s="267"/>
      <c r="H378" s="303">
        <v>8.1797166666666694</v>
      </c>
      <c r="I378" s="269">
        <f>Table2[[#This Row],[Equipment Downtime]]/4</f>
        <v>2.0449291666666674</v>
      </c>
      <c r="J378" s="266"/>
      <c r="K378" s="253"/>
    </row>
    <row r="379" spans="1:11" ht="22" customHeight="1" x14ac:dyDescent="0.45">
      <c r="A379" s="353">
        <v>46271</v>
      </c>
      <c r="B379" s="267" t="s">
        <v>22</v>
      </c>
      <c r="C379" s="299" t="s">
        <v>295</v>
      </c>
      <c r="D379" s="299" t="s">
        <v>296</v>
      </c>
      <c r="E379" s="267" t="s">
        <v>50</v>
      </c>
      <c r="F379" s="267" t="s">
        <v>127</v>
      </c>
      <c r="G379" s="267"/>
      <c r="H379" s="303">
        <v>32.8901166666667</v>
      </c>
      <c r="I379" s="269">
        <f>Table2[[#This Row],[Equipment Downtime]]/4</f>
        <v>8.2225291666666749</v>
      </c>
      <c r="J379" s="266"/>
      <c r="K379" s="253"/>
    </row>
    <row r="380" spans="1:11" ht="22" customHeight="1" x14ac:dyDescent="0.45">
      <c r="A380" s="353">
        <v>46271</v>
      </c>
      <c r="B380" s="267" t="s">
        <v>22</v>
      </c>
      <c r="C380" s="299" t="s">
        <v>295</v>
      </c>
      <c r="D380" s="299" t="s">
        <v>298</v>
      </c>
      <c r="E380" s="267" t="s">
        <v>50</v>
      </c>
      <c r="F380" s="267" t="s">
        <v>127</v>
      </c>
      <c r="G380" s="267"/>
      <c r="H380" s="303">
        <v>19.2785333333333</v>
      </c>
      <c r="I380" s="269">
        <f>Table2[[#This Row],[Equipment Downtime]]/4</f>
        <v>4.819633333333325</v>
      </c>
      <c r="J380" s="266"/>
      <c r="K380" s="253"/>
    </row>
    <row r="381" spans="1:11" ht="22" customHeight="1" x14ac:dyDescent="0.45">
      <c r="A381" s="353">
        <v>46271</v>
      </c>
      <c r="B381" s="267" t="s">
        <v>22</v>
      </c>
      <c r="C381" s="299" t="s">
        <v>299</v>
      </c>
      <c r="D381" s="299" t="s">
        <v>304</v>
      </c>
      <c r="E381" s="267" t="s">
        <v>50</v>
      </c>
      <c r="F381" s="267" t="s">
        <v>127</v>
      </c>
      <c r="G381" s="267"/>
      <c r="H381" s="303">
        <v>10.992983333333299</v>
      </c>
      <c r="I381" s="269">
        <f>Table2[[#This Row],[Equipment Downtime]]/4</f>
        <v>2.7482458333333248</v>
      </c>
      <c r="J381" s="266"/>
      <c r="K381" s="253"/>
    </row>
    <row r="382" spans="1:11" ht="22" customHeight="1" x14ac:dyDescent="0.45">
      <c r="A382" s="353">
        <v>46271</v>
      </c>
      <c r="B382" s="267" t="s">
        <v>22</v>
      </c>
      <c r="C382" s="299" t="s">
        <v>299</v>
      </c>
      <c r="D382" s="299" t="s">
        <v>296</v>
      </c>
      <c r="E382" s="267" t="s">
        <v>50</v>
      </c>
      <c r="F382" s="267" t="s">
        <v>127</v>
      </c>
      <c r="G382" s="267"/>
      <c r="H382" s="303">
        <v>3.4294500000000001</v>
      </c>
      <c r="I382" s="269">
        <f>Table2[[#This Row],[Equipment Downtime]]/4</f>
        <v>0.85736250000000003</v>
      </c>
      <c r="J382" s="266"/>
      <c r="K382" s="253"/>
    </row>
    <row r="383" spans="1:11" ht="22" customHeight="1" x14ac:dyDescent="0.45">
      <c r="A383" s="353">
        <v>46271</v>
      </c>
      <c r="B383" s="267" t="s">
        <v>22</v>
      </c>
      <c r="C383" s="299" t="s">
        <v>299</v>
      </c>
      <c r="D383" s="299" t="s">
        <v>300</v>
      </c>
      <c r="E383" s="267" t="s">
        <v>50</v>
      </c>
      <c r="F383" s="267" t="s">
        <v>127</v>
      </c>
      <c r="G383" s="267"/>
      <c r="H383" s="303">
        <v>6.5379833333333304</v>
      </c>
      <c r="I383" s="269">
        <f>Table2[[#This Row],[Equipment Downtime]]/4</f>
        <v>1.6344958333333326</v>
      </c>
      <c r="J383" s="266"/>
      <c r="K383" s="253"/>
    </row>
    <row r="384" spans="1:11" ht="22" customHeight="1" x14ac:dyDescent="0.45">
      <c r="A384" s="353">
        <v>46271</v>
      </c>
      <c r="B384" s="267" t="s">
        <v>22</v>
      </c>
      <c r="C384" s="299" t="s">
        <v>301</v>
      </c>
      <c r="D384" s="299" t="s">
        <v>334</v>
      </c>
      <c r="E384" s="267" t="s">
        <v>50</v>
      </c>
      <c r="F384" s="267" t="s">
        <v>127</v>
      </c>
      <c r="G384" s="267"/>
      <c r="H384" s="303">
        <v>8.8682499999999997</v>
      </c>
      <c r="I384" s="269">
        <f>Table2[[#This Row],[Equipment Downtime]]/4</f>
        <v>2.2170624999999999</v>
      </c>
      <c r="J384" s="266"/>
      <c r="K384" s="253"/>
    </row>
    <row r="385" spans="1:11" ht="22" customHeight="1" x14ac:dyDescent="0.45">
      <c r="A385" s="353">
        <v>46271</v>
      </c>
      <c r="B385" s="267" t="s">
        <v>22</v>
      </c>
      <c r="C385" s="299" t="s">
        <v>301</v>
      </c>
      <c r="D385" s="299" t="s">
        <v>343</v>
      </c>
      <c r="E385" s="267" t="s">
        <v>50</v>
      </c>
      <c r="F385" s="267" t="s">
        <v>127</v>
      </c>
      <c r="G385" s="267"/>
      <c r="H385" s="303">
        <v>43.6261333333333</v>
      </c>
      <c r="I385" s="269">
        <f>Table2[[#This Row],[Equipment Downtime]]/4</f>
        <v>10.906533333333325</v>
      </c>
      <c r="J385" s="266"/>
      <c r="K385" s="253"/>
    </row>
    <row r="386" spans="1:11" ht="22" customHeight="1" x14ac:dyDescent="0.45">
      <c r="A386" s="353">
        <v>46271</v>
      </c>
      <c r="B386" s="267" t="s">
        <v>22</v>
      </c>
      <c r="C386" s="299" t="s">
        <v>301</v>
      </c>
      <c r="D386" s="299" t="s">
        <v>302</v>
      </c>
      <c r="E386" s="267" t="s">
        <v>50</v>
      </c>
      <c r="F386" s="267" t="s">
        <v>127</v>
      </c>
      <c r="G386" s="267"/>
      <c r="H386" s="303">
        <v>18.0597833333333</v>
      </c>
      <c r="I386" s="269">
        <f>Table2[[#This Row],[Equipment Downtime]]/4</f>
        <v>4.514945833333325</v>
      </c>
      <c r="J386" s="266"/>
      <c r="K386" s="253"/>
    </row>
    <row r="387" spans="1:11" ht="22" customHeight="1" x14ac:dyDescent="0.45">
      <c r="A387" s="353">
        <v>46271</v>
      </c>
      <c r="B387" s="267" t="s">
        <v>22</v>
      </c>
      <c r="C387" s="299" t="s">
        <v>303</v>
      </c>
      <c r="D387" s="299" t="s">
        <v>304</v>
      </c>
      <c r="E387" s="267" t="s">
        <v>50</v>
      </c>
      <c r="F387" s="267" t="s">
        <v>127</v>
      </c>
      <c r="G387" s="267"/>
      <c r="H387" s="303">
        <v>3.4274666666666702</v>
      </c>
      <c r="I387" s="269">
        <f>Table2[[#This Row],[Equipment Downtime]]/4</f>
        <v>0.85686666666666755</v>
      </c>
      <c r="J387" s="266"/>
      <c r="K387" s="253"/>
    </row>
    <row r="388" spans="1:11" ht="22" customHeight="1" x14ac:dyDescent="0.45">
      <c r="A388" s="353">
        <v>46271</v>
      </c>
      <c r="B388" s="267" t="s">
        <v>22</v>
      </c>
      <c r="C388" s="299" t="s">
        <v>303</v>
      </c>
      <c r="D388" s="299" t="s">
        <v>296</v>
      </c>
      <c r="E388" s="267" t="s">
        <v>50</v>
      </c>
      <c r="F388" s="267" t="s">
        <v>127</v>
      </c>
      <c r="G388" s="267"/>
      <c r="H388" s="303">
        <v>32.732066666666697</v>
      </c>
      <c r="I388" s="269">
        <f>Table2[[#This Row],[Equipment Downtime]]/4</f>
        <v>8.1830166666666742</v>
      </c>
      <c r="J388" s="266"/>
      <c r="K388" s="253"/>
    </row>
    <row r="389" spans="1:11" ht="22" customHeight="1" x14ac:dyDescent="0.45">
      <c r="A389" s="353">
        <v>46271</v>
      </c>
      <c r="B389" s="267" t="s">
        <v>22</v>
      </c>
      <c r="C389" s="299" t="s">
        <v>303</v>
      </c>
      <c r="D389" s="299" t="s">
        <v>302</v>
      </c>
      <c r="E389" s="267" t="s">
        <v>50</v>
      </c>
      <c r="F389" s="267" t="s">
        <v>127</v>
      </c>
      <c r="G389" s="267"/>
      <c r="H389" s="303">
        <v>50.357199999999999</v>
      </c>
      <c r="I389" s="269">
        <f>Table2[[#This Row],[Equipment Downtime]]/4</f>
        <v>12.5893</v>
      </c>
      <c r="J389" s="266"/>
      <c r="K389" s="253"/>
    </row>
    <row r="390" spans="1:11" ht="22" customHeight="1" x14ac:dyDescent="0.45">
      <c r="A390" s="353">
        <v>46271</v>
      </c>
      <c r="B390" s="267" t="s">
        <v>22</v>
      </c>
      <c r="C390" s="299" t="s">
        <v>305</v>
      </c>
      <c r="D390" s="299" t="s">
        <v>306</v>
      </c>
      <c r="E390" s="267" t="s">
        <v>50</v>
      </c>
      <c r="F390" s="267" t="s">
        <v>127</v>
      </c>
      <c r="G390" s="267"/>
      <c r="H390" s="303">
        <v>318.52946666666702</v>
      </c>
      <c r="I390" s="269">
        <f>Table2[[#This Row],[Equipment Downtime]]/4</f>
        <v>79.632366666666755</v>
      </c>
      <c r="J390" s="266"/>
      <c r="K390" s="253"/>
    </row>
    <row r="391" spans="1:11" ht="22" customHeight="1" x14ac:dyDescent="0.45">
      <c r="A391" s="353">
        <v>46271</v>
      </c>
      <c r="B391" s="267" t="s">
        <v>22</v>
      </c>
      <c r="C391" s="299" t="s">
        <v>305</v>
      </c>
      <c r="D391" s="299" t="s">
        <v>307</v>
      </c>
      <c r="E391" s="267" t="s">
        <v>50</v>
      </c>
      <c r="F391" s="267" t="s">
        <v>127</v>
      </c>
      <c r="G391" s="267"/>
      <c r="H391" s="303">
        <v>66.261600000000001</v>
      </c>
      <c r="I391" s="269">
        <f>Table2[[#This Row],[Equipment Downtime]]/4</f>
        <v>16.5654</v>
      </c>
      <c r="J391" s="266"/>
      <c r="K391" s="253"/>
    </row>
    <row r="392" spans="1:11" ht="22" customHeight="1" x14ac:dyDescent="0.45">
      <c r="A392" s="353">
        <v>46271</v>
      </c>
      <c r="B392" s="267" t="s">
        <v>22</v>
      </c>
      <c r="C392" s="299" t="s">
        <v>305</v>
      </c>
      <c r="D392" s="299" t="s">
        <v>308</v>
      </c>
      <c r="E392" s="267" t="s">
        <v>50</v>
      </c>
      <c r="F392" s="267" t="s">
        <v>127</v>
      </c>
      <c r="G392" s="267"/>
      <c r="H392" s="303">
        <v>17.6306166666667</v>
      </c>
      <c r="I392" s="269">
        <f>Table2[[#This Row],[Equipment Downtime]]/4</f>
        <v>4.4076541666666751</v>
      </c>
      <c r="J392" s="266"/>
      <c r="K392" s="253"/>
    </row>
    <row r="393" spans="1:11" ht="22" customHeight="1" x14ac:dyDescent="0.45">
      <c r="A393" s="353">
        <v>46271</v>
      </c>
      <c r="B393" s="267" t="s">
        <v>22</v>
      </c>
      <c r="C393" s="299" t="s">
        <v>309</v>
      </c>
      <c r="D393" s="299" t="s">
        <v>306</v>
      </c>
      <c r="E393" s="267" t="s">
        <v>50</v>
      </c>
      <c r="F393" s="267" t="s">
        <v>127</v>
      </c>
      <c r="G393" s="267"/>
      <c r="H393" s="303">
        <v>50.647233333333297</v>
      </c>
      <c r="I393" s="269">
        <f>Table2[[#This Row],[Equipment Downtime]]/4</f>
        <v>12.661808333333324</v>
      </c>
      <c r="J393" s="266"/>
      <c r="K393" s="253"/>
    </row>
    <row r="394" spans="1:11" ht="22" customHeight="1" x14ac:dyDescent="0.45">
      <c r="A394" s="353">
        <v>46271</v>
      </c>
      <c r="B394" s="267" t="s">
        <v>22</v>
      </c>
      <c r="C394" s="299" t="s">
        <v>309</v>
      </c>
      <c r="D394" s="299" t="s">
        <v>308</v>
      </c>
      <c r="E394" s="267" t="s">
        <v>50</v>
      </c>
      <c r="F394" s="267" t="s">
        <v>127</v>
      </c>
      <c r="G394" s="267"/>
      <c r="H394" s="303">
        <v>34.747050000000002</v>
      </c>
      <c r="I394" s="269">
        <f>Table2[[#This Row],[Equipment Downtime]]/4</f>
        <v>8.6867625000000004</v>
      </c>
      <c r="J394" s="266"/>
      <c r="K394" s="253"/>
    </row>
    <row r="395" spans="1:11" ht="22" customHeight="1" x14ac:dyDescent="0.45">
      <c r="A395" s="353">
        <v>46271</v>
      </c>
      <c r="B395" s="267" t="s">
        <v>22</v>
      </c>
      <c r="C395" s="299" t="s">
        <v>309</v>
      </c>
      <c r="D395" s="299" t="s">
        <v>344</v>
      </c>
      <c r="E395" s="267" t="s">
        <v>50</v>
      </c>
      <c r="F395" s="267" t="s">
        <v>127</v>
      </c>
      <c r="G395" s="267"/>
      <c r="H395" s="303">
        <v>14.770566666666699</v>
      </c>
      <c r="I395" s="269">
        <f>Table2[[#This Row],[Equipment Downtime]]/4</f>
        <v>3.6926416666666748</v>
      </c>
      <c r="J395" s="266"/>
      <c r="K395" s="253"/>
    </row>
    <row r="396" spans="1:11" ht="22" customHeight="1" x14ac:dyDescent="0.45">
      <c r="A396" s="353">
        <v>46271</v>
      </c>
      <c r="B396" s="267" t="s">
        <v>29</v>
      </c>
      <c r="C396" s="299" t="s">
        <v>345</v>
      </c>
      <c r="D396" s="299" t="s">
        <v>346</v>
      </c>
      <c r="E396" s="267" t="s">
        <v>50</v>
      </c>
      <c r="F396" s="267" t="s">
        <v>127</v>
      </c>
      <c r="G396" s="267"/>
      <c r="H396" s="303">
        <v>1.16468333333333</v>
      </c>
      <c r="I396" s="269">
        <f>Table2[[#This Row],[Equipment Downtime]]/4</f>
        <v>0.29117083333333249</v>
      </c>
      <c r="J396" s="266"/>
      <c r="K396" s="253"/>
    </row>
    <row r="397" spans="1:11" ht="22" customHeight="1" x14ac:dyDescent="0.45">
      <c r="A397" s="353">
        <v>46271</v>
      </c>
      <c r="B397" s="267" t="s">
        <v>33</v>
      </c>
      <c r="C397" s="299" t="s">
        <v>310</v>
      </c>
      <c r="D397" s="299" t="s">
        <v>311</v>
      </c>
      <c r="E397" s="267" t="s">
        <v>50</v>
      </c>
      <c r="F397" s="267" t="s">
        <v>127</v>
      </c>
      <c r="G397" s="267"/>
      <c r="H397" s="303">
        <v>18.3449666666667</v>
      </c>
      <c r="I397" s="269">
        <f>Table2[[#This Row],[Equipment Downtime]]/4</f>
        <v>4.586241666666675</v>
      </c>
      <c r="J397" s="266"/>
      <c r="K397" s="253"/>
    </row>
    <row r="398" spans="1:11" ht="22" customHeight="1" x14ac:dyDescent="0.45">
      <c r="A398" s="353">
        <v>46271</v>
      </c>
      <c r="B398" s="267" t="s">
        <v>33</v>
      </c>
      <c r="C398" s="299" t="s">
        <v>310</v>
      </c>
      <c r="D398" s="299" t="s">
        <v>316</v>
      </c>
      <c r="E398" s="267" t="s">
        <v>50</v>
      </c>
      <c r="F398" s="267" t="s">
        <v>127</v>
      </c>
      <c r="G398" s="267"/>
      <c r="H398" s="303">
        <v>3.5429166666666698</v>
      </c>
      <c r="I398" s="269">
        <f>Table2[[#This Row],[Equipment Downtime]]/4</f>
        <v>0.88572916666666746</v>
      </c>
      <c r="J398" s="266"/>
      <c r="K398" s="253"/>
    </row>
    <row r="399" spans="1:11" ht="22" customHeight="1" x14ac:dyDescent="0.45">
      <c r="A399" s="353">
        <v>46271</v>
      </c>
      <c r="B399" s="267" t="s">
        <v>33</v>
      </c>
      <c r="C399" s="299" t="s">
        <v>310</v>
      </c>
      <c r="D399" s="299" t="s">
        <v>333</v>
      </c>
      <c r="E399" s="267" t="s">
        <v>50</v>
      </c>
      <c r="F399" s="267" t="s">
        <v>127</v>
      </c>
      <c r="G399" s="267"/>
      <c r="H399" s="303">
        <v>3.0039833333333301</v>
      </c>
      <c r="I399" s="269">
        <f>Table2[[#This Row],[Equipment Downtime]]/4</f>
        <v>0.75099583333333253</v>
      </c>
      <c r="J399" s="266"/>
      <c r="K399" s="253"/>
    </row>
    <row r="400" spans="1:11" ht="22" customHeight="1" x14ac:dyDescent="0.45">
      <c r="A400" s="353">
        <v>46271</v>
      </c>
      <c r="B400" s="267" t="s">
        <v>33</v>
      </c>
      <c r="C400" s="299" t="s">
        <v>313</v>
      </c>
      <c r="D400" s="299" t="s">
        <v>311</v>
      </c>
      <c r="E400" s="267" t="s">
        <v>50</v>
      </c>
      <c r="F400" s="267" t="s">
        <v>127</v>
      </c>
      <c r="G400" s="267"/>
      <c r="H400" s="303">
        <v>16.188883333333301</v>
      </c>
      <c r="I400" s="269">
        <f>Table2[[#This Row],[Equipment Downtime]]/4</f>
        <v>4.0472208333333253</v>
      </c>
      <c r="J400" s="266"/>
      <c r="K400" s="253"/>
    </row>
    <row r="401" spans="1:11" ht="22" customHeight="1" x14ac:dyDescent="0.45">
      <c r="A401" s="353">
        <v>46271</v>
      </c>
      <c r="B401" s="267" t="s">
        <v>33</v>
      </c>
      <c r="C401" s="299" t="s">
        <v>313</v>
      </c>
      <c r="D401" s="299" t="s">
        <v>347</v>
      </c>
      <c r="E401" s="267" t="s">
        <v>50</v>
      </c>
      <c r="F401" s="267" t="s">
        <v>127</v>
      </c>
      <c r="G401" s="267"/>
      <c r="H401" s="303">
        <v>0.36208333333333298</v>
      </c>
      <c r="I401" s="269">
        <f>Table2[[#This Row],[Equipment Downtime]]/4</f>
        <v>9.0520833333333245E-2</v>
      </c>
      <c r="J401" s="266"/>
      <c r="K401" s="253"/>
    </row>
    <row r="402" spans="1:11" ht="22" customHeight="1" x14ac:dyDescent="0.45">
      <c r="A402" s="353">
        <v>46271</v>
      </c>
      <c r="B402" s="267" t="s">
        <v>33</v>
      </c>
      <c r="C402" s="299" t="s">
        <v>313</v>
      </c>
      <c r="D402" s="299" t="s">
        <v>316</v>
      </c>
      <c r="E402" s="267" t="s">
        <v>50</v>
      </c>
      <c r="F402" s="267" t="s">
        <v>127</v>
      </c>
      <c r="G402" s="267"/>
      <c r="H402" s="303">
        <v>6.2609166666666702</v>
      </c>
      <c r="I402" s="269">
        <f>Table2[[#This Row],[Equipment Downtime]]/4</f>
        <v>1.5652291666666676</v>
      </c>
      <c r="J402" s="266"/>
      <c r="K402" s="253"/>
    </row>
    <row r="403" spans="1:11" ht="22" customHeight="1" x14ac:dyDescent="0.45">
      <c r="A403" s="353">
        <v>46271</v>
      </c>
      <c r="B403" s="267" t="s">
        <v>33</v>
      </c>
      <c r="C403" s="299" t="s">
        <v>314</v>
      </c>
      <c r="D403" s="299" t="s">
        <v>348</v>
      </c>
      <c r="E403" s="267" t="s">
        <v>50</v>
      </c>
      <c r="F403" s="267" t="s">
        <v>127</v>
      </c>
      <c r="G403" s="267"/>
      <c r="H403" s="303">
        <v>28.358799999999999</v>
      </c>
      <c r="I403" s="269">
        <f>Table2[[#This Row],[Equipment Downtime]]/4</f>
        <v>7.0896999999999997</v>
      </c>
      <c r="J403" s="266"/>
      <c r="K403" s="253"/>
    </row>
    <row r="404" spans="1:11" ht="22" customHeight="1" x14ac:dyDescent="0.45">
      <c r="A404" s="353">
        <v>46271</v>
      </c>
      <c r="B404" s="267" t="s">
        <v>33</v>
      </c>
      <c r="C404" s="299" t="s">
        <v>314</v>
      </c>
      <c r="D404" s="299" t="s">
        <v>256</v>
      </c>
      <c r="E404" s="267" t="s">
        <v>50</v>
      </c>
      <c r="F404" s="267" t="s">
        <v>127</v>
      </c>
      <c r="G404" s="267"/>
      <c r="H404" s="303">
        <v>8.7465499999999992</v>
      </c>
      <c r="I404" s="269">
        <f>Table2[[#This Row],[Equipment Downtime]]/4</f>
        <v>2.1866374999999998</v>
      </c>
      <c r="J404" s="266"/>
      <c r="K404" s="253"/>
    </row>
    <row r="405" spans="1:11" ht="22" customHeight="1" x14ac:dyDescent="0.45">
      <c r="A405" s="353">
        <v>46271</v>
      </c>
      <c r="B405" s="267" t="s">
        <v>33</v>
      </c>
      <c r="C405" s="299" t="s">
        <v>314</v>
      </c>
      <c r="D405" s="299" t="s">
        <v>316</v>
      </c>
      <c r="E405" s="267" t="s">
        <v>50</v>
      </c>
      <c r="F405" s="267" t="s">
        <v>127</v>
      </c>
      <c r="G405" s="267"/>
      <c r="H405" s="303">
        <v>18.098883333333301</v>
      </c>
      <c r="I405" s="269">
        <f>Table2[[#This Row],[Equipment Downtime]]/4</f>
        <v>4.5247208333333253</v>
      </c>
      <c r="J405" s="266"/>
      <c r="K405" s="253"/>
    </row>
    <row r="406" spans="1:11" ht="22" customHeight="1" x14ac:dyDescent="0.45">
      <c r="A406" s="353">
        <v>46271</v>
      </c>
      <c r="B406" s="267" t="s">
        <v>33</v>
      </c>
      <c r="C406" s="299" t="s">
        <v>317</v>
      </c>
      <c r="D406" s="299" t="s">
        <v>339</v>
      </c>
      <c r="E406" s="267" t="s">
        <v>50</v>
      </c>
      <c r="F406" s="267" t="s">
        <v>127</v>
      </c>
      <c r="G406" s="267"/>
      <c r="H406" s="303">
        <v>1.4223666666666701</v>
      </c>
      <c r="I406" s="269">
        <f>Table2[[#This Row],[Equipment Downtime]]/4</f>
        <v>0.35559166666666753</v>
      </c>
      <c r="J406" s="266"/>
      <c r="K406" s="253"/>
    </row>
    <row r="407" spans="1:11" ht="22" customHeight="1" x14ac:dyDescent="0.45">
      <c r="A407" s="353">
        <v>46271</v>
      </c>
      <c r="B407" s="267" t="s">
        <v>33</v>
      </c>
      <c r="C407" s="299" t="s">
        <v>317</v>
      </c>
      <c r="D407" s="299" t="s">
        <v>349</v>
      </c>
      <c r="E407" s="267" t="s">
        <v>50</v>
      </c>
      <c r="F407" s="267" t="s">
        <v>127</v>
      </c>
      <c r="G407" s="267"/>
      <c r="H407" s="303">
        <v>0.97561666666666702</v>
      </c>
      <c r="I407" s="269">
        <f>Table2[[#This Row],[Equipment Downtime]]/4</f>
        <v>0.24390416666666676</v>
      </c>
      <c r="J407" s="266"/>
      <c r="K407" s="253"/>
    </row>
    <row r="408" spans="1:11" ht="22" customHeight="1" x14ac:dyDescent="0.45">
      <c r="A408" s="353">
        <v>46273</v>
      </c>
      <c r="B408" s="267" t="s">
        <v>161</v>
      </c>
      <c r="C408" s="299" t="s">
        <v>350</v>
      </c>
      <c r="D408" s="299" t="s">
        <v>351</v>
      </c>
      <c r="E408" s="267" t="s">
        <v>50</v>
      </c>
      <c r="F408" s="267" t="s">
        <v>52</v>
      </c>
      <c r="G408" s="267"/>
      <c r="H408" s="301">
        <v>45</v>
      </c>
      <c r="I408" s="269">
        <f>Table2[[#This Row],[Equipment Downtime]]*30%</f>
        <v>13.5</v>
      </c>
      <c r="J408" s="266"/>
      <c r="K408" s="253"/>
    </row>
    <row r="409" spans="1:11" ht="22" customHeight="1" x14ac:dyDescent="0.45">
      <c r="A409" s="353">
        <v>46273</v>
      </c>
      <c r="B409" s="267" t="s">
        <v>25</v>
      </c>
      <c r="C409" s="299" t="s">
        <v>352</v>
      </c>
      <c r="D409" s="299" t="s">
        <v>286</v>
      </c>
      <c r="E409" s="267" t="s">
        <v>50</v>
      </c>
      <c r="F409" s="267" t="s">
        <v>52</v>
      </c>
      <c r="G409" s="267"/>
      <c r="H409" s="301">
        <v>15</v>
      </c>
      <c r="I409" s="269">
        <v>15</v>
      </c>
      <c r="J409" s="266"/>
      <c r="K409" s="253"/>
    </row>
    <row r="410" spans="1:11" ht="22" customHeight="1" x14ac:dyDescent="0.45">
      <c r="A410" s="353">
        <v>46274</v>
      </c>
      <c r="B410" s="267" t="s">
        <v>25</v>
      </c>
      <c r="C410" s="299" t="s">
        <v>352</v>
      </c>
      <c r="D410" s="299" t="s">
        <v>286</v>
      </c>
      <c r="E410" s="267" t="s">
        <v>50</v>
      </c>
      <c r="F410" s="267" t="s">
        <v>52</v>
      </c>
      <c r="G410" s="267"/>
      <c r="H410" s="301">
        <v>15</v>
      </c>
      <c r="I410" s="269">
        <v>15</v>
      </c>
      <c r="J410" s="266"/>
      <c r="K410" s="253"/>
    </row>
    <row r="411" spans="1:11" ht="22" customHeight="1" x14ac:dyDescent="0.45">
      <c r="A411" s="353">
        <v>46274</v>
      </c>
      <c r="B411" s="267" t="s">
        <v>22</v>
      </c>
      <c r="C411" s="299" t="s">
        <v>295</v>
      </c>
      <c r="D411" s="299" t="s">
        <v>296</v>
      </c>
      <c r="E411" s="267" t="s">
        <v>50</v>
      </c>
      <c r="F411" s="267" t="s">
        <v>127</v>
      </c>
      <c r="G411" s="267"/>
      <c r="H411" s="301">
        <v>15.097633333333301</v>
      </c>
      <c r="I411" s="269">
        <f>Table2[[#This Row],[Equipment Downtime]]/4</f>
        <v>3.7744083333333251</v>
      </c>
      <c r="J411" s="266"/>
      <c r="K411" s="253"/>
    </row>
    <row r="412" spans="1:11" ht="22" customHeight="1" x14ac:dyDescent="0.45">
      <c r="A412" s="353">
        <v>46274</v>
      </c>
      <c r="B412" s="267" t="s">
        <v>22</v>
      </c>
      <c r="C412" s="299" t="s">
        <v>299</v>
      </c>
      <c r="D412" s="299" t="s">
        <v>296</v>
      </c>
      <c r="E412" s="267" t="s">
        <v>50</v>
      </c>
      <c r="F412" s="267" t="s">
        <v>127</v>
      </c>
      <c r="G412" s="267"/>
      <c r="H412" s="301">
        <v>14.2300166666667</v>
      </c>
      <c r="I412" s="269">
        <f>Table2[[#This Row],[Equipment Downtime]]/4</f>
        <v>3.5575041666666749</v>
      </c>
      <c r="J412" s="266"/>
      <c r="K412" s="253"/>
    </row>
    <row r="413" spans="1:11" ht="22" customHeight="1" x14ac:dyDescent="0.45">
      <c r="A413" s="353">
        <v>46274</v>
      </c>
      <c r="B413" s="267" t="s">
        <v>22</v>
      </c>
      <c r="C413" s="299" t="s">
        <v>301</v>
      </c>
      <c r="D413" s="299" t="s">
        <v>296</v>
      </c>
      <c r="E413" s="267" t="s">
        <v>50</v>
      </c>
      <c r="F413" s="267" t="s">
        <v>127</v>
      </c>
      <c r="G413" s="267"/>
      <c r="H413" s="301">
        <v>30.582366666666701</v>
      </c>
      <c r="I413" s="269">
        <f>Table2[[#This Row],[Equipment Downtime]]/4</f>
        <v>7.6455916666666752</v>
      </c>
      <c r="J413" s="266"/>
      <c r="K413" s="253"/>
    </row>
    <row r="414" spans="1:11" ht="22" customHeight="1" x14ac:dyDescent="0.45">
      <c r="A414" s="353">
        <v>46274</v>
      </c>
      <c r="B414" s="267" t="s">
        <v>22</v>
      </c>
      <c r="C414" s="299" t="s">
        <v>301</v>
      </c>
      <c r="D414" s="299" t="s">
        <v>302</v>
      </c>
      <c r="E414" s="267" t="s">
        <v>50</v>
      </c>
      <c r="F414" s="267" t="s">
        <v>127</v>
      </c>
      <c r="G414" s="267"/>
      <c r="H414" s="301">
        <v>15.5719833333333</v>
      </c>
      <c r="I414" s="269">
        <f>Table2[[#This Row],[Equipment Downtime]]/4</f>
        <v>3.892995833333325</v>
      </c>
      <c r="J414" s="266"/>
      <c r="K414" s="253"/>
    </row>
    <row r="415" spans="1:11" ht="22" customHeight="1" x14ac:dyDescent="0.45">
      <c r="A415" s="353">
        <v>46274</v>
      </c>
      <c r="B415" s="267" t="s">
        <v>22</v>
      </c>
      <c r="C415" s="299" t="s">
        <v>303</v>
      </c>
      <c r="D415" s="299" t="s">
        <v>302</v>
      </c>
      <c r="E415" s="267" t="s">
        <v>50</v>
      </c>
      <c r="F415" s="267" t="s">
        <v>127</v>
      </c>
      <c r="G415" s="267"/>
      <c r="H415" s="301">
        <v>14.3987833333333</v>
      </c>
      <c r="I415" s="269">
        <f>Table2[[#This Row],[Equipment Downtime]]/4</f>
        <v>3.5996958333333251</v>
      </c>
      <c r="J415" s="266"/>
      <c r="K415" s="253"/>
    </row>
    <row r="416" spans="1:11" ht="22" customHeight="1" x14ac:dyDescent="0.45">
      <c r="A416" s="353">
        <v>46274</v>
      </c>
      <c r="B416" s="267" t="s">
        <v>33</v>
      </c>
      <c r="C416" s="299" t="s">
        <v>310</v>
      </c>
      <c r="D416" s="299" t="s">
        <v>311</v>
      </c>
      <c r="E416" s="267" t="s">
        <v>50</v>
      </c>
      <c r="F416" s="267" t="s">
        <v>52</v>
      </c>
      <c r="G416" s="267"/>
      <c r="H416" s="301">
        <v>150.13679999999999</v>
      </c>
      <c r="I416" s="269">
        <f>Table2[[#This Row],[Equipment Downtime]]/4</f>
        <v>37.534199999999998</v>
      </c>
      <c r="J416" s="266"/>
      <c r="K416" s="253"/>
    </row>
    <row r="417" spans="1:11" ht="22" customHeight="1" x14ac:dyDescent="0.45">
      <c r="A417" s="353">
        <v>46274</v>
      </c>
      <c r="B417" s="267" t="s">
        <v>33</v>
      </c>
      <c r="C417" s="299" t="s">
        <v>310</v>
      </c>
      <c r="D417" s="299" t="s">
        <v>333</v>
      </c>
      <c r="E417" s="267" t="s">
        <v>50</v>
      </c>
      <c r="F417" s="267" t="s">
        <v>127</v>
      </c>
      <c r="G417" s="267"/>
      <c r="H417" s="301">
        <v>4.8393333333333297</v>
      </c>
      <c r="I417" s="269">
        <f>Table2[[#This Row],[Equipment Downtime]]/4</f>
        <v>1.2098333333333324</v>
      </c>
      <c r="J417" s="266"/>
      <c r="K417" s="253"/>
    </row>
    <row r="418" spans="1:11" ht="22" customHeight="1" x14ac:dyDescent="0.45">
      <c r="A418" s="353">
        <v>46274</v>
      </c>
      <c r="B418" s="267" t="s">
        <v>33</v>
      </c>
      <c r="C418" s="299" t="s">
        <v>310</v>
      </c>
      <c r="D418" s="299" t="s">
        <v>312</v>
      </c>
      <c r="E418" s="267" t="s">
        <v>50</v>
      </c>
      <c r="F418" s="267" t="s">
        <v>127</v>
      </c>
      <c r="G418" s="267"/>
      <c r="H418" s="301">
        <v>11.420066666666701</v>
      </c>
      <c r="I418" s="269">
        <f>Table2[[#This Row],[Equipment Downtime]]/4</f>
        <v>2.8550166666666752</v>
      </c>
      <c r="J418" s="266"/>
      <c r="K418" s="253"/>
    </row>
    <row r="419" spans="1:11" ht="22" customHeight="1" x14ac:dyDescent="0.45">
      <c r="A419" s="353">
        <v>46274</v>
      </c>
      <c r="B419" s="267" t="s">
        <v>33</v>
      </c>
      <c r="C419" s="299" t="s">
        <v>313</v>
      </c>
      <c r="D419" s="299" t="s">
        <v>311</v>
      </c>
      <c r="E419" s="267" t="s">
        <v>50</v>
      </c>
      <c r="F419" s="267" t="s">
        <v>127</v>
      </c>
      <c r="G419" s="267"/>
      <c r="H419" s="301">
        <v>15.0721333333333</v>
      </c>
      <c r="I419" s="269">
        <f>Table2[[#This Row],[Equipment Downtime]]/4</f>
        <v>3.7680333333333249</v>
      </c>
      <c r="J419" s="266"/>
      <c r="K419" s="253"/>
    </row>
    <row r="420" spans="1:11" ht="22" customHeight="1" x14ac:dyDescent="0.45">
      <c r="A420" s="353">
        <v>46274</v>
      </c>
      <c r="B420" s="267" t="s">
        <v>33</v>
      </c>
      <c r="C420" s="299" t="s">
        <v>313</v>
      </c>
      <c r="D420" s="299" t="s">
        <v>126</v>
      </c>
      <c r="E420" s="267" t="s">
        <v>50</v>
      </c>
      <c r="F420" s="267" t="s">
        <v>127</v>
      </c>
      <c r="G420" s="267"/>
      <c r="H420" s="301">
        <v>29.092966666666701</v>
      </c>
      <c r="I420" s="269">
        <f>Table2[[#This Row],[Equipment Downtime]]/4</f>
        <v>7.2732416666666753</v>
      </c>
      <c r="J420" s="266"/>
      <c r="K420" s="253"/>
    </row>
    <row r="421" spans="1:11" ht="22" customHeight="1" x14ac:dyDescent="0.45">
      <c r="A421" s="353">
        <v>46274</v>
      </c>
      <c r="B421" s="267" t="s">
        <v>33</v>
      </c>
      <c r="C421" s="299" t="s">
        <v>313</v>
      </c>
      <c r="D421" s="299" t="s">
        <v>319</v>
      </c>
      <c r="E421" s="267" t="s">
        <v>50</v>
      </c>
      <c r="F421" s="267" t="s">
        <v>127</v>
      </c>
      <c r="G421" s="267"/>
      <c r="H421" s="301">
        <v>2.0811500000000001</v>
      </c>
      <c r="I421" s="269">
        <f>Table2[[#This Row],[Equipment Downtime]]/4</f>
        <v>0.52028750000000001</v>
      </c>
      <c r="J421" s="266"/>
      <c r="K421" s="253"/>
    </row>
    <row r="422" spans="1:11" ht="22" customHeight="1" x14ac:dyDescent="0.45">
      <c r="A422" s="353">
        <v>46274</v>
      </c>
      <c r="B422" s="267" t="s">
        <v>33</v>
      </c>
      <c r="C422" s="299" t="s">
        <v>314</v>
      </c>
      <c r="D422" s="299" t="s">
        <v>316</v>
      </c>
      <c r="E422" s="267" t="s">
        <v>50</v>
      </c>
      <c r="F422" s="267" t="s">
        <v>127</v>
      </c>
      <c r="G422" s="267"/>
      <c r="H422" s="301">
        <v>7.6364999999999998</v>
      </c>
      <c r="I422" s="269">
        <f>Table2[[#This Row],[Equipment Downtime]]/4</f>
        <v>1.909125</v>
      </c>
      <c r="J422" s="266"/>
      <c r="K422" s="253"/>
    </row>
    <row r="423" spans="1:11" ht="22" customHeight="1" x14ac:dyDescent="0.45">
      <c r="A423" s="353">
        <v>46274</v>
      </c>
      <c r="B423" s="267" t="s">
        <v>33</v>
      </c>
      <c r="C423" s="299" t="s">
        <v>314</v>
      </c>
      <c r="D423" s="299" t="s">
        <v>126</v>
      </c>
      <c r="E423" s="267" t="s">
        <v>50</v>
      </c>
      <c r="F423" s="267" t="s">
        <v>127</v>
      </c>
      <c r="G423" s="267"/>
      <c r="H423" s="301">
        <v>14.6168333333333</v>
      </c>
      <c r="I423" s="269">
        <f>Table2[[#This Row],[Equipment Downtime]]/4</f>
        <v>3.6542083333333251</v>
      </c>
      <c r="J423" s="266"/>
      <c r="K423" s="253"/>
    </row>
    <row r="424" spans="1:11" ht="22" customHeight="1" x14ac:dyDescent="0.45">
      <c r="A424" s="353">
        <v>46274</v>
      </c>
      <c r="B424" s="267" t="s">
        <v>33</v>
      </c>
      <c r="C424" s="299" t="s">
        <v>314</v>
      </c>
      <c r="D424" s="299" t="s">
        <v>321</v>
      </c>
      <c r="E424" s="267" t="s">
        <v>50</v>
      </c>
      <c r="F424" s="267" t="s">
        <v>127</v>
      </c>
      <c r="G424" s="267"/>
      <c r="H424" s="301">
        <v>2.17566666666667</v>
      </c>
      <c r="I424" s="269">
        <f>Table2[[#This Row],[Equipment Downtime]]/4</f>
        <v>0.54391666666666749</v>
      </c>
      <c r="J424" s="266"/>
      <c r="K424" s="253"/>
    </row>
    <row r="425" spans="1:11" ht="22" customHeight="1" x14ac:dyDescent="0.45">
      <c r="A425" s="353">
        <v>46274</v>
      </c>
      <c r="B425" s="267" t="s">
        <v>33</v>
      </c>
      <c r="C425" s="299" t="s">
        <v>317</v>
      </c>
      <c r="D425" s="299" t="s">
        <v>315</v>
      </c>
      <c r="E425" s="267" t="s">
        <v>50</v>
      </c>
      <c r="F425" s="267" t="s">
        <v>127</v>
      </c>
      <c r="G425" s="267"/>
      <c r="H425" s="301">
        <v>0.12636666666666699</v>
      </c>
      <c r="I425" s="269">
        <f>Table2[[#This Row],[Equipment Downtime]]/4</f>
        <v>3.1591666666666747E-2</v>
      </c>
      <c r="J425" s="266"/>
      <c r="K425" s="253"/>
    </row>
    <row r="426" spans="1:11" ht="22" customHeight="1" x14ac:dyDescent="0.45">
      <c r="A426" s="353">
        <v>46274</v>
      </c>
      <c r="B426" s="267" t="s">
        <v>33</v>
      </c>
      <c r="C426" s="299" t="s">
        <v>317</v>
      </c>
      <c r="D426" s="299" t="s">
        <v>322</v>
      </c>
      <c r="E426" s="267" t="s">
        <v>50</v>
      </c>
      <c r="F426" s="267" t="s">
        <v>127</v>
      </c>
      <c r="G426" s="267"/>
      <c r="H426" s="301">
        <v>1.30771666666667</v>
      </c>
      <c r="I426" s="269">
        <f>Table2[[#This Row],[Equipment Downtime]]/4</f>
        <v>0.32692916666666749</v>
      </c>
      <c r="J426" s="266"/>
      <c r="K426" s="253"/>
    </row>
    <row r="427" spans="1:11" ht="22" customHeight="1" x14ac:dyDescent="0.45">
      <c r="A427" s="353">
        <v>46274</v>
      </c>
      <c r="B427" s="267" t="s">
        <v>33</v>
      </c>
      <c r="C427" s="299" t="s">
        <v>317</v>
      </c>
      <c r="D427" s="299" t="s">
        <v>772</v>
      </c>
      <c r="E427" s="267" t="s">
        <v>50</v>
      </c>
      <c r="F427" s="267" t="s">
        <v>127</v>
      </c>
      <c r="G427" s="267"/>
      <c r="H427" s="301">
        <v>0.26955000000000001</v>
      </c>
      <c r="I427" s="269">
        <f>Table2[[#This Row],[Equipment Downtime]]/4</f>
        <v>6.7387500000000003E-2</v>
      </c>
      <c r="J427" s="266"/>
      <c r="K427" s="253"/>
    </row>
    <row r="428" spans="1:11" ht="22" customHeight="1" x14ac:dyDescent="0.45">
      <c r="A428" s="353">
        <v>46275</v>
      </c>
      <c r="B428" s="267" t="s">
        <v>115</v>
      </c>
      <c r="C428" s="299" t="s">
        <v>116</v>
      </c>
      <c r="D428" s="299" t="s">
        <v>74</v>
      </c>
      <c r="E428" s="267" t="s">
        <v>117</v>
      </c>
      <c r="F428" s="267" t="s">
        <v>74</v>
      </c>
      <c r="G428" s="267"/>
      <c r="H428" s="301"/>
      <c r="I428" s="269"/>
      <c r="J428" s="266"/>
      <c r="K428" s="253"/>
    </row>
    <row r="429" spans="1:11" ht="22" customHeight="1" x14ac:dyDescent="0.45">
      <c r="A429" s="353">
        <v>46275</v>
      </c>
      <c r="B429" s="267" t="s">
        <v>186</v>
      </c>
      <c r="C429" s="299" t="s">
        <v>498</v>
      </c>
      <c r="D429" s="299" t="s">
        <v>843</v>
      </c>
      <c r="E429" s="267" t="s">
        <v>50</v>
      </c>
      <c r="F429" s="267" t="s">
        <v>53</v>
      </c>
      <c r="G429" s="267"/>
      <c r="H429" s="301">
        <v>660</v>
      </c>
      <c r="I429" s="269">
        <f>2.2*60</f>
        <v>132</v>
      </c>
      <c r="J429" s="266"/>
      <c r="K429" s="253"/>
    </row>
    <row r="430" spans="1:11" ht="22" customHeight="1" x14ac:dyDescent="0.45">
      <c r="A430" s="266"/>
      <c r="B430" s="267"/>
      <c r="C430" s="299"/>
      <c r="D430" s="299"/>
      <c r="E430" s="267"/>
      <c r="F430" s="267"/>
      <c r="G430" s="267"/>
      <c r="H430" s="301"/>
      <c r="I430" s="269"/>
      <c r="J430" s="266"/>
      <c r="K430" s="253"/>
    </row>
    <row r="431" spans="1:11" ht="22" customHeight="1" x14ac:dyDescent="0.45">
      <c r="A431" s="266"/>
      <c r="B431" s="267"/>
      <c r="C431" s="299"/>
      <c r="D431" s="299"/>
      <c r="E431" s="267"/>
      <c r="F431" s="267"/>
      <c r="G431" s="267"/>
      <c r="H431" s="301"/>
      <c r="I431" s="269"/>
      <c r="J431" s="266"/>
      <c r="K431" s="253"/>
    </row>
    <row r="432" spans="1:11" ht="22" customHeight="1" x14ac:dyDescent="0.45">
      <c r="A432" s="266"/>
      <c r="B432" s="267"/>
      <c r="C432" s="299"/>
      <c r="D432" s="299"/>
      <c r="E432" s="267"/>
      <c r="F432" s="267"/>
      <c r="G432" s="267"/>
      <c r="H432" s="301"/>
      <c r="I432" s="269"/>
      <c r="J432" s="266"/>
      <c r="K432" s="253"/>
    </row>
    <row r="433" spans="1:11" ht="22" customHeight="1" x14ac:dyDescent="0.45">
      <c r="A433" s="266"/>
      <c r="B433" s="267"/>
      <c r="C433" s="299"/>
      <c r="D433" s="299"/>
      <c r="E433" s="267"/>
      <c r="F433" s="267"/>
      <c r="G433" s="267"/>
      <c r="H433" s="301"/>
      <c r="I433" s="269"/>
      <c r="J433" s="266"/>
      <c r="K433" s="253"/>
    </row>
    <row r="434" spans="1:11" ht="22" customHeight="1" x14ac:dyDescent="0.45">
      <c r="A434" s="266"/>
      <c r="B434" s="267"/>
      <c r="C434" s="299"/>
      <c r="D434" s="299"/>
      <c r="E434" s="267"/>
      <c r="F434" s="267"/>
      <c r="G434" s="267"/>
      <c r="H434" s="301"/>
      <c r="I434" s="269"/>
      <c r="J434" s="266"/>
      <c r="K434" s="253"/>
    </row>
    <row r="435" spans="1:11" ht="22" customHeight="1" x14ac:dyDescent="0.45">
      <c r="A435" s="266"/>
      <c r="B435" s="267"/>
      <c r="C435" s="299"/>
      <c r="D435" s="299"/>
      <c r="E435" s="267"/>
      <c r="F435" s="267"/>
      <c r="G435" s="267"/>
      <c r="H435" s="301"/>
      <c r="I435" s="269"/>
      <c r="J435" s="266"/>
      <c r="K435" s="253"/>
    </row>
    <row r="436" spans="1:11" ht="22" customHeight="1" x14ac:dyDescent="0.45">
      <c r="A436" s="266"/>
      <c r="B436" s="267"/>
      <c r="C436" s="299"/>
      <c r="D436" s="299"/>
      <c r="E436" s="267"/>
      <c r="F436" s="267"/>
      <c r="G436" s="267"/>
      <c r="H436" s="301"/>
      <c r="I436" s="269"/>
      <c r="J436" s="266"/>
      <c r="K436" s="253"/>
    </row>
    <row r="437" spans="1:11" ht="22" customHeight="1" x14ac:dyDescent="0.45">
      <c r="A437" s="266"/>
      <c r="B437" s="267"/>
      <c r="C437" s="299"/>
      <c r="D437" s="299"/>
      <c r="E437" s="267"/>
      <c r="F437" s="267"/>
      <c r="G437" s="267"/>
      <c r="H437" s="301"/>
      <c r="I437" s="269"/>
      <c r="J437" s="266"/>
      <c r="K437" s="253"/>
    </row>
    <row r="438" spans="1:11" ht="22" customHeight="1" x14ac:dyDescent="0.45">
      <c r="A438" s="266"/>
      <c r="B438" s="267"/>
      <c r="C438" s="299"/>
      <c r="D438" s="299"/>
      <c r="E438" s="267"/>
      <c r="F438" s="267"/>
      <c r="G438" s="267"/>
      <c r="H438" s="301"/>
      <c r="I438" s="269"/>
      <c r="J438" s="266"/>
      <c r="K438" s="253"/>
    </row>
    <row r="439" spans="1:11" ht="22" customHeight="1" x14ac:dyDescent="0.45">
      <c r="A439" s="266"/>
      <c r="B439" s="267"/>
      <c r="C439" s="299"/>
      <c r="D439" s="299"/>
      <c r="E439" s="267"/>
      <c r="F439" s="267"/>
      <c r="G439" s="267"/>
      <c r="H439" s="301"/>
      <c r="I439" s="269"/>
      <c r="J439" s="266"/>
      <c r="K439" s="253"/>
    </row>
    <row r="440" spans="1:11" ht="22" customHeight="1" x14ac:dyDescent="0.45">
      <c r="A440" s="266"/>
      <c r="B440" s="267"/>
      <c r="C440" s="299"/>
      <c r="D440" s="299"/>
      <c r="E440" s="267"/>
      <c r="F440" s="267"/>
      <c r="G440" s="267"/>
      <c r="H440" s="301"/>
      <c r="I440" s="269"/>
      <c r="J440" s="266"/>
      <c r="K440" s="253"/>
    </row>
    <row r="441" spans="1:11" ht="22" customHeight="1" x14ac:dyDescent="0.45">
      <c r="A441" s="266"/>
      <c r="B441" s="267"/>
      <c r="C441" s="299"/>
      <c r="D441" s="299"/>
      <c r="E441" s="267"/>
      <c r="F441" s="267"/>
      <c r="G441" s="267"/>
      <c r="H441" s="301"/>
      <c r="I441" s="269"/>
      <c r="J441" s="266"/>
      <c r="K441" s="253"/>
    </row>
    <row r="442" spans="1:11" ht="22" customHeight="1" x14ac:dyDescent="0.45">
      <c r="A442" s="266"/>
      <c r="B442" s="267"/>
      <c r="C442" s="299"/>
      <c r="D442" s="299"/>
      <c r="E442" s="267"/>
      <c r="F442" s="267"/>
      <c r="G442" s="267"/>
      <c r="H442" s="301"/>
      <c r="I442" s="269"/>
      <c r="J442" s="266"/>
      <c r="K442" s="253"/>
    </row>
    <row r="443" spans="1:11" ht="22" customHeight="1" x14ac:dyDescent="0.45">
      <c r="A443" s="266"/>
      <c r="B443" s="267"/>
      <c r="C443" s="299"/>
      <c r="D443" s="299"/>
      <c r="E443" s="267"/>
      <c r="F443" s="267"/>
      <c r="G443" s="267"/>
      <c r="H443" s="301"/>
      <c r="I443" s="269"/>
      <c r="J443" s="266"/>
      <c r="K443" s="253"/>
    </row>
    <row r="444" spans="1:11" ht="22" customHeight="1" x14ac:dyDescent="0.45">
      <c r="A444" s="266"/>
      <c r="B444" s="267"/>
      <c r="C444" s="299"/>
      <c r="D444" s="299"/>
      <c r="E444" s="267"/>
      <c r="F444" s="267"/>
      <c r="G444" s="267"/>
      <c r="H444" s="301"/>
      <c r="I444" s="269"/>
      <c r="J444" s="266"/>
      <c r="K444" s="253"/>
    </row>
    <row r="445" spans="1:11" ht="22" customHeight="1" x14ac:dyDescent="0.45">
      <c r="A445" s="266"/>
      <c r="B445" s="267"/>
      <c r="C445" s="299"/>
      <c r="D445" s="299"/>
      <c r="E445" s="267"/>
      <c r="F445" s="267"/>
      <c r="G445" s="267"/>
      <c r="H445" s="301"/>
      <c r="I445" s="269"/>
      <c r="J445" s="266"/>
      <c r="K445" s="253"/>
    </row>
    <row r="446" spans="1:11" ht="22" customHeight="1" x14ac:dyDescent="0.45">
      <c r="A446" s="266"/>
      <c r="B446" s="267"/>
      <c r="C446" s="299"/>
      <c r="D446" s="299"/>
      <c r="E446" s="267"/>
      <c r="F446" s="267"/>
      <c r="G446" s="267"/>
      <c r="H446" s="301"/>
      <c r="I446" s="269"/>
      <c r="J446" s="266"/>
      <c r="K446" s="253"/>
    </row>
    <row r="447" spans="1:11" ht="22" customHeight="1" x14ac:dyDescent="0.45">
      <c r="A447" s="266"/>
      <c r="B447" s="267"/>
      <c r="C447" s="299"/>
      <c r="D447" s="299"/>
      <c r="E447" s="267"/>
      <c r="F447" s="267"/>
      <c r="G447" s="267"/>
      <c r="H447" s="301"/>
      <c r="I447" s="269"/>
      <c r="J447" s="266"/>
      <c r="K447" s="253"/>
    </row>
    <row r="448" spans="1:11" ht="22" customHeight="1" x14ac:dyDescent="0.45">
      <c r="A448" s="266"/>
      <c r="B448" s="267"/>
      <c r="C448" s="299"/>
      <c r="D448" s="299"/>
      <c r="E448" s="267"/>
      <c r="F448" s="267"/>
      <c r="G448" s="267"/>
      <c r="H448" s="301"/>
      <c r="I448" s="269"/>
      <c r="J448" s="266"/>
      <c r="K448" s="253"/>
    </row>
    <row r="449" spans="1:11" ht="22" customHeight="1" x14ac:dyDescent="0.45">
      <c r="A449" s="266"/>
      <c r="B449" s="267"/>
      <c r="C449" s="299"/>
      <c r="D449" s="299"/>
      <c r="E449" s="267"/>
      <c r="F449" s="267"/>
      <c r="G449" s="267"/>
      <c r="H449" s="301"/>
      <c r="I449" s="269"/>
      <c r="J449" s="266"/>
      <c r="K449" s="253"/>
    </row>
    <row r="450" spans="1:11" ht="22" customHeight="1" x14ac:dyDescent="0.45">
      <c r="A450" s="266"/>
      <c r="B450" s="267"/>
      <c r="C450" s="299"/>
      <c r="D450" s="299"/>
      <c r="E450" s="267"/>
      <c r="F450" s="267"/>
      <c r="G450" s="267"/>
      <c r="H450" s="301"/>
      <c r="I450" s="269"/>
      <c r="J450" s="266"/>
      <c r="K450" s="253"/>
    </row>
    <row r="451" spans="1:11" ht="22" customHeight="1" x14ac:dyDescent="0.45">
      <c r="A451" s="266"/>
      <c r="B451" s="267"/>
      <c r="C451" s="299"/>
      <c r="D451" s="299"/>
      <c r="E451" s="267"/>
      <c r="F451" s="267"/>
      <c r="G451" s="267"/>
      <c r="H451" s="301"/>
      <c r="I451" s="269"/>
      <c r="J451" s="266"/>
      <c r="K451" s="253"/>
    </row>
    <row r="452" spans="1:11" ht="22" customHeight="1" x14ac:dyDescent="0.45">
      <c r="A452" s="266"/>
      <c r="B452" s="267"/>
      <c r="C452" s="299"/>
      <c r="D452" s="299"/>
      <c r="E452" s="267"/>
      <c r="F452" s="267"/>
      <c r="G452" s="267"/>
      <c r="H452" s="301"/>
      <c r="I452" s="269"/>
      <c r="J452" s="266"/>
      <c r="K452" s="253"/>
    </row>
    <row r="453" spans="1:11" ht="22" customHeight="1" x14ac:dyDescent="0.45">
      <c r="A453" s="266"/>
      <c r="B453" s="267"/>
      <c r="C453" s="299"/>
      <c r="D453" s="299"/>
      <c r="E453" s="267"/>
      <c r="F453" s="267"/>
      <c r="G453" s="267"/>
      <c r="H453" s="301"/>
      <c r="I453" s="269"/>
      <c r="J453" s="266"/>
      <c r="K453" s="253"/>
    </row>
    <row r="454" spans="1:11" ht="22" customHeight="1" x14ac:dyDescent="0.45">
      <c r="A454" s="266"/>
      <c r="B454" s="267"/>
      <c r="C454" s="299"/>
      <c r="D454" s="299"/>
      <c r="E454" s="267"/>
      <c r="F454" s="267"/>
      <c r="G454" s="267"/>
      <c r="H454" s="301"/>
      <c r="I454" s="269"/>
      <c r="J454" s="266"/>
      <c r="K454" s="253"/>
    </row>
    <row r="455" spans="1:11" ht="22" customHeight="1" x14ac:dyDescent="0.45">
      <c r="A455" s="266"/>
      <c r="B455" s="267"/>
      <c r="C455" s="299"/>
      <c r="D455" s="299"/>
      <c r="E455" s="267"/>
      <c r="F455" s="267"/>
      <c r="G455" s="267"/>
      <c r="H455" s="301"/>
      <c r="I455" s="269"/>
      <c r="J455" s="266"/>
      <c r="K455" s="253"/>
    </row>
    <row r="456" spans="1:11" ht="22" customHeight="1" x14ac:dyDescent="0.45">
      <c r="A456" s="266"/>
      <c r="B456" s="267"/>
      <c r="C456" s="299"/>
      <c r="D456" s="299"/>
      <c r="E456" s="267"/>
      <c r="F456" s="267"/>
      <c r="G456" s="267"/>
      <c r="H456" s="301"/>
      <c r="I456" s="269"/>
      <c r="J456" s="266"/>
      <c r="K456" s="253"/>
    </row>
    <row r="457" spans="1:11" ht="22" customHeight="1" x14ac:dyDescent="0.45">
      <c r="A457" s="266"/>
      <c r="B457" s="267"/>
      <c r="C457" s="299"/>
      <c r="D457" s="299"/>
      <c r="E457" s="267"/>
      <c r="F457" s="267"/>
      <c r="G457" s="267"/>
      <c r="H457" s="301"/>
      <c r="I457" s="269"/>
      <c r="J457" s="266"/>
      <c r="K457" s="253"/>
    </row>
    <row r="458" spans="1:11" ht="22" customHeight="1" x14ac:dyDescent="0.45">
      <c r="A458" s="266"/>
      <c r="B458" s="267"/>
      <c r="C458" s="299"/>
      <c r="D458" s="299"/>
      <c r="E458" s="267"/>
      <c r="F458" s="267"/>
      <c r="G458" s="267"/>
      <c r="H458" s="301"/>
      <c r="I458" s="269"/>
      <c r="J458" s="266"/>
      <c r="K458" s="253"/>
    </row>
    <row r="459" spans="1:11" ht="22" customHeight="1" x14ac:dyDescent="0.45">
      <c r="A459" s="266"/>
      <c r="B459" s="267"/>
      <c r="C459" s="299"/>
      <c r="D459" s="299"/>
      <c r="E459" s="267"/>
      <c r="F459" s="267"/>
      <c r="G459" s="267"/>
      <c r="H459" s="301"/>
      <c r="I459" s="269"/>
      <c r="J459" s="266"/>
      <c r="K459" s="253"/>
    </row>
    <row r="460" spans="1:11" ht="22" customHeight="1" x14ac:dyDescent="0.45">
      <c r="A460" s="266"/>
      <c r="B460" s="267"/>
      <c r="C460" s="299"/>
      <c r="D460" s="299"/>
      <c r="E460" s="267"/>
      <c r="F460" s="267"/>
      <c r="G460" s="267"/>
      <c r="H460" s="301"/>
      <c r="I460" s="269"/>
      <c r="J460" s="266"/>
      <c r="K460" s="253"/>
    </row>
    <row r="461" spans="1:11" ht="22" customHeight="1" x14ac:dyDescent="0.45">
      <c r="A461" s="266"/>
      <c r="B461" s="267"/>
      <c r="C461" s="299"/>
      <c r="D461" s="299"/>
      <c r="E461" s="267"/>
      <c r="F461" s="267"/>
      <c r="G461" s="267"/>
      <c r="H461" s="301"/>
      <c r="I461" s="269"/>
      <c r="J461" s="266"/>
      <c r="K461" s="253"/>
    </row>
    <row r="462" spans="1:11" ht="22" customHeight="1" x14ac:dyDescent="0.45">
      <c r="A462" s="266"/>
      <c r="B462" s="267"/>
      <c r="C462" s="299"/>
      <c r="D462" s="299"/>
      <c r="E462" s="267"/>
      <c r="F462" s="267"/>
      <c r="G462" s="267"/>
      <c r="H462" s="301"/>
      <c r="I462" s="269"/>
      <c r="J462" s="266"/>
      <c r="K462" s="253"/>
    </row>
    <row r="463" spans="1:11" ht="22" customHeight="1" x14ac:dyDescent="0.45">
      <c r="A463" s="266"/>
      <c r="B463" s="267"/>
      <c r="C463" s="299"/>
      <c r="D463" s="299"/>
      <c r="E463" s="267"/>
      <c r="F463" s="267"/>
      <c r="G463" s="267"/>
      <c r="H463" s="301"/>
      <c r="I463" s="269"/>
      <c r="J463" s="266"/>
      <c r="K463" s="253"/>
    </row>
    <row r="464" spans="1:11" ht="22" customHeight="1" x14ac:dyDescent="0.45">
      <c r="A464" s="266"/>
      <c r="B464" s="267"/>
      <c r="C464" s="299"/>
      <c r="D464" s="299"/>
      <c r="E464" s="267"/>
      <c r="F464" s="267"/>
      <c r="G464" s="267"/>
      <c r="H464" s="301"/>
      <c r="I464" s="269"/>
      <c r="J464" s="266"/>
      <c r="K464" s="253"/>
    </row>
    <row r="465" spans="1:11" ht="22" customHeight="1" x14ac:dyDescent="0.45">
      <c r="A465" s="266"/>
      <c r="B465" s="267"/>
      <c r="C465" s="299"/>
      <c r="D465" s="299"/>
      <c r="E465" s="267"/>
      <c r="F465" s="267"/>
      <c r="G465" s="267"/>
      <c r="H465" s="301"/>
      <c r="I465" s="269"/>
      <c r="J465" s="266"/>
      <c r="K465" s="253"/>
    </row>
    <row r="466" spans="1:11" ht="22" customHeight="1" x14ac:dyDescent="0.45">
      <c r="A466" s="266"/>
      <c r="B466" s="267"/>
      <c r="C466" s="299"/>
      <c r="D466" s="299"/>
      <c r="E466" s="267"/>
      <c r="F466" s="267"/>
      <c r="G466" s="267"/>
      <c r="H466" s="301"/>
      <c r="I466" s="269"/>
      <c r="J466" s="266"/>
      <c r="K466" s="253"/>
    </row>
    <row r="467" spans="1:11" ht="22" customHeight="1" x14ac:dyDescent="0.45">
      <c r="A467" s="266"/>
      <c r="B467" s="267"/>
      <c r="C467" s="299"/>
      <c r="D467" s="299"/>
      <c r="E467" s="267"/>
      <c r="F467" s="267"/>
      <c r="G467" s="267"/>
      <c r="H467" s="301"/>
      <c r="I467" s="269"/>
      <c r="J467" s="266"/>
      <c r="K467" s="253"/>
    </row>
    <row r="468" spans="1:11" ht="22" customHeight="1" x14ac:dyDescent="0.45">
      <c r="A468" s="266"/>
      <c r="B468" s="267"/>
      <c r="C468" s="299"/>
      <c r="D468" s="299"/>
      <c r="E468" s="267"/>
      <c r="F468" s="267"/>
      <c r="G468" s="267"/>
      <c r="H468" s="301"/>
      <c r="I468" s="269"/>
      <c r="J468" s="266"/>
      <c r="K468" s="253"/>
    </row>
    <row r="469" spans="1:11" ht="22" customHeight="1" x14ac:dyDescent="0.45">
      <c r="A469" s="266"/>
      <c r="B469" s="267"/>
      <c r="C469" s="299"/>
      <c r="D469" s="299"/>
      <c r="E469" s="267"/>
      <c r="F469" s="267"/>
      <c r="G469" s="267"/>
      <c r="H469" s="301"/>
      <c r="I469" s="269"/>
      <c r="J469" s="266"/>
      <c r="K469" s="253"/>
    </row>
    <row r="470" spans="1:11" ht="22" customHeight="1" x14ac:dyDescent="0.45">
      <c r="A470" s="266"/>
      <c r="B470" s="267"/>
      <c r="C470" s="299"/>
      <c r="D470" s="299"/>
      <c r="E470" s="267"/>
      <c r="F470" s="267"/>
      <c r="G470" s="267"/>
      <c r="H470" s="301"/>
      <c r="I470" s="269"/>
      <c r="J470" s="266"/>
      <c r="K470" s="253"/>
    </row>
    <row r="471" spans="1:11" ht="22" customHeight="1" x14ac:dyDescent="0.45">
      <c r="A471" s="266"/>
      <c r="B471" s="267"/>
      <c r="C471" s="299"/>
      <c r="D471" s="299"/>
      <c r="E471" s="267"/>
      <c r="F471" s="267"/>
      <c r="G471" s="267"/>
      <c r="H471" s="301"/>
      <c r="I471" s="269"/>
      <c r="J471" s="266"/>
      <c r="K471" s="253"/>
    </row>
    <row r="472" spans="1:11" ht="22" customHeight="1" x14ac:dyDescent="0.45">
      <c r="A472" s="266"/>
      <c r="B472" s="267"/>
      <c r="C472" s="299"/>
      <c r="D472" s="299"/>
      <c r="E472" s="267"/>
      <c r="F472" s="267"/>
      <c r="G472" s="267"/>
      <c r="H472" s="301"/>
      <c r="I472" s="269"/>
      <c r="J472" s="266"/>
      <c r="K472" s="253"/>
    </row>
    <row r="473" spans="1:11" ht="22" customHeight="1" x14ac:dyDescent="0.45">
      <c r="A473" s="266"/>
      <c r="B473" s="267"/>
      <c r="C473" s="299"/>
      <c r="D473" s="299"/>
      <c r="E473" s="267"/>
      <c r="F473" s="267"/>
      <c r="G473" s="267"/>
      <c r="H473" s="301"/>
      <c r="I473" s="269"/>
      <c r="J473" s="266"/>
      <c r="K473" s="253"/>
    </row>
    <row r="474" spans="1:11" ht="22" customHeight="1" x14ac:dyDescent="0.45">
      <c r="A474" s="266"/>
      <c r="B474" s="267"/>
      <c r="C474" s="299"/>
      <c r="D474" s="299"/>
      <c r="E474" s="267"/>
      <c r="F474" s="267"/>
      <c r="G474" s="267"/>
      <c r="H474" s="301"/>
      <c r="I474" s="269"/>
      <c r="J474" s="266"/>
      <c r="K474" s="253"/>
    </row>
    <row r="475" spans="1:11" ht="22" customHeight="1" x14ac:dyDescent="0.45">
      <c r="A475" s="266"/>
      <c r="B475" s="267"/>
      <c r="C475" s="299"/>
      <c r="D475" s="299"/>
      <c r="E475" s="267"/>
      <c r="F475" s="267"/>
      <c r="G475" s="267"/>
      <c r="H475" s="301"/>
      <c r="I475" s="269"/>
      <c r="J475" s="266"/>
      <c r="K475" s="253"/>
    </row>
    <row r="476" spans="1:11" ht="22" customHeight="1" x14ac:dyDescent="0.45">
      <c r="A476" s="266"/>
      <c r="B476" s="267"/>
      <c r="C476" s="299"/>
      <c r="D476" s="299"/>
      <c r="E476" s="267"/>
      <c r="F476" s="267"/>
      <c r="G476" s="267"/>
      <c r="H476" s="301"/>
      <c r="I476" s="269"/>
      <c r="J476" s="266"/>
      <c r="K476" s="253"/>
    </row>
    <row r="477" spans="1:11" ht="22" customHeight="1" x14ac:dyDescent="0.45">
      <c r="A477" s="266"/>
      <c r="B477" s="267"/>
      <c r="C477" s="299"/>
      <c r="D477" s="299"/>
      <c r="E477" s="267"/>
      <c r="F477" s="267"/>
      <c r="G477" s="267"/>
      <c r="H477" s="301"/>
      <c r="I477" s="269"/>
      <c r="J477" s="266"/>
      <c r="K477" s="253"/>
    </row>
    <row r="478" spans="1:11" ht="22" customHeight="1" x14ac:dyDescent="0.45">
      <c r="A478" s="266"/>
      <c r="B478" s="267"/>
      <c r="C478" s="299"/>
      <c r="D478" s="299"/>
      <c r="E478" s="267"/>
      <c r="F478" s="267"/>
      <c r="G478" s="267"/>
      <c r="H478" s="301"/>
      <c r="I478" s="269"/>
      <c r="J478" s="266"/>
      <c r="K478" s="253"/>
    </row>
    <row r="479" spans="1:11" ht="22" customHeight="1" x14ac:dyDescent="0.45">
      <c r="A479" s="266"/>
      <c r="B479" s="267"/>
      <c r="C479" s="299"/>
      <c r="D479" s="299"/>
      <c r="E479" s="267"/>
      <c r="F479" s="267"/>
      <c r="G479" s="267"/>
      <c r="H479" s="301"/>
      <c r="I479" s="269"/>
      <c r="J479" s="266"/>
      <c r="K479" s="253"/>
    </row>
    <row r="480" spans="1:11" ht="22" customHeight="1" x14ac:dyDescent="0.45">
      <c r="A480" s="266"/>
      <c r="B480" s="267"/>
      <c r="C480" s="299"/>
      <c r="D480" s="299"/>
      <c r="E480" s="267"/>
      <c r="F480" s="267"/>
      <c r="G480" s="267"/>
      <c r="H480" s="301"/>
      <c r="I480" s="269"/>
      <c r="J480" s="266"/>
      <c r="K480" s="253"/>
    </row>
    <row r="481" spans="1:11" ht="22" customHeight="1" x14ac:dyDescent="0.45">
      <c r="A481" s="266"/>
      <c r="B481" s="267"/>
      <c r="C481" s="299"/>
      <c r="D481" s="299"/>
      <c r="E481" s="267"/>
      <c r="F481" s="267"/>
      <c r="G481" s="267"/>
      <c r="H481" s="301"/>
      <c r="I481" s="269"/>
      <c r="J481" s="266"/>
      <c r="K481" s="253"/>
    </row>
    <row r="482" spans="1:11" ht="22" customHeight="1" x14ac:dyDescent="0.45">
      <c r="A482" s="266"/>
      <c r="B482" s="267"/>
      <c r="C482" s="299"/>
      <c r="D482" s="299"/>
      <c r="E482" s="267"/>
      <c r="F482" s="267"/>
      <c r="G482" s="267"/>
      <c r="H482" s="301"/>
      <c r="I482" s="269"/>
      <c r="J482" s="266"/>
      <c r="K482" s="253"/>
    </row>
    <row r="483" spans="1:11" ht="22" customHeight="1" x14ac:dyDescent="0.45">
      <c r="A483" s="266"/>
      <c r="B483" s="267"/>
      <c r="C483" s="299"/>
      <c r="D483" s="299"/>
      <c r="E483" s="267"/>
      <c r="F483" s="267"/>
      <c r="G483" s="267"/>
      <c r="H483" s="301"/>
      <c r="I483" s="269"/>
      <c r="J483" s="266"/>
      <c r="K483" s="253"/>
    </row>
    <row r="484" spans="1:11" ht="22" customHeight="1" x14ac:dyDescent="0.45">
      <c r="A484" s="266"/>
      <c r="B484" s="267"/>
      <c r="C484" s="299"/>
      <c r="D484" s="299"/>
      <c r="E484" s="267"/>
      <c r="F484" s="267"/>
      <c r="G484" s="267"/>
      <c r="H484" s="301"/>
      <c r="I484" s="269"/>
      <c r="J484" s="266"/>
      <c r="K484" s="253"/>
    </row>
    <row r="485" spans="1:11" ht="22" customHeight="1" x14ac:dyDescent="0.45">
      <c r="A485" s="266"/>
      <c r="B485" s="267"/>
      <c r="C485" s="299"/>
      <c r="D485" s="299"/>
      <c r="E485" s="267"/>
      <c r="F485" s="267"/>
      <c r="G485" s="267"/>
      <c r="H485" s="301"/>
      <c r="I485" s="269"/>
      <c r="J485" s="266"/>
      <c r="K485" s="253"/>
    </row>
    <row r="486" spans="1:11" ht="22" customHeight="1" x14ac:dyDescent="0.45">
      <c r="A486" s="266"/>
      <c r="B486" s="267"/>
      <c r="C486" s="299"/>
      <c r="D486" s="299"/>
      <c r="E486" s="267"/>
      <c r="F486" s="267"/>
      <c r="G486" s="267"/>
      <c r="H486" s="301"/>
      <c r="I486" s="269"/>
      <c r="J486" s="266"/>
      <c r="K486" s="253"/>
    </row>
    <row r="487" spans="1:11" ht="22" customHeight="1" x14ac:dyDescent="0.45">
      <c r="A487" s="266"/>
      <c r="B487" s="267"/>
      <c r="C487" s="299"/>
      <c r="D487" s="299"/>
      <c r="E487" s="267"/>
      <c r="F487" s="267"/>
      <c r="G487" s="267"/>
      <c r="H487" s="301"/>
      <c r="I487" s="269"/>
      <c r="J487" s="266"/>
      <c r="K487" s="253"/>
    </row>
    <row r="488" spans="1:11" ht="22" customHeight="1" x14ac:dyDescent="0.45">
      <c r="A488" s="266"/>
      <c r="B488" s="267"/>
      <c r="C488" s="299"/>
      <c r="D488" s="299"/>
      <c r="E488" s="267"/>
      <c r="F488" s="267"/>
      <c r="G488" s="267"/>
      <c r="H488" s="301"/>
      <c r="I488" s="269"/>
      <c r="J488" s="266"/>
      <c r="K488" s="253"/>
    </row>
    <row r="489" spans="1:11" ht="22" customHeight="1" x14ac:dyDescent="0.45">
      <c r="A489" s="266"/>
      <c r="B489" s="267"/>
      <c r="C489" s="299"/>
      <c r="D489" s="299"/>
      <c r="E489" s="267"/>
      <c r="F489" s="267"/>
      <c r="G489" s="267"/>
      <c r="H489" s="301"/>
      <c r="I489" s="269"/>
      <c r="J489" s="266"/>
      <c r="K489" s="253"/>
    </row>
    <row r="490" spans="1:11" ht="22" customHeight="1" x14ac:dyDescent="0.45">
      <c r="A490" s="266"/>
      <c r="B490" s="267"/>
      <c r="C490" s="299"/>
      <c r="D490" s="299"/>
      <c r="E490" s="267"/>
      <c r="F490" s="267"/>
      <c r="G490" s="267"/>
      <c r="H490" s="301"/>
      <c r="I490" s="269"/>
      <c r="J490" s="266"/>
      <c r="K490" s="253"/>
    </row>
    <row r="491" spans="1:11" ht="22" customHeight="1" x14ac:dyDescent="0.45">
      <c r="A491" s="266"/>
      <c r="B491" s="267"/>
      <c r="C491" s="299"/>
      <c r="D491" s="299"/>
      <c r="E491" s="267"/>
      <c r="F491" s="267"/>
      <c r="G491" s="267"/>
      <c r="H491" s="301"/>
      <c r="I491" s="269"/>
      <c r="J491" s="266"/>
      <c r="K491" s="253"/>
    </row>
    <row r="492" spans="1:11" ht="22" customHeight="1" x14ac:dyDescent="0.45">
      <c r="A492" s="266"/>
      <c r="B492" s="267"/>
      <c r="C492" s="299"/>
      <c r="D492" s="299"/>
      <c r="E492" s="267"/>
      <c r="F492" s="267"/>
      <c r="G492" s="267"/>
      <c r="H492" s="301"/>
      <c r="I492" s="269"/>
      <c r="J492" s="266"/>
      <c r="K492" s="253"/>
    </row>
    <row r="493" spans="1:11" ht="22" customHeight="1" x14ac:dyDescent="0.45">
      <c r="A493" s="266"/>
      <c r="B493" s="267"/>
      <c r="C493" s="299"/>
      <c r="D493" s="299"/>
      <c r="E493" s="267"/>
      <c r="F493" s="267"/>
      <c r="G493" s="267"/>
      <c r="H493" s="301"/>
      <c r="I493" s="269"/>
      <c r="J493" s="266"/>
      <c r="K493" s="253"/>
    </row>
    <row r="494" spans="1:11" ht="22" customHeight="1" x14ac:dyDescent="0.45">
      <c r="A494" s="266"/>
      <c r="B494" s="267"/>
      <c r="C494" s="299"/>
      <c r="D494" s="299"/>
      <c r="E494" s="267"/>
      <c r="F494" s="267"/>
      <c r="G494" s="267"/>
      <c r="H494" s="301"/>
      <c r="I494" s="269"/>
      <c r="J494" s="266"/>
      <c r="K494" s="253"/>
    </row>
    <row r="495" spans="1:11" ht="22" customHeight="1" x14ac:dyDescent="0.45">
      <c r="A495" s="266"/>
      <c r="B495" s="267"/>
      <c r="C495" s="299"/>
      <c r="D495" s="299"/>
      <c r="E495" s="267"/>
      <c r="F495" s="267"/>
      <c r="G495" s="267"/>
      <c r="H495" s="301"/>
      <c r="I495" s="269"/>
      <c r="J495" s="266"/>
      <c r="K495" s="253"/>
    </row>
    <row r="496" spans="1:11" ht="22" customHeight="1" x14ac:dyDescent="0.45">
      <c r="A496" s="266"/>
      <c r="B496" s="267"/>
      <c r="C496" s="299"/>
      <c r="D496" s="299"/>
      <c r="E496" s="267"/>
      <c r="F496" s="267"/>
      <c r="G496" s="267"/>
      <c r="H496" s="301"/>
      <c r="I496" s="269"/>
      <c r="J496" s="266"/>
      <c r="K496" s="253"/>
    </row>
    <row r="497" spans="1:11" ht="22" customHeight="1" x14ac:dyDescent="0.45">
      <c r="A497" s="266"/>
      <c r="B497" s="267"/>
      <c r="C497" s="299"/>
      <c r="D497" s="299"/>
      <c r="E497" s="267"/>
      <c r="F497" s="267"/>
      <c r="G497" s="267"/>
      <c r="H497" s="301"/>
      <c r="I497" s="269"/>
      <c r="J497" s="266"/>
      <c r="K497" s="253"/>
    </row>
    <row r="498" spans="1:11" ht="22" customHeight="1" x14ac:dyDescent="0.45">
      <c r="A498" s="266"/>
      <c r="B498" s="267"/>
      <c r="C498" s="299"/>
      <c r="D498" s="299"/>
      <c r="E498" s="267"/>
      <c r="F498" s="267"/>
      <c r="G498" s="267"/>
      <c r="H498" s="301"/>
      <c r="I498" s="269"/>
      <c r="J498" s="266"/>
      <c r="K498" s="253"/>
    </row>
    <row r="499" spans="1:11" ht="22" customHeight="1" x14ac:dyDescent="0.45">
      <c r="A499" s="266"/>
      <c r="B499" s="267"/>
      <c r="C499" s="299"/>
      <c r="D499" s="299"/>
      <c r="E499" s="267"/>
      <c r="F499" s="267"/>
      <c r="G499" s="267"/>
      <c r="H499" s="301"/>
      <c r="I499" s="269"/>
      <c r="J499" s="266"/>
      <c r="K499" s="253"/>
    </row>
    <row r="500" spans="1:11" ht="22" customHeight="1" x14ac:dyDescent="0.45">
      <c r="A500" s="266"/>
      <c r="B500" s="267"/>
      <c r="C500" s="299"/>
      <c r="D500" s="299"/>
      <c r="E500" s="267"/>
      <c r="F500" s="267"/>
      <c r="G500" s="267"/>
      <c r="H500" s="301"/>
      <c r="I500" s="269"/>
      <c r="J500" s="266"/>
      <c r="K500" s="253"/>
    </row>
    <row r="501" spans="1:11" ht="22" customHeight="1" x14ac:dyDescent="0.35">
      <c r="A501" s="251"/>
      <c r="B501" s="252"/>
      <c r="C501" s="252"/>
      <c r="D501" s="252"/>
      <c r="E501" s="252"/>
      <c r="F501" s="252"/>
      <c r="G501" s="252"/>
      <c r="H501" s="252"/>
      <c r="I501" s="252"/>
      <c r="J501" s="252"/>
      <c r="K501" s="253"/>
    </row>
    <row r="502" spans="1:11" ht="22" customHeight="1" x14ac:dyDescent="0.35">
      <c r="A502" s="251"/>
      <c r="B502" s="252"/>
      <c r="C502" s="252"/>
      <c r="D502" s="252"/>
      <c r="E502" s="252"/>
      <c r="F502" s="252"/>
      <c r="G502" s="252"/>
      <c r="H502" s="252"/>
      <c r="I502" s="252"/>
      <c r="J502" s="252"/>
      <c r="K502" s="253"/>
    </row>
    <row r="503" spans="1:11" ht="22" customHeight="1" x14ac:dyDescent="0.35">
      <c r="A503" s="251"/>
      <c r="B503" s="252"/>
      <c r="C503" s="252"/>
      <c r="D503" s="252"/>
      <c r="E503" s="252"/>
      <c r="F503" s="252"/>
      <c r="G503" s="252"/>
      <c r="H503" s="252"/>
      <c r="I503" s="252"/>
      <c r="J503" s="252"/>
      <c r="K503" s="253"/>
    </row>
    <row r="504" spans="1:11" ht="22" customHeight="1" x14ac:dyDescent="0.35">
      <c r="A504" s="251"/>
      <c r="B504" s="252"/>
      <c r="C504" s="252"/>
      <c r="D504" s="252"/>
      <c r="E504" s="252"/>
      <c r="F504" s="252"/>
      <c r="G504" s="252"/>
      <c r="H504" s="252"/>
      <c r="I504" s="252"/>
      <c r="J504" s="252"/>
      <c r="K504" s="253"/>
    </row>
    <row r="505" spans="1:11" ht="22" customHeight="1" x14ac:dyDescent="0.35">
      <c r="A505" s="251"/>
      <c r="B505" s="252"/>
      <c r="C505" s="252"/>
      <c r="D505" s="252"/>
      <c r="E505" s="252"/>
      <c r="F505" s="252"/>
      <c r="G505" s="252"/>
      <c r="H505" s="252"/>
      <c r="I505" s="252"/>
      <c r="J505" s="252"/>
      <c r="K505" s="253"/>
    </row>
    <row r="506" spans="1:11" ht="22" customHeight="1" x14ac:dyDescent="0.35">
      <c r="A506" s="251"/>
      <c r="B506" s="252"/>
      <c r="C506" s="252"/>
      <c r="D506" s="252"/>
      <c r="E506" s="252"/>
      <c r="F506" s="252"/>
      <c r="G506" s="252"/>
      <c r="H506" s="252"/>
      <c r="I506" s="252"/>
      <c r="J506" s="252"/>
      <c r="K506" s="253"/>
    </row>
    <row r="507" spans="1:11" ht="22" customHeight="1" x14ac:dyDescent="0.35">
      <c r="A507" s="251"/>
      <c r="B507" s="252"/>
      <c r="C507" s="252"/>
      <c r="D507" s="252"/>
      <c r="E507" s="252"/>
      <c r="F507" s="252"/>
      <c r="G507" s="252"/>
      <c r="H507" s="252"/>
      <c r="I507" s="252"/>
      <c r="J507" s="252"/>
      <c r="K507" s="253"/>
    </row>
    <row r="508" spans="1:11" ht="22" customHeight="1" x14ac:dyDescent="0.35">
      <c r="A508" s="251"/>
      <c r="B508" s="252"/>
      <c r="C508" s="252"/>
      <c r="D508" s="252"/>
      <c r="E508" s="252"/>
      <c r="F508" s="252"/>
      <c r="G508" s="252"/>
      <c r="H508" s="252"/>
      <c r="I508" s="252"/>
      <c r="J508" s="252"/>
      <c r="K508" s="253"/>
    </row>
    <row r="509" spans="1:11" ht="22" customHeight="1" x14ac:dyDescent="0.35">
      <c r="A509" s="251"/>
      <c r="B509" s="252"/>
      <c r="C509" s="252"/>
      <c r="D509" s="252"/>
      <c r="E509" s="252"/>
      <c r="F509" s="252"/>
      <c r="G509" s="252"/>
      <c r="H509" s="252"/>
      <c r="I509" s="252"/>
      <c r="J509" s="252"/>
      <c r="K509" s="253"/>
    </row>
    <row r="510" spans="1:11" ht="22" customHeight="1" x14ac:dyDescent="0.35">
      <c r="A510" s="251"/>
      <c r="B510" s="252"/>
      <c r="C510" s="252"/>
      <c r="D510" s="252"/>
      <c r="E510" s="252"/>
      <c r="F510" s="252"/>
      <c r="G510" s="252"/>
      <c r="H510" s="252"/>
      <c r="I510" s="252"/>
      <c r="J510" s="252"/>
      <c r="K510" s="253"/>
    </row>
    <row r="511" spans="1:11" ht="22" customHeight="1" x14ac:dyDescent="0.35">
      <c r="A511" s="251"/>
      <c r="B511" s="252"/>
      <c r="C511" s="252"/>
      <c r="D511" s="252"/>
      <c r="E511" s="252"/>
      <c r="F511" s="252"/>
      <c r="G511" s="252"/>
      <c r="H511" s="252"/>
      <c r="I511" s="252"/>
      <c r="J511" s="252"/>
      <c r="K511" s="253"/>
    </row>
    <row r="512" spans="1:11" ht="22" customHeight="1" x14ac:dyDescent="0.35">
      <c r="A512" s="251"/>
      <c r="B512" s="252"/>
      <c r="C512" s="252"/>
      <c r="D512" s="252"/>
      <c r="E512" s="252"/>
      <c r="F512" s="252"/>
      <c r="G512" s="252"/>
      <c r="H512" s="252"/>
      <c r="I512" s="252"/>
      <c r="J512" s="252"/>
      <c r="K512" s="253"/>
    </row>
    <row r="513" spans="1:11" ht="22" customHeight="1" x14ac:dyDescent="0.35">
      <c r="A513" s="251"/>
      <c r="B513" s="252"/>
      <c r="C513" s="252"/>
      <c r="D513" s="252"/>
      <c r="E513" s="252"/>
      <c r="F513" s="252"/>
      <c r="G513" s="252"/>
      <c r="H513" s="252"/>
      <c r="I513" s="252"/>
      <c r="J513" s="252"/>
      <c r="K513" s="253"/>
    </row>
    <row r="514" spans="1:11" ht="22" customHeight="1" x14ac:dyDescent="0.35">
      <c r="A514" s="251"/>
      <c r="B514" s="252"/>
      <c r="C514" s="252"/>
      <c r="D514" s="252"/>
      <c r="E514" s="252"/>
      <c r="F514" s="252"/>
      <c r="G514" s="252"/>
      <c r="H514" s="252"/>
      <c r="I514" s="252"/>
      <c r="J514" s="252"/>
      <c r="K514" s="253"/>
    </row>
    <row r="515" spans="1:11" ht="22" customHeight="1" x14ac:dyDescent="0.35">
      <c r="A515" s="251"/>
      <c r="B515" s="252"/>
      <c r="C515" s="252"/>
      <c r="D515" s="252"/>
      <c r="E515" s="252"/>
      <c r="F515" s="252"/>
      <c r="G515" s="252"/>
      <c r="H515" s="252"/>
      <c r="I515" s="252"/>
      <c r="J515" s="252"/>
      <c r="K515" s="253"/>
    </row>
    <row r="516" spans="1:11" ht="22" customHeight="1" x14ac:dyDescent="0.35">
      <c r="A516" s="251"/>
      <c r="B516" s="252"/>
      <c r="C516" s="252"/>
      <c r="D516" s="252"/>
      <c r="E516" s="252"/>
      <c r="F516" s="252"/>
      <c r="G516" s="252"/>
      <c r="H516" s="252"/>
      <c r="I516" s="252"/>
      <c r="J516" s="252"/>
      <c r="K516" s="253"/>
    </row>
    <row r="517" spans="1:11" ht="22" customHeight="1" x14ac:dyDescent="0.35">
      <c r="A517" s="251"/>
      <c r="B517" s="252"/>
      <c r="C517" s="252"/>
      <c r="D517" s="252"/>
      <c r="E517" s="252"/>
      <c r="F517" s="252"/>
      <c r="G517" s="252"/>
      <c r="H517" s="252"/>
      <c r="I517" s="252"/>
      <c r="J517" s="252"/>
      <c r="K517" s="253"/>
    </row>
    <row r="518" spans="1:11" ht="22" customHeight="1" x14ac:dyDescent="0.35">
      <c r="A518" s="251"/>
      <c r="B518" s="252"/>
      <c r="C518" s="252"/>
      <c r="D518" s="252"/>
      <c r="E518" s="252"/>
      <c r="F518" s="252"/>
      <c r="G518" s="252"/>
      <c r="H518" s="252"/>
      <c r="I518" s="252"/>
      <c r="J518" s="252"/>
      <c r="K518" s="253"/>
    </row>
    <row r="519" spans="1:11" ht="22" customHeight="1" x14ac:dyDescent="0.35">
      <c r="A519" s="251"/>
      <c r="B519" s="252"/>
      <c r="C519" s="252"/>
      <c r="D519" s="252"/>
      <c r="E519" s="252"/>
      <c r="F519" s="252"/>
      <c r="G519" s="252"/>
      <c r="H519" s="252"/>
      <c r="I519" s="252"/>
      <c r="J519" s="252"/>
      <c r="K519" s="253"/>
    </row>
    <row r="520" spans="1:11" ht="22" customHeight="1" x14ac:dyDescent="0.35">
      <c r="A520" s="251"/>
      <c r="B520" s="252"/>
      <c r="C520" s="252"/>
      <c r="D520" s="252"/>
      <c r="E520" s="252"/>
      <c r="F520" s="252"/>
      <c r="G520" s="252"/>
      <c r="H520" s="252"/>
      <c r="I520" s="252"/>
      <c r="J520" s="252"/>
      <c r="K520" s="253"/>
    </row>
    <row r="521" spans="1:11" ht="22" customHeight="1" x14ac:dyDescent="0.35">
      <c r="A521" s="251"/>
      <c r="B521" s="252"/>
      <c r="C521" s="252"/>
      <c r="D521" s="252"/>
      <c r="E521" s="252"/>
      <c r="F521" s="252"/>
      <c r="G521" s="252"/>
      <c r="H521" s="252"/>
      <c r="I521" s="252"/>
      <c r="J521" s="252"/>
      <c r="K521" s="253"/>
    </row>
    <row r="522" spans="1:11" ht="22" customHeight="1" x14ac:dyDescent="0.35">
      <c r="A522" s="251"/>
      <c r="B522" s="252"/>
      <c r="C522" s="252"/>
      <c r="D522" s="252"/>
      <c r="E522" s="252"/>
      <c r="F522" s="252"/>
      <c r="G522" s="252"/>
      <c r="H522" s="252"/>
      <c r="I522" s="252"/>
      <c r="J522" s="252"/>
      <c r="K522" s="253"/>
    </row>
    <row r="523" spans="1:11" ht="22" customHeight="1" x14ac:dyDescent="0.35">
      <c r="A523" s="251"/>
      <c r="B523" s="252"/>
      <c r="C523" s="252"/>
      <c r="D523" s="252"/>
      <c r="E523" s="252"/>
      <c r="F523" s="252"/>
      <c r="G523" s="252"/>
      <c r="H523" s="252"/>
      <c r="I523" s="252"/>
      <c r="J523" s="252"/>
      <c r="K523" s="253"/>
    </row>
    <row r="524" spans="1:11" ht="22" customHeight="1" x14ac:dyDescent="0.35">
      <c r="A524" s="251"/>
      <c r="B524" s="252"/>
      <c r="C524" s="252"/>
      <c r="D524" s="252"/>
      <c r="E524" s="252"/>
      <c r="F524" s="252"/>
      <c r="G524" s="252"/>
      <c r="H524" s="252"/>
      <c r="I524" s="252"/>
      <c r="J524" s="252"/>
      <c r="K524" s="253"/>
    </row>
    <row r="525" spans="1:11" ht="22" customHeight="1" x14ac:dyDescent="0.35">
      <c r="A525" s="251"/>
      <c r="B525" s="252"/>
      <c r="C525" s="252"/>
      <c r="D525" s="252"/>
      <c r="E525" s="252"/>
      <c r="F525" s="252"/>
      <c r="G525" s="252"/>
      <c r="H525" s="252"/>
      <c r="I525" s="252"/>
      <c r="J525" s="252"/>
      <c r="K525" s="253"/>
    </row>
    <row r="526" spans="1:11" ht="22" customHeight="1" x14ac:dyDescent="0.35">
      <c r="A526" s="251"/>
      <c r="B526" s="252"/>
      <c r="C526" s="252"/>
      <c r="D526" s="252"/>
      <c r="E526" s="252"/>
      <c r="F526" s="252"/>
      <c r="G526" s="252"/>
      <c r="H526" s="252"/>
      <c r="I526" s="252"/>
      <c r="J526" s="252"/>
      <c r="K526" s="253"/>
    </row>
    <row r="527" spans="1:11" ht="22" customHeight="1" x14ac:dyDescent="0.35">
      <c r="A527" s="251"/>
      <c r="B527" s="252"/>
      <c r="C527" s="252"/>
      <c r="D527" s="252"/>
      <c r="E527" s="252"/>
      <c r="F527" s="252"/>
      <c r="G527" s="252"/>
      <c r="H527" s="252"/>
      <c r="I527" s="252"/>
      <c r="J527" s="252"/>
      <c r="K527" s="253"/>
    </row>
    <row r="528" spans="1:11" ht="22" customHeight="1" x14ac:dyDescent="0.35">
      <c r="A528" s="251"/>
      <c r="B528" s="252"/>
      <c r="C528" s="252"/>
      <c r="D528" s="252"/>
      <c r="E528" s="252"/>
      <c r="F528" s="252"/>
      <c r="G528" s="252"/>
      <c r="H528" s="252"/>
      <c r="I528" s="252"/>
      <c r="J528" s="252"/>
      <c r="K528" s="253"/>
    </row>
    <row r="529" spans="1:11" ht="22" customHeight="1" x14ac:dyDescent="0.35">
      <c r="A529" s="251"/>
      <c r="B529" s="252"/>
      <c r="C529" s="252"/>
      <c r="D529" s="252"/>
      <c r="E529" s="252"/>
      <c r="F529" s="252"/>
      <c r="G529" s="252"/>
      <c r="H529" s="252"/>
      <c r="I529" s="252"/>
      <c r="J529" s="252"/>
      <c r="K529" s="253"/>
    </row>
    <row r="530" spans="1:11" ht="22" customHeight="1" x14ac:dyDescent="0.35">
      <c r="A530" s="251"/>
      <c r="B530" s="252"/>
      <c r="C530" s="252"/>
      <c r="D530" s="252"/>
      <c r="E530" s="252"/>
      <c r="F530" s="252"/>
      <c r="G530" s="252"/>
      <c r="H530" s="252"/>
      <c r="I530" s="252"/>
      <c r="J530" s="252"/>
      <c r="K530" s="253"/>
    </row>
    <row r="531" spans="1:11" ht="22" customHeight="1" x14ac:dyDescent="0.35">
      <c r="A531" s="251"/>
      <c r="B531" s="252"/>
      <c r="C531" s="252"/>
      <c r="D531" s="252"/>
      <c r="E531" s="252"/>
      <c r="F531" s="252"/>
      <c r="G531" s="252"/>
      <c r="H531" s="252"/>
      <c r="I531" s="252"/>
      <c r="J531" s="252"/>
      <c r="K531" s="253"/>
    </row>
    <row r="532" spans="1:11" ht="22" customHeight="1" x14ac:dyDescent="0.35">
      <c r="A532" s="251"/>
      <c r="B532" s="252"/>
      <c r="C532" s="252"/>
      <c r="D532" s="252"/>
      <c r="E532" s="252"/>
      <c r="F532" s="252"/>
      <c r="G532" s="252"/>
      <c r="H532" s="252"/>
      <c r="I532" s="252"/>
      <c r="J532" s="252"/>
      <c r="K532" s="253"/>
    </row>
    <row r="533" spans="1:11" ht="22" customHeight="1" x14ac:dyDescent="0.35">
      <c r="A533" s="251"/>
      <c r="B533" s="252"/>
      <c r="C533" s="252"/>
      <c r="D533" s="252"/>
      <c r="E533" s="252"/>
      <c r="F533" s="252"/>
      <c r="G533" s="252"/>
      <c r="H533" s="252"/>
      <c r="I533" s="252"/>
      <c r="J533" s="252"/>
      <c r="K533" s="253"/>
    </row>
    <row r="534" spans="1:11" ht="22" customHeight="1" x14ac:dyDescent="0.35">
      <c r="A534" s="251"/>
      <c r="B534" s="252"/>
      <c r="C534" s="252"/>
      <c r="D534" s="252"/>
      <c r="E534" s="252"/>
      <c r="F534" s="252"/>
      <c r="G534" s="252"/>
      <c r="H534" s="252"/>
      <c r="I534" s="252"/>
      <c r="J534" s="252"/>
      <c r="K534" s="253"/>
    </row>
    <row r="535" spans="1:11" ht="22" customHeight="1" x14ac:dyDescent="0.35">
      <c r="A535" s="251"/>
      <c r="B535" s="252"/>
      <c r="C535" s="252"/>
      <c r="D535" s="252"/>
      <c r="E535" s="252"/>
      <c r="F535" s="252"/>
      <c r="G535" s="252"/>
      <c r="H535" s="252"/>
      <c r="I535" s="252"/>
      <c r="J535" s="252"/>
      <c r="K535" s="253"/>
    </row>
    <row r="536" spans="1:11" ht="22" customHeight="1" x14ac:dyDescent="0.35">
      <c r="A536" s="251"/>
      <c r="B536" s="252"/>
      <c r="C536" s="252"/>
      <c r="D536" s="252"/>
      <c r="E536" s="252"/>
      <c r="F536" s="252"/>
      <c r="G536" s="252"/>
      <c r="H536" s="252"/>
      <c r="I536" s="252"/>
      <c r="J536" s="252"/>
      <c r="K536" s="253"/>
    </row>
    <row r="537" spans="1:11" ht="22" customHeight="1" x14ac:dyDescent="0.35">
      <c r="A537" s="251"/>
      <c r="B537" s="252"/>
      <c r="C537" s="252"/>
      <c r="D537" s="252"/>
      <c r="E537" s="252"/>
      <c r="F537" s="252"/>
      <c r="G537" s="252"/>
      <c r="H537" s="252"/>
      <c r="I537" s="252"/>
      <c r="J537" s="252"/>
      <c r="K537" s="253"/>
    </row>
    <row r="538" spans="1:11" ht="22" customHeight="1" x14ac:dyDescent="0.35">
      <c r="A538" s="251"/>
      <c r="B538" s="252"/>
      <c r="C538" s="252"/>
      <c r="D538" s="252"/>
      <c r="E538" s="252"/>
      <c r="F538" s="252"/>
      <c r="G538" s="252"/>
      <c r="H538" s="252"/>
      <c r="I538" s="252"/>
      <c r="J538" s="252"/>
      <c r="K538" s="253"/>
    </row>
    <row r="539" spans="1:11" ht="22" customHeight="1" x14ac:dyDescent="0.35">
      <c r="A539" s="251"/>
      <c r="B539" s="252"/>
      <c r="C539" s="252"/>
      <c r="D539" s="252"/>
      <c r="E539" s="252"/>
      <c r="F539" s="252"/>
      <c r="G539" s="252"/>
      <c r="H539" s="252"/>
      <c r="I539" s="252"/>
      <c r="J539" s="252"/>
      <c r="K539" s="253"/>
    </row>
    <row r="540" spans="1:11" ht="22" customHeight="1" x14ac:dyDescent="0.35">
      <c r="A540" s="251"/>
      <c r="B540" s="252"/>
      <c r="C540" s="252"/>
      <c r="D540" s="252"/>
      <c r="E540" s="252"/>
      <c r="F540" s="252"/>
      <c r="G540" s="252"/>
      <c r="H540" s="252"/>
      <c r="I540" s="252"/>
      <c r="J540" s="252"/>
      <c r="K540" s="253"/>
    </row>
    <row r="541" spans="1:11" ht="22" customHeight="1" x14ac:dyDescent="0.35">
      <c r="A541" s="251"/>
      <c r="B541" s="252"/>
      <c r="C541" s="252"/>
      <c r="D541" s="252"/>
      <c r="E541" s="252"/>
      <c r="F541" s="252"/>
      <c r="G541" s="252"/>
      <c r="H541" s="252"/>
      <c r="I541" s="252"/>
      <c r="J541" s="252"/>
      <c r="K541" s="253"/>
    </row>
    <row r="542" spans="1:11" ht="22" customHeight="1" x14ac:dyDescent="0.35">
      <c r="A542" s="251"/>
      <c r="B542" s="252"/>
      <c r="C542" s="252"/>
      <c r="D542" s="252"/>
      <c r="E542" s="252"/>
      <c r="F542" s="252"/>
      <c r="G542" s="252"/>
      <c r="H542" s="252"/>
      <c r="I542" s="252"/>
      <c r="J542" s="252"/>
      <c r="K542" s="253"/>
    </row>
    <row r="543" spans="1:11" ht="22" customHeight="1" x14ac:dyDescent="0.35">
      <c r="A543" s="251"/>
      <c r="B543" s="252"/>
      <c r="C543" s="252"/>
      <c r="D543" s="252"/>
      <c r="E543" s="252"/>
      <c r="F543" s="252"/>
      <c r="G543" s="252"/>
      <c r="H543" s="252"/>
      <c r="I543" s="252"/>
      <c r="J543" s="252"/>
      <c r="K543" s="253"/>
    </row>
    <row r="544" spans="1:11" ht="22" customHeight="1" x14ac:dyDescent="0.35">
      <c r="A544" s="251"/>
      <c r="B544" s="252"/>
      <c r="C544" s="252"/>
      <c r="D544" s="252"/>
      <c r="E544" s="252"/>
      <c r="F544" s="252"/>
      <c r="G544" s="252"/>
      <c r="H544" s="252"/>
      <c r="I544" s="252"/>
      <c r="J544" s="252"/>
      <c r="K544" s="253"/>
    </row>
    <row r="545" spans="1:11" ht="22" customHeight="1" x14ac:dyDescent="0.35">
      <c r="A545" s="251"/>
      <c r="B545" s="252"/>
      <c r="C545" s="252"/>
      <c r="D545" s="252"/>
      <c r="E545" s="252"/>
      <c r="F545" s="252"/>
      <c r="G545" s="252"/>
      <c r="H545" s="252"/>
      <c r="I545" s="252"/>
      <c r="J545" s="252"/>
      <c r="K545" s="253"/>
    </row>
    <row r="546" spans="1:11" ht="22" customHeight="1" x14ac:dyDescent="0.35">
      <c r="A546" s="251"/>
      <c r="B546" s="252"/>
      <c r="C546" s="252"/>
      <c r="D546" s="252"/>
      <c r="E546" s="252"/>
      <c r="F546" s="252"/>
      <c r="G546" s="252"/>
      <c r="H546" s="252"/>
      <c r="I546" s="252"/>
      <c r="J546" s="252"/>
      <c r="K546" s="253"/>
    </row>
    <row r="547" spans="1:11" ht="22" customHeight="1" x14ac:dyDescent="0.35">
      <c r="A547" s="251"/>
      <c r="B547" s="252"/>
      <c r="C547" s="252"/>
      <c r="D547" s="252"/>
      <c r="E547" s="252"/>
      <c r="F547" s="252"/>
      <c r="G547" s="252"/>
      <c r="H547" s="252"/>
      <c r="I547" s="252"/>
      <c r="J547" s="252"/>
      <c r="K547" s="253"/>
    </row>
    <row r="548" spans="1:11" ht="22" customHeight="1" x14ac:dyDescent="0.35">
      <c r="A548" s="251"/>
      <c r="B548" s="252"/>
      <c r="C548" s="252"/>
      <c r="D548" s="252"/>
      <c r="E548" s="252"/>
      <c r="F548" s="252"/>
      <c r="G548" s="252"/>
      <c r="H548" s="252"/>
      <c r="I548" s="252"/>
      <c r="J548" s="252"/>
      <c r="K548" s="253"/>
    </row>
    <row r="549" spans="1:11" ht="22" customHeight="1" x14ac:dyDescent="0.35">
      <c r="A549" s="251"/>
      <c r="B549" s="252"/>
      <c r="C549" s="252"/>
      <c r="D549" s="252"/>
      <c r="E549" s="252"/>
      <c r="F549" s="252"/>
      <c r="G549" s="252"/>
      <c r="H549" s="252"/>
      <c r="I549" s="252"/>
      <c r="J549" s="252"/>
      <c r="K549" s="253"/>
    </row>
    <row r="550" spans="1:11" ht="22" customHeight="1" x14ac:dyDescent="0.35">
      <c r="A550" s="251"/>
      <c r="B550" s="252"/>
      <c r="C550" s="252"/>
      <c r="D550" s="252"/>
      <c r="E550" s="252"/>
      <c r="F550" s="252"/>
      <c r="G550" s="252"/>
      <c r="H550" s="252"/>
      <c r="I550" s="252"/>
      <c r="J550" s="252"/>
      <c r="K550" s="253"/>
    </row>
    <row r="551" spans="1:11" ht="22" customHeight="1" x14ac:dyDescent="0.35">
      <c r="A551" s="251"/>
      <c r="B551" s="252"/>
      <c r="C551" s="252"/>
      <c r="D551" s="252"/>
      <c r="E551" s="252"/>
      <c r="F551" s="252"/>
      <c r="G551" s="252"/>
      <c r="H551" s="252"/>
      <c r="I551" s="252"/>
      <c r="J551" s="252"/>
      <c r="K551" s="253"/>
    </row>
    <row r="552" spans="1:11" ht="22" customHeight="1" x14ac:dyDescent="0.35">
      <c r="A552" s="251"/>
      <c r="B552" s="252"/>
      <c r="C552" s="252"/>
      <c r="D552" s="252"/>
      <c r="E552" s="252"/>
      <c r="F552" s="252"/>
      <c r="G552" s="252"/>
      <c r="H552" s="252"/>
      <c r="I552" s="252"/>
      <c r="J552" s="252"/>
      <c r="K552" s="253"/>
    </row>
    <row r="553" spans="1:11" ht="22" customHeight="1" x14ac:dyDescent="0.35">
      <c r="A553" s="251"/>
      <c r="B553" s="252"/>
      <c r="C553" s="252"/>
      <c r="D553" s="252"/>
      <c r="E553" s="252"/>
      <c r="F553" s="252"/>
      <c r="G553" s="252"/>
      <c r="H553" s="252"/>
      <c r="I553" s="252"/>
      <c r="J553" s="252"/>
      <c r="K553" s="253"/>
    </row>
    <row r="554" spans="1:11" ht="22" customHeight="1" x14ac:dyDescent="0.35">
      <c r="A554" s="251"/>
      <c r="B554" s="252"/>
      <c r="C554" s="252"/>
      <c r="D554" s="252"/>
      <c r="E554" s="252"/>
      <c r="F554" s="252"/>
      <c r="G554" s="252"/>
      <c r="H554" s="252"/>
      <c r="I554" s="252"/>
      <c r="J554" s="252"/>
      <c r="K554" s="253"/>
    </row>
    <row r="555" spans="1:11" ht="22" customHeight="1" x14ac:dyDescent="0.35">
      <c r="A555" s="251"/>
      <c r="B555" s="252"/>
      <c r="C555" s="252"/>
      <c r="D555" s="252"/>
      <c r="E555" s="252"/>
      <c r="F555" s="252"/>
      <c r="G555" s="252"/>
      <c r="H555" s="252"/>
      <c r="I555" s="252"/>
      <c r="J555" s="252"/>
      <c r="K555" s="253"/>
    </row>
    <row r="556" spans="1:11" ht="22" customHeight="1" x14ac:dyDescent="0.35">
      <c r="A556" s="251"/>
      <c r="B556" s="252"/>
      <c r="C556" s="252"/>
      <c r="D556" s="252"/>
      <c r="E556" s="252"/>
      <c r="F556" s="252"/>
      <c r="G556" s="252"/>
      <c r="H556" s="252"/>
      <c r="I556" s="252"/>
      <c r="J556" s="252"/>
      <c r="K556" s="253"/>
    </row>
    <row r="557" spans="1:11" ht="22" customHeight="1" x14ac:dyDescent="0.35">
      <c r="A557" s="251"/>
      <c r="B557" s="252"/>
      <c r="C557" s="252"/>
      <c r="D557" s="252"/>
      <c r="E557" s="252"/>
      <c r="F557" s="252"/>
      <c r="G557" s="252"/>
      <c r="H557" s="252"/>
      <c r="I557" s="252"/>
      <c r="J557" s="252"/>
      <c r="K557" s="253"/>
    </row>
    <row r="558" spans="1:11" ht="22" customHeight="1" x14ac:dyDescent="0.35">
      <c r="A558" s="251"/>
      <c r="B558" s="252"/>
      <c r="C558" s="252"/>
      <c r="D558" s="252"/>
      <c r="E558" s="252"/>
      <c r="F558" s="252"/>
      <c r="G558" s="252"/>
      <c r="H558" s="252"/>
      <c r="I558" s="252"/>
      <c r="J558" s="252"/>
      <c r="K558" s="253"/>
    </row>
    <row r="559" spans="1:11" ht="22" customHeight="1" x14ac:dyDescent="0.35">
      <c r="A559" s="251"/>
      <c r="B559" s="252"/>
      <c r="C559" s="252"/>
      <c r="D559" s="252"/>
      <c r="E559" s="252"/>
      <c r="F559" s="252"/>
      <c r="G559" s="252"/>
      <c r="H559" s="252"/>
      <c r="I559" s="252"/>
      <c r="J559" s="252"/>
      <c r="K559" s="253"/>
    </row>
    <row r="560" spans="1:11" ht="22" customHeight="1" x14ac:dyDescent="0.35">
      <c r="A560" s="251"/>
      <c r="B560" s="252"/>
      <c r="C560" s="252"/>
      <c r="D560" s="252"/>
      <c r="E560" s="252"/>
      <c r="F560" s="252"/>
      <c r="G560" s="252"/>
      <c r="H560" s="252"/>
      <c r="I560" s="252"/>
      <c r="J560" s="252"/>
      <c r="K560" s="253"/>
    </row>
    <row r="561" spans="1:11" ht="22" customHeight="1" x14ac:dyDescent="0.35">
      <c r="A561" s="251"/>
      <c r="B561" s="252"/>
      <c r="C561" s="252"/>
      <c r="D561" s="252"/>
      <c r="E561" s="252"/>
      <c r="F561" s="252"/>
      <c r="G561" s="252"/>
      <c r="H561" s="252"/>
      <c r="I561" s="252"/>
      <c r="J561" s="252"/>
      <c r="K561" s="253"/>
    </row>
    <row r="562" spans="1:11" ht="22" customHeight="1" x14ac:dyDescent="0.35">
      <c r="A562" s="251"/>
      <c r="B562" s="252"/>
      <c r="C562" s="252"/>
      <c r="D562" s="252"/>
      <c r="E562" s="252"/>
      <c r="F562" s="252"/>
      <c r="G562" s="252"/>
      <c r="H562" s="252"/>
      <c r="I562" s="252"/>
      <c r="J562" s="252"/>
      <c r="K562" s="253"/>
    </row>
    <row r="563" spans="1:11" ht="22" customHeight="1" x14ac:dyDescent="0.35">
      <c r="A563" s="251"/>
      <c r="B563" s="252"/>
      <c r="C563" s="252"/>
      <c r="D563" s="252"/>
      <c r="E563" s="252"/>
      <c r="F563" s="252"/>
      <c r="G563" s="252"/>
      <c r="H563" s="252"/>
      <c r="I563" s="252"/>
      <c r="J563" s="252"/>
      <c r="K563" s="253"/>
    </row>
    <row r="564" spans="1:11" ht="22" customHeight="1" x14ac:dyDescent="0.35">
      <c r="A564" s="251"/>
      <c r="B564" s="252"/>
      <c r="C564" s="252"/>
      <c r="D564" s="252"/>
      <c r="E564" s="252"/>
      <c r="F564" s="252"/>
      <c r="G564" s="252"/>
      <c r="H564" s="252"/>
      <c r="I564" s="252"/>
      <c r="J564" s="252"/>
      <c r="K564" s="253"/>
    </row>
    <row r="565" spans="1:11" ht="22" customHeight="1" x14ac:dyDescent="0.35">
      <c r="A565" s="251"/>
      <c r="B565" s="252"/>
      <c r="C565" s="252"/>
      <c r="D565" s="252"/>
      <c r="E565" s="252"/>
      <c r="F565" s="252"/>
      <c r="G565" s="252"/>
      <c r="H565" s="252"/>
      <c r="I565" s="252"/>
      <c r="J565" s="252"/>
      <c r="K565" s="253"/>
    </row>
    <row r="566" spans="1:11" ht="22" customHeight="1" x14ac:dyDescent="0.35">
      <c r="A566" s="251"/>
      <c r="B566" s="252"/>
      <c r="C566" s="252"/>
      <c r="D566" s="252"/>
      <c r="E566" s="252"/>
      <c r="F566" s="252"/>
      <c r="G566" s="252"/>
      <c r="H566" s="252"/>
      <c r="I566" s="252"/>
      <c r="J566" s="252"/>
      <c r="K566" s="253"/>
    </row>
    <row r="567" spans="1:11" ht="22" customHeight="1" x14ac:dyDescent="0.35">
      <c r="A567" s="251"/>
      <c r="B567" s="252"/>
      <c r="C567" s="252"/>
      <c r="D567" s="252"/>
      <c r="E567" s="252"/>
      <c r="F567" s="252"/>
      <c r="G567" s="252"/>
      <c r="H567" s="252"/>
      <c r="I567" s="252"/>
      <c r="J567" s="252"/>
      <c r="K567" s="253"/>
    </row>
    <row r="568" spans="1:11" ht="22" customHeight="1" x14ac:dyDescent="0.35">
      <c r="A568" s="251"/>
      <c r="B568" s="252"/>
      <c r="C568" s="252"/>
      <c r="D568" s="252"/>
      <c r="E568" s="252"/>
      <c r="F568" s="252"/>
      <c r="G568" s="252"/>
      <c r="H568" s="252"/>
      <c r="I568" s="252"/>
      <c r="J568" s="252"/>
      <c r="K568" s="253"/>
    </row>
    <row r="569" spans="1:11" ht="22" customHeight="1" x14ac:dyDescent="0.35">
      <c r="A569" s="251"/>
      <c r="B569" s="252"/>
      <c r="C569" s="252"/>
      <c r="D569" s="252"/>
      <c r="E569" s="252"/>
      <c r="F569" s="252"/>
      <c r="G569" s="252"/>
      <c r="H569" s="252"/>
      <c r="I569" s="252"/>
      <c r="J569" s="252"/>
      <c r="K569" s="253"/>
    </row>
    <row r="570" spans="1:11" ht="22" customHeight="1" x14ac:dyDescent="0.35">
      <c r="A570" s="251"/>
      <c r="B570" s="252"/>
      <c r="C570" s="252"/>
      <c r="D570" s="252"/>
      <c r="E570" s="252"/>
      <c r="F570" s="252"/>
      <c r="G570" s="252"/>
      <c r="H570" s="252"/>
      <c r="I570" s="252"/>
      <c r="J570" s="252"/>
      <c r="K570" s="253"/>
    </row>
    <row r="571" spans="1:11" ht="22" customHeight="1" x14ac:dyDescent="0.35">
      <c r="A571" s="251"/>
      <c r="B571" s="252"/>
      <c r="C571" s="252"/>
      <c r="D571" s="252"/>
      <c r="E571" s="252"/>
      <c r="F571" s="252"/>
      <c r="G571" s="252"/>
      <c r="H571" s="252"/>
      <c r="I571" s="252"/>
      <c r="J571" s="252"/>
      <c r="K571" s="253"/>
    </row>
    <row r="572" spans="1:11" ht="22" customHeight="1" x14ac:dyDescent="0.35">
      <c r="A572" s="251"/>
      <c r="B572" s="252"/>
      <c r="C572" s="252"/>
      <c r="D572" s="252"/>
      <c r="E572" s="252"/>
      <c r="F572" s="252"/>
      <c r="G572" s="252"/>
      <c r="H572" s="252"/>
      <c r="I572" s="252"/>
      <c r="J572" s="252"/>
      <c r="K572" s="253"/>
    </row>
    <row r="573" spans="1:11" ht="22" customHeight="1" x14ac:dyDescent="0.35">
      <c r="A573" s="251"/>
      <c r="B573" s="252"/>
      <c r="C573" s="252"/>
      <c r="D573" s="252"/>
      <c r="E573" s="252"/>
      <c r="F573" s="252"/>
      <c r="G573" s="252"/>
      <c r="H573" s="252"/>
      <c r="I573" s="252"/>
      <c r="J573" s="252"/>
      <c r="K573" s="253"/>
    </row>
    <row r="574" spans="1:11" ht="22" customHeight="1" x14ac:dyDescent="0.35">
      <c r="A574" s="251"/>
      <c r="B574" s="252"/>
      <c r="C574" s="252"/>
      <c r="D574" s="252"/>
      <c r="E574" s="252"/>
      <c r="F574" s="252"/>
      <c r="G574" s="252"/>
      <c r="H574" s="252"/>
      <c r="I574" s="252"/>
      <c r="J574" s="252"/>
      <c r="K574" s="253"/>
    </row>
    <row r="575" spans="1:11" ht="22" customHeight="1" x14ac:dyDescent="0.35">
      <c r="A575" s="251"/>
      <c r="B575" s="252"/>
      <c r="C575" s="252"/>
      <c r="D575" s="252"/>
      <c r="E575" s="252"/>
      <c r="F575" s="252"/>
      <c r="G575" s="252"/>
      <c r="H575" s="252"/>
      <c r="I575" s="252"/>
      <c r="J575" s="252"/>
      <c r="K575" s="253"/>
    </row>
    <row r="576" spans="1:11" ht="22" customHeight="1" x14ac:dyDescent="0.35">
      <c r="A576" s="251"/>
      <c r="B576" s="252"/>
      <c r="C576" s="252"/>
      <c r="D576" s="252"/>
      <c r="E576" s="252"/>
      <c r="F576" s="252"/>
      <c r="G576" s="252"/>
      <c r="H576" s="252"/>
      <c r="I576" s="252"/>
      <c r="J576" s="252"/>
      <c r="K576" s="253"/>
    </row>
    <row r="577" spans="1:11" ht="22" customHeight="1" x14ac:dyDescent="0.35">
      <c r="A577" s="251"/>
      <c r="B577" s="252"/>
      <c r="C577" s="252"/>
      <c r="D577" s="252"/>
      <c r="E577" s="252"/>
      <c r="F577" s="252"/>
      <c r="G577" s="252"/>
      <c r="H577" s="252"/>
      <c r="I577" s="252"/>
      <c r="J577" s="252"/>
      <c r="K577" s="253"/>
    </row>
    <row r="578" spans="1:11" ht="22" customHeight="1" x14ac:dyDescent="0.35">
      <c r="A578" s="251"/>
      <c r="B578" s="252"/>
      <c r="C578" s="252"/>
      <c r="D578" s="252"/>
      <c r="E578" s="252"/>
      <c r="F578" s="252"/>
      <c r="G578" s="252"/>
      <c r="H578" s="252"/>
      <c r="I578" s="252"/>
      <c r="J578" s="252"/>
      <c r="K578" s="253"/>
    </row>
    <row r="579" spans="1:11" ht="22" customHeight="1" x14ac:dyDescent="0.35">
      <c r="A579" s="251"/>
      <c r="B579" s="252"/>
      <c r="C579" s="252"/>
      <c r="D579" s="252"/>
      <c r="E579" s="252"/>
      <c r="F579" s="252"/>
      <c r="G579" s="252"/>
      <c r="H579" s="252"/>
      <c r="I579" s="252"/>
      <c r="J579" s="252"/>
      <c r="K579" s="253"/>
    </row>
    <row r="580" spans="1:11" ht="22" customHeight="1" x14ac:dyDescent="0.35">
      <c r="A580" s="251"/>
      <c r="B580" s="252"/>
      <c r="C580" s="252"/>
      <c r="D580" s="252"/>
      <c r="E580" s="252"/>
      <c r="F580" s="252"/>
      <c r="G580" s="252"/>
      <c r="H580" s="252"/>
      <c r="I580" s="252"/>
      <c r="J580" s="252"/>
      <c r="K580" s="253"/>
    </row>
    <row r="581" spans="1:11" ht="22" customHeight="1" x14ac:dyDescent="0.35">
      <c r="A581" s="251"/>
      <c r="B581" s="252"/>
      <c r="C581" s="252"/>
      <c r="D581" s="252"/>
      <c r="E581" s="252"/>
      <c r="F581" s="252"/>
      <c r="G581" s="252"/>
      <c r="H581" s="252"/>
      <c r="I581" s="252"/>
      <c r="J581" s="252"/>
      <c r="K581" s="253"/>
    </row>
    <row r="582" spans="1:11" ht="22" customHeight="1" x14ac:dyDescent="0.35">
      <c r="A582" s="251"/>
      <c r="B582" s="252"/>
      <c r="C582" s="252"/>
      <c r="D582" s="252"/>
      <c r="E582" s="252"/>
      <c r="F582" s="252"/>
      <c r="G582" s="252"/>
      <c r="H582" s="252"/>
      <c r="I582" s="252"/>
      <c r="J582" s="252"/>
      <c r="K582" s="253"/>
    </row>
    <row r="583" spans="1:11" ht="22" customHeight="1" x14ac:dyDescent="0.35">
      <c r="A583" s="251"/>
      <c r="B583" s="252"/>
      <c r="C583" s="252"/>
      <c r="D583" s="252"/>
      <c r="E583" s="252"/>
      <c r="F583" s="252"/>
      <c r="G583" s="252"/>
      <c r="H583" s="252"/>
      <c r="I583" s="252"/>
      <c r="J583" s="252"/>
      <c r="K583" s="253"/>
    </row>
    <row r="584" spans="1:11" ht="22" customHeight="1" x14ac:dyDescent="0.35">
      <c r="A584" s="251"/>
      <c r="B584" s="252"/>
      <c r="C584" s="252"/>
      <c r="D584" s="252"/>
      <c r="E584" s="252"/>
      <c r="F584" s="252"/>
      <c r="G584" s="252"/>
      <c r="H584" s="252"/>
      <c r="I584" s="252"/>
      <c r="J584" s="252"/>
      <c r="K584" s="253"/>
    </row>
    <row r="585" spans="1:11" ht="22" customHeight="1" x14ac:dyDescent="0.35">
      <c r="A585" s="251"/>
      <c r="B585" s="252"/>
      <c r="C585" s="252"/>
      <c r="D585" s="252"/>
      <c r="E585" s="252"/>
      <c r="F585" s="252"/>
      <c r="G585" s="252"/>
      <c r="H585" s="252"/>
      <c r="I585" s="252"/>
      <c r="J585" s="252"/>
      <c r="K585" s="253"/>
    </row>
    <row r="586" spans="1:11" ht="22" customHeight="1" x14ac:dyDescent="0.35">
      <c r="A586" s="251"/>
      <c r="B586" s="252"/>
      <c r="C586" s="252"/>
      <c r="D586" s="252"/>
      <c r="E586" s="252"/>
      <c r="F586" s="252"/>
      <c r="G586" s="252"/>
      <c r="H586" s="252"/>
      <c r="I586" s="252"/>
      <c r="J586" s="252"/>
      <c r="K586" s="253"/>
    </row>
    <row r="587" spans="1:11" ht="22" customHeight="1" x14ac:dyDescent="0.35">
      <c r="A587" s="251"/>
      <c r="B587" s="252"/>
      <c r="C587" s="252"/>
      <c r="D587" s="252"/>
      <c r="E587" s="252"/>
      <c r="F587" s="252"/>
      <c r="G587" s="252"/>
      <c r="H587" s="252"/>
      <c r="I587" s="252"/>
      <c r="J587" s="252"/>
      <c r="K587" s="253"/>
    </row>
    <row r="588" spans="1:11" ht="22" customHeight="1" x14ac:dyDescent="0.35">
      <c r="A588" s="251"/>
      <c r="B588" s="252"/>
      <c r="C588" s="252"/>
      <c r="D588" s="252"/>
      <c r="E588" s="252"/>
      <c r="F588" s="252"/>
      <c r="G588" s="252"/>
      <c r="H588" s="252"/>
      <c r="I588" s="252"/>
      <c r="J588" s="252"/>
      <c r="K588" s="253"/>
    </row>
    <row r="589" spans="1:11" ht="22" customHeight="1" x14ac:dyDescent="0.35">
      <c r="A589" s="251"/>
      <c r="B589" s="252"/>
      <c r="C589" s="252"/>
      <c r="D589" s="252"/>
      <c r="E589" s="252"/>
      <c r="F589" s="252"/>
      <c r="G589" s="252"/>
      <c r="H589" s="252"/>
      <c r="I589" s="252"/>
      <c r="J589" s="252"/>
      <c r="K589" s="253"/>
    </row>
    <row r="590" spans="1:11" ht="22" customHeight="1" x14ac:dyDescent="0.35">
      <c r="A590" s="251"/>
      <c r="B590" s="252"/>
      <c r="C590" s="252"/>
      <c r="D590" s="252"/>
      <c r="E590" s="252"/>
      <c r="F590" s="252"/>
      <c r="G590" s="252"/>
      <c r="H590" s="252"/>
      <c r="I590" s="252"/>
      <c r="J590" s="252"/>
      <c r="K590" s="253"/>
    </row>
    <row r="591" spans="1:11" ht="22" customHeight="1" x14ac:dyDescent="0.35">
      <c r="A591" s="251"/>
      <c r="B591" s="252"/>
      <c r="C591" s="252"/>
      <c r="D591" s="252"/>
      <c r="E591" s="252"/>
      <c r="F591" s="252"/>
      <c r="G591" s="252"/>
      <c r="H591" s="252"/>
      <c r="I591" s="252"/>
      <c r="J591" s="252"/>
      <c r="K591" s="253"/>
    </row>
    <row r="592" spans="1:11" ht="22" customHeight="1" x14ac:dyDescent="0.35">
      <c r="A592" s="251"/>
      <c r="B592" s="252"/>
      <c r="C592" s="252"/>
      <c r="D592" s="252"/>
      <c r="E592" s="252"/>
      <c r="F592" s="252"/>
      <c r="G592" s="252"/>
      <c r="H592" s="252"/>
      <c r="I592" s="252"/>
      <c r="J592" s="252"/>
      <c r="K592" s="253"/>
    </row>
    <row r="593" spans="1:11" ht="22" customHeight="1" x14ac:dyDescent="0.35">
      <c r="A593" s="251"/>
      <c r="B593" s="252"/>
      <c r="C593" s="252"/>
      <c r="D593" s="252"/>
      <c r="E593" s="252"/>
      <c r="F593" s="252"/>
      <c r="G593" s="252"/>
      <c r="H593" s="252"/>
      <c r="I593" s="252"/>
      <c r="J593" s="252"/>
      <c r="K593" s="253"/>
    </row>
    <row r="594" spans="1:11" ht="22" customHeight="1" x14ac:dyDescent="0.35">
      <c r="A594" s="251"/>
      <c r="B594" s="252"/>
      <c r="C594" s="252"/>
      <c r="D594" s="252"/>
      <c r="E594" s="252"/>
      <c r="F594" s="252"/>
      <c r="G594" s="252"/>
      <c r="H594" s="252"/>
      <c r="I594" s="252"/>
      <c r="J594" s="252"/>
      <c r="K594" s="253"/>
    </row>
    <row r="595" spans="1:11" ht="22" customHeight="1" x14ac:dyDescent="0.35">
      <c r="A595" s="251"/>
      <c r="B595" s="252"/>
      <c r="C595" s="252"/>
      <c r="D595" s="252"/>
      <c r="E595" s="252"/>
      <c r="F595" s="252"/>
      <c r="G595" s="252"/>
      <c r="H595" s="252"/>
      <c r="I595" s="252"/>
      <c r="J595" s="252"/>
      <c r="K595" s="253"/>
    </row>
    <row r="596" spans="1:11" ht="22" customHeight="1" x14ac:dyDescent="0.35">
      <c r="A596" s="251"/>
      <c r="B596" s="252"/>
      <c r="C596" s="252"/>
      <c r="D596" s="252"/>
      <c r="E596" s="252"/>
      <c r="F596" s="252"/>
      <c r="G596" s="252"/>
      <c r="H596" s="252"/>
      <c r="I596" s="252"/>
      <c r="J596" s="252"/>
      <c r="K596" s="253"/>
    </row>
    <row r="597" spans="1:11" ht="22" customHeight="1" x14ac:dyDescent="0.35">
      <c r="A597" s="251"/>
      <c r="B597" s="252"/>
      <c r="C597" s="252"/>
      <c r="D597" s="252"/>
      <c r="E597" s="252"/>
      <c r="F597" s="252"/>
      <c r="G597" s="252"/>
      <c r="H597" s="252"/>
      <c r="I597" s="252"/>
      <c r="J597" s="252"/>
      <c r="K597" s="253"/>
    </row>
    <row r="598" spans="1:11" ht="22" customHeight="1" x14ac:dyDescent="0.35">
      <c r="A598" s="251"/>
      <c r="B598" s="252"/>
      <c r="C598" s="252"/>
      <c r="D598" s="252"/>
      <c r="E598" s="252"/>
      <c r="F598" s="252"/>
      <c r="G598" s="252"/>
      <c r="H598" s="252"/>
      <c r="I598" s="252"/>
      <c r="J598" s="252"/>
      <c r="K598" s="253"/>
    </row>
    <row r="599" spans="1:11" ht="22" customHeight="1" x14ac:dyDescent="0.35">
      <c r="A599" s="251"/>
      <c r="B599" s="252"/>
      <c r="C599" s="252"/>
      <c r="D599" s="252"/>
      <c r="E599" s="252"/>
      <c r="F599" s="252"/>
      <c r="G599" s="252"/>
      <c r="H599" s="252"/>
      <c r="I599" s="252"/>
      <c r="J599" s="252"/>
      <c r="K599" s="253"/>
    </row>
    <row r="600" spans="1:11" ht="22" customHeight="1" x14ac:dyDescent="0.35">
      <c r="A600" s="251"/>
      <c r="B600" s="252"/>
      <c r="C600" s="252"/>
      <c r="D600" s="252"/>
      <c r="E600" s="252"/>
      <c r="F600" s="252"/>
      <c r="G600" s="252"/>
      <c r="H600" s="252"/>
      <c r="I600" s="252"/>
      <c r="J600" s="252"/>
      <c r="K600" s="253"/>
    </row>
    <row r="601" spans="1:11" ht="22" customHeight="1" x14ac:dyDescent="0.35">
      <c r="A601" s="251"/>
      <c r="B601" s="252"/>
      <c r="C601" s="252"/>
      <c r="D601" s="252"/>
      <c r="E601" s="252"/>
      <c r="F601" s="252"/>
      <c r="G601" s="252"/>
      <c r="H601" s="252"/>
      <c r="I601" s="252"/>
      <c r="J601" s="252"/>
      <c r="K601" s="253"/>
    </row>
    <row r="602" spans="1:11" ht="22" customHeight="1" x14ac:dyDescent="0.35">
      <c r="A602" s="251"/>
      <c r="B602" s="252"/>
      <c r="C602" s="252"/>
      <c r="D602" s="252"/>
      <c r="E602" s="252"/>
      <c r="F602" s="252"/>
      <c r="G602" s="252"/>
      <c r="H602" s="252"/>
      <c r="I602" s="252"/>
      <c r="J602" s="252"/>
      <c r="K602" s="253"/>
    </row>
    <row r="603" spans="1:11" ht="22" customHeight="1" x14ac:dyDescent="0.35">
      <c r="A603" s="251"/>
      <c r="B603" s="252"/>
      <c r="C603" s="252"/>
      <c r="D603" s="252"/>
      <c r="E603" s="252"/>
      <c r="F603" s="252"/>
      <c r="G603" s="252"/>
      <c r="H603" s="252"/>
      <c r="I603" s="252"/>
      <c r="J603" s="252"/>
      <c r="K603" s="253"/>
    </row>
    <row r="604" spans="1:11" ht="22" customHeight="1" x14ac:dyDescent="0.35">
      <c r="A604" s="251"/>
      <c r="B604" s="252"/>
      <c r="C604" s="252"/>
      <c r="D604" s="252"/>
      <c r="E604" s="252"/>
      <c r="F604" s="252"/>
      <c r="G604" s="252"/>
      <c r="H604" s="252"/>
      <c r="I604" s="252"/>
      <c r="J604" s="252"/>
      <c r="K604" s="253"/>
    </row>
    <row r="605" spans="1:11" ht="22" customHeight="1" x14ac:dyDescent="0.35">
      <c r="A605" s="251"/>
      <c r="B605" s="252"/>
      <c r="C605" s="252"/>
      <c r="D605" s="252"/>
      <c r="E605" s="252"/>
      <c r="F605" s="252"/>
      <c r="G605" s="252"/>
      <c r="H605" s="252"/>
      <c r="I605" s="252"/>
      <c r="J605" s="252"/>
      <c r="K605" s="253"/>
    </row>
    <row r="606" spans="1:11" ht="22" customHeight="1" x14ac:dyDescent="0.35">
      <c r="A606" s="251"/>
      <c r="B606" s="252"/>
      <c r="C606" s="252"/>
      <c r="D606" s="252"/>
      <c r="E606" s="252"/>
      <c r="F606" s="252"/>
      <c r="G606" s="252"/>
      <c r="H606" s="252"/>
      <c r="I606" s="252"/>
      <c r="J606" s="252"/>
      <c r="K606" s="253"/>
    </row>
    <row r="607" spans="1:11" ht="22" customHeight="1" x14ac:dyDescent="0.35">
      <c r="A607" s="251"/>
      <c r="B607" s="252"/>
      <c r="C607" s="252"/>
      <c r="D607" s="252"/>
      <c r="E607" s="252"/>
      <c r="F607" s="252"/>
      <c r="G607" s="252"/>
      <c r="H607" s="252"/>
      <c r="I607" s="252"/>
      <c r="J607" s="252"/>
      <c r="K607" s="253"/>
    </row>
    <row r="608" spans="1:11" ht="22" customHeight="1" x14ac:dyDescent="0.35">
      <c r="A608" s="251"/>
      <c r="B608" s="252"/>
      <c r="C608" s="252"/>
      <c r="D608" s="252"/>
      <c r="E608" s="252"/>
      <c r="F608" s="252"/>
      <c r="G608" s="252"/>
      <c r="H608" s="252"/>
      <c r="I608" s="252"/>
      <c r="J608" s="252"/>
      <c r="K608" s="253"/>
    </row>
    <row r="609" spans="1:11" ht="22" customHeight="1" x14ac:dyDescent="0.35">
      <c r="A609" s="251"/>
      <c r="B609" s="252"/>
      <c r="C609" s="252"/>
      <c r="D609" s="252"/>
      <c r="E609" s="252"/>
      <c r="F609" s="252"/>
      <c r="G609" s="252"/>
      <c r="H609" s="252"/>
      <c r="I609" s="252"/>
      <c r="J609" s="252"/>
      <c r="K609" s="253"/>
    </row>
    <row r="610" spans="1:11" ht="22" customHeight="1" x14ac:dyDescent="0.35">
      <c r="A610" s="251"/>
      <c r="B610" s="252"/>
      <c r="C610" s="252"/>
      <c r="D610" s="252"/>
      <c r="E610" s="252"/>
      <c r="F610" s="252"/>
      <c r="G610" s="252"/>
      <c r="H610" s="252"/>
      <c r="I610" s="252"/>
      <c r="J610" s="252"/>
      <c r="K610" s="253"/>
    </row>
    <row r="611" spans="1:11" ht="22" customHeight="1" x14ac:dyDescent="0.35">
      <c r="A611" s="251"/>
      <c r="B611" s="252"/>
      <c r="C611" s="252"/>
      <c r="D611" s="252"/>
      <c r="E611" s="252"/>
      <c r="F611" s="252"/>
      <c r="G611" s="252"/>
      <c r="H611" s="252"/>
      <c r="I611" s="252"/>
      <c r="J611" s="252"/>
      <c r="K611" s="253"/>
    </row>
    <row r="612" spans="1:11" ht="22" customHeight="1" x14ac:dyDescent="0.35">
      <c r="A612" s="251"/>
      <c r="B612" s="252"/>
      <c r="C612" s="252"/>
      <c r="D612" s="252"/>
      <c r="E612" s="252"/>
      <c r="F612" s="252"/>
      <c r="G612" s="252"/>
      <c r="H612" s="252"/>
      <c r="I612" s="252"/>
      <c r="J612" s="252"/>
      <c r="K612" s="253"/>
    </row>
    <row r="613" spans="1:11" ht="22" customHeight="1" x14ac:dyDescent="0.35">
      <c r="A613" s="251"/>
      <c r="B613" s="252"/>
      <c r="C613" s="252"/>
      <c r="D613" s="252"/>
      <c r="E613" s="252"/>
      <c r="F613" s="252"/>
      <c r="G613" s="252"/>
      <c r="H613" s="252"/>
      <c r="I613" s="252"/>
      <c r="J613" s="252"/>
      <c r="K613" s="253"/>
    </row>
    <row r="614" spans="1:11" ht="22" customHeight="1" x14ac:dyDescent="0.35">
      <c r="A614" s="251"/>
      <c r="B614" s="252"/>
      <c r="C614" s="252"/>
      <c r="D614" s="252"/>
      <c r="E614" s="252"/>
      <c r="F614" s="252"/>
      <c r="G614" s="252"/>
      <c r="H614" s="252"/>
      <c r="I614" s="252"/>
      <c r="J614" s="252"/>
      <c r="K614" s="253"/>
    </row>
    <row r="615" spans="1:11" ht="22" customHeight="1" x14ac:dyDescent="0.35">
      <c r="A615" s="251"/>
      <c r="B615" s="252"/>
      <c r="C615" s="252"/>
      <c r="D615" s="252"/>
      <c r="E615" s="252"/>
      <c r="F615" s="252"/>
      <c r="G615" s="252"/>
      <c r="H615" s="252"/>
      <c r="I615" s="252"/>
      <c r="J615" s="252"/>
      <c r="K615" s="253"/>
    </row>
    <row r="616" spans="1:11" ht="22" customHeight="1" x14ac:dyDescent="0.35">
      <c r="A616" s="251"/>
      <c r="B616" s="252"/>
      <c r="C616" s="252"/>
      <c r="D616" s="252"/>
      <c r="E616" s="252"/>
      <c r="F616" s="252"/>
      <c r="G616" s="252"/>
      <c r="H616" s="252"/>
      <c r="I616" s="252"/>
      <c r="J616" s="252"/>
      <c r="K616" s="253"/>
    </row>
    <row r="617" spans="1:11" ht="22" customHeight="1" x14ac:dyDescent="0.35">
      <c r="A617" s="251"/>
      <c r="B617" s="252"/>
      <c r="C617" s="252"/>
      <c r="D617" s="252"/>
      <c r="E617" s="252"/>
      <c r="F617" s="252"/>
      <c r="G617" s="252"/>
      <c r="H617" s="252"/>
      <c r="I617" s="252"/>
      <c r="J617" s="252"/>
      <c r="K617" s="253"/>
    </row>
    <row r="618" spans="1:11" ht="22" customHeight="1" x14ac:dyDescent="0.35">
      <c r="A618" s="251"/>
      <c r="B618" s="252"/>
      <c r="C618" s="252"/>
      <c r="D618" s="252"/>
      <c r="E618" s="252"/>
      <c r="F618" s="252"/>
      <c r="G618" s="252"/>
      <c r="H618" s="252"/>
      <c r="I618" s="252"/>
      <c r="J618" s="252"/>
      <c r="K618" s="253"/>
    </row>
    <row r="619" spans="1:11" ht="22" customHeight="1" x14ac:dyDescent="0.35">
      <c r="A619" s="251"/>
      <c r="B619" s="252"/>
      <c r="C619" s="252"/>
      <c r="D619" s="252"/>
      <c r="E619" s="252"/>
      <c r="F619" s="252"/>
      <c r="G619" s="252"/>
      <c r="H619" s="252"/>
      <c r="I619" s="252"/>
      <c r="J619" s="252"/>
      <c r="K619" s="253"/>
    </row>
    <row r="620" spans="1:11" ht="22" customHeight="1" x14ac:dyDescent="0.35">
      <c r="A620" s="251"/>
      <c r="B620" s="252"/>
      <c r="C620" s="252"/>
      <c r="D620" s="252"/>
      <c r="E620" s="252"/>
      <c r="F620" s="252"/>
      <c r="G620" s="252"/>
      <c r="H620" s="252"/>
      <c r="I620" s="252"/>
      <c r="J620" s="252"/>
      <c r="K620" s="253"/>
    </row>
    <row r="621" spans="1:11" ht="22" customHeight="1" x14ac:dyDescent="0.35">
      <c r="A621" s="251"/>
      <c r="B621" s="252"/>
      <c r="C621" s="252"/>
      <c r="D621" s="252"/>
      <c r="E621" s="252"/>
      <c r="F621" s="252"/>
      <c r="G621" s="252"/>
      <c r="H621" s="252"/>
      <c r="I621" s="252"/>
      <c r="J621" s="252"/>
      <c r="K621" s="253"/>
    </row>
    <row r="622" spans="1:11" ht="22" customHeight="1" x14ac:dyDescent="0.35">
      <c r="A622" s="251"/>
      <c r="B622" s="252"/>
      <c r="C622" s="252"/>
      <c r="D622" s="252"/>
      <c r="E622" s="252"/>
      <c r="F622" s="252"/>
      <c r="G622" s="252"/>
      <c r="H622" s="252"/>
      <c r="I622" s="252"/>
      <c r="J622" s="252"/>
      <c r="K622" s="253"/>
    </row>
    <row r="623" spans="1:11" ht="22" customHeight="1" x14ac:dyDescent="0.35">
      <c r="A623" s="251"/>
      <c r="B623" s="252"/>
      <c r="C623" s="252"/>
      <c r="D623" s="252"/>
      <c r="E623" s="252"/>
      <c r="F623" s="252"/>
      <c r="G623" s="252"/>
      <c r="H623" s="252"/>
      <c r="I623" s="252"/>
      <c r="J623" s="252"/>
      <c r="K623" s="253"/>
    </row>
    <row r="624" spans="1:11" ht="22" customHeight="1" x14ac:dyDescent="0.35">
      <c r="A624" s="251"/>
      <c r="B624" s="252"/>
      <c r="C624" s="252"/>
      <c r="D624" s="252"/>
      <c r="E624" s="252"/>
      <c r="F624" s="252"/>
      <c r="G624" s="252"/>
      <c r="H624" s="252"/>
      <c r="I624" s="252"/>
      <c r="J624" s="252"/>
      <c r="K624" s="253"/>
    </row>
    <row r="625" spans="1:11" ht="22" customHeight="1" x14ac:dyDescent="0.35">
      <c r="A625" s="251"/>
      <c r="B625" s="252"/>
      <c r="C625" s="252"/>
      <c r="D625" s="252"/>
      <c r="E625" s="252"/>
      <c r="F625" s="252"/>
      <c r="G625" s="252"/>
      <c r="H625" s="252"/>
      <c r="I625" s="252"/>
      <c r="J625" s="252"/>
      <c r="K625" s="253"/>
    </row>
    <row r="626" spans="1:11" ht="22" customHeight="1" x14ac:dyDescent="0.35">
      <c r="A626" s="251"/>
      <c r="B626" s="252"/>
      <c r="C626" s="252"/>
      <c r="D626" s="252"/>
      <c r="E626" s="252"/>
      <c r="F626" s="252"/>
      <c r="G626" s="252"/>
      <c r="H626" s="252"/>
      <c r="I626" s="252"/>
      <c r="J626" s="252"/>
      <c r="K626" s="253"/>
    </row>
    <row r="627" spans="1:11" ht="22" customHeight="1" x14ac:dyDescent="0.35">
      <c r="A627" s="251"/>
      <c r="B627" s="252"/>
      <c r="C627" s="252"/>
      <c r="D627" s="252"/>
      <c r="E627" s="252"/>
      <c r="F627" s="252"/>
      <c r="G627" s="252"/>
      <c r="H627" s="252"/>
      <c r="I627" s="252"/>
      <c r="J627" s="252"/>
      <c r="K627" s="253"/>
    </row>
    <row r="628" spans="1:11" ht="22" customHeight="1" x14ac:dyDescent="0.35">
      <c r="A628" s="251"/>
      <c r="B628" s="252"/>
      <c r="C628" s="252"/>
      <c r="D628" s="252"/>
      <c r="E628" s="252"/>
      <c r="F628" s="252"/>
      <c r="G628" s="252"/>
      <c r="H628" s="252"/>
      <c r="I628" s="252"/>
      <c r="J628" s="252"/>
      <c r="K628" s="253"/>
    </row>
    <row r="629" spans="1:11" ht="22" customHeight="1" x14ac:dyDescent="0.35">
      <c r="A629" s="251"/>
      <c r="B629" s="252"/>
      <c r="C629" s="252"/>
      <c r="D629" s="252"/>
      <c r="E629" s="252"/>
      <c r="F629" s="252"/>
      <c r="G629" s="252"/>
      <c r="H629" s="252"/>
      <c r="I629" s="252"/>
      <c r="J629" s="252"/>
      <c r="K629" s="253"/>
    </row>
    <row r="630" spans="1:11" ht="22" customHeight="1" x14ac:dyDescent="0.35">
      <c r="A630" s="251"/>
      <c r="B630" s="252"/>
      <c r="C630" s="252"/>
      <c r="D630" s="252"/>
      <c r="E630" s="252"/>
      <c r="F630" s="252"/>
      <c r="G630" s="252"/>
      <c r="H630" s="252"/>
      <c r="I630" s="252"/>
      <c r="J630" s="252"/>
      <c r="K630" s="253"/>
    </row>
    <row r="631" spans="1:11" ht="22" customHeight="1" x14ac:dyDescent="0.35">
      <c r="A631" s="251"/>
      <c r="B631" s="252"/>
      <c r="C631" s="252"/>
      <c r="D631" s="252"/>
      <c r="E631" s="252"/>
      <c r="F631" s="252"/>
      <c r="G631" s="252"/>
      <c r="H631" s="252"/>
      <c r="I631" s="252"/>
      <c r="J631" s="252"/>
      <c r="K631" s="253"/>
    </row>
    <row r="632" spans="1:11" ht="22" customHeight="1" x14ac:dyDescent="0.35">
      <c r="A632" s="251"/>
      <c r="B632" s="252"/>
      <c r="C632" s="252"/>
      <c r="D632" s="252"/>
      <c r="E632" s="252"/>
      <c r="F632" s="252"/>
      <c r="G632" s="252"/>
      <c r="H632" s="252"/>
      <c r="I632" s="252"/>
      <c r="J632" s="252"/>
      <c r="K632" s="253"/>
    </row>
    <row r="633" spans="1:11" ht="22" customHeight="1" x14ac:dyDescent="0.35">
      <c r="A633" s="251"/>
      <c r="B633" s="252"/>
      <c r="C633" s="252"/>
      <c r="D633" s="252"/>
      <c r="E633" s="252"/>
      <c r="F633" s="252"/>
      <c r="G633" s="252"/>
      <c r="H633" s="252"/>
      <c r="I633" s="252"/>
      <c r="J633" s="252"/>
      <c r="K633" s="253"/>
    </row>
    <row r="634" spans="1:11" ht="22" customHeight="1" x14ac:dyDescent="0.35">
      <c r="A634" s="251"/>
      <c r="B634" s="252"/>
      <c r="C634" s="252"/>
      <c r="D634" s="252"/>
      <c r="E634" s="252"/>
      <c r="F634" s="252"/>
      <c r="G634" s="252"/>
      <c r="H634" s="252"/>
      <c r="I634" s="252"/>
      <c r="J634" s="252"/>
      <c r="K634" s="253"/>
    </row>
    <row r="635" spans="1:11" ht="22" customHeight="1" x14ac:dyDescent="0.35">
      <c r="A635" s="251"/>
      <c r="B635" s="252"/>
      <c r="C635" s="252"/>
      <c r="D635" s="252"/>
      <c r="E635" s="252"/>
      <c r="F635" s="252"/>
      <c r="G635" s="252"/>
      <c r="H635" s="252"/>
      <c r="I635" s="252"/>
      <c r="J635" s="252"/>
      <c r="K635" s="253"/>
    </row>
    <row r="636" spans="1:11" ht="22" customHeight="1" x14ac:dyDescent="0.35">
      <c r="A636" s="251"/>
      <c r="B636" s="252"/>
      <c r="C636" s="252"/>
      <c r="D636" s="252"/>
      <c r="E636" s="252"/>
      <c r="F636" s="252"/>
      <c r="G636" s="252"/>
      <c r="H636" s="252"/>
      <c r="I636" s="252"/>
      <c r="J636" s="252"/>
      <c r="K636" s="253"/>
    </row>
    <row r="637" spans="1:11" ht="22" customHeight="1" x14ac:dyDescent="0.35">
      <c r="A637" s="251"/>
      <c r="B637" s="252"/>
      <c r="C637" s="252"/>
      <c r="D637" s="252"/>
      <c r="E637" s="252"/>
      <c r="F637" s="252"/>
      <c r="G637" s="252"/>
      <c r="H637" s="252"/>
      <c r="I637" s="252"/>
      <c r="J637" s="252"/>
      <c r="K637" s="253"/>
    </row>
    <row r="638" spans="1:11" ht="22" customHeight="1" x14ac:dyDescent="0.35">
      <c r="A638" s="251"/>
      <c r="B638" s="252"/>
      <c r="C638" s="252"/>
      <c r="D638" s="252"/>
      <c r="E638" s="252"/>
      <c r="F638" s="252"/>
      <c r="G638" s="252"/>
      <c r="H638" s="252"/>
      <c r="I638" s="252"/>
      <c r="J638" s="252"/>
      <c r="K638" s="253"/>
    </row>
    <row r="639" spans="1:11" ht="22" customHeight="1" x14ac:dyDescent="0.35">
      <c r="A639" s="251"/>
      <c r="B639" s="252"/>
      <c r="C639" s="252"/>
      <c r="D639" s="252"/>
      <c r="E639" s="252"/>
      <c r="F639" s="252"/>
      <c r="G639" s="252"/>
      <c r="H639" s="252"/>
      <c r="I639" s="252"/>
      <c r="J639" s="252"/>
      <c r="K639" s="253"/>
    </row>
    <row r="640" spans="1:11" ht="22" customHeight="1" x14ac:dyDescent="0.35">
      <c r="A640" s="251"/>
      <c r="B640" s="252"/>
      <c r="C640" s="252"/>
      <c r="D640" s="252"/>
      <c r="E640" s="252"/>
      <c r="F640" s="252"/>
      <c r="G640" s="252"/>
      <c r="H640" s="252"/>
      <c r="I640" s="252"/>
      <c r="J640" s="252"/>
      <c r="K640" s="253"/>
    </row>
    <row r="641" spans="1:11" ht="22" customHeight="1" x14ac:dyDescent="0.35">
      <c r="A641" s="251"/>
      <c r="B641" s="252"/>
      <c r="C641" s="252"/>
      <c r="D641" s="252"/>
      <c r="E641" s="252"/>
      <c r="F641" s="252"/>
      <c r="G641" s="252"/>
      <c r="H641" s="252"/>
      <c r="I641" s="252"/>
      <c r="J641" s="252"/>
      <c r="K641" s="253"/>
    </row>
    <row r="642" spans="1:11" ht="22" customHeight="1" x14ac:dyDescent="0.35">
      <c r="A642" s="251"/>
      <c r="B642" s="252"/>
      <c r="C642" s="252"/>
      <c r="D642" s="252"/>
      <c r="E642" s="252"/>
      <c r="F642" s="252"/>
      <c r="G642" s="252"/>
      <c r="H642" s="252"/>
      <c r="I642" s="252"/>
      <c r="J642" s="252"/>
      <c r="K642" s="253"/>
    </row>
    <row r="643" spans="1:11" ht="22" customHeight="1" x14ac:dyDescent="0.35">
      <c r="A643" s="251"/>
      <c r="B643" s="252"/>
      <c r="C643" s="252"/>
      <c r="D643" s="252"/>
      <c r="E643" s="252"/>
      <c r="F643" s="252"/>
      <c r="G643" s="252"/>
      <c r="H643" s="252"/>
      <c r="I643" s="252"/>
      <c r="J643" s="252"/>
      <c r="K643" s="253"/>
    </row>
    <row r="644" spans="1:11" ht="22" customHeight="1" x14ac:dyDescent="0.35">
      <c r="A644" s="251"/>
      <c r="B644" s="252"/>
      <c r="C644" s="252"/>
      <c r="D644" s="252"/>
      <c r="E644" s="252"/>
      <c r="F644" s="252"/>
      <c r="G644" s="252"/>
      <c r="H644" s="252"/>
      <c r="I644" s="252"/>
      <c r="J644" s="252"/>
      <c r="K644" s="253"/>
    </row>
    <row r="645" spans="1:11" ht="22" customHeight="1" x14ac:dyDescent="0.35">
      <c r="A645" s="251"/>
      <c r="B645" s="252"/>
      <c r="C645" s="252"/>
      <c r="D645" s="252"/>
      <c r="E645" s="252"/>
      <c r="F645" s="252"/>
      <c r="G645" s="252"/>
      <c r="H645" s="252"/>
      <c r="I645" s="252"/>
      <c r="J645" s="252"/>
      <c r="K645" s="253"/>
    </row>
    <row r="646" spans="1:11" ht="22" customHeight="1" x14ac:dyDescent="0.35">
      <c r="A646" s="251"/>
      <c r="B646" s="252"/>
      <c r="C646" s="252"/>
      <c r="D646" s="252"/>
      <c r="E646" s="252"/>
      <c r="F646" s="252"/>
      <c r="G646" s="252"/>
      <c r="H646" s="252"/>
      <c r="I646" s="252"/>
      <c r="J646" s="252"/>
      <c r="K646" s="253"/>
    </row>
    <row r="647" spans="1:11" ht="22" customHeight="1" x14ac:dyDescent="0.35">
      <c r="A647" s="251"/>
      <c r="B647" s="252"/>
      <c r="C647" s="252"/>
      <c r="D647" s="252"/>
      <c r="E647" s="252"/>
      <c r="F647" s="252"/>
      <c r="G647" s="252"/>
      <c r="H647" s="252"/>
      <c r="I647" s="252"/>
      <c r="J647" s="252"/>
      <c r="K647" s="253"/>
    </row>
    <row r="648" spans="1:11" ht="22" customHeight="1" x14ac:dyDescent="0.35">
      <c r="A648" s="251"/>
      <c r="B648" s="252"/>
      <c r="C648" s="252"/>
      <c r="D648" s="252"/>
      <c r="E648" s="252"/>
      <c r="F648" s="252"/>
      <c r="G648" s="252"/>
      <c r="H648" s="252"/>
      <c r="I648" s="252"/>
      <c r="J648" s="252"/>
      <c r="K648" s="253"/>
    </row>
    <row r="649" spans="1:11" ht="22" customHeight="1" x14ac:dyDescent="0.35">
      <c r="A649" s="251"/>
      <c r="B649" s="252"/>
      <c r="C649" s="252"/>
      <c r="D649" s="252"/>
      <c r="E649" s="252"/>
      <c r="F649" s="252"/>
      <c r="G649" s="252"/>
      <c r="H649" s="252"/>
      <c r="I649" s="252"/>
      <c r="J649" s="252"/>
      <c r="K649" s="253"/>
    </row>
    <row r="650" spans="1:11" ht="22" customHeight="1" x14ac:dyDescent="0.35">
      <c r="A650" s="251"/>
      <c r="B650" s="252"/>
      <c r="C650" s="252"/>
      <c r="D650" s="252"/>
      <c r="E650" s="252"/>
      <c r="F650" s="252"/>
      <c r="G650" s="252"/>
      <c r="H650" s="252"/>
      <c r="I650" s="252"/>
      <c r="J650" s="252"/>
      <c r="K650" s="253"/>
    </row>
    <row r="651" spans="1:11" ht="22" customHeight="1" x14ac:dyDescent="0.35">
      <c r="A651" s="251"/>
      <c r="B651" s="252"/>
      <c r="C651" s="252"/>
      <c r="D651" s="252"/>
      <c r="E651" s="252"/>
      <c r="F651" s="252"/>
      <c r="G651" s="252"/>
      <c r="H651" s="252"/>
      <c r="I651" s="252"/>
      <c r="J651" s="252"/>
      <c r="K651" s="253"/>
    </row>
    <row r="652" spans="1:11" ht="22" customHeight="1" x14ac:dyDescent="0.35">
      <c r="A652" s="251"/>
      <c r="B652" s="252"/>
      <c r="C652" s="252"/>
      <c r="D652" s="252"/>
      <c r="E652" s="252"/>
      <c r="F652" s="252"/>
      <c r="G652" s="252"/>
      <c r="H652" s="252"/>
      <c r="I652" s="252"/>
      <c r="J652" s="252"/>
      <c r="K652" s="253"/>
    </row>
    <row r="653" spans="1:11" ht="22" customHeight="1" x14ac:dyDescent="0.35">
      <c r="A653" s="251"/>
      <c r="B653" s="252"/>
      <c r="C653" s="252"/>
      <c r="D653" s="252"/>
      <c r="E653" s="252"/>
      <c r="F653" s="252"/>
      <c r="G653" s="252"/>
      <c r="H653" s="252"/>
      <c r="I653" s="252"/>
      <c r="J653" s="252"/>
      <c r="K653" s="253"/>
    </row>
    <row r="654" spans="1:11" ht="22" customHeight="1" x14ac:dyDescent="0.35">
      <c r="A654" s="251"/>
      <c r="B654" s="252"/>
      <c r="C654" s="252"/>
      <c r="D654" s="252"/>
      <c r="E654" s="252"/>
      <c r="F654" s="252"/>
      <c r="G654" s="252"/>
      <c r="H654" s="252"/>
      <c r="I654" s="252"/>
      <c r="J654" s="252"/>
      <c r="K654" s="253"/>
    </row>
    <row r="655" spans="1:11" ht="22" customHeight="1" x14ac:dyDescent="0.35">
      <c r="A655" s="251"/>
      <c r="B655" s="252"/>
      <c r="C655" s="252"/>
      <c r="D655" s="252"/>
      <c r="E655" s="252"/>
      <c r="F655" s="252"/>
      <c r="G655" s="252"/>
      <c r="H655" s="252"/>
      <c r="I655" s="252"/>
      <c r="J655" s="252"/>
      <c r="K655" s="253"/>
    </row>
    <row r="656" spans="1:11" ht="22" customHeight="1" x14ac:dyDescent="0.35">
      <c r="A656" s="251"/>
      <c r="B656" s="252"/>
      <c r="C656" s="252"/>
      <c r="D656" s="252"/>
      <c r="E656" s="252"/>
      <c r="F656" s="252"/>
      <c r="G656" s="252"/>
      <c r="H656" s="252"/>
      <c r="I656" s="252"/>
      <c r="J656" s="252"/>
      <c r="K656" s="253"/>
    </row>
    <row r="657" spans="1:11" ht="22" customHeight="1" x14ac:dyDescent="0.35">
      <c r="A657" s="251"/>
      <c r="B657" s="252"/>
      <c r="C657" s="252"/>
      <c r="D657" s="252"/>
      <c r="E657" s="252"/>
      <c r="F657" s="252"/>
      <c r="G657" s="252"/>
      <c r="H657" s="252"/>
      <c r="I657" s="252"/>
      <c r="J657" s="252"/>
      <c r="K657" s="253"/>
    </row>
    <row r="658" spans="1:11" ht="22" customHeight="1" x14ac:dyDescent="0.35">
      <c r="A658" s="251"/>
      <c r="B658" s="252"/>
      <c r="C658" s="252"/>
      <c r="D658" s="252"/>
      <c r="E658" s="252"/>
      <c r="F658" s="252"/>
      <c r="G658" s="252"/>
      <c r="H658" s="252"/>
      <c r="I658" s="252"/>
      <c r="J658" s="252"/>
      <c r="K658" s="253"/>
    </row>
    <row r="659" spans="1:11" ht="22" customHeight="1" x14ac:dyDescent="0.35">
      <c r="A659" s="251"/>
      <c r="B659" s="252"/>
      <c r="C659" s="252"/>
      <c r="D659" s="252"/>
      <c r="E659" s="252"/>
      <c r="F659" s="252"/>
      <c r="G659" s="252"/>
      <c r="H659" s="252"/>
      <c r="I659" s="252"/>
      <c r="J659" s="252"/>
      <c r="K659" s="253"/>
    </row>
    <row r="660" spans="1:11" ht="22" customHeight="1" x14ac:dyDescent="0.35">
      <c r="A660" s="251"/>
      <c r="B660" s="252"/>
      <c r="C660" s="252"/>
      <c r="D660" s="252"/>
      <c r="E660" s="252"/>
      <c r="F660" s="252"/>
      <c r="G660" s="252"/>
      <c r="H660" s="252"/>
      <c r="I660" s="252"/>
      <c r="J660" s="252"/>
      <c r="K660" s="253"/>
    </row>
    <row r="661" spans="1:11" ht="22" customHeight="1" x14ac:dyDescent="0.35">
      <c r="A661" s="251"/>
      <c r="B661" s="252"/>
      <c r="C661" s="252"/>
      <c r="D661" s="252"/>
      <c r="E661" s="252"/>
      <c r="F661" s="252"/>
      <c r="G661" s="252"/>
      <c r="H661" s="252"/>
      <c r="I661" s="252"/>
      <c r="J661" s="252"/>
      <c r="K661" s="253"/>
    </row>
    <row r="662" spans="1:11" ht="22" customHeight="1" x14ac:dyDescent="0.35">
      <c r="A662" s="251"/>
      <c r="B662" s="252"/>
      <c r="C662" s="252"/>
      <c r="D662" s="252"/>
      <c r="E662" s="252"/>
      <c r="F662" s="252"/>
      <c r="G662" s="252"/>
      <c r="H662" s="252"/>
      <c r="I662" s="252"/>
      <c r="J662" s="252"/>
      <c r="K662" s="253"/>
    </row>
    <row r="663" spans="1:11" ht="22" customHeight="1" x14ac:dyDescent="0.35">
      <c r="A663" s="251"/>
      <c r="B663" s="252"/>
      <c r="C663" s="252"/>
      <c r="D663" s="252"/>
      <c r="E663" s="252"/>
      <c r="F663" s="252"/>
      <c r="G663" s="252"/>
      <c r="H663" s="252"/>
      <c r="I663" s="252"/>
      <c r="J663" s="252"/>
      <c r="K663" s="253"/>
    </row>
    <row r="664" spans="1:11" ht="22" customHeight="1" x14ac:dyDescent="0.35">
      <c r="A664" s="251"/>
      <c r="B664" s="252"/>
      <c r="C664" s="252"/>
      <c r="D664" s="252"/>
      <c r="E664" s="252"/>
      <c r="F664" s="252"/>
      <c r="G664" s="252"/>
      <c r="H664" s="252"/>
      <c r="I664" s="252"/>
      <c r="J664" s="252"/>
      <c r="K664" s="253"/>
    </row>
    <row r="665" spans="1:11" ht="22" customHeight="1" x14ac:dyDescent="0.35">
      <c r="A665" s="251"/>
      <c r="B665" s="252"/>
      <c r="C665" s="252"/>
      <c r="D665" s="252"/>
      <c r="E665" s="252"/>
      <c r="F665" s="252"/>
      <c r="G665" s="252"/>
      <c r="H665" s="252"/>
      <c r="I665" s="252"/>
      <c r="J665" s="252"/>
      <c r="K665" s="253"/>
    </row>
    <row r="666" spans="1:11" ht="22" customHeight="1" x14ac:dyDescent="0.35">
      <c r="A666" s="251"/>
      <c r="B666" s="252"/>
      <c r="C666" s="252"/>
      <c r="D666" s="252"/>
      <c r="E666" s="252"/>
      <c r="F666" s="252"/>
      <c r="G666" s="252"/>
      <c r="H666" s="252"/>
      <c r="I666" s="252"/>
      <c r="J666" s="252"/>
      <c r="K666" s="253"/>
    </row>
    <row r="667" spans="1:11" ht="22" customHeight="1" x14ac:dyDescent="0.35">
      <c r="A667" s="251"/>
      <c r="B667" s="252"/>
      <c r="C667" s="252"/>
      <c r="D667" s="252"/>
      <c r="E667" s="252"/>
      <c r="F667" s="252"/>
      <c r="G667" s="252"/>
      <c r="H667" s="252"/>
      <c r="I667" s="252"/>
      <c r="J667" s="252"/>
      <c r="K667" s="253"/>
    </row>
    <row r="668" spans="1:11" ht="22" customHeight="1" x14ac:dyDescent="0.35">
      <c r="A668" s="251"/>
      <c r="B668" s="252"/>
      <c r="C668" s="252"/>
      <c r="D668" s="252"/>
      <c r="E668" s="252"/>
      <c r="F668" s="252"/>
      <c r="G668" s="252"/>
      <c r="H668" s="252"/>
      <c r="I668" s="252"/>
      <c r="J668" s="252"/>
      <c r="K668" s="253"/>
    </row>
    <row r="669" spans="1:11" ht="22" customHeight="1" x14ac:dyDescent="0.35">
      <c r="A669" s="251"/>
      <c r="B669" s="252"/>
      <c r="C669" s="252"/>
      <c r="D669" s="252"/>
      <c r="E669" s="252"/>
      <c r="F669" s="252"/>
      <c r="G669" s="252"/>
      <c r="H669" s="252"/>
      <c r="I669" s="252"/>
      <c r="J669" s="252"/>
      <c r="K669" s="253"/>
    </row>
    <row r="670" spans="1:11" ht="22" customHeight="1" x14ac:dyDescent="0.35">
      <c r="A670" s="251"/>
      <c r="B670" s="252"/>
      <c r="C670" s="252"/>
      <c r="D670" s="252"/>
      <c r="E670" s="252"/>
      <c r="F670" s="252"/>
      <c r="G670" s="252"/>
      <c r="H670" s="252"/>
      <c r="I670" s="252"/>
      <c r="J670" s="252"/>
      <c r="K670" s="253"/>
    </row>
    <row r="671" spans="1:11" ht="22" customHeight="1" x14ac:dyDescent="0.35">
      <c r="A671" s="251"/>
      <c r="B671" s="252"/>
      <c r="C671" s="252"/>
      <c r="D671" s="252"/>
      <c r="E671" s="252"/>
      <c r="F671" s="252"/>
      <c r="G671" s="252"/>
      <c r="H671" s="252"/>
      <c r="I671" s="252"/>
      <c r="J671" s="252"/>
      <c r="K671" s="253"/>
    </row>
    <row r="672" spans="1:11" ht="22" customHeight="1" x14ac:dyDescent="0.35">
      <c r="A672" s="251"/>
      <c r="B672" s="252"/>
      <c r="C672" s="252"/>
      <c r="D672" s="252"/>
      <c r="E672" s="252"/>
      <c r="F672" s="252"/>
      <c r="G672" s="252"/>
      <c r="H672" s="252"/>
      <c r="I672" s="252"/>
      <c r="J672" s="252"/>
      <c r="K672" s="253"/>
    </row>
    <row r="673" spans="1:11" ht="22" customHeight="1" x14ac:dyDescent="0.35">
      <c r="A673" s="251"/>
      <c r="B673" s="252"/>
      <c r="C673" s="252"/>
      <c r="D673" s="252"/>
      <c r="E673" s="252"/>
      <c r="F673" s="252"/>
      <c r="G673" s="252"/>
      <c r="H673" s="252"/>
      <c r="I673" s="252"/>
      <c r="J673" s="252"/>
      <c r="K673" s="253"/>
    </row>
    <row r="674" spans="1:11" ht="22" customHeight="1" x14ac:dyDescent="0.35">
      <c r="A674" s="251"/>
      <c r="B674" s="252"/>
      <c r="C674" s="252"/>
      <c r="D674" s="252"/>
      <c r="E674" s="252"/>
      <c r="F674" s="252"/>
      <c r="G674" s="252"/>
      <c r="H674" s="252"/>
      <c r="I674" s="252"/>
      <c r="J674" s="252"/>
      <c r="K674" s="253"/>
    </row>
    <row r="675" spans="1:11" ht="22" customHeight="1" x14ac:dyDescent="0.35">
      <c r="A675" s="251"/>
      <c r="B675" s="252"/>
      <c r="C675" s="252"/>
      <c r="D675" s="252"/>
      <c r="E675" s="252"/>
      <c r="F675" s="252"/>
      <c r="G675" s="252"/>
      <c r="H675" s="252"/>
      <c r="I675" s="252"/>
      <c r="J675" s="252"/>
      <c r="K675" s="253"/>
    </row>
    <row r="676" spans="1:11" ht="22" customHeight="1" x14ac:dyDescent="0.35">
      <c r="A676" s="251"/>
      <c r="B676" s="252"/>
      <c r="C676" s="252"/>
      <c r="D676" s="252"/>
      <c r="E676" s="252"/>
      <c r="F676" s="252"/>
      <c r="G676" s="252"/>
      <c r="H676" s="252"/>
      <c r="I676" s="252"/>
      <c r="J676" s="252"/>
      <c r="K676" s="253"/>
    </row>
    <row r="677" spans="1:11" ht="22" customHeight="1" x14ac:dyDescent="0.35">
      <c r="A677" s="251"/>
      <c r="B677" s="252"/>
      <c r="C677" s="252"/>
      <c r="D677" s="252"/>
      <c r="E677" s="252"/>
      <c r="F677" s="252"/>
      <c r="G677" s="252"/>
      <c r="H677" s="252"/>
      <c r="I677" s="252"/>
      <c r="J677" s="252"/>
      <c r="K677" s="253"/>
    </row>
    <row r="678" spans="1:11" ht="22" customHeight="1" x14ac:dyDescent="0.35">
      <c r="A678" s="251"/>
      <c r="B678" s="252"/>
      <c r="C678" s="252"/>
      <c r="D678" s="252"/>
      <c r="E678" s="252"/>
      <c r="F678" s="252"/>
      <c r="G678" s="252"/>
      <c r="H678" s="252"/>
      <c r="I678" s="252"/>
      <c r="J678" s="252"/>
      <c r="K678" s="253"/>
    </row>
    <row r="679" spans="1:11" ht="22" customHeight="1" x14ac:dyDescent="0.35">
      <c r="A679" s="251"/>
      <c r="B679" s="252"/>
      <c r="C679" s="252"/>
      <c r="D679" s="252"/>
      <c r="E679" s="252"/>
      <c r="F679" s="252"/>
      <c r="G679" s="252"/>
      <c r="H679" s="252"/>
      <c r="I679" s="252"/>
      <c r="J679" s="252"/>
      <c r="K679" s="253"/>
    </row>
    <row r="680" spans="1:11" ht="22" customHeight="1" x14ac:dyDescent="0.35">
      <c r="A680" s="251"/>
      <c r="B680" s="252"/>
      <c r="C680" s="252"/>
      <c r="D680" s="252"/>
      <c r="E680" s="252"/>
      <c r="F680" s="252"/>
      <c r="G680" s="252"/>
      <c r="H680" s="252"/>
      <c r="I680" s="252"/>
      <c r="J680" s="252"/>
      <c r="K680" s="253"/>
    </row>
    <row r="681" spans="1:11" ht="22" customHeight="1" x14ac:dyDescent="0.35">
      <c r="A681" s="251"/>
      <c r="B681" s="252"/>
      <c r="C681" s="252"/>
      <c r="D681" s="252"/>
      <c r="E681" s="252"/>
      <c r="F681" s="252"/>
      <c r="G681" s="252"/>
      <c r="H681" s="252"/>
      <c r="I681" s="252"/>
      <c r="J681" s="252"/>
      <c r="K681" s="253"/>
    </row>
    <row r="682" spans="1:11" ht="22" customHeight="1" x14ac:dyDescent="0.35">
      <c r="A682" s="251"/>
      <c r="B682" s="252"/>
      <c r="C682" s="252"/>
      <c r="D682" s="252"/>
      <c r="E682" s="252"/>
      <c r="F682" s="252"/>
      <c r="G682" s="252"/>
      <c r="H682" s="252"/>
      <c r="I682" s="252"/>
      <c r="J682" s="252"/>
      <c r="K682" s="253"/>
    </row>
    <row r="683" spans="1:11" ht="22" customHeight="1" x14ac:dyDescent="0.35">
      <c r="A683" s="251"/>
      <c r="B683" s="252"/>
      <c r="C683" s="252"/>
      <c r="D683" s="252"/>
      <c r="E683" s="252"/>
      <c r="F683" s="252"/>
      <c r="G683" s="252"/>
      <c r="H683" s="252"/>
      <c r="I683" s="252"/>
      <c r="J683" s="252"/>
      <c r="K683" s="253"/>
    </row>
    <row r="684" spans="1:11" ht="22" customHeight="1" x14ac:dyDescent="0.35">
      <c r="A684" s="251"/>
      <c r="B684" s="252"/>
      <c r="C684" s="252"/>
      <c r="D684" s="252"/>
      <c r="E684" s="252"/>
      <c r="F684" s="252"/>
      <c r="G684" s="252"/>
      <c r="H684" s="252"/>
      <c r="I684" s="252"/>
      <c r="J684" s="252"/>
      <c r="K684" s="253"/>
    </row>
    <row r="685" spans="1:11" ht="22" customHeight="1" x14ac:dyDescent="0.35">
      <c r="A685" s="251"/>
      <c r="B685" s="252"/>
      <c r="C685" s="252"/>
      <c r="D685" s="252"/>
      <c r="E685" s="252"/>
      <c r="F685" s="252"/>
      <c r="G685" s="252"/>
      <c r="H685" s="252"/>
      <c r="I685" s="252"/>
      <c r="J685" s="252"/>
      <c r="K685" s="253"/>
    </row>
    <row r="686" spans="1:11" ht="22" customHeight="1" x14ac:dyDescent="0.35">
      <c r="A686" s="251"/>
      <c r="B686" s="252"/>
      <c r="C686" s="252"/>
      <c r="D686" s="252"/>
      <c r="E686" s="252"/>
      <c r="F686" s="252"/>
      <c r="G686" s="252"/>
      <c r="H686" s="252"/>
      <c r="I686" s="252"/>
      <c r="J686" s="252"/>
      <c r="K686" s="253"/>
    </row>
    <row r="687" spans="1:11" ht="22" customHeight="1" x14ac:dyDescent="0.35">
      <c r="A687" s="251"/>
      <c r="B687" s="252"/>
      <c r="C687" s="252"/>
      <c r="D687" s="252"/>
      <c r="E687" s="252"/>
      <c r="F687" s="252"/>
      <c r="G687" s="252"/>
      <c r="H687" s="252"/>
      <c r="I687" s="252"/>
      <c r="J687" s="252"/>
      <c r="K687" s="253"/>
    </row>
    <row r="688" spans="1:11" ht="22" customHeight="1" x14ac:dyDescent="0.35">
      <c r="A688" s="251"/>
      <c r="B688" s="252"/>
      <c r="C688" s="252"/>
      <c r="D688" s="252"/>
      <c r="E688" s="252"/>
      <c r="F688" s="252"/>
      <c r="G688" s="252"/>
      <c r="H688" s="252"/>
      <c r="I688" s="252"/>
      <c r="J688" s="252"/>
      <c r="K688" s="253"/>
    </row>
    <row r="689" spans="1:11" ht="22" customHeight="1" x14ac:dyDescent="0.35">
      <c r="A689" s="251"/>
      <c r="B689" s="252"/>
      <c r="C689" s="252"/>
      <c r="D689" s="252"/>
      <c r="E689" s="252"/>
      <c r="F689" s="252"/>
      <c r="G689" s="252"/>
      <c r="H689" s="252"/>
      <c r="I689" s="252"/>
      <c r="J689" s="252"/>
      <c r="K689" s="253"/>
    </row>
    <row r="690" spans="1:11" ht="22" customHeight="1" x14ac:dyDescent="0.35">
      <c r="A690" s="251"/>
      <c r="B690" s="252"/>
      <c r="C690" s="252"/>
      <c r="D690" s="252"/>
      <c r="E690" s="252"/>
      <c r="F690" s="252"/>
      <c r="G690" s="252"/>
      <c r="H690" s="252"/>
      <c r="I690" s="252"/>
      <c r="J690" s="252"/>
      <c r="K690" s="253"/>
    </row>
    <row r="691" spans="1:11" ht="22" customHeight="1" x14ac:dyDescent="0.35">
      <c r="A691" s="251"/>
      <c r="B691" s="252"/>
      <c r="C691" s="252"/>
      <c r="D691" s="252"/>
      <c r="E691" s="252"/>
      <c r="F691" s="252"/>
      <c r="G691" s="252"/>
      <c r="H691" s="252"/>
      <c r="I691" s="252"/>
      <c r="J691" s="252"/>
      <c r="K691" s="253"/>
    </row>
    <row r="692" spans="1:11" ht="22" customHeight="1" x14ac:dyDescent="0.35">
      <c r="A692" s="251"/>
      <c r="B692" s="252"/>
      <c r="C692" s="252"/>
      <c r="D692" s="252"/>
      <c r="E692" s="252"/>
      <c r="F692" s="252"/>
      <c r="G692" s="252"/>
      <c r="H692" s="252"/>
      <c r="I692" s="252"/>
      <c r="J692" s="252"/>
      <c r="K692" s="253"/>
    </row>
    <row r="693" spans="1:11" ht="22" customHeight="1" x14ac:dyDescent="0.35">
      <c r="A693" s="251"/>
      <c r="B693" s="252"/>
      <c r="C693" s="252"/>
      <c r="D693" s="252"/>
      <c r="E693" s="252"/>
      <c r="F693" s="252"/>
      <c r="G693" s="252"/>
      <c r="H693" s="252"/>
      <c r="I693" s="252"/>
      <c r="J693" s="252"/>
      <c r="K693" s="253"/>
    </row>
    <row r="694" spans="1:11" ht="22" customHeight="1" x14ac:dyDescent="0.35">
      <c r="A694" s="251"/>
      <c r="B694" s="252"/>
      <c r="C694" s="252"/>
      <c r="D694" s="252"/>
      <c r="E694" s="252"/>
      <c r="F694" s="252"/>
      <c r="G694" s="252"/>
      <c r="H694" s="252"/>
      <c r="I694" s="252"/>
      <c r="J694" s="252"/>
      <c r="K694" s="253"/>
    </row>
    <row r="695" spans="1:11" ht="22" customHeight="1" x14ac:dyDescent="0.35">
      <c r="A695" s="251"/>
      <c r="B695" s="252"/>
      <c r="C695" s="252"/>
      <c r="D695" s="252"/>
      <c r="E695" s="252"/>
      <c r="F695" s="252"/>
      <c r="G695" s="252"/>
      <c r="H695" s="252"/>
      <c r="I695" s="252"/>
      <c r="J695" s="252"/>
      <c r="K695" s="253"/>
    </row>
    <row r="696" spans="1:11" ht="22" customHeight="1" x14ac:dyDescent="0.35">
      <c r="A696" s="251"/>
      <c r="B696" s="252"/>
      <c r="C696" s="252"/>
      <c r="D696" s="252"/>
      <c r="E696" s="252"/>
      <c r="F696" s="252"/>
      <c r="G696" s="252"/>
      <c r="H696" s="252"/>
      <c r="I696" s="252"/>
      <c r="J696" s="252"/>
      <c r="K696" s="253"/>
    </row>
    <row r="697" spans="1:11" ht="22" customHeight="1" x14ac:dyDescent="0.35">
      <c r="A697" s="251"/>
      <c r="B697" s="252"/>
      <c r="C697" s="252"/>
      <c r="D697" s="252"/>
      <c r="E697" s="252"/>
      <c r="F697" s="252"/>
      <c r="G697" s="252"/>
      <c r="H697" s="252"/>
      <c r="I697" s="252"/>
      <c r="J697" s="252"/>
      <c r="K697" s="253"/>
    </row>
    <row r="698" spans="1:11" ht="22" customHeight="1" x14ac:dyDescent="0.35">
      <c r="A698" s="251"/>
      <c r="B698" s="252"/>
      <c r="C698" s="252"/>
      <c r="D698" s="252"/>
      <c r="E698" s="252"/>
      <c r="F698" s="252"/>
      <c r="G698" s="252"/>
      <c r="H698" s="252"/>
      <c r="I698" s="252"/>
      <c r="J698" s="252"/>
      <c r="K698" s="253"/>
    </row>
    <row r="699" spans="1:11" ht="22" customHeight="1" x14ac:dyDescent="0.35">
      <c r="A699" s="251"/>
      <c r="B699" s="252"/>
      <c r="C699" s="252"/>
      <c r="D699" s="252"/>
      <c r="E699" s="252"/>
      <c r="F699" s="252"/>
      <c r="G699" s="252"/>
      <c r="H699" s="252"/>
      <c r="I699" s="252"/>
      <c r="J699" s="252"/>
      <c r="K699" s="253"/>
    </row>
    <row r="700" spans="1:11" ht="22" customHeight="1" x14ac:dyDescent="0.35">
      <c r="A700" s="251"/>
      <c r="B700" s="252"/>
      <c r="C700" s="252"/>
      <c r="D700" s="252"/>
      <c r="E700" s="252"/>
      <c r="F700" s="252"/>
      <c r="G700" s="252"/>
      <c r="H700" s="252"/>
      <c r="I700" s="252"/>
      <c r="J700" s="252"/>
      <c r="K700" s="253"/>
    </row>
    <row r="701" spans="1:11" ht="22" customHeight="1" x14ac:dyDescent="0.35">
      <c r="A701" s="251"/>
      <c r="B701" s="252"/>
      <c r="C701" s="252"/>
      <c r="D701" s="252"/>
      <c r="E701" s="252"/>
      <c r="F701" s="252"/>
      <c r="G701" s="252"/>
      <c r="H701" s="252"/>
      <c r="I701" s="252"/>
      <c r="J701" s="252"/>
      <c r="K701" s="253"/>
    </row>
    <row r="702" spans="1:11" ht="22" customHeight="1" x14ac:dyDescent="0.35">
      <c r="A702" s="251"/>
      <c r="B702" s="252"/>
      <c r="C702" s="252"/>
      <c r="D702" s="252"/>
      <c r="E702" s="252"/>
      <c r="F702" s="252"/>
      <c r="G702" s="252"/>
      <c r="H702" s="252"/>
      <c r="I702" s="252"/>
      <c r="J702" s="252"/>
      <c r="K702" s="253"/>
    </row>
    <row r="703" spans="1:11" ht="22" customHeight="1" x14ac:dyDescent="0.35">
      <c r="A703" s="251"/>
      <c r="B703" s="252"/>
      <c r="C703" s="252"/>
      <c r="D703" s="252"/>
      <c r="E703" s="252"/>
      <c r="F703" s="252"/>
      <c r="G703" s="252"/>
      <c r="H703" s="252"/>
      <c r="I703" s="252"/>
      <c r="J703" s="252"/>
      <c r="K703" s="253"/>
    </row>
    <row r="704" spans="1:11" ht="22" customHeight="1" x14ac:dyDescent="0.35">
      <c r="A704" s="251"/>
      <c r="B704" s="252"/>
      <c r="C704" s="252"/>
      <c r="D704" s="252"/>
      <c r="E704" s="252"/>
      <c r="F704" s="252"/>
      <c r="G704" s="252"/>
      <c r="H704" s="252"/>
      <c r="I704" s="252"/>
      <c r="J704" s="252"/>
      <c r="K704" s="253"/>
    </row>
    <row r="705" spans="1:11" ht="22" customHeight="1" x14ac:dyDescent="0.35">
      <c r="A705" s="251"/>
      <c r="B705" s="252"/>
      <c r="C705" s="252"/>
      <c r="D705" s="252"/>
      <c r="E705" s="252"/>
      <c r="F705" s="252"/>
      <c r="G705" s="252"/>
      <c r="H705" s="252"/>
      <c r="I705" s="252"/>
      <c r="J705" s="252"/>
      <c r="K705" s="253"/>
    </row>
    <row r="706" spans="1:11" ht="22" customHeight="1" x14ac:dyDescent="0.35">
      <c r="A706" s="251"/>
      <c r="B706" s="252"/>
      <c r="C706" s="252"/>
      <c r="D706" s="252"/>
      <c r="E706" s="252"/>
      <c r="F706" s="252"/>
      <c r="G706" s="252"/>
      <c r="H706" s="252"/>
      <c r="I706" s="252"/>
      <c r="J706" s="252"/>
      <c r="K706" s="253"/>
    </row>
    <row r="707" spans="1:11" ht="22" customHeight="1" x14ac:dyDescent="0.35">
      <c r="A707" s="251"/>
      <c r="B707" s="252"/>
      <c r="C707" s="252"/>
      <c r="D707" s="252"/>
      <c r="E707" s="252"/>
      <c r="F707" s="252"/>
      <c r="G707" s="252"/>
      <c r="H707" s="252"/>
      <c r="I707" s="252"/>
      <c r="J707" s="252"/>
      <c r="K707" s="253"/>
    </row>
    <row r="708" spans="1:11" ht="22" customHeight="1" x14ac:dyDescent="0.35">
      <c r="A708" s="251"/>
      <c r="B708" s="252"/>
      <c r="C708" s="252"/>
      <c r="D708" s="252"/>
      <c r="E708" s="252"/>
      <c r="F708" s="252"/>
      <c r="G708" s="252"/>
      <c r="H708" s="252"/>
      <c r="I708" s="252"/>
      <c r="J708" s="252"/>
      <c r="K708" s="253"/>
    </row>
    <row r="709" spans="1:11" ht="22" customHeight="1" x14ac:dyDescent="0.35">
      <c r="A709" s="251"/>
      <c r="B709" s="252"/>
      <c r="C709" s="252"/>
      <c r="D709" s="252"/>
      <c r="E709" s="252"/>
      <c r="F709" s="252"/>
      <c r="G709" s="252"/>
      <c r="H709" s="252"/>
      <c r="I709" s="252"/>
      <c r="J709" s="252"/>
      <c r="K709" s="253"/>
    </row>
    <row r="710" spans="1:11" ht="22" customHeight="1" x14ac:dyDescent="0.35">
      <c r="A710" s="251"/>
      <c r="B710" s="252"/>
      <c r="C710" s="252"/>
      <c r="D710" s="252"/>
      <c r="E710" s="252"/>
      <c r="F710" s="252"/>
      <c r="G710" s="252"/>
      <c r="H710" s="252"/>
      <c r="I710" s="252"/>
      <c r="J710" s="252"/>
      <c r="K710" s="253"/>
    </row>
    <row r="711" spans="1:11" ht="22" customHeight="1" x14ac:dyDescent="0.35">
      <c r="A711" s="251"/>
      <c r="B711" s="252"/>
      <c r="C711" s="252"/>
      <c r="D711" s="252"/>
      <c r="E711" s="252"/>
      <c r="F711" s="252"/>
      <c r="G711" s="252"/>
      <c r="H711" s="252"/>
      <c r="I711" s="252"/>
      <c r="J711" s="252"/>
      <c r="K711" s="253"/>
    </row>
    <row r="712" spans="1:11" ht="22" customHeight="1" x14ac:dyDescent="0.35">
      <c r="A712" s="251"/>
      <c r="B712" s="252"/>
      <c r="C712" s="252"/>
      <c r="D712" s="252"/>
      <c r="E712" s="252"/>
      <c r="F712" s="252"/>
      <c r="G712" s="252"/>
      <c r="H712" s="252"/>
      <c r="I712" s="252"/>
      <c r="J712" s="252"/>
      <c r="K712" s="253"/>
    </row>
    <row r="713" spans="1:11" ht="22" customHeight="1" x14ac:dyDescent="0.35">
      <c r="A713" s="251"/>
      <c r="B713" s="252"/>
      <c r="C713" s="252"/>
      <c r="D713" s="252"/>
      <c r="E713" s="252"/>
      <c r="F713" s="252"/>
      <c r="G713" s="252"/>
      <c r="H713" s="252"/>
      <c r="I713" s="252"/>
      <c r="J713" s="252"/>
      <c r="K713" s="253"/>
    </row>
    <row r="714" spans="1:11" ht="22" customHeight="1" x14ac:dyDescent="0.35">
      <c r="A714" s="251"/>
      <c r="B714" s="252"/>
      <c r="C714" s="252"/>
      <c r="D714" s="252"/>
      <c r="E714" s="252"/>
      <c r="F714" s="252"/>
      <c r="G714" s="252"/>
      <c r="H714" s="252"/>
      <c r="I714" s="252"/>
      <c r="J714" s="252"/>
      <c r="K714" s="253"/>
    </row>
    <row r="715" spans="1:11" ht="22" customHeight="1" x14ac:dyDescent="0.35">
      <c r="A715" s="251"/>
      <c r="B715" s="252"/>
      <c r="C715" s="252"/>
      <c r="D715" s="252"/>
      <c r="E715" s="252"/>
      <c r="F715" s="252"/>
      <c r="G715" s="252"/>
      <c r="H715" s="252"/>
      <c r="I715" s="252"/>
      <c r="J715" s="252"/>
      <c r="K715" s="253"/>
    </row>
    <row r="716" spans="1:11" ht="22" customHeight="1" x14ac:dyDescent="0.35">
      <c r="A716" s="251"/>
      <c r="B716" s="252"/>
      <c r="C716" s="252"/>
      <c r="D716" s="252"/>
      <c r="E716" s="252"/>
      <c r="F716" s="252"/>
      <c r="G716" s="252"/>
      <c r="H716" s="252"/>
      <c r="I716" s="252"/>
      <c r="J716" s="252"/>
      <c r="K716" s="253"/>
    </row>
    <row r="717" spans="1:11" ht="22" customHeight="1" x14ac:dyDescent="0.35">
      <c r="A717" s="251"/>
      <c r="B717" s="252"/>
      <c r="C717" s="252"/>
      <c r="D717" s="252"/>
      <c r="E717" s="252"/>
      <c r="F717" s="252"/>
      <c r="G717" s="252"/>
      <c r="H717" s="252"/>
      <c r="I717" s="252"/>
      <c r="J717" s="252"/>
      <c r="K717" s="253"/>
    </row>
    <row r="718" spans="1:11" ht="22" customHeight="1" x14ac:dyDescent="0.35">
      <c r="A718" s="251"/>
      <c r="B718" s="252"/>
      <c r="C718" s="252"/>
      <c r="D718" s="252"/>
      <c r="E718" s="252"/>
      <c r="F718" s="252"/>
      <c r="G718" s="252"/>
      <c r="H718" s="252"/>
      <c r="I718" s="252"/>
      <c r="J718" s="252"/>
      <c r="K718" s="253"/>
    </row>
    <row r="719" spans="1:11" ht="22" customHeight="1" x14ac:dyDescent="0.35">
      <c r="A719" s="251"/>
      <c r="B719" s="252"/>
      <c r="C719" s="252"/>
      <c r="D719" s="252"/>
      <c r="E719" s="252"/>
      <c r="F719" s="252"/>
      <c r="G719" s="252"/>
      <c r="H719" s="252"/>
      <c r="I719" s="252"/>
      <c r="J719" s="252"/>
      <c r="K719" s="253"/>
    </row>
    <row r="720" spans="1:11" ht="22" customHeight="1" x14ac:dyDescent="0.35">
      <c r="A720" s="251"/>
      <c r="B720" s="252"/>
      <c r="C720" s="252"/>
      <c r="D720" s="252"/>
      <c r="E720" s="252"/>
      <c r="F720" s="252"/>
      <c r="G720" s="252"/>
      <c r="H720" s="252"/>
      <c r="I720" s="252"/>
      <c r="J720" s="252"/>
      <c r="K720" s="253"/>
    </row>
    <row r="721" spans="1:11" ht="22" customHeight="1" x14ac:dyDescent="0.35">
      <c r="A721" s="251"/>
      <c r="B721" s="252"/>
      <c r="C721" s="252"/>
      <c r="D721" s="252"/>
      <c r="E721" s="252"/>
      <c r="F721" s="252"/>
      <c r="G721" s="252"/>
      <c r="H721" s="252"/>
      <c r="I721" s="252"/>
      <c r="J721" s="252"/>
      <c r="K721" s="253"/>
    </row>
    <row r="722" spans="1:11" ht="22" customHeight="1" x14ac:dyDescent="0.35">
      <c r="A722" s="251"/>
      <c r="B722" s="252"/>
      <c r="C722" s="252"/>
      <c r="D722" s="252"/>
      <c r="E722" s="252"/>
      <c r="F722" s="252"/>
      <c r="G722" s="252"/>
      <c r="H722" s="252"/>
      <c r="I722" s="252"/>
      <c r="J722" s="252"/>
      <c r="K722" s="253"/>
    </row>
    <row r="723" spans="1:11" ht="22" customHeight="1" x14ac:dyDescent="0.35">
      <c r="A723" s="251"/>
      <c r="B723" s="252"/>
      <c r="C723" s="252"/>
      <c r="D723" s="252"/>
      <c r="E723" s="252"/>
      <c r="F723" s="252"/>
      <c r="G723" s="252"/>
      <c r="H723" s="252"/>
      <c r="I723" s="252"/>
      <c r="J723" s="252"/>
      <c r="K723" s="253"/>
    </row>
    <row r="724" spans="1:11" ht="22" customHeight="1" x14ac:dyDescent="0.35">
      <c r="A724" s="251"/>
      <c r="B724" s="252"/>
      <c r="C724" s="252"/>
      <c r="D724" s="252"/>
      <c r="E724" s="252"/>
      <c r="F724" s="252"/>
      <c r="G724" s="252"/>
      <c r="H724" s="252"/>
      <c r="I724" s="252"/>
      <c r="J724" s="252"/>
      <c r="K724" s="253"/>
    </row>
    <row r="725" spans="1:11" ht="22" customHeight="1" x14ac:dyDescent="0.35">
      <c r="A725" s="251"/>
      <c r="B725" s="252"/>
      <c r="C725" s="252"/>
      <c r="D725" s="252"/>
      <c r="E725" s="252"/>
      <c r="F725" s="252"/>
      <c r="G725" s="252"/>
      <c r="H725" s="252"/>
      <c r="I725" s="252"/>
      <c r="J725" s="252"/>
      <c r="K725" s="253"/>
    </row>
    <row r="726" spans="1:11" ht="22" customHeight="1" x14ac:dyDescent="0.35">
      <c r="A726" s="251"/>
      <c r="B726" s="252"/>
      <c r="C726" s="252"/>
      <c r="D726" s="252"/>
      <c r="E726" s="252"/>
      <c r="F726" s="252"/>
      <c r="G726" s="252"/>
      <c r="H726" s="252"/>
      <c r="I726" s="252"/>
      <c r="J726" s="252"/>
      <c r="K726" s="253"/>
    </row>
    <row r="727" spans="1:11" ht="22" customHeight="1" x14ac:dyDescent="0.35">
      <c r="A727" s="251"/>
      <c r="B727" s="252"/>
      <c r="C727" s="252"/>
      <c r="D727" s="252"/>
      <c r="E727" s="252"/>
      <c r="F727" s="252"/>
      <c r="G727" s="252"/>
      <c r="H727" s="252"/>
      <c r="I727" s="252"/>
      <c r="J727" s="252"/>
      <c r="K727" s="253"/>
    </row>
    <row r="728" spans="1:11" ht="22" customHeight="1" x14ac:dyDescent="0.35">
      <c r="A728" s="251"/>
      <c r="B728" s="252"/>
      <c r="C728" s="252"/>
      <c r="D728" s="252"/>
      <c r="E728" s="252"/>
      <c r="F728" s="252"/>
      <c r="G728" s="252"/>
      <c r="H728" s="252"/>
      <c r="I728" s="252"/>
      <c r="J728" s="252"/>
      <c r="K728" s="253"/>
    </row>
    <row r="729" spans="1:11" ht="22" customHeight="1" x14ac:dyDescent="0.35">
      <c r="A729" s="251"/>
      <c r="B729" s="252"/>
      <c r="C729" s="252"/>
      <c r="D729" s="252"/>
      <c r="E729" s="252"/>
      <c r="F729" s="252"/>
      <c r="G729" s="252"/>
      <c r="H729" s="252"/>
      <c r="I729" s="252"/>
      <c r="J729" s="252"/>
      <c r="K729" s="253"/>
    </row>
    <row r="730" spans="1:11" ht="22" customHeight="1" x14ac:dyDescent="0.35">
      <c r="A730" s="251"/>
      <c r="B730" s="252"/>
      <c r="C730" s="252"/>
      <c r="D730" s="252"/>
      <c r="E730" s="252"/>
      <c r="F730" s="252"/>
      <c r="G730" s="252"/>
      <c r="H730" s="252"/>
      <c r="I730" s="252"/>
      <c r="J730" s="252"/>
      <c r="K730" s="253"/>
    </row>
    <row r="731" spans="1:11" ht="22" customHeight="1" x14ac:dyDescent="0.35">
      <c r="A731" s="251"/>
      <c r="B731" s="252"/>
      <c r="C731" s="252"/>
      <c r="D731" s="252"/>
      <c r="E731" s="252"/>
      <c r="F731" s="252"/>
      <c r="G731" s="252"/>
      <c r="H731" s="252"/>
      <c r="I731" s="252"/>
      <c r="J731" s="252"/>
      <c r="K731" s="253"/>
    </row>
    <row r="732" spans="1:11" ht="22" customHeight="1" x14ac:dyDescent="0.35">
      <c r="A732" s="251"/>
      <c r="B732" s="252"/>
      <c r="C732" s="252"/>
      <c r="D732" s="252"/>
      <c r="E732" s="252"/>
      <c r="F732" s="252"/>
      <c r="G732" s="252"/>
      <c r="H732" s="252"/>
      <c r="I732" s="252"/>
      <c r="J732" s="252"/>
      <c r="K732" s="253"/>
    </row>
    <row r="733" spans="1:11" ht="22" customHeight="1" x14ac:dyDescent="0.35">
      <c r="A733" s="251"/>
      <c r="B733" s="252"/>
      <c r="C733" s="252"/>
      <c r="D733" s="252"/>
      <c r="E733" s="252"/>
      <c r="F733" s="252"/>
      <c r="G733" s="252"/>
      <c r="H733" s="252"/>
      <c r="I733" s="252"/>
      <c r="J733" s="252"/>
      <c r="K733" s="253"/>
    </row>
    <row r="734" spans="1:11" ht="22" customHeight="1" x14ac:dyDescent="0.35">
      <c r="A734" s="251"/>
      <c r="B734" s="252"/>
      <c r="C734" s="252"/>
      <c r="D734" s="252"/>
      <c r="E734" s="252"/>
      <c r="F734" s="252"/>
      <c r="G734" s="252"/>
      <c r="H734" s="252"/>
      <c r="I734" s="252"/>
      <c r="J734" s="252"/>
      <c r="K734" s="253"/>
    </row>
    <row r="735" spans="1:11" ht="22" customHeight="1" x14ac:dyDescent="0.35">
      <c r="A735" s="251"/>
      <c r="B735" s="252"/>
      <c r="C735" s="252"/>
      <c r="D735" s="252"/>
      <c r="E735" s="252"/>
      <c r="F735" s="252"/>
      <c r="G735" s="252"/>
      <c r="H735" s="252"/>
      <c r="I735" s="252"/>
      <c r="J735" s="252"/>
      <c r="K735" s="253"/>
    </row>
    <row r="736" spans="1:11" ht="22" customHeight="1" x14ac:dyDescent="0.35">
      <c r="A736" s="251"/>
      <c r="B736" s="252"/>
      <c r="C736" s="252"/>
      <c r="D736" s="252"/>
      <c r="E736" s="252"/>
      <c r="F736" s="252"/>
      <c r="G736" s="252"/>
      <c r="H736" s="252"/>
      <c r="I736" s="252"/>
      <c r="J736" s="252"/>
      <c r="K736" s="253"/>
    </row>
    <row r="737" spans="1:11" ht="22" customHeight="1" x14ac:dyDescent="0.35">
      <c r="A737" s="251"/>
      <c r="B737" s="252"/>
      <c r="C737" s="252"/>
      <c r="D737" s="252"/>
      <c r="E737" s="252"/>
      <c r="F737" s="252"/>
      <c r="G737" s="252"/>
      <c r="H737" s="252"/>
      <c r="I737" s="252"/>
      <c r="J737" s="252"/>
      <c r="K737" s="253"/>
    </row>
    <row r="738" spans="1:11" ht="22" customHeight="1" x14ac:dyDescent="0.35">
      <c r="A738" s="251"/>
      <c r="B738" s="252"/>
      <c r="C738" s="252"/>
      <c r="D738" s="252"/>
      <c r="E738" s="252"/>
      <c r="F738" s="252"/>
      <c r="G738" s="252"/>
      <c r="H738" s="252"/>
      <c r="I738" s="252"/>
      <c r="J738" s="252"/>
      <c r="K738" s="253"/>
    </row>
    <row r="739" spans="1:11" ht="22" customHeight="1" x14ac:dyDescent="0.35">
      <c r="A739" s="251"/>
      <c r="B739" s="252"/>
      <c r="C739" s="252"/>
      <c r="D739" s="252"/>
      <c r="E739" s="252"/>
      <c r="F739" s="252"/>
      <c r="G739" s="252"/>
      <c r="H739" s="252"/>
      <c r="I739" s="252"/>
      <c r="J739" s="252"/>
      <c r="K739" s="253"/>
    </row>
    <row r="740" spans="1:11" ht="22" customHeight="1" x14ac:dyDescent="0.35">
      <c r="A740" s="251"/>
      <c r="B740" s="252"/>
      <c r="C740" s="252"/>
      <c r="D740" s="252"/>
      <c r="E740" s="252"/>
      <c r="F740" s="252"/>
      <c r="G740" s="252"/>
      <c r="H740" s="252"/>
      <c r="I740" s="252"/>
      <c r="J740" s="252"/>
      <c r="K740" s="253"/>
    </row>
    <row r="741" spans="1:11" ht="22" customHeight="1" x14ac:dyDescent="0.35">
      <c r="A741" s="251"/>
      <c r="B741" s="252"/>
      <c r="C741" s="252"/>
      <c r="D741" s="252"/>
      <c r="E741" s="252"/>
      <c r="F741" s="252"/>
      <c r="G741" s="252"/>
      <c r="H741" s="252"/>
      <c r="I741" s="252"/>
      <c r="J741" s="252"/>
      <c r="K741" s="253"/>
    </row>
    <row r="742" spans="1:11" ht="22" customHeight="1" x14ac:dyDescent="0.35">
      <c r="A742" s="251"/>
      <c r="B742" s="252"/>
      <c r="C742" s="252"/>
      <c r="D742" s="252"/>
      <c r="E742" s="252"/>
      <c r="F742" s="252"/>
      <c r="G742" s="252"/>
      <c r="H742" s="252"/>
      <c r="I742" s="252"/>
      <c r="J742" s="252"/>
      <c r="K742" s="253"/>
    </row>
    <row r="743" spans="1:11" ht="22" customHeight="1" x14ac:dyDescent="0.35">
      <c r="A743" s="251"/>
      <c r="B743" s="252"/>
      <c r="C743" s="252"/>
      <c r="D743" s="252"/>
      <c r="E743" s="252"/>
      <c r="F743" s="252"/>
      <c r="G743" s="252"/>
      <c r="H743" s="252"/>
      <c r="I743" s="252"/>
      <c r="J743" s="252"/>
      <c r="K743" s="253"/>
    </row>
    <row r="744" spans="1:11" ht="22" customHeight="1" x14ac:dyDescent="0.35">
      <c r="A744" s="251"/>
      <c r="B744" s="252"/>
      <c r="C744" s="252"/>
      <c r="D744" s="252"/>
      <c r="E744" s="252"/>
      <c r="F744" s="252"/>
      <c r="G744" s="252"/>
      <c r="H744" s="252"/>
      <c r="I744" s="252"/>
      <c r="J744" s="252"/>
      <c r="K744" s="253"/>
    </row>
    <row r="745" spans="1:11" ht="22" customHeight="1" x14ac:dyDescent="0.35">
      <c r="A745" s="251"/>
      <c r="B745" s="252"/>
      <c r="C745" s="252"/>
      <c r="D745" s="252"/>
      <c r="E745" s="252"/>
      <c r="F745" s="252"/>
      <c r="G745" s="252"/>
      <c r="H745" s="252"/>
      <c r="I745" s="252"/>
      <c r="J745" s="252"/>
      <c r="K745" s="253"/>
    </row>
    <row r="746" spans="1:11" ht="22" customHeight="1" x14ac:dyDescent="0.35">
      <c r="A746" s="251"/>
      <c r="B746" s="252"/>
      <c r="C746" s="252"/>
      <c r="D746" s="252"/>
      <c r="E746" s="252"/>
      <c r="F746" s="252"/>
      <c r="G746" s="252"/>
      <c r="H746" s="252"/>
      <c r="I746" s="252"/>
      <c r="J746" s="252"/>
      <c r="K746" s="253"/>
    </row>
    <row r="747" spans="1:11" ht="22" customHeight="1" x14ac:dyDescent="0.35">
      <c r="A747" s="251"/>
      <c r="B747" s="252"/>
      <c r="C747" s="252"/>
      <c r="D747" s="252"/>
      <c r="E747" s="252"/>
      <c r="F747" s="252"/>
      <c r="G747" s="252"/>
      <c r="H747" s="252"/>
      <c r="I747" s="252"/>
      <c r="J747" s="252"/>
      <c r="K747" s="253"/>
    </row>
    <row r="748" spans="1:11" ht="22" customHeight="1" x14ac:dyDescent="0.35">
      <c r="A748" s="251"/>
      <c r="B748" s="252"/>
      <c r="C748" s="252"/>
      <c r="D748" s="252"/>
      <c r="E748" s="252"/>
      <c r="F748" s="252"/>
      <c r="G748" s="252"/>
      <c r="H748" s="252"/>
      <c r="I748" s="252"/>
      <c r="J748" s="252"/>
      <c r="K748" s="253"/>
    </row>
    <row r="749" spans="1:11" ht="22" customHeight="1" x14ac:dyDescent="0.35">
      <c r="A749" s="251"/>
      <c r="B749" s="252"/>
      <c r="C749" s="252"/>
      <c r="D749" s="252"/>
      <c r="E749" s="252"/>
      <c r="F749" s="252"/>
      <c r="G749" s="252"/>
      <c r="H749" s="252"/>
      <c r="I749" s="252"/>
      <c r="J749" s="252"/>
      <c r="K749" s="253"/>
    </row>
    <row r="750" spans="1:11" ht="22" customHeight="1" x14ac:dyDescent="0.35">
      <c r="A750" s="251"/>
      <c r="B750" s="252"/>
      <c r="C750" s="252"/>
      <c r="D750" s="252"/>
      <c r="E750" s="252"/>
      <c r="F750" s="252"/>
      <c r="G750" s="252"/>
      <c r="H750" s="252"/>
      <c r="I750" s="252"/>
      <c r="J750" s="252"/>
      <c r="K750" s="253"/>
    </row>
    <row r="751" spans="1:11" ht="22" customHeight="1" x14ac:dyDescent="0.35">
      <c r="A751" s="251"/>
      <c r="B751" s="252"/>
      <c r="C751" s="252"/>
      <c r="D751" s="252"/>
      <c r="E751" s="252"/>
      <c r="F751" s="252"/>
      <c r="G751" s="252"/>
      <c r="H751" s="252"/>
      <c r="I751" s="252"/>
      <c r="J751" s="252"/>
      <c r="K751" s="253"/>
    </row>
    <row r="752" spans="1:11" ht="22" customHeight="1" x14ac:dyDescent="0.35">
      <c r="A752" s="251"/>
      <c r="B752" s="252"/>
      <c r="C752" s="252"/>
      <c r="D752" s="252"/>
      <c r="E752" s="252"/>
      <c r="F752" s="252"/>
      <c r="G752" s="252"/>
      <c r="H752" s="252"/>
      <c r="I752" s="252"/>
      <c r="J752" s="252"/>
      <c r="K752" s="253"/>
    </row>
    <row r="753" spans="1:11" ht="22" customHeight="1" x14ac:dyDescent="0.35">
      <c r="A753" s="251"/>
      <c r="B753" s="252"/>
      <c r="C753" s="252"/>
      <c r="D753" s="252"/>
      <c r="E753" s="252"/>
      <c r="F753" s="252"/>
      <c r="G753" s="252"/>
      <c r="H753" s="252"/>
      <c r="I753" s="252"/>
      <c r="J753" s="252"/>
      <c r="K753" s="253"/>
    </row>
    <row r="754" spans="1:11" ht="22" customHeight="1" x14ac:dyDescent="0.35">
      <c r="A754" s="251"/>
      <c r="B754" s="252"/>
      <c r="C754" s="252"/>
      <c r="D754" s="252"/>
      <c r="E754" s="252"/>
      <c r="F754" s="252"/>
      <c r="G754" s="252"/>
      <c r="H754" s="252"/>
      <c r="I754" s="252"/>
      <c r="J754" s="252"/>
      <c r="K754" s="253"/>
    </row>
    <row r="755" spans="1:11" ht="22" customHeight="1" x14ac:dyDescent="0.35">
      <c r="A755" s="251"/>
      <c r="B755" s="252"/>
      <c r="C755" s="252"/>
      <c r="D755" s="252"/>
      <c r="E755" s="252"/>
      <c r="F755" s="252"/>
      <c r="G755" s="252"/>
      <c r="H755" s="252"/>
      <c r="I755" s="252"/>
      <c r="J755" s="252"/>
      <c r="K755" s="253"/>
    </row>
    <row r="756" spans="1:11" ht="22" customHeight="1" x14ac:dyDescent="0.35">
      <c r="A756" s="251"/>
      <c r="B756" s="252"/>
      <c r="C756" s="252"/>
      <c r="D756" s="252"/>
      <c r="E756" s="252"/>
      <c r="F756" s="252"/>
      <c r="G756" s="252"/>
      <c r="H756" s="252"/>
      <c r="I756" s="252"/>
      <c r="J756" s="252"/>
      <c r="K756" s="253"/>
    </row>
    <row r="757" spans="1:11" ht="22" customHeight="1" x14ac:dyDescent="0.35">
      <c r="A757" s="251"/>
      <c r="B757" s="252"/>
      <c r="C757" s="252"/>
      <c r="D757" s="252"/>
      <c r="E757" s="252"/>
      <c r="F757" s="252"/>
      <c r="G757" s="252"/>
      <c r="H757" s="252"/>
      <c r="I757" s="252"/>
      <c r="J757" s="252"/>
      <c r="K757" s="253"/>
    </row>
    <row r="758" spans="1:11" ht="22" customHeight="1" x14ac:dyDescent="0.35">
      <c r="A758" s="251"/>
      <c r="B758" s="252"/>
      <c r="C758" s="252"/>
      <c r="D758" s="252"/>
      <c r="E758" s="252"/>
      <c r="F758" s="252"/>
      <c r="G758" s="252"/>
      <c r="H758" s="252"/>
      <c r="I758" s="252"/>
      <c r="J758" s="252"/>
      <c r="K758" s="253"/>
    </row>
    <row r="759" spans="1:11" ht="22" customHeight="1" x14ac:dyDescent="0.35">
      <c r="A759" s="251"/>
      <c r="B759" s="252"/>
      <c r="C759" s="252"/>
      <c r="D759" s="252"/>
      <c r="E759" s="252"/>
      <c r="F759" s="252"/>
      <c r="G759" s="252"/>
      <c r="H759" s="252"/>
      <c r="I759" s="252"/>
      <c r="J759" s="252"/>
      <c r="K759" s="253"/>
    </row>
    <row r="760" spans="1:11" ht="22" customHeight="1" x14ac:dyDescent="0.35">
      <c r="A760" s="251"/>
      <c r="B760" s="252"/>
      <c r="C760" s="252"/>
      <c r="D760" s="252"/>
      <c r="E760" s="252"/>
      <c r="F760" s="252"/>
      <c r="G760" s="252"/>
      <c r="H760" s="252"/>
      <c r="I760" s="252"/>
      <c r="J760" s="252"/>
      <c r="K760" s="253"/>
    </row>
    <row r="761" spans="1:11" ht="22" customHeight="1" x14ac:dyDescent="0.35">
      <c r="A761" s="251"/>
      <c r="B761" s="252"/>
      <c r="C761" s="252"/>
      <c r="D761" s="252"/>
      <c r="E761" s="252"/>
      <c r="F761" s="252"/>
      <c r="G761" s="252"/>
      <c r="H761" s="252"/>
      <c r="I761" s="252"/>
      <c r="J761" s="252"/>
      <c r="K761" s="253"/>
    </row>
    <row r="762" spans="1:11" ht="22" customHeight="1" x14ac:dyDescent="0.35">
      <c r="A762" s="251"/>
      <c r="B762" s="252"/>
      <c r="C762" s="252"/>
      <c r="D762" s="252"/>
      <c r="E762" s="252"/>
      <c r="F762" s="252"/>
      <c r="G762" s="252"/>
      <c r="H762" s="252"/>
      <c r="I762" s="252"/>
      <c r="J762" s="252"/>
      <c r="K762" s="253"/>
    </row>
    <row r="763" spans="1:11" ht="22" customHeight="1" x14ac:dyDescent="0.35">
      <c r="A763" s="251"/>
      <c r="B763" s="252"/>
      <c r="C763" s="252"/>
      <c r="D763" s="252"/>
      <c r="E763" s="252"/>
      <c r="F763" s="252"/>
      <c r="G763" s="252"/>
      <c r="H763" s="252"/>
      <c r="I763" s="252"/>
      <c r="J763" s="252"/>
      <c r="K763" s="253"/>
    </row>
    <row r="764" spans="1:11" ht="22" customHeight="1" x14ac:dyDescent="0.35">
      <c r="A764" s="251"/>
      <c r="B764" s="252"/>
      <c r="C764" s="252"/>
      <c r="D764" s="252"/>
      <c r="E764" s="252"/>
      <c r="F764" s="252"/>
      <c r="G764" s="252"/>
      <c r="H764" s="252"/>
      <c r="I764" s="252"/>
      <c r="J764" s="252"/>
      <c r="K764" s="253"/>
    </row>
    <row r="765" spans="1:11" ht="22" customHeight="1" x14ac:dyDescent="0.35">
      <c r="A765" s="251"/>
      <c r="B765" s="252"/>
      <c r="C765" s="252"/>
      <c r="D765" s="252"/>
      <c r="E765" s="252"/>
      <c r="F765" s="252"/>
      <c r="G765" s="252"/>
      <c r="H765" s="252"/>
      <c r="I765" s="252"/>
      <c r="J765" s="252"/>
      <c r="K765" s="253"/>
    </row>
    <row r="766" spans="1:11" ht="22" customHeight="1" x14ac:dyDescent="0.35">
      <c r="A766" s="251"/>
      <c r="B766" s="252"/>
      <c r="C766" s="252"/>
      <c r="D766" s="252"/>
      <c r="E766" s="252"/>
      <c r="F766" s="252"/>
      <c r="G766" s="252"/>
      <c r="H766" s="252"/>
      <c r="I766" s="252"/>
      <c r="J766" s="252"/>
      <c r="K766" s="253"/>
    </row>
    <row r="767" spans="1:11" ht="22" customHeight="1" x14ac:dyDescent="0.35">
      <c r="A767" s="251"/>
      <c r="B767" s="252"/>
      <c r="C767" s="252"/>
      <c r="D767" s="252"/>
      <c r="E767" s="252"/>
      <c r="F767" s="252"/>
      <c r="G767" s="252"/>
      <c r="H767" s="252"/>
      <c r="I767" s="252"/>
      <c r="J767" s="252"/>
      <c r="K767" s="253"/>
    </row>
    <row r="768" spans="1:11" ht="22" customHeight="1" x14ac:dyDescent="0.35">
      <c r="A768" s="251"/>
      <c r="B768" s="252"/>
      <c r="C768" s="252"/>
      <c r="D768" s="252"/>
      <c r="E768" s="252"/>
      <c r="F768" s="252"/>
      <c r="G768" s="252"/>
      <c r="H768" s="252"/>
      <c r="I768" s="252"/>
      <c r="J768" s="252"/>
      <c r="K768" s="253"/>
    </row>
    <row r="769" spans="1:11" ht="22" customHeight="1" x14ac:dyDescent="0.35">
      <c r="A769" s="251"/>
      <c r="B769" s="252"/>
      <c r="C769" s="252"/>
      <c r="D769" s="252"/>
      <c r="E769" s="252"/>
      <c r="F769" s="252"/>
      <c r="G769" s="252"/>
      <c r="H769" s="252"/>
      <c r="I769" s="252"/>
      <c r="J769" s="252"/>
      <c r="K769" s="253"/>
    </row>
    <row r="770" spans="1:11" ht="22" customHeight="1" x14ac:dyDescent="0.35">
      <c r="A770" s="251"/>
      <c r="B770" s="252"/>
      <c r="C770" s="252"/>
      <c r="D770" s="252"/>
      <c r="E770" s="252"/>
      <c r="F770" s="252"/>
      <c r="G770" s="252"/>
      <c r="H770" s="252"/>
      <c r="I770" s="252"/>
      <c r="J770" s="252"/>
      <c r="K770" s="253"/>
    </row>
    <row r="771" spans="1:11" ht="22" customHeight="1" x14ac:dyDescent="0.35">
      <c r="A771" s="251"/>
      <c r="B771" s="252"/>
      <c r="C771" s="252"/>
      <c r="D771" s="252"/>
      <c r="E771" s="252"/>
      <c r="F771" s="252"/>
      <c r="G771" s="252"/>
      <c r="H771" s="252"/>
      <c r="I771" s="252"/>
      <c r="J771" s="252"/>
      <c r="K771" s="253"/>
    </row>
    <row r="772" spans="1:11" ht="22" customHeight="1" x14ac:dyDescent="0.35">
      <c r="A772" s="251"/>
      <c r="B772" s="252"/>
      <c r="C772" s="252"/>
      <c r="D772" s="252"/>
      <c r="E772" s="252"/>
      <c r="F772" s="252"/>
      <c r="G772" s="252"/>
      <c r="H772" s="252"/>
      <c r="I772" s="252"/>
      <c r="J772" s="252"/>
      <c r="K772" s="253"/>
    </row>
    <row r="773" spans="1:11" ht="22" customHeight="1" x14ac:dyDescent="0.35">
      <c r="A773" s="251"/>
      <c r="B773" s="252"/>
      <c r="C773" s="252"/>
      <c r="D773" s="252"/>
      <c r="E773" s="252"/>
      <c r="F773" s="252"/>
      <c r="G773" s="252"/>
      <c r="H773" s="252"/>
      <c r="I773" s="252"/>
      <c r="J773" s="252"/>
      <c r="K773" s="253"/>
    </row>
    <row r="774" spans="1:11" ht="22" customHeight="1" x14ac:dyDescent="0.35">
      <c r="A774" s="251"/>
      <c r="B774" s="252"/>
      <c r="C774" s="252"/>
      <c r="D774" s="252"/>
      <c r="E774" s="252"/>
      <c r="F774" s="252"/>
      <c r="G774" s="252"/>
      <c r="H774" s="252"/>
      <c r="I774" s="252"/>
      <c r="J774" s="252"/>
      <c r="K774" s="253"/>
    </row>
    <row r="775" spans="1:11" ht="22" customHeight="1" x14ac:dyDescent="0.35">
      <c r="A775" s="251"/>
      <c r="B775" s="252"/>
      <c r="C775" s="252"/>
      <c r="D775" s="252"/>
      <c r="E775" s="252"/>
      <c r="F775" s="252"/>
      <c r="G775" s="252"/>
      <c r="H775" s="252"/>
      <c r="I775" s="252"/>
      <c r="J775" s="252"/>
      <c r="K775" s="253"/>
    </row>
    <row r="776" spans="1:11" ht="22" customHeight="1" x14ac:dyDescent="0.35">
      <c r="A776" s="251"/>
      <c r="B776" s="252"/>
      <c r="C776" s="252"/>
      <c r="D776" s="252"/>
      <c r="E776" s="252"/>
      <c r="F776" s="252"/>
      <c r="G776" s="252"/>
      <c r="H776" s="252"/>
      <c r="I776" s="252"/>
      <c r="J776" s="252"/>
      <c r="K776" s="253"/>
    </row>
    <row r="777" spans="1:11" ht="22" customHeight="1" x14ac:dyDescent="0.35">
      <c r="A777" s="251"/>
      <c r="B777" s="252"/>
      <c r="C777" s="252"/>
      <c r="D777" s="252"/>
      <c r="E777" s="252"/>
      <c r="F777" s="252"/>
      <c r="G777" s="252"/>
      <c r="H777" s="252"/>
      <c r="I777" s="252"/>
      <c r="J777" s="252"/>
      <c r="K777" s="253"/>
    </row>
    <row r="778" spans="1:11" ht="22" customHeight="1" x14ac:dyDescent="0.35">
      <c r="A778" s="251"/>
      <c r="B778" s="252"/>
      <c r="C778" s="252"/>
      <c r="D778" s="252"/>
      <c r="E778" s="252"/>
      <c r="F778" s="252"/>
      <c r="G778" s="252"/>
      <c r="H778" s="252"/>
      <c r="I778" s="252"/>
      <c r="J778" s="252"/>
      <c r="K778" s="253"/>
    </row>
    <row r="779" spans="1:11" ht="22" customHeight="1" x14ac:dyDescent="0.35">
      <c r="A779" s="251"/>
      <c r="B779" s="252"/>
      <c r="C779" s="252"/>
      <c r="D779" s="252"/>
      <c r="E779" s="252"/>
      <c r="F779" s="252"/>
      <c r="G779" s="252"/>
      <c r="H779" s="252"/>
      <c r="I779" s="252"/>
      <c r="J779" s="252"/>
      <c r="K779" s="253"/>
    </row>
    <row r="780" spans="1:11" ht="22" customHeight="1" x14ac:dyDescent="0.35">
      <c r="A780" s="251"/>
      <c r="B780" s="252"/>
      <c r="C780" s="252"/>
      <c r="D780" s="252"/>
      <c r="E780" s="252"/>
      <c r="F780" s="252"/>
      <c r="G780" s="252"/>
      <c r="H780" s="252"/>
      <c r="I780" s="252"/>
      <c r="J780" s="252"/>
      <c r="K780" s="253"/>
    </row>
    <row r="781" spans="1:11" ht="22" customHeight="1" x14ac:dyDescent="0.35">
      <c r="A781" s="251"/>
      <c r="B781" s="252"/>
      <c r="C781" s="252"/>
      <c r="D781" s="252"/>
      <c r="E781" s="252"/>
      <c r="F781" s="252"/>
      <c r="G781" s="252"/>
      <c r="H781" s="252"/>
      <c r="I781" s="252"/>
      <c r="J781" s="252"/>
      <c r="K781" s="253"/>
    </row>
    <row r="782" spans="1:11" ht="22" customHeight="1" x14ac:dyDescent="0.35">
      <c r="A782" s="251"/>
      <c r="B782" s="252"/>
      <c r="C782" s="252"/>
      <c r="D782" s="252"/>
      <c r="E782" s="252"/>
      <c r="F782" s="252"/>
      <c r="G782" s="252"/>
      <c r="H782" s="252"/>
      <c r="I782" s="252"/>
      <c r="J782" s="252"/>
      <c r="K782" s="253"/>
    </row>
    <row r="783" spans="1:11" ht="22" customHeight="1" x14ac:dyDescent="0.35">
      <c r="A783" s="251"/>
      <c r="B783" s="252"/>
      <c r="C783" s="252"/>
      <c r="D783" s="252"/>
      <c r="E783" s="252"/>
      <c r="F783" s="252"/>
      <c r="G783" s="252"/>
      <c r="H783" s="252"/>
      <c r="I783" s="252"/>
      <c r="J783" s="252"/>
      <c r="K783" s="253"/>
    </row>
    <row r="784" spans="1:11" ht="22" customHeight="1" x14ac:dyDescent="0.35">
      <c r="A784" s="251"/>
      <c r="B784" s="252"/>
      <c r="C784" s="252"/>
      <c r="D784" s="252"/>
      <c r="E784" s="252"/>
      <c r="F784" s="252"/>
      <c r="G784" s="252"/>
      <c r="H784" s="252"/>
      <c r="I784" s="252"/>
      <c r="J784" s="252"/>
      <c r="K784" s="253"/>
    </row>
    <row r="785" spans="1:11" ht="22" customHeight="1" x14ac:dyDescent="0.35">
      <c r="A785" s="251"/>
      <c r="B785" s="252"/>
      <c r="C785" s="252"/>
      <c r="D785" s="252"/>
      <c r="E785" s="252"/>
      <c r="F785" s="252"/>
      <c r="G785" s="252"/>
      <c r="H785" s="252"/>
      <c r="I785" s="252"/>
      <c r="J785" s="252"/>
      <c r="K785" s="253"/>
    </row>
    <row r="786" spans="1:11" ht="22" customHeight="1" x14ac:dyDescent="0.35">
      <c r="A786" s="251"/>
      <c r="B786" s="252"/>
      <c r="C786" s="252"/>
      <c r="D786" s="252"/>
      <c r="E786" s="252"/>
      <c r="F786" s="252"/>
      <c r="G786" s="252"/>
      <c r="H786" s="252"/>
      <c r="I786" s="252"/>
      <c r="J786" s="252"/>
      <c r="K786" s="253"/>
    </row>
    <row r="787" spans="1:11" ht="22" customHeight="1" x14ac:dyDescent="0.35">
      <c r="A787" s="251"/>
      <c r="B787" s="252"/>
      <c r="C787" s="252"/>
      <c r="D787" s="252"/>
      <c r="E787" s="252"/>
      <c r="F787" s="252"/>
      <c r="G787" s="252"/>
      <c r="H787" s="252"/>
      <c r="I787" s="252"/>
      <c r="J787" s="252"/>
      <c r="K787" s="253"/>
    </row>
    <row r="788" spans="1:11" ht="22" customHeight="1" x14ac:dyDescent="0.35">
      <c r="A788" s="251"/>
      <c r="B788" s="252"/>
      <c r="C788" s="252"/>
      <c r="D788" s="252"/>
      <c r="E788" s="252"/>
      <c r="F788" s="252"/>
      <c r="G788" s="252"/>
      <c r="H788" s="252"/>
      <c r="I788" s="252"/>
      <c r="J788" s="252"/>
      <c r="K788" s="253"/>
    </row>
    <row r="789" spans="1:11" ht="22" customHeight="1" x14ac:dyDescent="0.35">
      <c r="A789" s="251"/>
      <c r="B789" s="252"/>
      <c r="C789" s="252"/>
      <c r="D789" s="252"/>
      <c r="E789" s="252"/>
      <c r="F789" s="252"/>
      <c r="G789" s="252"/>
      <c r="H789" s="252"/>
      <c r="I789" s="252"/>
      <c r="J789" s="252"/>
      <c r="K789" s="253"/>
    </row>
    <row r="790" spans="1:11" ht="22" customHeight="1" x14ac:dyDescent="0.35">
      <c r="A790" s="251"/>
      <c r="B790" s="252"/>
      <c r="C790" s="252"/>
      <c r="D790" s="252"/>
      <c r="E790" s="252"/>
      <c r="F790" s="252"/>
      <c r="G790" s="252"/>
      <c r="H790" s="252"/>
      <c r="I790" s="252"/>
      <c r="J790" s="252"/>
      <c r="K790" s="253"/>
    </row>
    <row r="791" spans="1:11" ht="22" customHeight="1" x14ac:dyDescent="0.35">
      <c r="A791" s="251"/>
      <c r="B791" s="252"/>
      <c r="C791" s="252"/>
      <c r="D791" s="252"/>
      <c r="E791" s="252"/>
      <c r="F791" s="252"/>
      <c r="G791" s="252"/>
      <c r="H791" s="252"/>
      <c r="I791" s="252"/>
      <c r="J791" s="252"/>
      <c r="K791" s="253"/>
    </row>
    <row r="792" spans="1:11" ht="22" customHeight="1" x14ac:dyDescent="0.35">
      <c r="A792" s="251"/>
      <c r="B792" s="252"/>
      <c r="C792" s="252"/>
      <c r="D792" s="252"/>
      <c r="E792" s="252"/>
      <c r="F792" s="252"/>
      <c r="G792" s="252"/>
      <c r="H792" s="252"/>
      <c r="I792" s="252"/>
      <c r="J792" s="252"/>
      <c r="K792" s="253"/>
    </row>
    <row r="793" spans="1:11" ht="22" customHeight="1" x14ac:dyDescent="0.35">
      <c r="A793" s="251"/>
      <c r="B793" s="252"/>
      <c r="C793" s="252"/>
      <c r="D793" s="252"/>
      <c r="E793" s="252"/>
      <c r="F793" s="252"/>
      <c r="G793" s="252"/>
      <c r="H793" s="252"/>
      <c r="I793" s="252"/>
      <c r="J793" s="252"/>
      <c r="K793" s="253"/>
    </row>
    <row r="794" spans="1:11" ht="22" customHeight="1" x14ac:dyDescent="0.35">
      <c r="A794" s="251"/>
      <c r="B794" s="252"/>
      <c r="C794" s="252"/>
      <c r="D794" s="252"/>
      <c r="E794" s="252"/>
      <c r="F794" s="252"/>
      <c r="G794" s="252"/>
      <c r="H794" s="252"/>
      <c r="I794" s="252"/>
      <c r="J794" s="252"/>
      <c r="K794" s="253"/>
    </row>
    <row r="795" spans="1:11" ht="22" customHeight="1" x14ac:dyDescent="0.35">
      <c r="A795" s="251"/>
      <c r="B795" s="252"/>
      <c r="C795" s="252"/>
      <c r="D795" s="252"/>
      <c r="E795" s="252"/>
      <c r="F795" s="252"/>
      <c r="G795" s="252"/>
      <c r="H795" s="252"/>
      <c r="I795" s="252"/>
      <c r="J795" s="252"/>
      <c r="K795" s="253"/>
    </row>
    <row r="796" spans="1:11" ht="22" customHeight="1" x14ac:dyDescent="0.35">
      <c r="A796" s="251"/>
      <c r="B796" s="252"/>
      <c r="C796" s="252"/>
      <c r="D796" s="252"/>
      <c r="E796" s="252"/>
      <c r="F796" s="252"/>
      <c r="G796" s="252"/>
      <c r="H796" s="252"/>
      <c r="I796" s="252"/>
      <c r="J796" s="252"/>
      <c r="K796" s="253"/>
    </row>
    <row r="797" spans="1:11" ht="22" customHeight="1" x14ac:dyDescent="0.35">
      <c r="A797" s="251"/>
      <c r="B797" s="252"/>
      <c r="C797" s="252"/>
      <c r="D797" s="252"/>
      <c r="E797" s="252"/>
      <c r="F797" s="252"/>
      <c r="G797" s="252"/>
      <c r="H797" s="252"/>
      <c r="I797" s="252"/>
      <c r="J797" s="252"/>
      <c r="K797" s="253"/>
    </row>
    <row r="798" spans="1:11" ht="22" customHeight="1" x14ac:dyDescent="0.35">
      <c r="A798" s="251"/>
      <c r="B798" s="252"/>
      <c r="C798" s="252"/>
      <c r="D798" s="252"/>
      <c r="E798" s="252"/>
      <c r="F798" s="252"/>
      <c r="G798" s="252"/>
      <c r="H798" s="252"/>
      <c r="I798" s="252"/>
      <c r="J798" s="252"/>
      <c r="K798" s="253"/>
    </row>
    <row r="799" spans="1:11" ht="22" customHeight="1" x14ac:dyDescent="0.35">
      <c r="A799" s="251"/>
      <c r="B799" s="252"/>
      <c r="C799" s="252"/>
      <c r="D799" s="252"/>
      <c r="E799" s="252"/>
      <c r="F799" s="252"/>
      <c r="G799" s="252"/>
      <c r="H799" s="252"/>
      <c r="I799" s="252"/>
      <c r="J799" s="252"/>
      <c r="K799" s="253"/>
    </row>
    <row r="800" spans="1:11" ht="22" customHeight="1" x14ac:dyDescent="0.35">
      <c r="A800" s="251"/>
      <c r="B800" s="252"/>
      <c r="C800" s="252"/>
      <c r="D800" s="252"/>
      <c r="E800" s="252"/>
      <c r="F800" s="252"/>
      <c r="G800" s="252"/>
      <c r="H800" s="252"/>
      <c r="I800" s="252"/>
      <c r="J800" s="252"/>
      <c r="K800" s="253"/>
    </row>
    <row r="801" spans="1:11" ht="22" customHeight="1" x14ac:dyDescent="0.35">
      <c r="A801" s="251"/>
      <c r="B801" s="252"/>
      <c r="C801" s="252"/>
      <c r="D801" s="252"/>
      <c r="E801" s="252"/>
      <c r="F801" s="252"/>
      <c r="G801" s="252"/>
      <c r="H801" s="252"/>
      <c r="I801" s="252"/>
      <c r="J801" s="252"/>
      <c r="K801" s="253"/>
    </row>
    <row r="802" spans="1:11" ht="22" customHeight="1" x14ac:dyDescent="0.35">
      <c r="A802" s="251"/>
      <c r="B802" s="252"/>
      <c r="C802" s="252"/>
      <c r="D802" s="252"/>
      <c r="E802" s="252"/>
      <c r="F802" s="252"/>
      <c r="G802" s="252"/>
      <c r="H802" s="252"/>
      <c r="I802" s="252"/>
      <c r="J802" s="252"/>
      <c r="K802" s="253"/>
    </row>
    <row r="803" spans="1:11" ht="22" customHeight="1" x14ac:dyDescent="0.35">
      <c r="A803" s="251"/>
      <c r="B803" s="252"/>
      <c r="C803" s="252"/>
      <c r="D803" s="252"/>
      <c r="E803" s="252"/>
      <c r="F803" s="252"/>
      <c r="G803" s="252"/>
      <c r="H803" s="252"/>
      <c r="I803" s="252"/>
      <c r="J803" s="252"/>
      <c r="K803" s="253"/>
    </row>
    <row r="804" spans="1:11" ht="22" customHeight="1" x14ac:dyDescent="0.35">
      <c r="A804" s="251"/>
      <c r="B804" s="252"/>
      <c r="C804" s="252"/>
      <c r="D804" s="252"/>
      <c r="E804" s="252"/>
      <c r="F804" s="252"/>
      <c r="G804" s="252"/>
      <c r="H804" s="252"/>
      <c r="I804" s="252"/>
      <c r="J804" s="252"/>
      <c r="K804" s="253"/>
    </row>
    <row r="805" spans="1:11" ht="22" customHeight="1" x14ac:dyDescent="0.35">
      <c r="A805" s="251"/>
      <c r="B805" s="252"/>
      <c r="C805" s="252"/>
      <c r="D805" s="252"/>
      <c r="E805" s="252"/>
      <c r="F805" s="252"/>
      <c r="G805" s="252"/>
      <c r="H805" s="252"/>
      <c r="I805" s="252"/>
      <c r="J805" s="252"/>
      <c r="K805" s="253"/>
    </row>
    <row r="806" spans="1:11" ht="22" customHeight="1" x14ac:dyDescent="0.35">
      <c r="A806" s="251"/>
      <c r="B806" s="252"/>
      <c r="C806" s="252"/>
      <c r="D806" s="252"/>
      <c r="E806" s="252"/>
      <c r="F806" s="252"/>
      <c r="G806" s="252"/>
      <c r="H806" s="252"/>
      <c r="I806" s="252"/>
      <c r="J806" s="252"/>
      <c r="K806" s="253"/>
    </row>
    <row r="807" spans="1:11" ht="22" customHeight="1" x14ac:dyDescent="0.35">
      <c r="A807" s="251"/>
      <c r="B807" s="252"/>
      <c r="C807" s="252"/>
      <c r="D807" s="252"/>
      <c r="E807" s="252"/>
      <c r="F807" s="252"/>
      <c r="G807" s="252"/>
      <c r="H807" s="252"/>
      <c r="I807" s="252"/>
      <c r="J807" s="252"/>
      <c r="K807" s="253"/>
    </row>
    <row r="808" spans="1:11" ht="22" customHeight="1" x14ac:dyDescent="0.35">
      <c r="A808" s="251"/>
      <c r="B808" s="252"/>
      <c r="C808" s="252"/>
      <c r="D808" s="252"/>
      <c r="E808" s="252"/>
      <c r="F808" s="252"/>
      <c r="G808" s="252"/>
      <c r="H808" s="252"/>
      <c r="I808" s="252"/>
      <c r="J808" s="252"/>
      <c r="K808" s="253"/>
    </row>
    <row r="809" spans="1:11" ht="22" customHeight="1" x14ac:dyDescent="0.35">
      <c r="A809" s="251"/>
      <c r="B809" s="252"/>
      <c r="C809" s="252"/>
      <c r="D809" s="252"/>
      <c r="E809" s="252"/>
      <c r="F809" s="252"/>
      <c r="G809" s="252"/>
      <c r="H809" s="252"/>
      <c r="I809" s="252"/>
      <c r="J809" s="252"/>
      <c r="K809" s="253"/>
    </row>
    <row r="810" spans="1:11" ht="22" customHeight="1" x14ac:dyDescent="0.35">
      <c r="A810" s="251"/>
      <c r="B810" s="252"/>
      <c r="C810" s="252"/>
      <c r="D810" s="252"/>
      <c r="E810" s="252"/>
      <c r="F810" s="252"/>
      <c r="G810" s="252"/>
      <c r="H810" s="252"/>
      <c r="I810" s="252"/>
      <c r="J810" s="252"/>
      <c r="K810" s="253"/>
    </row>
    <row r="811" spans="1:11" ht="22" customHeight="1" x14ac:dyDescent="0.35">
      <c r="A811" s="251"/>
      <c r="B811" s="252"/>
      <c r="C811" s="252"/>
      <c r="D811" s="252"/>
      <c r="E811" s="252"/>
      <c r="F811" s="252"/>
      <c r="G811" s="252"/>
      <c r="H811" s="252"/>
      <c r="I811" s="252"/>
      <c r="J811" s="252"/>
      <c r="K811" s="253"/>
    </row>
    <row r="812" spans="1:11" ht="22" customHeight="1" x14ac:dyDescent="0.35">
      <c r="A812" s="251"/>
      <c r="B812" s="252"/>
      <c r="C812" s="252"/>
      <c r="D812" s="252"/>
      <c r="E812" s="252"/>
      <c r="F812" s="252"/>
      <c r="G812" s="252"/>
      <c r="H812" s="252"/>
      <c r="I812" s="252"/>
      <c r="J812" s="252"/>
      <c r="K812" s="253"/>
    </row>
    <row r="813" spans="1:11" ht="22" customHeight="1" x14ac:dyDescent="0.35">
      <c r="A813" s="251"/>
      <c r="B813" s="252"/>
      <c r="C813" s="252"/>
      <c r="D813" s="252"/>
      <c r="E813" s="252"/>
      <c r="F813" s="252"/>
      <c r="G813" s="252"/>
      <c r="H813" s="252"/>
      <c r="I813" s="252"/>
      <c r="J813" s="252"/>
      <c r="K813" s="253"/>
    </row>
    <row r="814" spans="1:11" ht="22" customHeight="1" x14ac:dyDescent="0.35">
      <c r="A814" s="251"/>
      <c r="B814" s="252"/>
      <c r="C814" s="252"/>
      <c r="D814" s="252"/>
      <c r="E814" s="252"/>
      <c r="F814" s="252"/>
      <c r="G814" s="252"/>
      <c r="H814" s="252"/>
      <c r="I814" s="252"/>
      <c r="J814" s="252"/>
      <c r="K814" s="253"/>
    </row>
    <row r="815" spans="1:11" ht="22" customHeight="1" x14ac:dyDescent="0.35">
      <c r="A815" s="251"/>
      <c r="B815" s="252"/>
      <c r="C815" s="252"/>
      <c r="D815" s="252"/>
      <c r="E815" s="252"/>
      <c r="F815" s="252"/>
      <c r="G815" s="252"/>
      <c r="H815" s="252"/>
      <c r="I815" s="252"/>
      <c r="J815" s="252"/>
      <c r="K815" s="253"/>
    </row>
    <row r="816" spans="1:11" ht="22" customHeight="1" x14ac:dyDescent="0.35">
      <c r="A816" s="251"/>
      <c r="B816" s="252"/>
      <c r="C816" s="252"/>
      <c r="D816" s="252"/>
      <c r="E816" s="252"/>
      <c r="F816" s="252"/>
      <c r="G816" s="252"/>
      <c r="H816" s="252"/>
      <c r="I816" s="252"/>
      <c r="J816" s="252"/>
      <c r="K816" s="253"/>
    </row>
    <row r="817" spans="1:11" ht="22" customHeight="1" x14ac:dyDescent="0.35">
      <c r="A817" s="251"/>
      <c r="B817" s="252"/>
      <c r="C817" s="252"/>
      <c r="D817" s="252"/>
      <c r="E817" s="252"/>
      <c r="F817" s="252"/>
      <c r="G817" s="252"/>
      <c r="H817" s="252"/>
      <c r="I817" s="252"/>
      <c r="J817" s="252"/>
      <c r="K817" s="253"/>
    </row>
    <row r="818" spans="1:11" ht="22" customHeight="1" x14ac:dyDescent="0.35">
      <c r="A818" s="251"/>
      <c r="B818" s="252"/>
      <c r="C818" s="252"/>
      <c r="D818" s="252"/>
      <c r="E818" s="252"/>
      <c r="F818" s="252"/>
      <c r="G818" s="252"/>
      <c r="H818" s="252"/>
      <c r="I818" s="252"/>
      <c r="J818" s="252"/>
      <c r="K818" s="253"/>
    </row>
    <row r="819" spans="1:11" ht="22" customHeight="1" x14ac:dyDescent="0.35">
      <c r="A819" s="251"/>
      <c r="B819" s="252"/>
      <c r="C819" s="252"/>
      <c r="D819" s="252"/>
      <c r="E819" s="252"/>
      <c r="F819" s="252"/>
      <c r="G819" s="252"/>
      <c r="H819" s="252"/>
      <c r="I819" s="252"/>
      <c r="J819" s="252"/>
      <c r="K819" s="253"/>
    </row>
    <row r="820" spans="1:11" ht="22" customHeight="1" x14ac:dyDescent="0.35">
      <c r="A820" s="251"/>
      <c r="B820" s="252"/>
      <c r="C820" s="252"/>
      <c r="D820" s="252"/>
      <c r="E820" s="252"/>
      <c r="F820" s="252"/>
      <c r="G820" s="252"/>
      <c r="H820" s="252"/>
      <c r="I820" s="252"/>
      <c r="J820" s="252"/>
      <c r="K820" s="253"/>
    </row>
    <row r="821" spans="1:11" ht="22" customHeight="1" x14ac:dyDescent="0.35">
      <c r="A821" s="251"/>
      <c r="B821" s="252"/>
      <c r="C821" s="252"/>
      <c r="D821" s="252"/>
      <c r="E821" s="252"/>
      <c r="F821" s="252"/>
      <c r="G821" s="252"/>
      <c r="H821" s="252"/>
      <c r="I821" s="252"/>
      <c r="J821" s="252"/>
      <c r="K821" s="253"/>
    </row>
    <row r="822" spans="1:11" ht="22" customHeight="1" x14ac:dyDescent="0.35">
      <c r="A822" s="251"/>
      <c r="B822" s="252"/>
      <c r="C822" s="252"/>
      <c r="D822" s="252"/>
      <c r="E822" s="252"/>
      <c r="F822" s="252"/>
      <c r="G822" s="252"/>
      <c r="H822" s="252"/>
      <c r="I822" s="252"/>
      <c r="J822" s="252"/>
      <c r="K822" s="253"/>
    </row>
    <row r="823" spans="1:11" ht="22" customHeight="1" x14ac:dyDescent="0.35">
      <c r="A823" s="251"/>
      <c r="B823" s="252"/>
      <c r="C823" s="252"/>
      <c r="D823" s="252"/>
      <c r="E823" s="252"/>
      <c r="F823" s="252"/>
      <c r="G823" s="252"/>
      <c r="H823" s="252"/>
      <c r="I823" s="252"/>
      <c r="J823" s="252"/>
      <c r="K823" s="253"/>
    </row>
    <row r="824" spans="1:11" ht="22" customHeight="1" x14ac:dyDescent="0.35">
      <c r="A824" s="251"/>
      <c r="B824" s="252"/>
      <c r="C824" s="252"/>
      <c r="D824" s="252"/>
      <c r="E824" s="252"/>
      <c r="F824" s="252"/>
      <c r="G824" s="252"/>
      <c r="H824" s="252"/>
      <c r="I824" s="252"/>
      <c r="J824" s="252"/>
      <c r="K824" s="253"/>
    </row>
    <row r="825" spans="1:11" ht="22" customHeight="1" x14ac:dyDescent="0.35">
      <c r="A825" s="251"/>
      <c r="B825" s="252"/>
      <c r="C825" s="252"/>
      <c r="D825" s="252"/>
      <c r="E825" s="252"/>
      <c r="F825" s="252"/>
      <c r="G825" s="252"/>
      <c r="H825" s="252"/>
      <c r="I825" s="252"/>
      <c r="J825" s="252"/>
      <c r="K825" s="253"/>
    </row>
    <row r="826" spans="1:11" ht="22" customHeight="1" x14ac:dyDescent="0.35">
      <c r="A826" s="251"/>
      <c r="B826" s="252"/>
      <c r="C826" s="252"/>
      <c r="D826" s="252"/>
      <c r="E826" s="252"/>
      <c r="F826" s="252"/>
      <c r="G826" s="252"/>
      <c r="H826" s="252"/>
      <c r="I826" s="252"/>
      <c r="J826" s="252"/>
      <c r="K826" s="253"/>
    </row>
    <row r="827" spans="1:11" ht="22" customHeight="1" x14ac:dyDescent="0.35">
      <c r="A827" s="251"/>
      <c r="B827" s="252"/>
      <c r="C827" s="252"/>
      <c r="D827" s="252"/>
      <c r="E827" s="252"/>
      <c r="F827" s="252"/>
      <c r="G827" s="252"/>
      <c r="H827" s="252"/>
      <c r="I827" s="252"/>
      <c r="J827" s="252"/>
      <c r="K827" s="253"/>
    </row>
    <row r="828" spans="1:11" ht="22" customHeight="1" x14ac:dyDescent="0.35">
      <c r="A828" s="251"/>
      <c r="B828" s="252"/>
      <c r="C828" s="252"/>
      <c r="D828" s="252"/>
      <c r="E828" s="252"/>
      <c r="F828" s="252"/>
      <c r="G828" s="252"/>
      <c r="H828" s="252"/>
      <c r="I828" s="252"/>
      <c r="J828" s="252"/>
      <c r="K828" s="253"/>
    </row>
    <row r="829" spans="1:11" ht="22" customHeight="1" x14ac:dyDescent="0.35">
      <c r="A829" s="251"/>
      <c r="B829" s="252"/>
      <c r="C829" s="252"/>
      <c r="D829" s="252"/>
      <c r="E829" s="252"/>
      <c r="F829" s="252"/>
      <c r="G829" s="252"/>
      <c r="H829" s="252"/>
      <c r="I829" s="252"/>
      <c r="J829" s="252"/>
      <c r="K829" s="253"/>
    </row>
    <row r="830" spans="1:11" ht="22" customHeight="1" x14ac:dyDescent="0.35">
      <c r="A830" s="251"/>
      <c r="B830" s="252"/>
      <c r="C830" s="252"/>
      <c r="D830" s="252"/>
      <c r="E830" s="252"/>
      <c r="F830" s="252"/>
      <c r="G830" s="252"/>
      <c r="H830" s="252"/>
      <c r="I830" s="252"/>
      <c r="J830" s="252"/>
      <c r="K830" s="253"/>
    </row>
    <row r="831" spans="1:11" ht="22" customHeight="1" x14ac:dyDescent="0.35">
      <c r="A831" s="251"/>
      <c r="B831" s="252"/>
      <c r="C831" s="252"/>
      <c r="D831" s="252"/>
      <c r="E831" s="252"/>
      <c r="F831" s="252"/>
      <c r="G831" s="252"/>
      <c r="H831" s="252"/>
      <c r="I831" s="252"/>
      <c r="J831" s="252"/>
      <c r="K831" s="253"/>
    </row>
    <row r="832" spans="1:11" ht="22" customHeight="1" x14ac:dyDescent="0.35">
      <c r="A832" s="251"/>
      <c r="B832" s="252"/>
      <c r="C832" s="252"/>
      <c r="D832" s="252"/>
      <c r="E832" s="252"/>
      <c r="F832" s="252"/>
      <c r="G832" s="252"/>
      <c r="H832" s="252"/>
      <c r="I832" s="252"/>
      <c r="J832" s="252"/>
      <c r="K832" s="253"/>
    </row>
    <row r="833" spans="1:11" ht="22" customHeight="1" x14ac:dyDescent="0.35">
      <c r="A833" s="251"/>
      <c r="B833" s="252"/>
      <c r="C833" s="252"/>
      <c r="D833" s="252"/>
      <c r="E833" s="252"/>
      <c r="F833" s="252"/>
      <c r="G833" s="252"/>
      <c r="H833" s="252"/>
      <c r="I833" s="252"/>
      <c r="J833" s="252"/>
      <c r="K833" s="253"/>
    </row>
    <row r="834" spans="1:11" ht="22" customHeight="1" x14ac:dyDescent="0.35">
      <c r="A834" s="251"/>
      <c r="B834" s="252"/>
      <c r="C834" s="252"/>
      <c r="D834" s="252"/>
      <c r="E834" s="252"/>
      <c r="F834" s="252"/>
      <c r="G834" s="252"/>
      <c r="H834" s="252"/>
      <c r="I834" s="252"/>
      <c r="J834" s="252"/>
      <c r="K834" s="253"/>
    </row>
    <row r="835" spans="1:11" ht="22" customHeight="1" x14ac:dyDescent="0.35">
      <c r="A835" s="251"/>
      <c r="B835" s="252"/>
      <c r="C835" s="252"/>
      <c r="D835" s="252"/>
      <c r="E835" s="252"/>
      <c r="F835" s="252"/>
      <c r="G835" s="252"/>
      <c r="H835" s="252"/>
      <c r="I835" s="252"/>
      <c r="J835" s="252"/>
      <c r="K835" s="253"/>
    </row>
    <row r="836" spans="1:11" ht="22" customHeight="1" x14ac:dyDescent="0.35">
      <c r="A836" s="251"/>
      <c r="B836" s="252"/>
      <c r="C836" s="252"/>
      <c r="D836" s="252"/>
      <c r="E836" s="252"/>
      <c r="F836" s="252"/>
      <c r="G836" s="252"/>
      <c r="H836" s="252"/>
      <c r="I836" s="252"/>
      <c r="J836" s="252"/>
      <c r="K836" s="253"/>
    </row>
    <row r="837" spans="1:11" ht="22" customHeight="1" x14ac:dyDescent="0.35">
      <c r="A837" s="251"/>
      <c r="B837" s="252"/>
      <c r="C837" s="252"/>
      <c r="D837" s="252"/>
      <c r="E837" s="252"/>
      <c r="F837" s="252"/>
      <c r="G837" s="252"/>
      <c r="H837" s="252"/>
      <c r="I837" s="252"/>
      <c r="J837" s="252"/>
      <c r="K837" s="253"/>
    </row>
    <row r="838" spans="1:11" ht="22" customHeight="1" x14ac:dyDescent="0.35">
      <c r="A838" s="251"/>
      <c r="B838" s="252"/>
      <c r="C838" s="252"/>
      <c r="D838" s="252"/>
      <c r="E838" s="252"/>
      <c r="F838" s="252"/>
      <c r="G838" s="252"/>
      <c r="H838" s="252"/>
      <c r="I838" s="252"/>
      <c r="J838" s="252"/>
      <c r="K838" s="253"/>
    </row>
    <row r="839" spans="1:11" ht="22" customHeight="1" x14ac:dyDescent="0.35">
      <c r="A839" s="251"/>
      <c r="B839" s="252"/>
      <c r="C839" s="252"/>
      <c r="D839" s="252"/>
      <c r="E839" s="252"/>
      <c r="F839" s="252"/>
      <c r="G839" s="252"/>
      <c r="H839" s="252"/>
      <c r="I839" s="252"/>
      <c r="J839" s="252"/>
      <c r="K839" s="253"/>
    </row>
    <row r="840" spans="1:11" ht="22" customHeight="1" x14ac:dyDescent="0.35">
      <c r="A840" s="251"/>
      <c r="B840" s="252"/>
      <c r="C840" s="252"/>
      <c r="D840" s="252"/>
      <c r="E840" s="252"/>
      <c r="F840" s="252"/>
      <c r="G840" s="252"/>
      <c r="H840" s="252"/>
      <c r="I840" s="252"/>
      <c r="J840" s="252"/>
      <c r="K840" s="253"/>
    </row>
    <row r="841" spans="1:11" ht="22" customHeight="1" x14ac:dyDescent="0.35">
      <c r="A841" s="251"/>
      <c r="B841" s="252"/>
      <c r="C841" s="252"/>
      <c r="D841" s="252"/>
      <c r="E841" s="252"/>
      <c r="F841" s="252"/>
      <c r="G841" s="252"/>
      <c r="H841" s="252"/>
      <c r="I841" s="252"/>
      <c r="J841" s="252"/>
      <c r="K841" s="253"/>
    </row>
    <row r="842" spans="1:11" ht="22" customHeight="1" x14ac:dyDescent="0.35">
      <c r="A842" s="251"/>
      <c r="B842" s="252"/>
      <c r="C842" s="252"/>
      <c r="D842" s="252"/>
      <c r="E842" s="252"/>
      <c r="F842" s="252"/>
      <c r="G842" s="252"/>
      <c r="H842" s="252"/>
      <c r="I842" s="252"/>
      <c r="J842" s="252"/>
      <c r="K842" s="253"/>
    </row>
    <row r="843" spans="1:11" ht="22" customHeight="1" x14ac:dyDescent="0.35">
      <c r="A843" s="251"/>
      <c r="B843" s="252"/>
      <c r="C843" s="252"/>
      <c r="D843" s="252"/>
      <c r="E843" s="252"/>
      <c r="F843" s="252"/>
      <c r="G843" s="252"/>
      <c r="H843" s="252"/>
      <c r="I843" s="252"/>
      <c r="J843" s="252"/>
      <c r="K843" s="253"/>
    </row>
    <row r="844" spans="1:11" ht="22" customHeight="1" x14ac:dyDescent="0.35">
      <c r="A844" s="251"/>
      <c r="B844" s="252"/>
      <c r="C844" s="252"/>
      <c r="D844" s="252"/>
      <c r="E844" s="252"/>
      <c r="F844" s="252"/>
      <c r="G844" s="252"/>
      <c r="H844" s="252"/>
      <c r="I844" s="252"/>
      <c r="J844" s="252"/>
      <c r="K844" s="253"/>
    </row>
    <row r="845" spans="1:11" ht="22" customHeight="1" x14ac:dyDescent="0.35">
      <c r="A845" s="251"/>
      <c r="B845" s="252"/>
      <c r="C845" s="252"/>
      <c r="D845" s="252"/>
      <c r="E845" s="252"/>
      <c r="F845" s="252"/>
      <c r="G845" s="252"/>
      <c r="H845" s="252"/>
      <c r="I845" s="252"/>
      <c r="J845" s="252"/>
      <c r="K845" s="253"/>
    </row>
    <row r="846" spans="1:11" ht="22" customHeight="1" x14ac:dyDescent="0.35">
      <c r="A846" s="251"/>
      <c r="B846" s="252"/>
      <c r="C846" s="252"/>
      <c r="D846" s="252"/>
      <c r="E846" s="252"/>
      <c r="F846" s="252"/>
      <c r="G846" s="252"/>
      <c r="H846" s="252"/>
      <c r="I846" s="252"/>
      <c r="J846" s="252"/>
      <c r="K846" s="253"/>
    </row>
    <row r="847" spans="1:11" ht="22" customHeight="1" x14ac:dyDescent="0.35">
      <c r="A847" s="251"/>
      <c r="B847" s="252"/>
      <c r="C847" s="252"/>
      <c r="D847" s="252"/>
      <c r="E847" s="252"/>
      <c r="F847" s="252"/>
      <c r="G847" s="252"/>
      <c r="H847" s="252"/>
      <c r="I847" s="252"/>
      <c r="J847" s="252"/>
      <c r="K847" s="253"/>
    </row>
    <row r="848" spans="1:11" ht="22" customHeight="1" x14ac:dyDescent="0.35">
      <c r="A848" s="251"/>
      <c r="B848" s="252"/>
      <c r="C848" s="252"/>
      <c r="D848" s="252"/>
      <c r="E848" s="252"/>
      <c r="F848" s="252"/>
      <c r="G848" s="252"/>
      <c r="H848" s="252"/>
      <c r="I848" s="252"/>
      <c r="J848" s="252"/>
      <c r="K848" s="253"/>
    </row>
    <row r="849" spans="1:11" ht="22" customHeight="1" x14ac:dyDescent="0.35">
      <c r="A849" s="251"/>
      <c r="B849" s="252"/>
      <c r="C849" s="252"/>
      <c r="D849" s="252"/>
      <c r="E849" s="252"/>
      <c r="F849" s="252"/>
      <c r="G849" s="252"/>
      <c r="H849" s="252"/>
      <c r="I849" s="252"/>
      <c r="J849" s="252"/>
      <c r="K849" s="253"/>
    </row>
    <row r="850" spans="1:11" ht="22" customHeight="1" x14ac:dyDescent="0.35">
      <c r="A850" s="251"/>
      <c r="B850" s="252"/>
      <c r="C850" s="252"/>
      <c r="D850" s="252"/>
      <c r="E850" s="252"/>
      <c r="F850" s="252"/>
      <c r="G850" s="252"/>
      <c r="H850" s="252"/>
      <c r="I850" s="252"/>
      <c r="J850" s="252"/>
      <c r="K850" s="253"/>
    </row>
    <row r="851" spans="1:11" ht="22" customHeight="1" x14ac:dyDescent="0.35">
      <c r="A851" s="251"/>
      <c r="B851" s="252"/>
      <c r="C851" s="252"/>
      <c r="D851" s="252"/>
      <c r="E851" s="252"/>
      <c r="F851" s="252"/>
      <c r="G851" s="252"/>
      <c r="H851" s="252"/>
      <c r="I851" s="252"/>
      <c r="J851" s="252"/>
      <c r="K851" s="253"/>
    </row>
    <row r="852" spans="1:11" ht="22" customHeight="1" x14ac:dyDescent="0.35">
      <c r="A852" s="251"/>
      <c r="B852" s="252"/>
      <c r="C852" s="252"/>
      <c r="D852" s="252"/>
      <c r="E852" s="252"/>
      <c r="F852" s="252"/>
      <c r="G852" s="252"/>
      <c r="H852" s="252"/>
      <c r="I852" s="252"/>
      <c r="J852" s="252"/>
      <c r="K852" s="253"/>
    </row>
    <row r="853" spans="1:11" ht="22" customHeight="1" x14ac:dyDescent="0.35">
      <c r="A853" s="251"/>
      <c r="B853" s="252"/>
      <c r="C853" s="252"/>
      <c r="D853" s="252"/>
      <c r="E853" s="252"/>
      <c r="F853" s="252"/>
      <c r="G853" s="252"/>
      <c r="H853" s="252"/>
      <c r="I853" s="252"/>
      <c r="J853" s="252"/>
      <c r="K853" s="253"/>
    </row>
    <row r="854" spans="1:11" ht="22" customHeight="1" x14ac:dyDescent="0.35">
      <c r="A854" s="251"/>
      <c r="B854" s="252"/>
      <c r="C854" s="252"/>
      <c r="D854" s="252"/>
      <c r="E854" s="252"/>
      <c r="F854" s="252"/>
      <c r="G854" s="252"/>
      <c r="H854" s="252"/>
      <c r="I854" s="252"/>
      <c r="J854" s="252"/>
      <c r="K854" s="253"/>
    </row>
    <row r="855" spans="1:11" ht="22" customHeight="1" x14ac:dyDescent="0.35">
      <c r="A855" s="251"/>
      <c r="B855" s="252"/>
      <c r="C855" s="252"/>
      <c r="D855" s="252"/>
      <c r="E855" s="252"/>
      <c r="F855" s="252"/>
      <c r="G855" s="252"/>
      <c r="H855" s="252"/>
      <c r="I855" s="252"/>
      <c r="J855" s="252"/>
      <c r="K855" s="253"/>
    </row>
    <row r="856" spans="1:11" ht="22" customHeight="1" x14ac:dyDescent="0.35">
      <c r="A856" s="251"/>
      <c r="B856" s="252"/>
      <c r="C856" s="252"/>
      <c r="D856" s="252"/>
      <c r="E856" s="252"/>
      <c r="F856" s="252"/>
      <c r="G856" s="252"/>
      <c r="H856" s="252"/>
      <c r="I856" s="252"/>
      <c r="J856" s="252"/>
      <c r="K856" s="253"/>
    </row>
    <row r="857" spans="1:11" ht="22" customHeight="1" x14ac:dyDescent="0.35">
      <c r="A857" s="251"/>
      <c r="B857" s="252"/>
      <c r="C857" s="252"/>
      <c r="D857" s="252"/>
      <c r="E857" s="252"/>
      <c r="F857" s="252"/>
      <c r="G857" s="252"/>
      <c r="H857" s="252"/>
      <c r="I857" s="252"/>
      <c r="J857" s="252"/>
      <c r="K857" s="253"/>
    </row>
    <row r="858" spans="1:11" ht="22" customHeight="1" x14ac:dyDescent="0.35">
      <c r="A858" s="251"/>
      <c r="B858" s="252"/>
      <c r="C858" s="252"/>
      <c r="D858" s="252"/>
      <c r="E858" s="252"/>
      <c r="F858" s="252"/>
      <c r="G858" s="252"/>
      <c r="H858" s="252"/>
      <c r="I858" s="252"/>
      <c r="J858" s="252"/>
      <c r="K858" s="253"/>
    </row>
    <row r="859" spans="1:11" ht="22" customHeight="1" x14ac:dyDescent="0.35">
      <c r="A859" s="251"/>
      <c r="B859" s="252"/>
      <c r="C859" s="252"/>
      <c r="D859" s="252"/>
      <c r="E859" s="252"/>
      <c r="F859" s="252"/>
      <c r="G859" s="252"/>
      <c r="H859" s="252"/>
      <c r="I859" s="252"/>
      <c r="J859" s="252"/>
      <c r="K859" s="253"/>
    </row>
    <row r="860" spans="1:11" ht="22" customHeight="1" x14ac:dyDescent="0.35">
      <c r="A860" s="251"/>
      <c r="B860" s="252"/>
      <c r="C860" s="252"/>
      <c r="D860" s="252"/>
      <c r="E860" s="252"/>
      <c r="F860" s="252"/>
      <c r="G860" s="252"/>
      <c r="H860" s="252"/>
      <c r="I860" s="252"/>
      <c r="J860" s="252"/>
      <c r="K860" s="253"/>
    </row>
    <row r="861" spans="1:11" ht="22" customHeight="1" x14ac:dyDescent="0.35">
      <c r="A861" s="251"/>
      <c r="B861" s="252"/>
      <c r="C861" s="252"/>
      <c r="D861" s="252"/>
      <c r="E861" s="252"/>
      <c r="F861" s="252"/>
      <c r="G861" s="252"/>
      <c r="H861" s="252"/>
      <c r="I861" s="252"/>
      <c r="J861" s="252"/>
      <c r="K861" s="253"/>
    </row>
    <row r="862" spans="1:11" ht="22" customHeight="1" x14ac:dyDescent="0.35">
      <c r="A862" s="251"/>
      <c r="B862" s="252"/>
      <c r="C862" s="252"/>
      <c r="D862" s="252"/>
      <c r="E862" s="252"/>
      <c r="F862" s="252"/>
      <c r="G862" s="252"/>
      <c r="H862" s="252"/>
      <c r="I862" s="252"/>
      <c r="J862" s="252"/>
      <c r="K862" s="253"/>
    </row>
    <row r="863" spans="1:11" ht="22" customHeight="1" x14ac:dyDescent="0.35">
      <c r="A863" s="251"/>
      <c r="B863" s="252"/>
      <c r="C863" s="252"/>
      <c r="D863" s="252"/>
      <c r="E863" s="252"/>
      <c r="F863" s="252"/>
      <c r="G863" s="252"/>
      <c r="H863" s="252"/>
      <c r="I863" s="252"/>
      <c r="J863" s="252"/>
      <c r="K863" s="253"/>
    </row>
    <row r="864" spans="1:11" ht="22" customHeight="1" x14ac:dyDescent="0.35">
      <c r="A864" s="251"/>
      <c r="B864" s="252"/>
      <c r="C864" s="252"/>
      <c r="D864" s="252"/>
      <c r="E864" s="252"/>
      <c r="F864" s="252"/>
      <c r="G864" s="252"/>
      <c r="H864" s="252"/>
      <c r="I864" s="252"/>
      <c r="J864" s="252"/>
      <c r="K864" s="253"/>
    </row>
    <row r="865" spans="1:11" ht="22" customHeight="1" x14ac:dyDescent="0.35">
      <c r="A865" s="251"/>
      <c r="B865" s="252"/>
      <c r="C865" s="252"/>
      <c r="D865" s="252"/>
      <c r="E865" s="252"/>
      <c r="F865" s="252"/>
      <c r="G865" s="252"/>
      <c r="H865" s="252"/>
      <c r="I865" s="252"/>
      <c r="J865" s="252"/>
      <c r="K865" s="253"/>
    </row>
    <row r="866" spans="1:11" ht="22" customHeight="1" x14ac:dyDescent="0.35">
      <c r="A866" s="251"/>
      <c r="B866" s="252"/>
      <c r="C866" s="252"/>
      <c r="D866" s="252"/>
      <c r="E866" s="252"/>
      <c r="F866" s="252"/>
      <c r="G866" s="252"/>
      <c r="H866" s="252"/>
      <c r="I866" s="252"/>
      <c r="J866" s="252"/>
      <c r="K866" s="253"/>
    </row>
    <row r="867" spans="1:11" ht="22" customHeight="1" x14ac:dyDescent="0.35">
      <c r="A867" s="251"/>
      <c r="B867" s="252"/>
      <c r="C867" s="252"/>
      <c r="D867" s="252"/>
      <c r="E867" s="252"/>
      <c r="F867" s="252"/>
      <c r="G867" s="252"/>
      <c r="H867" s="252"/>
      <c r="I867" s="252"/>
      <c r="J867" s="252"/>
      <c r="K867" s="253"/>
    </row>
    <row r="868" spans="1:11" ht="22" customHeight="1" x14ac:dyDescent="0.35">
      <c r="A868" s="251"/>
      <c r="B868" s="252"/>
      <c r="C868" s="252"/>
      <c r="D868" s="252"/>
      <c r="E868" s="252"/>
      <c r="F868" s="252"/>
      <c r="G868" s="252"/>
      <c r="H868" s="252"/>
      <c r="I868" s="252"/>
      <c r="J868" s="252"/>
      <c r="K868" s="253"/>
    </row>
    <row r="869" spans="1:11" ht="22" customHeight="1" x14ac:dyDescent="0.35">
      <c r="A869" s="251"/>
      <c r="B869" s="252"/>
      <c r="C869" s="252"/>
      <c r="D869" s="252"/>
      <c r="E869" s="252"/>
      <c r="F869" s="252"/>
      <c r="G869" s="252"/>
      <c r="H869" s="252"/>
      <c r="I869" s="252"/>
      <c r="J869" s="252"/>
      <c r="K869" s="253"/>
    </row>
    <row r="870" spans="1:11" ht="22" customHeight="1" x14ac:dyDescent="0.35">
      <c r="A870" s="251"/>
      <c r="B870" s="252"/>
      <c r="C870" s="252"/>
      <c r="D870" s="252"/>
      <c r="E870" s="252"/>
      <c r="F870" s="252"/>
      <c r="G870" s="252"/>
      <c r="H870" s="252"/>
      <c r="I870" s="252"/>
      <c r="J870" s="252"/>
      <c r="K870" s="253"/>
    </row>
    <row r="871" spans="1:11" ht="22" customHeight="1" x14ac:dyDescent="0.35">
      <c r="A871" s="251"/>
      <c r="B871" s="252"/>
      <c r="C871" s="252"/>
      <c r="D871" s="252"/>
      <c r="E871" s="252"/>
      <c r="F871" s="252"/>
      <c r="G871" s="252"/>
      <c r="H871" s="252"/>
      <c r="I871" s="252"/>
      <c r="J871" s="252"/>
      <c r="K871" s="253"/>
    </row>
    <row r="872" spans="1:11" ht="22" customHeight="1" x14ac:dyDescent="0.35">
      <c r="A872" s="251"/>
      <c r="B872" s="252"/>
      <c r="C872" s="252"/>
      <c r="D872" s="252"/>
      <c r="E872" s="252"/>
      <c r="F872" s="252"/>
      <c r="G872" s="252"/>
      <c r="H872" s="252"/>
      <c r="I872" s="252"/>
      <c r="J872" s="252"/>
      <c r="K872" s="253"/>
    </row>
    <row r="873" spans="1:11" ht="22" customHeight="1" x14ac:dyDescent="0.35">
      <c r="A873" s="251"/>
      <c r="B873" s="252"/>
      <c r="C873" s="252"/>
      <c r="D873" s="252"/>
      <c r="E873" s="252"/>
      <c r="F873" s="252"/>
      <c r="G873" s="252"/>
      <c r="H873" s="252"/>
      <c r="I873" s="252"/>
      <c r="J873" s="252"/>
      <c r="K873" s="253"/>
    </row>
    <row r="874" spans="1:11" ht="22" customHeight="1" x14ac:dyDescent="0.35">
      <c r="A874" s="251"/>
      <c r="B874" s="252"/>
      <c r="C874" s="252"/>
      <c r="D874" s="252"/>
      <c r="E874" s="252"/>
      <c r="F874" s="252"/>
      <c r="G874" s="252"/>
      <c r="H874" s="252"/>
      <c r="I874" s="252"/>
      <c r="J874" s="252"/>
      <c r="K874" s="253"/>
    </row>
    <row r="875" spans="1:11" ht="22" customHeight="1" x14ac:dyDescent="0.35">
      <c r="A875" s="251"/>
      <c r="B875" s="252"/>
      <c r="C875" s="252"/>
      <c r="D875" s="252"/>
      <c r="E875" s="252"/>
      <c r="F875" s="252"/>
      <c r="G875" s="252"/>
      <c r="H875" s="252"/>
      <c r="I875" s="252"/>
      <c r="J875" s="252"/>
      <c r="K875" s="253"/>
    </row>
    <row r="876" spans="1:11" ht="22" customHeight="1" x14ac:dyDescent="0.35">
      <c r="A876" s="251"/>
      <c r="B876" s="252"/>
      <c r="C876" s="252"/>
      <c r="D876" s="252"/>
      <c r="E876" s="252"/>
      <c r="F876" s="252"/>
      <c r="G876" s="252"/>
      <c r="H876" s="252"/>
      <c r="I876" s="252"/>
      <c r="J876" s="252"/>
      <c r="K876" s="253"/>
    </row>
    <row r="877" spans="1:11" ht="22" customHeight="1" x14ac:dyDescent="0.35">
      <c r="A877" s="251"/>
      <c r="B877" s="252"/>
      <c r="C877" s="252"/>
      <c r="D877" s="252"/>
      <c r="E877" s="252"/>
      <c r="F877" s="252"/>
      <c r="G877" s="252"/>
      <c r="H877" s="252"/>
      <c r="I877" s="252"/>
      <c r="J877" s="252"/>
      <c r="K877" s="253"/>
    </row>
    <row r="878" spans="1:11" ht="22" customHeight="1" x14ac:dyDescent="0.35">
      <c r="A878" s="251"/>
      <c r="B878" s="252"/>
      <c r="C878" s="252"/>
      <c r="D878" s="252"/>
      <c r="E878" s="252"/>
      <c r="F878" s="252"/>
      <c r="G878" s="252"/>
      <c r="H878" s="252"/>
      <c r="I878" s="252"/>
      <c r="J878" s="252"/>
      <c r="K878" s="253"/>
    </row>
    <row r="879" spans="1:11" ht="22" customHeight="1" x14ac:dyDescent="0.35">
      <c r="A879" s="251"/>
      <c r="B879" s="252"/>
      <c r="C879" s="252"/>
      <c r="D879" s="252"/>
      <c r="E879" s="252"/>
      <c r="F879" s="252"/>
      <c r="G879" s="252"/>
      <c r="H879" s="252"/>
      <c r="I879" s="252"/>
      <c r="J879" s="252"/>
      <c r="K879" s="253"/>
    </row>
    <row r="880" spans="1:11" ht="22" customHeight="1" x14ac:dyDescent="0.35">
      <c r="A880" s="251"/>
      <c r="B880" s="252"/>
      <c r="C880" s="252"/>
      <c r="D880" s="252"/>
      <c r="E880" s="252"/>
      <c r="F880" s="252"/>
      <c r="G880" s="252"/>
      <c r="H880" s="252"/>
      <c r="I880" s="252"/>
      <c r="J880" s="252"/>
      <c r="K880" s="253"/>
    </row>
    <row r="881" spans="1:11" ht="22" customHeight="1" x14ac:dyDescent="0.35">
      <c r="A881" s="251"/>
      <c r="B881" s="252"/>
      <c r="C881" s="252"/>
      <c r="D881" s="252"/>
      <c r="E881" s="252"/>
      <c r="F881" s="252"/>
      <c r="G881" s="252"/>
      <c r="H881" s="252"/>
      <c r="I881" s="252"/>
      <c r="J881" s="252"/>
      <c r="K881" s="253"/>
    </row>
    <row r="882" spans="1:11" ht="22" customHeight="1" x14ac:dyDescent="0.35">
      <c r="A882" s="251"/>
      <c r="B882" s="252"/>
      <c r="C882" s="252"/>
      <c r="D882" s="252"/>
      <c r="E882" s="252"/>
      <c r="F882" s="252"/>
      <c r="G882" s="252"/>
      <c r="H882" s="252"/>
      <c r="I882" s="252"/>
      <c r="J882" s="252"/>
      <c r="K882" s="253"/>
    </row>
    <row r="883" spans="1:11" ht="22" customHeight="1" x14ac:dyDescent="0.35">
      <c r="A883" s="251"/>
      <c r="B883" s="252"/>
      <c r="C883" s="252"/>
      <c r="D883" s="252"/>
      <c r="E883" s="252"/>
      <c r="F883" s="252"/>
      <c r="G883" s="252"/>
      <c r="H883" s="252"/>
      <c r="I883" s="252"/>
      <c r="J883" s="252"/>
      <c r="K883" s="253"/>
    </row>
    <row r="884" spans="1:11" ht="22" customHeight="1" x14ac:dyDescent="0.35">
      <c r="A884" s="251"/>
      <c r="B884" s="252"/>
      <c r="C884" s="252"/>
      <c r="D884" s="252"/>
      <c r="E884" s="252"/>
      <c r="F884" s="252"/>
      <c r="G884" s="252"/>
      <c r="H884" s="252"/>
      <c r="I884" s="252"/>
      <c r="J884" s="252"/>
      <c r="K884" s="253"/>
    </row>
    <row r="885" spans="1:11" ht="22" customHeight="1" x14ac:dyDescent="0.35">
      <c r="A885" s="251"/>
      <c r="B885" s="252"/>
      <c r="C885" s="252"/>
      <c r="D885" s="252"/>
      <c r="E885" s="252"/>
      <c r="F885" s="252"/>
      <c r="G885" s="252"/>
      <c r="H885" s="252"/>
      <c r="I885" s="252"/>
      <c r="J885" s="252"/>
      <c r="K885" s="253"/>
    </row>
    <row r="886" spans="1:11" ht="22" customHeight="1" x14ac:dyDescent="0.35">
      <c r="A886" s="251"/>
      <c r="B886" s="252"/>
      <c r="C886" s="252"/>
      <c r="D886" s="252"/>
      <c r="E886" s="252"/>
      <c r="F886" s="252"/>
      <c r="G886" s="252"/>
      <c r="H886" s="252"/>
      <c r="I886" s="252"/>
      <c r="J886" s="252"/>
      <c r="K886" s="253"/>
    </row>
    <row r="887" spans="1:11" ht="22" customHeight="1" x14ac:dyDescent="0.35">
      <c r="A887" s="251"/>
      <c r="B887" s="252"/>
      <c r="C887" s="252"/>
      <c r="D887" s="252"/>
      <c r="E887" s="252"/>
      <c r="F887" s="252"/>
      <c r="G887" s="252"/>
      <c r="H887" s="252"/>
      <c r="I887" s="252"/>
      <c r="J887" s="252"/>
      <c r="K887" s="253"/>
    </row>
    <row r="888" spans="1:11" ht="22" customHeight="1" x14ac:dyDescent="0.35">
      <c r="A888" s="251"/>
      <c r="B888" s="252"/>
      <c r="C888" s="252"/>
      <c r="D888" s="252"/>
      <c r="E888" s="252"/>
      <c r="F888" s="252"/>
      <c r="G888" s="252"/>
      <c r="H888" s="252"/>
      <c r="I888" s="252"/>
      <c r="J888" s="252"/>
      <c r="K888" s="253"/>
    </row>
    <row r="889" spans="1:11" ht="22" customHeight="1" x14ac:dyDescent="0.35">
      <c r="A889" s="251"/>
      <c r="B889" s="252"/>
      <c r="C889" s="252"/>
      <c r="D889" s="252"/>
      <c r="E889" s="252"/>
      <c r="F889" s="252"/>
      <c r="G889" s="252"/>
      <c r="H889" s="252"/>
      <c r="I889" s="252"/>
      <c r="J889" s="252"/>
      <c r="K889" s="253"/>
    </row>
    <row r="890" spans="1:11" ht="22" customHeight="1" x14ac:dyDescent="0.35">
      <c r="A890" s="251"/>
      <c r="B890" s="252"/>
      <c r="C890" s="252"/>
      <c r="D890" s="252"/>
      <c r="E890" s="252"/>
      <c r="F890" s="252"/>
      <c r="G890" s="252"/>
      <c r="H890" s="252"/>
      <c r="I890" s="252"/>
      <c r="J890" s="252"/>
      <c r="K890" s="253"/>
    </row>
    <row r="891" spans="1:11" ht="22" customHeight="1" x14ac:dyDescent="0.35">
      <c r="A891" s="251"/>
      <c r="B891" s="252"/>
      <c r="C891" s="252"/>
      <c r="D891" s="252"/>
      <c r="E891" s="252"/>
      <c r="F891" s="252"/>
      <c r="G891" s="252"/>
      <c r="H891" s="252"/>
      <c r="I891" s="252"/>
      <c r="J891" s="252"/>
      <c r="K891" s="253"/>
    </row>
    <row r="892" spans="1:11" ht="22" customHeight="1" x14ac:dyDescent="0.35">
      <c r="A892" s="251"/>
      <c r="B892" s="252"/>
      <c r="C892" s="252"/>
      <c r="D892" s="252"/>
      <c r="E892" s="252"/>
      <c r="F892" s="252"/>
      <c r="G892" s="252"/>
      <c r="H892" s="252"/>
      <c r="I892" s="252"/>
      <c r="J892" s="252"/>
      <c r="K892" s="253"/>
    </row>
    <row r="893" spans="1:11" ht="22" customHeight="1" x14ac:dyDescent="0.35">
      <c r="A893" s="251"/>
      <c r="B893" s="252"/>
      <c r="C893" s="252"/>
      <c r="D893" s="252"/>
      <c r="E893" s="252"/>
      <c r="F893" s="252"/>
      <c r="G893" s="252"/>
      <c r="H893" s="252"/>
      <c r="I893" s="252"/>
      <c r="J893" s="252"/>
      <c r="K893" s="253"/>
    </row>
    <row r="894" spans="1:11" ht="22" customHeight="1" x14ac:dyDescent="0.35">
      <c r="A894" s="251"/>
      <c r="B894" s="252"/>
      <c r="C894" s="252"/>
      <c r="D894" s="252"/>
      <c r="E894" s="252"/>
      <c r="F894" s="252"/>
      <c r="G894" s="252"/>
      <c r="H894" s="252"/>
      <c r="I894" s="252"/>
      <c r="J894" s="252"/>
      <c r="K894" s="253"/>
    </row>
    <row r="895" spans="1:11" ht="22" customHeight="1" x14ac:dyDescent="0.35">
      <c r="A895" s="251"/>
      <c r="B895" s="252"/>
      <c r="C895" s="252"/>
      <c r="D895" s="252"/>
      <c r="E895" s="252"/>
      <c r="F895" s="252"/>
      <c r="G895" s="252"/>
      <c r="H895" s="252"/>
      <c r="I895" s="252"/>
      <c r="J895" s="252"/>
      <c r="K895" s="253"/>
    </row>
    <row r="896" spans="1:11" ht="22" customHeight="1" x14ac:dyDescent="0.35">
      <c r="A896" s="251"/>
      <c r="B896" s="252"/>
      <c r="C896" s="252"/>
      <c r="D896" s="252"/>
      <c r="E896" s="252"/>
      <c r="F896" s="252"/>
      <c r="G896" s="252"/>
      <c r="H896" s="252"/>
      <c r="I896" s="252"/>
      <c r="J896" s="252"/>
      <c r="K896" s="253"/>
    </row>
    <row r="897" spans="1:11" ht="22" customHeight="1" x14ac:dyDescent="0.35">
      <c r="A897" s="251"/>
      <c r="B897" s="252"/>
      <c r="C897" s="252"/>
      <c r="D897" s="252"/>
      <c r="E897" s="252"/>
      <c r="F897" s="252"/>
      <c r="G897" s="252"/>
      <c r="H897" s="252"/>
      <c r="I897" s="252"/>
      <c r="J897" s="252"/>
      <c r="K897" s="253"/>
    </row>
    <row r="898" spans="1:11" ht="22" customHeight="1" x14ac:dyDescent="0.35">
      <c r="A898" s="251"/>
      <c r="B898" s="252"/>
      <c r="C898" s="252"/>
      <c r="D898" s="252"/>
      <c r="E898" s="252"/>
      <c r="F898" s="252"/>
      <c r="G898" s="252"/>
      <c r="H898" s="252"/>
      <c r="I898" s="252"/>
      <c r="J898" s="252"/>
      <c r="K898" s="253"/>
    </row>
    <row r="899" spans="1:11" ht="22" customHeight="1" x14ac:dyDescent="0.35">
      <c r="A899" s="251"/>
      <c r="B899" s="252"/>
      <c r="C899" s="252"/>
      <c r="D899" s="252"/>
      <c r="E899" s="252"/>
      <c r="F899" s="252"/>
      <c r="G899" s="252"/>
      <c r="H899" s="252"/>
      <c r="I899" s="252"/>
      <c r="J899" s="252"/>
      <c r="K899" s="253"/>
    </row>
    <row r="900" spans="1:11" ht="22" customHeight="1" x14ac:dyDescent="0.35">
      <c r="A900" s="251"/>
      <c r="B900" s="252"/>
      <c r="C900" s="252"/>
      <c r="D900" s="252"/>
      <c r="E900" s="252"/>
      <c r="F900" s="252"/>
      <c r="G900" s="252"/>
      <c r="H900" s="252"/>
      <c r="I900" s="252"/>
      <c r="J900" s="252"/>
      <c r="K900" s="253"/>
    </row>
    <row r="901" spans="1:11" ht="22" customHeight="1" x14ac:dyDescent="0.35">
      <c r="A901" s="251"/>
      <c r="B901" s="252"/>
      <c r="C901" s="252"/>
      <c r="D901" s="252"/>
      <c r="E901" s="252"/>
      <c r="F901" s="252"/>
      <c r="G901" s="252"/>
      <c r="H901" s="252"/>
      <c r="I901" s="252"/>
      <c r="J901" s="252"/>
      <c r="K901" s="253"/>
    </row>
    <row r="902" spans="1:11" ht="22" customHeight="1" x14ac:dyDescent="0.35">
      <c r="A902" s="251"/>
      <c r="B902" s="252"/>
      <c r="C902" s="252"/>
      <c r="D902" s="252"/>
      <c r="E902" s="252"/>
      <c r="F902" s="252"/>
      <c r="G902" s="252"/>
      <c r="H902" s="252"/>
      <c r="I902" s="252"/>
      <c r="J902" s="252"/>
      <c r="K902" s="253"/>
    </row>
    <row r="903" spans="1:11" ht="22" customHeight="1" x14ac:dyDescent="0.35">
      <c r="A903" s="251"/>
      <c r="B903" s="252"/>
      <c r="C903" s="252"/>
      <c r="D903" s="252"/>
      <c r="E903" s="252"/>
      <c r="F903" s="252"/>
      <c r="G903" s="252"/>
      <c r="H903" s="252"/>
      <c r="I903" s="252"/>
      <c r="J903" s="252"/>
      <c r="K903" s="253"/>
    </row>
    <row r="904" spans="1:11" ht="22" customHeight="1" x14ac:dyDescent="0.35">
      <c r="A904" s="251"/>
      <c r="B904" s="252"/>
      <c r="C904" s="252"/>
      <c r="D904" s="252"/>
      <c r="E904" s="252"/>
      <c r="F904" s="252"/>
      <c r="G904" s="252"/>
      <c r="H904" s="252"/>
      <c r="I904" s="252"/>
      <c r="J904" s="252"/>
      <c r="K904" s="253"/>
    </row>
    <row r="905" spans="1:11" ht="22" customHeight="1" x14ac:dyDescent="0.35">
      <c r="A905" s="251"/>
      <c r="B905" s="252"/>
      <c r="C905" s="252"/>
      <c r="D905" s="252"/>
      <c r="E905" s="252"/>
      <c r="F905" s="252"/>
      <c r="G905" s="252"/>
      <c r="H905" s="252"/>
      <c r="I905" s="252"/>
      <c r="J905" s="252"/>
      <c r="K905" s="253"/>
    </row>
    <row r="906" spans="1:11" ht="22" customHeight="1" x14ac:dyDescent="0.35">
      <c r="A906" s="251"/>
      <c r="B906" s="252"/>
      <c r="C906" s="252"/>
      <c r="D906" s="252"/>
      <c r="E906" s="252"/>
      <c r="F906" s="252"/>
      <c r="G906" s="252"/>
      <c r="H906" s="252"/>
      <c r="I906" s="252"/>
      <c r="J906" s="252"/>
      <c r="K906" s="253"/>
    </row>
    <row r="907" spans="1:11" ht="22" customHeight="1" x14ac:dyDescent="0.35">
      <c r="A907" s="251"/>
      <c r="B907" s="252"/>
      <c r="C907" s="252"/>
      <c r="D907" s="252"/>
      <c r="E907" s="252"/>
      <c r="F907" s="252"/>
      <c r="G907" s="252"/>
      <c r="H907" s="252"/>
      <c r="I907" s="252"/>
      <c r="J907" s="252"/>
      <c r="K907" s="253"/>
    </row>
    <row r="908" spans="1:11" ht="22" customHeight="1" x14ac:dyDescent="0.35">
      <c r="A908" s="251"/>
      <c r="B908" s="252"/>
      <c r="C908" s="252"/>
      <c r="D908" s="252"/>
      <c r="E908" s="252"/>
      <c r="F908" s="252"/>
      <c r="G908" s="252"/>
      <c r="H908" s="252"/>
      <c r="I908" s="252"/>
      <c r="J908" s="252"/>
      <c r="K908" s="253"/>
    </row>
    <row r="909" spans="1:11" ht="22" customHeight="1" x14ac:dyDescent="0.35">
      <c r="A909" s="251"/>
      <c r="B909" s="252"/>
      <c r="C909" s="252"/>
      <c r="D909" s="252"/>
      <c r="E909" s="252"/>
      <c r="F909" s="252"/>
      <c r="G909" s="252"/>
      <c r="H909" s="252"/>
      <c r="I909" s="252"/>
      <c r="J909" s="252"/>
      <c r="K909" s="253"/>
    </row>
    <row r="910" spans="1:11" ht="22" customHeight="1" x14ac:dyDescent="0.35">
      <c r="A910" s="251"/>
      <c r="B910" s="252"/>
      <c r="C910" s="252"/>
      <c r="D910" s="252"/>
      <c r="E910" s="252"/>
      <c r="F910" s="252"/>
      <c r="G910" s="252"/>
      <c r="H910" s="252"/>
      <c r="I910" s="252"/>
      <c r="J910" s="252"/>
      <c r="K910" s="253"/>
    </row>
    <row r="911" spans="1:11" ht="22" customHeight="1" x14ac:dyDescent="0.35">
      <c r="A911" s="251"/>
      <c r="B911" s="252"/>
      <c r="C911" s="252"/>
      <c r="D911" s="252"/>
      <c r="E911" s="252"/>
      <c r="F911" s="252"/>
      <c r="G911" s="252"/>
      <c r="H911" s="252"/>
      <c r="I911" s="252"/>
      <c r="J911" s="252"/>
      <c r="K911" s="253"/>
    </row>
    <row r="912" spans="1:11" ht="22" customHeight="1" x14ac:dyDescent="0.35">
      <c r="A912" s="251"/>
      <c r="B912" s="252"/>
      <c r="C912" s="252"/>
      <c r="D912" s="252"/>
      <c r="E912" s="252"/>
      <c r="F912" s="252"/>
      <c r="G912" s="252"/>
      <c r="H912" s="252"/>
      <c r="I912" s="252"/>
      <c r="J912" s="252"/>
      <c r="K912" s="253"/>
    </row>
    <row r="913" spans="1:11" ht="22" customHeight="1" x14ac:dyDescent="0.35">
      <c r="A913" s="251"/>
      <c r="B913" s="252"/>
      <c r="C913" s="252"/>
      <c r="D913" s="252"/>
      <c r="E913" s="252"/>
      <c r="F913" s="252"/>
      <c r="G913" s="252"/>
      <c r="H913" s="252"/>
      <c r="I913" s="252"/>
      <c r="J913" s="252"/>
      <c r="K913" s="253"/>
    </row>
    <row r="914" spans="1:11" ht="22" customHeight="1" x14ac:dyDescent="0.35">
      <c r="A914" s="251"/>
      <c r="B914" s="252"/>
      <c r="C914" s="252"/>
      <c r="D914" s="252"/>
      <c r="E914" s="252"/>
      <c r="F914" s="252"/>
      <c r="G914" s="252"/>
      <c r="H914" s="252"/>
      <c r="I914" s="252"/>
      <c r="J914" s="252"/>
      <c r="K914" s="253"/>
    </row>
    <row r="915" spans="1:11" ht="22" customHeight="1" x14ac:dyDescent="0.35">
      <c r="A915" s="251"/>
      <c r="B915" s="252"/>
      <c r="C915" s="252"/>
      <c r="D915" s="252"/>
      <c r="E915" s="252"/>
      <c r="F915" s="252"/>
      <c r="G915" s="252"/>
      <c r="H915" s="252"/>
      <c r="I915" s="252"/>
      <c r="J915" s="252"/>
      <c r="K915" s="253"/>
    </row>
    <row r="916" spans="1:11" ht="22" customHeight="1" x14ac:dyDescent="0.35">
      <c r="A916" s="251"/>
      <c r="B916" s="252"/>
      <c r="C916" s="252"/>
      <c r="D916" s="252"/>
      <c r="E916" s="252"/>
      <c r="F916" s="252"/>
      <c r="G916" s="252"/>
      <c r="H916" s="252"/>
      <c r="I916" s="252"/>
      <c r="J916" s="252"/>
      <c r="K916" s="253"/>
    </row>
    <row r="917" spans="1:11" ht="22" customHeight="1" x14ac:dyDescent="0.35">
      <c r="A917" s="251"/>
      <c r="B917" s="252"/>
      <c r="C917" s="252"/>
      <c r="D917" s="252"/>
      <c r="E917" s="252"/>
      <c r="F917" s="252"/>
      <c r="G917" s="252"/>
      <c r="H917" s="252"/>
      <c r="I917" s="252"/>
      <c r="J917" s="252"/>
      <c r="K917" s="253"/>
    </row>
    <row r="918" spans="1:11" ht="22" customHeight="1" x14ac:dyDescent="0.35">
      <c r="A918" s="251"/>
      <c r="B918" s="252"/>
      <c r="C918" s="252"/>
      <c r="D918" s="252"/>
      <c r="E918" s="252"/>
      <c r="F918" s="252"/>
      <c r="G918" s="252"/>
      <c r="H918" s="252"/>
      <c r="I918" s="252"/>
      <c r="J918" s="252"/>
      <c r="K918" s="253"/>
    </row>
    <row r="919" spans="1:11" ht="22" customHeight="1" x14ac:dyDescent="0.35">
      <c r="A919" s="251"/>
      <c r="B919" s="252"/>
      <c r="C919" s="252"/>
      <c r="D919" s="252"/>
      <c r="E919" s="252"/>
      <c r="F919" s="252"/>
      <c r="G919" s="252"/>
      <c r="H919" s="252"/>
      <c r="I919" s="252"/>
      <c r="J919" s="252"/>
      <c r="K919" s="253"/>
    </row>
    <row r="920" spans="1:11" ht="22" customHeight="1" x14ac:dyDescent="0.35">
      <c r="A920" s="251"/>
      <c r="B920" s="252"/>
      <c r="C920" s="252"/>
      <c r="D920" s="252"/>
      <c r="E920" s="252"/>
      <c r="F920" s="252"/>
      <c r="G920" s="252"/>
      <c r="H920" s="252"/>
      <c r="I920" s="252"/>
      <c r="J920" s="252"/>
      <c r="K920" s="253"/>
    </row>
    <row r="921" spans="1:11" ht="22" customHeight="1" x14ac:dyDescent="0.35">
      <c r="A921" s="251"/>
      <c r="B921" s="252"/>
      <c r="C921" s="252"/>
      <c r="D921" s="252"/>
      <c r="E921" s="252"/>
      <c r="F921" s="252"/>
      <c r="G921" s="252"/>
      <c r="H921" s="252"/>
      <c r="I921" s="252"/>
      <c r="J921" s="252"/>
      <c r="K921" s="253"/>
    </row>
    <row r="922" spans="1:11" ht="22" customHeight="1" x14ac:dyDescent="0.35">
      <c r="A922" s="251"/>
      <c r="B922" s="252"/>
      <c r="C922" s="252"/>
      <c r="D922" s="252"/>
      <c r="E922" s="252"/>
      <c r="F922" s="252"/>
      <c r="G922" s="252"/>
      <c r="H922" s="252"/>
      <c r="I922" s="252"/>
      <c r="J922" s="252"/>
      <c r="K922" s="253"/>
    </row>
    <row r="923" spans="1:11" ht="22" customHeight="1" x14ac:dyDescent="0.35">
      <c r="A923" s="251"/>
      <c r="B923" s="252"/>
      <c r="C923" s="252"/>
      <c r="D923" s="252"/>
      <c r="E923" s="252"/>
      <c r="F923" s="252"/>
      <c r="G923" s="252"/>
      <c r="H923" s="252"/>
      <c r="I923" s="252"/>
      <c r="J923" s="252"/>
      <c r="K923" s="253"/>
    </row>
    <row r="924" spans="1:11" ht="22" customHeight="1" x14ac:dyDescent="0.35">
      <c r="A924" s="251"/>
      <c r="B924" s="252"/>
      <c r="C924" s="252"/>
      <c r="D924" s="252"/>
      <c r="E924" s="252"/>
      <c r="F924" s="252"/>
      <c r="G924" s="252"/>
      <c r="H924" s="252"/>
      <c r="I924" s="252"/>
      <c r="J924" s="252"/>
      <c r="K924" s="253"/>
    </row>
    <row r="925" spans="1:11" ht="22" customHeight="1" x14ac:dyDescent="0.35">
      <c r="A925" s="251"/>
      <c r="B925" s="252"/>
      <c r="C925" s="252"/>
      <c r="D925" s="252"/>
      <c r="E925" s="252"/>
      <c r="F925" s="252"/>
      <c r="G925" s="252"/>
      <c r="H925" s="252"/>
      <c r="I925" s="252"/>
      <c r="J925" s="252"/>
      <c r="K925" s="253"/>
    </row>
    <row r="926" spans="1:11" ht="22" customHeight="1" x14ac:dyDescent="0.35">
      <c r="A926" s="251"/>
      <c r="B926" s="252"/>
      <c r="C926" s="252"/>
      <c r="D926" s="252"/>
      <c r="E926" s="252"/>
      <c r="F926" s="252"/>
      <c r="G926" s="252"/>
      <c r="H926" s="252"/>
      <c r="I926" s="252"/>
      <c r="J926" s="252"/>
      <c r="K926" s="253"/>
    </row>
    <row r="927" spans="1:11" ht="22" customHeight="1" x14ac:dyDescent="0.35">
      <c r="A927" s="251"/>
      <c r="B927" s="252"/>
      <c r="C927" s="252"/>
      <c r="D927" s="252"/>
      <c r="E927" s="252"/>
      <c r="F927" s="252"/>
      <c r="G927" s="252"/>
      <c r="H927" s="252"/>
      <c r="I927" s="252"/>
      <c r="J927" s="252"/>
      <c r="K927" s="253"/>
    </row>
    <row r="928" spans="1:11" ht="22" customHeight="1" x14ac:dyDescent="0.35">
      <c r="A928" s="251"/>
      <c r="B928" s="252"/>
      <c r="C928" s="252"/>
      <c r="D928" s="252"/>
      <c r="E928" s="252"/>
      <c r="F928" s="252"/>
      <c r="G928" s="252"/>
      <c r="H928" s="252"/>
      <c r="I928" s="252"/>
      <c r="J928" s="252"/>
      <c r="K928" s="253"/>
    </row>
    <row r="929" spans="1:11" ht="22" customHeight="1" x14ac:dyDescent="0.35">
      <c r="A929" s="251"/>
      <c r="B929" s="252"/>
      <c r="C929" s="252"/>
      <c r="D929" s="252"/>
      <c r="E929" s="252"/>
      <c r="F929" s="252"/>
      <c r="G929" s="252"/>
      <c r="H929" s="252"/>
      <c r="I929" s="252"/>
      <c r="J929" s="252"/>
      <c r="K929" s="253"/>
    </row>
    <row r="930" spans="1:11" ht="22" customHeight="1" x14ac:dyDescent="0.35">
      <c r="A930" s="251"/>
      <c r="B930" s="252"/>
      <c r="C930" s="252"/>
      <c r="D930" s="252"/>
      <c r="E930" s="252"/>
      <c r="F930" s="252"/>
      <c r="G930" s="252"/>
      <c r="H930" s="252"/>
      <c r="I930" s="252"/>
      <c r="J930" s="252"/>
      <c r="K930" s="253"/>
    </row>
    <row r="931" spans="1:11" ht="22" customHeight="1" x14ac:dyDescent="0.35">
      <c r="A931" s="251"/>
      <c r="B931" s="252"/>
      <c r="C931" s="252"/>
      <c r="D931" s="252"/>
      <c r="E931" s="252"/>
      <c r="F931" s="252"/>
      <c r="G931" s="252"/>
      <c r="H931" s="252"/>
      <c r="I931" s="252"/>
      <c r="J931" s="252"/>
      <c r="K931" s="253"/>
    </row>
    <row r="932" spans="1:11" ht="22" customHeight="1" x14ac:dyDescent="0.35">
      <c r="A932" s="251"/>
      <c r="B932" s="252"/>
      <c r="C932" s="252"/>
      <c r="D932" s="252"/>
      <c r="E932" s="252"/>
      <c r="F932" s="252"/>
      <c r="G932" s="252"/>
      <c r="H932" s="252"/>
      <c r="I932" s="252"/>
      <c r="J932" s="252"/>
      <c r="K932" s="253"/>
    </row>
    <row r="933" spans="1:11" ht="22" customHeight="1" x14ac:dyDescent="0.35">
      <c r="A933" s="251"/>
      <c r="B933" s="252"/>
      <c r="C933" s="252"/>
      <c r="D933" s="252"/>
      <c r="E933" s="252"/>
      <c r="F933" s="252"/>
      <c r="G933" s="252"/>
      <c r="H933" s="252"/>
      <c r="I933" s="252"/>
      <c r="J933" s="252"/>
      <c r="K933" s="253"/>
    </row>
    <row r="934" spans="1:11" ht="22" customHeight="1" x14ac:dyDescent="0.35">
      <c r="A934" s="251"/>
      <c r="B934" s="252"/>
      <c r="C934" s="252"/>
      <c r="D934" s="252"/>
      <c r="E934" s="252"/>
      <c r="F934" s="252"/>
      <c r="G934" s="252"/>
      <c r="H934" s="252"/>
      <c r="I934" s="252"/>
      <c r="J934" s="252"/>
      <c r="K934" s="253"/>
    </row>
    <row r="935" spans="1:11" ht="22" customHeight="1" x14ac:dyDescent="0.35">
      <c r="A935" s="251"/>
      <c r="B935" s="252"/>
      <c r="C935" s="252"/>
      <c r="D935" s="252"/>
      <c r="E935" s="252"/>
      <c r="F935" s="252"/>
      <c r="G935" s="252"/>
      <c r="H935" s="252"/>
      <c r="I935" s="252"/>
      <c r="J935" s="252"/>
      <c r="K935" s="253"/>
    </row>
    <row r="936" spans="1:11" ht="22" customHeight="1" x14ac:dyDescent="0.35">
      <c r="A936" s="251"/>
      <c r="B936" s="252"/>
      <c r="C936" s="252"/>
      <c r="D936" s="252"/>
      <c r="E936" s="252"/>
      <c r="F936" s="252"/>
      <c r="G936" s="252"/>
      <c r="H936" s="252"/>
      <c r="I936" s="252"/>
      <c r="J936" s="252"/>
      <c r="K936" s="253"/>
    </row>
    <row r="937" spans="1:11" ht="22" customHeight="1" x14ac:dyDescent="0.35">
      <c r="A937" s="251"/>
      <c r="B937" s="252"/>
      <c r="C937" s="252"/>
      <c r="D937" s="252"/>
      <c r="E937" s="252"/>
      <c r="F937" s="252"/>
      <c r="G937" s="252"/>
      <c r="H937" s="252"/>
      <c r="I937" s="252"/>
      <c r="J937" s="252"/>
      <c r="K937" s="253"/>
    </row>
    <row r="938" spans="1:11" ht="22" customHeight="1" x14ac:dyDescent="0.35">
      <c r="A938" s="251"/>
      <c r="B938" s="252"/>
      <c r="C938" s="252"/>
      <c r="D938" s="252"/>
      <c r="E938" s="252"/>
      <c r="F938" s="252"/>
      <c r="G938" s="252"/>
      <c r="H938" s="252"/>
      <c r="I938" s="252"/>
      <c r="J938" s="252"/>
      <c r="K938" s="253"/>
    </row>
    <row r="939" spans="1:11" ht="22" customHeight="1" x14ac:dyDescent="0.35">
      <c r="A939" s="251"/>
      <c r="B939" s="252"/>
      <c r="C939" s="252"/>
      <c r="D939" s="252"/>
      <c r="E939" s="252"/>
      <c r="F939" s="252"/>
      <c r="G939" s="252"/>
      <c r="H939" s="252"/>
      <c r="I939" s="252"/>
      <c r="J939" s="252"/>
      <c r="K939" s="253"/>
    </row>
    <row r="940" spans="1:11" ht="22" customHeight="1" x14ac:dyDescent="0.35">
      <c r="A940" s="251"/>
      <c r="B940" s="252"/>
      <c r="C940" s="252"/>
      <c r="D940" s="252"/>
      <c r="E940" s="252"/>
      <c r="F940" s="252"/>
      <c r="G940" s="252"/>
      <c r="H940" s="252"/>
      <c r="I940" s="252"/>
      <c r="J940" s="252"/>
      <c r="K940" s="253"/>
    </row>
    <row r="941" spans="1:11" ht="22" customHeight="1" x14ac:dyDescent="0.35">
      <c r="A941" s="251"/>
      <c r="B941" s="252"/>
      <c r="C941" s="252"/>
      <c r="D941" s="252"/>
      <c r="E941" s="252"/>
      <c r="F941" s="252"/>
      <c r="G941" s="252"/>
      <c r="H941" s="252"/>
      <c r="I941" s="252"/>
      <c r="J941" s="252"/>
      <c r="K941" s="253"/>
    </row>
    <row r="942" spans="1:11" ht="22" customHeight="1" x14ac:dyDescent="0.35">
      <c r="A942" s="251"/>
      <c r="B942" s="252"/>
      <c r="C942" s="252"/>
      <c r="D942" s="252"/>
      <c r="E942" s="252"/>
      <c r="F942" s="252"/>
      <c r="G942" s="252"/>
      <c r="H942" s="252"/>
      <c r="I942" s="252"/>
      <c r="J942" s="252"/>
      <c r="K942" s="253"/>
    </row>
    <row r="943" spans="1:11" ht="22" customHeight="1" x14ac:dyDescent="0.35">
      <c r="A943" s="251"/>
      <c r="B943" s="252"/>
      <c r="C943" s="252"/>
      <c r="D943" s="252"/>
      <c r="E943" s="252"/>
      <c r="F943" s="252"/>
      <c r="G943" s="252"/>
      <c r="H943" s="252"/>
      <c r="I943" s="252"/>
      <c r="J943" s="252"/>
      <c r="K943" s="253"/>
    </row>
    <row r="944" spans="1:11" ht="22" customHeight="1" x14ac:dyDescent="0.35">
      <c r="A944" s="251"/>
      <c r="B944" s="252"/>
      <c r="C944" s="252"/>
      <c r="D944" s="252"/>
      <c r="E944" s="252"/>
      <c r="F944" s="252"/>
      <c r="G944" s="252"/>
      <c r="H944" s="252"/>
      <c r="I944" s="252"/>
      <c r="J944" s="252"/>
      <c r="K944" s="253"/>
    </row>
    <row r="945" spans="1:11" ht="22" customHeight="1" x14ac:dyDescent="0.35">
      <c r="A945" s="251"/>
      <c r="B945" s="252"/>
      <c r="C945" s="252"/>
      <c r="D945" s="252"/>
      <c r="E945" s="252"/>
      <c r="F945" s="252"/>
      <c r="G945" s="252"/>
      <c r="H945" s="252"/>
      <c r="I945" s="252"/>
      <c r="J945" s="252"/>
      <c r="K945" s="253"/>
    </row>
    <row r="946" spans="1:11" ht="22" customHeight="1" x14ac:dyDescent="0.35">
      <c r="A946" s="251"/>
      <c r="B946" s="252"/>
      <c r="C946" s="252"/>
      <c r="D946" s="252"/>
      <c r="E946" s="252"/>
      <c r="F946" s="252"/>
      <c r="G946" s="252"/>
      <c r="H946" s="252"/>
      <c r="I946" s="252"/>
      <c r="J946" s="252"/>
      <c r="K946" s="253"/>
    </row>
    <row r="947" spans="1:11" ht="22" customHeight="1" x14ac:dyDescent="0.35">
      <c r="A947" s="251"/>
      <c r="B947" s="252"/>
      <c r="C947" s="252"/>
      <c r="D947" s="252"/>
      <c r="E947" s="252"/>
      <c r="F947" s="252"/>
      <c r="G947" s="252"/>
      <c r="H947" s="252"/>
      <c r="I947" s="252"/>
      <c r="J947" s="252"/>
      <c r="K947" s="253"/>
    </row>
    <row r="948" spans="1:11" ht="22" customHeight="1" x14ac:dyDescent="0.35">
      <c r="A948" s="251"/>
      <c r="B948" s="252"/>
      <c r="C948" s="252"/>
      <c r="D948" s="252"/>
      <c r="E948" s="252"/>
      <c r="F948" s="252"/>
      <c r="G948" s="252"/>
      <c r="H948" s="252"/>
      <c r="I948" s="252"/>
      <c r="J948" s="252"/>
      <c r="K948" s="253"/>
    </row>
    <row r="949" spans="1:11" ht="22" customHeight="1" x14ac:dyDescent="0.35">
      <c r="A949" s="251"/>
      <c r="B949" s="252"/>
      <c r="C949" s="252"/>
      <c r="D949" s="252"/>
      <c r="E949" s="252"/>
      <c r="F949" s="252"/>
      <c r="G949" s="252"/>
      <c r="H949" s="252"/>
      <c r="I949" s="252"/>
      <c r="J949" s="252"/>
      <c r="K949" s="253"/>
    </row>
    <row r="950" spans="1:11" ht="22" customHeight="1" x14ac:dyDescent="0.35">
      <c r="A950" s="251"/>
      <c r="B950" s="252"/>
      <c r="C950" s="252"/>
      <c r="D950" s="252"/>
      <c r="E950" s="252"/>
      <c r="F950" s="252"/>
      <c r="G950" s="252"/>
      <c r="H950" s="252"/>
      <c r="I950" s="252"/>
      <c r="J950" s="252"/>
      <c r="K950" s="253"/>
    </row>
    <row r="951" spans="1:11" ht="22" customHeight="1" x14ac:dyDescent="0.35">
      <c r="A951" s="251"/>
      <c r="B951" s="252"/>
      <c r="C951" s="252"/>
      <c r="D951" s="252"/>
      <c r="E951" s="252"/>
      <c r="F951" s="252"/>
      <c r="G951" s="252"/>
      <c r="H951" s="252"/>
      <c r="I951" s="252"/>
      <c r="J951" s="252"/>
      <c r="K951" s="253"/>
    </row>
    <row r="952" spans="1:11" ht="22" customHeight="1" x14ac:dyDescent="0.35">
      <c r="A952" s="251"/>
      <c r="B952" s="252"/>
      <c r="C952" s="252"/>
      <c r="D952" s="252"/>
      <c r="E952" s="252"/>
      <c r="F952" s="252"/>
      <c r="G952" s="252"/>
      <c r="H952" s="252"/>
      <c r="I952" s="252"/>
      <c r="J952" s="252"/>
      <c r="K952" s="253"/>
    </row>
    <row r="953" spans="1:11" ht="22" customHeight="1" x14ac:dyDescent="0.35">
      <c r="A953" s="251"/>
      <c r="B953" s="252"/>
      <c r="C953" s="252"/>
      <c r="D953" s="252"/>
      <c r="E953" s="252"/>
      <c r="F953" s="252"/>
      <c r="G953" s="252"/>
      <c r="H953" s="252"/>
      <c r="I953" s="252"/>
      <c r="J953" s="252"/>
      <c r="K953" s="253"/>
    </row>
    <row r="954" spans="1:11" ht="22" customHeight="1" x14ac:dyDescent="0.35">
      <c r="A954" s="251"/>
      <c r="B954" s="252"/>
      <c r="C954" s="252"/>
      <c r="D954" s="252"/>
      <c r="E954" s="252"/>
      <c r="F954" s="252"/>
      <c r="G954" s="252"/>
      <c r="H954" s="252"/>
      <c r="I954" s="252"/>
      <c r="J954" s="252"/>
      <c r="K954" s="253"/>
    </row>
    <row r="955" spans="1:11" ht="22" customHeight="1" x14ac:dyDescent="0.35">
      <c r="A955" s="251"/>
      <c r="B955" s="252"/>
      <c r="C955" s="252"/>
      <c r="D955" s="252"/>
      <c r="E955" s="252"/>
      <c r="F955" s="252"/>
      <c r="G955" s="252"/>
      <c r="H955" s="252"/>
      <c r="I955" s="252"/>
      <c r="J955" s="252"/>
      <c r="K955" s="253"/>
    </row>
    <row r="956" spans="1:11" ht="22" customHeight="1" x14ac:dyDescent="0.35">
      <c r="A956" s="251"/>
      <c r="B956" s="252"/>
      <c r="C956" s="252"/>
      <c r="D956" s="252"/>
      <c r="E956" s="252"/>
      <c r="F956" s="252"/>
      <c r="G956" s="252"/>
      <c r="H956" s="252"/>
      <c r="I956" s="252"/>
      <c r="J956" s="252"/>
      <c r="K956" s="253"/>
    </row>
    <row r="957" spans="1:11" ht="22" customHeight="1" x14ac:dyDescent="0.35">
      <c r="A957" s="251"/>
      <c r="B957" s="252"/>
      <c r="C957" s="252"/>
      <c r="D957" s="252"/>
      <c r="E957" s="252"/>
      <c r="F957" s="252"/>
      <c r="G957" s="252"/>
      <c r="H957" s="252"/>
      <c r="I957" s="252"/>
      <c r="J957" s="252"/>
      <c r="K957" s="253"/>
    </row>
    <row r="958" spans="1:11" ht="22" customHeight="1" x14ac:dyDescent="0.35">
      <c r="A958" s="251"/>
      <c r="B958" s="252"/>
      <c r="C958" s="252"/>
      <c r="D958" s="252"/>
      <c r="E958" s="252"/>
      <c r="F958" s="252"/>
      <c r="G958" s="252"/>
      <c r="H958" s="252"/>
      <c r="I958" s="252"/>
      <c r="J958" s="252"/>
      <c r="K958" s="253"/>
    </row>
    <row r="959" spans="1:11" ht="22" customHeight="1" x14ac:dyDescent="0.35">
      <c r="A959" s="251"/>
      <c r="B959" s="252"/>
      <c r="C959" s="252"/>
      <c r="D959" s="252"/>
      <c r="E959" s="252"/>
      <c r="F959" s="252"/>
      <c r="G959" s="252"/>
      <c r="H959" s="252"/>
      <c r="I959" s="252"/>
      <c r="J959" s="252"/>
      <c r="K959" s="253"/>
    </row>
    <row r="960" spans="1:11" ht="22" customHeight="1" x14ac:dyDescent="0.35">
      <c r="A960" s="251"/>
      <c r="B960" s="252"/>
      <c r="C960" s="252"/>
      <c r="D960" s="252"/>
      <c r="E960" s="252"/>
      <c r="F960" s="252"/>
      <c r="G960" s="252"/>
      <c r="H960" s="252"/>
      <c r="I960" s="252"/>
      <c r="J960" s="252"/>
      <c r="K960" s="253"/>
    </row>
    <row r="961" spans="1:11" ht="22" customHeight="1" x14ac:dyDescent="0.35">
      <c r="A961" s="251"/>
      <c r="B961" s="252"/>
      <c r="C961" s="252"/>
      <c r="D961" s="252"/>
      <c r="E961" s="252"/>
      <c r="F961" s="252"/>
      <c r="G961" s="252"/>
      <c r="H961" s="252"/>
      <c r="I961" s="252"/>
      <c r="J961" s="252"/>
      <c r="K961" s="253"/>
    </row>
    <row r="962" spans="1:11" ht="22" customHeight="1" x14ac:dyDescent="0.35">
      <c r="A962" s="251"/>
      <c r="B962" s="252"/>
      <c r="C962" s="252"/>
      <c r="D962" s="252"/>
      <c r="E962" s="252"/>
      <c r="F962" s="252"/>
      <c r="G962" s="252"/>
      <c r="H962" s="252"/>
      <c r="I962" s="252"/>
      <c r="J962" s="252"/>
      <c r="K962" s="253"/>
    </row>
    <row r="963" spans="1:11" ht="22" customHeight="1" x14ac:dyDescent="0.35">
      <c r="A963" s="251"/>
      <c r="B963" s="252"/>
      <c r="C963" s="252"/>
      <c r="D963" s="252"/>
      <c r="E963" s="252"/>
      <c r="F963" s="252"/>
      <c r="G963" s="252"/>
      <c r="H963" s="252"/>
      <c r="I963" s="252"/>
      <c r="J963" s="252"/>
      <c r="K963" s="253"/>
    </row>
    <row r="964" spans="1:11" ht="22" customHeight="1" x14ac:dyDescent="0.35">
      <c r="A964" s="251"/>
      <c r="B964" s="252"/>
      <c r="C964" s="252"/>
      <c r="D964" s="252"/>
      <c r="E964" s="252"/>
      <c r="F964" s="252"/>
      <c r="G964" s="252"/>
      <c r="H964" s="252"/>
      <c r="I964" s="252"/>
      <c r="J964" s="252"/>
      <c r="K964" s="253"/>
    </row>
    <row r="965" spans="1:11" ht="22" customHeight="1" x14ac:dyDescent="0.35">
      <c r="A965" s="251"/>
      <c r="B965" s="252"/>
      <c r="C965" s="252"/>
      <c r="D965" s="252"/>
      <c r="E965" s="252"/>
      <c r="F965" s="252"/>
      <c r="G965" s="252"/>
      <c r="H965" s="252"/>
      <c r="I965" s="252"/>
      <c r="J965" s="252"/>
      <c r="K965" s="253"/>
    </row>
    <row r="966" spans="1:11" ht="22" customHeight="1" x14ac:dyDescent="0.35">
      <c r="A966" s="251"/>
      <c r="B966" s="252"/>
      <c r="C966" s="252"/>
      <c r="D966" s="252"/>
      <c r="E966" s="252"/>
      <c r="F966" s="252"/>
      <c r="G966" s="252"/>
      <c r="H966" s="252"/>
      <c r="I966" s="252"/>
      <c r="J966" s="252"/>
      <c r="K966" s="253"/>
    </row>
    <row r="967" spans="1:11" ht="22" customHeight="1" x14ac:dyDescent="0.35">
      <c r="A967" s="251"/>
      <c r="B967" s="252"/>
      <c r="C967" s="252"/>
      <c r="D967" s="252"/>
      <c r="E967" s="252"/>
      <c r="F967" s="252"/>
      <c r="G967" s="252"/>
      <c r="H967" s="252"/>
      <c r="I967" s="252"/>
      <c r="J967" s="252"/>
      <c r="K967" s="253"/>
    </row>
    <row r="968" spans="1:11" ht="22" customHeight="1" x14ac:dyDescent="0.35">
      <c r="A968" s="251"/>
      <c r="B968" s="252"/>
      <c r="C968" s="252"/>
      <c r="D968" s="252"/>
      <c r="E968" s="252"/>
      <c r="F968" s="252"/>
      <c r="G968" s="252"/>
      <c r="H968" s="252"/>
      <c r="I968" s="252"/>
      <c r="J968" s="252"/>
      <c r="K968" s="253"/>
    </row>
    <row r="969" spans="1:11" ht="22" customHeight="1" x14ac:dyDescent="0.35">
      <c r="A969" s="251"/>
      <c r="B969" s="252"/>
      <c r="C969" s="252"/>
      <c r="D969" s="252"/>
      <c r="E969" s="252"/>
      <c r="F969" s="252"/>
      <c r="G969" s="252"/>
      <c r="H969" s="252"/>
      <c r="I969" s="252"/>
      <c r="J969" s="252"/>
      <c r="K969" s="253"/>
    </row>
    <row r="970" spans="1:11" ht="22" customHeight="1" x14ac:dyDescent="0.35">
      <c r="A970" s="251"/>
      <c r="B970" s="252"/>
      <c r="C970" s="252"/>
      <c r="D970" s="252"/>
      <c r="E970" s="252"/>
      <c r="F970" s="252"/>
      <c r="G970" s="252"/>
      <c r="H970" s="252"/>
      <c r="I970" s="252"/>
      <c r="J970" s="252"/>
      <c r="K970" s="253"/>
    </row>
    <row r="971" spans="1:11" ht="22" customHeight="1" x14ac:dyDescent="0.35">
      <c r="A971" s="251"/>
      <c r="B971" s="252"/>
      <c r="C971" s="252"/>
      <c r="D971" s="252"/>
      <c r="E971" s="252"/>
      <c r="F971" s="252"/>
      <c r="G971" s="252"/>
      <c r="H971" s="252"/>
      <c r="I971" s="252"/>
      <c r="J971" s="252"/>
      <c r="K971" s="253"/>
    </row>
    <row r="972" spans="1:11" ht="22" customHeight="1" x14ac:dyDescent="0.35">
      <c r="A972" s="251"/>
      <c r="B972" s="252"/>
      <c r="C972" s="252"/>
      <c r="D972" s="252"/>
      <c r="E972" s="252"/>
      <c r="F972" s="252"/>
      <c r="G972" s="252"/>
      <c r="H972" s="252"/>
      <c r="I972" s="252"/>
      <c r="J972" s="252"/>
      <c r="K972" s="253"/>
    </row>
    <row r="973" spans="1:11" ht="22" customHeight="1" x14ac:dyDescent="0.35">
      <c r="A973" s="251"/>
      <c r="B973" s="252"/>
      <c r="C973" s="252"/>
      <c r="D973" s="252"/>
      <c r="E973" s="252"/>
      <c r="F973" s="252"/>
      <c r="G973" s="252"/>
      <c r="H973" s="252"/>
      <c r="I973" s="252"/>
      <c r="J973" s="252"/>
      <c r="K973" s="253"/>
    </row>
    <row r="974" spans="1:11" ht="22" customHeight="1" x14ac:dyDescent="0.35">
      <c r="A974" s="251"/>
      <c r="B974" s="252"/>
      <c r="C974" s="252"/>
      <c r="D974" s="252"/>
      <c r="E974" s="252"/>
      <c r="F974" s="252"/>
      <c r="G974" s="252"/>
      <c r="H974" s="252"/>
      <c r="I974" s="252"/>
      <c r="J974" s="252"/>
      <c r="K974" s="253"/>
    </row>
    <row r="975" spans="1:11" ht="22" customHeight="1" x14ac:dyDescent="0.35">
      <c r="A975" s="251"/>
      <c r="B975" s="252"/>
      <c r="C975" s="252"/>
      <c r="D975" s="252"/>
      <c r="E975" s="252"/>
      <c r="F975" s="252"/>
      <c r="G975" s="252"/>
      <c r="H975" s="252"/>
      <c r="I975" s="252"/>
      <c r="J975" s="252"/>
      <c r="K975" s="253"/>
    </row>
    <row r="976" spans="1:11" ht="22" customHeight="1" x14ac:dyDescent="0.35">
      <c r="A976" s="251"/>
      <c r="B976" s="252"/>
      <c r="C976" s="252"/>
      <c r="D976" s="252"/>
      <c r="E976" s="252"/>
      <c r="F976" s="252"/>
      <c r="G976" s="252"/>
      <c r="H976" s="252"/>
      <c r="I976" s="252"/>
      <c r="J976" s="252"/>
      <c r="K976" s="253"/>
    </row>
    <row r="977" spans="1:11" ht="22" customHeight="1" x14ac:dyDescent="0.35">
      <c r="A977" s="251"/>
      <c r="B977" s="252"/>
      <c r="C977" s="252"/>
      <c r="D977" s="252"/>
      <c r="E977" s="252"/>
      <c r="F977" s="252"/>
      <c r="G977" s="252"/>
      <c r="H977" s="252"/>
      <c r="I977" s="252"/>
      <c r="J977" s="252"/>
      <c r="K977" s="253"/>
    </row>
    <row r="978" spans="1:11" ht="22" customHeight="1" x14ac:dyDescent="0.35">
      <c r="A978" s="251"/>
      <c r="B978" s="252"/>
      <c r="C978" s="252"/>
      <c r="D978" s="252"/>
      <c r="E978" s="252"/>
      <c r="F978" s="252"/>
      <c r="G978" s="252"/>
      <c r="H978" s="252"/>
      <c r="I978" s="252"/>
      <c r="J978" s="252"/>
      <c r="K978" s="253"/>
    </row>
    <row r="979" spans="1:11" ht="22" customHeight="1" x14ac:dyDescent="0.35">
      <c r="A979" s="251"/>
      <c r="B979" s="252"/>
      <c r="C979" s="252"/>
      <c r="D979" s="252"/>
      <c r="E979" s="252"/>
      <c r="F979" s="252"/>
      <c r="G979" s="252"/>
      <c r="H979" s="252"/>
      <c r="I979" s="252"/>
      <c r="J979" s="252"/>
      <c r="K979" s="253"/>
    </row>
    <row r="980" spans="1:11" ht="22" customHeight="1" x14ac:dyDescent="0.35">
      <c r="A980" s="251"/>
      <c r="B980" s="252"/>
      <c r="C980" s="252"/>
      <c r="D980" s="252"/>
      <c r="E980" s="252"/>
      <c r="F980" s="252"/>
      <c r="G980" s="252"/>
      <c r="H980" s="252"/>
      <c r="I980" s="252"/>
      <c r="J980" s="252"/>
      <c r="K980" s="253"/>
    </row>
    <row r="981" spans="1:11" ht="22" customHeight="1" x14ac:dyDescent="0.35">
      <c r="A981" s="251"/>
      <c r="B981" s="252"/>
      <c r="C981" s="252"/>
      <c r="D981" s="252"/>
      <c r="E981" s="252"/>
      <c r="F981" s="252"/>
      <c r="G981" s="252"/>
      <c r="H981" s="252"/>
      <c r="I981" s="252"/>
      <c r="J981" s="252"/>
      <c r="K981" s="253"/>
    </row>
    <row r="982" spans="1:11" ht="22" customHeight="1" x14ac:dyDescent="0.35">
      <c r="A982" s="251"/>
      <c r="B982" s="252"/>
      <c r="C982" s="252"/>
      <c r="D982" s="252"/>
      <c r="E982" s="252"/>
      <c r="F982" s="252"/>
      <c r="G982" s="252"/>
      <c r="H982" s="252"/>
      <c r="I982" s="252"/>
      <c r="J982" s="252"/>
      <c r="K982" s="253"/>
    </row>
    <row r="983" spans="1:11" ht="22" customHeight="1" x14ac:dyDescent="0.35">
      <c r="A983" s="251"/>
      <c r="B983" s="252"/>
      <c r="C983" s="252"/>
      <c r="D983" s="252"/>
      <c r="E983" s="252"/>
      <c r="F983" s="252"/>
      <c r="G983" s="252"/>
      <c r="H983" s="252"/>
      <c r="I983" s="252"/>
      <c r="J983" s="252"/>
      <c r="K983" s="253"/>
    </row>
    <row r="984" spans="1:11" ht="22" customHeight="1" x14ac:dyDescent="0.35">
      <c r="A984" s="251"/>
      <c r="B984" s="252"/>
      <c r="C984" s="252"/>
      <c r="D984" s="252"/>
      <c r="E984" s="252"/>
      <c r="F984" s="252"/>
      <c r="G984" s="252"/>
      <c r="H984" s="252"/>
      <c r="I984" s="252"/>
      <c r="J984" s="252"/>
      <c r="K984" s="253"/>
    </row>
    <row r="985" spans="1:11" ht="22" customHeight="1" x14ac:dyDescent="0.35">
      <c r="A985" s="251"/>
      <c r="B985" s="252"/>
      <c r="C985" s="252"/>
      <c r="D985" s="252"/>
      <c r="E985" s="252"/>
      <c r="F985" s="252"/>
      <c r="G985" s="252"/>
      <c r="H985" s="252"/>
      <c r="I985" s="252"/>
      <c r="J985" s="252"/>
      <c r="K985" s="253"/>
    </row>
    <row r="986" spans="1:11" ht="22" customHeight="1" x14ac:dyDescent="0.35">
      <c r="A986" s="251"/>
      <c r="B986" s="252"/>
      <c r="C986" s="252"/>
      <c r="D986" s="252"/>
      <c r="E986" s="252"/>
      <c r="F986" s="252"/>
      <c r="G986" s="252"/>
      <c r="H986" s="252"/>
      <c r="I986" s="252"/>
      <c r="J986" s="252"/>
      <c r="K986" s="253"/>
    </row>
    <row r="987" spans="1:11" ht="22" customHeight="1" x14ac:dyDescent="0.35">
      <c r="A987" s="251"/>
      <c r="B987" s="252"/>
      <c r="C987" s="252"/>
      <c r="D987" s="252"/>
      <c r="E987" s="252"/>
      <c r="F987" s="252"/>
      <c r="G987" s="252"/>
      <c r="H987" s="252"/>
      <c r="I987" s="252"/>
      <c r="J987" s="252"/>
      <c r="K987" s="253"/>
    </row>
    <row r="988" spans="1:11" ht="22" customHeight="1" x14ac:dyDescent="0.35">
      <c r="A988" s="251"/>
      <c r="B988" s="252"/>
      <c r="C988" s="252"/>
      <c r="D988" s="252"/>
      <c r="E988" s="252"/>
      <c r="F988" s="252"/>
      <c r="G988" s="252"/>
      <c r="H988" s="252"/>
      <c r="I988" s="252"/>
      <c r="J988" s="252"/>
      <c r="K988" s="253"/>
    </row>
    <row r="989" spans="1:11" ht="22" customHeight="1" x14ac:dyDescent="0.35">
      <c r="A989" s="251"/>
      <c r="B989" s="252"/>
      <c r="C989" s="252"/>
      <c r="D989" s="252"/>
      <c r="E989" s="252"/>
      <c r="F989" s="252"/>
      <c r="G989" s="252"/>
      <c r="H989" s="252"/>
      <c r="I989" s="252"/>
      <c r="J989" s="252"/>
      <c r="K989" s="253"/>
    </row>
    <row r="990" spans="1:11" ht="22" customHeight="1" x14ac:dyDescent="0.35">
      <c r="A990" s="251"/>
      <c r="B990" s="252"/>
      <c r="C990" s="252"/>
      <c r="D990" s="252"/>
      <c r="E990" s="252"/>
      <c r="F990" s="252"/>
      <c r="G990" s="252"/>
      <c r="H990" s="252"/>
      <c r="I990" s="252"/>
      <c r="J990" s="252"/>
      <c r="K990" s="253"/>
    </row>
    <row r="991" spans="1:11" ht="22" customHeight="1" x14ac:dyDescent="0.35">
      <c r="A991" s="251"/>
      <c r="B991" s="252"/>
      <c r="C991" s="252"/>
      <c r="D991" s="252"/>
      <c r="E991" s="252"/>
      <c r="F991" s="252"/>
      <c r="G991" s="252"/>
      <c r="H991" s="252"/>
      <c r="I991" s="252"/>
      <c r="J991" s="252"/>
      <c r="K991" s="253"/>
    </row>
    <row r="992" spans="1:11" ht="22" customHeight="1" x14ac:dyDescent="0.35">
      <c r="A992" s="251"/>
      <c r="B992" s="252"/>
      <c r="C992" s="252"/>
      <c r="D992" s="252"/>
      <c r="E992" s="252"/>
      <c r="F992" s="252"/>
      <c r="G992" s="252"/>
      <c r="H992" s="252"/>
      <c r="I992" s="252"/>
      <c r="J992" s="252"/>
      <c r="K992" s="253"/>
    </row>
    <row r="993" spans="1:11" ht="22" customHeight="1" x14ac:dyDescent="0.35">
      <c r="A993" s="251"/>
      <c r="B993" s="252"/>
      <c r="C993" s="252"/>
      <c r="D993" s="252"/>
      <c r="E993" s="252"/>
      <c r="F993" s="252"/>
      <c r="G993" s="252"/>
      <c r="H993" s="252"/>
      <c r="I993" s="252"/>
      <c r="J993" s="252"/>
      <c r="K993" s="253"/>
    </row>
    <row r="994" spans="1:11" ht="22" customHeight="1" x14ac:dyDescent="0.35">
      <c r="A994" s="251"/>
      <c r="B994" s="252"/>
      <c r="C994" s="252"/>
      <c r="D994" s="252"/>
      <c r="E994" s="252"/>
      <c r="F994" s="252"/>
      <c r="G994" s="252"/>
      <c r="H994" s="252"/>
      <c r="I994" s="252"/>
      <c r="J994" s="252"/>
      <c r="K994" s="253"/>
    </row>
    <row r="995" spans="1:11" ht="22" customHeight="1" x14ac:dyDescent="0.35">
      <c r="A995" s="251"/>
      <c r="B995" s="252"/>
      <c r="C995" s="252"/>
      <c r="D995" s="252"/>
      <c r="E995" s="252"/>
      <c r="F995" s="252"/>
      <c r="G995" s="252"/>
      <c r="H995" s="252"/>
      <c r="I995" s="252"/>
      <c r="J995" s="252"/>
      <c r="K995" s="253"/>
    </row>
    <row r="996" spans="1:11" ht="22" customHeight="1" x14ac:dyDescent="0.35">
      <c r="A996" s="251"/>
      <c r="B996" s="252"/>
      <c r="C996" s="252"/>
      <c r="D996" s="252"/>
      <c r="E996" s="252"/>
      <c r="F996" s="252"/>
      <c r="G996" s="252"/>
      <c r="H996" s="252"/>
      <c r="I996" s="252"/>
      <c r="J996" s="252"/>
      <c r="K996" s="253"/>
    </row>
    <row r="997" spans="1:11" ht="22" customHeight="1" x14ac:dyDescent="0.35">
      <c r="A997" s="251"/>
      <c r="B997" s="252"/>
      <c r="C997" s="252"/>
      <c r="D997" s="252"/>
      <c r="E997" s="252"/>
      <c r="F997" s="252"/>
      <c r="G997" s="252"/>
      <c r="H997" s="252"/>
      <c r="I997" s="252"/>
      <c r="J997" s="252"/>
      <c r="K997" s="253"/>
    </row>
    <row r="998" spans="1:11" ht="22" customHeight="1" x14ac:dyDescent="0.35">
      <c r="A998" s="251"/>
      <c r="B998" s="252"/>
      <c r="C998" s="252"/>
      <c r="D998" s="252"/>
      <c r="E998" s="252"/>
      <c r="F998" s="252"/>
      <c r="G998" s="252"/>
      <c r="H998" s="252"/>
      <c r="I998" s="252"/>
      <c r="J998" s="252"/>
      <c r="K998" s="253"/>
    </row>
    <row r="999" spans="1:11" ht="22" customHeight="1" x14ac:dyDescent="0.35">
      <c r="A999" s="251"/>
      <c r="B999" s="252"/>
      <c r="C999" s="252"/>
      <c r="D999" s="252"/>
      <c r="E999" s="252"/>
      <c r="F999" s="252"/>
      <c r="G999" s="252"/>
      <c r="H999" s="252"/>
      <c r="I999" s="252"/>
      <c r="J999" s="252"/>
      <c r="K999" s="253"/>
    </row>
    <row r="1000" spans="1:11" ht="22" customHeight="1" x14ac:dyDescent="0.35">
      <c r="A1000" s="251"/>
      <c r="B1000" s="252"/>
      <c r="C1000" s="252"/>
      <c r="D1000" s="252"/>
      <c r="E1000" s="252"/>
      <c r="F1000" s="252"/>
      <c r="G1000" s="252"/>
      <c r="H1000" s="252"/>
      <c r="I1000" s="252"/>
      <c r="J1000" s="252"/>
      <c r="K1000" s="253"/>
    </row>
    <row r="1001" spans="1:11" ht="22" customHeight="1" x14ac:dyDescent="0.35">
      <c r="A1001" s="251"/>
      <c r="B1001" s="252"/>
      <c r="C1001" s="252"/>
      <c r="D1001" s="252"/>
      <c r="E1001" s="252"/>
      <c r="F1001" s="252"/>
      <c r="G1001" s="252"/>
      <c r="H1001" s="252"/>
      <c r="I1001" s="252"/>
      <c r="J1001" s="252"/>
      <c r="K1001" s="253"/>
    </row>
    <row r="1002" spans="1:11" ht="22" customHeight="1" x14ac:dyDescent="0.35">
      <c r="A1002" s="251"/>
      <c r="B1002" s="252"/>
      <c r="C1002" s="252"/>
      <c r="D1002" s="252"/>
      <c r="E1002" s="252"/>
      <c r="F1002" s="252"/>
      <c r="G1002" s="252"/>
      <c r="H1002" s="252"/>
      <c r="I1002" s="252"/>
      <c r="J1002" s="252"/>
      <c r="K1002" s="253"/>
    </row>
    <row r="1003" spans="1:11" ht="22" customHeight="1" x14ac:dyDescent="0.35">
      <c r="A1003" s="251"/>
      <c r="B1003" s="252"/>
      <c r="C1003" s="252"/>
      <c r="D1003" s="252"/>
      <c r="E1003" s="252"/>
      <c r="F1003" s="252"/>
      <c r="G1003" s="252"/>
      <c r="H1003" s="252"/>
      <c r="I1003" s="252"/>
      <c r="J1003" s="252"/>
      <c r="K1003" s="253"/>
    </row>
    <row r="1004" spans="1:11" ht="22" customHeight="1" x14ac:dyDescent="0.35">
      <c r="A1004" s="251"/>
      <c r="B1004" s="252"/>
      <c r="C1004" s="252"/>
      <c r="D1004" s="252"/>
      <c r="E1004" s="252"/>
      <c r="F1004" s="252"/>
      <c r="G1004" s="252"/>
      <c r="H1004" s="252"/>
      <c r="I1004" s="252"/>
      <c r="J1004" s="252"/>
      <c r="K1004" s="253"/>
    </row>
    <row r="1005" spans="1:11" ht="22" customHeight="1" x14ac:dyDescent="0.35">
      <c r="A1005" s="251"/>
      <c r="B1005" s="252"/>
      <c r="C1005" s="252"/>
      <c r="D1005" s="252"/>
      <c r="E1005" s="252"/>
      <c r="F1005" s="252"/>
      <c r="G1005" s="252"/>
      <c r="H1005" s="252"/>
      <c r="I1005" s="252"/>
      <c r="J1005" s="252"/>
      <c r="K1005" s="253"/>
    </row>
    <row r="1006" spans="1:11" ht="22" customHeight="1" x14ac:dyDescent="0.35">
      <c r="A1006" s="251"/>
      <c r="B1006" s="252"/>
      <c r="C1006" s="252"/>
      <c r="D1006" s="252"/>
      <c r="E1006" s="252"/>
      <c r="F1006" s="252"/>
      <c r="G1006" s="252"/>
      <c r="H1006" s="252"/>
      <c r="I1006" s="252"/>
      <c r="J1006" s="252"/>
      <c r="K1006" s="253"/>
    </row>
    <row r="1007" spans="1:11" ht="22" customHeight="1" x14ac:dyDescent="0.35">
      <c r="A1007" s="251"/>
      <c r="B1007" s="252"/>
      <c r="C1007" s="252"/>
      <c r="D1007" s="252"/>
      <c r="E1007" s="252"/>
      <c r="F1007" s="252"/>
      <c r="G1007" s="252"/>
      <c r="H1007" s="252"/>
      <c r="I1007" s="252"/>
      <c r="J1007" s="252"/>
      <c r="K1007" s="253"/>
    </row>
    <row r="1008" spans="1:11" ht="22" customHeight="1" x14ac:dyDescent="0.35">
      <c r="A1008" s="251"/>
      <c r="B1008" s="252"/>
      <c r="C1008" s="252"/>
      <c r="D1008" s="252"/>
      <c r="E1008" s="252"/>
      <c r="F1008" s="252"/>
      <c r="G1008" s="252"/>
      <c r="H1008" s="252"/>
      <c r="I1008" s="252"/>
      <c r="J1008" s="252"/>
      <c r="K1008" s="253"/>
    </row>
    <row r="1009" spans="1:11" ht="22" customHeight="1" x14ac:dyDescent="0.35">
      <c r="A1009" s="251"/>
      <c r="B1009" s="252"/>
      <c r="C1009" s="252"/>
      <c r="D1009" s="252"/>
      <c r="E1009" s="252"/>
      <c r="F1009" s="252"/>
      <c r="G1009" s="252"/>
      <c r="H1009" s="252"/>
      <c r="I1009" s="252"/>
      <c r="J1009" s="252"/>
      <c r="K1009" s="253"/>
    </row>
    <row r="1010" spans="1:11" ht="22" customHeight="1" x14ac:dyDescent="0.35">
      <c r="A1010" s="251"/>
      <c r="B1010" s="252"/>
      <c r="C1010" s="252"/>
      <c r="D1010" s="252"/>
      <c r="E1010" s="252"/>
      <c r="F1010" s="252"/>
      <c r="G1010" s="252"/>
      <c r="H1010" s="252"/>
      <c r="I1010" s="252"/>
      <c r="J1010" s="252"/>
      <c r="K1010" s="253"/>
    </row>
    <row r="1011" spans="1:11" ht="22" customHeight="1" x14ac:dyDescent="0.35">
      <c r="A1011" s="251"/>
      <c r="B1011" s="252"/>
      <c r="C1011" s="252"/>
      <c r="D1011" s="252"/>
      <c r="E1011" s="252"/>
      <c r="F1011" s="252"/>
      <c r="G1011" s="252"/>
      <c r="H1011" s="252"/>
      <c r="I1011" s="252"/>
      <c r="J1011" s="252"/>
      <c r="K1011" s="253"/>
    </row>
    <row r="1012" spans="1:11" ht="22" customHeight="1" x14ac:dyDescent="0.35">
      <c r="A1012" s="251"/>
      <c r="B1012" s="252"/>
      <c r="C1012" s="252"/>
      <c r="D1012" s="252"/>
      <c r="E1012" s="252"/>
      <c r="F1012" s="252"/>
      <c r="G1012" s="252"/>
      <c r="H1012" s="252"/>
      <c r="I1012" s="252"/>
      <c r="J1012" s="252"/>
      <c r="K1012" s="253"/>
    </row>
    <row r="1013" spans="1:11" ht="22" customHeight="1" x14ac:dyDescent="0.35">
      <c r="A1013" s="251"/>
      <c r="B1013" s="252"/>
      <c r="C1013" s="252"/>
      <c r="D1013" s="252"/>
      <c r="E1013" s="252"/>
      <c r="F1013" s="252"/>
      <c r="G1013" s="252"/>
      <c r="H1013" s="252"/>
      <c r="I1013" s="252"/>
      <c r="J1013" s="252"/>
      <c r="K1013" s="253"/>
    </row>
    <row r="1014" spans="1:11" ht="22" customHeight="1" x14ac:dyDescent="0.35">
      <c r="A1014" s="251"/>
      <c r="B1014" s="252"/>
      <c r="C1014" s="252"/>
      <c r="D1014" s="252"/>
      <c r="E1014" s="252"/>
      <c r="F1014" s="252"/>
      <c r="G1014" s="252"/>
      <c r="H1014" s="252"/>
      <c r="I1014" s="252"/>
      <c r="J1014" s="252"/>
      <c r="K1014" s="253"/>
    </row>
    <row r="1015" spans="1:11" ht="22" customHeight="1" x14ac:dyDescent="0.35">
      <c r="A1015" s="251"/>
      <c r="B1015" s="252"/>
      <c r="C1015" s="252"/>
      <c r="D1015" s="252"/>
      <c r="E1015" s="252"/>
      <c r="F1015" s="252"/>
      <c r="G1015" s="252"/>
      <c r="H1015" s="252"/>
      <c r="I1015" s="252"/>
      <c r="J1015" s="252"/>
      <c r="K1015" s="253"/>
    </row>
    <row r="1016" spans="1:11" ht="22" customHeight="1" x14ac:dyDescent="0.35">
      <c r="A1016" s="251"/>
      <c r="B1016" s="252"/>
      <c r="C1016" s="252"/>
      <c r="D1016" s="252"/>
      <c r="E1016" s="252"/>
      <c r="F1016" s="252"/>
      <c r="G1016" s="252"/>
      <c r="H1016" s="252"/>
      <c r="I1016" s="252"/>
      <c r="J1016" s="252"/>
      <c r="K1016" s="253"/>
    </row>
    <row r="1017" spans="1:11" ht="22" customHeight="1" x14ac:dyDescent="0.35">
      <c r="A1017" s="251"/>
      <c r="B1017" s="252"/>
      <c r="C1017" s="252"/>
      <c r="D1017" s="252"/>
      <c r="E1017" s="252"/>
      <c r="F1017" s="252"/>
      <c r="G1017" s="252"/>
      <c r="H1017" s="252"/>
      <c r="I1017" s="252"/>
      <c r="J1017" s="252"/>
      <c r="K1017" s="253"/>
    </row>
    <row r="1018" spans="1:11" ht="22" customHeight="1" x14ac:dyDescent="0.35">
      <c r="A1018" s="251"/>
      <c r="B1018" s="252"/>
      <c r="C1018" s="252"/>
      <c r="D1018" s="252"/>
      <c r="E1018" s="252"/>
      <c r="F1018" s="252"/>
      <c r="G1018" s="252"/>
      <c r="H1018" s="252"/>
      <c r="I1018" s="252"/>
      <c r="J1018" s="252"/>
      <c r="K1018" s="253"/>
    </row>
    <row r="1019" spans="1:11" ht="22" customHeight="1" x14ac:dyDescent="0.35">
      <c r="A1019" s="251"/>
      <c r="B1019" s="252"/>
      <c r="C1019" s="252"/>
      <c r="D1019" s="252"/>
      <c r="E1019" s="252"/>
      <c r="F1019" s="252"/>
      <c r="G1019" s="252"/>
      <c r="H1019" s="252"/>
      <c r="I1019" s="252"/>
      <c r="J1019" s="252"/>
      <c r="K1019" s="253"/>
    </row>
    <row r="1020" spans="1:11" ht="22" customHeight="1" x14ac:dyDescent="0.35">
      <c r="A1020" s="251"/>
      <c r="B1020" s="252"/>
      <c r="C1020" s="252"/>
      <c r="D1020" s="252"/>
      <c r="E1020" s="252"/>
      <c r="F1020" s="252"/>
      <c r="G1020" s="252"/>
      <c r="H1020" s="252"/>
      <c r="I1020" s="252"/>
      <c r="J1020" s="252"/>
      <c r="K1020" s="253"/>
    </row>
    <row r="1021" spans="1:11" ht="22" customHeight="1" x14ac:dyDescent="0.35">
      <c r="A1021" s="251"/>
      <c r="B1021" s="252"/>
      <c r="C1021" s="252"/>
      <c r="D1021" s="252"/>
      <c r="E1021" s="252"/>
      <c r="F1021" s="252"/>
      <c r="G1021" s="252"/>
      <c r="H1021" s="252"/>
      <c r="I1021" s="252"/>
      <c r="J1021" s="252"/>
      <c r="K1021" s="253"/>
    </row>
    <row r="1022" spans="1:11" ht="22" customHeight="1" x14ac:dyDescent="0.35">
      <c r="A1022" s="251"/>
      <c r="B1022" s="252"/>
      <c r="C1022" s="252"/>
      <c r="D1022" s="252"/>
      <c r="E1022" s="252"/>
      <c r="F1022" s="252"/>
      <c r="G1022" s="252"/>
      <c r="H1022" s="252"/>
      <c r="I1022" s="252"/>
      <c r="J1022" s="252"/>
      <c r="K1022" s="253"/>
    </row>
    <row r="1023" spans="1:11" ht="22" customHeight="1" x14ac:dyDescent="0.35">
      <c r="A1023" s="251"/>
      <c r="B1023" s="252"/>
      <c r="C1023" s="252"/>
      <c r="D1023" s="252"/>
      <c r="E1023" s="252"/>
      <c r="F1023" s="252"/>
      <c r="G1023" s="252"/>
      <c r="H1023" s="252"/>
      <c r="I1023" s="252"/>
      <c r="J1023" s="252"/>
      <c r="K1023" s="253"/>
    </row>
    <row r="1024" spans="1:11" ht="22" customHeight="1" x14ac:dyDescent="0.35">
      <c r="A1024" s="251"/>
      <c r="B1024" s="252"/>
      <c r="C1024" s="252"/>
      <c r="D1024" s="252"/>
      <c r="E1024" s="252"/>
      <c r="F1024" s="252"/>
      <c r="G1024" s="252"/>
      <c r="H1024" s="252"/>
      <c r="I1024" s="252"/>
      <c r="J1024" s="252"/>
      <c r="K1024" s="253"/>
    </row>
    <row r="1025" spans="1:11" ht="22" customHeight="1" x14ac:dyDescent="0.35">
      <c r="A1025" s="251"/>
      <c r="B1025" s="252"/>
      <c r="C1025" s="252"/>
      <c r="D1025" s="252"/>
      <c r="E1025" s="252"/>
      <c r="F1025" s="252"/>
      <c r="G1025" s="252"/>
      <c r="H1025" s="252"/>
      <c r="I1025" s="252"/>
      <c r="J1025" s="252"/>
      <c r="K1025" s="253"/>
    </row>
    <row r="1026" spans="1:11" ht="22" customHeight="1" x14ac:dyDescent="0.35">
      <c r="A1026" s="251"/>
      <c r="B1026" s="252"/>
      <c r="C1026" s="252"/>
      <c r="D1026" s="252"/>
      <c r="E1026" s="252"/>
      <c r="F1026" s="252"/>
      <c r="G1026" s="252"/>
      <c r="H1026" s="252"/>
      <c r="I1026" s="252"/>
      <c r="J1026" s="252"/>
      <c r="K1026" s="253"/>
    </row>
    <row r="1027" spans="1:11" ht="22" customHeight="1" x14ac:dyDescent="0.35">
      <c r="A1027" s="251"/>
      <c r="B1027" s="252"/>
      <c r="C1027" s="252"/>
      <c r="D1027" s="252"/>
      <c r="E1027" s="252"/>
      <c r="F1027" s="252"/>
      <c r="G1027" s="252"/>
      <c r="H1027" s="252"/>
      <c r="I1027" s="252"/>
      <c r="J1027" s="252"/>
      <c r="K1027" s="253"/>
    </row>
    <row r="1028" spans="1:11" ht="22" customHeight="1" x14ac:dyDescent="0.35">
      <c r="A1028" s="251"/>
      <c r="B1028" s="252"/>
      <c r="C1028" s="252"/>
      <c r="D1028" s="252"/>
      <c r="E1028" s="252"/>
      <c r="F1028" s="252"/>
      <c r="G1028" s="252"/>
      <c r="H1028" s="252"/>
      <c r="I1028" s="252"/>
      <c r="J1028" s="252"/>
      <c r="K1028" s="253"/>
    </row>
    <row r="1029" spans="1:11" ht="22" customHeight="1" x14ac:dyDescent="0.35">
      <c r="A1029" s="251"/>
      <c r="B1029" s="252"/>
      <c r="C1029" s="252"/>
      <c r="D1029" s="252"/>
      <c r="E1029" s="252"/>
      <c r="F1029" s="252"/>
      <c r="G1029" s="252"/>
      <c r="H1029" s="252"/>
      <c r="I1029" s="252"/>
      <c r="J1029" s="252"/>
      <c r="K1029" s="253"/>
    </row>
    <row r="1030" spans="1:11" ht="22" customHeight="1" x14ac:dyDescent="0.35">
      <c r="A1030" s="251"/>
      <c r="B1030" s="252"/>
      <c r="C1030" s="252"/>
      <c r="D1030" s="252"/>
      <c r="E1030" s="252"/>
      <c r="F1030" s="252"/>
      <c r="G1030" s="252"/>
      <c r="H1030" s="252"/>
      <c r="I1030" s="252"/>
      <c r="J1030" s="252"/>
      <c r="K1030" s="253"/>
    </row>
    <row r="1031" spans="1:11" ht="22" customHeight="1" x14ac:dyDescent="0.35">
      <c r="A1031" s="251"/>
      <c r="B1031" s="252"/>
      <c r="C1031" s="252"/>
      <c r="D1031" s="252"/>
      <c r="E1031" s="252"/>
      <c r="F1031" s="252"/>
      <c r="G1031" s="252"/>
      <c r="H1031" s="252"/>
      <c r="I1031" s="252"/>
      <c r="J1031" s="252"/>
      <c r="K1031" s="253"/>
    </row>
    <row r="1032" spans="1:11" ht="22" customHeight="1" x14ac:dyDescent="0.35">
      <c r="A1032" s="251"/>
      <c r="B1032" s="252"/>
      <c r="C1032" s="252"/>
      <c r="D1032" s="252"/>
      <c r="E1032" s="252"/>
      <c r="F1032" s="252"/>
      <c r="G1032" s="252"/>
      <c r="H1032" s="252"/>
      <c r="I1032" s="252"/>
      <c r="J1032" s="252"/>
      <c r="K1032" s="253"/>
    </row>
    <row r="1033" spans="1:11" ht="22" customHeight="1" x14ac:dyDescent="0.35">
      <c r="A1033" s="251"/>
      <c r="B1033" s="252"/>
      <c r="C1033" s="252"/>
      <c r="D1033" s="252"/>
      <c r="E1033" s="252"/>
      <c r="F1033" s="252"/>
      <c r="G1033" s="252"/>
      <c r="H1033" s="252"/>
      <c r="I1033" s="252"/>
      <c r="J1033" s="252"/>
      <c r="K1033" s="253"/>
    </row>
    <row r="1034" spans="1:11" ht="22" customHeight="1" x14ac:dyDescent="0.35">
      <c r="A1034" s="251"/>
      <c r="B1034" s="252"/>
      <c r="C1034" s="252"/>
      <c r="D1034" s="252"/>
      <c r="E1034" s="252"/>
      <c r="F1034" s="252"/>
      <c r="G1034" s="252"/>
      <c r="H1034" s="252"/>
      <c r="I1034" s="252"/>
      <c r="J1034" s="252"/>
      <c r="K1034" s="253"/>
    </row>
    <row r="1035" spans="1:11" ht="22" customHeight="1" x14ac:dyDescent="0.35">
      <c r="A1035" s="251"/>
      <c r="B1035" s="252"/>
      <c r="C1035" s="252"/>
      <c r="D1035" s="252"/>
      <c r="E1035" s="252"/>
      <c r="F1035" s="252"/>
      <c r="G1035" s="252"/>
      <c r="H1035" s="252"/>
      <c r="I1035" s="252"/>
      <c r="J1035" s="252"/>
      <c r="K1035" s="253"/>
    </row>
    <row r="1036" spans="1:11" ht="22" customHeight="1" x14ac:dyDescent="0.35">
      <c r="A1036" s="251"/>
      <c r="B1036" s="252"/>
      <c r="C1036" s="252"/>
      <c r="D1036" s="252"/>
      <c r="E1036" s="252"/>
      <c r="F1036" s="252"/>
      <c r="G1036" s="252"/>
      <c r="H1036" s="252"/>
      <c r="I1036" s="252"/>
      <c r="J1036" s="252"/>
      <c r="K1036" s="253"/>
    </row>
    <row r="1037" spans="1:11" ht="22" customHeight="1" x14ac:dyDescent="0.35">
      <c r="A1037" s="251"/>
      <c r="B1037" s="252"/>
      <c r="C1037" s="252"/>
      <c r="D1037" s="252"/>
      <c r="E1037" s="252"/>
      <c r="F1037" s="252"/>
      <c r="G1037" s="252"/>
      <c r="H1037" s="252"/>
      <c r="I1037" s="252"/>
      <c r="J1037" s="252"/>
      <c r="K1037" s="253"/>
    </row>
    <row r="1038" spans="1:11" ht="22" customHeight="1" x14ac:dyDescent="0.35">
      <c r="A1038" s="251"/>
      <c r="B1038" s="252"/>
      <c r="C1038" s="252"/>
      <c r="D1038" s="252"/>
      <c r="E1038" s="252"/>
      <c r="F1038" s="252"/>
      <c r="G1038" s="252"/>
      <c r="H1038" s="252"/>
      <c r="I1038" s="252"/>
      <c r="J1038" s="252"/>
      <c r="K1038" s="253"/>
    </row>
    <row r="1039" spans="1:11" ht="22" customHeight="1" x14ac:dyDescent="0.35">
      <c r="A1039" s="251"/>
      <c r="B1039" s="252"/>
      <c r="C1039" s="252"/>
      <c r="D1039" s="252"/>
      <c r="E1039" s="252"/>
      <c r="F1039" s="252"/>
      <c r="G1039" s="252"/>
      <c r="H1039" s="252"/>
      <c r="I1039" s="252"/>
      <c r="J1039" s="252"/>
      <c r="K1039" s="253"/>
    </row>
    <row r="1040" spans="1:11" ht="22" customHeight="1" x14ac:dyDescent="0.35">
      <c r="A1040" s="251"/>
      <c r="B1040" s="252"/>
      <c r="C1040" s="252"/>
      <c r="D1040" s="252"/>
      <c r="E1040" s="252"/>
      <c r="F1040" s="252"/>
      <c r="G1040" s="252"/>
      <c r="H1040" s="252"/>
      <c r="I1040" s="252"/>
      <c r="J1040" s="252"/>
      <c r="K1040" s="253"/>
    </row>
    <row r="1041" spans="1:11" ht="22" customHeight="1" x14ac:dyDescent="0.35">
      <c r="A1041" s="251"/>
      <c r="B1041" s="252"/>
      <c r="C1041" s="252"/>
      <c r="D1041" s="252"/>
      <c r="E1041" s="252"/>
      <c r="F1041" s="252"/>
      <c r="G1041" s="252"/>
      <c r="H1041" s="252"/>
      <c r="I1041" s="252"/>
      <c r="J1041" s="252"/>
      <c r="K1041" s="253"/>
    </row>
    <row r="1042" spans="1:11" ht="22" customHeight="1" x14ac:dyDescent="0.35">
      <c r="A1042" s="251"/>
      <c r="B1042" s="252"/>
      <c r="C1042" s="252"/>
      <c r="D1042" s="252"/>
      <c r="E1042" s="252"/>
      <c r="F1042" s="252"/>
      <c r="G1042" s="252"/>
      <c r="H1042" s="252"/>
      <c r="I1042" s="252"/>
      <c r="J1042" s="252"/>
      <c r="K1042" s="253"/>
    </row>
    <row r="1043" spans="1:11" ht="22" customHeight="1" x14ac:dyDescent="0.35">
      <c r="A1043" s="251"/>
      <c r="B1043" s="252"/>
      <c r="C1043" s="252"/>
      <c r="D1043" s="252"/>
      <c r="E1043" s="252"/>
      <c r="F1043" s="252"/>
      <c r="G1043" s="252"/>
      <c r="H1043" s="252"/>
      <c r="I1043" s="252"/>
      <c r="J1043" s="252"/>
      <c r="K1043" s="253"/>
    </row>
    <row r="1044" spans="1:11" ht="22" customHeight="1" x14ac:dyDescent="0.35">
      <c r="A1044" s="251"/>
      <c r="B1044" s="252"/>
      <c r="C1044" s="252"/>
      <c r="D1044" s="252"/>
      <c r="E1044" s="252"/>
      <c r="F1044" s="252"/>
      <c r="G1044" s="252"/>
      <c r="H1044" s="252"/>
      <c r="I1044" s="252"/>
      <c r="J1044" s="252"/>
      <c r="K1044" s="253"/>
    </row>
    <row r="1045" spans="1:11" ht="22" customHeight="1" x14ac:dyDescent="0.35">
      <c r="A1045" s="251"/>
      <c r="B1045" s="252"/>
      <c r="C1045" s="252"/>
      <c r="D1045" s="252"/>
      <c r="E1045" s="252"/>
      <c r="F1045" s="252"/>
      <c r="G1045" s="252"/>
      <c r="H1045" s="252"/>
      <c r="I1045" s="252"/>
      <c r="J1045" s="252"/>
      <c r="K1045" s="253"/>
    </row>
    <row r="1046" spans="1:11" ht="22" customHeight="1" x14ac:dyDescent="0.35">
      <c r="A1046" s="251"/>
      <c r="B1046" s="252"/>
      <c r="C1046" s="252"/>
      <c r="D1046" s="252"/>
      <c r="E1046" s="252"/>
      <c r="F1046" s="252"/>
      <c r="G1046" s="252"/>
      <c r="H1046" s="252"/>
      <c r="I1046" s="252"/>
      <c r="J1046" s="252"/>
      <c r="K1046" s="253"/>
    </row>
    <row r="1047" spans="1:11" ht="22" customHeight="1" x14ac:dyDescent="0.35">
      <c r="A1047" s="251"/>
      <c r="B1047" s="252"/>
      <c r="C1047" s="252"/>
      <c r="D1047" s="252"/>
      <c r="E1047" s="252"/>
      <c r="F1047" s="252"/>
      <c r="G1047" s="252"/>
      <c r="H1047" s="252"/>
      <c r="I1047" s="252"/>
      <c r="J1047" s="252"/>
      <c r="K1047" s="253"/>
    </row>
    <row r="1048" spans="1:11" ht="22" customHeight="1" x14ac:dyDescent="0.35">
      <c r="A1048" s="251"/>
      <c r="B1048" s="252"/>
      <c r="C1048" s="252"/>
      <c r="D1048" s="252"/>
      <c r="E1048" s="252"/>
      <c r="F1048" s="252"/>
      <c r="G1048" s="252"/>
      <c r="H1048" s="252"/>
      <c r="I1048" s="252"/>
      <c r="J1048" s="252"/>
      <c r="K1048" s="253"/>
    </row>
    <row r="1049" spans="1:11" ht="22" customHeight="1" x14ac:dyDescent="0.35">
      <c r="A1049" s="251"/>
      <c r="B1049" s="252"/>
      <c r="C1049" s="252"/>
      <c r="D1049" s="252"/>
      <c r="E1049" s="252"/>
      <c r="F1049" s="252"/>
      <c r="G1049" s="252"/>
      <c r="H1049" s="252"/>
      <c r="I1049" s="252"/>
      <c r="J1049" s="252"/>
      <c r="K1049" s="253"/>
    </row>
    <row r="1050" spans="1:11" ht="22" customHeight="1" x14ac:dyDescent="0.35">
      <c r="A1050" s="251"/>
      <c r="B1050" s="252"/>
      <c r="C1050" s="252"/>
      <c r="D1050" s="252"/>
      <c r="E1050" s="252"/>
      <c r="F1050" s="252"/>
      <c r="G1050" s="252"/>
      <c r="H1050" s="252"/>
      <c r="I1050" s="252"/>
      <c r="J1050" s="252"/>
      <c r="K1050" s="253"/>
    </row>
    <row r="1051" spans="1:11" ht="22" customHeight="1" x14ac:dyDescent="0.35">
      <c r="A1051" s="251"/>
      <c r="B1051" s="252"/>
      <c r="C1051" s="252"/>
      <c r="D1051" s="252"/>
      <c r="E1051" s="252"/>
      <c r="F1051" s="252"/>
      <c r="G1051" s="252"/>
      <c r="H1051" s="252"/>
      <c r="I1051" s="252"/>
      <c r="J1051" s="252"/>
      <c r="K1051" s="253"/>
    </row>
    <row r="1052" spans="1:11" ht="22" customHeight="1" x14ac:dyDescent="0.35">
      <c r="A1052" s="251"/>
      <c r="B1052" s="252"/>
      <c r="C1052" s="252"/>
      <c r="D1052" s="252"/>
      <c r="E1052" s="252"/>
      <c r="F1052" s="252"/>
      <c r="G1052" s="252"/>
      <c r="H1052" s="252"/>
      <c r="I1052" s="252"/>
      <c r="J1052" s="252"/>
      <c r="K1052" s="253"/>
    </row>
    <row r="1053" spans="1:11" ht="22" customHeight="1" x14ac:dyDescent="0.35">
      <c r="A1053" s="251"/>
      <c r="B1053" s="252"/>
      <c r="C1053" s="252"/>
      <c r="D1053" s="252"/>
      <c r="E1053" s="252"/>
      <c r="F1053" s="252"/>
      <c r="G1053" s="252"/>
      <c r="H1053" s="252"/>
      <c r="I1053" s="252"/>
      <c r="J1053" s="252"/>
      <c r="K1053" s="253"/>
    </row>
    <row r="1054" spans="1:11" ht="22" customHeight="1" x14ac:dyDescent="0.35">
      <c r="A1054" s="251"/>
      <c r="B1054" s="252"/>
      <c r="C1054" s="252"/>
      <c r="D1054" s="252"/>
      <c r="E1054" s="252"/>
      <c r="F1054" s="252"/>
      <c r="G1054" s="252"/>
      <c r="H1054" s="252"/>
      <c r="I1054" s="252"/>
      <c r="J1054" s="252"/>
      <c r="K1054" s="253"/>
    </row>
    <row r="1055" spans="1:11" ht="22" customHeight="1" x14ac:dyDescent="0.35">
      <c r="A1055" s="251"/>
      <c r="B1055" s="252"/>
      <c r="C1055" s="252"/>
      <c r="D1055" s="252"/>
      <c r="E1055" s="252"/>
      <c r="F1055" s="252"/>
      <c r="G1055" s="252"/>
      <c r="H1055" s="252"/>
      <c r="I1055" s="252"/>
      <c r="J1055" s="252"/>
      <c r="K1055" s="253"/>
    </row>
    <row r="1056" spans="1:11" ht="22" customHeight="1" x14ac:dyDescent="0.35">
      <c r="A1056" s="251"/>
      <c r="B1056" s="252"/>
      <c r="C1056" s="252"/>
      <c r="D1056" s="252"/>
      <c r="E1056" s="252"/>
      <c r="F1056" s="252"/>
      <c r="G1056" s="252"/>
      <c r="H1056" s="252"/>
      <c r="I1056" s="252"/>
      <c r="J1056" s="252"/>
      <c r="K1056" s="253"/>
    </row>
    <row r="1057" spans="1:11" ht="22" customHeight="1" x14ac:dyDescent="0.35">
      <c r="A1057" s="251"/>
      <c r="B1057" s="252"/>
      <c r="C1057" s="252"/>
      <c r="D1057" s="252"/>
      <c r="E1057" s="252"/>
      <c r="F1057" s="252"/>
      <c r="G1057" s="252"/>
      <c r="H1057" s="252"/>
      <c r="I1057" s="252"/>
      <c r="J1057" s="252"/>
      <c r="K1057" s="253"/>
    </row>
    <row r="1058" spans="1:11" ht="22" customHeight="1" x14ac:dyDescent="0.35">
      <c r="A1058" s="251"/>
      <c r="B1058" s="252"/>
      <c r="C1058" s="252"/>
      <c r="D1058" s="252"/>
      <c r="E1058" s="252"/>
      <c r="F1058" s="252"/>
      <c r="G1058" s="252"/>
      <c r="H1058" s="252"/>
      <c r="I1058" s="252"/>
      <c r="J1058" s="252"/>
      <c r="K1058" s="253"/>
    </row>
    <row r="1059" spans="1:11" ht="22" customHeight="1" x14ac:dyDescent="0.35">
      <c r="A1059" s="251"/>
      <c r="B1059" s="252"/>
      <c r="C1059" s="252"/>
      <c r="D1059" s="252"/>
      <c r="E1059" s="252"/>
      <c r="F1059" s="252"/>
      <c r="G1059" s="252"/>
      <c r="H1059" s="252"/>
      <c r="I1059" s="252"/>
      <c r="J1059" s="252"/>
      <c r="K1059" s="253"/>
    </row>
    <row r="1060" spans="1:11" ht="22" customHeight="1" x14ac:dyDescent="0.35">
      <c r="A1060" s="251"/>
      <c r="B1060" s="252"/>
      <c r="C1060" s="252"/>
      <c r="D1060" s="252"/>
      <c r="E1060" s="252"/>
      <c r="F1060" s="252"/>
      <c r="G1060" s="252"/>
      <c r="H1060" s="252"/>
      <c r="I1060" s="252"/>
      <c r="J1060" s="252"/>
      <c r="K1060" s="253"/>
    </row>
    <row r="1061" spans="1:11" ht="22" customHeight="1" x14ac:dyDescent="0.35">
      <c r="A1061" s="251"/>
      <c r="B1061" s="252"/>
      <c r="C1061" s="252"/>
      <c r="D1061" s="252"/>
      <c r="E1061" s="252"/>
      <c r="F1061" s="252"/>
      <c r="G1061" s="252"/>
      <c r="H1061" s="252"/>
      <c r="I1061" s="252"/>
      <c r="J1061" s="252"/>
      <c r="K1061" s="253"/>
    </row>
    <row r="1062" spans="1:11" ht="22" customHeight="1" x14ac:dyDescent="0.35">
      <c r="A1062" s="251"/>
      <c r="B1062" s="252"/>
      <c r="C1062" s="252"/>
      <c r="D1062" s="252"/>
      <c r="E1062" s="252"/>
      <c r="F1062" s="252"/>
      <c r="G1062" s="252"/>
      <c r="H1062" s="252"/>
      <c r="I1062" s="252"/>
      <c r="J1062" s="252"/>
      <c r="K1062" s="253"/>
    </row>
    <row r="1063" spans="1:11" ht="22" customHeight="1" x14ac:dyDescent="0.35">
      <c r="A1063" s="251"/>
      <c r="B1063" s="252"/>
      <c r="C1063" s="252"/>
      <c r="D1063" s="252"/>
      <c r="E1063" s="252"/>
      <c r="F1063" s="252"/>
      <c r="G1063" s="252"/>
      <c r="H1063" s="252"/>
      <c r="I1063" s="252"/>
      <c r="J1063" s="252"/>
      <c r="K1063" s="253"/>
    </row>
    <row r="1064" spans="1:11" ht="22" customHeight="1" x14ac:dyDescent="0.35">
      <c r="A1064" s="251"/>
      <c r="B1064" s="252"/>
      <c r="C1064" s="252"/>
      <c r="D1064" s="252"/>
      <c r="E1064" s="252"/>
      <c r="F1064" s="252"/>
      <c r="G1064" s="252"/>
      <c r="H1064" s="252"/>
      <c r="I1064" s="252"/>
      <c r="J1064" s="252"/>
      <c r="K1064" s="253"/>
    </row>
    <row r="1065" spans="1:11" ht="22" customHeight="1" x14ac:dyDescent="0.35">
      <c r="A1065" s="251"/>
      <c r="B1065" s="252"/>
      <c r="C1065" s="252"/>
      <c r="D1065" s="252"/>
      <c r="E1065" s="252"/>
      <c r="F1065" s="252"/>
      <c r="G1065" s="252"/>
      <c r="H1065" s="252"/>
      <c r="I1065" s="252"/>
      <c r="J1065" s="252"/>
      <c r="K1065" s="253"/>
    </row>
    <row r="1066" spans="1:11" ht="22" customHeight="1" x14ac:dyDescent="0.35">
      <c r="A1066" s="251"/>
      <c r="B1066" s="252"/>
      <c r="C1066" s="252"/>
      <c r="D1066" s="252"/>
      <c r="E1066" s="252"/>
      <c r="F1066" s="252"/>
      <c r="G1066" s="252"/>
      <c r="H1066" s="252"/>
      <c r="I1066" s="252"/>
      <c r="J1066" s="252"/>
      <c r="K1066" s="253"/>
    </row>
    <row r="1067" spans="1:11" ht="22" customHeight="1" x14ac:dyDescent="0.35">
      <c r="A1067" s="251"/>
      <c r="B1067" s="252"/>
      <c r="C1067" s="252"/>
      <c r="D1067" s="252"/>
      <c r="E1067" s="252"/>
      <c r="F1067" s="252"/>
      <c r="G1067" s="252"/>
      <c r="H1067" s="252"/>
      <c r="I1067" s="252"/>
      <c r="J1067" s="252"/>
      <c r="K1067" s="253"/>
    </row>
    <row r="1068" spans="1:11" ht="22" customHeight="1" x14ac:dyDescent="0.35">
      <c r="A1068" s="251"/>
      <c r="B1068" s="252"/>
      <c r="C1068" s="252"/>
      <c r="D1068" s="252"/>
      <c r="E1068" s="252"/>
      <c r="F1068" s="252"/>
      <c r="G1068" s="252"/>
      <c r="H1068" s="252"/>
      <c r="I1068" s="252"/>
      <c r="J1068" s="252"/>
      <c r="K1068" s="253"/>
    </row>
    <row r="1069" spans="1:11" ht="22" customHeight="1" x14ac:dyDescent="0.35">
      <c r="A1069" s="251"/>
      <c r="B1069" s="252"/>
      <c r="C1069" s="252"/>
      <c r="D1069" s="252"/>
      <c r="E1069" s="252"/>
      <c r="F1069" s="252"/>
      <c r="G1069" s="252"/>
      <c r="H1069" s="252"/>
      <c r="I1069" s="252"/>
      <c r="J1069" s="252"/>
      <c r="K1069" s="253"/>
    </row>
    <row r="1070" spans="1:11" ht="22" customHeight="1" x14ac:dyDescent="0.35">
      <c r="A1070" s="251"/>
      <c r="B1070" s="252"/>
      <c r="C1070" s="252"/>
      <c r="D1070" s="252"/>
      <c r="E1070" s="252"/>
      <c r="F1070" s="252"/>
      <c r="G1070" s="252"/>
      <c r="H1070" s="252"/>
      <c r="I1070" s="252"/>
      <c r="J1070" s="252"/>
      <c r="K1070" s="253"/>
    </row>
    <row r="1071" spans="1:11" ht="22" customHeight="1" x14ac:dyDescent="0.35">
      <c r="A1071" s="251"/>
      <c r="B1071" s="252"/>
      <c r="C1071" s="252"/>
      <c r="D1071" s="252"/>
      <c r="E1071" s="252"/>
      <c r="F1071" s="252"/>
      <c r="G1071" s="252"/>
      <c r="H1071" s="252"/>
      <c r="I1071" s="252"/>
      <c r="J1071" s="252"/>
      <c r="K1071" s="253"/>
    </row>
    <row r="1072" spans="1:11" ht="22" customHeight="1" x14ac:dyDescent="0.35">
      <c r="A1072" s="251"/>
      <c r="B1072" s="252"/>
      <c r="C1072" s="252"/>
      <c r="D1072" s="252"/>
      <c r="E1072" s="252"/>
      <c r="F1072" s="252"/>
      <c r="G1072" s="252"/>
      <c r="H1072" s="252"/>
      <c r="I1072" s="252"/>
      <c r="J1072" s="252"/>
      <c r="K1072" s="253"/>
    </row>
    <row r="1073" spans="1:11" ht="22" customHeight="1" x14ac:dyDescent="0.35">
      <c r="A1073" s="251"/>
      <c r="B1073" s="252"/>
      <c r="C1073" s="252"/>
      <c r="D1073" s="252"/>
      <c r="E1073" s="252"/>
      <c r="F1073" s="252"/>
      <c r="G1073" s="252"/>
      <c r="H1073" s="252"/>
      <c r="I1073" s="252"/>
      <c r="J1073" s="252"/>
      <c r="K1073" s="253"/>
    </row>
    <row r="1074" spans="1:11" ht="22" customHeight="1" x14ac:dyDescent="0.35">
      <c r="A1074" s="251"/>
      <c r="B1074" s="252"/>
      <c r="C1074" s="252"/>
      <c r="D1074" s="252"/>
      <c r="E1074" s="252"/>
      <c r="F1074" s="252"/>
      <c r="G1074" s="252"/>
      <c r="H1074" s="252"/>
      <c r="I1074" s="252"/>
      <c r="J1074" s="252"/>
      <c r="K1074" s="253"/>
    </row>
    <row r="1075" spans="1:11" ht="22" customHeight="1" x14ac:dyDescent="0.35">
      <c r="A1075" s="251"/>
      <c r="B1075" s="252"/>
      <c r="C1075" s="252"/>
      <c r="D1075" s="252"/>
      <c r="E1075" s="252"/>
      <c r="F1075" s="252"/>
      <c r="G1075" s="252"/>
      <c r="H1075" s="252"/>
      <c r="I1075" s="252"/>
      <c r="J1075" s="252"/>
      <c r="K1075" s="253"/>
    </row>
    <row r="1076" spans="1:11" ht="22" customHeight="1" x14ac:dyDescent="0.35">
      <c r="A1076" s="251"/>
      <c r="B1076" s="252"/>
      <c r="C1076" s="252"/>
      <c r="D1076" s="252"/>
      <c r="E1076" s="252"/>
      <c r="F1076" s="252"/>
      <c r="G1076" s="252"/>
      <c r="H1076" s="252"/>
      <c r="I1076" s="252"/>
      <c r="J1076" s="252"/>
      <c r="K1076" s="253"/>
    </row>
    <row r="1077" spans="1:11" ht="22" customHeight="1" x14ac:dyDescent="0.35">
      <c r="A1077" s="251"/>
      <c r="B1077" s="252"/>
      <c r="C1077" s="252"/>
      <c r="D1077" s="252"/>
      <c r="E1077" s="252"/>
      <c r="F1077" s="252"/>
      <c r="G1077" s="252"/>
      <c r="H1077" s="252"/>
      <c r="I1077" s="252"/>
      <c r="J1077" s="252"/>
      <c r="K1077" s="253"/>
    </row>
    <row r="1078" spans="1:11" ht="22" customHeight="1" x14ac:dyDescent="0.35">
      <c r="A1078" s="251"/>
      <c r="B1078" s="252"/>
      <c r="C1078" s="252"/>
      <c r="D1078" s="252"/>
      <c r="E1078" s="252"/>
      <c r="F1078" s="252"/>
      <c r="G1078" s="252"/>
      <c r="H1078" s="252"/>
      <c r="I1078" s="252"/>
      <c r="J1078" s="252"/>
      <c r="K1078" s="253"/>
    </row>
    <row r="1079" spans="1:11" ht="22" customHeight="1" x14ac:dyDescent="0.35">
      <c r="A1079" s="251"/>
      <c r="B1079" s="252"/>
      <c r="C1079" s="252"/>
      <c r="D1079" s="252"/>
      <c r="E1079" s="252"/>
      <c r="F1079" s="252"/>
      <c r="G1079" s="252"/>
      <c r="H1079" s="252"/>
      <c r="I1079" s="252"/>
      <c r="J1079" s="252"/>
      <c r="K1079" s="253"/>
    </row>
    <row r="1080" spans="1:11" ht="22" customHeight="1" x14ac:dyDescent="0.35">
      <c r="A1080" s="251"/>
      <c r="B1080" s="252"/>
      <c r="C1080" s="252"/>
      <c r="D1080" s="252"/>
      <c r="E1080" s="252"/>
      <c r="F1080" s="252"/>
      <c r="G1080" s="252"/>
      <c r="H1080" s="252"/>
      <c r="I1080" s="252"/>
      <c r="J1080" s="252"/>
      <c r="K1080" s="253"/>
    </row>
    <row r="1081" spans="1:11" ht="22" customHeight="1" x14ac:dyDescent="0.35">
      <c r="A1081" s="251"/>
      <c r="B1081" s="252"/>
      <c r="C1081" s="252"/>
      <c r="D1081" s="252"/>
      <c r="E1081" s="252"/>
      <c r="F1081" s="252"/>
      <c r="G1081" s="252"/>
      <c r="H1081" s="252"/>
      <c r="I1081" s="252"/>
      <c r="J1081" s="252"/>
      <c r="K1081" s="253"/>
    </row>
    <row r="1082" spans="1:11" ht="22" customHeight="1" x14ac:dyDescent="0.35">
      <c r="A1082" s="251"/>
      <c r="B1082" s="252"/>
      <c r="C1082" s="252"/>
      <c r="D1082" s="252"/>
      <c r="E1082" s="252"/>
      <c r="F1082" s="252"/>
      <c r="G1082" s="252"/>
      <c r="H1082" s="252"/>
      <c r="I1082" s="252"/>
      <c r="J1082" s="252"/>
      <c r="K1082" s="253"/>
    </row>
    <row r="1083" spans="1:11" ht="22" customHeight="1" x14ac:dyDescent="0.35">
      <c r="A1083" s="251"/>
      <c r="B1083" s="252"/>
      <c r="C1083" s="252"/>
      <c r="D1083" s="252"/>
      <c r="E1083" s="252"/>
      <c r="F1083" s="252"/>
      <c r="G1083" s="252"/>
      <c r="H1083" s="252"/>
      <c r="I1083" s="252"/>
      <c r="J1083" s="252"/>
      <c r="K1083" s="253"/>
    </row>
    <row r="1084" spans="1:11" ht="22" customHeight="1" x14ac:dyDescent="0.35">
      <c r="A1084" s="251"/>
      <c r="B1084" s="252"/>
      <c r="C1084" s="252"/>
      <c r="D1084" s="252"/>
      <c r="E1084" s="252"/>
      <c r="F1084" s="252"/>
      <c r="G1084" s="252"/>
      <c r="H1084" s="252"/>
      <c r="I1084" s="252"/>
      <c r="J1084" s="252"/>
      <c r="K1084" s="253"/>
    </row>
    <row r="1085" spans="1:11" ht="22" customHeight="1" x14ac:dyDescent="0.35">
      <c r="A1085" s="251"/>
      <c r="B1085" s="252"/>
      <c r="C1085" s="252"/>
      <c r="D1085" s="252"/>
      <c r="E1085" s="252"/>
      <c r="F1085" s="252"/>
      <c r="G1085" s="252"/>
      <c r="H1085" s="252"/>
      <c r="I1085" s="252"/>
      <c r="J1085" s="252"/>
      <c r="K1085" s="253"/>
    </row>
    <row r="1086" spans="1:11" ht="22" customHeight="1" x14ac:dyDescent="0.35">
      <c r="A1086" s="251"/>
      <c r="B1086" s="252"/>
      <c r="C1086" s="252"/>
      <c r="D1086" s="252"/>
      <c r="E1086" s="252"/>
      <c r="F1086" s="252"/>
      <c r="G1086" s="252"/>
      <c r="H1086" s="252"/>
      <c r="I1086" s="252"/>
      <c r="J1086" s="252"/>
      <c r="K1086" s="253"/>
    </row>
    <row r="1087" spans="1:11" ht="22" customHeight="1" x14ac:dyDescent="0.35">
      <c r="A1087" s="251"/>
      <c r="B1087" s="252"/>
      <c r="C1087" s="252"/>
      <c r="D1087" s="252"/>
      <c r="E1087" s="252"/>
      <c r="F1087" s="252"/>
      <c r="G1087" s="252"/>
      <c r="H1087" s="252"/>
      <c r="I1087" s="252"/>
      <c r="J1087" s="252"/>
      <c r="K1087" s="253"/>
    </row>
    <row r="1088" spans="1:11" ht="22" customHeight="1" x14ac:dyDescent="0.35">
      <c r="A1088" s="251"/>
      <c r="B1088" s="252"/>
      <c r="C1088" s="252"/>
      <c r="D1088" s="252"/>
      <c r="E1088" s="252"/>
      <c r="F1088" s="252"/>
      <c r="G1088" s="252"/>
      <c r="H1088" s="252"/>
      <c r="I1088" s="252"/>
      <c r="J1088" s="252"/>
      <c r="K1088" s="253"/>
    </row>
    <row r="1089" spans="1:11" ht="22" customHeight="1" x14ac:dyDescent="0.35">
      <c r="A1089" s="251"/>
      <c r="B1089" s="252"/>
      <c r="C1089" s="252"/>
      <c r="D1089" s="252"/>
      <c r="E1089" s="252"/>
      <c r="F1089" s="252"/>
      <c r="G1089" s="252"/>
      <c r="H1089" s="252"/>
      <c r="I1089" s="252"/>
      <c r="J1089" s="252"/>
      <c r="K1089" s="253"/>
    </row>
    <row r="1090" spans="1:11" ht="22" customHeight="1" x14ac:dyDescent="0.35">
      <c r="A1090" s="251"/>
      <c r="B1090" s="252"/>
      <c r="C1090" s="252"/>
      <c r="D1090" s="252"/>
      <c r="E1090" s="252"/>
      <c r="F1090" s="252"/>
      <c r="G1090" s="252"/>
      <c r="H1090" s="252"/>
      <c r="I1090" s="252"/>
      <c r="J1090" s="252"/>
      <c r="K1090" s="253"/>
    </row>
    <row r="1091" spans="1:11" ht="22" customHeight="1" x14ac:dyDescent="0.35">
      <c r="A1091" s="251"/>
      <c r="B1091" s="252"/>
      <c r="C1091" s="252"/>
      <c r="D1091" s="252"/>
      <c r="E1091" s="252"/>
      <c r="F1091" s="252"/>
      <c r="G1091" s="252"/>
      <c r="H1091" s="252"/>
      <c r="I1091" s="252"/>
      <c r="J1091" s="252"/>
      <c r="K1091" s="253"/>
    </row>
    <row r="1092" spans="1:11" ht="22" customHeight="1" x14ac:dyDescent="0.35">
      <c r="A1092" s="251"/>
      <c r="B1092" s="252"/>
      <c r="C1092" s="252"/>
      <c r="D1092" s="252"/>
      <c r="E1092" s="252"/>
      <c r="F1092" s="252"/>
      <c r="G1092" s="252"/>
      <c r="H1092" s="252"/>
      <c r="I1092" s="252"/>
      <c r="J1092" s="252"/>
      <c r="K1092" s="253"/>
    </row>
    <row r="1093" spans="1:11" ht="22" customHeight="1" x14ac:dyDescent="0.35">
      <c r="A1093" s="251"/>
      <c r="B1093" s="252"/>
      <c r="C1093" s="252"/>
      <c r="D1093" s="252"/>
      <c r="E1093" s="252"/>
      <c r="F1093" s="252"/>
      <c r="G1093" s="252"/>
      <c r="H1093" s="252"/>
      <c r="I1093" s="252"/>
      <c r="J1093" s="252"/>
      <c r="K1093" s="253"/>
    </row>
    <row r="1094" spans="1:11" ht="22" customHeight="1" x14ac:dyDescent="0.35">
      <c r="A1094" s="251"/>
      <c r="B1094" s="252"/>
      <c r="C1094" s="252"/>
      <c r="D1094" s="252"/>
      <c r="E1094" s="252"/>
      <c r="F1094" s="252"/>
      <c r="G1094" s="252"/>
      <c r="H1094" s="252"/>
      <c r="I1094" s="252"/>
      <c r="J1094" s="252"/>
      <c r="K1094" s="253"/>
    </row>
    <row r="1095" spans="1:11" ht="22" customHeight="1" x14ac:dyDescent="0.35">
      <c r="A1095" s="251"/>
      <c r="B1095" s="252"/>
      <c r="C1095" s="252"/>
      <c r="D1095" s="252"/>
      <c r="E1095" s="252"/>
      <c r="F1095" s="252"/>
      <c r="G1095" s="252"/>
      <c r="H1095" s="252"/>
      <c r="I1095" s="252"/>
      <c r="J1095" s="252"/>
      <c r="K1095" s="253"/>
    </row>
    <row r="1096" spans="1:11" ht="22" customHeight="1" x14ac:dyDescent="0.35">
      <c r="A1096" s="251"/>
      <c r="B1096" s="252"/>
      <c r="C1096" s="252"/>
      <c r="D1096" s="252"/>
      <c r="E1096" s="252"/>
      <c r="F1096" s="252"/>
      <c r="G1096" s="252"/>
      <c r="H1096" s="252"/>
      <c r="I1096" s="252"/>
      <c r="J1096" s="252"/>
      <c r="K1096" s="253"/>
    </row>
    <row r="1097" spans="1:11" ht="22" customHeight="1" x14ac:dyDescent="0.35">
      <c r="A1097" s="251"/>
      <c r="B1097" s="252"/>
      <c r="C1097" s="252"/>
      <c r="D1097" s="252"/>
      <c r="E1097" s="252"/>
      <c r="F1097" s="252"/>
      <c r="G1097" s="252"/>
      <c r="H1097" s="252"/>
      <c r="I1097" s="252"/>
      <c r="J1097" s="252"/>
      <c r="K1097" s="253"/>
    </row>
    <row r="1098" spans="1:11" ht="22" customHeight="1" x14ac:dyDescent="0.35">
      <c r="A1098" s="251"/>
      <c r="B1098" s="252"/>
      <c r="C1098" s="252"/>
      <c r="D1098" s="252"/>
      <c r="E1098" s="252"/>
      <c r="F1098" s="252"/>
      <c r="G1098" s="252"/>
      <c r="H1098" s="252"/>
      <c r="I1098" s="252"/>
      <c r="J1098" s="252"/>
      <c r="K1098" s="253"/>
    </row>
    <row r="1099" spans="1:11" ht="22" customHeight="1" x14ac:dyDescent="0.35">
      <c r="A1099" s="251"/>
      <c r="B1099" s="252"/>
      <c r="C1099" s="252"/>
      <c r="D1099" s="252"/>
      <c r="E1099" s="252"/>
      <c r="F1099" s="252"/>
      <c r="G1099" s="252"/>
      <c r="H1099" s="252"/>
      <c r="I1099" s="252"/>
      <c r="J1099" s="252"/>
      <c r="K1099" s="253"/>
    </row>
    <row r="1100" spans="1:11" ht="22" customHeight="1" x14ac:dyDescent="0.35">
      <c r="A1100" s="251"/>
      <c r="B1100" s="252"/>
      <c r="C1100" s="252"/>
      <c r="D1100" s="252"/>
      <c r="E1100" s="252"/>
      <c r="F1100" s="252"/>
      <c r="G1100" s="252"/>
      <c r="H1100" s="252"/>
      <c r="I1100" s="252"/>
      <c r="J1100" s="252"/>
      <c r="K1100" s="253"/>
    </row>
    <row r="1101" spans="1:11" ht="22" customHeight="1" x14ac:dyDescent="0.35">
      <c r="A1101" s="251"/>
      <c r="B1101" s="252"/>
      <c r="C1101" s="252"/>
      <c r="D1101" s="252"/>
      <c r="E1101" s="252"/>
      <c r="F1101" s="252"/>
      <c r="G1101" s="252"/>
      <c r="H1101" s="252"/>
      <c r="I1101" s="252"/>
      <c r="J1101" s="252"/>
      <c r="K1101" s="253"/>
    </row>
    <row r="1102" spans="1:11" ht="22" customHeight="1" x14ac:dyDescent="0.35">
      <c r="A1102" s="251"/>
      <c r="B1102" s="252"/>
      <c r="C1102" s="252"/>
      <c r="D1102" s="252"/>
      <c r="E1102" s="252"/>
      <c r="F1102" s="252"/>
      <c r="G1102" s="252"/>
      <c r="H1102" s="252"/>
      <c r="I1102" s="252"/>
      <c r="J1102" s="252"/>
      <c r="K1102" s="253"/>
    </row>
    <row r="1103" spans="1:11" ht="22" customHeight="1" x14ac:dyDescent="0.35">
      <c r="A1103" s="251"/>
      <c r="B1103" s="252"/>
      <c r="C1103" s="252"/>
      <c r="D1103" s="252"/>
      <c r="E1103" s="252"/>
      <c r="F1103" s="252"/>
      <c r="G1103" s="252"/>
      <c r="H1103" s="252"/>
      <c r="I1103" s="252"/>
      <c r="J1103" s="252"/>
      <c r="K1103" s="253"/>
    </row>
    <row r="1104" spans="1:11" ht="22" customHeight="1" x14ac:dyDescent="0.35">
      <c r="A1104" s="251"/>
      <c r="B1104" s="252"/>
      <c r="C1104" s="252"/>
      <c r="D1104" s="252"/>
      <c r="E1104" s="252"/>
      <c r="F1104" s="252"/>
      <c r="G1104" s="252"/>
      <c r="H1104" s="252"/>
      <c r="I1104" s="252"/>
      <c r="J1104" s="252"/>
      <c r="K1104" s="253"/>
    </row>
    <row r="1105" spans="1:11" ht="22" customHeight="1" x14ac:dyDescent="0.35">
      <c r="A1105" s="251"/>
      <c r="B1105" s="252"/>
      <c r="C1105" s="252"/>
      <c r="D1105" s="252"/>
      <c r="E1105" s="252"/>
      <c r="F1105" s="252"/>
      <c r="G1105" s="252"/>
      <c r="H1105" s="252"/>
      <c r="I1105" s="252"/>
      <c r="J1105" s="252"/>
      <c r="K1105" s="253"/>
    </row>
    <row r="1106" spans="1:11" ht="22" customHeight="1" x14ac:dyDescent="0.35">
      <c r="A1106" s="251"/>
      <c r="B1106" s="252"/>
      <c r="C1106" s="252"/>
      <c r="D1106" s="252"/>
      <c r="E1106" s="252"/>
      <c r="F1106" s="252"/>
      <c r="G1106" s="252"/>
      <c r="H1106" s="252"/>
      <c r="I1106" s="252"/>
      <c r="J1106" s="252"/>
      <c r="K1106" s="253"/>
    </row>
    <row r="1107" spans="1:11" ht="22" customHeight="1" x14ac:dyDescent="0.35">
      <c r="A1107" s="251"/>
      <c r="B1107" s="252"/>
      <c r="C1107" s="252"/>
      <c r="D1107" s="252"/>
      <c r="E1107" s="252"/>
      <c r="F1107" s="252"/>
      <c r="G1107" s="252"/>
      <c r="H1107" s="252"/>
      <c r="I1107" s="252"/>
      <c r="J1107" s="252"/>
      <c r="K1107" s="253"/>
    </row>
    <row r="1108" spans="1:11" ht="22" customHeight="1" x14ac:dyDescent="0.35">
      <c r="A1108" s="251"/>
      <c r="B1108" s="252"/>
      <c r="C1108" s="252"/>
      <c r="D1108" s="252"/>
      <c r="E1108" s="252"/>
      <c r="F1108" s="252"/>
      <c r="G1108" s="252"/>
      <c r="H1108" s="252"/>
      <c r="I1108" s="252"/>
      <c r="J1108" s="252"/>
      <c r="K1108" s="253"/>
    </row>
    <row r="1109" spans="1:11" ht="22" customHeight="1" x14ac:dyDescent="0.35">
      <c r="A1109" s="251"/>
      <c r="B1109" s="252"/>
      <c r="C1109" s="252"/>
      <c r="D1109" s="252"/>
      <c r="E1109" s="252"/>
      <c r="F1109" s="252"/>
      <c r="G1109" s="252"/>
      <c r="H1109" s="252"/>
      <c r="I1109" s="252"/>
      <c r="J1109" s="252"/>
      <c r="K1109" s="253"/>
    </row>
    <row r="1110" spans="1:11" ht="22" customHeight="1" x14ac:dyDescent="0.35">
      <c r="A1110" s="251"/>
      <c r="B1110" s="252"/>
      <c r="C1110" s="252"/>
      <c r="D1110" s="252"/>
      <c r="E1110" s="252"/>
      <c r="F1110" s="252"/>
      <c r="G1110" s="252"/>
      <c r="H1110" s="252"/>
      <c r="I1110" s="252"/>
      <c r="J1110" s="252"/>
      <c r="K1110" s="253"/>
    </row>
    <row r="1111" spans="1:11" ht="22" customHeight="1" x14ac:dyDescent="0.35">
      <c r="A1111" s="251"/>
      <c r="B1111" s="252"/>
      <c r="C1111" s="252"/>
      <c r="D1111" s="252"/>
      <c r="E1111" s="252"/>
      <c r="F1111" s="252"/>
      <c r="G1111" s="252"/>
      <c r="H1111" s="252"/>
      <c r="I1111" s="252"/>
      <c r="J1111" s="252"/>
      <c r="K1111" s="253"/>
    </row>
    <row r="1112" spans="1:11" ht="22" customHeight="1" x14ac:dyDescent="0.35">
      <c r="A1112" s="251"/>
      <c r="B1112" s="252"/>
      <c r="C1112" s="252"/>
      <c r="D1112" s="252"/>
      <c r="E1112" s="252"/>
      <c r="F1112" s="252"/>
      <c r="G1112" s="252"/>
      <c r="H1112" s="252"/>
      <c r="I1112" s="252"/>
      <c r="J1112" s="252"/>
      <c r="K1112" s="253"/>
    </row>
    <row r="1113" spans="1:11" ht="22" customHeight="1" x14ac:dyDescent="0.35">
      <c r="A1113" s="251"/>
      <c r="B1113" s="252"/>
      <c r="C1113" s="252"/>
      <c r="D1113" s="252"/>
      <c r="E1113" s="252"/>
      <c r="F1113" s="252"/>
      <c r="G1113" s="252"/>
      <c r="H1113" s="252"/>
      <c r="I1113" s="252"/>
      <c r="J1113" s="252"/>
      <c r="K1113" s="253"/>
    </row>
    <row r="1114" spans="1:11" ht="22" customHeight="1" x14ac:dyDescent="0.35">
      <c r="A1114" s="251"/>
      <c r="B1114" s="252"/>
      <c r="C1114" s="252"/>
      <c r="D1114" s="252"/>
      <c r="E1114" s="252"/>
      <c r="F1114" s="252"/>
      <c r="G1114" s="252"/>
      <c r="H1114" s="252"/>
      <c r="I1114" s="252"/>
      <c r="J1114" s="252"/>
      <c r="K1114" s="253"/>
    </row>
    <row r="1115" spans="1:11" ht="22" customHeight="1" x14ac:dyDescent="0.35">
      <c r="A1115" s="251"/>
      <c r="B1115" s="252"/>
      <c r="C1115" s="252"/>
      <c r="D1115" s="252"/>
      <c r="E1115" s="252"/>
      <c r="F1115" s="252"/>
      <c r="G1115" s="252"/>
      <c r="H1115" s="252"/>
      <c r="I1115" s="252"/>
      <c r="J1115" s="252"/>
      <c r="K1115" s="253"/>
    </row>
    <row r="1116" spans="1:11" ht="22" customHeight="1" x14ac:dyDescent="0.35">
      <c r="A1116" s="251"/>
      <c r="B1116" s="252"/>
      <c r="C1116" s="252"/>
      <c r="D1116" s="252"/>
      <c r="E1116" s="252"/>
      <c r="F1116" s="252"/>
      <c r="G1116" s="252"/>
      <c r="H1116" s="252"/>
      <c r="I1116" s="252"/>
      <c r="J1116" s="252"/>
      <c r="K1116" s="253"/>
    </row>
    <row r="1117" spans="1:11" ht="22" customHeight="1" x14ac:dyDescent="0.35">
      <c r="A1117" s="251"/>
      <c r="B1117" s="252"/>
      <c r="C1117" s="252"/>
      <c r="D1117" s="252"/>
      <c r="E1117" s="252"/>
      <c r="F1117" s="252"/>
      <c r="G1117" s="252"/>
      <c r="H1117" s="252"/>
      <c r="I1117" s="252"/>
      <c r="J1117" s="252"/>
      <c r="K1117" s="253"/>
    </row>
    <row r="1118" spans="1:11" ht="22" customHeight="1" x14ac:dyDescent="0.35">
      <c r="A1118" s="251"/>
      <c r="B1118" s="252"/>
      <c r="C1118" s="252"/>
      <c r="D1118" s="252"/>
      <c r="E1118" s="252"/>
      <c r="F1118" s="252"/>
      <c r="G1118" s="252"/>
      <c r="H1118" s="252"/>
      <c r="I1118" s="252"/>
      <c r="J1118" s="252"/>
      <c r="K1118" s="253"/>
    </row>
    <row r="1119" spans="1:11" ht="22" customHeight="1" x14ac:dyDescent="0.35">
      <c r="A1119" s="251"/>
      <c r="B1119" s="252"/>
      <c r="C1119" s="252"/>
      <c r="D1119" s="252"/>
      <c r="E1119" s="252"/>
      <c r="F1119" s="252"/>
      <c r="G1119" s="252"/>
      <c r="H1119" s="252"/>
      <c r="I1119" s="252"/>
      <c r="J1119" s="252"/>
      <c r="K1119" s="253"/>
    </row>
    <row r="1120" spans="1:11" ht="22" customHeight="1" x14ac:dyDescent="0.35">
      <c r="A1120" s="251"/>
      <c r="B1120" s="252"/>
      <c r="C1120" s="252"/>
      <c r="D1120" s="252"/>
      <c r="E1120" s="252"/>
      <c r="F1120" s="252"/>
      <c r="G1120" s="252"/>
      <c r="H1120" s="252"/>
      <c r="I1120" s="252"/>
      <c r="J1120" s="252"/>
      <c r="K1120" s="253"/>
    </row>
    <row r="1121" spans="1:11" ht="22" customHeight="1" x14ac:dyDescent="0.35">
      <c r="A1121" s="251"/>
      <c r="B1121" s="252"/>
      <c r="C1121" s="252"/>
      <c r="D1121" s="252"/>
      <c r="E1121" s="252"/>
      <c r="F1121" s="252"/>
      <c r="G1121" s="252"/>
      <c r="H1121" s="252"/>
      <c r="I1121" s="252"/>
      <c r="J1121" s="252"/>
      <c r="K1121" s="253"/>
    </row>
    <row r="1122" spans="1:11" ht="22" customHeight="1" x14ac:dyDescent="0.35">
      <c r="A1122" s="251"/>
      <c r="B1122" s="252"/>
      <c r="C1122" s="252"/>
      <c r="D1122" s="252"/>
      <c r="E1122" s="252"/>
      <c r="F1122" s="252"/>
      <c r="G1122" s="252"/>
      <c r="H1122" s="252"/>
      <c r="I1122" s="252"/>
      <c r="J1122" s="252"/>
      <c r="K1122" s="253"/>
    </row>
    <row r="1123" spans="1:11" ht="22" customHeight="1" x14ac:dyDescent="0.35">
      <c r="A1123" s="251"/>
      <c r="B1123" s="252"/>
      <c r="C1123" s="252"/>
      <c r="D1123" s="252"/>
      <c r="E1123" s="252"/>
      <c r="F1123" s="252"/>
      <c r="G1123" s="252"/>
      <c r="H1123" s="252"/>
      <c r="I1123" s="252"/>
      <c r="J1123" s="252"/>
      <c r="K1123" s="253"/>
    </row>
    <row r="1124" spans="1:11" ht="22" customHeight="1" x14ac:dyDescent="0.35">
      <c r="A1124" s="251"/>
      <c r="B1124" s="252"/>
      <c r="C1124" s="252"/>
      <c r="D1124" s="252"/>
      <c r="E1124" s="252"/>
      <c r="F1124" s="252"/>
      <c r="G1124" s="252"/>
      <c r="H1124" s="252"/>
      <c r="I1124" s="252"/>
      <c r="J1124" s="252"/>
      <c r="K1124" s="253"/>
    </row>
    <row r="1125" spans="1:11" ht="22" customHeight="1" x14ac:dyDescent="0.35">
      <c r="A1125" s="251"/>
      <c r="B1125" s="252"/>
      <c r="C1125" s="252"/>
      <c r="D1125" s="252"/>
      <c r="E1125" s="252"/>
      <c r="F1125" s="252"/>
      <c r="G1125" s="252"/>
      <c r="H1125" s="252"/>
      <c r="I1125" s="252"/>
      <c r="J1125" s="252"/>
      <c r="K1125" s="253"/>
    </row>
    <row r="1126" spans="1:11" ht="22" customHeight="1" x14ac:dyDescent="0.35">
      <c r="A1126" s="251"/>
      <c r="B1126" s="252"/>
      <c r="C1126" s="252"/>
      <c r="D1126" s="252"/>
      <c r="E1126" s="252"/>
      <c r="F1126" s="252"/>
      <c r="G1126" s="252"/>
      <c r="H1126" s="252"/>
      <c r="I1126" s="252"/>
      <c r="J1126" s="252"/>
      <c r="K1126" s="253"/>
    </row>
    <row r="1127" spans="1:11" ht="22" customHeight="1" x14ac:dyDescent="0.35">
      <c r="A1127" s="251"/>
      <c r="B1127" s="252"/>
      <c r="C1127" s="252"/>
      <c r="D1127" s="252"/>
      <c r="E1127" s="252"/>
      <c r="F1127" s="252"/>
      <c r="G1127" s="252"/>
      <c r="H1127" s="252"/>
      <c r="I1127" s="252"/>
      <c r="J1127" s="252"/>
      <c r="K1127" s="253"/>
    </row>
    <row r="1128" spans="1:11" ht="22" customHeight="1" x14ac:dyDescent="0.35">
      <c r="A1128" s="251"/>
      <c r="B1128" s="252"/>
      <c r="C1128" s="252"/>
      <c r="D1128" s="252"/>
      <c r="E1128" s="252"/>
      <c r="F1128" s="252"/>
      <c r="G1128" s="252"/>
      <c r="H1128" s="252"/>
      <c r="I1128" s="252"/>
      <c r="J1128" s="252"/>
      <c r="K1128" s="253"/>
    </row>
    <row r="1129" spans="1:11" ht="22" customHeight="1" x14ac:dyDescent="0.35">
      <c r="A1129" s="251"/>
      <c r="B1129" s="252"/>
      <c r="C1129" s="252"/>
      <c r="D1129" s="252"/>
      <c r="E1129" s="252"/>
      <c r="F1129" s="252"/>
      <c r="G1129" s="252"/>
      <c r="H1129" s="252"/>
      <c r="I1129" s="252"/>
      <c r="J1129" s="252"/>
      <c r="K1129" s="253"/>
    </row>
    <row r="1130" spans="1:11" ht="22" customHeight="1" x14ac:dyDescent="0.35">
      <c r="A1130" s="251"/>
      <c r="B1130" s="252"/>
      <c r="C1130" s="252"/>
      <c r="D1130" s="252"/>
      <c r="E1130" s="252"/>
      <c r="F1130" s="252"/>
      <c r="G1130" s="252"/>
      <c r="H1130" s="252"/>
      <c r="I1130" s="252"/>
      <c r="J1130" s="252"/>
      <c r="K1130" s="253"/>
    </row>
    <row r="1131" spans="1:11" ht="22" customHeight="1" x14ac:dyDescent="0.35">
      <c r="A1131" s="251"/>
      <c r="B1131" s="252"/>
      <c r="C1131" s="252"/>
      <c r="D1131" s="252"/>
      <c r="E1131" s="252"/>
      <c r="F1131" s="252"/>
      <c r="G1131" s="252"/>
      <c r="H1131" s="252"/>
      <c r="I1131" s="252"/>
      <c r="J1131" s="252"/>
      <c r="K1131" s="253"/>
    </row>
    <row r="1132" spans="1:11" ht="22" customHeight="1" x14ac:dyDescent="0.35">
      <c r="A1132" s="251"/>
      <c r="B1132" s="252"/>
      <c r="C1132" s="252"/>
      <c r="D1132" s="252"/>
      <c r="E1132" s="252"/>
      <c r="F1132" s="252"/>
      <c r="G1132" s="252"/>
      <c r="H1132" s="252"/>
      <c r="I1132" s="252"/>
      <c r="J1132" s="252"/>
      <c r="K1132" s="253"/>
    </row>
    <row r="1133" spans="1:11" ht="22" customHeight="1" x14ac:dyDescent="0.35">
      <c r="A1133" s="251"/>
      <c r="B1133" s="252"/>
      <c r="C1133" s="252"/>
      <c r="D1133" s="252"/>
      <c r="E1133" s="252"/>
      <c r="F1133" s="252"/>
      <c r="G1133" s="252"/>
      <c r="H1133" s="252"/>
      <c r="I1133" s="252"/>
      <c r="J1133" s="252"/>
      <c r="K1133" s="253"/>
    </row>
    <row r="1134" spans="1:11" ht="22" customHeight="1" x14ac:dyDescent="0.35">
      <c r="A1134" s="251"/>
      <c r="B1134" s="252"/>
      <c r="C1134" s="252"/>
      <c r="D1134" s="252"/>
      <c r="E1134" s="252"/>
      <c r="F1134" s="252"/>
      <c r="G1134" s="252"/>
      <c r="H1134" s="252"/>
      <c r="I1134" s="252"/>
      <c r="J1134" s="252"/>
      <c r="K1134" s="253"/>
    </row>
    <row r="1135" spans="1:11" ht="22" customHeight="1" x14ac:dyDescent="0.35">
      <c r="A1135" s="251"/>
      <c r="B1135" s="252"/>
      <c r="C1135" s="252"/>
      <c r="D1135" s="252"/>
      <c r="E1135" s="252"/>
      <c r="F1135" s="252"/>
      <c r="G1135" s="252"/>
      <c r="H1135" s="252"/>
      <c r="I1135" s="252"/>
      <c r="J1135" s="252"/>
      <c r="K1135" s="253"/>
    </row>
    <row r="1136" spans="1:11" ht="22" customHeight="1" x14ac:dyDescent="0.35">
      <c r="A1136" s="251"/>
      <c r="B1136" s="252"/>
      <c r="C1136" s="252"/>
      <c r="D1136" s="252"/>
      <c r="E1136" s="252"/>
      <c r="F1136" s="252"/>
      <c r="G1136" s="252"/>
      <c r="H1136" s="252"/>
      <c r="I1136" s="252"/>
      <c r="J1136" s="252"/>
      <c r="K1136" s="253"/>
    </row>
    <row r="1137" spans="1:11" ht="22" customHeight="1" x14ac:dyDescent="0.35">
      <c r="A1137" s="251"/>
      <c r="B1137" s="252"/>
      <c r="C1137" s="252"/>
      <c r="D1137" s="252"/>
      <c r="E1137" s="252"/>
      <c r="F1137" s="252"/>
      <c r="G1137" s="252"/>
      <c r="H1137" s="252"/>
      <c r="I1137" s="252"/>
      <c r="J1137" s="252"/>
      <c r="K1137" s="253"/>
    </row>
    <row r="1138" spans="1:11" ht="22" customHeight="1" x14ac:dyDescent="0.35">
      <c r="A1138" s="251"/>
      <c r="B1138" s="252"/>
      <c r="C1138" s="252"/>
      <c r="D1138" s="252"/>
      <c r="E1138" s="252"/>
      <c r="F1138" s="252"/>
      <c r="G1138" s="252"/>
      <c r="H1138" s="252"/>
      <c r="I1138" s="252"/>
      <c r="J1138" s="252"/>
      <c r="K1138" s="253"/>
    </row>
    <row r="1139" spans="1:11" ht="22" customHeight="1" x14ac:dyDescent="0.35">
      <c r="A1139" s="251"/>
      <c r="B1139" s="252"/>
      <c r="C1139" s="252"/>
      <c r="D1139" s="252"/>
      <c r="E1139" s="252"/>
      <c r="F1139" s="252"/>
      <c r="G1139" s="252"/>
      <c r="H1139" s="252"/>
      <c r="I1139" s="252"/>
      <c r="J1139" s="252"/>
      <c r="K1139" s="253"/>
    </row>
    <row r="1140" spans="1:11" ht="22" customHeight="1" x14ac:dyDescent="0.35">
      <c r="A1140" s="251"/>
      <c r="B1140" s="252"/>
      <c r="C1140" s="252"/>
      <c r="D1140" s="252"/>
      <c r="E1140" s="252"/>
      <c r="F1140" s="252"/>
      <c r="G1140" s="252"/>
      <c r="H1140" s="252"/>
      <c r="I1140" s="252"/>
      <c r="J1140" s="252"/>
      <c r="K1140" s="253"/>
    </row>
    <row r="1141" spans="1:11" ht="22" customHeight="1" x14ac:dyDescent="0.35">
      <c r="A1141" s="251"/>
      <c r="B1141" s="252"/>
      <c r="C1141" s="252"/>
      <c r="D1141" s="252"/>
      <c r="E1141" s="252"/>
      <c r="F1141" s="252"/>
      <c r="G1141" s="252"/>
      <c r="H1141" s="252"/>
      <c r="I1141" s="252"/>
      <c r="J1141" s="252"/>
      <c r="K1141" s="253"/>
    </row>
    <row r="1142" spans="1:11" ht="22" customHeight="1" x14ac:dyDescent="0.35">
      <c r="A1142" s="251"/>
      <c r="B1142" s="252"/>
      <c r="C1142" s="252"/>
      <c r="D1142" s="252"/>
      <c r="E1142" s="252"/>
      <c r="F1142" s="252"/>
      <c r="G1142" s="252"/>
      <c r="H1142" s="252"/>
      <c r="I1142" s="252"/>
      <c r="J1142" s="252"/>
      <c r="K1142" s="253"/>
    </row>
    <row r="1143" spans="1:11" ht="22" customHeight="1" x14ac:dyDescent="0.35">
      <c r="A1143" s="251"/>
      <c r="B1143" s="252"/>
      <c r="C1143" s="252"/>
      <c r="D1143" s="252"/>
      <c r="E1143" s="252"/>
      <c r="F1143" s="252"/>
      <c r="G1143" s="252"/>
      <c r="H1143" s="252"/>
      <c r="I1143" s="252"/>
      <c r="J1143" s="252"/>
      <c r="K1143" s="253"/>
    </row>
    <row r="1144" spans="1:11" ht="22" customHeight="1" x14ac:dyDescent="0.35">
      <c r="A1144" s="251"/>
      <c r="B1144" s="252"/>
      <c r="C1144" s="252"/>
      <c r="D1144" s="252"/>
      <c r="E1144" s="252"/>
      <c r="F1144" s="252"/>
      <c r="G1144" s="252"/>
      <c r="H1144" s="252"/>
      <c r="I1144" s="252"/>
      <c r="J1144" s="252"/>
      <c r="K1144" s="253"/>
    </row>
    <row r="1145" spans="1:11" ht="22" customHeight="1" x14ac:dyDescent="0.35">
      <c r="A1145" s="251"/>
      <c r="B1145" s="252"/>
      <c r="C1145" s="252"/>
      <c r="D1145" s="252"/>
      <c r="E1145" s="252"/>
      <c r="F1145" s="252"/>
      <c r="G1145" s="252"/>
      <c r="H1145" s="252"/>
      <c r="I1145" s="252"/>
      <c r="J1145" s="252"/>
      <c r="K1145" s="253"/>
    </row>
    <row r="1146" spans="1:11" ht="22" customHeight="1" x14ac:dyDescent="0.35">
      <c r="A1146" s="251"/>
      <c r="B1146" s="252"/>
      <c r="C1146" s="252"/>
      <c r="D1146" s="252"/>
      <c r="E1146" s="252"/>
      <c r="F1146" s="252"/>
      <c r="G1146" s="252"/>
      <c r="H1146" s="252"/>
      <c r="I1146" s="252"/>
      <c r="J1146" s="252"/>
      <c r="K1146" s="253"/>
    </row>
    <row r="1147" spans="1:11" ht="22" customHeight="1" x14ac:dyDescent="0.35">
      <c r="A1147" s="251"/>
      <c r="B1147" s="252"/>
      <c r="C1147" s="252"/>
      <c r="D1147" s="252"/>
      <c r="E1147" s="252"/>
      <c r="F1147" s="252"/>
      <c r="G1147" s="252"/>
      <c r="H1147" s="252"/>
      <c r="I1147" s="252"/>
      <c r="J1147" s="252"/>
      <c r="K1147" s="253"/>
    </row>
    <row r="1148" spans="1:11" ht="22" customHeight="1" x14ac:dyDescent="0.35">
      <c r="A1148" s="251"/>
      <c r="B1148" s="252"/>
      <c r="C1148" s="252"/>
      <c r="D1148" s="252"/>
      <c r="E1148" s="252"/>
      <c r="F1148" s="252"/>
      <c r="G1148" s="252"/>
      <c r="H1148" s="252"/>
      <c r="I1148" s="252"/>
      <c r="J1148" s="252"/>
      <c r="K1148" s="253"/>
    </row>
    <row r="1149" spans="1:11" ht="22" customHeight="1" x14ac:dyDescent="0.35">
      <c r="A1149" s="251"/>
      <c r="B1149" s="252"/>
      <c r="C1149" s="252"/>
      <c r="D1149" s="252"/>
      <c r="E1149" s="252"/>
      <c r="F1149" s="252"/>
      <c r="G1149" s="252"/>
      <c r="H1149" s="252"/>
      <c r="I1149" s="252"/>
      <c r="J1149" s="252"/>
      <c r="K1149" s="253"/>
    </row>
    <row r="1150" spans="1:11" ht="22" customHeight="1" x14ac:dyDescent="0.35">
      <c r="A1150" s="251"/>
      <c r="B1150" s="252"/>
      <c r="C1150" s="252"/>
      <c r="D1150" s="252"/>
      <c r="E1150" s="252"/>
      <c r="F1150" s="252"/>
      <c r="G1150" s="252"/>
      <c r="H1150" s="252"/>
      <c r="I1150" s="252"/>
      <c r="J1150" s="252"/>
      <c r="K1150" s="253"/>
    </row>
    <row r="1151" spans="1:11" ht="22" customHeight="1" x14ac:dyDescent="0.35">
      <c r="A1151" s="251"/>
      <c r="B1151" s="252"/>
      <c r="C1151" s="252"/>
      <c r="D1151" s="252"/>
      <c r="E1151" s="252"/>
      <c r="F1151" s="252"/>
      <c r="G1151" s="252"/>
      <c r="H1151" s="252"/>
      <c r="I1151" s="252"/>
      <c r="J1151" s="252"/>
      <c r="K1151" s="253"/>
    </row>
    <row r="1152" spans="1:11" ht="22" customHeight="1" x14ac:dyDescent="0.35">
      <c r="A1152" s="251"/>
      <c r="B1152" s="252"/>
      <c r="C1152" s="252"/>
      <c r="D1152" s="252"/>
      <c r="E1152" s="252"/>
      <c r="F1152" s="252"/>
      <c r="G1152" s="252"/>
      <c r="H1152" s="252"/>
      <c r="I1152" s="252"/>
      <c r="J1152" s="252"/>
      <c r="K1152" s="253"/>
    </row>
    <row r="1153" spans="1:11" ht="22" customHeight="1" x14ac:dyDescent="0.35">
      <c r="A1153" s="251"/>
      <c r="B1153" s="252"/>
      <c r="C1153" s="252"/>
      <c r="D1153" s="252"/>
      <c r="E1153" s="252"/>
      <c r="F1153" s="252"/>
      <c r="G1153" s="252"/>
      <c r="H1153" s="252"/>
      <c r="I1153" s="252"/>
      <c r="J1153" s="252"/>
      <c r="K1153" s="253"/>
    </row>
    <row r="1154" spans="1:11" ht="22" customHeight="1" x14ac:dyDescent="0.35">
      <c r="A1154" s="251"/>
      <c r="B1154" s="252"/>
      <c r="C1154" s="252"/>
      <c r="D1154" s="252"/>
      <c r="E1154" s="252"/>
      <c r="F1154" s="252"/>
      <c r="G1154" s="252"/>
      <c r="H1154" s="252"/>
      <c r="I1154" s="252"/>
      <c r="J1154" s="252"/>
      <c r="K1154" s="253"/>
    </row>
    <row r="1155" spans="1:11" ht="22" customHeight="1" x14ac:dyDescent="0.35">
      <c r="A1155" s="251"/>
      <c r="B1155" s="252"/>
      <c r="C1155" s="252"/>
      <c r="D1155" s="252"/>
      <c r="E1155" s="252"/>
      <c r="F1155" s="252"/>
      <c r="G1155" s="252"/>
      <c r="H1155" s="252"/>
      <c r="I1155" s="252"/>
      <c r="J1155" s="252"/>
      <c r="K1155" s="253"/>
    </row>
    <row r="1156" spans="1:11" ht="22" customHeight="1" x14ac:dyDescent="0.35">
      <c r="A1156" s="251"/>
      <c r="B1156" s="252"/>
      <c r="C1156" s="252"/>
      <c r="D1156" s="252"/>
      <c r="E1156" s="252"/>
      <c r="F1156" s="252"/>
      <c r="G1156" s="252"/>
      <c r="H1156" s="252"/>
      <c r="I1156" s="252"/>
      <c r="J1156" s="252"/>
      <c r="K1156" s="253"/>
    </row>
    <row r="1157" spans="1:11" ht="22" customHeight="1" x14ac:dyDescent="0.35">
      <c r="A1157" s="251"/>
      <c r="B1157" s="252"/>
      <c r="C1157" s="252"/>
      <c r="D1157" s="252"/>
      <c r="E1157" s="252"/>
      <c r="F1157" s="252"/>
      <c r="G1157" s="252"/>
      <c r="H1157" s="252"/>
      <c r="I1157" s="252"/>
      <c r="J1157" s="252"/>
      <c r="K1157" s="253"/>
    </row>
    <row r="1158" spans="1:11" ht="22" customHeight="1" x14ac:dyDescent="0.35">
      <c r="A1158" s="251"/>
      <c r="B1158" s="252"/>
      <c r="C1158" s="252"/>
      <c r="D1158" s="252"/>
      <c r="E1158" s="252"/>
      <c r="F1158" s="252"/>
      <c r="G1158" s="252"/>
      <c r="H1158" s="252"/>
      <c r="I1158" s="252"/>
      <c r="J1158" s="252"/>
      <c r="K1158" s="253"/>
    </row>
    <row r="1159" spans="1:11" ht="22" customHeight="1" x14ac:dyDescent="0.35">
      <c r="A1159" s="251"/>
      <c r="B1159" s="252"/>
      <c r="C1159" s="252"/>
      <c r="D1159" s="252"/>
      <c r="E1159" s="252"/>
      <c r="F1159" s="252"/>
      <c r="G1159" s="252"/>
      <c r="H1159" s="252"/>
      <c r="I1159" s="252"/>
      <c r="J1159" s="252"/>
      <c r="K1159" s="253"/>
    </row>
    <row r="1160" spans="1:11" ht="22" customHeight="1" x14ac:dyDescent="0.35">
      <c r="A1160" s="251"/>
      <c r="B1160" s="252"/>
      <c r="C1160" s="252"/>
      <c r="D1160" s="252"/>
      <c r="E1160" s="252"/>
      <c r="F1160" s="252"/>
      <c r="G1160" s="252"/>
      <c r="H1160" s="252"/>
      <c r="I1160" s="252"/>
      <c r="J1160" s="252"/>
      <c r="K1160" s="253"/>
    </row>
    <row r="1161" spans="1:11" ht="22" customHeight="1" x14ac:dyDescent="0.35">
      <c r="A1161" s="251"/>
      <c r="B1161" s="252"/>
      <c r="C1161" s="252"/>
      <c r="D1161" s="252"/>
      <c r="E1161" s="252"/>
      <c r="F1161" s="252"/>
      <c r="G1161" s="252"/>
      <c r="H1161" s="252"/>
      <c r="I1161" s="252"/>
      <c r="J1161" s="252"/>
      <c r="K1161" s="253"/>
    </row>
    <row r="1162" spans="1:11" ht="22" customHeight="1" x14ac:dyDescent="0.35">
      <c r="A1162" s="251"/>
      <c r="B1162" s="252"/>
      <c r="C1162" s="252"/>
      <c r="D1162" s="252"/>
      <c r="E1162" s="252"/>
      <c r="F1162" s="252"/>
      <c r="G1162" s="252"/>
      <c r="H1162" s="252"/>
      <c r="I1162" s="252"/>
      <c r="J1162" s="252"/>
      <c r="K1162" s="253"/>
    </row>
    <row r="1163" spans="1:11" ht="22" customHeight="1" x14ac:dyDescent="0.35">
      <c r="A1163" s="251"/>
      <c r="B1163" s="252"/>
      <c r="C1163" s="252"/>
      <c r="D1163" s="252"/>
      <c r="E1163" s="252"/>
      <c r="F1163" s="252"/>
      <c r="G1163" s="252"/>
      <c r="H1163" s="252"/>
      <c r="I1163" s="252"/>
      <c r="J1163" s="252"/>
      <c r="K1163" s="253"/>
    </row>
    <row r="1164" spans="1:11" ht="22" customHeight="1" x14ac:dyDescent="0.35">
      <c r="A1164" s="251"/>
      <c r="B1164" s="252"/>
      <c r="C1164" s="252"/>
      <c r="D1164" s="252"/>
      <c r="E1164" s="252"/>
      <c r="F1164" s="252"/>
      <c r="G1164" s="252"/>
      <c r="H1164" s="252"/>
      <c r="I1164" s="252"/>
      <c r="J1164" s="252"/>
      <c r="K1164" s="253"/>
    </row>
    <row r="1165" spans="1:11" ht="22" customHeight="1" x14ac:dyDescent="0.35">
      <c r="A1165" s="251"/>
      <c r="B1165" s="252"/>
      <c r="C1165" s="252"/>
      <c r="D1165" s="252"/>
      <c r="E1165" s="252"/>
      <c r="F1165" s="252"/>
      <c r="G1165" s="252"/>
      <c r="H1165" s="252"/>
      <c r="I1165" s="252"/>
      <c r="J1165" s="252"/>
      <c r="K1165" s="253"/>
    </row>
    <row r="1166" spans="1:11" ht="22" customHeight="1" x14ac:dyDescent="0.35">
      <c r="A1166" s="251"/>
      <c r="B1166" s="252"/>
      <c r="C1166" s="252"/>
      <c r="D1166" s="252"/>
      <c r="E1166" s="252"/>
      <c r="F1166" s="252"/>
      <c r="G1166" s="252"/>
      <c r="H1166" s="252"/>
      <c r="I1166" s="252"/>
      <c r="J1166" s="252"/>
      <c r="K1166" s="253"/>
    </row>
    <row r="1167" spans="1:11" ht="22" customHeight="1" x14ac:dyDescent="0.35">
      <c r="A1167" s="251"/>
      <c r="B1167" s="252"/>
      <c r="C1167" s="252"/>
      <c r="D1167" s="252"/>
      <c r="E1167" s="252"/>
      <c r="F1167" s="252"/>
      <c r="G1167" s="252"/>
      <c r="H1167" s="252"/>
      <c r="I1167" s="252"/>
      <c r="J1167" s="252"/>
      <c r="K1167" s="253"/>
    </row>
    <row r="1168" spans="1:11" ht="22" customHeight="1" x14ac:dyDescent="0.35">
      <c r="A1168" s="251"/>
      <c r="B1168" s="252"/>
      <c r="C1168" s="252"/>
      <c r="D1168" s="252"/>
      <c r="E1168" s="252"/>
      <c r="F1168" s="252"/>
      <c r="G1168" s="252"/>
      <c r="H1168" s="252"/>
      <c r="I1168" s="252"/>
      <c r="J1168" s="252"/>
      <c r="K1168" s="253"/>
    </row>
    <row r="1169" spans="1:11" ht="22" customHeight="1" x14ac:dyDescent="0.35">
      <c r="A1169" s="251"/>
      <c r="B1169" s="252"/>
      <c r="C1169" s="252"/>
      <c r="D1169" s="252"/>
      <c r="E1169" s="252"/>
      <c r="F1169" s="252"/>
      <c r="G1169" s="252"/>
      <c r="H1169" s="252"/>
      <c r="I1169" s="252"/>
      <c r="J1169" s="252"/>
      <c r="K1169" s="253"/>
    </row>
    <row r="1170" spans="1:11" ht="22" customHeight="1" x14ac:dyDescent="0.35">
      <c r="A1170" s="251"/>
      <c r="B1170" s="252"/>
      <c r="C1170" s="252"/>
      <c r="D1170" s="252"/>
      <c r="E1170" s="252"/>
      <c r="F1170" s="252"/>
      <c r="G1170" s="252"/>
      <c r="H1170" s="252"/>
      <c r="I1170" s="252"/>
      <c r="J1170" s="252"/>
      <c r="K1170" s="253"/>
    </row>
    <row r="1171" spans="1:11" ht="22" customHeight="1" x14ac:dyDescent="0.35">
      <c r="A1171" s="251"/>
      <c r="B1171" s="252"/>
      <c r="C1171" s="252"/>
      <c r="D1171" s="252"/>
      <c r="E1171" s="252"/>
      <c r="F1171" s="252"/>
      <c r="G1171" s="252"/>
      <c r="H1171" s="252"/>
      <c r="I1171" s="252"/>
      <c r="J1171" s="252"/>
      <c r="K1171" s="253"/>
    </row>
    <row r="1172" spans="1:11" ht="22" customHeight="1" x14ac:dyDescent="0.35">
      <c r="A1172" s="251"/>
      <c r="B1172" s="252"/>
      <c r="C1172" s="252"/>
      <c r="D1172" s="252"/>
      <c r="E1172" s="252"/>
      <c r="F1172" s="252"/>
      <c r="G1172" s="252"/>
      <c r="H1172" s="252"/>
      <c r="I1172" s="252"/>
      <c r="J1172" s="252"/>
      <c r="K1172" s="253"/>
    </row>
    <row r="1173" spans="1:11" ht="22" customHeight="1" x14ac:dyDescent="0.35">
      <c r="A1173" s="251"/>
      <c r="B1173" s="252"/>
      <c r="C1173" s="252"/>
      <c r="D1173" s="252"/>
      <c r="E1173" s="252"/>
      <c r="F1173" s="252"/>
      <c r="G1173" s="252"/>
      <c r="H1173" s="252"/>
      <c r="I1173" s="252"/>
      <c r="J1173" s="252"/>
      <c r="K1173" s="253"/>
    </row>
    <row r="1174" spans="1:11" ht="22" customHeight="1" x14ac:dyDescent="0.35">
      <c r="A1174" s="251"/>
      <c r="B1174" s="252"/>
      <c r="C1174" s="252"/>
      <c r="D1174" s="252"/>
      <c r="E1174" s="252"/>
      <c r="F1174" s="252"/>
      <c r="G1174" s="252"/>
      <c r="H1174" s="252"/>
      <c r="I1174" s="252"/>
      <c r="J1174" s="252"/>
      <c r="K1174" s="253"/>
    </row>
    <row r="1175" spans="1:11" ht="22" customHeight="1" x14ac:dyDescent="0.35">
      <c r="A1175" s="251"/>
      <c r="B1175" s="252"/>
      <c r="C1175" s="252"/>
      <c r="D1175" s="252"/>
      <c r="E1175" s="252"/>
      <c r="F1175" s="252"/>
      <c r="G1175" s="252"/>
      <c r="H1175" s="252"/>
      <c r="I1175" s="252"/>
      <c r="J1175" s="252"/>
      <c r="K1175" s="253"/>
    </row>
    <row r="1176" spans="1:11" ht="22" customHeight="1" x14ac:dyDescent="0.35">
      <c r="A1176" s="251"/>
      <c r="B1176" s="252"/>
      <c r="C1176" s="252"/>
      <c r="D1176" s="252"/>
      <c r="E1176" s="252"/>
      <c r="F1176" s="252"/>
      <c r="G1176" s="252"/>
      <c r="H1176" s="252"/>
      <c r="I1176" s="252"/>
      <c r="J1176" s="252"/>
      <c r="K1176" s="253"/>
    </row>
    <row r="1177" spans="1:11" ht="22" customHeight="1" x14ac:dyDescent="0.35">
      <c r="A1177" s="251"/>
      <c r="B1177" s="252"/>
      <c r="C1177" s="252"/>
      <c r="D1177" s="252"/>
      <c r="E1177" s="252"/>
      <c r="F1177" s="252"/>
      <c r="G1177" s="252"/>
      <c r="H1177" s="252"/>
      <c r="I1177" s="252"/>
      <c r="J1177" s="252"/>
      <c r="K1177" s="253"/>
    </row>
    <row r="1178" spans="1:11" ht="22" customHeight="1" x14ac:dyDescent="0.35">
      <c r="A1178" s="251"/>
      <c r="B1178" s="252"/>
      <c r="C1178" s="252"/>
      <c r="D1178" s="252"/>
      <c r="E1178" s="252"/>
      <c r="F1178" s="252"/>
      <c r="G1178" s="252"/>
      <c r="H1178" s="252"/>
      <c r="I1178" s="252"/>
      <c r="J1178" s="252"/>
      <c r="K1178" s="253"/>
    </row>
    <row r="1179" spans="1:11" ht="22" customHeight="1" x14ac:dyDescent="0.35">
      <c r="A1179" s="251"/>
      <c r="B1179" s="252"/>
      <c r="C1179" s="252"/>
      <c r="D1179" s="252"/>
      <c r="E1179" s="252"/>
      <c r="F1179" s="252"/>
      <c r="G1179" s="252"/>
      <c r="H1179" s="252"/>
      <c r="I1179" s="252"/>
      <c r="J1179" s="252"/>
      <c r="K1179" s="253"/>
    </row>
    <row r="1180" spans="1:11" ht="22" customHeight="1" x14ac:dyDescent="0.35">
      <c r="A1180" s="251"/>
      <c r="B1180" s="252"/>
      <c r="C1180" s="252"/>
      <c r="D1180" s="252"/>
      <c r="E1180" s="252"/>
      <c r="F1180" s="252"/>
      <c r="G1180" s="252"/>
      <c r="H1180" s="252"/>
      <c r="I1180" s="252"/>
      <c r="J1180" s="252"/>
      <c r="K1180" s="253"/>
    </row>
    <row r="1181" spans="1:11" ht="22" customHeight="1" x14ac:dyDescent="0.35">
      <c r="A1181" s="251"/>
      <c r="B1181" s="252"/>
      <c r="C1181" s="252"/>
      <c r="D1181" s="252"/>
      <c r="E1181" s="252"/>
      <c r="F1181" s="252"/>
      <c r="G1181" s="252"/>
      <c r="H1181" s="252"/>
      <c r="I1181" s="252"/>
      <c r="J1181" s="252"/>
      <c r="K1181" s="253"/>
    </row>
    <row r="1182" spans="1:11" ht="22" customHeight="1" x14ac:dyDescent="0.35">
      <c r="A1182" s="251"/>
      <c r="B1182" s="252"/>
      <c r="C1182" s="252"/>
      <c r="D1182" s="252"/>
      <c r="E1182" s="252"/>
      <c r="F1182" s="252"/>
      <c r="G1182" s="252"/>
      <c r="H1182" s="252"/>
      <c r="I1182" s="252"/>
      <c r="J1182" s="252"/>
      <c r="K1182" s="253"/>
    </row>
    <row r="1183" spans="1:11" ht="22" customHeight="1" x14ac:dyDescent="0.35">
      <c r="A1183" s="251"/>
      <c r="B1183" s="252"/>
      <c r="C1183" s="252"/>
      <c r="D1183" s="252"/>
      <c r="E1183" s="252"/>
      <c r="F1183" s="252"/>
      <c r="G1183" s="252"/>
      <c r="H1183" s="252"/>
      <c r="I1183" s="252"/>
      <c r="J1183" s="252"/>
      <c r="K1183" s="253"/>
    </row>
    <row r="1184" spans="1:11" ht="22" customHeight="1" x14ac:dyDescent="0.35">
      <c r="A1184" s="251"/>
      <c r="B1184" s="252"/>
      <c r="C1184" s="252"/>
      <c r="D1184" s="252"/>
      <c r="E1184" s="252"/>
      <c r="F1184" s="252"/>
      <c r="G1184" s="252"/>
      <c r="H1184" s="252"/>
      <c r="I1184" s="252"/>
      <c r="J1184" s="252"/>
      <c r="K1184" s="253"/>
    </row>
    <row r="1185" spans="1:11" ht="22" customHeight="1" x14ac:dyDescent="0.35">
      <c r="A1185" s="251"/>
      <c r="B1185" s="252"/>
      <c r="C1185" s="252"/>
      <c r="D1185" s="252"/>
      <c r="E1185" s="252"/>
      <c r="F1185" s="252"/>
      <c r="G1185" s="252"/>
      <c r="H1185" s="252"/>
      <c r="I1185" s="252"/>
      <c r="J1185" s="252"/>
      <c r="K1185" s="253"/>
    </row>
    <row r="1186" spans="1:11" ht="22" customHeight="1" x14ac:dyDescent="0.35">
      <c r="A1186" s="251"/>
      <c r="B1186" s="252"/>
      <c r="C1186" s="252"/>
      <c r="D1186" s="252"/>
      <c r="E1186" s="252"/>
      <c r="F1186" s="252"/>
      <c r="G1186" s="252"/>
      <c r="H1186" s="252"/>
      <c r="I1186" s="252"/>
      <c r="J1186" s="252"/>
      <c r="K1186" s="253"/>
    </row>
    <row r="1187" spans="1:11" ht="22" customHeight="1" x14ac:dyDescent="0.35">
      <c r="A1187" s="251"/>
      <c r="B1187" s="252"/>
      <c r="C1187" s="252"/>
      <c r="D1187" s="252"/>
      <c r="E1187" s="252"/>
      <c r="F1187" s="252"/>
      <c r="G1187" s="252"/>
      <c r="H1187" s="252"/>
      <c r="I1187" s="252"/>
      <c r="J1187" s="252"/>
      <c r="K1187" s="253"/>
    </row>
    <row r="1188" spans="1:11" ht="22" customHeight="1" x14ac:dyDescent="0.35">
      <c r="A1188" s="251"/>
      <c r="B1188" s="252"/>
      <c r="C1188" s="252"/>
      <c r="D1188" s="252"/>
      <c r="E1188" s="252"/>
      <c r="F1188" s="252"/>
      <c r="G1188" s="252"/>
      <c r="H1188" s="252"/>
      <c r="I1188" s="252"/>
      <c r="J1188" s="252"/>
      <c r="K1188" s="253"/>
    </row>
    <row r="1189" spans="1:11" ht="22" customHeight="1" x14ac:dyDescent="0.35">
      <c r="A1189" s="251"/>
      <c r="B1189" s="252"/>
      <c r="C1189" s="252"/>
      <c r="D1189" s="252"/>
      <c r="E1189" s="252"/>
      <c r="F1189" s="252"/>
      <c r="G1189" s="252"/>
      <c r="H1189" s="252"/>
      <c r="I1189" s="252"/>
      <c r="J1189" s="252"/>
      <c r="K1189" s="253"/>
    </row>
    <row r="1190" spans="1:11" ht="22" customHeight="1" x14ac:dyDescent="0.35">
      <c r="A1190" s="251"/>
      <c r="B1190" s="252"/>
      <c r="C1190" s="252"/>
      <c r="D1190" s="252"/>
      <c r="E1190" s="252"/>
      <c r="F1190" s="252"/>
      <c r="G1190" s="252"/>
      <c r="H1190" s="252"/>
      <c r="I1190" s="252"/>
      <c r="J1190" s="252"/>
      <c r="K1190" s="253"/>
    </row>
    <row r="1191" spans="1:11" ht="22" customHeight="1" x14ac:dyDescent="0.35">
      <c r="A1191" s="251"/>
      <c r="B1191" s="252"/>
      <c r="C1191" s="252"/>
      <c r="D1191" s="252"/>
      <c r="E1191" s="252"/>
      <c r="F1191" s="252"/>
      <c r="G1191" s="252"/>
      <c r="H1191" s="252"/>
      <c r="I1191" s="252"/>
      <c r="J1191" s="252"/>
      <c r="K1191" s="253"/>
    </row>
    <row r="1192" spans="1:11" ht="22" customHeight="1" x14ac:dyDescent="0.35">
      <c r="A1192" s="251"/>
      <c r="B1192" s="252"/>
      <c r="C1192" s="252"/>
      <c r="D1192" s="252"/>
      <c r="E1192" s="252"/>
      <c r="F1192" s="252"/>
      <c r="G1192" s="252"/>
      <c r="H1192" s="252"/>
      <c r="I1192" s="252"/>
      <c r="J1192" s="252"/>
      <c r="K1192" s="253"/>
    </row>
    <row r="1193" spans="1:11" ht="22" customHeight="1" x14ac:dyDescent="0.35">
      <c r="A1193" s="251"/>
      <c r="B1193" s="252"/>
      <c r="C1193" s="252"/>
      <c r="D1193" s="252"/>
      <c r="E1193" s="252"/>
      <c r="F1193" s="252"/>
      <c r="G1193" s="252"/>
      <c r="H1193" s="252"/>
      <c r="I1193" s="252"/>
      <c r="J1193" s="252"/>
      <c r="K1193" s="253"/>
    </row>
    <row r="1194" spans="1:11" ht="22" customHeight="1" x14ac:dyDescent="0.35">
      <c r="A1194" s="251"/>
      <c r="B1194" s="252"/>
      <c r="C1194" s="252"/>
      <c r="D1194" s="252"/>
      <c r="E1194" s="252"/>
      <c r="F1194" s="252"/>
      <c r="G1194" s="252"/>
      <c r="H1194" s="252"/>
      <c r="I1194" s="252"/>
      <c r="J1194" s="252"/>
      <c r="K1194" s="253"/>
    </row>
    <row r="1195" spans="1:11" ht="22" customHeight="1" x14ac:dyDescent="0.35">
      <c r="A1195" s="251"/>
      <c r="B1195" s="252"/>
      <c r="C1195" s="252"/>
      <c r="D1195" s="252"/>
      <c r="E1195" s="252"/>
      <c r="F1195" s="252"/>
      <c r="G1195" s="252"/>
      <c r="H1195" s="252"/>
      <c r="I1195" s="252"/>
      <c r="J1195" s="252"/>
      <c r="K1195" s="253"/>
    </row>
    <row r="1196" spans="1:11" ht="22" customHeight="1" x14ac:dyDescent="0.35">
      <c r="A1196" s="251"/>
      <c r="B1196" s="252"/>
      <c r="C1196" s="252"/>
      <c r="D1196" s="252"/>
      <c r="E1196" s="252"/>
      <c r="F1196" s="252"/>
      <c r="G1196" s="252"/>
      <c r="H1196" s="252"/>
      <c r="I1196" s="252"/>
      <c r="J1196" s="252"/>
      <c r="K1196" s="253"/>
    </row>
    <row r="1197" spans="1:11" ht="22" customHeight="1" x14ac:dyDescent="0.35">
      <c r="A1197" s="251"/>
      <c r="B1197" s="252"/>
      <c r="C1197" s="252"/>
      <c r="D1197" s="252"/>
      <c r="E1197" s="252"/>
      <c r="F1197" s="252"/>
      <c r="G1197" s="252"/>
      <c r="H1197" s="252"/>
      <c r="I1197" s="252"/>
      <c r="J1197" s="252"/>
      <c r="K1197" s="253"/>
    </row>
    <row r="1198" spans="1:11" ht="22" customHeight="1" x14ac:dyDescent="0.35">
      <c r="A1198" s="251"/>
      <c r="B1198" s="252"/>
      <c r="C1198" s="252"/>
      <c r="D1198" s="252"/>
      <c r="E1198" s="252"/>
      <c r="F1198" s="252"/>
      <c r="G1198" s="252"/>
      <c r="H1198" s="252"/>
      <c r="I1198" s="252"/>
      <c r="J1198" s="252"/>
      <c r="K1198" s="253"/>
    </row>
    <row r="1199" spans="1:11" ht="22" customHeight="1" x14ac:dyDescent="0.35">
      <c r="A1199" s="251"/>
      <c r="B1199" s="252"/>
      <c r="C1199" s="252"/>
      <c r="D1199" s="252"/>
      <c r="E1199" s="252"/>
      <c r="F1199" s="252"/>
      <c r="G1199" s="252"/>
      <c r="H1199" s="252"/>
      <c r="I1199" s="252"/>
      <c r="J1199" s="252"/>
      <c r="K1199" s="253"/>
    </row>
    <row r="1200" spans="1:11" ht="22" customHeight="1" x14ac:dyDescent="0.35">
      <c r="A1200" s="251"/>
      <c r="B1200" s="252"/>
      <c r="C1200" s="252"/>
      <c r="D1200" s="252"/>
      <c r="E1200" s="252"/>
      <c r="F1200" s="252"/>
      <c r="G1200" s="252"/>
      <c r="H1200" s="252"/>
      <c r="I1200" s="252"/>
      <c r="J1200" s="252"/>
      <c r="K1200" s="253"/>
    </row>
    <row r="1201" spans="1:11" ht="22" customHeight="1" x14ac:dyDescent="0.35">
      <c r="A1201" s="251"/>
      <c r="B1201" s="252"/>
      <c r="C1201" s="252"/>
      <c r="D1201" s="252"/>
      <c r="E1201" s="252"/>
      <c r="F1201" s="252"/>
      <c r="G1201" s="252"/>
      <c r="H1201" s="252"/>
      <c r="I1201" s="252"/>
      <c r="J1201" s="252"/>
      <c r="K1201" s="253"/>
    </row>
    <row r="1202" spans="1:11" ht="22" customHeight="1" x14ac:dyDescent="0.35">
      <c r="A1202" s="251"/>
      <c r="B1202" s="252"/>
      <c r="C1202" s="252"/>
      <c r="D1202" s="252"/>
      <c r="E1202" s="252"/>
      <c r="F1202" s="252"/>
      <c r="G1202" s="252"/>
      <c r="H1202" s="252"/>
      <c r="I1202" s="252"/>
      <c r="J1202" s="252"/>
      <c r="K1202" s="253"/>
    </row>
    <row r="1203" spans="1:11" ht="22" customHeight="1" x14ac:dyDescent="0.35">
      <c r="A1203" s="251"/>
      <c r="B1203" s="252"/>
      <c r="C1203" s="252"/>
      <c r="D1203" s="252"/>
      <c r="E1203" s="252"/>
      <c r="F1203" s="252"/>
      <c r="G1203" s="252"/>
      <c r="H1203" s="252"/>
      <c r="I1203" s="252"/>
      <c r="J1203" s="252"/>
      <c r="K1203" s="253"/>
    </row>
    <row r="1204" spans="1:11" ht="22" customHeight="1" x14ac:dyDescent="0.35">
      <c r="A1204" s="251"/>
      <c r="B1204" s="252"/>
      <c r="C1204" s="252"/>
      <c r="D1204" s="252"/>
      <c r="E1204" s="252"/>
      <c r="F1204" s="252"/>
      <c r="G1204" s="252"/>
      <c r="H1204" s="252"/>
      <c r="I1204" s="252"/>
      <c r="J1204" s="252"/>
      <c r="K1204" s="253"/>
    </row>
    <row r="1205" spans="1:11" ht="22" customHeight="1" x14ac:dyDescent="0.35">
      <c r="A1205" s="251"/>
      <c r="B1205" s="252"/>
      <c r="C1205" s="252"/>
      <c r="D1205" s="252"/>
      <c r="E1205" s="252"/>
      <c r="F1205" s="252"/>
      <c r="G1205" s="252"/>
      <c r="H1205" s="252"/>
      <c r="I1205" s="252"/>
      <c r="J1205" s="252"/>
      <c r="K1205" s="253"/>
    </row>
    <row r="1206" spans="1:11" ht="22" customHeight="1" x14ac:dyDescent="0.35">
      <c r="A1206" s="251"/>
      <c r="B1206" s="252"/>
      <c r="C1206" s="252"/>
      <c r="D1206" s="252"/>
      <c r="E1206" s="252"/>
      <c r="F1206" s="252"/>
      <c r="G1206" s="252"/>
      <c r="H1206" s="252"/>
      <c r="I1206" s="252"/>
      <c r="J1206" s="252"/>
      <c r="K1206" s="253"/>
    </row>
    <row r="1207" spans="1:11" ht="22" customHeight="1" x14ac:dyDescent="0.35">
      <c r="A1207" s="251"/>
      <c r="B1207" s="252"/>
      <c r="C1207" s="252"/>
      <c r="D1207" s="252"/>
      <c r="E1207" s="252"/>
      <c r="F1207" s="252"/>
      <c r="G1207" s="252"/>
      <c r="H1207" s="252"/>
      <c r="I1207" s="252"/>
      <c r="J1207" s="252"/>
      <c r="K1207" s="253"/>
    </row>
    <row r="1208" spans="1:11" ht="22" customHeight="1" x14ac:dyDescent="0.35">
      <c r="A1208" s="251"/>
      <c r="B1208" s="252"/>
      <c r="C1208" s="252"/>
      <c r="D1208" s="252"/>
      <c r="E1208" s="252"/>
      <c r="F1208" s="252"/>
      <c r="G1208" s="252"/>
      <c r="H1208" s="252"/>
      <c r="I1208" s="252"/>
      <c r="J1208" s="252"/>
      <c r="K1208" s="253"/>
    </row>
    <row r="1209" spans="1:11" ht="22" customHeight="1" x14ac:dyDescent="0.35">
      <c r="A1209" s="251"/>
      <c r="B1209" s="252"/>
      <c r="C1209" s="252"/>
      <c r="D1209" s="252"/>
      <c r="E1209" s="252"/>
      <c r="F1209" s="252"/>
      <c r="G1209" s="252"/>
      <c r="H1209" s="252"/>
      <c r="I1209" s="252"/>
      <c r="J1209" s="252"/>
      <c r="K1209" s="253"/>
    </row>
    <row r="1210" spans="1:11" ht="22" customHeight="1" x14ac:dyDescent="0.35">
      <c r="A1210" s="251"/>
      <c r="B1210" s="252"/>
      <c r="C1210" s="252"/>
      <c r="D1210" s="252"/>
      <c r="E1210" s="252"/>
      <c r="F1210" s="252"/>
      <c r="G1210" s="252"/>
      <c r="H1210" s="252"/>
      <c r="I1210" s="252"/>
      <c r="J1210" s="252"/>
      <c r="K1210" s="253"/>
    </row>
    <row r="1211" spans="1:11" ht="22" customHeight="1" x14ac:dyDescent="0.35">
      <c r="A1211" s="251"/>
      <c r="B1211" s="252"/>
      <c r="C1211" s="252"/>
      <c r="D1211" s="252"/>
      <c r="E1211" s="252"/>
      <c r="F1211" s="252"/>
      <c r="G1211" s="252"/>
      <c r="H1211" s="252"/>
      <c r="I1211" s="252"/>
      <c r="J1211" s="252"/>
      <c r="K1211" s="253"/>
    </row>
    <row r="1212" spans="1:11" ht="22" customHeight="1" x14ac:dyDescent="0.35">
      <c r="A1212" s="251"/>
      <c r="B1212" s="252"/>
      <c r="C1212" s="252"/>
      <c r="D1212" s="252"/>
      <c r="E1212" s="252"/>
      <c r="F1212" s="252"/>
      <c r="G1212" s="252"/>
      <c r="H1212" s="252"/>
      <c r="I1212" s="252"/>
      <c r="J1212" s="252"/>
      <c r="K1212" s="253"/>
    </row>
    <row r="1213" spans="1:11" ht="22" customHeight="1" x14ac:dyDescent="0.35">
      <c r="A1213" s="251"/>
      <c r="B1213" s="252"/>
      <c r="C1213" s="252"/>
      <c r="D1213" s="252"/>
      <c r="E1213" s="252"/>
      <c r="F1213" s="252"/>
      <c r="G1213" s="252"/>
      <c r="H1213" s="252"/>
      <c r="I1213" s="252"/>
      <c r="J1213" s="252"/>
      <c r="K1213" s="253"/>
    </row>
    <row r="1214" spans="1:11" ht="22" customHeight="1" x14ac:dyDescent="0.35">
      <c r="A1214" s="251"/>
      <c r="B1214" s="252"/>
      <c r="C1214" s="252"/>
      <c r="D1214" s="252"/>
      <c r="E1214" s="252"/>
      <c r="F1214" s="252"/>
      <c r="G1214" s="252"/>
      <c r="H1214" s="252"/>
      <c r="I1214" s="252"/>
      <c r="J1214" s="252"/>
      <c r="K1214" s="253"/>
    </row>
    <row r="1215" spans="1:11" ht="22" customHeight="1" x14ac:dyDescent="0.35">
      <c r="A1215" s="251"/>
      <c r="B1215" s="252"/>
      <c r="C1215" s="252"/>
      <c r="D1215" s="252"/>
      <c r="E1215" s="252"/>
      <c r="F1215" s="252"/>
      <c r="G1215" s="252"/>
      <c r="H1215" s="252"/>
      <c r="I1215" s="252"/>
      <c r="J1215" s="252"/>
      <c r="K1215" s="253"/>
    </row>
    <row r="1216" spans="1:11" ht="22" customHeight="1" x14ac:dyDescent="0.35">
      <c r="A1216" s="251"/>
      <c r="B1216" s="252"/>
      <c r="C1216" s="252"/>
      <c r="D1216" s="252"/>
      <c r="E1216" s="252"/>
      <c r="F1216" s="252"/>
      <c r="G1216" s="252"/>
      <c r="H1216" s="252"/>
      <c r="I1216" s="252"/>
      <c r="J1216" s="252"/>
      <c r="K1216" s="253"/>
    </row>
    <row r="1217" spans="1:11" ht="22" customHeight="1" x14ac:dyDescent="0.35">
      <c r="A1217" s="251"/>
      <c r="B1217" s="252"/>
      <c r="C1217" s="252"/>
      <c r="D1217" s="252"/>
      <c r="E1217" s="252"/>
      <c r="F1217" s="252"/>
      <c r="G1217" s="252"/>
      <c r="H1217" s="252"/>
      <c r="I1217" s="252"/>
      <c r="J1217" s="252"/>
      <c r="K1217" s="253"/>
    </row>
    <row r="1218" spans="1:11" ht="22" customHeight="1" x14ac:dyDescent="0.35">
      <c r="A1218" s="251"/>
      <c r="B1218" s="252"/>
      <c r="C1218" s="252"/>
      <c r="D1218" s="252"/>
      <c r="E1218" s="252"/>
      <c r="F1218" s="252"/>
      <c r="G1218" s="252"/>
      <c r="H1218" s="252"/>
      <c r="I1218" s="252"/>
      <c r="J1218" s="252"/>
      <c r="K1218" s="253"/>
    </row>
    <row r="1219" spans="1:11" ht="22" customHeight="1" x14ac:dyDescent="0.35">
      <c r="A1219" s="251"/>
      <c r="B1219" s="252"/>
      <c r="C1219" s="252"/>
      <c r="D1219" s="252"/>
      <c r="E1219" s="252"/>
      <c r="F1219" s="252"/>
      <c r="G1219" s="252"/>
      <c r="H1219" s="252"/>
      <c r="I1219" s="252"/>
      <c r="J1219" s="252"/>
      <c r="K1219" s="253"/>
    </row>
    <row r="1220" spans="1:11" ht="22" customHeight="1" x14ac:dyDescent="0.35">
      <c r="A1220" s="251"/>
      <c r="B1220" s="252"/>
      <c r="C1220" s="252"/>
      <c r="D1220" s="252"/>
      <c r="E1220" s="252"/>
      <c r="F1220" s="252"/>
      <c r="G1220" s="252"/>
      <c r="H1220" s="252"/>
      <c r="I1220" s="252"/>
      <c r="J1220" s="252"/>
      <c r="K1220" s="253"/>
    </row>
    <row r="1221" spans="1:11" ht="22" customHeight="1" x14ac:dyDescent="0.35">
      <c r="A1221" s="251"/>
      <c r="B1221" s="252"/>
      <c r="C1221" s="252"/>
      <c r="D1221" s="252"/>
      <c r="E1221" s="252"/>
      <c r="F1221" s="252"/>
      <c r="G1221" s="252"/>
      <c r="H1221" s="252"/>
      <c r="I1221" s="252"/>
      <c r="J1221" s="252"/>
      <c r="K1221" s="253"/>
    </row>
    <row r="1222" spans="1:11" ht="22" customHeight="1" x14ac:dyDescent="0.35">
      <c r="A1222" s="251"/>
      <c r="B1222" s="252"/>
      <c r="C1222" s="252"/>
      <c r="D1222" s="252"/>
      <c r="E1222" s="252"/>
      <c r="F1222" s="252"/>
      <c r="G1222" s="252"/>
      <c r="H1222" s="252"/>
      <c r="I1222" s="252"/>
      <c r="J1222" s="252"/>
      <c r="K1222" s="253"/>
    </row>
    <row r="1223" spans="1:11" ht="22" customHeight="1" x14ac:dyDescent="0.35">
      <c r="A1223" s="251"/>
      <c r="B1223" s="252"/>
      <c r="C1223" s="252"/>
      <c r="D1223" s="252"/>
      <c r="E1223" s="252"/>
      <c r="F1223" s="252"/>
      <c r="G1223" s="252"/>
      <c r="H1223" s="252"/>
      <c r="I1223" s="252"/>
      <c r="J1223" s="252"/>
      <c r="K1223" s="253"/>
    </row>
    <row r="1224" spans="1:11" ht="22" customHeight="1" x14ac:dyDescent="0.35">
      <c r="A1224" s="251"/>
      <c r="B1224" s="252"/>
      <c r="C1224" s="252"/>
      <c r="D1224" s="252"/>
      <c r="E1224" s="252"/>
      <c r="F1224" s="252"/>
      <c r="G1224" s="252"/>
      <c r="H1224" s="252"/>
      <c r="I1224" s="252"/>
      <c r="J1224" s="252"/>
      <c r="K1224" s="253"/>
    </row>
    <row r="1225" spans="1:11" ht="22" customHeight="1" x14ac:dyDescent="0.35">
      <c r="A1225" s="251"/>
      <c r="B1225" s="252"/>
      <c r="C1225" s="252"/>
      <c r="D1225" s="252"/>
      <c r="E1225" s="252"/>
      <c r="F1225" s="252"/>
      <c r="G1225" s="252"/>
      <c r="H1225" s="252"/>
      <c r="I1225" s="252"/>
      <c r="J1225" s="252"/>
      <c r="K1225" s="253"/>
    </row>
    <row r="1226" spans="1:11" ht="22" customHeight="1" x14ac:dyDescent="0.35">
      <c r="A1226" s="251"/>
      <c r="B1226" s="252"/>
      <c r="C1226" s="252"/>
      <c r="D1226" s="252"/>
      <c r="E1226" s="252"/>
      <c r="F1226" s="252"/>
      <c r="G1226" s="252"/>
      <c r="H1226" s="252"/>
      <c r="I1226" s="252"/>
      <c r="J1226" s="252"/>
      <c r="K1226" s="253"/>
    </row>
    <row r="1227" spans="1:11" ht="22" customHeight="1" x14ac:dyDescent="0.35">
      <c r="A1227" s="251"/>
      <c r="B1227" s="252"/>
      <c r="C1227" s="252"/>
      <c r="D1227" s="252"/>
      <c r="E1227" s="252"/>
      <c r="F1227" s="252"/>
      <c r="G1227" s="252"/>
      <c r="H1227" s="252"/>
      <c r="I1227" s="252"/>
      <c r="J1227" s="252"/>
      <c r="K1227" s="253"/>
    </row>
    <row r="1228" spans="1:11" ht="22" customHeight="1" x14ac:dyDescent="0.35">
      <c r="A1228" s="251"/>
      <c r="B1228" s="252"/>
      <c r="C1228" s="252"/>
      <c r="D1228" s="252"/>
      <c r="E1228" s="252"/>
      <c r="F1228" s="252"/>
      <c r="G1228" s="252"/>
      <c r="H1228" s="252"/>
      <c r="I1228" s="252"/>
      <c r="J1228" s="252"/>
      <c r="K1228" s="253"/>
    </row>
    <row r="1229" spans="1:11" ht="22" customHeight="1" x14ac:dyDescent="0.35">
      <c r="A1229" s="251"/>
      <c r="B1229" s="252"/>
      <c r="C1229" s="252"/>
      <c r="D1229" s="252"/>
      <c r="E1229" s="252"/>
      <c r="F1229" s="252"/>
      <c r="G1229" s="252"/>
      <c r="H1229" s="252"/>
      <c r="I1229" s="252"/>
      <c r="J1229" s="252"/>
      <c r="K1229" s="253"/>
    </row>
    <row r="1230" spans="1:11" ht="22" customHeight="1" x14ac:dyDescent="0.35">
      <c r="A1230" s="251"/>
      <c r="B1230" s="252"/>
      <c r="C1230" s="252"/>
      <c r="D1230" s="252"/>
      <c r="E1230" s="252"/>
      <c r="F1230" s="252"/>
      <c r="G1230" s="252"/>
      <c r="H1230" s="252"/>
      <c r="I1230" s="252"/>
      <c r="J1230" s="252"/>
      <c r="K1230" s="253"/>
    </row>
    <row r="1231" spans="1:11" ht="22" customHeight="1" x14ac:dyDescent="0.35">
      <c r="A1231" s="251"/>
      <c r="B1231" s="252"/>
      <c r="C1231" s="252"/>
      <c r="D1231" s="252"/>
      <c r="E1231" s="252"/>
      <c r="F1231" s="252"/>
      <c r="G1231" s="252"/>
      <c r="H1231" s="252"/>
      <c r="I1231" s="252"/>
      <c r="J1231" s="252"/>
      <c r="K1231" s="253"/>
    </row>
    <row r="1232" spans="1:11" ht="22" customHeight="1" x14ac:dyDescent="0.35">
      <c r="A1232" s="251"/>
      <c r="B1232" s="252"/>
      <c r="C1232" s="252"/>
      <c r="D1232" s="252"/>
      <c r="E1232" s="252"/>
      <c r="F1232" s="252"/>
      <c r="G1232" s="252"/>
      <c r="H1232" s="252"/>
      <c r="I1232" s="252"/>
      <c r="J1232" s="252"/>
      <c r="K1232" s="253"/>
    </row>
    <row r="1233" spans="1:11" ht="22" customHeight="1" x14ac:dyDescent="0.35">
      <c r="A1233" s="251"/>
      <c r="B1233" s="252"/>
      <c r="C1233" s="252"/>
      <c r="D1233" s="252"/>
      <c r="E1233" s="252"/>
      <c r="F1233" s="252"/>
      <c r="G1233" s="252"/>
      <c r="H1233" s="252"/>
      <c r="I1233" s="252"/>
      <c r="J1233" s="252"/>
      <c r="K1233" s="253"/>
    </row>
    <row r="1234" spans="1:11" ht="22" customHeight="1" x14ac:dyDescent="0.35">
      <c r="A1234" s="251"/>
      <c r="B1234" s="252"/>
      <c r="C1234" s="252"/>
      <c r="D1234" s="252"/>
      <c r="E1234" s="252"/>
      <c r="F1234" s="252"/>
      <c r="G1234" s="252"/>
      <c r="H1234" s="252"/>
      <c r="I1234" s="252"/>
      <c r="J1234" s="252"/>
      <c r="K1234" s="253"/>
    </row>
    <row r="1235" spans="1:11" ht="22" customHeight="1" x14ac:dyDescent="0.35">
      <c r="A1235" s="251"/>
      <c r="B1235" s="252"/>
      <c r="C1235" s="252"/>
      <c r="D1235" s="252"/>
      <c r="E1235" s="252"/>
      <c r="F1235" s="252"/>
      <c r="G1235" s="252"/>
      <c r="H1235" s="252"/>
      <c r="I1235" s="252"/>
      <c r="J1235" s="252"/>
      <c r="K1235" s="253"/>
    </row>
    <row r="1236" spans="1:11" ht="22" customHeight="1" x14ac:dyDescent="0.35">
      <c r="A1236" s="251"/>
      <c r="B1236" s="252"/>
      <c r="C1236" s="252"/>
      <c r="D1236" s="252"/>
      <c r="E1236" s="252"/>
      <c r="F1236" s="252"/>
      <c r="G1236" s="252"/>
      <c r="H1236" s="252"/>
      <c r="I1236" s="252"/>
      <c r="J1236" s="252"/>
      <c r="K1236" s="253"/>
    </row>
    <row r="1237" spans="1:11" ht="22" customHeight="1" x14ac:dyDescent="0.35">
      <c r="A1237" s="251"/>
      <c r="B1237" s="252"/>
      <c r="C1237" s="252"/>
      <c r="D1237" s="252"/>
      <c r="E1237" s="252"/>
      <c r="F1237" s="252"/>
      <c r="G1237" s="252"/>
      <c r="H1237" s="252"/>
      <c r="I1237" s="252"/>
      <c r="J1237" s="252"/>
      <c r="K1237" s="253"/>
    </row>
    <row r="1238" spans="1:11" ht="22" customHeight="1" x14ac:dyDescent="0.35">
      <c r="A1238" s="251"/>
      <c r="B1238" s="252"/>
      <c r="C1238" s="252"/>
      <c r="D1238" s="252"/>
      <c r="E1238" s="252"/>
      <c r="F1238" s="252"/>
      <c r="G1238" s="252"/>
      <c r="H1238" s="252"/>
      <c r="I1238" s="252"/>
      <c r="J1238" s="252"/>
      <c r="K1238" s="253"/>
    </row>
    <row r="1239" spans="1:11" ht="22" customHeight="1" x14ac:dyDescent="0.35">
      <c r="A1239" s="251"/>
      <c r="B1239" s="252"/>
      <c r="C1239" s="252"/>
      <c r="D1239" s="252"/>
      <c r="E1239" s="252"/>
      <c r="F1239" s="252"/>
      <c r="G1239" s="252"/>
      <c r="H1239" s="252"/>
      <c r="I1239" s="252"/>
      <c r="J1239" s="252"/>
      <c r="K1239" s="253"/>
    </row>
    <row r="1240" spans="1:11" ht="22" customHeight="1" x14ac:dyDescent="0.35">
      <c r="A1240" s="251"/>
      <c r="B1240" s="252"/>
      <c r="C1240" s="252"/>
      <c r="D1240" s="252"/>
      <c r="E1240" s="252"/>
      <c r="F1240" s="252"/>
      <c r="G1240" s="252"/>
      <c r="H1240" s="252"/>
      <c r="I1240" s="252"/>
      <c r="J1240" s="252"/>
      <c r="K1240" s="253"/>
    </row>
    <row r="1241" spans="1:11" ht="22" customHeight="1" x14ac:dyDescent="0.35">
      <c r="A1241" s="251"/>
      <c r="B1241" s="252"/>
      <c r="C1241" s="252"/>
      <c r="D1241" s="252"/>
      <c r="E1241" s="252"/>
      <c r="F1241" s="252"/>
      <c r="G1241" s="252"/>
      <c r="H1241" s="252"/>
      <c r="I1241" s="252"/>
      <c r="J1241" s="252"/>
      <c r="K1241" s="253"/>
    </row>
    <row r="1242" spans="1:11" ht="22" customHeight="1" x14ac:dyDescent="0.35">
      <c r="A1242" s="251"/>
      <c r="B1242" s="252"/>
      <c r="C1242" s="252"/>
      <c r="D1242" s="252"/>
      <c r="E1242" s="252"/>
      <c r="F1242" s="252"/>
      <c r="G1242" s="252"/>
      <c r="H1242" s="252"/>
      <c r="I1242" s="252"/>
      <c r="J1242" s="252"/>
      <c r="K1242" s="253"/>
    </row>
    <row r="1243" spans="1:11" ht="22" customHeight="1" x14ac:dyDescent="0.35">
      <c r="A1243" s="251"/>
      <c r="B1243" s="252"/>
      <c r="C1243" s="252"/>
      <c r="D1243" s="252"/>
      <c r="E1243" s="252"/>
      <c r="F1243" s="252"/>
      <c r="G1243" s="252"/>
      <c r="H1243" s="252"/>
      <c r="I1243" s="252"/>
      <c r="J1243" s="252"/>
      <c r="K1243" s="253"/>
    </row>
    <row r="1244" spans="1:11" ht="22" customHeight="1" x14ac:dyDescent="0.35">
      <c r="A1244" s="251"/>
      <c r="B1244" s="252"/>
      <c r="C1244" s="252"/>
      <c r="D1244" s="252"/>
      <c r="E1244" s="252"/>
      <c r="F1244" s="252"/>
      <c r="G1244" s="252"/>
      <c r="H1244" s="252"/>
      <c r="I1244" s="252"/>
      <c r="J1244" s="252"/>
      <c r="K1244" s="253"/>
    </row>
    <row r="1245" spans="1:11" ht="22" customHeight="1" x14ac:dyDescent="0.35">
      <c r="A1245" s="251"/>
      <c r="B1245" s="252"/>
      <c r="C1245" s="252"/>
      <c r="D1245" s="252"/>
      <c r="E1245" s="252"/>
      <c r="F1245" s="252"/>
      <c r="G1245" s="252"/>
      <c r="H1245" s="252"/>
      <c r="I1245" s="252"/>
      <c r="J1245" s="252"/>
      <c r="K1245" s="253"/>
    </row>
    <row r="1246" spans="1:11" ht="22" customHeight="1" x14ac:dyDescent="0.35">
      <c r="A1246" s="251"/>
      <c r="B1246" s="252"/>
      <c r="C1246" s="252"/>
      <c r="D1246" s="252"/>
      <c r="E1246" s="252"/>
      <c r="F1246" s="252"/>
      <c r="G1246" s="252"/>
      <c r="H1246" s="252"/>
      <c r="I1246" s="252"/>
      <c r="J1246" s="252"/>
      <c r="K1246" s="253"/>
    </row>
    <row r="1247" spans="1:11" ht="22" customHeight="1" x14ac:dyDescent="0.35">
      <c r="A1247" s="251"/>
      <c r="B1247" s="252"/>
      <c r="C1247" s="252"/>
      <c r="D1247" s="252"/>
      <c r="E1247" s="252"/>
      <c r="F1247" s="252"/>
      <c r="G1247" s="252"/>
      <c r="H1247" s="252"/>
      <c r="I1247" s="252"/>
      <c r="J1247" s="252"/>
      <c r="K1247" s="253"/>
    </row>
    <row r="1248" spans="1:11" ht="22" customHeight="1" x14ac:dyDescent="0.35">
      <c r="A1248" s="251"/>
      <c r="B1248" s="252"/>
      <c r="C1248" s="252"/>
      <c r="D1248" s="252"/>
      <c r="E1248" s="252"/>
      <c r="F1248" s="252"/>
      <c r="G1248" s="252"/>
      <c r="H1248" s="252"/>
      <c r="I1248" s="252"/>
      <c r="J1248" s="252"/>
      <c r="K1248" s="253"/>
    </row>
    <row r="1249" spans="1:11" ht="22" customHeight="1" x14ac:dyDescent="0.35">
      <c r="A1249" s="251"/>
      <c r="B1249" s="252"/>
      <c r="C1249" s="252"/>
      <c r="D1249" s="252"/>
      <c r="E1249" s="252"/>
      <c r="F1249" s="252"/>
      <c r="G1249" s="252"/>
      <c r="H1249" s="252"/>
      <c r="I1249" s="252"/>
      <c r="J1249" s="252"/>
      <c r="K1249" s="253"/>
    </row>
    <row r="1250" spans="1:11" ht="22" customHeight="1" x14ac:dyDescent="0.35">
      <c r="A1250" s="251"/>
      <c r="B1250" s="252"/>
      <c r="C1250" s="252"/>
      <c r="D1250" s="252"/>
      <c r="E1250" s="252"/>
      <c r="F1250" s="252"/>
      <c r="G1250" s="252"/>
      <c r="H1250" s="252"/>
      <c r="I1250" s="252"/>
      <c r="J1250" s="252"/>
      <c r="K1250" s="253"/>
    </row>
    <row r="1251" spans="1:11" ht="22" customHeight="1" x14ac:dyDescent="0.35">
      <c r="A1251" s="251"/>
      <c r="B1251" s="252"/>
      <c r="C1251" s="252"/>
      <c r="D1251" s="252"/>
      <c r="E1251" s="252"/>
      <c r="F1251" s="252"/>
      <c r="G1251" s="252"/>
      <c r="H1251" s="252"/>
      <c r="I1251" s="252"/>
      <c r="J1251" s="252"/>
      <c r="K1251" s="253"/>
    </row>
    <row r="1252" spans="1:11" ht="22" customHeight="1" x14ac:dyDescent="0.35">
      <c r="A1252" s="251"/>
      <c r="B1252" s="252"/>
      <c r="C1252" s="252"/>
      <c r="D1252" s="252"/>
      <c r="E1252" s="252"/>
      <c r="F1252" s="252"/>
      <c r="G1252" s="252"/>
      <c r="H1252" s="252"/>
      <c r="I1252" s="252"/>
      <c r="J1252" s="252"/>
      <c r="K1252" s="253"/>
    </row>
    <row r="1253" spans="1:11" ht="22" customHeight="1" x14ac:dyDescent="0.35">
      <c r="A1253" s="251"/>
      <c r="B1253" s="252"/>
      <c r="C1253" s="252"/>
      <c r="D1253" s="252"/>
      <c r="E1253" s="252"/>
      <c r="F1253" s="252"/>
      <c r="G1253" s="252"/>
      <c r="H1253" s="252"/>
      <c r="I1253" s="252"/>
      <c r="J1253" s="252"/>
      <c r="K1253" s="253"/>
    </row>
    <row r="1254" spans="1:11" ht="22" customHeight="1" x14ac:dyDescent="0.35">
      <c r="A1254" s="251"/>
      <c r="B1254" s="252"/>
      <c r="C1254" s="252"/>
      <c r="D1254" s="252"/>
      <c r="E1254" s="252"/>
      <c r="F1254" s="252"/>
      <c r="G1254" s="252"/>
      <c r="H1254" s="252"/>
      <c r="I1254" s="252"/>
      <c r="J1254" s="252"/>
      <c r="K1254" s="253"/>
    </row>
    <row r="1255" spans="1:11" ht="22" customHeight="1" x14ac:dyDescent="0.35">
      <c r="A1255" s="251"/>
      <c r="B1255" s="252"/>
      <c r="C1255" s="252"/>
      <c r="D1255" s="252"/>
      <c r="E1255" s="252"/>
      <c r="F1255" s="252"/>
      <c r="G1255" s="252"/>
      <c r="H1255" s="252"/>
      <c r="I1255" s="252"/>
      <c r="J1255" s="252"/>
      <c r="K1255" s="253"/>
    </row>
    <row r="1256" spans="1:11" ht="22" customHeight="1" x14ac:dyDescent="0.35">
      <c r="A1256" s="251"/>
      <c r="B1256" s="252"/>
      <c r="C1256" s="252"/>
      <c r="D1256" s="252"/>
      <c r="E1256" s="252"/>
      <c r="F1256" s="252"/>
      <c r="G1256" s="252"/>
      <c r="H1256" s="252"/>
      <c r="I1256" s="252"/>
      <c r="J1256" s="252"/>
      <c r="K1256" s="253"/>
    </row>
    <row r="1257" spans="1:11" ht="22" customHeight="1" x14ac:dyDescent="0.35">
      <c r="A1257" s="251"/>
      <c r="B1257" s="252"/>
      <c r="C1257" s="252"/>
      <c r="D1257" s="252"/>
      <c r="E1257" s="252"/>
      <c r="F1257" s="252"/>
      <c r="G1257" s="252"/>
      <c r="H1257" s="252"/>
      <c r="I1257" s="252"/>
      <c r="J1257" s="252"/>
      <c r="K1257" s="253"/>
    </row>
    <row r="1258" spans="1:11" ht="22" customHeight="1" x14ac:dyDescent="0.35">
      <c r="A1258" s="251"/>
      <c r="B1258" s="252"/>
      <c r="C1258" s="252"/>
      <c r="D1258" s="252"/>
      <c r="E1258" s="252"/>
      <c r="F1258" s="252"/>
      <c r="G1258" s="252"/>
      <c r="H1258" s="252"/>
      <c r="I1258" s="252"/>
      <c r="J1258" s="252"/>
      <c r="K1258" s="253"/>
    </row>
    <row r="1259" spans="1:11" ht="22" customHeight="1" x14ac:dyDescent="0.35">
      <c r="A1259" s="251"/>
      <c r="B1259" s="252"/>
      <c r="C1259" s="252"/>
      <c r="D1259" s="252"/>
      <c r="E1259" s="252"/>
      <c r="F1259" s="252"/>
      <c r="G1259" s="252"/>
      <c r="H1259" s="252"/>
      <c r="I1259" s="252"/>
      <c r="J1259" s="252"/>
      <c r="K1259" s="253"/>
    </row>
    <row r="1260" spans="1:11" ht="22" customHeight="1" x14ac:dyDescent="0.35">
      <c r="A1260" s="251"/>
      <c r="B1260" s="252"/>
      <c r="C1260" s="252"/>
      <c r="D1260" s="252"/>
      <c r="E1260" s="252"/>
      <c r="F1260" s="252"/>
      <c r="G1260" s="252"/>
      <c r="H1260" s="252"/>
      <c r="I1260" s="252"/>
      <c r="J1260" s="252"/>
      <c r="K1260" s="253"/>
    </row>
    <row r="1261" spans="1:11" ht="22" customHeight="1" x14ac:dyDescent="0.35">
      <c r="A1261" s="251"/>
      <c r="B1261" s="252"/>
      <c r="C1261" s="252"/>
      <c r="D1261" s="252"/>
      <c r="E1261" s="252"/>
      <c r="F1261" s="252"/>
      <c r="G1261" s="252"/>
      <c r="H1261" s="252"/>
      <c r="I1261" s="252"/>
      <c r="J1261" s="252"/>
      <c r="K1261" s="253"/>
    </row>
    <row r="1262" spans="1:11" ht="22" customHeight="1" x14ac:dyDescent="0.35">
      <c r="A1262" s="251"/>
      <c r="B1262" s="252"/>
      <c r="C1262" s="252"/>
      <c r="D1262" s="252"/>
      <c r="E1262" s="252"/>
      <c r="F1262" s="252"/>
      <c r="G1262" s="252"/>
      <c r="H1262" s="252"/>
      <c r="I1262" s="252"/>
      <c r="J1262" s="252"/>
      <c r="K1262" s="253"/>
    </row>
    <row r="1263" spans="1:11" ht="22" customHeight="1" x14ac:dyDescent="0.35">
      <c r="A1263" s="251"/>
      <c r="B1263" s="252"/>
      <c r="C1263" s="252"/>
      <c r="D1263" s="252"/>
      <c r="E1263" s="252"/>
      <c r="F1263" s="252"/>
      <c r="G1263" s="252"/>
      <c r="H1263" s="252"/>
      <c r="I1263" s="252"/>
      <c r="J1263" s="252"/>
      <c r="K1263" s="253"/>
    </row>
    <row r="1264" spans="1:11" ht="22" customHeight="1" x14ac:dyDescent="0.35">
      <c r="A1264" s="251"/>
      <c r="B1264" s="252"/>
      <c r="C1264" s="252"/>
      <c r="D1264" s="252"/>
      <c r="E1264" s="252"/>
      <c r="F1264" s="252"/>
      <c r="G1264" s="252"/>
      <c r="H1264" s="252"/>
      <c r="I1264" s="252"/>
      <c r="J1264" s="252"/>
      <c r="K1264" s="253"/>
    </row>
    <row r="1265" spans="1:11" ht="22" customHeight="1" x14ac:dyDescent="0.35">
      <c r="A1265" s="251"/>
      <c r="B1265" s="252"/>
      <c r="C1265" s="252"/>
      <c r="D1265" s="252"/>
      <c r="E1265" s="252"/>
      <c r="F1265" s="252"/>
      <c r="G1265" s="252"/>
      <c r="H1265" s="252"/>
      <c r="I1265" s="252"/>
      <c r="J1265" s="252"/>
      <c r="K1265" s="253"/>
    </row>
    <row r="1266" spans="1:11" ht="22" customHeight="1" x14ac:dyDescent="0.35">
      <c r="A1266" s="251"/>
      <c r="B1266" s="252"/>
      <c r="C1266" s="252"/>
      <c r="D1266" s="252"/>
      <c r="E1266" s="252"/>
      <c r="F1266" s="252"/>
      <c r="G1266" s="252"/>
      <c r="H1266" s="252"/>
      <c r="I1266" s="252"/>
      <c r="J1266" s="252"/>
      <c r="K1266" s="253"/>
    </row>
    <row r="1267" spans="1:11" ht="22" customHeight="1" x14ac:dyDescent="0.35">
      <c r="A1267" s="251"/>
      <c r="B1267" s="252"/>
      <c r="C1267" s="252"/>
      <c r="D1267" s="252"/>
      <c r="E1267" s="252"/>
      <c r="F1267" s="252"/>
      <c r="G1267" s="252"/>
      <c r="H1267" s="252"/>
      <c r="I1267" s="252"/>
      <c r="J1267" s="252"/>
      <c r="K1267" s="253"/>
    </row>
    <row r="1268" spans="1:11" ht="22" customHeight="1" x14ac:dyDescent="0.35">
      <c r="A1268" s="251"/>
      <c r="B1268" s="252"/>
      <c r="C1268" s="252"/>
      <c r="D1268" s="252"/>
      <c r="E1268" s="252"/>
      <c r="F1268" s="252"/>
      <c r="G1268" s="252"/>
      <c r="H1268" s="252"/>
      <c r="I1268" s="252"/>
      <c r="J1268" s="252"/>
      <c r="K1268" s="253"/>
    </row>
    <row r="1269" spans="1:11" ht="22" customHeight="1" x14ac:dyDescent="0.35">
      <c r="A1269" s="251"/>
      <c r="B1269" s="252"/>
      <c r="C1269" s="252"/>
      <c r="D1269" s="252"/>
      <c r="E1269" s="252"/>
      <c r="F1269" s="252"/>
      <c r="G1269" s="252"/>
      <c r="H1269" s="252"/>
      <c r="I1269" s="252"/>
      <c r="J1269" s="252"/>
      <c r="K1269" s="253"/>
    </row>
    <row r="1270" spans="1:11" ht="22" customHeight="1" x14ac:dyDescent="0.35">
      <c r="A1270" s="251"/>
      <c r="B1270" s="252"/>
      <c r="C1270" s="252"/>
      <c r="D1270" s="252"/>
      <c r="E1270" s="252"/>
      <c r="F1270" s="252"/>
      <c r="G1270" s="252"/>
      <c r="H1270" s="252"/>
      <c r="I1270" s="252"/>
      <c r="J1270" s="252"/>
      <c r="K1270" s="253"/>
    </row>
    <row r="1271" spans="1:11" ht="22" customHeight="1" x14ac:dyDescent="0.35">
      <c r="A1271" s="251"/>
      <c r="B1271" s="252"/>
      <c r="C1271" s="252"/>
      <c r="D1271" s="252"/>
      <c r="E1271" s="252"/>
      <c r="F1271" s="252"/>
      <c r="G1271" s="252"/>
      <c r="H1271" s="252"/>
      <c r="I1271" s="252"/>
      <c r="J1271" s="252"/>
      <c r="K1271" s="253"/>
    </row>
    <row r="1272" spans="1:11" ht="22" customHeight="1" x14ac:dyDescent="0.35">
      <c r="A1272" s="251"/>
      <c r="B1272" s="252"/>
      <c r="C1272" s="252"/>
      <c r="D1272" s="252"/>
      <c r="E1272" s="252"/>
      <c r="F1272" s="252"/>
      <c r="G1272" s="252"/>
      <c r="H1272" s="252"/>
      <c r="I1272" s="252"/>
      <c r="J1272" s="252"/>
      <c r="K1272" s="253"/>
    </row>
    <row r="1273" spans="1:11" ht="22" customHeight="1" x14ac:dyDescent="0.35">
      <c r="A1273" s="251"/>
      <c r="B1273" s="252"/>
      <c r="C1273" s="252"/>
      <c r="D1273" s="252"/>
      <c r="E1273" s="252"/>
      <c r="F1273" s="252"/>
      <c r="G1273" s="252"/>
      <c r="H1273" s="252"/>
      <c r="I1273" s="252"/>
      <c r="J1273" s="252"/>
      <c r="K1273" s="253"/>
    </row>
    <row r="1274" spans="1:11" ht="22" customHeight="1" x14ac:dyDescent="0.35">
      <c r="A1274" s="251"/>
      <c r="B1274" s="252"/>
      <c r="C1274" s="252"/>
      <c r="D1274" s="252"/>
      <c r="E1274" s="252"/>
      <c r="F1274" s="252"/>
      <c r="G1274" s="252"/>
      <c r="H1274" s="252"/>
      <c r="I1274" s="252"/>
      <c r="J1274" s="252"/>
      <c r="K1274" s="253"/>
    </row>
    <row r="1275" spans="1:11" ht="22" customHeight="1" x14ac:dyDescent="0.35">
      <c r="A1275" s="251"/>
      <c r="B1275" s="252"/>
      <c r="C1275" s="252"/>
      <c r="D1275" s="252"/>
      <c r="E1275" s="252"/>
      <c r="F1275" s="252"/>
      <c r="G1275" s="252"/>
      <c r="H1275" s="252"/>
      <c r="I1275" s="252"/>
      <c r="J1275" s="252"/>
      <c r="K1275" s="253"/>
    </row>
    <row r="1276" spans="1:11" ht="22" customHeight="1" x14ac:dyDescent="0.35">
      <c r="A1276" s="251"/>
      <c r="B1276" s="252"/>
      <c r="C1276" s="252"/>
      <c r="D1276" s="252"/>
      <c r="E1276" s="252"/>
      <c r="F1276" s="252"/>
      <c r="G1276" s="252"/>
      <c r="H1276" s="252"/>
      <c r="I1276" s="252"/>
      <c r="J1276" s="252"/>
      <c r="K1276" s="253"/>
    </row>
    <row r="1277" spans="1:11" ht="22" customHeight="1" x14ac:dyDescent="0.35">
      <c r="A1277" s="251"/>
      <c r="B1277" s="252"/>
      <c r="C1277" s="252"/>
      <c r="D1277" s="252"/>
      <c r="E1277" s="252"/>
      <c r="F1277" s="252"/>
      <c r="G1277" s="252"/>
      <c r="H1277" s="252"/>
      <c r="I1277" s="252"/>
      <c r="J1277" s="252"/>
      <c r="K1277" s="253"/>
    </row>
    <row r="1278" spans="1:11" ht="22" customHeight="1" x14ac:dyDescent="0.35">
      <c r="A1278" s="251"/>
      <c r="B1278" s="252"/>
      <c r="C1278" s="252"/>
      <c r="D1278" s="252"/>
      <c r="E1278" s="252"/>
      <c r="F1278" s="252"/>
      <c r="G1278" s="252"/>
      <c r="H1278" s="252"/>
      <c r="I1278" s="252"/>
      <c r="J1278" s="252"/>
      <c r="K1278" s="253"/>
    </row>
    <row r="1279" spans="1:11" ht="22" customHeight="1" x14ac:dyDescent="0.35">
      <c r="A1279" s="251"/>
      <c r="B1279" s="252"/>
      <c r="C1279" s="252"/>
      <c r="D1279" s="252"/>
      <c r="E1279" s="252"/>
      <c r="F1279" s="252"/>
      <c r="G1279" s="252"/>
      <c r="H1279" s="252"/>
      <c r="I1279" s="252"/>
      <c r="J1279" s="252"/>
      <c r="K1279" s="253"/>
    </row>
    <row r="1280" spans="1:11" ht="22" customHeight="1" x14ac:dyDescent="0.35">
      <c r="A1280" s="251"/>
      <c r="B1280" s="252"/>
      <c r="C1280" s="252"/>
      <c r="D1280" s="252"/>
      <c r="E1280" s="252"/>
      <c r="F1280" s="252"/>
      <c r="G1280" s="252"/>
      <c r="H1280" s="252"/>
      <c r="I1280" s="252"/>
      <c r="J1280" s="252"/>
      <c r="K1280" s="253"/>
    </row>
    <row r="1281" spans="1:11" ht="22" customHeight="1" x14ac:dyDescent="0.35">
      <c r="A1281" s="251"/>
      <c r="B1281" s="252"/>
      <c r="C1281" s="252"/>
      <c r="D1281" s="252"/>
      <c r="E1281" s="252"/>
      <c r="F1281" s="252"/>
      <c r="G1281" s="252"/>
      <c r="H1281" s="252"/>
      <c r="I1281" s="252"/>
      <c r="J1281" s="252"/>
      <c r="K1281" s="253"/>
    </row>
    <row r="1282" spans="1:11" ht="22" customHeight="1" x14ac:dyDescent="0.35">
      <c r="A1282" s="251"/>
      <c r="B1282" s="252"/>
      <c r="C1282" s="252"/>
      <c r="D1282" s="252"/>
      <c r="E1282" s="252"/>
      <c r="F1282" s="252"/>
      <c r="G1282" s="252"/>
      <c r="H1282" s="252"/>
      <c r="I1282" s="252"/>
      <c r="J1282" s="252"/>
      <c r="K1282" s="253"/>
    </row>
    <row r="1283" spans="1:11" ht="22" customHeight="1" x14ac:dyDescent="0.35">
      <c r="A1283" s="251"/>
      <c r="B1283" s="252"/>
      <c r="C1283" s="252"/>
      <c r="D1283" s="252"/>
      <c r="E1283" s="252"/>
      <c r="F1283" s="252"/>
      <c r="G1283" s="252"/>
      <c r="H1283" s="252"/>
      <c r="I1283" s="252"/>
      <c r="J1283" s="252"/>
      <c r="K1283" s="253"/>
    </row>
    <row r="1284" spans="1:11" ht="22" customHeight="1" x14ac:dyDescent="0.35">
      <c r="A1284" s="251"/>
      <c r="B1284" s="252"/>
      <c r="C1284" s="252"/>
      <c r="D1284" s="252"/>
      <c r="E1284" s="252"/>
      <c r="F1284" s="252"/>
      <c r="G1284" s="252"/>
      <c r="H1284" s="252"/>
      <c r="I1284" s="252"/>
      <c r="J1284" s="252"/>
      <c r="K1284" s="253"/>
    </row>
    <row r="1285" spans="1:11" ht="22" customHeight="1" x14ac:dyDescent="0.35">
      <c r="A1285" s="251"/>
      <c r="B1285" s="252"/>
      <c r="C1285" s="252"/>
      <c r="D1285" s="252"/>
      <c r="E1285" s="252"/>
      <c r="F1285" s="252"/>
      <c r="G1285" s="252"/>
      <c r="H1285" s="252"/>
      <c r="I1285" s="252"/>
      <c r="J1285" s="252"/>
      <c r="K1285" s="253"/>
    </row>
    <row r="1286" spans="1:11" ht="22" customHeight="1" x14ac:dyDescent="0.35">
      <c r="A1286" s="251"/>
      <c r="B1286" s="252"/>
      <c r="C1286" s="252"/>
      <c r="D1286" s="252"/>
      <c r="E1286" s="252"/>
      <c r="F1286" s="252"/>
      <c r="G1286" s="252"/>
      <c r="H1286" s="252"/>
      <c r="I1286" s="252"/>
      <c r="J1286" s="252"/>
      <c r="K1286" s="253"/>
    </row>
    <row r="1287" spans="1:11" ht="22" customHeight="1" x14ac:dyDescent="0.35">
      <c r="A1287" s="251"/>
      <c r="B1287" s="252"/>
      <c r="C1287" s="252"/>
      <c r="D1287" s="252"/>
      <c r="E1287" s="252"/>
      <c r="F1287" s="252"/>
      <c r="G1287" s="252"/>
      <c r="H1287" s="252"/>
      <c r="I1287" s="252"/>
      <c r="J1287" s="252"/>
      <c r="K1287" s="253"/>
    </row>
    <row r="1288" spans="1:11" ht="22" customHeight="1" x14ac:dyDescent="0.35">
      <c r="A1288" s="251"/>
      <c r="B1288" s="252"/>
      <c r="C1288" s="252"/>
      <c r="D1288" s="252"/>
      <c r="E1288" s="252"/>
      <c r="F1288" s="252"/>
      <c r="G1288" s="252"/>
      <c r="H1288" s="252"/>
      <c r="I1288" s="252"/>
      <c r="J1288" s="252"/>
      <c r="K1288" s="253"/>
    </row>
    <row r="1289" spans="1:11" ht="22" customHeight="1" x14ac:dyDescent="0.35">
      <c r="A1289" s="251"/>
      <c r="B1289" s="252"/>
      <c r="C1289" s="252"/>
      <c r="D1289" s="252"/>
      <c r="E1289" s="252"/>
      <c r="F1289" s="252"/>
      <c r="G1289" s="252"/>
      <c r="H1289" s="252"/>
      <c r="I1289" s="252"/>
      <c r="J1289" s="252"/>
      <c r="K1289" s="253"/>
    </row>
    <row r="1290" spans="1:11" ht="22" customHeight="1" x14ac:dyDescent="0.35">
      <c r="A1290" s="251"/>
      <c r="B1290" s="252"/>
      <c r="C1290" s="252"/>
      <c r="D1290" s="252"/>
      <c r="E1290" s="252"/>
      <c r="F1290" s="252"/>
      <c r="G1290" s="252"/>
      <c r="H1290" s="252"/>
      <c r="I1290" s="252"/>
      <c r="J1290" s="252"/>
      <c r="K1290" s="253"/>
    </row>
    <row r="1291" spans="1:11" ht="22" customHeight="1" x14ac:dyDescent="0.35">
      <c r="A1291" s="251"/>
      <c r="B1291" s="252"/>
      <c r="C1291" s="252"/>
      <c r="D1291" s="252"/>
      <c r="E1291" s="252"/>
      <c r="F1291" s="252"/>
      <c r="G1291" s="252"/>
      <c r="H1291" s="252"/>
      <c r="I1291" s="252"/>
      <c r="J1291" s="252"/>
      <c r="K1291" s="253"/>
    </row>
    <row r="1292" spans="1:11" ht="22" customHeight="1" x14ac:dyDescent="0.35">
      <c r="A1292" s="251"/>
      <c r="B1292" s="252"/>
      <c r="C1292" s="252"/>
      <c r="D1292" s="252"/>
      <c r="E1292" s="252"/>
      <c r="F1292" s="252"/>
      <c r="G1292" s="252"/>
      <c r="H1292" s="252"/>
      <c r="I1292" s="252"/>
      <c r="J1292" s="252"/>
      <c r="K1292" s="253"/>
    </row>
    <row r="1293" spans="1:11" ht="22" customHeight="1" x14ac:dyDescent="0.35">
      <c r="A1293" s="251"/>
      <c r="B1293" s="252"/>
      <c r="C1293" s="252"/>
      <c r="D1293" s="252"/>
      <c r="E1293" s="252"/>
      <c r="F1293" s="252"/>
      <c r="G1293" s="252"/>
      <c r="H1293" s="252"/>
      <c r="I1293" s="252"/>
      <c r="J1293" s="252"/>
      <c r="K1293" s="253"/>
    </row>
    <row r="1294" spans="1:11" ht="22" customHeight="1" x14ac:dyDescent="0.35">
      <c r="A1294" s="251"/>
      <c r="B1294" s="252"/>
      <c r="C1294" s="252"/>
      <c r="D1294" s="252"/>
      <c r="E1294" s="252"/>
      <c r="F1294" s="252"/>
      <c r="G1294" s="252"/>
      <c r="H1294" s="252"/>
      <c r="I1294" s="252"/>
      <c r="J1294" s="252"/>
      <c r="K1294" s="253"/>
    </row>
    <row r="1295" spans="1:11" ht="22" customHeight="1" x14ac:dyDescent="0.35">
      <c r="A1295" s="251"/>
      <c r="B1295" s="252"/>
      <c r="C1295" s="252"/>
      <c r="D1295" s="252"/>
      <c r="E1295" s="252"/>
      <c r="F1295" s="252"/>
      <c r="G1295" s="252"/>
      <c r="H1295" s="252"/>
      <c r="I1295" s="252"/>
      <c r="J1295" s="252"/>
      <c r="K1295" s="253"/>
    </row>
    <row r="1296" spans="1:11" ht="22" customHeight="1" x14ac:dyDescent="0.35">
      <c r="A1296" s="251"/>
      <c r="B1296" s="252"/>
      <c r="C1296" s="252"/>
      <c r="D1296" s="252"/>
      <c r="E1296" s="252"/>
      <c r="F1296" s="252"/>
      <c r="G1296" s="252"/>
      <c r="H1296" s="252"/>
      <c r="I1296" s="252"/>
      <c r="J1296" s="252"/>
      <c r="K1296" s="253"/>
    </row>
    <row r="1297" spans="1:11" ht="22" customHeight="1" x14ac:dyDescent="0.35">
      <c r="A1297" s="251"/>
      <c r="B1297" s="252"/>
      <c r="C1297" s="252"/>
      <c r="D1297" s="252"/>
      <c r="E1297" s="252"/>
      <c r="F1297" s="252"/>
      <c r="G1297" s="252"/>
      <c r="H1297" s="252"/>
      <c r="I1297" s="252"/>
      <c r="J1297" s="252"/>
      <c r="K1297" s="253"/>
    </row>
    <row r="1298" spans="1:11" ht="22" customHeight="1" x14ac:dyDescent="0.35">
      <c r="A1298" s="251"/>
      <c r="B1298" s="252"/>
      <c r="C1298" s="252"/>
      <c r="D1298" s="252"/>
      <c r="E1298" s="252"/>
      <c r="F1298" s="252"/>
      <c r="G1298" s="252"/>
      <c r="H1298" s="252"/>
      <c r="I1298" s="252"/>
      <c r="J1298" s="252"/>
      <c r="K1298" s="253"/>
    </row>
    <row r="1299" spans="1:11" ht="22" customHeight="1" x14ac:dyDescent="0.35">
      <c r="A1299" s="251"/>
      <c r="B1299" s="252"/>
      <c r="C1299" s="252"/>
      <c r="D1299" s="252"/>
      <c r="E1299" s="252"/>
      <c r="F1299" s="252"/>
      <c r="G1299" s="252"/>
      <c r="H1299" s="252"/>
      <c r="I1299" s="252"/>
      <c r="J1299" s="252"/>
      <c r="K1299" s="253"/>
    </row>
    <row r="1300" spans="1:11" ht="22" customHeight="1" x14ac:dyDescent="0.35">
      <c r="A1300" s="251"/>
      <c r="B1300" s="252"/>
      <c r="C1300" s="252"/>
      <c r="D1300" s="252"/>
      <c r="E1300" s="252"/>
      <c r="F1300" s="252"/>
      <c r="G1300" s="252"/>
      <c r="H1300" s="252"/>
      <c r="I1300" s="252"/>
      <c r="J1300" s="252"/>
      <c r="K1300" s="253"/>
    </row>
    <row r="1301" spans="1:11" ht="22" customHeight="1" x14ac:dyDescent="0.35">
      <c r="A1301" s="251"/>
      <c r="B1301" s="252"/>
      <c r="C1301" s="252"/>
      <c r="D1301" s="252"/>
      <c r="E1301" s="252"/>
      <c r="F1301" s="252"/>
      <c r="G1301" s="252"/>
      <c r="H1301" s="252"/>
      <c r="I1301" s="252"/>
      <c r="J1301" s="252"/>
      <c r="K1301" s="253"/>
    </row>
    <row r="1302" spans="1:11" ht="22" customHeight="1" x14ac:dyDescent="0.35">
      <c r="A1302" s="251"/>
      <c r="B1302" s="252"/>
      <c r="C1302" s="252"/>
      <c r="D1302" s="252"/>
      <c r="E1302" s="252"/>
      <c r="F1302" s="252"/>
      <c r="G1302" s="252"/>
      <c r="H1302" s="252"/>
      <c r="I1302" s="252"/>
      <c r="J1302" s="252"/>
      <c r="K1302" s="253"/>
    </row>
    <row r="1303" spans="1:11" ht="22" customHeight="1" x14ac:dyDescent="0.35">
      <c r="A1303" s="251"/>
      <c r="B1303" s="252"/>
      <c r="C1303" s="252"/>
      <c r="D1303" s="252"/>
      <c r="E1303" s="252"/>
      <c r="F1303" s="252"/>
      <c r="G1303" s="252"/>
      <c r="H1303" s="252"/>
      <c r="I1303" s="252"/>
      <c r="J1303" s="252"/>
      <c r="K1303" s="253"/>
    </row>
    <row r="1304" spans="1:11" ht="22" customHeight="1" x14ac:dyDescent="0.35">
      <c r="A1304" s="251"/>
      <c r="B1304" s="252"/>
      <c r="C1304" s="252"/>
      <c r="D1304" s="252"/>
      <c r="E1304" s="252"/>
      <c r="F1304" s="252"/>
      <c r="G1304" s="252"/>
      <c r="H1304" s="252"/>
      <c r="I1304" s="252"/>
      <c r="J1304" s="252"/>
      <c r="K1304" s="253"/>
    </row>
    <row r="1305" spans="1:11" ht="22" customHeight="1" x14ac:dyDescent="0.35">
      <c r="A1305" s="251"/>
      <c r="B1305" s="252"/>
      <c r="C1305" s="252"/>
      <c r="D1305" s="252"/>
      <c r="E1305" s="252"/>
      <c r="F1305" s="252"/>
      <c r="G1305" s="252"/>
      <c r="H1305" s="252"/>
      <c r="I1305" s="252"/>
      <c r="J1305" s="252"/>
      <c r="K1305" s="253"/>
    </row>
    <row r="1306" spans="1:11" ht="22" customHeight="1" x14ac:dyDescent="0.35">
      <c r="A1306" s="251"/>
      <c r="B1306" s="252"/>
      <c r="C1306" s="252"/>
      <c r="D1306" s="252"/>
      <c r="E1306" s="252"/>
      <c r="F1306" s="252"/>
      <c r="G1306" s="252"/>
      <c r="H1306" s="252"/>
      <c r="I1306" s="252"/>
      <c r="J1306" s="252"/>
      <c r="K1306" s="253"/>
    </row>
    <row r="1307" spans="1:11" ht="22" customHeight="1" x14ac:dyDescent="0.35">
      <c r="A1307" s="251"/>
      <c r="B1307" s="252"/>
      <c r="C1307" s="252"/>
      <c r="D1307" s="252"/>
      <c r="E1307" s="252"/>
      <c r="F1307" s="252"/>
      <c r="G1307" s="252"/>
      <c r="H1307" s="252"/>
      <c r="I1307" s="252"/>
      <c r="J1307" s="252"/>
      <c r="K1307" s="253"/>
    </row>
    <row r="1308" spans="1:11" ht="22" customHeight="1" x14ac:dyDescent="0.35">
      <c r="A1308" s="251"/>
      <c r="B1308" s="252"/>
      <c r="C1308" s="252"/>
      <c r="D1308" s="252"/>
      <c r="E1308" s="252"/>
      <c r="F1308" s="252"/>
      <c r="G1308" s="252"/>
      <c r="H1308" s="252"/>
      <c r="I1308" s="252"/>
      <c r="J1308" s="252"/>
      <c r="K1308" s="253"/>
    </row>
    <row r="1309" spans="1:11" ht="22" customHeight="1" x14ac:dyDescent="0.35">
      <c r="A1309" s="251"/>
      <c r="B1309" s="252"/>
      <c r="C1309" s="252"/>
      <c r="D1309" s="252"/>
      <c r="E1309" s="252"/>
      <c r="F1309" s="252"/>
      <c r="G1309" s="252"/>
      <c r="H1309" s="252"/>
      <c r="I1309" s="252"/>
      <c r="J1309" s="252"/>
      <c r="K1309" s="253"/>
    </row>
    <row r="1310" spans="1:11" ht="22" customHeight="1" x14ac:dyDescent="0.35">
      <c r="A1310" s="251"/>
      <c r="B1310" s="252"/>
      <c r="C1310" s="252"/>
      <c r="D1310" s="252"/>
      <c r="E1310" s="252"/>
      <c r="F1310" s="252"/>
      <c r="G1310" s="252"/>
      <c r="H1310" s="252"/>
      <c r="I1310" s="252"/>
      <c r="J1310" s="252"/>
      <c r="K1310" s="253"/>
    </row>
    <row r="1311" spans="1:11" ht="22" customHeight="1" x14ac:dyDescent="0.35">
      <c r="A1311" s="251"/>
      <c r="B1311" s="252"/>
      <c r="C1311" s="252"/>
      <c r="D1311" s="252"/>
      <c r="E1311" s="252"/>
      <c r="F1311" s="252"/>
      <c r="G1311" s="252"/>
      <c r="H1311" s="252"/>
      <c r="I1311" s="252"/>
      <c r="J1311" s="252"/>
      <c r="K1311" s="253"/>
    </row>
    <row r="1312" spans="1:11" ht="22" customHeight="1" x14ac:dyDescent="0.35">
      <c r="A1312" s="251"/>
      <c r="B1312" s="252"/>
      <c r="C1312" s="252"/>
      <c r="D1312" s="252"/>
      <c r="E1312" s="252"/>
      <c r="F1312" s="252"/>
      <c r="G1312" s="252"/>
      <c r="H1312" s="252"/>
      <c r="I1312" s="252"/>
      <c r="J1312" s="252"/>
      <c r="K1312" s="253"/>
    </row>
    <row r="1313" spans="1:11" ht="22" customHeight="1" x14ac:dyDescent="0.35">
      <c r="A1313" s="251"/>
      <c r="B1313" s="252"/>
      <c r="C1313" s="252"/>
      <c r="D1313" s="252"/>
      <c r="E1313" s="252"/>
      <c r="F1313" s="252"/>
      <c r="G1313" s="252"/>
      <c r="H1313" s="252"/>
      <c r="I1313" s="252"/>
      <c r="J1313" s="252"/>
      <c r="K1313" s="253"/>
    </row>
    <row r="1314" spans="1:11" ht="22" customHeight="1" x14ac:dyDescent="0.35">
      <c r="A1314" s="251"/>
      <c r="B1314" s="252"/>
      <c r="C1314" s="252"/>
      <c r="D1314" s="252"/>
      <c r="E1314" s="252"/>
      <c r="F1314" s="252"/>
      <c r="G1314" s="252"/>
      <c r="H1314" s="252"/>
      <c r="I1314" s="252"/>
      <c r="J1314" s="252"/>
      <c r="K1314" s="253"/>
    </row>
    <row r="1315" spans="1:11" ht="22" customHeight="1" x14ac:dyDescent="0.35">
      <c r="A1315" s="251"/>
      <c r="B1315" s="252"/>
      <c r="C1315" s="252"/>
      <c r="D1315" s="252"/>
      <c r="E1315" s="252"/>
      <c r="F1315" s="252"/>
      <c r="G1315" s="252"/>
      <c r="H1315" s="252"/>
      <c r="I1315" s="252"/>
      <c r="J1315" s="252"/>
      <c r="K1315" s="253"/>
    </row>
    <row r="1316" spans="1:11" ht="22" customHeight="1" x14ac:dyDescent="0.35">
      <c r="A1316" s="251"/>
      <c r="B1316" s="252"/>
      <c r="C1316" s="252"/>
      <c r="D1316" s="252"/>
      <c r="E1316" s="252"/>
      <c r="F1316" s="252"/>
      <c r="G1316" s="252"/>
      <c r="H1316" s="252"/>
      <c r="I1316" s="252"/>
      <c r="J1316" s="252"/>
      <c r="K1316" s="253"/>
    </row>
    <row r="1317" spans="1:11" ht="22" customHeight="1" x14ac:dyDescent="0.35">
      <c r="A1317" s="251"/>
      <c r="B1317" s="252"/>
      <c r="C1317" s="252"/>
      <c r="D1317" s="252"/>
      <c r="E1317" s="252"/>
      <c r="F1317" s="252"/>
      <c r="G1317" s="252"/>
      <c r="H1317" s="252"/>
      <c r="I1317" s="252"/>
      <c r="J1317" s="252"/>
      <c r="K1317" s="253"/>
    </row>
    <row r="1318" spans="1:11" ht="22" customHeight="1" x14ac:dyDescent="0.35">
      <c r="A1318" s="251"/>
      <c r="B1318" s="252"/>
      <c r="C1318" s="252"/>
      <c r="D1318" s="252"/>
      <c r="E1318" s="252"/>
      <c r="F1318" s="252"/>
      <c r="G1318" s="252"/>
      <c r="H1318" s="252"/>
      <c r="I1318" s="252"/>
      <c r="J1318" s="252"/>
      <c r="K1318" s="253"/>
    </row>
    <row r="1319" spans="1:11" ht="22" customHeight="1" x14ac:dyDescent="0.35">
      <c r="A1319" s="251"/>
      <c r="B1319" s="252"/>
      <c r="C1319" s="252"/>
      <c r="D1319" s="252"/>
      <c r="E1319" s="252"/>
      <c r="F1319" s="252"/>
      <c r="G1319" s="252"/>
      <c r="H1319" s="252"/>
      <c r="I1319" s="252"/>
      <c r="J1319" s="252"/>
      <c r="K1319" s="253"/>
    </row>
    <row r="1320" spans="1:11" ht="22" customHeight="1" x14ac:dyDescent="0.35">
      <c r="A1320" s="251"/>
      <c r="B1320" s="252"/>
      <c r="C1320" s="252"/>
      <c r="D1320" s="252"/>
      <c r="E1320" s="252"/>
      <c r="F1320" s="252"/>
      <c r="G1320" s="252"/>
      <c r="H1320" s="252"/>
      <c r="I1320" s="252"/>
      <c r="J1320" s="252"/>
      <c r="K1320" s="253"/>
    </row>
    <row r="1321" spans="1:11" ht="22" customHeight="1" x14ac:dyDescent="0.35">
      <c r="A1321" s="251"/>
      <c r="B1321" s="252"/>
      <c r="C1321" s="252"/>
      <c r="D1321" s="252"/>
      <c r="E1321" s="252"/>
      <c r="F1321" s="252"/>
      <c r="G1321" s="252"/>
      <c r="H1321" s="252"/>
      <c r="I1321" s="252"/>
      <c r="J1321" s="252"/>
      <c r="K1321" s="253"/>
    </row>
    <row r="1322" spans="1:11" ht="22" customHeight="1" x14ac:dyDescent="0.35">
      <c r="A1322" s="251"/>
      <c r="B1322" s="252"/>
      <c r="C1322" s="252"/>
      <c r="D1322" s="252"/>
      <c r="E1322" s="252"/>
      <c r="F1322" s="252"/>
      <c r="G1322" s="252"/>
      <c r="H1322" s="252"/>
      <c r="I1322" s="252"/>
      <c r="J1322" s="252"/>
      <c r="K1322" s="253"/>
    </row>
    <row r="1323" spans="1:11" ht="22" customHeight="1" x14ac:dyDescent="0.35">
      <c r="A1323" s="251"/>
      <c r="B1323" s="252"/>
      <c r="C1323" s="252"/>
      <c r="D1323" s="252"/>
      <c r="E1323" s="252"/>
      <c r="F1323" s="252"/>
      <c r="G1323" s="252"/>
      <c r="H1323" s="252"/>
      <c r="I1323" s="252"/>
      <c r="J1323" s="252"/>
      <c r="K1323" s="253"/>
    </row>
    <row r="1324" spans="1:11" ht="22" customHeight="1" x14ac:dyDescent="0.35">
      <c r="A1324" s="251"/>
      <c r="B1324" s="252"/>
      <c r="C1324" s="252"/>
      <c r="D1324" s="252"/>
      <c r="E1324" s="252"/>
      <c r="F1324" s="252"/>
      <c r="G1324" s="252"/>
      <c r="H1324" s="252"/>
      <c r="I1324" s="252"/>
      <c r="J1324" s="252"/>
      <c r="K1324" s="253"/>
    </row>
    <row r="1325" spans="1:11" ht="22" customHeight="1" x14ac:dyDescent="0.35">
      <c r="A1325" s="251"/>
      <c r="B1325" s="252"/>
      <c r="C1325" s="252"/>
      <c r="D1325" s="252"/>
      <c r="E1325" s="252"/>
      <c r="F1325" s="252"/>
      <c r="G1325" s="252"/>
      <c r="H1325" s="252"/>
      <c r="I1325" s="252"/>
      <c r="J1325" s="252"/>
      <c r="K1325" s="253"/>
    </row>
    <row r="1326" spans="1:11" ht="22" customHeight="1" x14ac:dyDescent="0.35">
      <c r="A1326" s="251"/>
      <c r="B1326" s="252"/>
      <c r="C1326" s="252"/>
      <c r="D1326" s="252"/>
      <c r="E1326" s="252"/>
      <c r="F1326" s="252"/>
      <c r="G1326" s="252"/>
      <c r="H1326" s="252"/>
      <c r="I1326" s="252"/>
      <c r="J1326" s="252"/>
      <c r="K1326" s="253"/>
    </row>
    <row r="1327" spans="1:11" ht="22" customHeight="1" x14ac:dyDescent="0.35">
      <c r="A1327" s="251"/>
      <c r="B1327" s="252"/>
      <c r="C1327" s="252"/>
      <c r="D1327" s="252"/>
      <c r="E1327" s="252"/>
      <c r="F1327" s="252"/>
      <c r="G1327" s="252"/>
      <c r="H1327" s="252"/>
      <c r="I1327" s="252"/>
      <c r="J1327" s="252"/>
      <c r="K1327" s="253"/>
    </row>
    <row r="1328" spans="1:11" ht="22" customHeight="1" x14ac:dyDescent="0.35">
      <c r="A1328" s="251"/>
      <c r="B1328" s="252"/>
      <c r="C1328" s="252"/>
      <c r="D1328" s="252"/>
      <c r="E1328" s="252"/>
      <c r="F1328" s="252"/>
      <c r="G1328" s="252"/>
      <c r="H1328" s="252"/>
      <c r="I1328" s="252"/>
      <c r="J1328" s="252"/>
      <c r="K1328" s="253"/>
    </row>
    <row r="1329" spans="1:11" ht="22" customHeight="1" x14ac:dyDescent="0.35">
      <c r="A1329" s="251"/>
      <c r="B1329" s="252"/>
      <c r="C1329" s="252"/>
      <c r="D1329" s="252"/>
      <c r="E1329" s="252"/>
      <c r="F1329" s="252"/>
      <c r="G1329" s="252"/>
      <c r="H1329" s="252"/>
      <c r="I1329" s="252"/>
      <c r="J1329" s="252"/>
      <c r="K1329" s="253"/>
    </row>
    <row r="1330" spans="1:11" ht="22" customHeight="1" x14ac:dyDescent="0.35">
      <c r="A1330" s="251"/>
      <c r="B1330" s="252"/>
      <c r="C1330" s="252"/>
      <c r="D1330" s="252"/>
      <c r="E1330" s="252"/>
      <c r="F1330" s="252"/>
      <c r="G1330" s="252"/>
      <c r="H1330" s="252"/>
      <c r="I1330" s="252"/>
      <c r="J1330" s="252"/>
      <c r="K1330" s="253"/>
    </row>
    <row r="1331" spans="1:11" ht="22" customHeight="1" x14ac:dyDescent="0.35">
      <c r="A1331" s="251"/>
      <c r="B1331" s="252"/>
      <c r="C1331" s="252"/>
      <c r="D1331" s="252"/>
      <c r="E1331" s="252"/>
      <c r="F1331" s="252"/>
      <c r="G1331" s="252"/>
      <c r="H1331" s="252"/>
      <c r="I1331" s="252"/>
      <c r="J1331" s="252"/>
      <c r="K1331" s="253"/>
    </row>
    <row r="1332" spans="1:11" ht="22" customHeight="1" x14ac:dyDescent="0.35">
      <c r="A1332" s="251"/>
      <c r="B1332" s="252"/>
      <c r="C1332" s="252"/>
      <c r="D1332" s="252"/>
      <c r="E1332" s="252"/>
      <c r="F1332" s="252"/>
      <c r="G1332" s="252"/>
      <c r="H1332" s="252"/>
      <c r="I1332" s="252"/>
      <c r="J1332" s="252"/>
      <c r="K1332" s="253"/>
    </row>
    <row r="1333" spans="1:11" ht="22" customHeight="1" x14ac:dyDescent="0.35">
      <c r="A1333" s="251"/>
      <c r="B1333" s="252"/>
      <c r="C1333" s="252"/>
      <c r="D1333" s="252"/>
      <c r="E1333" s="252"/>
      <c r="F1333" s="252"/>
      <c r="G1333" s="252"/>
      <c r="H1333" s="252"/>
      <c r="I1333" s="252"/>
      <c r="J1333" s="252"/>
      <c r="K1333" s="253"/>
    </row>
    <row r="1334" spans="1:11" ht="22" customHeight="1" x14ac:dyDescent="0.35">
      <c r="A1334" s="251"/>
      <c r="B1334" s="252"/>
      <c r="C1334" s="252"/>
      <c r="D1334" s="252"/>
      <c r="E1334" s="252"/>
      <c r="F1334" s="252"/>
      <c r="G1334" s="252"/>
      <c r="H1334" s="252"/>
      <c r="I1334" s="252"/>
      <c r="J1334" s="252"/>
      <c r="K1334" s="253"/>
    </row>
    <row r="1335" spans="1:11" ht="22" customHeight="1" x14ac:dyDescent="0.35">
      <c r="A1335" s="251"/>
      <c r="B1335" s="252"/>
      <c r="C1335" s="252"/>
      <c r="D1335" s="252"/>
      <c r="E1335" s="252"/>
      <c r="F1335" s="252"/>
      <c r="G1335" s="252"/>
      <c r="H1335" s="252"/>
      <c r="I1335" s="252"/>
      <c r="J1335" s="252"/>
      <c r="K1335" s="253"/>
    </row>
    <row r="1336" spans="1:11" ht="22" customHeight="1" x14ac:dyDescent="0.35">
      <c r="A1336" s="251"/>
      <c r="B1336" s="252"/>
      <c r="C1336" s="252"/>
      <c r="D1336" s="252"/>
      <c r="E1336" s="252"/>
      <c r="F1336" s="252"/>
      <c r="G1336" s="252"/>
      <c r="H1336" s="252"/>
      <c r="I1336" s="252"/>
      <c r="J1336" s="252"/>
      <c r="K1336" s="253"/>
    </row>
    <row r="1337" spans="1:11" ht="22" customHeight="1" x14ac:dyDescent="0.35">
      <c r="A1337" s="251"/>
      <c r="B1337" s="252"/>
      <c r="C1337" s="252"/>
      <c r="D1337" s="252"/>
      <c r="E1337" s="252"/>
      <c r="F1337" s="252"/>
      <c r="G1337" s="252"/>
      <c r="H1337" s="252"/>
      <c r="I1337" s="252"/>
      <c r="J1337" s="252"/>
      <c r="K1337" s="253"/>
    </row>
    <row r="1338" spans="1:11" ht="22" customHeight="1" x14ac:dyDescent="0.35">
      <c r="A1338" s="251"/>
      <c r="B1338" s="252"/>
      <c r="C1338" s="252"/>
      <c r="D1338" s="252"/>
      <c r="E1338" s="252"/>
      <c r="F1338" s="252"/>
      <c r="G1338" s="252"/>
      <c r="H1338" s="252"/>
      <c r="I1338" s="252"/>
      <c r="J1338" s="252"/>
      <c r="K1338" s="253"/>
    </row>
    <row r="1339" spans="1:11" ht="22" customHeight="1" x14ac:dyDescent="0.35">
      <c r="A1339" s="251"/>
      <c r="B1339" s="252"/>
      <c r="C1339" s="252"/>
      <c r="D1339" s="252"/>
      <c r="E1339" s="252"/>
      <c r="F1339" s="252"/>
      <c r="G1339" s="252"/>
      <c r="H1339" s="252"/>
      <c r="I1339" s="252"/>
      <c r="J1339" s="252"/>
      <c r="K1339" s="253"/>
    </row>
    <row r="1340" spans="1:11" ht="22" customHeight="1" x14ac:dyDescent="0.35">
      <c r="A1340" s="251"/>
      <c r="B1340" s="252"/>
      <c r="C1340" s="252"/>
      <c r="D1340" s="252"/>
      <c r="E1340" s="252"/>
      <c r="F1340" s="252"/>
      <c r="G1340" s="252"/>
      <c r="H1340" s="252"/>
      <c r="I1340" s="252"/>
      <c r="J1340" s="252"/>
      <c r="K1340" s="253"/>
    </row>
    <row r="1341" spans="1:11" ht="22" customHeight="1" x14ac:dyDescent="0.35">
      <c r="A1341" s="251"/>
      <c r="B1341" s="252"/>
      <c r="C1341" s="252"/>
      <c r="D1341" s="252"/>
      <c r="E1341" s="252"/>
      <c r="F1341" s="252"/>
      <c r="G1341" s="252"/>
      <c r="H1341" s="252"/>
      <c r="I1341" s="252"/>
      <c r="J1341" s="252"/>
      <c r="K1341" s="253"/>
    </row>
    <row r="1342" spans="1:11" ht="22" customHeight="1" x14ac:dyDescent="0.35">
      <c r="A1342" s="251"/>
      <c r="B1342" s="252"/>
      <c r="C1342" s="252"/>
      <c r="D1342" s="252"/>
      <c r="E1342" s="252"/>
      <c r="F1342" s="252"/>
      <c r="G1342" s="252"/>
      <c r="H1342" s="252"/>
      <c r="I1342" s="252"/>
      <c r="J1342" s="252"/>
      <c r="K1342" s="253"/>
    </row>
    <row r="1343" spans="1:11" ht="22" customHeight="1" x14ac:dyDescent="0.35">
      <c r="A1343" s="251"/>
      <c r="B1343" s="252"/>
      <c r="C1343" s="252"/>
      <c r="D1343" s="252"/>
      <c r="E1343" s="252"/>
      <c r="F1343" s="252"/>
      <c r="G1343" s="252"/>
      <c r="H1343" s="252"/>
      <c r="I1343" s="252"/>
      <c r="J1343" s="252"/>
      <c r="K1343" s="253"/>
    </row>
    <row r="1344" spans="1:11" ht="22" customHeight="1" x14ac:dyDescent="0.35">
      <c r="A1344" s="251"/>
      <c r="B1344" s="252"/>
      <c r="C1344" s="252"/>
      <c r="D1344" s="252"/>
      <c r="E1344" s="252"/>
      <c r="F1344" s="252"/>
      <c r="G1344" s="252"/>
      <c r="H1344" s="252"/>
      <c r="I1344" s="252"/>
      <c r="J1344" s="252"/>
      <c r="K1344" s="253"/>
    </row>
    <row r="1345" spans="1:11" ht="22" customHeight="1" x14ac:dyDescent="0.35">
      <c r="A1345" s="251"/>
      <c r="B1345" s="252"/>
      <c r="C1345" s="252"/>
      <c r="D1345" s="252"/>
      <c r="E1345" s="252"/>
      <c r="F1345" s="252"/>
      <c r="G1345" s="252"/>
      <c r="H1345" s="252"/>
      <c r="I1345" s="252"/>
      <c r="J1345" s="252"/>
      <c r="K1345" s="253"/>
    </row>
    <row r="1346" spans="1:11" ht="22" customHeight="1" x14ac:dyDescent="0.35">
      <c r="A1346" s="251"/>
      <c r="B1346" s="252"/>
      <c r="C1346" s="252"/>
      <c r="D1346" s="252"/>
      <c r="E1346" s="252"/>
      <c r="F1346" s="252"/>
      <c r="G1346" s="252"/>
      <c r="H1346" s="252"/>
      <c r="I1346" s="252"/>
      <c r="J1346" s="252"/>
      <c r="K1346" s="253"/>
    </row>
    <row r="1347" spans="1:11" ht="22" customHeight="1" x14ac:dyDescent="0.35">
      <c r="A1347" s="251"/>
      <c r="B1347" s="252"/>
      <c r="C1347" s="252"/>
      <c r="D1347" s="252"/>
      <c r="E1347" s="252"/>
      <c r="F1347" s="252"/>
      <c r="G1347" s="252"/>
      <c r="H1347" s="252"/>
      <c r="I1347" s="252"/>
      <c r="J1347" s="252"/>
      <c r="K1347" s="253"/>
    </row>
    <row r="1348" spans="1:11" ht="22" customHeight="1" x14ac:dyDescent="0.35">
      <c r="A1348" s="251"/>
      <c r="B1348" s="252"/>
      <c r="C1348" s="252"/>
      <c r="D1348" s="252"/>
      <c r="E1348" s="252"/>
      <c r="F1348" s="252"/>
      <c r="G1348" s="252"/>
      <c r="H1348" s="252"/>
      <c r="I1348" s="252"/>
      <c r="J1348" s="252"/>
      <c r="K1348" s="253"/>
    </row>
    <row r="1349" spans="1:11" ht="22" customHeight="1" x14ac:dyDescent="0.35">
      <c r="A1349" s="251"/>
      <c r="B1349" s="252"/>
      <c r="C1349" s="252"/>
      <c r="D1349" s="252"/>
      <c r="E1349" s="252"/>
      <c r="F1349" s="252"/>
      <c r="G1349" s="252"/>
      <c r="H1349" s="252"/>
      <c r="I1349" s="252"/>
      <c r="J1349" s="252"/>
      <c r="K1349" s="253"/>
    </row>
    <row r="1350" spans="1:11" ht="22" customHeight="1" x14ac:dyDescent="0.35">
      <c r="A1350" s="251"/>
      <c r="B1350" s="252"/>
      <c r="C1350" s="252"/>
      <c r="D1350" s="252"/>
      <c r="E1350" s="252"/>
      <c r="F1350" s="252"/>
      <c r="G1350" s="252"/>
      <c r="H1350" s="252"/>
      <c r="I1350" s="252"/>
      <c r="J1350" s="252"/>
      <c r="K1350" s="253"/>
    </row>
    <row r="1351" spans="1:11" ht="22" customHeight="1" x14ac:dyDescent="0.35">
      <c r="A1351" s="251"/>
      <c r="B1351" s="252"/>
      <c r="C1351" s="252"/>
      <c r="D1351" s="252"/>
      <c r="E1351" s="252"/>
      <c r="F1351" s="252"/>
      <c r="G1351" s="252"/>
      <c r="H1351" s="252"/>
      <c r="I1351" s="252"/>
      <c r="J1351" s="252"/>
      <c r="K1351" s="253"/>
    </row>
    <row r="1352" spans="1:11" ht="22" customHeight="1" x14ac:dyDescent="0.35">
      <c r="A1352" s="251"/>
      <c r="B1352" s="252"/>
      <c r="C1352" s="252"/>
      <c r="D1352" s="252"/>
      <c r="E1352" s="252"/>
      <c r="F1352" s="252"/>
      <c r="G1352" s="252"/>
      <c r="H1352" s="252"/>
      <c r="I1352" s="252"/>
      <c r="J1352" s="252"/>
      <c r="K1352" s="253"/>
    </row>
    <row r="1353" spans="1:11" ht="22" customHeight="1" x14ac:dyDescent="0.35">
      <c r="A1353" s="251"/>
      <c r="B1353" s="252"/>
      <c r="C1353" s="252"/>
      <c r="D1353" s="252"/>
      <c r="E1353" s="252"/>
      <c r="F1353" s="252"/>
      <c r="G1353" s="252"/>
      <c r="H1353" s="252"/>
      <c r="I1353" s="252"/>
      <c r="J1353" s="252"/>
      <c r="K1353" s="253"/>
    </row>
    <row r="1354" spans="1:11" ht="22" customHeight="1" x14ac:dyDescent="0.35">
      <c r="A1354" s="251"/>
      <c r="B1354" s="252"/>
      <c r="C1354" s="252"/>
      <c r="D1354" s="252"/>
      <c r="E1354" s="252"/>
      <c r="F1354" s="252"/>
      <c r="G1354" s="252"/>
      <c r="H1354" s="252"/>
      <c r="I1354" s="252"/>
      <c r="J1354" s="252"/>
      <c r="K1354" s="253"/>
    </row>
    <row r="1355" spans="1:11" ht="22" customHeight="1" x14ac:dyDescent="0.35">
      <c r="A1355" s="251"/>
      <c r="B1355" s="252"/>
      <c r="C1355" s="252"/>
      <c r="D1355" s="252"/>
      <c r="E1355" s="252"/>
      <c r="F1355" s="252"/>
      <c r="G1355" s="252"/>
      <c r="H1355" s="252"/>
      <c r="I1355" s="252"/>
      <c r="J1355" s="252"/>
      <c r="K1355" s="253"/>
    </row>
    <row r="1356" spans="1:11" ht="22" customHeight="1" x14ac:dyDescent="0.35">
      <c r="A1356" s="251"/>
      <c r="B1356" s="252"/>
      <c r="C1356" s="252"/>
      <c r="D1356" s="252"/>
      <c r="E1356" s="252"/>
      <c r="F1356" s="252"/>
      <c r="G1356" s="252"/>
      <c r="H1356" s="252"/>
      <c r="I1356" s="252"/>
      <c r="J1356" s="252"/>
      <c r="K1356" s="253"/>
    </row>
    <row r="1357" spans="1:11" ht="22" customHeight="1" x14ac:dyDescent="0.35">
      <c r="A1357" s="251"/>
      <c r="B1357" s="252"/>
      <c r="C1357" s="252"/>
      <c r="D1357" s="252"/>
      <c r="E1357" s="252"/>
      <c r="F1357" s="252"/>
      <c r="G1357" s="252"/>
      <c r="H1357" s="252"/>
      <c r="I1357" s="252"/>
      <c r="J1357" s="252"/>
      <c r="K1357" s="253"/>
    </row>
    <row r="1358" spans="1:11" ht="22" customHeight="1" x14ac:dyDescent="0.35">
      <c r="A1358" s="251"/>
      <c r="B1358" s="252"/>
      <c r="C1358" s="252"/>
      <c r="D1358" s="252"/>
      <c r="E1358" s="252"/>
      <c r="F1358" s="252"/>
      <c r="G1358" s="252"/>
      <c r="H1358" s="252"/>
      <c r="I1358" s="252"/>
      <c r="J1358" s="252"/>
      <c r="K1358" s="253"/>
    </row>
    <row r="1359" spans="1:11" ht="22" customHeight="1" x14ac:dyDescent="0.35">
      <c r="A1359" s="251"/>
      <c r="B1359" s="252"/>
      <c r="C1359" s="252"/>
      <c r="D1359" s="252"/>
      <c r="E1359" s="252"/>
      <c r="F1359" s="252"/>
      <c r="G1359" s="252"/>
      <c r="H1359" s="252"/>
      <c r="I1359" s="252"/>
      <c r="J1359" s="252"/>
      <c r="K1359" s="253"/>
    </row>
    <row r="1360" spans="1:11" ht="22" customHeight="1" x14ac:dyDescent="0.35">
      <c r="A1360" s="251"/>
      <c r="B1360" s="252"/>
      <c r="C1360" s="252"/>
      <c r="D1360" s="252"/>
      <c r="E1360" s="252"/>
      <c r="F1360" s="252"/>
      <c r="G1360" s="252"/>
      <c r="H1360" s="252"/>
      <c r="I1360" s="252"/>
      <c r="J1360" s="252"/>
      <c r="K1360" s="253"/>
    </row>
    <row r="1361" spans="1:11" ht="22" customHeight="1" x14ac:dyDescent="0.35">
      <c r="A1361" s="251"/>
      <c r="B1361" s="252"/>
      <c r="C1361" s="252"/>
      <c r="D1361" s="252"/>
      <c r="E1361" s="252"/>
      <c r="F1361" s="252"/>
      <c r="G1361" s="252"/>
      <c r="H1361" s="252"/>
      <c r="I1361" s="252"/>
      <c r="J1361" s="252"/>
      <c r="K1361" s="253"/>
    </row>
    <row r="1362" spans="1:11" ht="22" customHeight="1" x14ac:dyDescent="0.35">
      <c r="A1362" s="251"/>
      <c r="B1362" s="252"/>
      <c r="C1362" s="252"/>
      <c r="D1362" s="252"/>
      <c r="E1362" s="252"/>
      <c r="F1362" s="252"/>
      <c r="G1362" s="252"/>
      <c r="H1362" s="252"/>
      <c r="I1362" s="252"/>
      <c r="J1362" s="252"/>
      <c r="K1362" s="253"/>
    </row>
    <row r="1363" spans="1:11" ht="22" customHeight="1" x14ac:dyDescent="0.35">
      <c r="A1363" s="251"/>
      <c r="B1363" s="252"/>
      <c r="C1363" s="252"/>
      <c r="D1363" s="252"/>
      <c r="E1363" s="252"/>
      <c r="F1363" s="252"/>
      <c r="G1363" s="252"/>
      <c r="H1363" s="252"/>
      <c r="I1363" s="252"/>
      <c r="J1363" s="252"/>
      <c r="K1363" s="253"/>
    </row>
    <row r="1364" spans="1:11" ht="22" customHeight="1" x14ac:dyDescent="0.35">
      <c r="A1364" s="251"/>
      <c r="B1364" s="252"/>
      <c r="C1364" s="252"/>
      <c r="D1364" s="252"/>
      <c r="E1364" s="252"/>
      <c r="F1364" s="252"/>
      <c r="G1364" s="252"/>
      <c r="H1364" s="252"/>
      <c r="I1364" s="252"/>
      <c r="J1364" s="252"/>
      <c r="K1364" s="253"/>
    </row>
    <row r="1365" spans="1:11" ht="22" customHeight="1" x14ac:dyDescent="0.35">
      <c r="A1365" s="251"/>
      <c r="B1365" s="252"/>
      <c r="C1365" s="252"/>
      <c r="D1365" s="252"/>
      <c r="E1365" s="252"/>
      <c r="F1365" s="252"/>
      <c r="G1365" s="252"/>
      <c r="H1365" s="252"/>
      <c r="I1365" s="252"/>
      <c r="J1365" s="252"/>
      <c r="K1365" s="253"/>
    </row>
    <row r="1366" spans="1:11" ht="22" customHeight="1" x14ac:dyDescent="0.35">
      <c r="A1366" s="251"/>
      <c r="B1366" s="252"/>
      <c r="C1366" s="252"/>
      <c r="D1366" s="252"/>
      <c r="E1366" s="252"/>
      <c r="F1366" s="252"/>
      <c r="G1366" s="252"/>
      <c r="H1366" s="252"/>
      <c r="I1366" s="252"/>
      <c r="J1366" s="252"/>
      <c r="K1366" s="253"/>
    </row>
    <row r="1367" spans="1:11" ht="22" customHeight="1" x14ac:dyDescent="0.35">
      <c r="A1367" s="251"/>
      <c r="B1367" s="252"/>
      <c r="C1367" s="252"/>
      <c r="D1367" s="252"/>
      <c r="E1367" s="252"/>
      <c r="F1367" s="252"/>
      <c r="G1367" s="252"/>
      <c r="H1367" s="252"/>
      <c r="I1367" s="252"/>
      <c r="J1367" s="252"/>
      <c r="K1367" s="253"/>
    </row>
    <row r="1368" spans="1:11" ht="22" customHeight="1" x14ac:dyDescent="0.35">
      <c r="A1368" s="251"/>
      <c r="B1368" s="252"/>
      <c r="C1368" s="252"/>
      <c r="D1368" s="252"/>
      <c r="E1368" s="252"/>
      <c r="F1368" s="252"/>
      <c r="G1368" s="252"/>
      <c r="H1368" s="252"/>
      <c r="I1368" s="252"/>
      <c r="J1368" s="252"/>
      <c r="K1368" s="253"/>
    </row>
    <row r="1369" spans="1:11" ht="22" customHeight="1" x14ac:dyDescent="0.35">
      <c r="A1369" s="251"/>
      <c r="B1369" s="252"/>
      <c r="C1369" s="252"/>
      <c r="D1369" s="252"/>
      <c r="E1369" s="252"/>
      <c r="F1369" s="252"/>
      <c r="G1369" s="252"/>
      <c r="H1369" s="252"/>
      <c r="I1369" s="252"/>
      <c r="J1369" s="252"/>
      <c r="K1369" s="253"/>
    </row>
    <row r="1370" spans="1:11" ht="22" customHeight="1" x14ac:dyDescent="0.35">
      <c r="A1370" s="251"/>
      <c r="B1370" s="252"/>
      <c r="C1370" s="252"/>
      <c r="D1370" s="252"/>
      <c r="E1370" s="252"/>
      <c r="F1370" s="252"/>
      <c r="G1370" s="252"/>
      <c r="H1370" s="252"/>
      <c r="I1370" s="252"/>
      <c r="J1370" s="252"/>
      <c r="K1370" s="253"/>
    </row>
    <row r="1371" spans="1:11" ht="22" customHeight="1" x14ac:dyDescent="0.35">
      <c r="A1371" s="251"/>
      <c r="B1371" s="252"/>
      <c r="C1371" s="252"/>
      <c r="D1371" s="252"/>
      <c r="E1371" s="252"/>
      <c r="F1371" s="252"/>
      <c r="G1371" s="252"/>
      <c r="H1371" s="252"/>
      <c r="I1371" s="252"/>
      <c r="J1371" s="252"/>
      <c r="K1371" s="253"/>
    </row>
    <row r="1372" spans="1:11" ht="22" customHeight="1" x14ac:dyDescent="0.35">
      <c r="A1372" s="251"/>
      <c r="B1372" s="252"/>
      <c r="C1372" s="252"/>
      <c r="D1372" s="252"/>
      <c r="E1372" s="252"/>
      <c r="F1372" s="252"/>
      <c r="G1372" s="252"/>
      <c r="H1372" s="252"/>
      <c r="I1372" s="252"/>
      <c r="J1372" s="252"/>
      <c r="K1372" s="253"/>
    </row>
    <row r="1373" spans="1:11" ht="22" customHeight="1" x14ac:dyDescent="0.35">
      <c r="A1373" s="251"/>
      <c r="B1373" s="252"/>
      <c r="C1373" s="252"/>
      <c r="D1373" s="252"/>
      <c r="E1373" s="252"/>
      <c r="F1373" s="252"/>
      <c r="G1373" s="252"/>
      <c r="H1373" s="252"/>
      <c r="I1373" s="252"/>
      <c r="J1373" s="252"/>
      <c r="K1373" s="253"/>
    </row>
    <row r="1374" spans="1:11" ht="22" customHeight="1" x14ac:dyDescent="0.35">
      <c r="A1374" s="251"/>
      <c r="B1374" s="252"/>
      <c r="C1374" s="252"/>
      <c r="D1374" s="252"/>
      <c r="E1374" s="252"/>
      <c r="F1374" s="252"/>
      <c r="G1374" s="252"/>
      <c r="H1374" s="252"/>
      <c r="I1374" s="252"/>
      <c r="J1374" s="252"/>
      <c r="K1374" s="253"/>
    </row>
    <row r="1375" spans="1:11" ht="22" customHeight="1" x14ac:dyDescent="0.35">
      <c r="A1375" s="251"/>
      <c r="B1375" s="252"/>
      <c r="C1375" s="252"/>
      <c r="D1375" s="252"/>
      <c r="E1375" s="252"/>
      <c r="F1375" s="252"/>
      <c r="G1375" s="252"/>
      <c r="H1375" s="252"/>
      <c r="I1375" s="252"/>
      <c r="J1375" s="252"/>
      <c r="K1375" s="253"/>
    </row>
    <row r="1376" spans="1:11" ht="22" customHeight="1" x14ac:dyDescent="0.35">
      <c r="A1376" s="251"/>
      <c r="B1376" s="252"/>
      <c r="C1376" s="252"/>
      <c r="D1376" s="252"/>
      <c r="E1376" s="252"/>
      <c r="F1376" s="252"/>
      <c r="G1376" s="252"/>
      <c r="H1376" s="252"/>
      <c r="I1376" s="252"/>
      <c r="J1376" s="252"/>
      <c r="K1376" s="253"/>
    </row>
    <row r="1377" spans="1:11" ht="22" customHeight="1" x14ac:dyDescent="0.35">
      <c r="A1377" s="251"/>
      <c r="B1377" s="252"/>
      <c r="C1377" s="252"/>
      <c r="D1377" s="252"/>
      <c r="E1377" s="252"/>
      <c r="F1377" s="252"/>
      <c r="G1377" s="252"/>
      <c r="H1377" s="252"/>
      <c r="I1377" s="252"/>
      <c r="J1377" s="252"/>
      <c r="K1377" s="253"/>
    </row>
    <row r="1378" spans="1:11" ht="22" customHeight="1" x14ac:dyDescent="0.35">
      <c r="A1378" s="251"/>
      <c r="B1378" s="252"/>
      <c r="C1378" s="252"/>
      <c r="D1378" s="252"/>
      <c r="E1378" s="252"/>
      <c r="F1378" s="252"/>
      <c r="G1378" s="252"/>
      <c r="H1378" s="252"/>
      <c r="I1378" s="252"/>
      <c r="J1378" s="252"/>
      <c r="K1378" s="253"/>
    </row>
    <row r="1379" spans="1:11" ht="22" customHeight="1" x14ac:dyDescent="0.35">
      <c r="A1379" s="251"/>
      <c r="B1379" s="252"/>
      <c r="C1379" s="252"/>
      <c r="D1379" s="252"/>
      <c r="E1379" s="252"/>
      <c r="F1379" s="252"/>
      <c r="G1379" s="252"/>
      <c r="H1379" s="252"/>
      <c r="I1379" s="252"/>
      <c r="J1379" s="252"/>
      <c r="K1379" s="253"/>
    </row>
    <row r="1380" spans="1:11" ht="22" customHeight="1" x14ac:dyDescent="0.35">
      <c r="A1380" s="251"/>
      <c r="B1380" s="252"/>
      <c r="C1380" s="252"/>
      <c r="D1380" s="252"/>
      <c r="E1380" s="252"/>
      <c r="F1380" s="252"/>
      <c r="G1380" s="252"/>
      <c r="H1380" s="252"/>
      <c r="I1380" s="252"/>
      <c r="J1380" s="252"/>
      <c r="K1380" s="253"/>
    </row>
    <row r="1381" spans="1:11" ht="22" customHeight="1" x14ac:dyDescent="0.35">
      <c r="A1381" s="251"/>
      <c r="B1381" s="252"/>
      <c r="C1381" s="252"/>
      <c r="D1381" s="252"/>
      <c r="E1381" s="252"/>
      <c r="F1381" s="252"/>
      <c r="G1381" s="252"/>
      <c r="H1381" s="252"/>
      <c r="I1381" s="252"/>
      <c r="J1381" s="252"/>
      <c r="K1381" s="253"/>
    </row>
    <row r="1382" spans="1:11" ht="22" customHeight="1" x14ac:dyDescent="0.35">
      <c r="A1382" s="251"/>
      <c r="B1382" s="252"/>
      <c r="C1382" s="252"/>
      <c r="D1382" s="252"/>
      <c r="E1382" s="252"/>
      <c r="F1382" s="252"/>
      <c r="G1382" s="252"/>
      <c r="H1382" s="252"/>
      <c r="I1382" s="252"/>
      <c r="J1382" s="252"/>
      <c r="K1382" s="253"/>
    </row>
    <row r="1383" spans="1:11" ht="22" customHeight="1" x14ac:dyDescent="0.35">
      <c r="A1383" s="251"/>
      <c r="B1383" s="252"/>
      <c r="C1383" s="252"/>
      <c r="D1383" s="252"/>
      <c r="E1383" s="252"/>
      <c r="F1383" s="252"/>
      <c r="G1383" s="252"/>
      <c r="H1383" s="252"/>
      <c r="I1383" s="252"/>
      <c r="J1383" s="252"/>
      <c r="K1383" s="253"/>
    </row>
    <row r="1384" spans="1:11" ht="22" customHeight="1" x14ac:dyDescent="0.35">
      <c r="A1384" s="251"/>
      <c r="B1384" s="252"/>
      <c r="C1384" s="252"/>
      <c r="D1384" s="252"/>
      <c r="E1384" s="252"/>
      <c r="F1384" s="252"/>
      <c r="G1384" s="252"/>
      <c r="H1384" s="252"/>
      <c r="I1384" s="252"/>
      <c r="J1384" s="252"/>
      <c r="K1384" s="253"/>
    </row>
    <row r="1385" spans="1:11" ht="22" customHeight="1" x14ac:dyDescent="0.35">
      <c r="A1385" s="251"/>
      <c r="B1385" s="252"/>
      <c r="C1385" s="252"/>
      <c r="D1385" s="252"/>
      <c r="E1385" s="252"/>
      <c r="F1385" s="252"/>
      <c r="G1385" s="252"/>
      <c r="H1385" s="252"/>
      <c r="I1385" s="252"/>
      <c r="J1385" s="252"/>
      <c r="K1385" s="253"/>
    </row>
    <row r="1386" spans="1:11" ht="22" customHeight="1" x14ac:dyDescent="0.35">
      <c r="A1386" s="251"/>
      <c r="B1386" s="252"/>
      <c r="C1386" s="252"/>
      <c r="D1386" s="252"/>
      <c r="E1386" s="252"/>
      <c r="F1386" s="252"/>
      <c r="G1386" s="252"/>
      <c r="H1386" s="252"/>
      <c r="I1386" s="252"/>
      <c r="J1386" s="252"/>
      <c r="K1386" s="253"/>
    </row>
    <row r="1387" spans="1:11" ht="22" customHeight="1" x14ac:dyDescent="0.35">
      <c r="A1387" s="251"/>
      <c r="B1387" s="252"/>
      <c r="C1387" s="252"/>
      <c r="D1387" s="252"/>
      <c r="E1387" s="252"/>
      <c r="F1387" s="252"/>
      <c r="G1387" s="252"/>
      <c r="H1387" s="252"/>
      <c r="I1387" s="252"/>
      <c r="J1387" s="252"/>
      <c r="K1387" s="253"/>
    </row>
    <row r="1388" spans="1:11" ht="22" customHeight="1" x14ac:dyDescent="0.35">
      <c r="A1388" s="251"/>
      <c r="B1388" s="252"/>
      <c r="C1388" s="252"/>
      <c r="D1388" s="252"/>
      <c r="E1388" s="252"/>
      <c r="F1388" s="252"/>
      <c r="G1388" s="252"/>
      <c r="H1388" s="252"/>
      <c r="I1388" s="252"/>
      <c r="J1388" s="252"/>
      <c r="K1388" s="253"/>
    </row>
    <row r="1389" spans="1:11" ht="22" customHeight="1" x14ac:dyDescent="0.35">
      <c r="A1389" s="251"/>
      <c r="B1389" s="252"/>
      <c r="C1389" s="252"/>
      <c r="D1389" s="252"/>
      <c r="E1389" s="252"/>
      <c r="F1389" s="252"/>
      <c r="G1389" s="252"/>
      <c r="H1389" s="252"/>
      <c r="I1389" s="252"/>
      <c r="J1389" s="252"/>
      <c r="K1389" s="253"/>
    </row>
    <row r="1390" spans="1:11" ht="22" customHeight="1" x14ac:dyDescent="0.35">
      <c r="A1390" s="251"/>
      <c r="B1390" s="252"/>
      <c r="C1390" s="252"/>
      <c r="D1390" s="252"/>
      <c r="E1390" s="252"/>
      <c r="F1390" s="252"/>
      <c r="G1390" s="252"/>
      <c r="H1390" s="252"/>
      <c r="I1390" s="252"/>
      <c r="J1390" s="252"/>
      <c r="K1390" s="253"/>
    </row>
    <row r="1391" spans="1:11" ht="22" customHeight="1" x14ac:dyDescent="0.35">
      <c r="A1391" s="251"/>
      <c r="B1391" s="252"/>
      <c r="C1391" s="252"/>
      <c r="D1391" s="252"/>
      <c r="E1391" s="252"/>
      <c r="F1391" s="252"/>
      <c r="G1391" s="252"/>
      <c r="H1391" s="252"/>
      <c r="I1391" s="252"/>
      <c r="J1391" s="252"/>
      <c r="K1391" s="253"/>
    </row>
    <row r="1392" spans="1:11" ht="22" customHeight="1" x14ac:dyDescent="0.35">
      <c r="A1392" s="251"/>
      <c r="B1392" s="252"/>
      <c r="C1392" s="252"/>
      <c r="D1392" s="252"/>
      <c r="E1392" s="252"/>
      <c r="F1392" s="252"/>
      <c r="G1392" s="252"/>
      <c r="H1392" s="252"/>
      <c r="I1392" s="252"/>
      <c r="J1392" s="252"/>
      <c r="K1392" s="253"/>
    </row>
    <row r="1393" spans="1:11" ht="22" customHeight="1" x14ac:dyDescent="0.35">
      <c r="A1393" s="251"/>
      <c r="B1393" s="252"/>
      <c r="C1393" s="252"/>
      <c r="D1393" s="252"/>
      <c r="E1393" s="252"/>
      <c r="F1393" s="252"/>
      <c r="G1393" s="252"/>
      <c r="H1393" s="252"/>
      <c r="I1393" s="252"/>
      <c r="J1393" s="252"/>
      <c r="K1393" s="253"/>
    </row>
    <row r="1394" spans="1:11" ht="22" customHeight="1" x14ac:dyDescent="0.35">
      <c r="A1394" s="251"/>
      <c r="B1394" s="252"/>
      <c r="C1394" s="252"/>
      <c r="D1394" s="252"/>
      <c r="E1394" s="252"/>
      <c r="F1394" s="252"/>
      <c r="G1394" s="252"/>
      <c r="H1394" s="252"/>
      <c r="I1394" s="252"/>
      <c r="J1394" s="252"/>
      <c r="K1394" s="253"/>
    </row>
    <row r="1395" spans="1:11" ht="22" customHeight="1" x14ac:dyDescent="0.35">
      <c r="A1395" s="251"/>
      <c r="B1395" s="252"/>
      <c r="C1395" s="252"/>
      <c r="D1395" s="252"/>
      <c r="E1395" s="252"/>
      <c r="F1395" s="252"/>
      <c r="G1395" s="252"/>
      <c r="H1395" s="252"/>
      <c r="I1395" s="252"/>
      <c r="J1395" s="252"/>
      <c r="K1395" s="253"/>
    </row>
    <row r="1396" spans="1:11" ht="22" customHeight="1" x14ac:dyDescent="0.35">
      <c r="A1396" s="251"/>
      <c r="B1396" s="252"/>
      <c r="C1396" s="252"/>
      <c r="D1396" s="252"/>
      <c r="E1396" s="252"/>
      <c r="F1396" s="252"/>
      <c r="G1396" s="252"/>
      <c r="H1396" s="252"/>
      <c r="I1396" s="252"/>
      <c r="J1396" s="252"/>
      <c r="K1396" s="253"/>
    </row>
    <row r="1397" spans="1:11" ht="22" customHeight="1" x14ac:dyDescent="0.35">
      <c r="A1397" s="251"/>
      <c r="B1397" s="252"/>
      <c r="C1397" s="252"/>
      <c r="D1397" s="252"/>
      <c r="E1397" s="252"/>
      <c r="F1397" s="252"/>
      <c r="G1397" s="252"/>
      <c r="H1397" s="252"/>
      <c r="I1397" s="252"/>
      <c r="J1397" s="252"/>
      <c r="K1397" s="253"/>
    </row>
    <row r="1398" spans="1:11" ht="22" customHeight="1" x14ac:dyDescent="0.35">
      <c r="A1398" s="251"/>
      <c r="B1398" s="252"/>
      <c r="C1398" s="252"/>
      <c r="D1398" s="252"/>
      <c r="E1398" s="252"/>
      <c r="F1398" s="252"/>
      <c r="G1398" s="252"/>
      <c r="H1398" s="252"/>
      <c r="I1398" s="252"/>
      <c r="J1398" s="252"/>
      <c r="K1398" s="253"/>
    </row>
    <row r="1399" spans="1:11" ht="22" customHeight="1" x14ac:dyDescent="0.35">
      <c r="A1399" s="251"/>
      <c r="B1399" s="252"/>
      <c r="C1399" s="252"/>
      <c r="D1399" s="252"/>
      <c r="E1399" s="252"/>
      <c r="F1399" s="252"/>
      <c r="G1399" s="252"/>
      <c r="H1399" s="252"/>
      <c r="I1399" s="252"/>
      <c r="J1399" s="252"/>
      <c r="K1399" s="253"/>
    </row>
    <row r="1400" spans="1:11" ht="22" customHeight="1" x14ac:dyDescent="0.35">
      <c r="A1400" s="251"/>
      <c r="B1400" s="252"/>
      <c r="C1400" s="252"/>
      <c r="D1400" s="252"/>
      <c r="E1400" s="252"/>
      <c r="F1400" s="252"/>
      <c r="G1400" s="252"/>
      <c r="H1400" s="252"/>
      <c r="I1400" s="252"/>
      <c r="J1400" s="252"/>
      <c r="K1400" s="253"/>
    </row>
    <row r="1401" spans="1:11" ht="22" customHeight="1" x14ac:dyDescent="0.35">
      <c r="A1401" s="251"/>
      <c r="B1401" s="252"/>
      <c r="C1401" s="252"/>
      <c r="D1401" s="252"/>
      <c r="E1401" s="252"/>
      <c r="F1401" s="252"/>
      <c r="G1401" s="252"/>
      <c r="H1401" s="252"/>
      <c r="I1401" s="252"/>
      <c r="J1401" s="252"/>
      <c r="K1401" s="253"/>
    </row>
    <row r="1402" spans="1:11" ht="22" customHeight="1" x14ac:dyDescent="0.35">
      <c r="A1402" s="251"/>
      <c r="B1402" s="252"/>
      <c r="C1402" s="252"/>
      <c r="D1402" s="252"/>
      <c r="E1402" s="252"/>
      <c r="F1402" s="252"/>
      <c r="G1402" s="252"/>
      <c r="H1402" s="252"/>
      <c r="I1402" s="252"/>
      <c r="J1402" s="252"/>
      <c r="K1402" s="253"/>
    </row>
    <row r="1403" spans="1:11" ht="22" customHeight="1" x14ac:dyDescent="0.35">
      <c r="A1403" s="251"/>
      <c r="B1403" s="252"/>
      <c r="C1403" s="252"/>
      <c r="D1403" s="252"/>
      <c r="E1403" s="252"/>
      <c r="F1403" s="252"/>
      <c r="G1403" s="252"/>
      <c r="H1403" s="252"/>
      <c r="I1403" s="252"/>
      <c r="J1403" s="252"/>
      <c r="K1403" s="253"/>
    </row>
    <row r="1404" spans="1:11" ht="22" customHeight="1" x14ac:dyDescent="0.35">
      <c r="A1404" s="251"/>
      <c r="B1404" s="252"/>
      <c r="C1404" s="252"/>
      <c r="D1404" s="252"/>
      <c r="E1404" s="252"/>
      <c r="F1404" s="252"/>
      <c r="G1404" s="252"/>
      <c r="H1404" s="252"/>
      <c r="I1404" s="252"/>
      <c r="J1404" s="252"/>
      <c r="K1404" s="253"/>
    </row>
    <row r="1405" spans="1:11" ht="22" customHeight="1" x14ac:dyDescent="0.35">
      <c r="A1405" s="251"/>
      <c r="B1405" s="252"/>
      <c r="C1405" s="252"/>
      <c r="D1405" s="252"/>
      <c r="E1405" s="252"/>
      <c r="F1405" s="252"/>
      <c r="G1405" s="252"/>
      <c r="H1405" s="252"/>
      <c r="I1405" s="252"/>
      <c r="J1405" s="252"/>
      <c r="K1405" s="253"/>
    </row>
    <row r="1406" spans="1:11" ht="22" customHeight="1" x14ac:dyDescent="0.35">
      <c r="A1406" s="251"/>
      <c r="B1406" s="252"/>
      <c r="C1406" s="252"/>
      <c r="D1406" s="252"/>
      <c r="E1406" s="252"/>
      <c r="F1406" s="252"/>
      <c r="G1406" s="252"/>
      <c r="H1406" s="252"/>
      <c r="I1406" s="252"/>
      <c r="J1406" s="252"/>
      <c r="K1406" s="253"/>
    </row>
    <row r="1407" spans="1:11" ht="22" customHeight="1" x14ac:dyDescent="0.35">
      <c r="A1407" s="251"/>
      <c r="B1407" s="252"/>
      <c r="C1407" s="252"/>
      <c r="D1407" s="252"/>
      <c r="E1407" s="252"/>
      <c r="F1407" s="252"/>
      <c r="G1407" s="252"/>
      <c r="H1407" s="252"/>
      <c r="I1407" s="252"/>
      <c r="J1407" s="252"/>
      <c r="K1407" s="253"/>
    </row>
    <row r="1408" spans="1:11" ht="22" customHeight="1" x14ac:dyDescent="0.35">
      <c r="A1408" s="251"/>
      <c r="B1408" s="252"/>
      <c r="C1408" s="252"/>
      <c r="D1408" s="252"/>
      <c r="E1408" s="252"/>
      <c r="F1408" s="252"/>
      <c r="G1408" s="252"/>
      <c r="H1408" s="252"/>
      <c r="I1408" s="252"/>
      <c r="J1408" s="252"/>
      <c r="K1408" s="253"/>
    </row>
    <row r="1409" spans="1:11" ht="22" customHeight="1" x14ac:dyDescent="0.35">
      <c r="A1409" s="251"/>
      <c r="B1409" s="252"/>
      <c r="C1409" s="252"/>
      <c r="D1409" s="252"/>
      <c r="E1409" s="252"/>
      <c r="F1409" s="252"/>
      <c r="G1409" s="252"/>
      <c r="H1409" s="252"/>
      <c r="I1409" s="252"/>
      <c r="J1409" s="252"/>
      <c r="K1409" s="253"/>
    </row>
    <row r="1410" spans="1:11" ht="22" customHeight="1" x14ac:dyDescent="0.35">
      <c r="A1410" s="251"/>
      <c r="B1410" s="252"/>
      <c r="C1410" s="252"/>
      <c r="D1410" s="252"/>
      <c r="E1410" s="252"/>
      <c r="F1410" s="252"/>
      <c r="G1410" s="252"/>
      <c r="H1410" s="252"/>
      <c r="I1410" s="252"/>
      <c r="J1410" s="252"/>
      <c r="K1410" s="253"/>
    </row>
    <row r="1411" spans="1:11" ht="22" customHeight="1" x14ac:dyDescent="0.35">
      <c r="A1411" s="251"/>
      <c r="B1411" s="252"/>
      <c r="C1411" s="252"/>
      <c r="D1411" s="252"/>
      <c r="E1411" s="252"/>
      <c r="F1411" s="252"/>
      <c r="G1411" s="252"/>
      <c r="H1411" s="252"/>
      <c r="I1411" s="252"/>
      <c r="J1411" s="252"/>
      <c r="K1411" s="253"/>
    </row>
    <row r="1412" spans="1:11" ht="22" customHeight="1" x14ac:dyDescent="0.35">
      <c r="A1412" s="251"/>
      <c r="B1412" s="252"/>
      <c r="C1412" s="252"/>
      <c r="D1412" s="252"/>
      <c r="E1412" s="252"/>
      <c r="F1412" s="252"/>
      <c r="G1412" s="252"/>
      <c r="H1412" s="252"/>
      <c r="I1412" s="252"/>
      <c r="J1412" s="252"/>
      <c r="K1412" s="253"/>
    </row>
    <row r="1413" spans="1:11" ht="22" customHeight="1" x14ac:dyDescent="0.35">
      <c r="A1413" s="251"/>
      <c r="B1413" s="252"/>
      <c r="C1413" s="252"/>
      <c r="D1413" s="252"/>
      <c r="E1413" s="252"/>
      <c r="F1413" s="252"/>
      <c r="G1413" s="252"/>
      <c r="H1413" s="252"/>
      <c r="I1413" s="252"/>
      <c r="J1413" s="252"/>
      <c r="K1413" s="253"/>
    </row>
    <row r="1414" spans="1:11" ht="22" customHeight="1" x14ac:dyDescent="0.35">
      <c r="A1414" s="251"/>
      <c r="B1414" s="252"/>
      <c r="C1414" s="252"/>
      <c r="D1414" s="252"/>
      <c r="E1414" s="252"/>
      <c r="F1414" s="252"/>
      <c r="G1414" s="252"/>
      <c r="H1414" s="252"/>
      <c r="I1414" s="252"/>
      <c r="J1414" s="252"/>
      <c r="K1414" s="253"/>
    </row>
    <row r="1415" spans="1:11" ht="22" customHeight="1" x14ac:dyDescent="0.35">
      <c r="A1415" s="251"/>
      <c r="B1415" s="252"/>
      <c r="C1415" s="252"/>
      <c r="D1415" s="252"/>
      <c r="E1415" s="252"/>
      <c r="F1415" s="252"/>
      <c r="G1415" s="252"/>
      <c r="H1415" s="252"/>
      <c r="I1415" s="252"/>
      <c r="J1415" s="252"/>
      <c r="K1415" s="253"/>
    </row>
    <row r="1416" spans="1:11" ht="22" customHeight="1" x14ac:dyDescent="0.35">
      <c r="A1416" s="251"/>
      <c r="B1416" s="252"/>
      <c r="C1416" s="252"/>
      <c r="D1416" s="252"/>
      <c r="E1416" s="252"/>
      <c r="F1416" s="252"/>
      <c r="G1416" s="252"/>
      <c r="H1416" s="252"/>
      <c r="I1416" s="252"/>
      <c r="J1416" s="252"/>
      <c r="K1416" s="253"/>
    </row>
    <row r="1417" spans="1:11" ht="22" customHeight="1" x14ac:dyDescent="0.35">
      <c r="A1417" s="251"/>
      <c r="B1417" s="252"/>
      <c r="C1417" s="252"/>
      <c r="D1417" s="252"/>
      <c r="E1417" s="252"/>
      <c r="F1417" s="252"/>
      <c r="G1417" s="252"/>
      <c r="H1417" s="252"/>
      <c r="I1417" s="252"/>
      <c r="J1417" s="252"/>
      <c r="K1417" s="253"/>
    </row>
    <row r="1418" spans="1:11" ht="22" customHeight="1" x14ac:dyDescent="0.35">
      <c r="A1418" s="251"/>
      <c r="B1418" s="252"/>
      <c r="C1418" s="252"/>
      <c r="D1418" s="252"/>
      <c r="E1418" s="252"/>
      <c r="F1418" s="252"/>
      <c r="G1418" s="252"/>
      <c r="H1418" s="252"/>
      <c r="I1418" s="252"/>
      <c r="J1418" s="252"/>
      <c r="K1418" s="253"/>
    </row>
    <row r="1419" spans="1:11" ht="22" customHeight="1" x14ac:dyDescent="0.35">
      <c r="A1419" s="251"/>
      <c r="B1419" s="252"/>
      <c r="C1419" s="252"/>
      <c r="D1419" s="252"/>
      <c r="E1419" s="252"/>
      <c r="F1419" s="252"/>
      <c r="G1419" s="252"/>
      <c r="H1419" s="252"/>
      <c r="I1419" s="252"/>
      <c r="J1419" s="252"/>
      <c r="K1419" s="253"/>
    </row>
    <row r="1420" spans="1:11" ht="22" customHeight="1" x14ac:dyDescent="0.35">
      <c r="A1420" s="251"/>
      <c r="B1420" s="252"/>
      <c r="C1420" s="252"/>
      <c r="D1420" s="252"/>
      <c r="E1420" s="252"/>
      <c r="F1420" s="252"/>
      <c r="G1420" s="252"/>
      <c r="H1420" s="252"/>
      <c r="I1420" s="252"/>
      <c r="J1420" s="252"/>
      <c r="K1420" s="253"/>
    </row>
    <row r="1421" spans="1:11" ht="22" customHeight="1" x14ac:dyDescent="0.35">
      <c r="A1421" s="251"/>
      <c r="B1421" s="252"/>
      <c r="C1421" s="252"/>
      <c r="D1421" s="252"/>
      <c r="E1421" s="252"/>
      <c r="F1421" s="252"/>
      <c r="G1421" s="252"/>
      <c r="H1421" s="252"/>
      <c r="I1421" s="252"/>
      <c r="J1421" s="252"/>
      <c r="K1421" s="253"/>
    </row>
    <row r="1422" spans="1:11" ht="22" customHeight="1" x14ac:dyDescent="0.35">
      <c r="A1422" s="251"/>
      <c r="B1422" s="252"/>
      <c r="C1422" s="252"/>
      <c r="D1422" s="252"/>
      <c r="E1422" s="252"/>
      <c r="F1422" s="252"/>
      <c r="G1422" s="252"/>
      <c r="H1422" s="252"/>
      <c r="I1422" s="252"/>
      <c r="J1422" s="252"/>
      <c r="K1422" s="253"/>
    </row>
    <row r="1423" spans="1:11" ht="22" customHeight="1" x14ac:dyDescent="0.35">
      <c r="A1423" s="251"/>
      <c r="B1423" s="252"/>
      <c r="C1423" s="252"/>
      <c r="D1423" s="252"/>
      <c r="E1423" s="252"/>
      <c r="F1423" s="252"/>
      <c r="G1423" s="252"/>
      <c r="H1423" s="252"/>
      <c r="I1423" s="252"/>
      <c r="J1423" s="252"/>
      <c r="K1423" s="253"/>
    </row>
    <row r="1424" spans="1:11" ht="22" customHeight="1" x14ac:dyDescent="0.35">
      <c r="A1424" s="251"/>
      <c r="B1424" s="252"/>
      <c r="C1424" s="252"/>
      <c r="D1424" s="252"/>
      <c r="E1424" s="252"/>
      <c r="F1424" s="252"/>
      <c r="G1424" s="252"/>
      <c r="H1424" s="252"/>
      <c r="I1424" s="252"/>
      <c r="J1424" s="252"/>
      <c r="K1424" s="253"/>
    </row>
    <row r="1425" spans="1:11" ht="22" customHeight="1" x14ac:dyDescent="0.35">
      <c r="A1425" s="251"/>
      <c r="B1425" s="252"/>
      <c r="C1425" s="252"/>
      <c r="D1425" s="252"/>
      <c r="E1425" s="252"/>
      <c r="F1425" s="252"/>
      <c r="G1425" s="252"/>
      <c r="H1425" s="252"/>
      <c r="I1425" s="252"/>
      <c r="J1425" s="252"/>
      <c r="K1425" s="253"/>
    </row>
    <row r="1426" spans="1:11" ht="22" customHeight="1" x14ac:dyDescent="0.35">
      <c r="A1426" s="251"/>
      <c r="B1426" s="252"/>
      <c r="C1426" s="252"/>
      <c r="D1426" s="252"/>
      <c r="E1426" s="252"/>
      <c r="F1426" s="252"/>
      <c r="G1426" s="252"/>
      <c r="H1426" s="252"/>
      <c r="I1426" s="252"/>
      <c r="J1426" s="252"/>
      <c r="K1426" s="253"/>
    </row>
    <row r="1427" spans="1:11" ht="22" customHeight="1" x14ac:dyDescent="0.35">
      <c r="A1427" s="251"/>
      <c r="B1427" s="252"/>
      <c r="C1427" s="252"/>
      <c r="D1427" s="252"/>
      <c r="E1427" s="252"/>
      <c r="F1427" s="252"/>
      <c r="G1427" s="252"/>
      <c r="H1427" s="252"/>
      <c r="I1427" s="252"/>
      <c r="J1427" s="252"/>
      <c r="K1427" s="253"/>
    </row>
    <row r="1428" spans="1:11" ht="22" customHeight="1" x14ac:dyDescent="0.35">
      <c r="A1428" s="251"/>
      <c r="B1428" s="252"/>
      <c r="C1428" s="252"/>
      <c r="D1428" s="252"/>
      <c r="E1428" s="252"/>
      <c r="F1428" s="252"/>
      <c r="G1428" s="252"/>
      <c r="H1428" s="252"/>
      <c r="I1428" s="252"/>
      <c r="J1428" s="252"/>
      <c r="K1428" s="253"/>
    </row>
    <row r="1429" spans="1:11" ht="22" customHeight="1" x14ac:dyDescent="0.35">
      <c r="A1429" s="251"/>
      <c r="B1429" s="252"/>
      <c r="C1429" s="252"/>
      <c r="D1429" s="252"/>
      <c r="E1429" s="252"/>
      <c r="F1429" s="252"/>
      <c r="G1429" s="252"/>
      <c r="H1429" s="252"/>
      <c r="I1429" s="252"/>
      <c r="J1429" s="252"/>
      <c r="K1429" s="253"/>
    </row>
    <row r="1430" spans="1:11" ht="22" customHeight="1" x14ac:dyDescent="0.35">
      <c r="A1430" s="251"/>
      <c r="B1430" s="252"/>
      <c r="C1430" s="252"/>
      <c r="D1430" s="252"/>
      <c r="E1430" s="252"/>
      <c r="F1430" s="252"/>
      <c r="G1430" s="252"/>
      <c r="H1430" s="252"/>
      <c r="I1430" s="252"/>
      <c r="J1430" s="252"/>
      <c r="K1430" s="253"/>
    </row>
    <row r="1431" spans="1:11" ht="22" customHeight="1" x14ac:dyDescent="0.35">
      <c r="A1431" s="251"/>
      <c r="B1431" s="252"/>
      <c r="C1431" s="252"/>
      <c r="D1431" s="252"/>
      <c r="E1431" s="252"/>
      <c r="F1431" s="252"/>
      <c r="G1431" s="252"/>
      <c r="H1431" s="252"/>
      <c r="I1431" s="252"/>
      <c r="J1431" s="252"/>
      <c r="K1431" s="253"/>
    </row>
    <row r="1432" spans="1:11" ht="22" customHeight="1" x14ac:dyDescent="0.35">
      <c r="A1432" s="251"/>
      <c r="B1432" s="252"/>
      <c r="C1432" s="252"/>
      <c r="D1432" s="252"/>
      <c r="E1432" s="252"/>
      <c r="F1432" s="252"/>
      <c r="G1432" s="252"/>
      <c r="H1432" s="252"/>
      <c r="I1432" s="252"/>
      <c r="J1432" s="252"/>
      <c r="K1432" s="253"/>
    </row>
    <row r="1433" spans="1:11" ht="22" customHeight="1" x14ac:dyDescent="0.35">
      <c r="A1433" s="251"/>
      <c r="B1433" s="252"/>
      <c r="C1433" s="252"/>
      <c r="D1433" s="252"/>
      <c r="E1433" s="252"/>
      <c r="F1433" s="252"/>
      <c r="G1433" s="252"/>
      <c r="H1433" s="252"/>
      <c r="I1433" s="252"/>
      <c r="J1433" s="252"/>
      <c r="K1433" s="253"/>
    </row>
    <row r="1434" spans="1:11" ht="22" customHeight="1" x14ac:dyDescent="0.35">
      <c r="A1434" s="251"/>
      <c r="B1434" s="252"/>
      <c r="C1434" s="252"/>
      <c r="D1434" s="252"/>
      <c r="E1434" s="252"/>
      <c r="F1434" s="252"/>
      <c r="G1434" s="252"/>
      <c r="H1434" s="252"/>
      <c r="I1434" s="252"/>
      <c r="J1434" s="252"/>
      <c r="K1434" s="253"/>
    </row>
    <row r="1435" spans="1:11" ht="22" customHeight="1" x14ac:dyDescent="0.35">
      <c r="A1435" s="251"/>
      <c r="B1435" s="252"/>
      <c r="C1435" s="252"/>
      <c r="D1435" s="252"/>
      <c r="E1435" s="252"/>
      <c r="F1435" s="252"/>
      <c r="G1435" s="252"/>
      <c r="H1435" s="252"/>
      <c r="I1435" s="252"/>
      <c r="J1435" s="252"/>
      <c r="K1435" s="253"/>
    </row>
    <row r="1436" spans="1:11" ht="22" customHeight="1" x14ac:dyDescent="0.35">
      <c r="A1436" s="251"/>
      <c r="B1436" s="252"/>
      <c r="C1436" s="252"/>
      <c r="D1436" s="252"/>
      <c r="E1436" s="252"/>
      <c r="F1436" s="252"/>
      <c r="G1436" s="252"/>
      <c r="H1436" s="252"/>
      <c r="I1436" s="252"/>
      <c r="J1436" s="252"/>
      <c r="K1436" s="253"/>
    </row>
    <row r="1437" spans="1:11" ht="22" customHeight="1" x14ac:dyDescent="0.35">
      <c r="A1437" s="251"/>
      <c r="B1437" s="252"/>
      <c r="C1437" s="252"/>
      <c r="D1437" s="252"/>
      <c r="E1437" s="252"/>
      <c r="F1437" s="252"/>
      <c r="G1437" s="252"/>
      <c r="H1437" s="252"/>
      <c r="I1437" s="252"/>
      <c r="J1437" s="252"/>
      <c r="K1437" s="253"/>
    </row>
    <row r="1438" spans="1:11" ht="22" customHeight="1" x14ac:dyDescent="0.35">
      <c r="A1438" s="251"/>
      <c r="B1438" s="252"/>
      <c r="C1438" s="252"/>
      <c r="D1438" s="252"/>
      <c r="E1438" s="252"/>
      <c r="F1438" s="252"/>
      <c r="G1438" s="252"/>
      <c r="H1438" s="252"/>
      <c r="I1438" s="252"/>
      <c r="J1438" s="252"/>
      <c r="K1438" s="253"/>
    </row>
    <row r="1439" spans="1:11" ht="22" customHeight="1" x14ac:dyDescent="0.35">
      <c r="A1439" s="251"/>
      <c r="B1439" s="252"/>
      <c r="C1439" s="252"/>
      <c r="D1439" s="252"/>
      <c r="E1439" s="252"/>
      <c r="F1439" s="252"/>
      <c r="G1439" s="252"/>
      <c r="H1439" s="252"/>
      <c r="I1439" s="252"/>
      <c r="J1439" s="252"/>
      <c r="K1439" s="253"/>
    </row>
    <row r="1440" spans="1:11" ht="22" customHeight="1" x14ac:dyDescent="0.35">
      <c r="A1440" s="251"/>
      <c r="B1440" s="252"/>
      <c r="C1440" s="252"/>
      <c r="D1440" s="252"/>
      <c r="E1440" s="252"/>
      <c r="F1440" s="252"/>
      <c r="G1440" s="252"/>
      <c r="H1440" s="252"/>
      <c r="I1440" s="252"/>
      <c r="J1440" s="252"/>
      <c r="K1440" s="253"/>
    </row>
    <row r="1441" spans="1:11" ht="22" customHeight="1" x14ac:dyDescent="0.35">
      <c r="A1441" s="251"/>
      <c r="B1441" s="252"/>
      <c r="C1441" s="252"/>
      <c r="D1441" s="252"/>
      <c r="E1441" s="252"/>
      <c r="F1441" s="252"/>
      <c r="G1441" s="252"/>
      <c r="H1441" s="252"/>
      <c r="I1441" s="252"/>
      <c r="J1441" s="252"/>
      <c r="K1441" s="253"/>
    </row>
    <row r="1442" spans="1:11" ht="22" customHeight="1" x14ac:dyDescent="0.35">
      <c r="A1442" s="251"/>
      <c r="B1442" s="252"/>
      <c r="C1442" s="252"/>
      <c r="D1442" s="252"/>
      <c r="E1442" s="252"/>
      <c r="F1442" s="252"/>
      <c r="G1442" s="252"/>
      <c r="H1442" s="252"/>
      <c r="I1442" s="252"/>
      <c r="J1442" s="252"/>
      <c r="K1442" s="253"/>
    </row>
    <row r="1443" spans="1:11" ht="22" customHeight="1" x14ac:dyDescent="0.35">
      <c r="A1443" s="251"/>
      <c r="B1443" s="252"/>
      <c r="C1443" s="252"/>
      <c r="D1443" s="252"/>
      <c r="E1443" s="252"/>
      <c r="F1443" s="252"/>
      <c r="G1443" s="252"/>
      <c r="H1443" s="252"/>
      <c r="I1443" s="252"/>
      <c r="J1443" s="252"/>
      <c r="K1443" s="253"/>
    </row>
    <row r="1444" spans="1:11" ht="22" customHeight="1" x14ac:dyDescent="0.35">
      <c r="A1444" s="251"/>
      <c r="B1444" s="252"/>
      <c r="C1444" s="252"/>
      <c r="D1444" s="252"/>
      <c r="E1444" s="252"/>
      <c r="F1444" s="252"/>
      <c r="G1444" s="252"/>
      <c r="H1444" s="252"/>
      <c r="I1444" s="252"/>
      <c r="J1444" s="252"/>
      <c r="K1444" s="253"/>
    </row>
    <row r="1445" spans="1:11" ht="22" customHeight="1" x14ac:dyDescent="0.35">
      <c r="A1445" s="251"/>
      <c r="B1445" s="252"/>
      <c r="C1445" s="252"/>
      <c r="D1445" s="252"/>
      <c r="E1445" s="252"/>
      <c r="F1445" s="252"/>
      <c r="G1445" s="252"/>
      <c r="H1445" s="252"/>
      <c r="I1445" s="252"/>
      <c r="J1445" s="252"/>
      <c r="K1445" s="253"/>
    </row>
    <row r="1446" spans="1:11" ht="22" customHeight="1" x14ac:dyDescent="0.35">
      <c r="A1446" s="251"/>
      <c r="B1446" s="252"/>
      <c r="C1446" s="252"/>
      <c r="D1446" s="252"/>
      <c r="E1446" s="252"/>
      <c r="F1446" s="252"/>
      <c r="G1446" s="252"/>
      <c r="H1446" s="252"/>
      <c r="I1446" s="252"/>
      <c r="J1446" s="252"/>
      <c r="K1446" s="253"/>
    </row>
    <row r="1447" spans="1:11" ht="22" customHeight="1" x14ac:dyDescent="0.35">
      <c r="A1447" s="251"/>
      <c r="B1447" s="252"/>
      <c r="C1447" s="252"/>
      <c r="D1447" s="252"/>
      <c r="E1447" s="252"/>
      <c r="F1447" s="252"/>
      <c r="G1447" s="252"/>
      <c r="H1447" s="252"/>
      <c r="I1447" s="252"/>
      <c r="J1447" s="252"/>
      <c r="K1447" s="253"/>
    </row>
    <row r="1448" spans="1:11" ht="22" customHeight="1" x14ac:dyDescent="0.35">
      <c r="A1448" s="251"/>
      <c r="B1448" s="252"/>
      <c r="C1448" s="252"/>
      <c r="D1448" s="252"/>
      <c r="E1448" s="252"/>
      <c r="F1448" s="252"/>
      <c r="G1448" s="252"/>
      <c r="H1448" s="252"/>
      <c r="I1448" s="252"/>
      <c r="J1448" s="252"/>
      <c r="K1448" s="253"/>
    </row>
    <row r="1449" spans="1:11" ht="22" customHeight="1" x14ac:dyDescent="0.35">
      <c r="A1449" s="251"/>
      <c r="B1449" s="252"/>
      <c r="C1449" s="252"/>
      <c r="D1449" s="252"/>
      <c r="E1449" s="252"/>
      <c r="F1449" s="252"/>
      <c r="G1449" s="252"/>
      <c r="H1449" s="252"/>
      <c r="I1449" s="252"/>
      <c r="J1449" s="252"/>
      <c r="K1449" s="253"/>
    </row>
    <row r="1450" spans="1:11" ht="22" customHeight="1" x14ac:dyDescent="0.35">
      <c r="A1450" s="251"/>
      <c r="B1450" s="252"/>
      <c r="C1450" s="252"/>
      <c r="D1450" s="252"/>
      <c r="E1450" s="252"/>
      <c r="F1450" s="252"/>
      <c r="G1450" s="252"/>
      <c r="H1450" s="252"/>
      <c r="I1450" s="252"/>
      <c r="J1450" s="252"/>
      <c r="K1450" s="253"/>
    </row>
    <row r="1451" spans="1:11" ht="22" customHeight="1" x14ac:dyDescent="0.35">
      <c r="A1451" s="251"/>
      <c r="B1451" s="252"/>
      <c r="C1451" s="252"/>
      <c r="D1451" s="252"/>
      <c r="E1451" s="252"/>
      <c r="F1451" s="252"/>
      <c r="G1451" s="252"/>
      <c r="H1451" s="252"/>
      <c r="I1451" s="252"/>
      <c r="J1451" s="252"/>
      <c r="K1451" s="253"/>
    </row>
    <row r="1452" spans="1:11" ht="22" customHeight="1" x14ac:dyDescent="0.35">
      <c r="A1452" s="251"/>
      <c r="B1452" s="252"/>
      <c r="C1452" s="252"/>
      <c r="D1452" s="252"/>
      <c r="E1452" s="252"/>
      <c r="F1452" s="252"/>
      <c r="G1452" s="252"/>
      <c r="H1452" s="252"/>
      <c r="I1452" s="252"/>
      <c r="J1452" s="252"/>
      <c r="K1452" s="253"/>
    </row>
    <row r="1453" spans="1:11" ht="22" customHeight="1" x14ac:dyDescent="0.35">
      <c r="A1453" s="251"/>
      <c r="B1453" s="252"/>
      <c r="C1453" s="252"/>
      <c r="D1453" s="252"/>
      <c r="E1453" s="252"/>
      <c r="F1453" s="252"/>
      <c r="G1453" s="252"/>
      <c r="H1453" s="252"/>
      <c r="I1453" s="252"/>
      <c r="J1453" s="252"/>
      <c r="K1453" s="253"/>
    </row>
    <row r="1454" spans="1:11" ht="22" customHeight="1" x14ac:dyDescent="0.35">
      <c r="A1454" s="251"/>
      <c r="B1454" s="252"/>
      <c r="C1454" s="252"/>
      <c r="D1454" s="252"/>
      <c r="E1454" s="252"/>
      <c r="F1454" s="252"/>
      <c r="G1454" s="252"/>
      <c r="H1454" s="252"/>
      <c r="I1454" s="252"/>
      <c r="J1454" s="252"/>
      <c r="K1454" s="253"/>
    </row>
    <row r="1455" spans="1:11" ht="22" customHeight="1" x14ac:dyDescent="0.35">
      <c r="A1455" s="251"/>
      <c r="B1455" s="252"/>
      <c r="C1455" s="252"/>
      <c r="D1455" s="252"/>
      <c r="E1455" s="252"/>
      <c r="F1455" s="252"/>
      <c r="G1455" s="252"/>
      <c r="H1455" s="252"/>
      <c r="I1455" s="252"/>
      <c r="J1455" s="252"/>
      <c r="K1455" s="253"/>
    </row>
    <row r="1456" spans="1:11" ht="22" customHeight="1" x14ac:dyDescent="0.35">
      <c r="A1456" s="251"/>
      <c r="B1456" s="252"/>
      <c r="C1456" s="252"/>
      <c r="D1456" s="252"/>
      <c r="E1456" s="252"/>
      <c r="F1456" s="252"/>
      <c r="G1456" s="252"/>
      <c r="H1456" s="252"/>
      <c r="I1456" s="252"/>
      <c r="J1456" s="252"/>
      <c r="K1456" s="253"/>
    </row>
    <row r="1457" spans="1:11" ht="22" customHeight="1" x14ac:dyDescent="0.35">
      <c r="A1457" s="251"/>
      <c r="B1457" s="252"/>
      <c r="C1457" s="252"/>
      <c r="D1457" s="252"/>
      <c r="E1457" s="252"/>
      <c r="F1457" s="252"/>
      <c r="G1457" s="252"/>
      <c r="H1457" s="252"/>
      <c r="I1457" s="252"/>
      <c r="J1457" s="252"/>
      <c r="K1457" s="253"/>
    </row>
    <row r="1458" spans="1:11" ht="22" customHeight="1" x14ac:dyDescent="0.35">
      <c r="A1458" s="251"/>
      <c r="B1458" s="252"/>
      <c r="C1458" s="252"/>
      <c r="D1458" s="252"/>
      <c r="E1458" s="252"/>
      <c r="F1458" s="252"/>
      <c r="G1458" s="252"/>
      <c r="H1458" s="252"/>
      <c r="I1458" s="252"/>
      <c r="J1458" s="252"/>
      <c r="K1458" s="253"/>
    </row>
    <row r="1459" spans="1:11" ht="22" customHeight="1" x14ac:dyDescent="0.35">
      <c r="A1459" s="251"/>
      <c r="B1459" s="252"/>
      <c r="C1459" s="252"/>
      <c r="D1459" s="252"/>
      <c r="E1459" s="252"/>
      <c r="F1459" s="252"/>
      <c r="G1459" s="252"/>
      <c r="H1459" s="252"/>
      <c r="I1459" s="252"/>
      <c r="J1459" s="252"/>
      <c r="K1459" s="253"/>
    </row>
    <row r="1460" spans="1:11" ht="22" customHeight="1" x14ac:dyDescent="0.35">
      <c r="A1460" s="251"/>
      <c r="B1460" s="252"/>
      <c r="C1460" s="252"/>
      <c r="D1460" s="252"/>
      <c r="E1460" s="252"/>
      <c r="F1460" s="252"/>
      <c r="G1460" s="252"/>
      <c r="H1460" s="252"/>
      <c r="I1460" s="252"/>
      <c r="J1460" s="252"/>
      <c r="K1460" s="253"/>
    </row>
    <row r="1461" spans="1:11" ht="22" customHeight="1" x14ac:dyDescent="0.35">
      <c r="A1461" s="251"/>
      <c r="B1461" s="252"/>
      <c r="C1461" s="252"/>
      <c r="D1461" s="252"/>
      <c r="E1461" s="252"/>
      <c r="F1461" s="252"/>
      <c r="G1461" s="252"/>
      <c r="H1461" s="252"/>
      <c r="I1461" s="252"/>
      <c r="J1461" s="252"/>
      <c r="K1461" s="253"/>
    </row>
    <row r="1462" spans="1:11" ht="22" customHeight="1" x14ac:dyDescent="0.35">
      <c r="A1462" s="251"/>
      <c r="B1462" s="252"/>
      <c r="C1462" s="252"/>
      <c r="D1462" s="252"/>
      <c r="E1462" s="252"/>
      <c r="F1462" s="252"/>
      <c r="G1462" s="252"/>
      <c r="H1462" s="252"/>
      <c r="I1462" s="252"/>
      <c r="J1462" s="252"/>
      <c r="K1462" s="253"/>
    </row>
    <row r="1463" spans="1:11" ht="22" customHeight="1" x14ac:dyDescent="0.35">
      <c r="A1463" s="251"/>
      <c r="B1463" s="252"/>
      <c r="C1463" s="252"/>
      <c r="D1463" s="252"/>
      <c r="E1463" s="252"/>
      <c r="F1463" s="252"/>
      <c r="G1463" s="252"/>
      <c r="H1463" s="252"/>
      <c r="I1463" s="252"/>
      <c r="J1463" s="252"/>
      <c r="K1463" s="253"/>
    </row>
    <row r="1464" spans="1:11" ht="22" customHeight="1" x14ac:dyDescent="0.35">
      <c r="A1464" s="251"/>
      <c r="B1464" s="252"/>
      <c r="C1464" s="252"/>
      <c r="D1464" s="252"/>
      <c r="E1464" s="252"/>
      <c r="F1464" s="252"/>
      <c r="G1464" s="252"/>
      <c r="H1464" s="252"/>
      <c r="I1464" s="252"/>
      <c r="J1464" s="252"/>
      <c r="K1464" s="253"/>
    </row>
    <row r="1465" spans="1:11" ht="22" customHeight="1" x14ac:dyDescent="0.35">
      <c r="A1465" s="251"/>
      <c r="B1465" s="252"/>
      <c r="C1465" s="252"/>
      <c r="D1465" s="252"/>
      <c r="E1465" s="252"/>
      <c r="F1465" s="252"/>
      <c r="G1465" s="252"/>
      <c r="H1465" s="252"/>
      <c r="I1465" s="252"/>
      <c r="J1465" s="252"/>
      <c r="K1465" s="253"/>
    </row>
    <row r="1466" spans="1:11" ht="22" customHeight="1" x14ac:dyDescent="0.35">
      <c r="A1466" s="251"/>
      <c r="B1466" s="252"/>
      <c r="C1466" s="252"/>
      <c r="D1466" s="252"/>
      <c r="E1466" s="252"/>
      <c r="F1466" s="252"/>
      <c r="G1466" s="252"/>
      <c r="H1466" s="252"/>
      <c r="I1466" s="252"/>
      <c r="J1466" s="252"/>
      <c r="K1466" s="253"/>
    </row>
    <row r="1467" spans="1:11" ht="22" customHeight="1" x14ac:dyDescent="0.35">
      <c r="A1467" s="251"/>
      <c r="B1467" s="252"/>
      <c r="C1467" s="252"/>
      <c r="D1467" s="252"/>
      <c r="E1467" s="252"/>
      <c r="F1467" s="252"/>
      <c r="G1467" s="252"/>
      <c r="H1467" s="252"/>
      <c r="I1467" s="252"/>
      <c r="J1467" s="252"/>
      <c r="K1467" s="253"/>
    </row>
    <row r="1468" spans="1:11" ht="22" customHeight="1" x14ac:dyDescent="0.35">
      <c r="A1468" s="251"/>
      <c r="B1468" s="252"/>
      <c r="C1468" s="252"/>
      <c r="D1468" s="252"/>
      <c r="E1468" s="252"/>
      <c r="F1468" s="252"/>
      <c r="G1468" s="252"/>
      <c r="H1468" s="252"/>
      <c r="I1468" s="252"/>
      <c r="J1468" s="252"/>
      <c r="K1468" s="253"/>
    </row>
    <row r="1469" spans="1:11" ht="22" customHeight="1" x14ac:dyDescent="0.35">
      <c r="A1469" s="251"/>
      <c r="B1469" s="252"/>
      <c r="C1469" s="252"/>
      <c r="D1469" s="252"/>
      <c r="E1469" s="252"/>
      <c r="F1469" s="252"/>
      <c r="G1469" s="252"/>
      <c r="H1469" s="252"/>
      <c r="I1469" s="252"/>
      <c r="J1469" s="252"/>
      <c r="K1469" s="253"/>
    </row>
    <row r="1470" spans="1:11" ht="22" customHeight="1" x14ac:dyDescent="0.35">
      <c r="A1470" s="251"/>
      <c r="B1470" s="252"/>
      <c r="C1470" s="252"/>
      <c r="D1470" s="252"/>
      <c r="E1470" s="252"/>
      <c r="F1470" s="252"/>
      <c r="G1470" s="252"/>
      <c r="H1470" s="252"/>
      <c r="I1470" s="252"/>
      <c r="J1470" s="252"/>
      <c r="K1470" s="253"/>
    </row>
    <row r="1471" spans="1:11" ht="22" customHeight="1" x14ac:dyDescent="0.35">
      <c r="A1471" s="251"/>
      <c r="B1471" s="252"/>
      <c r="C1471" s="252"/>
      <c r="D1471" s="252"/>
      <c r="E1471" s="252"/>
      <c r="F1471" s="252"/>
      <c r="G1471" s="252"/>
      <c r="H1471" s="252"/>
      <c r="I1471" s="252"/>
      <c r="J1471" s="252"/>
      <c r="K1471" s="253"/>
    </row>
    <row r="1472" spans="1:11" ht="22" customHeight="1" x14ac:dyDescent="0.35">
      <c r="A1472" s="251"/>
      <c r="B1472" s="252"/>
      <c r="C1472" s="252"/>
      <c r="D1472" s="252"/>
      <c r="E1472" s="252"/>
      <c r="F1472" s="252"/>
      <c r="G1472" s="252"/>
      <c r="H1472" s="252"/>
      <c r="I1472" s="252"/>
      <c r="J1472" s="252"/>
      <c r="K1472" s="253"/>
    </row>
    <row r="1473" spans="1:11" ht="22" customHeight="1" x14ac:dyDescent="0.35">
      <c r="A1473" s="251"/>
      <c r="B1473" s="252"/>
      <c r="C1473" s="252"/>
      <c r="D1473" s="252"/>
      <c r="E1473" s="252"/>
      <c r="F1473" s="252"/>
      <c r="G1473" s="252"/>
      <c r="H1473" s="252"/>
      <c r="I1473" s="252"/>
      <c r="J1473" s="252"/>
      <c r="K1473" s="253"/>
    </row>
    <row r="1474" spans="1:11" ht="22" customHeight="1" x14ac:dyDescent="0.35">
      <c r="A1474" s="251"/>
      <c r="B1474" s="252"/>
      <c r="C1474" s="252"/>
      <c r="D1474" s="252"/>
      <c r="E1474" s="252"/>
      <c r="F1474" s="252"/>
      <c r="G1474" s="252"/>
      <c r="H1474" s="252"/>
      <c r="I1474" s="252"/>
      <c r="J1474" s="252"/>
      <c r="K1474" s="253"/>
    </row>
    <row r="1475" spans="1:11" ht="22" customHeight="1" x14ac:dyDescent="0.35">
      <c r="A1475" s="251"/>
      <c r="B1475" s="252"/>
      <c r="C1475" s="252"/>
      <c r="D1475" s="252"/>
      <c r="E1475" s="252"/>
      <c r="F1475" s="252"/>
      <c r="G1475" s="252"/>
      <c r="H1475" s="252"/>
      <c r="I1475" s="252"/>
      <c r="J1475" s="252"/>
      <c r="K1475" s="253"/>
    </row>
    <row r="1476" spans="1:11" ht="22" customHeight="1" x14ac:dyDescent="0.35">
      <c r="A1476" s="251"/>
      <c r="B1476" s="252"/>
      <c r="C1476" s="252"/>
      <c r="D1476" s="252"/>
      <c r="E1476" s="252"/>
      <c r="F1476" s="252"/>
      <c r="G1476" s="252"/>
      <c r="H1476" s="252"/>
      <c r="I1476" s="252"/>
      <c r="J1476" s="252"/>
      <c r="K1476" s="253"/>
    </row>
    <row r="1477" spans="1:11" ht="22" customHeight="1" x14ac:dyDescent="0.35">
      <c r="A1477" s="251"/>
      <c r="B1477" s="252"/>
      <c r="C1477" s="252"/>
      <c r="D1477" s="252"/>
      <c r="E1477" s="252"/>
      <c r="F1477" s="252"/>
      <c r="G1477" s="252"/>
      <c r="H1477" s="252"/>
      <c r="I1477" s="252"/>
      <c r="J1477" s="252"/>
      <c r="K1477" s="253"/>
    </row>
    <row r="1478" spans="1:11" ht="22" customHeight="1" x14ac:dyDescent="0.35">
      <c r="A1478" s="251"/>
      <c r="B1478" s="252"/>
      <c r="C1478" s="252"/>
      <c r="D1478" s="252"/>
      <c r="E1478" s="252"/>
      <c r="F1478" s="252"/>
      <c r="G1478" s="252"/>
      <c r="H1478" s="252"/>
      <c r="I1478" s="252"/>
      <c r="J1478" s="252"/>
      <c r="K1478" s="253"/>
    </row>
    <row r="1479" spans="1:11" ht="22" customHeight="1" x14ac:dyDescent="0.35">
      <c r="A1479" s="251"/>
      <c r="B1479" s="252"/>
      <c r="C1479" s="252"/>
      <c r="D1479" s="252"/>
      <c r="E1479" s="252"/>
      <c r="F1479" s="252"/>
      <c r="G1479" s="252"/>
      <c r="H1479" s="252"/>
      <c r="I1479" s="252"/>
      <c r="J1479" s="252"/>
      <c r="K1479" s="253"/>
    </row>
    <row r="1480" spans="1:11" ht="22" customHeight="1" x14ac:dyDescent="0.35">
      <c r="A1480" s="251"/>
      <c r="B1480" s="252"/>
      <c r="C1480" s="252"/>
      <c r="D1480" s="252"/>
      <c r="E1480" s="252"/>
      <c r="F1480" s="252"/>
      <c r="G1480" s="252"/>
      <c r="H1480" s="252"/>
      <c r="I1480" s="252"/>
      <c r="J1480" s="252"/>
      <c r="K1480" s="253"/>
    </row>
    <row r="1481" spans="1:11" ht="22" customHeight="1" x14ac:dyDescent="0.35">
      <c r="A1481" s="251"/>
      <c r="B1481" s="252"/>
      <c r="C1481" s="252"/>
      <c r="D1481" s="252"/>
      <c r="E1481" s="252"/>
      <c r="F1481" s="252"/>
      <c r="G1481" s="252"/>
      <c r="H1481" s="252"/>
      <c r="I1481" s="252"/>
      <c r="J1481" s="252"/>
      <c r="K1481" s="253"/>
    </row>
    <row r="1482" spans="1:11" ht="22" customHeight="1" x14ac:dyDescent="0.35">
      <c r="A1482" s="251"/>
      <c r="B1482" s="252"/>
      <c r="C1482" s="252"/>
      <c r="D1482" s="252"/>
      <c r="E1482" s="252"/>
      <c r="F1482" s="252"/>
      <c r="G1482" s="252"/>
      <c r="H1482" s="252"/>
      <c r="I1482" s="252"/>
      <c r="J1482" s="252"/>
      <c r="K1482" s="253"/>
    </row>
    <row r="1483" spans="1:11" ht="22" customHeight="1" x14ac:dyDescent="0.35">
      <c r="A1483" s="251"/>
      <c r="B1483" s="252"/>
      <c r="C1483" s="252"/>
      <c r="D1483" s="252"/>
      <c r="E1483" s="252"/>
      <c r="F1483" s="252"/>
      <c r="G1483" s="252"/>
      <c r="H1483" s="252"/>
      <c r="I1483" s="252"/>
      <c r="J1483" s="252"/>
      <c r="K1483" s="253"/>
    </row>
    <row r="1484" spans="1:11" ht="22" customHeight="1" x14ac:dyDescent="0.35">
      <c r="A1484" s="251"/>
      <c r="B1484" s="252"/>
      <c r="C1484" s="252"/>
      <c r="D1484" s="252"/>
      <c r="E1484" s="252"/>
      <c r="F1484" s="252"/>
      <c r="G1484" s="252"/>
      <c r="H1484" s="252"/>
      <c r="I1484" s="252"/>
      <c r="J1484" s="252"/>
      <c r="K1484" s="253"/>
    </row>
    <row r="1485" spans="1:11" ht="22" customHeight="1" x14ac:dyDescent="0.35">
      <c r="A1485" s="251"/>
      <c r="B1485" s="252"/>
      <c r="C1485" s="252"/>
      <c r="D1485" s="252"/>
      <c r="E1485" s="252"/>
      <c r="F1485" s="252"/>
      <c r="G1485" s="252"/>
      <c r="H1485" s="252"/>
      <c r="I1485" s="252"/>
      <c r="J1485" s="252"/>
      <c r="K1485" s="253"/>
    </row>
    <row r="1486" spans="1:11" ht="22" customHeight="1" x14ac:dyDescent="0.35">
      <c r="A1486" s="251"/>
      <c r="B1486" s="252"/>
      <c r="C1486" s="252"/>
      <c r="D1486" s="252"/>
      <c r="E1486" s="252"/>
      <c r="F1486" s="252"/>
      <c r="G1486" s="252"/>
      <c r="H1486" s="252"/>
      <c r="I1486" s="252"/>
      <c r="J1486" s="252"/>
      <c r="K1486" s="253"/>
    </row>
    <row r="1487" spans="1:11" ht="22" customHeight="1" x14ac:dyDescent="0.35">
      <c r="A1487" s="251"/>
      <c r="B1487" s="252"/>
      <c r="C1487" s="252"/>
      <c r="D1487" s="252"/>
      <c r="E1487" s="252"/>
      <c r="F1487" s="252"/>
      <c r="G1487" s="252"/>
      <c r="H1487" s="252"/>
      <c r="I1487" s="252"/>
      <c r="J1487" s="252"/>
      <c r="K1487" s="253"/>
    </row>
    <row r="1488" spans="1:11" ht="22" customHeight="1" x14ac:dyDescent="0.35">
      <c r="A1488" s="251"/>
      <c r="B1488" s="252"/>
      <c r="C1488" s="252"/>
      <c r="D1488" s="252"/>
      <c r="E1488" s="252"/>
      <c r="F1488" s="252"/>
      <c r="G1488" s="252"/>
      <c r="H1488" s="252"/>
      <c r="I1488" s="252"/>
      <c r="J1488" s="252"/>
      <c r="K1488" s="253"/>
    </row>
    <row r="1489" spans="1:11" ht="22" customHeight="1" x14ac:dyDescent="0.35">
      <c r="A1489" s="251"/>
      <c r="B1489" s="252"/>
      <c r="C1489" s="252"/>
      <c r="D1489" s="252"/>
      <c r="E1489" s="252"/>
      <c r="F1489" s="252"/>
      <c r="G1489" s="252"/>
      <c r="H1489" s="252"/>
      <c r="I1489" s="252"/>
      <c r="J1489" s="252"/>
      <c r="K1489" s="253"/>
    </row>
    <row r="1490" spans="1:11" ht="22" customHeight="1" x14ac:dyDescent="0.35">
      <c r="A1490" s="251"/>
      <c r="B1490" s="252"/>
      <c r="C1490" s="252"/>
      <c r="D1490" s="252"/>
      <c r="E1490" s="252"/>
      <c r="F1490" s="252"/>
      <c r="G1490" s="252"/>
      <c r="H1490" s="252"/>
      <c r="I1490" s="252"/>
      <c r="J1490" s="252"/>
      <c r="K1490" s="253"/>
    </row>
    <row r="1491" spans="1:11" ht="22" customHeight="1" x14ac:dyDescent="0.35">
      <c r="A1491" s="251"/>
      <c r="B1491" s="252"/>
      <c r="C1491" s="252"/>
      <c r="D1491" s="252"/>
      <c r="E1491" s="252"/>
      <c r="F1491" s="252"/>
      <c r="G1491" s="252"/>
      <c r="H1491" s="252"/>
      <c r="I1491" s="252"/>
      <c r="J1491" s="252"/>
      <c r="K1491" s="253"/>
    </row>
    <row r="1492" spans="1:11" ht="22" customHeight="1" x14ac:dyDescent="0.35">
      <c r="A1492" s="251"/>
      <c r="B1492" s="252"/>
      <c r="C1492" s="252"/>
      <c r="D1492" s="252"/>
      <c r="E1492" s="252"/>
      <c r="F1492" s="252"/>
      <c r="G1492" s="252"/>
      <c r="H1492" s="252"/>
      <c r="I1492" s="252"/>
      <c r="J1492" s="252"/>
      <c r="K1492" s="253"/>
    </row>
    <row r="1493" spans="1:11" ht="22" customHeight="1" x14ac:dyDescent="0.35">
      <c r="A1493" s="251"/>
      <c r="B1493" s="252"/>
      <c r="C1493" s="252"/>
      <c r="D1493" s="252"/>
      <c r="E1493" s="252"/>
      <c r="F1493" s="252"/>
      <c r="G1493" s="252"/>
      <c r="H1493" s="252"/>
      <c r="I1493" s="252"/>
      <c r="J1493" s="252"/>
      <c r="K1493" s="253"/>
    </row>
    <row r="1494" spans="1:11" ht="22" customHeight="1" x14ac:dyDescent="0.35">
      <c r="A1494" s="251"/>
      <c r="B1494" s="252"/>
      <c r="C1494" s="252"/>
      <c r="D1494" s="252"/>
      <c r="E1494" s="252"/>
      <c r="F1494" s="252"/>
      <c r="G1494" s="252"/>
      <c r="H1494" s="252"/>
      <c r="I1494" s="252"/>
      <c r="J1494" s="252"/>
      <c r="K1494" s="253"/>
    </row>
    <row r="1495" spans="1:11" ht="22" customHeight="1" x14ac:dyDescent="0.35">
      <c r="A1495" s="251"/>
      <c r="B1495" s="252"/>
      <c r="C1495" s="252"/>
      <c r="D1495" s="252"/>
      <c r="E1495" s="252"/>
      <c r="F1495" s="252"/>
      <c r="G1495" s="252"/>
      <c r="H1495" s="252"/>
      <c r="I1495" s="252"/>
      <c r="J1495" s="252"/>
      <c r="K1495" s="253"/>
    </row>
    <row r="1496" spans="1:11" ht="22" customHeight="1" x14ac:dyDescent="0.35">
      <c r="A1496" s="251"/>
      <c r="B1496" s="252"/>
      <c r="C1496" s="252"/>
      <c r="D1496" s="252"/>
      <c r="E1496" s="252"/>
      <c r="F1496" s="252"/>
      <c r="G1496" s="252"/>
      <c r="H1496" s="252"/>
      <c r="I1496" s="252"/>
      <c r="J1496" s="252"/>
      <c r="K1496" s="253"/>
    </row>
    <row r="1497" spans="1:11" ht="22" customHeight="1" x14ac:dyDescent="0.35">
      <c r="A1497" s="251"/>
      <c r="B1497" s="252"/>
      <c r="C1497" s="252"/>
      <c r="D1497" s="252"/>
      <c r="E1497" s="252"/>
      <c r="F1497" s="252"/>
      <c r="G1497" s="252"/>
      <c r="H1497" s="252"/>
      <c r="I1497" s="252"/>
      <c r="J1497" s="252"/>
      <c r="K1497" s="253"/>
    </row>
    <row r="1498" spans="1:11" ht="22" customHeight="1" x14ac:dyDescent="0.35">
      <c r="A1498" s="251"/>
      <c r="B1498" s="252"/>
      <c r="C1498" s="252"/>
      <c r="D1498" s="252"/>
      <c r="E1498" s="252"/>
      <c r="F1498" s="252"/>
      <c r="G1498" s="252"/>
      <c r="H1498" s="252"/>
      <c r="I1498" s="252"/>
      <c r="J1498" s="252"/>
      <c r="K1498" s="253"/>
    </row>
    <row r="1499" spans="1:11" ht="22" customHeight="1" x14ac:dyDescent="0.35">
      <c r="A1499" s="251"/>
      <c r="B1499" s="252"/>
      <c r="C1499" s="252"/>
      <c r="D1499" s="252"/>
      <c r="E1499" s="252"/>
      <c r="F1499" s="252"/>
      <c r="G1499" s="252"/>
      <c r="H1499" s="252"/>
      <c r="I1499" s="252"/>
      <c r="J1499" s="252"/>
      <c r="K1499" s="253"/>
    </row>
    <row r="1500" spans="1:11" ht="22" customHeight="1" x14ac:dyDescent="0.35">
      <c r="A1500" s="251"/>
      <c r="B1500" s="252"/>
      <c r="C1500" s="252"/>
      <c r="D1500" s="252"/>
      <c r="E1500" s="252"/>
      <c r="F1500" s="252"/>
      <c r="G1500" s="252"/>
      <c r="H1500" s="252"/>
      <c r="I1500" s="252"/>
      <c r="J1500" s="252"/>
      <c r="K1500" s="253"/>
    </row>
    <row r="1501" spans="1:11" ht="22" customHeight="1" x14ac:dyDescent="0.35">
      <c r="A1501" s="251"/>
      <c r="B1501" s="252"/>
      <c r="C1501" s="252"/>
      <c r="D1501" s="252"/>
      <c r="E1501" s="252"/>
      <c r="F1501" s="252"/>
      <c r="G1501" s="252"/>
      <c r="H1501" s="252"/>
      <c r="I1501" s="252"/>
      <c r="J1501" s="252"/>
      <c r="K1501" s="253"/>
    </row>
    <row r="1502" spans="1:11" ht="22" customHeight="1" x14ac:dyDescent="0.35">
      <c r="A1502" s="251"/>
      <c r="B1502" s="252"/>
      <c r="C1502" s="252"/>
      <c r="D1502" s="252"/>
      <c r="E1502" s="252"/>
      <c r="F1502" s="252"/>
      <c r="G1502" s="252"/>
      <c r="H1502" s="252"/>
      <c r="I1502" s="252"/>
      <c r="J1502" s="252"/>
      <c r="K1502" s="253"/>
    </row>
    <row r="1503" spans="1:11" ht="22" customHeight="1" x14ac:dyDescent="0.35">
      <c r="A1503" s="251"/>
      <c r="B1503" s="252"/>
      <c r="C1503" s="252"/>
      <c r="D1503" s="252"/>
      <c r="E1503" s="252"/>
      <c r="F1503" s="252"/>
      <c r="G1503" s="252"/>
      <c r="H1503" s="252"/>
      <c r="I1503" s="252"/>
      <c r="J1503" s="252"/>
      <c r="K1503" s="253"/>
    </row>
    <row r="1504" spans="1:11" ht="22" customHeight="1" x14ac:dyDescent="0.35">
      <c r="A1504" s="251"/>
      <c r="B1504" s="252"/>
      <c r="C1504" s="252"/>
      <c r="D1504" s="252"/>
      <c r="E1504" s="252"/>
      <c r="F1504" s="252"/>
      <c r="G1504" s="252"/>
      <c r="H1504" s="252"/>
      <c r="I1504" s="252"/>
      <c r="J1504" s="252"/>
      <c r="K1504" s="253"/>
    </row>
    <row r="1505" spans="1:11" ht="22" customHeight="1" x14ac:dyDescent="0.35">
      <c r="A1505" s="251"/>
      <c r="B1505" s="252"/>
      <c r="C1505" s="252"/>
      <c r="D1505" s="252"/>
      <c r="E1505" s="252"/>
      <c r="F1505" s="252"/>
      <c r="G1505" s="252"/>
      <c r="H1505" s="252"/>
      <c r="I1505" s="252"/>
      <c r="J1505" s="252"/>
      <c r="K1505" s="253"/>
    </row>
    <row r="1506" spans="1:11" ht="22" customHeight="1" x14ac:dyDescent="0.35">
      <c r="A1506" s="251"/>
      <c r="B1506" s="252"/>
      <c r="C1506" s="252"/>
      <c r="D1506" s="252"/>
      <c r="E1506" s="252"/>
      <c r="F1506" s="252"/>
      <c r="G1506" s="252"/>
      <c r="H1506" s="252"/>
      <c r="I1506" s="252"/>
      <c r="J1506" s="252"/>
      <c r="K1506" s="253"/>
    </row>
    <row r="1507" spans="1:11" ht="22" customHeight="1" x14ac:dyDescent="0.35">
      <c r="A1507" s="251"/>
      <c r="B1507" s="252"/>
      <c r="C1507" s="252"/>
      <c r="D1507" s="252"/>
      <c r="E1507" s="252"/>
      <c r="F1507" s="252"/>
      <c r="G1507" s="252"/>
      <c r="H1507" s="252"/>
      <c r="I1507" s="252"/>
      <c r="J1507" s="252"/>
      <c r="K1507" s="253"/>
    </row>
    <row r="1508" spans="1:11" ht="22" customHeight="1" x14ac:dyDescent="0.35">
      <c r="A1508" s="251"/>
      <c r="B1508" s="252"/>
      <c r="C1508" s="252"/>
      <c r="D1508" s="252"/>
      <c r="E1508" s="252"/>
      <c r="F1508" s="252"/>
      <c r="G1508" s="252"/>
      <c r="H1508" s="252"/>
      <c r="I1508" s="252"/>
      <c r="J1508" s="252"/>
      <c r="K1508" s="253"/>
    </row>
    <row r="1509" spans="1:11" ht="22" customHeight="1" x14ac:dyDescent="0.35">
      <c r="A1509" s="251"/>
      <c r="B1509" s="252"/>
      <c r="C1509" s="252"/>
      <c r="D1509" s="252"/>
      <c r="E1509" s="252"/>
      <c r="F1509" s="252"/>
      <c r="G1509" s="252"/>
      <c r="H1509" s="252"/>
      <c r="I1509" s="252"/>
      <c r="J1509" s="252"/>
      <c r="K1509" s="253"/>
    </row>
    <row r="1510" spans="1:11" ht="22" customHeight="1" x14ac:dyDescent="0.35">
      <c r="A1510" s="251"/>
      <c r="B1510" s="252"/>
      <c r="C1510" s="252"/>
      <c r="D1510" s="252"/>
      <c r="E1510" s="252"/>
      <c r="F1510" s="252"/>
      <c r="G1510" s="252"/>
      <c r="H1510" s="252"/>
      <c r="I1510" s="252"/>
      <c r="J1510" s="252"/>
      <c r="K1510" s="253"/>
    </row>
    <row r="1511" spans="1:11" ht="22" customHeight="1" x14ac:dyDescent="0.35">
      <c r="A1511" s="251"/>
      <c r="B1511" s="252"/>
      <c r="C1511" s="252"/>
      <c r="D1511" s="252"/>
      <c r="E1511" s="252"/>
      <c r="F1511" s="252"/>
      <c r="G1511" s="252"/>
      <c r="H1511" s="252"/>
      <c r="I1511" s="252"/>
      <c r="J1511" s="252"/>
      <c r="K1511" s="253"/>
    </row>
    <row r="1512" spans="1:11" ht="22" customHeight="1" x14ac:dyDescent="0.35">
      <c r="A1512" s="251"/>
      <c r="B1512" s="252"/>
      <c r="C1512" s="252"/>
      <c r="D1512" s="252"/>
      <c r="E1512" s="252"/>
      <c r="F1512" s="252"/>
      <c r="G1512" s="252"/>
      <c r="H1512" s="252"/>
      <c r="I1512" s="252"/>
      <c r="J1512" s="252"/>
      <c r="K1512" s="253"/>
    </row>
    <row r="1513" spans="1:11" ht="22" customHeight="1" x14ac:dyDescent="0.35">
      <c r="A1513" s="251"/>
      <c r="B1513" s="252"/>
      <c r="C1513" s="252"/>
      <c r="D1513" s="252"/>
      <c r="E1513" s="252"/>
      <c r="F1513" s="252"/>
      <c r="G1513" s="252"/>
      <c r="H1513" s="252"/>
      <c r="I1513" s="252"/>
      <c r="J1513" s="252"/>
      <c r="K1513" s="253"/>
    </row>
    <row r="1514" spans="1:11" ht="22" customHeight="1" x14ac:dyDescent="0.35">
      <c r="A1514" s="251"/>
      <c r="B1514" s="252"/>
      <c r="C1514" s="252"/>
      <c r="D1514" s="252"/>
      <c r="E1514" s="252"/>
      <c r="F1514" s="252"/>
      <c r="G1514" s="252"/>
      <c r="H1514" s="252"/>
      <c r="I1514" s="252"/>
      <c r="J1514" s="252"/>
      <c r="K1514" s="253"/>
    </row>
    <row r="1515" spans="1:11" ht="22" customHeight="1" x14ac:dyDescent="0.35">
      <c r="A1515" s="251"/>
      <c r="B1515" s="252"/>
      <c r="C1515" s="252"/>
      <c r="D1515" s="252"/>
      <c r="E1515" s="252"/>
      <c r="F1515" s="252"/>
      <c r="G1515" s="252"/>
      <c r="H1515" s="252"/>
      <c r="I1515" s="252"/>
      <c r="J1515" s="252"/>
      <c r="K1515" s="253"/>
    </row>
    <row r="1516" spans="1:11" ht="22" customHeight="1" x14ac:dyDescent="0.35">
      <c r="A1516" s="251"/>
      <c r="B1516" s="252"/>
      <c r="C1516" s="252"/>
      <c r="D1516" s="252"/>
      <c r="E1516" s="252"/>
      <c r="F1516" s="252"/>
      <c r="G1516" s="252"/>
      <c r="H1516" s="252"/>
      <c r="I1516" s="252"/>
      <c r="J1516" s="252"/>
      <c r="K1516" s="253"/>
    </row>
    <row r="1517" spans="1:11" ht="22" customHeight="1" x14ac:dyDescent="0.35">
      <c r="A1517" s="251"/>
      <c r="B1517" s="252"/>
      <c r="C1517" s="252"/>
      <c r="D1517" s="252"/>
      <c r="E1517" s="252"/>
      <c r="F1517" s="252"/>
      <c r="G1517" s="252"/>
      <c r="H1517" s="252"/>
      <c r="I1517" s="252"/>
      <c r="J1517" s="252"/>
      <c r="K1517" s="253"/>
    </row>
    <row r="1518" spans="1:11" ht="22" customHeight="1" x14ac:dyDescent="0.35">
      <c r="A1518" s="251"/>
      <c r="B1518" s="252"/>
      <c r="C1518" s="252"/>
      <c r="D1518" s="252"/>
      <c r="E1518" s="252"/>
      <c r="F1518" s="252"/>
      <c r="G1518" s="252"/>
      <c r="H1518" s="252"/>
      <c r="I1518" s="252"/>
      <c r="J1518" s="252"/>
      <c r="K1518" s="253"/>
    </row>
    <row r="1519" spans="1:11" ht="22" customHeight="1" x14ac:dyDescent="0.35">
      <c r="A1519" s="251"/>
      <c r="B1519" s="252"/>
      <c r="C1519" s="252"/>
      <c r="D1519" s="252"/>
      <c r="E1519" s="252"/>
      <c r="F1519" s="252"/>
      <c r="G1519" s="252"/>
      <c r="H1519" s="252"/>
      <c r="I1519" s="252"/>
      <c r="J1519" s="252"/>
      <c r="K1519" s="253"/>
    </row>
    <row r="1520" spans="1:11" ht="22" customHeight="1" x14ac:dyDescent="0.35">
      <c r="A1520" s="251"/>
      <c r="B1520" s="252"/>
      <c r="C1520" s="252"/>
      <c r="D1520" s="252"/>
      <c r="E1520" s="252"/>
      <c r="F1520" s="252"/>
      <c r="G1520" s="252"/>
      <c r="H1520" s="252"/>
      <c r="I1520" s="252"/>
      <c r="J1520" s="252"/>
      <c r="K1520" s="253"/>
    </row>
    <row r="1521" spans="1:11" ht="22" customHeight="1" x14ac:dyDescent="0.35">
      <c r="A1521" s="251"/>
      <c r="B1521" s="252"/>
      <c r="C1521" s="252"/>
      <c r="D1521" s="252"/>
      <c r="E1521" s="252"/>
      <c r="F1521" s="252"/>
      <c r="G1521" s="252"/>
      <c r="H1521" s="252"/>
      <c r="I1521" s="252"/>
      <c r="J1521" s="252"/>
      <c r="K1521" s="253"/>
    </row>
    <row r="1522" spans="1:11" ht="22" customHeight="1" x14ac:dyDescent="0.35">
      <c r="A1522" s="251"/>
      <c r="B1522" s="252"/>
      <c r="C1522" s="252"/>
      <c r="D1522" s="252"/>
      <c r="E1522" s="252"/>
      <c r="F1522" s="252"/>
      <c r="G1522" s="252"/>
      <c r="H1522" s="252"/>
      <c r="I1522" s="252"/>
      <c r="J1522" s="252"/>
      <c r="K1522" s="253"/>
    </row>
    <row r="1523" spans="1:11" ht="22" customHeight="1" x14ac:dyDescent="0.35">
      <c r="A1523" s="251"/>
      <c r="B1523" s="252"/>
      <c r="C1523" s="252"/>
      <c r="D1523" s="252"/>
      <c r="E1523" s="252"/>
      <c r="F1523" s="252"/>
      <c r="G1523" s="252"/>
      <c r="H1523" s="252"/>
      <c r="I1523" s="252"/>
      <c r="J1523" s="252"/>
      <c r="K1523" s="253"/>
    </row>
    <row r="1524" spans="1:11" ht="22" customHeight="1" x14ac:dyDescent="0.35">
      <c r="A1524" s="251"/>
      <c r="B1524" s="252"/>
      <c r="C1524" s="252"/>
      <c r="D1524" s="252"/>
      <c r="E1524" s="252"/>
      <c r="F1524" s="252"/>
      <c r="G1524" s="252"/>
      <c r="H1524" s="252"/>
      <c r="I1524" s="252"/>
      <c r="J1524" s="252"/>
      <c r="K1524" s="253"/>
    </row>
    <row r="1525" spans="1:11" ht="22" customHeight="1" x14ac:dyDescent="0.35">
      <c r="A1525" s="251"/>
      <c r="B1525" s="252"/>
      <c r="C1525" s="252"/>
      <c r="D1525" s="252"/>
      <c r="E1525" s="252"/>
      <c r="F1525" s="252"/>
      <c r="G1525" s="252"/>
      <c r="H1525" s="252"/>
      <c r="I1525" s="252"/>
      <c r="J1525" s="252"/>
      <c r="K1525" s="253"/>
    </row>
    <row r="1526" spans="1:11" ht="22" customHeight="1" x14ac:dyDescent="0.35">
      <c r="A1526" s="251"/>
      <c r="B1526" s="252"/>
      <c r="C1526" s="252"/>
      <c r="D1526" s="252"/>
      <c r="E1526" s="252"/>
      <c r="F1526" s="252"/>
      <c r="G1526" s="252"/>
      <c r="H1526" s="252"/>
      <c r="I1526" s="252"/>
      <c r="J1526" s="252"/>
      <c r="K1526" s="253"/>
    </row>
    <row r="1527" spans="1:11" ht="22" customHeight="1" x14ac:dyDescent="0.35">
      <c r="A1527" s="251"/>
      <c r="B1527" s="252"/>
      <c r="C1527" s="252"/>
      <c r="D1527" s="252"/>
      <c r="E1527" s="252"/>
      <c r="F1527" s="252"/>
      <c r="G1527" s="252"/>
      <c r="H1527" s="252"/>
      <c r="I1527" s="252"/>
      <c r="J1527" s="252"/>
      <c r="K1527" s="253"/>
    </row>
    <row r="1528" spans="1:11" ht="22" customHeight="1" x14ac:dyDescent="0.35">
      <c r="A1528" s="251"/>
      <c r="B1528" s="252"/>
      <c r="C1528" s="252"/>
      <c r="D1528" s="252"/>
      <c r="E1528" s="252"/>
      <c r="F1528" s="252"/>
      <c r="G1528" s="252"/>
      <c r="H1528" s="252"/>
      <c r="I1528" s="252"/>
      <c r="J1528" s="252"/>
      <c r="K1528" s="253"/>
    </row>
    <row r="1529" spans="1:11" ht="22" customHeight="1" x14ac:dyDescent="0.35">
      <c r="A1529" s="251"/>
      <c r="B1529" s="252"/>
      <c r="C1529" s="252"/>
      <c r="D1529" s="252"/>
      <c r="E1529" s="252"/>
      <c r="F1529" s="252"/>
      <c r="G1529" s="252"/>
      <c r="H1529" s="252"/>
      <c r="I1529" s="252"/>
      <c r="J1529" s="252"/>
      <c r="K1529" s="253"/>
    </row>
    <row r="1530" spans="1:11" ht="22" customHeight="1" x14ac:dyDescent="0.35">
      <c r="A1530" s="251"/>
      <c r="B1530" s="252"/>
      <c r="C1530" s="252"/>
      <c r="D1530" s="252"/>
      <c r="E1530" s="252"/>
      <c r="F1530" s="252"/>
      <c r="G1530" s="252"/>
      <c r="H1530" s="252"/>
      <c r="I1530" s="252"/>
      <c r="J1530" s="252"/>
      <c r="K1530" s="253"/>
    </row>
    <row r="1531" spans="1:11" ht="22" customHeight="1" x14ac:dyDescent="0.35">
      <c r="A1531" s="251"/>
      <c r="B1531" s="252"/>
      <c r="C1531" s="252"/>
      <c r="D1531" s="252"/>
      <c r="E1531" s="252"/>
      <c r="F1531" s="252"/>
      <c r="G1531" s="252"/>
      <c r="H1531" s="252"/>
      <c r="I1531" s="252"/>
      <c r="J1531" s="252"/>
      <c r="K1531" s="253"/>
    </row>
    <row r="1532" spans="1:11" ht="22" customHeight="1" x14ac:dyDescent="0.35">
      <c r="A1532" s="251"/>
      <c r="B1532" s="252"/>
      <c r="C1532" s="252"/>
      <c r="D1532" s="252"/>
      <c r="E1532" s="252"/>
      <c r="F1532" s="252"/>
      <c r="G1532" s="252"/>
      <c r="H1532" s="252"/>
      <c r="I1532" s="252"/>
      <c r="J1532" s="252"/>
      <c r="K1532" s="253"/>
    </row>
    <row r="1533" spans="1:11" ht="22" customHeight="1" x14ac:dyDescent="0.35">
      <c r="A1533" s="251"/>
      <c r="B1533" s="252"/>
      <c r="C1533" s="252"/>
      <c r="D1533" s="252"/>
      <c r="E1533" s="252"/>
      <c r="F1533" s="252"/>
      <c r="G1533" s="252"/>
      <c r="H1533" s="252"/>
      <c r="I1533" s="252"/>
      <c r="J1533" s="252"/>
      <c r="K1533" s="253"/>
    </row>
    <row r="1534" spans="1:11" ht="22" customHeight="1" x14ac:dyDescent="0.35">
      <c r="A1534" s="251"/>
      <c r="B1534" s="252"/>
      <c r="C1534" s="252"/>
      <c r="D1534" s="252"/>
      <c r="E1534" s="252"/>
      <c r="F1534" s="252"/>
      <c r="G1534" s="252"/>
      <c r="H1534" s="252"/>
      <c r="I1534" s="252"/>
      <c r="J1534" s="252"/>
      <c r="K1534" s="253"/>
    </row>
    <row r="1535" spans="1:11" ht="22" customHeight="1" x14ac:dyDescent="0.35">
      <c r="A1535" s="251"/>
      <c r="B1535" s="252"/>
      <c r="C1535" s="252"/>
      <c r="D1535" s="252"/>
      <c r="E1535" s="252"/>
      <c r="F1535" s="252"/>
      <c r="G1535" s="252"/>
      <c r="H1535" s="252"/>
      <c r="I1535" s="252"/>
      <c r="J1535" s="252"/>
      <c r="K1535" s="253"/>
    </row>
    <row r="1536" spans="1:11" ht="22" customHeight="1" x14ac:dyDescent="0.35">
      <c r="A1536" s="251"/>
      <c r="B1536" s="252"/>
      <c r="C1536" s="252"/>
      <c r="D1536" s="252"/>
      <c r="E1536" s="252"/>
      <c r="F1536" s="252"/>
      <c r="G1536" s="252"/>
      <c r="H1536" s="252"/>
      <c r="I1536" s="252"/>
      <c r="J1536" s="252"/>
      <c r="K1536" s="253"/>
    </row>
    <row r="1537" spans="1:11" ht="22" customHeight="1" x14ac:dyDescent="0.35">
      <c r="A1537" s="251"/>
      <c r="B1537" s="252"/>
      <c r="C1537" s="252"/>
      <c r="D1537" s="252"/>
      <c r="E1537" s="252"/>
      <c r="F1537" s="252"/>
      <c r="G1537" s="252"/>
      <c r="H1537" s="252"/>
      <c r="I1537" s="252"/>
      <c r="J1537" s="252"/>
      <c r="K1537" s="253"/>
    </row>
    <row r="1538" spans="1:11" ht="22" customHeight="1" x14ac:dyDescent="0.35">
      <c r="A1538" s="251"/>
      <c r="B1538" s="252"/>
      <c r="C1538" s="252"/>
      <c r="D1538" s="252"/>
      <c r="E1538" s="252"/>
      <c r="F1538" s="252"/>
      <c r="G1538" s="252"/>
      <c r="H1538" s="252"/>
      <c r="I1538" s="252"/>
      <c r="J1538" s="252"/>
      <c r="K1538" s="253"/>
    </row>
    <row r="1539" spans="1:11" ht="22" customHeight="1" x14ac:dyDescent="0.35">
      <c r="A1539" s="251"/>
      <c r="B1539" s="252"/>
      <c r="C1539" s="252"/>
      <c r="D1539" s="252"/>
      <c r="E1539" s="252"/>
      <c r="F1539" s="252"/>
      <c r="G1539" s="252"/>
      <c r="H1539" s="252"/>
      <c r="I1539" s="252"/>
      <c r="J1539" s="252"/>
      <c r="K1539" s="253"/>
    </row>
    <row r="1540" spans="1:11" ht="22" customHeight="1" x14ac:dyDescent="0.35">
      <c r="A1540" s="251"/>
      <c r="B1540" s="252"/>
      <c r="C1540" s="252"/>
      <c r="D1540" s="252"/>
      <c r="E1540" s="252"/>
      <c r="F1540" s="252"/>
      <c r="G1540" s="252"/>
      <c r="H1540" s="252"/>
      <c r="I1540" s="252"/>
      <c r="J1540" s="252"/>
      <c r="K1540" s="253"/>
    </row>
    <row r="1541" spans="1:11" ht="22" customHeight="1" x14ac:dyDescent="0.35">
      <c r="A1541" s="251"/>
      <c r="B1541" s="252"/>
      <c r="C1541" s="252"/>
      <c r="D1541" s="252"/>
      <c r="E1541" s="252"/>
      <c r="F1541" s="252"/>
      <c r="G1541" s="252"/>
      <c r="H1541" s="252"/>
      <c r="I1541" s="252"/>
      <c r="J1541" s="252"/>
      <c r="K1541" s="253"/>
    </row>
    <row r="1542" spans="1:11" ht="22" customHeight="1" x14ac:dyDescent="0.35">
      <c r="A1542" s="251"/>
      <c r="B1542" s="252"/>
      <c r="C1542" s="252"/>
      <c r="D1542" s="252"/>
      <c r="E1542" s="252"/>
      <c r="F1542" s="252"/>
      <c r="G1542" s="252"/>
      <c r="H1542" s="252"/>
      <c r="I1542" s="252"/>
      <c r="J1542" s="252"/>
      <c r="K1542" s="253"/>
    </row>
    <row r="1543" spans="1:11" ht="22" customHeight="1" x14ac:dyDescent="0.35">
      <c r="A1543" s="251"/>
      <c r="B1543" s="252"/>
      <c r="C1543" s="252"/>
      <c r="D1543" s="252"/>
      <c r="E1543" s="252"/>
      <c r="F1543" s="252"/>
      <c r="G1543" s="252"/>
      <c r="H1543" s="252"/>
      <c r="I1543" s="252"/>
      <c r="J1543" s="252"/>
      <c r="K1543" s="253"/>
    </row>
    <row r="1544" spans="1:11" ht="22" customHeight="1" x14ac:dyDescent="0.35">
      <c r="A1544" s="251"/>
      <c r="B1544" s="252"/>
      <c r="C1544" s="252"/>
      <c r="D1544" s="252"/>
      <c r="E1544" s="252"/>
      <c r="F1544" s="252"/>
      <c r="G1544" s="252"/>
      <c r="H1544" s="252"/>
      <c r="I1544" s="252"/>
      <c r="J1544" s="252"/>
      <c r="K1544" s="253"/>
    </row>
    <row r="1545" spans="1:11" ht="22" customHeight="1" x14ac:dyDescent="0.35">
      <c r="A1545" s="251"/>
      <c r="B1545" s="252"/>
      <c r="C1545" s="252"/>
      <c r="D1545" s="252"/>
      <c r="E1545" s="252"/>
      <c r="F1545" s="252"/>
      <c r="G1545" s="252"/>
      <c r="H1545" s="252"/>
      <c r="I1545" s="252"/>
      <c r="J1545" s="252"/>
      <c r="K1545" s="253"/>
    </row>
    <row r="1546" spans="1:11" ht="22" customHeight="1" x14ac:dyDescent="0.35">
      <c r="A1546" s="251"/>
      <c r="B1546" s="252"/>
      <c r="C1546" s="252"/>
      <c r="D1546" s="252"/>
      <c r="E1546" s="252"/>
      <c r="F1546" s="252"/>
      <c r="G1546" s="252"/>
      <c r="H1546" s="252"/>
      <c r="I1546" s="252"/>
      <c r="J1546" s="252"/>
      <c r="K1546" s="253"/>
    </row>
    <row r="1547" spans="1:11" ht="22" customHeight="1" x14ac:dyDescent="0.35">
      <c r="A1547" s="251"/>
      <c r="B1547" s="252"/>
      <c r="C1547" s="252"/>
      <c r="D1547" s="252"/>
      <c r="E1547" s="252"/>
      <c r="F1547" s="252"/>
      <c r="G1547" s="252"/>
      <c r="H1547" s="252"/>
      <c r="I1547" s="252"/>
      <c r="J1547" s="252"/>
      <c r="K1547" s="253"/>
    </row>
    <row r="1548" spans="1:11" ht="22" customHeight="1" x14ac:dyDescent="0.35">
      <c r="A1548" s="251"/>
      <c r="B1548" s="252"/>
      <c r="C1548" s="252"/>
      <c r="D1548" s="252"/>
      <c r="E1548" s="252"/>
      <c r="F1548" s="252"/>
      <c r="G1548" s="252"/>
      <c r="H1548" s="252"/>
      <c r="I1548" s="252"/>
      <c r="J1548" s="252"/>
      <c r="K1548" s="253"/>
    </row>
    <row r="1549" spans="1:11" ht="22" customHeight="1" x14ac:dyDescent="0.35">
      <c r="A1549" s="251"/>
      <c r="B1549" s="252"/>
      <c r="C1549" s="252"/>
      <c r="D1549" s="252"/>
      <c r="E1549" s="252"/>
      <c r="F1549" s="252"/>
      <c r="G1549" s="252"/>
      <c r="H1549" s="252"/>
      <c r="I1549" s="252"/>
      <c r="J1549" s="252"/>
      <c r="K1549" s="253"/>
    </row>
    <row r="1550" spans="1:11" ht="22" customHeight="1" x14ac:dyDescent="0.35">
      <c r="A1550" s="251"/>
      <c r="B1550" s="252"/>
      <c r="C1550" s="252"/>
      <c r="D1550" s="252"/>
      <c r="E1550" s="252"/>
      <c r="F1550" s="252"/>
      <c r="G1550" s="252"/>
      <c r="H1550" s="252"/>
      <c r="I1550" s="252"/>
      <c r="J1550" s="252"/>
      <c r="K1550" s="253"/>
    </row>
    <row r="1551" spans="1:11" ht="22" customHeight="1" x14ac:dyDescent="0.35">
      <c r="A1551" s="251"/>
      <c r="B1551" s="252"/>
      <c r="C1551" s="252"/>
      <c r="D1551" s="252"/>
      <c r="E1551" s="252"/>
      <c r="F1551" s="252"/>
      <c r="G1551" s="252"/>
      <c r="H1551" s="252"/>
      <c r="I1551" s="252"/>
      <c r="J1551" s="252"/>
      <c r="K1551" s="253"/>
    </row>
    <row r="1552" spans="1:11" ht="22" customHeight="1" x14ac:dyDescent="0.35">
      <c r="A1552" s="251"/>
      <c r="B1552" s="252"/>
      <c r="C1552" s="252"/>
      <c r="D1552" s="252"/>
      <c r="E1552" s="252"/>
      <c r="F1552" s="252"/>
      <c r="G1552" s="252"/>
      <c r="H1552" s="252"/>
      <c r="I1552" s="252"/>
      <c r="J1552" s="252"/>
      <c r="K1552" s="253"/>
    </row>
    <row r="1553" spans="1:11" ht="22" customHeight="1" x14ac:dyDescent="0.35">
      <c r="A1553" s="251"/>
      <c r="B1553" s="252"/>
      <c r="C1553" s="252"/>
      <c r="D1553" s="252"/>
      <c r="E1553" s="252"/>
      <c r="F1553" s="252"/>
      <c r="G1553" s="252"/>
      <c r="H1553" s="252"/>
      <c r="I1553" s="252"/>
      <c r="J1553" s="252"/>
      <c r="K1553" s="253"/>
    </row>
    <row r="1554" spans="1:11" ht="22" customHeight="1" x14ac:dyDescent="0.35">
      <c r="A1554" s="251"/>
      <c r="B1554" s="252"/>
      <c r="C1554" s="252"/>
      <c r="D1554" s="252"/>
      <c r="E1554" s="252"/>
      <c r="F1554" s="252"/>
      <c r="G1554" s="252"/>
      <c r="H1554" s="252"/>
      <c r="I1554" s="252"/>
      <c r="J1554" s="252"/>
      <c r="K1554" s="253"/>
    </row>
    <row r="1555" spans="1:11" ht="22" customHeight="1" x14ac:dyDescent="0.35">
      <c r="A1555" s="251"/>
      <c r="B1555" s="252"/>
      <c r="C1555" s="252"/>
      <c r="D1555" s="252"/>
      <c r="E1555" s="252"/>
      <c r="F1555" s="252"/>
      <c r="G1555" s="252"/>
      <c r="H1555" s="252"/>
      <c r="I1555" s="252"/>
      <c r="J1555" s="252"/>
      <c r="K1555" s="253"/>
    </row>
    <row r="1556" spans="1:11" ht="22" customHeight="1" x14ac:dyDescent="0.35">
      <c r="A1556" s="251"/>
      <c r="B1556" s="252"/>
      <c r="C1556" s="252"/>
      <c r="D1556" s="252"/>
      <c r="E1556" s="252"/>
      <c r="F1556" s="252"/>
      <c r="G1556" s="252"/>
      <c r="H1556" s="252"/>
      <c r="I1556" s="252"/>
      <c r="J1556" s="252"/>
      <c r="K1556" s="253"/>
    </row>
    <row r="1557" spans="1:11" ht="22" customHeight="1" x14ac:dyDescent="0.35">
      <c r="A1557" s="251"/>
      <c r="B1557" s="252"/>
      <c r="C1557" s="252"/>
      <c r="D1557" s="252"/>
      <c r="E1557" s="252"/>
      <c r="F1557" s="252"/>
      <c r="G1557" s="252"/>
      <c r="H1557" s="252"/>
      <c r="I1557" s="252"/>
      <c r="J1557" s="252"/>
      <c r="K1557" s="253"/>
    </row>
    <row r="1558" spans="1:11" ht="22" customHeight="1" x14ac:dyDescent="0.35">
      <c r="A1558" s="251"/>
      <c r="B1558" s="252"/>
      <c r="C1558" s="252"/>
      <c r="D1558" s="252"/>
      <c r="E1558" s="252"/>
      <c r="F1558" s="252"/>
      <c r="G1558" s="252"/>
      <c r="H1558" s="252"/>
      <c r="I1558" s="252"/>
      <c r="J1558" s="252"/>
      <c r="K1558" s="253"/>
    </row>
    <row r="1559" spans="1:11" ht="22" customHeight="1" x14ac:dyDescent="0.35">
      <c r="A1559" s="251"/>
      <c r="B1559" s="252"/>
      <c r="C1559" s="252"/>
      <c r="D1559" s="252"/>
      <c r="E1559" s="252"/>
      <c r="F1559" s="252"/>
      <c r="G1559" s="252"/>
      <c r="H1559" s="252"/>
      <c r="I1559" s="252"/>
      <c r="J1559" s="252"/>
      <c r="K1559" s="253"/>
    </row>
    <row r="1560" spans="1:11" ht="22" customHeight="1" x14ac:dyDescent="0.35">
      <c r="A1560" s="251"/>
      <c r="B1560" s="252"/>
      <c r="C1560" s="252"/>
      <c r="D1560" s="252"/>
      <c r="E1560" s="252"/>
      <c r="F1560" s="252"/>
      <c r="G1560" s="252"/>
      <c r="H1560" s="252"/>
      <c r="I1560" s="252"/>
      <c r="J1560" s="252"/>
      <c r="K1560" s="253"/>
    </row>
    <row r="1561" spans="1:11" ht="22" customHeight="1" x14ac:dyDescent="0.35">
      <c r="A1561" s="251"/>
      <c r="B1561" s="252"/>
      <c r="C1561" s="252"/>
      <c r="D1561" s="252"/>
      <c r="E1561" s="252"/>
      <c r="F1561" s="252"/>
      <c r="G1561" s="252"/>
      <c r="H1561" s="252"/>
      <c r="I1561" s="252"/>
      <c r="J1561" s="252"/>
      <c r="K1561" s="253"/>
    </row>
    <row r="1562" spans="1:11" ht="22" customHeight="1" x14ac:dyDescent="0.35">
      <c r="A1562" s="251"/>
      <c r="B1562" s="252"/>
      <c r="C1562" s="252"/>
      <c r="D1562" s="252"/>
      <c r="E1562" s="252"/>
      <c r="F1562" s="252"/>
      <c r="G1562" s="252"/>
      <c r="H1562" s="252"/>
      <c r="I1562" s="252"/>
      <c r="J1562" s="252"/>
      <c r="K1562" s="253"/>
    </row>
    <row r="1563" spans="1:11" ht="22" customHeight="1" x14ac:dyDescent="0.35">
      <c r="A1563" s="251"/>
      <c r="B1563" s="252"/>
      <c r="C1563" s="252"/>
      <c r="D1563" s="252"/>
      <c r="E1563" s="252"/>
      <c r="F1563" s="252"/>
      <c r="G1563" s="252"/>
      <c r="H1563" s="252"/>
      <c r="I1563" s="252"/>
      <c r="J1563" s="252"/>
      <c r="K1563" s="253"/>
    </row>
    <row r="1564" spans="1:11" ht="22" customHeight="1" x14ac:dyDescent="0.35">
      <c r="A1564" s="251"/>
      <c r="B1564" s="252"/>
      <c r="C1564" s="252"/>
      <c r="D1564" s="252"/>
      <c r="E1564" s="252"/>
      <c r="F1564" s="252"/>
      <c r="G1564" s="252"/>
      <c r="H1564" s="252"/>
      <c r="I1564" s="252"/>
      <c r="J1564" s="252"/>
      <c r="K1564" s="253"/>
    </row>
    <row r="1565" spans="1:11" ht="22" customHeight="1" x14ac:dyDescent="0.35">
      <c r="A1565" s="251"/>
      <c r="B1565" s="252"/>
      <c r="C1565" s="252"/>
      <c r="D1565" s="252"/>
      <c r="E1565" s="252"/>
      <c r="F1565" s="252"/>
      <c r="G1565" s="252"/>
      <c r="H1565" s="252"/>
      <c r="I1565" s="252"/>
      <c r="J1565" s="252"/>
      <c r="K1565" s="253"/>
    </row>
    <row r="1566" spans="1:11" ht="22" customHeight="1" x14ac:dyDescent="0.35">
      <c r="A1566" s="251"/>
      <c r="B1566" s="252"/>
      <c r="C1566" s="252"/>
      <c r="D1566" s="252"/>
      <c r="E1566" s="252"/>
      <c r="F1566" s="252"/>
      <c r="G1566" s="252"/>
      <c r="H1566" s="252"/>
      <c r="I1566" s="252"/>
      <c r="J1566" s="252"/>
      <c r="K1566" s="253"/>
    </row>
    <row r="1567" spans="1:11" ht="22" customHeight="1" x14ac:dyDescent="0.35">
      <c r="A1567" s="251"/>
      <c r="B1567" s="252"/>
      <c r="C1567" s="252"/>
      <c r="D1567" s="252"/>
      <c r="E1567" s="252"/>
      <c r="F1567" s="252"/>
      <c r="G1567" s="252"/>
      <c r="H1567" s="252"/>
      <c r="I1567" s="252"/>
      <c r="J1567" s="252"/>
      <c r="K1567" s="253"/>
    </row>
    <row r="1568" spans="1:11" ht="22" customHeight="1" x14ac:dyDescent="0.35">
      <c r="A1568" s="251"/>
      <c r="B1568" s="252"/>
      <c r="C1568" s="252"/>
      <c r="D1568" s="252"/>
      <c r="E1568" s="252"/>
      <c r="F1568" s="252"/>
      <c r="G1568" s="252"/>
      <c r="H1568" s="252"/>
      <c r="I1568" s="252"/>
      <c r="J1568" s="252"/>
      <c r="K1568" s="253"/>
    </row>
    <row r="1569" spans="1:11" ht="22" customHeight="1" x14ac:dyDescent="0.35">
      <c r="A1569" s="251"/>
      <c r="B1569" s="252"/>
      <c r="C1569" s="252"/>
      <c r="D1569" s="252"/>
      <c r="E1569" s="252"/>
      <c r="F1569" s="252"/>
      <c r="G1569" s="252"/>
      <c r="H1569" s="252"/>
      <c r="I1569" s="252"/>
      <c r="J1569" s="252"/>
      <c r="K1569" s="253"/>
    </row>
    <row r="1570" spans="1:11" ht="22" customHeight="1" x14ac:dyDescent="0.35">
      <c r="A1570" s="251"/>
      <c r="B1570" s="252"/>
      <c r="C1570" s="252"/>
      <c r="D1570" s="252"/>
      <c r="E1570" s="252"/>
      <c r="F1570" s="252"/>
      <c r="G1570" s="252"/>
      <c r="H1570" s="252"/>
      <c r="I1570" s="252"/>
      <c r="J1570" s="252"/>
      <c r="K1570" s="253"/>
    </row>
    <row r="1571" spans="1:11" ht="22" customHeight="1" x14ac:dyDescent="0.35">
      <c r="A1571" s="251"/>
      <c r="B1571" s="252"/>
      <c r="C1571" s="252"/>
      <c r="D1571" s="252"/>
      <c r="E1571" s="252"/>
      <c r="F1571" s="252"/>
      <c r="G1571" s="252"/>
      <c r="H1571" s="252"/>
      <c r="I1571" s="252"/>
      <c r="J1571" s="252"/>
      <c r="K1571" s="253"/>
    </row>
    <row r="1572" spans="1:11" ht="22" customHeight="1" x14ac:dyDescent="0.35">
      <c r="A1572" s="251"/>
      <c r="B1572" s="252"/>
      <c r="C1572" s="252"/>
      <c r="D1572" s="252"/>
      <c r="E1572" s="252"/>
      <c r="F1572" s="252"/>
      <c r="G1572" s="252"/>
      <c r="H1572" s="252"/>
      <c r="I1572" s="252"/>
      <c r="J1572" s="252"/>
      <c r="K1572" s="253"/>
    </row>
    <row r="1573" spans="1:11" ht="22" customHeight="1" x14ac:dyDescent="0.35">
      <c r="A1573" s="251"/>
      <c r="B1573" s="252"/>
      <c r="C1573" s="252"/>
      <c r="D1573" s="252"/>
      <c r="E1573" s="252"/>
      <c r="F1573" s="252"/>
      <c r="G1573" s="252"/>
      <c r="H1573" s="252"/>
      <c r="I1573" s="252"/>
      <c r="J1573" s="252"/>
      <c r="K1573" s="253"/>
    </row>
    <row r="1574" spans="1:11" ht="22" customHeight="1" x14ac:dyDescent="0.35">
      <c r="A1574" s="251"/>
      <c r="B1574" s="252"/>
      <c r="C1574" s="252"/>
      <c r="D1574" s="252"/>
      <c r="E1574" s="252"/>
      <c r="F1574" s="252"/>
      <c r="G1574" s="252"/>
      <c r="H1574" s="252"/>
      <c r="I1574" s="252"/>
      <c r="J1574" s="252"/>
      <c r="K1574" s="253"/>
    </row>
    <row r="1575" spans="1:11" ht="22" customHeight="1" x14ac:dyDescent="0.35">
      <c r="A1575" s="251"/>
      <c r="B1575" s="252"/>
      <c r="C1575" s="252"/>
      <c r="D1575" s="252"/>
      <c r="E1575" s="252"/>
      <c r="F1575" s="252"/>
      <c r="G1575" s="252"/>
      <c r="H1575" s="252"/>
      <c r="I1575" s="252"/>
      <c r="J1575" s="252"/>
      <c r="K1575" s="253"/>
    </row>
    <row r="1576" spans="1:11" ht="22" customHeight="1" x14ac:dyDescent="0.35">
      <c r="A1576" s="251"/>
      <c r="B1576" s="252"/>
      <c r="C1576" s="252"/>
      <c r="D1576" s="252"/>
      <c r="E1576" s="252"/>
      <c r="F1576" s="252"/>
      <c r="G1576" s="252"/>
      <c r="H1576" s="252"/>
      <c r="I1576" s="252"/>
      <c r="J1576" s="252"/>
      <c r="K1576" s="253"/>
    </row>
    <row r="1577" spans="1:11" ht="22" customHeight="1" x14ac:dyDescent="0.35">
      <c r="A1577" s="251"/>
      <c r="B1577" s="252"/>
      <c r="C1577" s="252"/>
      <c r="D1577" s="252"/>
      <c r="E1577" s="252"/>
      <c r="F1577" s="252"/>
      <c r="G1577" s="252"/>
      <c r="H1577" s="252"/>
      <c r="I1577" s="252"/>
      <c r="J1577" s="252"/>
      <c r="K1577" s="253"/>
    </row>
    <row r="1578" spans="1:11" ht="22" customHeight="1" x14ac:dyDescent="0.35">
      <c r="A1578" s="251"/>
      <c r="B1578" s="252"/>
      <c r="C1578" s="252"/>
      <c r="D1578" s="252"/>
      <c r="E1578" s="252"/>
      <c r="F1578" s="252"/>
      <c r="G1578" s="252"/>
      <c r="H1578" s="252"/>
      <c r="I1578" s="252"/>
      <c r="J1578" s="252"/>
      <c r="K1578" s="253"/>
    </row>
    <row r="1579" spans="1:11" ht="22" customHeight="1" x14ac:dyDescent="0.35">
      <c r="A1579" s="251"/>
      <c r="B1579" s="252"/>
      <c r="C1579" s="252"/>
      <c r="D1579" s="252"/>
      <c r="E1579" s="252"/>
      <c r="F1579" s="252"/>
      <c r="G1579" s="252"/>
      <c r="H1579" s="252"/>
      <c r="I1579" s="252"/>
      <c r="J1579" s="252"/>
      <c r="K1579" s="253"/>
    </row>
    <row r="1580" spans="1:11" ht="22" customHeight="1" x14ac:dyDescent="0.35">
      <c r="A1580" s="251"/>
      <c r="B1580" s="252"/>
      <c r="C1580" s="252"/>
      <c r="D1580" s="252"/>
      <c r="E1580" s="252"/>
      <c r="F1580" s="252"/>
      <c r="G1580" s="252"/>
      <c r="H1580" s="252"/>
      <c r="I1580" s="252"/>
      <c r="J1580" s="252"/>
      <c r="K1580" s="253"/>
    </row>
    <row r="1581" spans="1:11" ht="22" customHeight="1" x14ac:dyDescent="0.35">
      <c r="A1581" s="251"/>
      <c r="B1581" s="252"/>
      <c r="C1581" s="252"/>
      <c r="D1581" s="252"/>
      <c r="E1581" s="252"/>
      <c r="F1581" s="252"/>
      <c r="G1581" s="252"/>
      <c r="H1581" s="252"/>
      <c r="I1581" s="252"/>
      <c r="J1581" s="252"/>
      <c r="K1581" s="253"/>
    </row>
    <row r="1582" spans="1:11" ht="22" customHeight="1" x14ac:dyDescent="0.35">
      <c r="A1582" s="251"/>
      <c r="B1582" s="252"/>
      <c r="C1582" s="252"/>
      <c r="D1582" s="252"/>
      <c r="E1582" s="252"/>
      <c r="F1582" s="252"/>
      <c r="G1582" s="252"/>
      <c r="H1582" s="252"/>
      <c r="I1582" s="252"/>
      <c r="J1582" s="252"/>
      <c r="K1582" s="253"/>
    </row>
    <row r="1583" spans="1:11" ht="22" customHeight="1" x14ac:dyDescent="0.35">
      <c r="A1583" s="251"/>
      <c r="B1583" s="252"/>
      <c r="C1583" s="252"/>
      <c r="D1583" s="252"/>
      <c r="E1583" s="252"/>
      <c r="F1583" s="252"/>
      <c r="G1583" s="252"/>
      <c r="H1583" s="252"/>
      <c r="I1583" s="252"/>
      <c r="J1583" s="252"/>
      <c r="K1583" s="253"/>
    </row>
    <row r="1584" spans="1:11" ht="22" customHeight="1" x14ac:dyDescent="0.35">
      <c r="A1584" s="251"/>
      <c r="B1584" s="252"/>
      <c r="C1584" s="252"/>
      <c r="D1584" s="252"/>
      <c r="E1584" s="252"/>
      <c r="F1584" s="252"/>
      <c r="G1584" s="252"/>
      <c r="H1584" s="252"/>
      <c r="I1584" s="252"/>
      <c r="J1584" s="252"/>
      <c r="K1584" s="253"/>
    </row>
    <row r="1585" spans="1:11" ht="22" customHeight="1" x14ac:dyDescent="0.35">
      <c r="A1585" s="251"/>
      <c r="B1585" s="252"/>
      <c r="C1585" s="252"/>
      <c r="D1585" s="252"/>
      <c r="E1585" s="252"/>
      <c r="F1585" s="252"/>
      <c r="G1585" s="252"/>
      <c r="H1585" s="252"/>
      <c r="I1585" s="252"/>
      <c r="J1585" s="252"/>
      <c r="K1585" s="253"/>
    </row>
    <row r="1586" spans="1:11" ht="22" customHeight="1" x14ac:dyDescent="0.35">
      <c r="A1586" s="251"/>
      <c r="B1586" s="252"/>
      <c r="C1586" s="252"/>
      <c r="D1586" s="252"/>
      <c r="E1586" s="252"/>
      <c r="F1586" s="252"/>
      <c r="G1586" s="252"/>
      <c r="H1586" s="252"/>
      <c r="I1586" s="252"/>
      <c r="J1586" s="252"/>
      <c r="K1586" s="253"/>
    </row>
    <row r="1587" spans="1:11" ht="22" customHeight="1" x14ac:dyDescent="0.35">
      <c r="A1587" s="251"/>
      <c r="B1587" s="252"/>
      <c r="C1587" s="252"/>
      <c r="D1587" s="252"/>
      <c r="E1587" s="252"/>
      <c r="F1587" s="252"/>
      <c r="G1587" s="252"/>
      <c r="H1587" s="252"/>
      <c r="I1587" s="252"/>
      <c r="J1587" s="252"/>
      <c r="K1587" s="253"/>
    </row>
    <row r="1588" spans="1:11" ht="22" customHeight="1" x14ac:dyDescent="0.35">
      <c r="A1588" s="251"/>
      <c r="B1588" s="252"/>
      <c r="C1588" s="252"/>
      <c r="D1588" s="252"/>
      <c r="E1588" s="252"/>
      <c r="F1588" s="252"/>
      <c r="G1588" s="252"/>
      <c r="H1588" s="252"/>
      <c r="I1588" s="252"/>
      <c r="J1588" s="252"/>
      <c r="K1588" s="253"/>
    </row>
    <row r="1589" spans="1:11" ht="22" customHeight="1" x14ac:dyDescent="0.35">
      <c r="A1589" s="251"/>
      <c r="B1589" s="252"/>
      <c r="C1589" s="252"/>
      <c r="D1589" s="252"/>
      <c r="E1589" s="252"/>
      <c r="F1589" s="252"/>
      <c r="G1589" s="252"/>
      <c r="H1589" s="252"/>
      <c r="I1589" s="252"/>
      <c r="J1589" s="252"/>
      <c r="K1589" s="253"/>
    </row>
    <row r="1590" spans="1:11" ht="22" customHeight="1" x14ac:dyDescent="0.35">
      <c r="A1590" s="251"/>
      <c r="B1590" s="252"/>
      <c r="C1590" s="252"/>
      <c r="D1590" s="252"/>
      <c r="E1590" s="252"/>
      <c r="F1590" s="252"/>
      <c r="G1590" s="252"/>
      <c r="H1590" s="252"/>
      <c r="I1590" s="252"/>
      <c r="J1590" s="252"/>
      <c r="K1590" s="253"/>
    </row>
    <row r="1591" spans="1:11" ht="22" customHeight="1" x14ac:dyDescent="0.35">
      <c r="A1591" s="251"/>
      <c r="B1591" s="252"/>
      <c r="C1591" s="252"/>
      <c r="D1591" s="252"/>
      <c r="E1591" s="252"/>
      <c r="F1591" s="252"/>
      <c r="G1591" s="252"/>
      <c r="H1591" s="252"/>
      <c r="I1591" s="252"/>
      <c r="J1591" s="252"/>
      <c r="K1591" s="253"/>
    </row>
    <row r="1592" spans="1:11" ht="22" customHeight="1" x14ac:dyDescent="0.35">
      <c r="A1592" s="251"/>
      <c r="B1592" s="252"/>
      <c r="C1592" s="252"/>
      <c r="D1592" s="252"/>
      <c r="E1592" s="252"/>
      <c r="F1592" s="252"/>
      <c r="G1592" s="252"/>
      <c r="H1592" s="252"/>
      <c r="I1592" s="252"/>
      <c r="J1592" s="252"/>
      <c r="K1592" s="253"/>
    </row>
    <row r="1593" spans="1:11" ht="22" customHeight="1" x14ac:dyDescent="0.35">
      <c r="A1593" s="251"/>
      <c r="B1593" s="252"/>
      <c r="C1593" s="252"/>
      <c r="D1593" s="252"/>
      <c r="E1593" s="252"/>
      <c r="F1593" s="252"/>
      <c r="G1593" s="252"/>
      <c r="H1593" s="252"/>
      <c r="I1593" s="252"/>
      <c r="J1593" s="252"/>
      <c r="K1593" s="253"/>
    </row>
    <row r="1594" spans="1:11" ht="22" customHeight="1" x14ac:dyDescent="0.35">
      <c r="A1594" s="251"/>
      <c r="B1594" s="252"/>
      <c r="C1594" s="252"/>
      <c r="D1594" s="252"/>
      <c r="E1594" s="252"/>
      <c r="F1594" s="252"/>
      <c r="G1594" s="252"/>
      <c r="H1594" s="252"/>
      <c r="I1594" s="252"/>
      <c r="J1594" s="252"/>
      <c r="K1594" s="253"/>
    </row>
    <row r="1595" spans="1:11" ht="22" customHeight="1" x14ac:dyDescent="0.35">
      <c r="A1595" s="251"/>
      <c r="B1595" s="252"/>
      <c r="C1595" s="252"/>
      <c r="D1595" s="252"/>
      <c r="E1595" s="252"/>
      <c r="F1595" s="252"/>
      <c r="G1595" s="252"/>
      <c r="H1595" s="252"/>
      <c r="I1595" s="252"/>
      <c r="J1595" s="252"/>
      <c r="K1595" s="253"/>
    </row>
    <row r="1596" spans="1:11" ht="22" customHeight="1" x14ac:dyDescent="0.35">
      <c r="A1596" s="251"/>
      <c r="B1596" s="252"/>
      <c r="C1596" s="252"/>
      <c r="D1596" s="252"/>
      <c r="E1596" s="252"/>
      <c r="F1596" s="252"/>
      <c r="G1596" s="252"/>
      <c r="H1596" s="252"/>
      <c r="I1596" s="252"/>
      <c r="J1596" s="252"/>
      <c r="K1596" s="253"/>
    </row>
    <row r="1597" spans="1:11" ht="22" customHeight="1" x14ac:dyDescent="0.35">
      <c r="A1597" s="251"/>
      <c r="B1597" s="252"/>
      <c r="C1597" s="252"/>
      <c r="D1597" s="252"/>
      <c r="E1597" s="252"/>
      <c r="F1597" s="252"/>
      <c r="G1597" s="252"/>
      <c r="H1597" s="252"/>
      <c r="I1597" s="252"/>
      <c r="J1597" s="252"/>
      <c r="K1597" s="253"/>
    </row>
    <row r="1598" spans="1:11" ht="22" customHeight="1" x14ac:dyDescent="0.35">
      <c r="A1598" s="251"/>
      <c r="B1598" s="252"/>
      <c r="C1598" s="252"/>
      <c r="D1598" s="252"/>
      <c r="E1598" s="252"/>
      <c r="F1598" s="252"/>
      <c r="G1598" s="252"/>
      <c r="H1598" s="252"/>
      <c r="I1598" s="252"/>
      <c r="J1598" s="252"/>
      <c r="K1598" s="253"/>
    </row>
    <row r="1599" spans="1:11" ht="22" customHeight="1" x14ac:dyDescent="0.35">
      <c r="A1599" s="251"/>
      <c r="B1599" s="252"/>
      <c r="C1599" s="252"/>
      <c r="D1599" s="252"/>
      <c r="E1599" s="252"/>
      <c r="F1599" s="252"/>
      <c r="G1599" s="252"/>
      <c r="H1599" s="252"/>
      <c r="I1599" s="252"/>
      <c r="J1599" s="252"/>
      <c r="K1599" s="253"/>
    </row>
    <row r="1600" spans="1:11" ht="22" customHeight="1" x14ac:dyDescent="0.35">
      <c r="A1600" s="251"/>
      <c r="B1600" s="252"/>
      <c r="C1600" s="252"/>
      <c r="D1600" s="252"/>
      <c r="E1600" s="252"/>
      <c r="F1600" s="252"/>
      <c r="G1600" s="252"/>
      <c r="H1600" s="252"/>
      <c r="I1600" s="252"/>
      <c r="J1600" s="252"/>
      <c r="K1600" s="253"/>
    </row>
    <row r="1601" spans="1:11" ht="22" customHeight="1" x14ac:dyDescent="0.35">
      <c r="A1601" s="251"/>
      <c r="B1601" s="252"/>
      <c r="C1601" s="252"/>
      <c r="D1601" s="252"/>
      <c r="E1601" s="252"/>
      <c r="F1601" s="252"/>
      <c r="G1601" s="252"/>
      <c r="H1601" s="252"/>
      <c r="I1601" s="252"/>
      <c r="J1601" s="252"/>
      <c r="K1601" s="253"/>
    </row>
    <row r="1602" spans="1:11" ht="22" customHeight="1" x14ac:dyDescent="0.35">
      <c r="A1602" s="251"/>
      <c r="B1602" s="252"/>
      <c r="C1602" s="252"/>
      <c r="D1602" s="252"/>
      <c r="E1602" s="252"/>
      <c r="F1602" s="252"/>
      <c r="G1602" s="252"/>
      <c r="H1602" s="252"/>
      <c r="I1602" s="252"/>
      <c r="J1602" s="252"/>
      <c r="K1602" s="253"/>
    </row>
    <row r="1603" spans="1:11" ht="22" customHeight="1" x14ac:dyDescent="0.35">
      <c r="A1603" s="251"/>
      <c r="B1603" s="252"/>
      <c r="C1603" s="252"/>
      <c r="D1603" s="252"/>
      <c r="E1603" s="252"/>
      <c r="F1603" s="252"/>
      <c r="G1603" s="252"/>
      <c r="H1603" s="252"/>
      <c r="I1603" s="252"/>
      <c r="J1603" s="252"/>
      <c r="K1603" s="253"/>
    </row>
    <row r="1604" spans="1:11" ht="22" customHeight="1" x14ac:dyDescent="0.35">
      <c r="A1604" s="251"/>
      <c r="B1604" s="252"/>
      <c r="C1604" s="252"/>
      <c r="D1604" s="252"/>
      <c r="E1604" s="252"/>
      <c r="F1604" s="252"/>
      <c r="G1604" s="252"/>
      <c r="H1604" s="252"/>
      <c r="I1604" s="252"/>
      <c r="J1604" s="252"/>
      <c r="K1604" s="253"/>
    </row>
    <row r="1605" spans="1:11" ht="22" customHeight="1" x14ac:dyDescent="0.35">
      <c r="A1605" s="251"/>
      <c r="B1605" s="252"/>
      <c r="C1605" s="252"/>
      <c r="D1605" s="252"/>
      <c r="E1605" s="252"/>
      <c r="F1605" s="252"/>
      <c r="G1605" s="252"/>
      <c r="H1605" s="252"/>
      <c r="I1605" s="252"/>
      <c r="J1605" s="252"/>
      <c r="K1605" s="253"/>
    </row>
    <row r="1606" spans="1:11" ht="22" customHeight="1" x14ac:dyDescent="0.35">
      <c r="A1606" s="251"/>
      <c r="B1606" s="252"/>
      <c r="C1606" s="252"/>
      <c r="D1606" s="252"/>
      <c r="E1606" s="252"/>
      <c r="F1606" s="252"/>
      <c r="G1606" s="252"/>
      <c r="H1606" s="252"/>
      <c r="I1606" s="252"/>
      <c r="J1606" s="252"/>
      <c r="K1606" s="253"/>
    </row>
    <row r="1607" spans="1:11" ht="22" customHeight="1" x14ac:dyDescent="0.35">
      <c r="A1607" s="251"/>
      <c r="B1607" s="252"/>
      <c r="C1607" s="252"/>
      <c r="D1607" s="252"/>
      <c r="E1607" s="252"/>
      <c r="F1607" s="252"/>
      <c r="G1607" s="252"/>
      <c r="H1607" s="252"/>
      <c r="I1607" s="252"/>
      <c r="J1607" s="252"/>
      <c r="K1607" s="253"/>
    </row>
    <row r="1608" spans="1:11" ht="22" customHeight="1" x14ac:dyDescent="0.35">
      <c r="A1608" s="251"/>
      <c r="B1608" s="252"/>
      <c r="C1608" s="252"/>
      <c r="D1608" s="252"/>
      <c r="E1608" s="252"/>
      <c r="F1608" s="252"/>
      <c r="G1608" s="252"/>
      <c r="H1608" s="252"/>
      <c r="I1608" s="252"/>
      <c r="J1608" s="252"/>
      <c r="K1608" s="253"/>
    </row>
    <row r="1609" spans="1:11" ht="22" customHeight="1" x14ac:dyDescent="0.35">
      <c r="A1609" s="251"/>
      <c r="B1609" s="252"/>
      <c r="C1609" s="252"/>
      <c r="D1609" s="252"/>
      <c r="E1609" s="252"/>
      <c r="F1609" s="252"/>
      <c r="G1609" s="252"/>
      <c r="H1609" s="252"/>
      <c r="I1609" s="252"/>
      <c r="J1609" s="252"/>
      <c r="K1609" s="253"/>
    </row>
    <row r="1610" spans="1:11" ht="22" customHeight="1" x14ac:dyDescent="0.35">
      <c r="A1610" s="251"/>
      <c r="B1610" s="252"/>
      <c r="C1610" s="252"/>
      <c r="D1610" s="252"/>
      <c r="E1610" s="252"/>
      <c r="F1610" s="252"/>
      <c r="G1610" s="252"/>
      <c r="H1610" s="252"/>
      <c r="I1610" s="252"/>
      <c r="J1610" s="252"/>
      <c r="K1610" s="253"/>
    </row>
    <row r="1611" spans="1:11" ht="22" customHeight="1" x14ac:dyDescent="0.35">
      <c r="A1611" s="251"/>
      <c r="B1611" s="252"/>
      <c r="C1611" s="252"/>
      <c r="D1611" s="252"/>
      <c r="E1611" s="252"/>
      <c r="F1611" s="252"/>
      <c r="G1611" s="252"/>
      <c r="H1611" s="252"/>
      <c r="I1611" s="252"/>
      <c r="J1611" s="252"/>
      <c r="K1611" s="253"/>
    </row>
    <row r="1612" spans="1:11" ht="22" customHeight="1" x14ac:dyDescent="0.35">
      <c r="A1612" s="251"/>
      <c r="B1612" s="252"/>
      <c r="C1612" s="252"/>
      <c r="D1612" s="252"/>
      <c r="E1612" s="252"/>
      <c r="F1612" s="252"/>
      <c r="G1612" s="252"/>
      <c r="H1612" s="252"/>
      <c r="I1612" s="252"/>
      <c r="J1612" s="252"/>
      <c r="K1612" s="253"/>
    </row>
    <row r="1613" spans="1:11" ht="22" customHeight="1" x14ac:dyDescent="0.35">
      <c r="A1613" s="251"/>
      <c r="B1613" s="252"/>
      <c r="C1613" s="252"/>
      <c r="D1613" s="252"/>
      <c r="E1613" s="252"/>
      <c r="F1613" s="252"/>
      <c r="G1613" s="252"/>
      <c r="H1613" s="252"/>
      <c r="I1613" s="252"/>
      <c r="J1613" s="252"/>
      <c r="K1613" s="253"/>
    </row>
    <row r="1614" spans="1:11" ht="22" customHeight="1" x14ac:dyDescent="0.35">
      <c r="A1614" s="251"/>
      <c r="B1614" s="252"/>
      <c r="C1614" s="252"/>
      <c r="D1614" s="252"/>
      <c r="E1614" s="252"/>
      <c r="F1614" s="252"/>
      <c r="G1614" s="252"/>
      <c r="H1614" s="252"/>
      <c r="I1614" s="252"/>
      <c r="J1614" s="252"/>
      <c r="K1614" s="253"/>
    </row>
    <row r="1615" spans="1:11" ht="22" customHeight="1" x14ac:dyDescent="0.35">
      <c r="A1615" s="251"/>
      <c r="B1615" s="252"/>
      <c r="C1615" s="252"/>
      <c r="D1615" s="252"/>
      <c r="E1615" s="252"/>
      <c r="F1615" s="252"/>
      <c r="G1615" s="252"/>
      <c r="H1615" s="252"/>
      <c r="I1615" s="252"/>
      <c r="J1615" s="252"/>
      <c r="K1615" s="253"/>
    </row>
    <row r="1616" spans="1:11" ht="22" customHeight="1" x14ac:dyDescent="0.35">
      <c r="A1616" s="251"/>
      <c r="B1616" s="252"/>
      <c r="C1616" s="252"/>
      <c r="D1616" s="252"/>
      <c r="E1616" s="252"/>
      <c r="F1616" s="252"/>
      <c r="G1616" s="252"/>
      <c r="H1616" s="252"/>
      <c r="I1616" s="252"/>
      <c r="J1616" s="252"/>
      <c r="K1616" s="253"/>
    </row>
    <row r="1617" spans="1:11" ht="22" customHeight="1" x14ac:dyDescent="0.35">
      <c r="A1617" s="251"/>
      <c r="B1617" s="252"/>
      <c r="C1617" s="252"/>
      <c r="D1617" s="252"/>
      <c r="E1617" s="252"/>
      <c r="F1617" s="252"/>
      <c r="G1617" s="252"/>
      <c r="H1617" s="252"/>
      <c r="I1617" s="252"/>
      <c r="J1617" s="252"/>
      <c r="K1617" s="253"/>
    </row>
    <row r="1618" spans="1:11" ht="22" customHeight="1" x14ac:dyDescent="0.35">
      <c r="A1618" s="251"/>
      <c r="B1618" s="252"/>
      <c r="C1618" s="252"/>
      <c r="D1618" s="252"/>
      <c r="E1618" s="252"/>
      <c r="F1618" s="252"/>
      <c r="G1618" s="252"/>
      <c r="H1618" s="252"/>
      <c r="I1618" s="252"/>
      <c r="J1618" s="252"/>
      <c r="K1618" s="253"/>
    </row>
    <row r="1619" spans="1:11" ht="22" customHeight="1" x14ac:dyDescent="0.35">
      <c r="A1619" s="251"/>
      <c r="B1619" s="252"/>
      <c r="C1619" s="252"/>
      <c r="D1619" s="252"/>
      <c r="E1619" s="252"/>
      <c r="F1619" s="252"/>
      <c r="G1619" s="252"/>
      <c r="H1619" s="252"/>
      <c r="I1619" s="252"/>
      <c r="J1619" s="252"/>
      <c r="K1619" s="253"/>
    </row>
    <row r="1620" spans="1:11" ht="22" customHeight="1" x14ac:dyDescent="0.35">
      <c r="A1620" s="251"/>
      <c r="B1620" s="252"/>
      <c r="C1620" s="252"/>
      <c r="D1620" s="252"/>
      <c r="E1620" s="252"/>
      <c r="F1620" s="252"/>
      <c r="G1620" s="252"/>
      <c r="H1620" s="252"/>
      <c r="I1620" s="252"/>
      <c r="J1620" s="252"/>
      <c r="K1620" s="253"/>
    </row>
    <row r="1621" spans="1:11" ht="22" customHeight="1" x14ac:dyDescent="0.35">
      <c r="A1621" s="251"/>
      <c r="B1621" s="252"/>
      <c r="C1621" s="252"/>
      <c r="D1621" s="252"/>
      <c r="E1621" s="252"/>
      <c r="F1621" s="252"/>
      <c r="G1621" s="252"/>
      <c r="H1621" s="252"/>
      <c r="I1621" s="252"/>
      <c r="J1621" s="252"/>
      <c r="K1621" s="253"/>
    </row>
    <row r="1622" spans="1:11" ht="22" customHeight="1" x14ac:dyDescent="0.35">
      <c r="A1622" s="251"/>
      <c r="B1622" s="252"/>
      <c r="C1622" s="252"/>
      <c r="D1622" s="252"/>
      <c r="E1622" s="252"/>
      <c r="F1622" s="252"/>
      <c r="G1622" s="252"/>
      <c r="H1622" s="252"/>
      <c r="I1622" s="252"/>
      <c r="J1622" s="252"/>
      <c r="K1622" s="253"/>
    </row>
    <row r="1623" spans="1:11" ht="22" customHeight="1" x14ac:dyDescent="0.35">
      <c r="A1623" s="251"/>
      <c r="B1623" s="252"/>
      <c r="C1623" s="252"/>
      <c r="D1623" s="252"/>
      <c r="E1623" s="252"/>
      <c r="F1623" s="252"/>
      <c r="G1623" s="252"/>
      <c r="H1623" s="252"/>
      <c r="I1623" s="252"/>
      <c r="J1623" s="252"/>
      <c r="K1623" s="253"/>
    </row>
    <row r="1624" spans="1:11" ht="22" customHeight="1" x14ac:dyDescent="0.35">
      <c r="A1624" s="251"/>
      <c r="B1624" s="252"/>
      <c r="C1624" s="252"/>
      <c r="D1624" s="252"/>
      <c r="E1624" s="252"/>
      <c r="F1624" s="252"/>
      <c r="G1624" s="252"/>
      <c r="H1624" s="252"/>
      <c r="I1624" s="252"/>
      <c r="J1624" s="252"/>
      <c r="K1624" s="253"/>
    </row>
    <row r="1625" spans="1:11" ht="22" customHeight="1" x14ac:dyDescent="0.35">
      <c r="A1625" s="251"/>
      <c r="B1625" s="252"/>
      <c r="C1625" s="252"/>
      <c r="D1625" s="252"/>
      <c r="E1625" s="252"/>
      <c r="F1625" s="252"/>
      <c r="G1625" s="252"/>
      <c r="H1625" s="252"/>
      <c r="I1625" s="252"/>
      <c r="J1625" s="252"/>
      <c r="K1625" s="253"/>
    </row>
    <row r="1626" spans="1:11" ht="22" customHeight="1" x14ac:dyDescent="0.35">
      <c r="A1626" s="251"/>
      <c r="B1626" s="252"/>
      <c r="C1626" s="252"/>
      <c r="D1626" s="252"/>
      <c r="E1626" s="252"/>
      <c r="F1626" s="252"/>
      <c r="G1626" s="252"/>
      <c r="H1626" s="252"/>
      <c r="I1626" s="252"/>
      <c r="J1626" s="252"/>
      <c r="K1626" s="253"/>
    </row>
    <row r="1627" spans="1:11" ht="22" customHeight="1" x14ac:dyDescent="0.35">
      <c r="A1627" s="251"/>
      <c r="B1627" s="252"/>
      <c r="C1627" s="252"/>
      <c r="D1627" s="252"/>
      <c r="E1627" s="252"/>
      <c r="F1627" s="252"/>
      <c r="G1627" s="252"/>
      <c r="H1627" s="252"/>
      <c r="I1627" s="252"/>
      <c r="J1627" s="252"/>
      <c r="K1627" s="253"/>
    </row>
    <row r="1628" spans="1:11" ht="22" customHeight="1" x14ac:dyDescent="0.35">
      <c r="A1628" s="251"/>
      <c r="B1628" s="252"/>
      <c r="C1628" s="252"/>
      <c r="D1628" s="252"/>
      <c r="E1628" s="252"/>
      <c r="F1628" s="252"/>
      <c r="G1628" s="252"/>
      <c r="H1628" s="252"/>
      <c r="I1628" s="252"/>
      <c r="J1628" s="252"/>
      <c r="K1628" s="253"/>
    </row>
    <row r="1629" spans="1:11" ht="22" customHeight="1" x14ac:dyDescent="0.35">
      <c r="A1629" s="251"/>
      <c r="B1629" s="252"/>
      <c r="C1629" s="252"/>
      <c r="D1629" s="252"/>
      <c r="E1629" s="252"/>
      <c r="F1629" s="252"/>
      <c r="G1629" s="252"/>
      <c r="H1629" s="252"/>
      <c r="I1629" s="252"/>
      <c r="J1629" s="252"/>
      <c r="K1629" s="253"/>
    </row>
    <row r="1630" spans="1:11" ht="22" customHeight="1" x14ac:dyDescent="0.35">
      <c r="A1630" s="251"/>
      <c r="B1630" s="252"/>
      <c r="C1630" s="252"/>
      <c r="D1630" s="252"/>
      <c r="E1630" s="252"/>
      <c r="F1630" s="252"/>
      <c r="G1630" s="252"/>
      <c r="H1630" s="252"/>
      <c r="I1630" s="252"/>
      <c r="J1630" s="252"/>
      <c r="K1630" s="253"/>
    </row>
    <row r="1631" spans="1:11" ht="22" customHeight="1" x14ac:dyDescent="0.35">
      <c r="A1631" s="251"/>
      <c r="B1631" s="252"/>
      <c r="C1631" s="252"/>
      <c r="D1631" s="252"/>
      <c r="E1631" s="252"/>
      <c r="F1631" s="252"/>
      <c r="G1631" s="252"/>
      <c r="H1631" s="252"/>
      <c r="I1631" s="252"/>
      <c r="J1631" s="252"/>
      <c r="K1631" s="253"/>
    </row>
    <row r="1632" spans="1:11" ht="22" customHeight="1" x14ac:dyDescent="0.35">
      <c r="A1632" s="251"/>
      <c r="B1632" s="252"/>
      <c r="C1632" s="252"/>
      <c r="D1632" s="252"/>
      <c r="E1632" s="252"/>
      <c r="F1632" s="252"/>
      <c r="G1632" s="252"/>
      <c r="H1632" s="252"/>
      <c r="I1632" s="252"/>
      <c r="J1632" s="252"/>
      <c r="K1632" s="253"/>
    </row>
    <row r="1633" spans="1:11" ht="22" customHeight="1" x14ac:dyDescent="0.35">
      <c r="A1633" s="251"/>
      <c r="B1633" s="252"/>
      <c r="C1633" s="252"/>
      <c r="D1633" s="252"/>
      <c r="E1633" s="252"/>
      <c r="F1633" s="252"/>
      <c r="G1633" s="252"/>
      <c r="H1633" s="252"/>
      <c r="I1633" s="252"/>
      <c r="J1633" s="252"/>
      <c r="K1633" s="253"/>
    </row>
    <row r="1634" spans="1:11" ht="22" customHeight="1" x14ac:dyDescent="0.35">
      <c r="A1634" s="251"/>
      <c r="B1634" s="252"/>
      <c r="C1634" s="252"/>
      <c r="D1634" s="252"/>
      <c r="E1634" s="252"/>
      <c r="F1634" s="252"/>
      <c r="G1634" s="252"/>
      <c r="H1634" s="252"/>
      <c r="I1634" s="252"/>
      <c r="J1634" s="252"/>
      <c r="K1634" s="253"/>
    </row>
    <row r="1635" spans="1:11" ht="22" customHeight="1" x14ac:dyDescent="0.35">
      <c r="A1635" s="251"/>
      <c r="B1635" s="252"/>
      <c r="C1635" s="252"/>
      <c r="D1635" s="252"/>
      <c r="E1635" s="252"/>
      <c r="F1635" s="252"/>
      <c r="G1635" s="252"/>
      <c r="H1635" s="252"/>
      <c r="I1635" s="252"/>
      <c r="J1635" s="252"/>
      <c r="K1635" s="253"/>
    </row>
    <row r="1636" spans="1:11" ht="22" customHeight="1" x14ac:dyDescent="0.35">
      <c r="A1636" s="251"/>
      <c r="B1636" s="252"/>
      <c r="C1636" s="252"/>
      <c r="D1636" s="252"/>
      <c r="E1636" s="252"/>
      <c r="F1636" s="252"/>
      <c r="G1636" s="252"/>
      <c r="H1636" s="252"/>
      <c r="I1636" s="252"/>
      <c r="J1636" s="252"/>
      <c r="K1636" s="253"/>
    </row>
    <row r="1637" spans="1:11" ht="22" customHeight="1" x14ac:dyDescent="0.35">
      <c r="A1637" s="251"/>
      <c r="B1637" s="252"/>
      <c r="C1637" s="252"/>
      <c r="D1637" s="252"/>
      <c r="E1637" s="252"/>
      <c r="F1637" s="252"/>
      <c r="G1637" s="252"/>
      <c r="H1637" s="252"/>
      <c r="I1637" s="252"/>
      <c r="J1637" s="252"/>
      <c r="K1637" s="253"/>
    </row>
    <row r="1638" spans="1:11" ht="22" customHeight="1" x14ac:dyDescent="0.35">
      <c r="A1638" s="251"/>
      <c r="B1638" s="252"/>
      <c r="C1638" s="252"/>
      <c r="D1638" s="252"/>
      <c r="E1638" s="252"/>
      <c r="F1638" s="252"/>
      <c r="G1638" s="252"/>
      <c r="H1638" s="252"/>
      <c r="I1638" s="252"/>
      <c r="J1638" s="252"/>
      <c r="K1638" s="253"/>
    </row>
    <row r="1639" spans="1:11" ht="22" customHeight="1" x14ac:dyDescent="0.35">
      <c r="A1639" s="251"/>
      <c r="B1639" s="252"/>
      <c r="C1639" s="252"/>
      <c r="D1639" s="252"/>
      <c r="E1639" s="252"/>
      <c r="F1639" s="252"/>
      <c r="G1639" s="252"/>
      <c r="H1639" s="252"/>
      <c r="I1639" s="252"/>
      <c r="J1639" s="252"/>
      <c r="K1639" s="253"/>
    </row>
    <row r="1640" spans="1:11" ht="22" customHeight="1" x14ac:dyDescent="0.35">
      <c r="A1640" s="251"/>
      <c r="B1640" s="252"/>
      <c r="C1640" s="252"/>
      <c r="D1640" s="252"/>
      <c r="E1640" s="252"/>
      <c r="F1640" s="252"/>
      <c r="G1640" s="252"/>
      <c r="H1640" s="252"/>
      <c r="I1640" s="252"/>
      <c r="J1640" s="252"/>
      <c r="K1640" s="253"/>
    </row>
    <row r="1641" spans="1:11" ht="22" customHeight="1" x14ac:dyDescent="0.35">
      <c r="A1641" s="251"/>
      <c r="B1641" s="252"/>
      <c r="C1641" s="252"/>
      <c r="D1641" s="252"/>
      <c r="E1641" s="252"/>
      <c r="F1641" s="252"/>
      <c r="G1641" s="252"/>
      <c r="H1641" s="252"/>
      <c r="I1641" s="252"/>
      <c r="J1641" s="252"/>
      <c r="K1641" s="253"/>
    </row>
    <row r="1642" spans="1:11" ht="22" customHeight="1" x14ac:dyDescent="0.35">
      <c r="A1642" s="251"/>
      <c r="B1642" s="252"/>
      <c r="C1642" s="252"/>
      <c r="D1642" s="252"/>
      <c r="E1642" s="252"/>
      <c r="F1642" s="252"/>
      <c r="G1642" s="252"/>
      <c r="H1642" s="252"/>
      <c r="I1642" s="252"/>
      <c r="J1642" s="252"/>
      <c r="K1642" s="253"/>
    </row>
    <row r="1643" spans="1:11" ht="22" customHeight="1" x14ac:dyDescent="0.35">
      <c r="A1643" s="251"/>
      <c r="B1643" s="252"/>
      <c r="C1643" s="252"/>
      <c r="D1643" s="252"/>
      <c r="E1643" s="252"/>
      <c r="F1643" s="252"/>
      <c r="G1643" s="252"/>
      <c r="H1643" s="252"/>
      <c r="I1643" s="252"/>
      <c r="J1643" s="252"/>
      <c r="K1643" s="253"/>
    </row>
    <row r="1644" spans="1:11" ht="22" customHeight="1" x14ac:dyDescent="0.35">
      <c r="A1644" s="251"/>
      <c r="B1644" s="252"/>
      <c r="C1644" s="252"/>
      <c r="D1644" s="252"/>
      <c r="E1644" s="252"/>
      <c r="F1644" s="252"/>
      <c r="G1644" s="252"/>
      <c r="H1644" s="252"/>
      <c r="I1644" s="252"/>
      <c r="J1644" s="252"/>
      <c r="K1644" s="253"/>
    </row>
    <row r="1645" spans="1:11" ht="22" customHeight="1" x14ac:dyDescent="0.35">
      <c r="A1645" s="251"/>
      <c r="B1645" s="252"/>
      <c r="C1645" s="252"/>
      <c r="D1645" s="252"/>
      <c r="E1645" s="252"/>
      <c r="F1645" s="252"/>
      <c r="G1645" s="252"/>
      <c r="H1645" s="252"/>
      <c r="I1645" s="252"/>
      <c r="J1645" s="252"/>
      <c r="K1645" s="253"/>
    </row>
    <row r="1646" spans="1:11" ht="22" customHeight="1" x14ac:dyDescent="0.35">
      <c r="A1646" s="251"/>
      <c r="B1646" s="252"/>
      <c r="C1646" s="252"/>
      <c r="D1646" s="252"/>
      <c r="E1646" s="252"/>
      <c r="F1646" s="252"/>
      <c r="G1646" s="252"/>
      <c r="H1646" s="252"/>
      <c r="I1646" s="252"/>
      <c r="J1646" s="252"/>
      <c r="K1646" s="253"/>
    </row>
    <row r="1647" spans="1:11" ht="22" customHeight="1" x14ac:dyDescent="0.35">
      <c r="A1647" s="251"/>
      <c r="B1647" s="252"/>
      <c r="C1647" s="252"/>
      <c r="D1647" s="252"/>
      <c r="E1647" s="252"/>
      <c r="F1647" s="252"/>
      <c r="G1647" s="252"/>
      <c r="H1647" s="252"/>
      <c r="I1647" s="252"/>
      <c r="J1647" s="252"/>
      <c r="K1647" s="253"/>
    </row>
    <row r="1648" spans="1:11" ht="22" customHeight="1" x14ac:dyDescent="0.35">
      <c r="A1648" s="251"/>
      <c r="B1648" s="252"/>
      <c r="C1648" s="252"/>
      <c r="D1648" s="252"/>
      <c r="E1648" s="252"/>
      <c r="F1648" s="252"/>
      <c r="G1648" s="252"/>
      <c r="H1648" s="252"/>
      <c r="I1648" s="252"/>
      <c r="J1648" s="252"/>
      <c r="K1648" s="253"/>
    </row>
    <row r="1649" spans="1:11" ht="22" customHeight="1" x14ac:dyDescent="0.35">
      <c r="A1649" s="251"/>
      <c r="B1649" s="252"/>
      <c r="C1649" s="252"/>
      <c r="D1649" s="252"/>
      <c r="E1649" s="252"/>
      <c r="F1649" s="252"/>
      <c r="G1649" s="252"/>
      <c r="H1649" s="252"/>
      <c r="I1649" s="252"/>
      <c r="J1649" s="252"/>
      <c r="K1649" s="253"/>
    </row>
    <row r="1650" spans="1:11" ht="22" customHeight="1" x14ac:dyDescent="0.35">
      <c r="A1650" s="251"/>
      <c r="B1650" s="252"/>
      <c r="C1650" s="252"/>
      <c r="D1650" s="252"/>
      <c r="E1650" s="252"/>
      <c r="F1650" s="252"/>
      <c r="G1650" s="252"/>
      <c r="H1650" s="252"/>
      <c r="I1650" s="252"/>
      <c r="J1650" s="252"/>
      <c r="K1650" s="253"/>
    </row>
    <row r="1651" spans="1:11" ht="22" customHeight="1" x14ac:dyDescent="0.35">
      <c r="A1651" s="251"/>
      <c r="B1651" s="252"/>
      <c r="C1651" s="252"/>
      <c r="D1651" s="252"/>
      <c r="E1651" s="252"/>
      <c r="F1651" s="252"/>
      <c r="G1651" s="252"/>
      <c r="H1651" s="252"/>
      <c r="I1651" s="252"/>
      <c r="J1651" s="252"/>
      <c r="K1651" s="253"/>
    </row>
    <row r="1652" spans="1:11" ht="22" customHeight="1" x14ac:dyDescent="0.35">
      <c r="A1652" s="251"/>
      <c r="B1652" s="252"/>
      <c r="C1652" s="252"/>
      <c r="D1652" s="252"/>
      <c r="E1652" s="252"/>
      <c r="F1652" s="252"/>
      <c r="G1652" s="252"/>
      <c r="H1652" s="252"/>
      <c r="I1652" s="252"/>
      <c r="J1652" s="252"/>
      <c r="K1652" s="253"/>
    </row>
    <row r="1653" spans="1:11" ht="22" customHeight="1" x14ac:dyDescent="0.35">
      <c r="A1653" s="251"/>
      <c r="B1653" s="252"/>
      <c r="C1653" s="252"/>
      <c r="D1653" s="252"/>
      <c r="E1653" s="252"/>
      <c r="F1653" s="252"/>
      <c r="G1653" s="252"/>
      <c r="H1653" s="252"/>
      <c r="I1653" s="252"/>
      <c r="J1653" s="252"/>
      <c r="K1653" s="253"/>
    </row>
    <row r="1654" spans="1:11" ht="22" customHeight="1" x14ac:dyDescent="0.35">
      <c r="A1654" s="251"/>
      <c r="B1654" s="252"/>
      <c r="C1654" s="252"/>
      <c r="D1654" s="252"/>
      <c r="E1654" s="252"/>
      <c r="F1654" s="252"/>
      <c r="G1654" s="252"/>
      <c r="H1654" s="252"/>
      <c r="I1654" s="252"/>
      <c r="J1654" s="252"/>
      <c r="K1654" s="253"/>
    </row>
    <row r="1655" spans="1:11" ht="22" customHeight="1" x14ac:dyDescent="0.35">
      <c r="A1655" s="251"/>
      <c r="B1655" s="252"/>
      <c r="C1655" s="252"/>
      <c r="D1655" s="252"/>
      <c r="E1655" s="252"/>
      <c r="F1655" s="252"/>
      <c r="G1655" s="252"/>
      <c r="H1655" s="252"/>
      <c r="I1655" s="252"/>
      <c r="J1655" s="252"/>
      <c r="K1655" s="253"/>
    </row>
    <row r="1656" spans="1:11" ht="22" customHeight="1" x14ac:dyDescent="0.35">
      <c r="A1656" s="251"/>
      <c r="B1656" s="252"/>
      <c r="C1656" s="252"/>
      <c r="D1656" s="252"/>
      <c r="E1656" s="252"/>
      <c r="F1656" s="252"/>
      <c r="G1656" s="252"/>
      <c r="H1656" s="252"/>
      <c r="I1656" s="252"/>
      <c r="J1656" s="252"/>
      <c r="K1656" s="253"/>
    </row>
    <row r="1657" spans="1:11" ht="22" customHeight="1" x14ac:dyDescent="0.35">
      <c r="A1657" s="251"/>
      <c r="B1657" s="252"/>
      <c r="C1657" s="252"/>
      <c r="D1657" s="252"/>
      <c r="E1657" s="252"/>
      <c r="F1657" s="252"/>
      <c r="G1657" s="252"/>
      <c r="H1657" s="252"/>
      <c r="I1657" s="252"/>
      <c r="J1657" s="252"/>
      <c r="K1657" s="253"/>
    </row>
    <row r="1658" spans="1:11" ht="22" customHeight="1" x14ac:dyDescent="0.35">
      <c r="A1658" s="251"/>
      <c r="B1658" s="252"/>
      <c r="C1658" s="252"/>
      <c r="D1658" s="252"/>
      <c r="E1658" s="252"/>
      <c r="F1658" s="252"/>
      <c r="G1658" s="252"/>
      <c r="H1658" s="252"/>
      <c r="I1658" s="252"/>
      <c r="J1658" s="252"/>
      <c r="K1658" s="253"/>
    </row>
    <row r="1659" spans="1:11" ht="22" customHeight="1" x14ac:dyDescent="0.35">
      <c r="A1659" s="251"/>
      <c r="B1659" s="252"/>
      <c r="C1659" s="252"/>
      <c r="D1659" s="252"/>
      <c r="E1659" s="252"/>
      <c r="F1659" s="252"/>
      <c r="G1659" s="252"/>
      <c r="H1659" s="252"/>
      <c r="I1659" s="252"/>
      <c r="J1659" s="252"/>
      <c r="K1659" s="253"/>
    </row>
    <row r="1660" spans="1:11" ht="22" customHeight="1" x14ac:dyDescent="0.35">
      <c r="A1660" s="251"/>
      <c r="B1660" s="252"/>
      <c r="C1660" s="252"/>
      <c r="D1660" s="252"/>
      <c r="E1660" s="252"/>
      <c r="F1660" s="252"/>
      <c r="G1660" s="252"/>
      <c r="H1660" s="252"/>
      <c r="I1660" s="252"/>
      <c r="J1660" s="252"/>
      <c r="K1660" s="253"/>
    </row>
    <row r="1661" spans="1:11" ht="22" customHeight="1" x14ac:dyDescent="0.35">
      <c r="A1661" s="251"/>
      <c r="B1661" s="252"/>
      <c r="C1661" s="252"/>
      <c r="D1661" s="252"/>
      <c r="E1661" s="252"/>
      <c r="F1661" s="252"/>
      <c r="G1661" s="252"/>
      <c r="H1661" s="252"/>
      <c r="I1661" s="252"/>
      <c r="J1661" s="252"/>
      <c r="K1661" s="253"/>
    </row>
    <row r="1662" spans="1:11" ht="22" customHeight="1" x14ac:dyDescent="0.35">
      <c r="A1662" s="251"/>
      <c r="B1662" s="252"/>
      <c r="C1662" s="252"/>
      <c r="D1662" s="252"/>
      <c r="E1662" s="252"/>
      <c r="F1662" s="252"/>
      <c r="G1662" s="252"/>
      <c r="H1662" s="252"/>
      <c r="I1662" s="252"/>
      <c r="J1662" s="252"/>
      <c r="K1662" s="253"/>
    </row>
    <row r="1663" spans="1:11" ht="22" customHeight="1" x14ac:dyDescent="0.35">
      <c r="A1663" s="251"/>
      <c r="B1663" s="252"/>
      <c r="C1663" s="252"/>
      <c r="D1663" s="252"/>
      <c r="E1663" s="252"/>
      <c r="F1663" s="252"/>
      <c r="G1663" s="252"/>
      <c r="H1663" s="252"/>
      <c r="I1663" s="252"/>
      <c r="J1663" s="252"/>
      <c r="K1663" s="253"/>
    </row>
    <row r="1664" spans="1:11" ht="22" customHeight="1" x14ac:dyDescent="0.35">
      <c r="A1664" s="251"/>
      <c r="B1664" s="252"/>
      <c r="C1664" s="252"/>
      <c r="D1664" s="252"/>
      <c r="E1664" s="252"/>
      <c r="F1664" s="252"/>
      <c r="G1664" s="252"/>
      <c r="H1664" s="252"/>
      <c r="I1664" s="252"/>
      <c r="J1664" s="252"/>
      <c r="K1664" s="253"/>
    </row>
    <row r="1665" spans="1:11" ht="22" customHeight="1" x14ac:dyDescent="0.35">
      <c r="A1665" s="251"/>
      <c r="B1665" s="252"/>
      <c r="C1665" s="252"/>
      <c r="D1665" s="252"/>
      <c r="E1665" s="252"/>
      <c r="F1665" s="252"/>
      <c r="G1665" s="252"/>
      <c r="H1665" s="252"/>
      <c r="I1665" s="252"/>
      <c r="J1665" s="252"/>
      <c r="K1665" s="253"/>
    </row>
    <row r="1666" spans="1:11" ht="22" customHeight="1" x14ac:dyDescent="0.35">
      <c r="A1666" s="251"/>
      <c r="B1666" s="252"/>
      <c r="C1666" s="252"/>
      <c r="D1666" s="252"/>
      <c r="E1666" s="252"/>
      <c r="F1666" s="252"/>
      <c r="G1666" s="252"/>
      <c r="H1666" s="252"/>
      <c r="I1666" s="252"/>
      <c r="J1666" s="252"/>
      <c r="K1666" s="253"/>
    </row>
    <row r="1667" spans="1:11" ht="22" customHeight="1" x14ac:dyDescent="0.35">
      <c r="A1667" s="251"/>
      <c r="B1667" s="252"/>
      <c r="C1667" s="252"/>
      <c r="D1667" s="252"/>
      <c r="E1667" s="252"/>
      <c r="F1667" s="252"/>
      <c r="G1667" s="252"/>
      <c r="H1667" s="252"/>
      <c r="I1667" s="252"/>
      <c r="J1667" s="252"/>
      <c r="K1667" s="253"/>
    </row>
    <row r="1668" spans="1:11" ht="22" customHeight="1" x14ac:dyDescent="0.35">
      <c r="A1668" s="251"/>
      <c r="B1668" s="252"/>
      <c r="C1668" s="252"/>
      <c r="D1668" s="252"/>
      <c r="E1668" s="252"/>
      <c r="F1668" s="252"/>
      <c r="G1668" s="252"/>
      <c r="H1668" s="252"/>
      <c r="I1668" s="252"/>
      <c r="J1668" s="252"/>
      <c r="K1668" s="253"/>
    </row>
    <row r="1669" spans="1:11" ht="22" customHeight="1" x14ac:dyDescent="0.35">
      <c r="A1669" s="251"/>
      <c r="B1669" s="252"/>
      <c r="C1669" s="252"/>
      <c r="D1669" s="252"/>
      <c r="E1669" s="252"/>
      <c r="F1669" s="252"/>
      <c r="G1669" s="252"/>
      <c r="H1669" s="252"/>
      <c r="I1669" s="252"/>
      <c r="J1669" s="252"/>
      <c r="K1669" s="253"/>
    </row>
    <row r="1670" spans="1:11" ht="22" customHeight="1" x14ac:dyDescent="0.35">
      <c r="A1670" s="251"/>
      <c r="B1670" s="252"/>
      <c r="C1670" s="252"/>
      <c r="D1670" s="252"/>
      <c r="E1670" s="252"/>
      <c r="F1670" s="252"/>
      <c r="G1670" s="252"/>
      <c r="H1670" s="252"/>
      <c r="I1670" s="252"/>
      <c r="J1670" s="252"/>
      <c r="K1670" s="253"/>
    </row>
    <row r="1671" spans="1:11" ht="22" customHeight="1" x14ac:dyDescent="0.35">
      <c r="A1671" s="251"/>
      <c r="B1671" s="252"/>
      <c r="C1671" s="252"/>
      <c r="D1671" s="252"/>
      <c r="E1671" s="252"/>
      <c r="F1671" s="252"/>
      <c r="G1671" s="252"/>
      <c r="H1671" s="252"/>
      <c r="I1671" s="252"/>
      <c r="J1671" s="252"/>
      <c r="K1671" s="253"/>
    </row>
    <row r="1672" spans="1:11" ht="22" customHeight="1" x14ac:dyDescent="0.35">
      <c r="A1672" s="251"/>
      <c r="B1672" s="252"/>
      <c r="C1672" s="252"/>
      <c r="D1672" s="252"/>
      <c r="E1672" s="252"/>
      <c r="F1672" s="252"/>
      <c r="G1672" s="252"/>
      <c r="H1672" s="252"/>
      <c r="I1672" s="252"/>
      <c r="J1672" s="252"/>
      <c r="K1672" s="253"/>
    </row>
    <row r="1673" spans="1:11" ht="22" customHeight="1" x14ac:dyDescent="0.35">
      <c r="A1673" s="251"/>
      <c r="B1673" s="252"/>
      <c r="C1673" s="252"/>
      <c r="D1673" s="252"/>
      <c r="E1673" s="252"/>
      <c r="F1673" s="252"/>
      <c r="G1673" s="252"/>
      <c r="H1673" s="252"/>
      <c r="I1673" s="252"/>
      <c r="J1673" s="252"/>
      <c r="K1673" s="253"/>
    </row>
    <row r="1674" spans="1:11" ht="22" customHeight="1" x14ac:dyDescent="0.35">
      <c r="A1674" s="251"/>
      <c r="B1674" s="252"/>
      <c r="C1674" s="252"/>
      <c r="D1674" s="252"/>
      <c r="E1674" s="252"/>
      <c r="F1674" s="252"/>
      <c r="G1674" s="252"/>
      <c r="H1674" s="252"/>
      <c r="I1674" s="252"/>
      <c r="J1674" s="252"/>
      <c r="K1674" s="253"/>
    </row>
    <row r="1675" spans="1:11" ht="22" customHeight="1" x14ac:dyDescent="0.35">
      <c r="A1675" s="251"/>
      <c r="B1675" s="252"/>
      <c r="C1675" s="252"/>
      <c r="D1675" s="252"/>
      <c r="E1675" s="252"/>
      <c r="F1675" s="252"/>
      <c r="G1675" s="252"/>
      <c r="H1675" s="252"/>
      <c r="I1675" s="252"/>
      <c r="J1675" s="252"/>
      <c r="K1675" s="253"/>
    </row>
    <row r="1676" spans="1:11" ht="22" customHeight="1" x14ac:dyDescent="0.35">
      <c r="A1676" s="251"/>
      <c r="B1676" s="252"/>
      <c r="C1676" s="252"/>
      <c r="D1676" s="252"/>
      <c r="E1676" s="252"/>
      <c r="F1676" s="252"/>
      <c r="G1676" s="252"/>
      <c r="H1676" s="252"/>
      <c r="I1676" s="252"/>
      <c r="J1676" s="252"/>
      <c r="K1676" s="253"/>
    </row>
    <row r="1677" spans="1:11" ht="22" customHeight="1" x14ac:dyDescent="0.35">
      <c r="A1677" s="251"/>
      <c r="B1677" s="252"/>
      <c r="C1677" s="252"/>
      <c r="D1677" s="252"/>
      <c r="E1677" s="252"/>
      <c r="F1677" s="252"/>
      <c r="G1677" s="252"/>
      <c r="H1677" s="252"/>
      <c r="I1677" s="252"/>
      <c r="J1677" s="252"/>
      <c r="K1677" s="253"/>
    </row>
    <row r="1678" spans="1:11" ht="22" customHeight="1" x14ac:dyDescent="0.35">
      <c r="A1678" s="251"/>
      <c r="B1678" s="252"/>
      <c r="C1678" s="252"/>
      <c r="D1678" s="252"/>
      <c r="E1678" s="252"/>
      <c r="F1678" s="252"/>
      <c r="G1678" s="252"/>
      <c r="H1678" s="252"/>
      <c r="I1678" s="252"/>
      <c r="J1678" s="252"/>
      <c r="K1678" s="253"/>
    </row>
    <row r="1679" spans="1:11" ht="22" customHeight="1" x14ac:dyDescent="0.35">
      <c r="A1679" s="251"/>
      <c r="B1679" s="252"/>
      <c r="C1679" s="252"/>
      <c r="D1679" s="252"/>
      <c r="E1679" s="252"/>
      <c r="F1679" s="252"/>
      <c r="G1679" s="252"/>
      <c r="H1679" s="252"/>
      <c r="I1679" s="252"/>
      <c r="J1679" s="252"/>
      <c r="K1679" s="253"/>
    </row>
    <row r="1680" spans="1:11" ht="22" customHeight="1" x14ac:dyDescent="0.35">
      <c r="A1680" s="251"/>
      <c r="B1680" s="252"/>
      <c r="C1680" s="252"/>
      <c r="D1680" s="252"/>
      <c r="E1680" s="252"/>
      <c r="F1680" s="252"/>
      <c r="G1680" s="252"/>
      <c r="H1680" s="252"/>
      <c r="I1680" s="252"/>
      <c r="J1680" s="252"/>
      <c r="K1680" s="253"/>
    </row>
    <row r="1681" spans="1:11" ht="22" customHeight="1" x14ac:dyDescent="0.35">
      <c r="A1681" s="251"/>
      <c r="B1681" s="252"/>
      <c r="C1681" s="252"/>
      <c r="D1681" s="252"/>
      <c r="E1681" s="252"/>
      <c r="F1681" s="252"/>
      <c r="G1681" s="252"/>
      <c r="H1681" s="252"/>
      <c r="I1681" s="252"/>
      <c r="J1681" s="252"/>
      <c r="K1681" s="253"/>
    </row>
    <row r="1682" spans="1:11" ht="22" customHeight="1" x14ac:dyDescent="0.35">
      <c r="A1682" s="251"/>
      <c r="B1682" s="252"/>
      <c r="C1682" s="252"/>
      <c r="D1682" s="252"/>
      <c r="E1682" s="252"/>
      <c r="F1682" s="252"/>
      <c r="G1682" s="252"/>
      <c r="H1682" s="252"/>
      <c r="I1682" s="252"/>
      <c r="J1682" s="252"/>
      <c r="K1682" s="253"/>
    </row>
    <row r="1683" spans="1:11" ht="22" customHeight="1" x14ac:dyDescent="0.35">
      <c r="A1683" s="251"/>
      <c r="B1683" s="252"/>
      <c r="C1683" s="252"/>
      <c r="D1683" s="252"/>
      <c r="E1683" s="252"/>
      <c r="F1683" s="252"/>
      <c r="G1683" s="252"/>
      <c r="H1683" s="252"/>
      <c r="I1683" s="252"/>
      <c r="J1683" s="252"/>
      <c r="K1683" s="253"/>
    </row>
    <row r="1684" spans="1:11" ht="22" customHeight="1" x14ac:dyDescent="0.35">
      <c r="A1684" s="251"/>
      <c r="B1684" s="252"/>
      <c r="C1684" s="252"/>
      <c r="D1684" s="252"/>
      <c r="E1684" s="252"/>
      <c r="F1684" s="252"/>
      <c r="G1684" s="252"/>
      <c r="H1684" s="252"/>
      <c r="I1684" s="252"/>
      <c r="J1684" s="252"/>
      <c r="K1684" s="253"/>
    </row>
    <row r="1685" spans="1:11" ht="22" customHeight="1" x14ac:dyDescent="0.35">
      <c r="A1685" s="251"/>
      <c r="B1685" s="252"/>
      <c r="C1685" s="252"/>
      <c r="D1685" s="252"/>
      <c r="E1685" s="252"/>
      <c r="F1685" s="252"/>
      <c r="G1685" s="252"/>
      <c r="H1685" s="252"/>
      <c r="I1685" s="252"/>
      <c r="J1685" s="252"/>
      <c r="K1685" s="253"/>
    </row>
    <row r="1686" spans="1:11" ht="22" customHeight="1" x14ac:dyDescent="0.35">
      <c r="A1686" s="251"/>
      <c r="B1686" s="252"/>
      <c r="C1686" s="252"/>
      <c r="D1686" s="252"/>
      <c r="E1686" s="252"/>
      <c r="F1686" s="252"/>
      <c r="G1686" s="252"/>
      <c r="H1686" s="252"/>
      <c r="I1686" s="252"/>
      <c r="J1686" s="252"/>
      <c r="K1686" s="253"/>
    </row>
    <row r="1687" spans="1:11" ht="22" customHeight="1" x14ac:dyDescent="0.35">
      <c r="A1687" s="251"/>
      <c r="B1687" s="252"/>
      <c r="C1687" s="252"/>
      <c r="D1687" s="252"/>
      <c r="E1687" s="252"/>
      <c r="F1687" s="252"/>
      <c r="G1687" s="252"/>
      <c r="H1687" s="252"/>
      <c r="I1687" s="252"/>
      <c r="J1687" s="252"/>
      <c r="K1687" s="253"/>
    </row>
    <row r="1688" spans="1:11" ht="22" customHeight="1" x14ac:dyDescent="0.35">
      <c r="A1688" s="251"/>
      <c r="B1688" s="252"/>
      <c r="C1688" s="252"/>
      <c r="D1688" s="252"/>
      <c r="E1688" s="252"/>
      <c r="F1688" s="252"/>
      <c r="G1688" s="252"/>
      <c r="H1688" s="252"/>
      <c r="I1688" s="252"/>
      <c r="J1688" s="252"/>
      <c r="K1688" s="253"/>
    </row>
    <row r="1689" spans="1:11" ht="22" customHeight="1" x14ac:dyDescent="0.35">
      <c r="A1689" s="251"/>
      <c r="B1689" s="252"/>
      <c r="C1689" s="252"/>
      <c r="D1689" s="252"/>
      <c r="E1689" s="252"/>
      <c r="F1689" s="252"/>
      <c r="G1689" s="252"/>
      <c r="H1689" s="252"/>
      <c r="I1689" s="252"/>
      <c r="J1689" s="252"/>
      <c r="K1689" s="253"/>
    </row>
    <row r="1690" spans="1:11" ht="22" customHeight="1" x14ac:dyDescent="0.35">
      <c r="A1690" s="251"/>
      <c r="B1690" s="252"/>
      <c r="C1690" s="252"/>
      <c r="D1690" s="252"/>
      <c r="E1690" s="252"/>
      <c r="F1690" s="252"/>
      <c r="G1690" s="252"/>
      <c r="H1690" s="252"/>
      <c r="I1690" s="252"/>
      <c r="J1690" s="252"/>
      <c r="K1690" s="253"/>
    </row>
    <row r="1691" spans="1:11" ht="22" customHeight="1" x14ac:dyDescent="0.35">
      <c r="A1691" s="251"/>
      <c r="B1691" s="252"/>
      <c r="C1691" s="252"/>
      <c r="D1691" s="252"/>
      <c r="E1691" s="252"/>
      <c r="F1691" s="252"/>
      <c r="G1691" s="252"/>
      <c r="H1691" s="252"/>
      <c r="I1691" s="252"/>
      <c r="J1691" s="252"/>
      <c r="K1691" s="253"/>
    </row>
    <row r="1692" spans="1:11" ht="22" customHeight="1" x14ac:dyDescent="0.35">
      <c r="A1692" s="251"/>
      <c r="B1692" s="252"/>
      <c r="C1692" s="252"/>
      <c r="D1692" s="252"/>
      <c r="E1692" s="252"/>
      <c r="F1692" s="252"/>
      <c r="G1692" s="252"/>
      <c r="H1692" s="252"/>
      <c r="I1692" s="252"/>
      <c r="J1692" s="252"/>
      <c r="K1692" s="253"/>
    </row>
    <row r="1693" spans="1:11" ht="22" customHeight="1" x14ac:dyDescent="0.35">
      <c r="A1693" s="251"/>
      <c r="B1693" s="252"/>
      <c r="C1693" s="252"/>
      <c r="D1693" s="252"/>
      <c r="E1693" s="252"/>
      <c r="F1693" s="252"/>
      <c r="G1693" s="252"/>
      <c r="H1693" s="252"/>
      <c r="I1693" s="252"/>
      <c r="J1693" s="252"/>
      <c r="K1693" s="253"/>
    </row>
    <row r="1694" spans="1:11" ht="22" customHeight="1" x14ac:dyDescent="0.35">
      <c r="A1694" s="251"/>
      <c r="B1694" s="252"/>
      <c r="C1694" s="252"/>
      <c r="D1694" s="252"/>
      <c r="E1694" s="252"/>
      <c r="F1694" s="252"/>
      <c r="G1694" s="252"/>
      <c r="H1694" s="252"/>
      <c r="I1694" s="252"/>
      <c r="J1694" s="252"/>
      <c r="K1694" s="253"/>
    </row>
    <row r="1695" spans="1:11" ht="22" customHeight="1" x14ac:dyDescent="0.35">
      <c r="A1695" s="251"/>
      <c r="B1695" s="252"/>
      <c r="C1695" s="252"/>
      <c r="D1695" s="252"/>
      <c r="E1695" s="252"/>
      <c r="F1695" s="252"/>
      <c r="G1695" s="252"/>
      <c r="H1695" s="252"/>
      <c r="I1695" s="252"/>
      <c r="J1695" s="252"/>
      <c r="K1695" s="253"/>
    </row>
    <row r="1696" spans="1:11" ht="22" customHeight="1" x14ac:dyDescent="0.35">
      <c r="A1696" s="251"/>
      <c r="B1696" s="252"/>
      <c r="C1696" s="252"/>
      <c r="D1696" s="252"/>
      <c r="E1696" s="252"/>
      <c r="F1696" s="252"/>
      <c r="G1696" s="252"/>
      <c r="H1696" s="252"/>
      <c r="I1696" s="252"/>
      <c r="J1696" s="252"/>
      <c r="K1696" s="253"/>
    </row>
    <row r="1697" spans="1:11" ht="22" customHeight="1" x14ac:dyDescent="0.35">
      <c r="A1697" s="251"/>
      <c r="B1697" s="252"/>
      <c r="C1697" s="252"/>
      <c r="D1697" s="252"/>
      <c r="E1697" s="252"/>
      <c r="F1697" s="252"/>
      <c r="G1697" s="252"/>
      <c r="H1697" s="252"/>
      <c r="I1697" s="252"/>
      <c r="J1697" s="252"/>
      <c r="K1697" s="253"/>
    </row>
    <row r="1698" spans="1:11" ht="22" customHeight="1" x14ac:dyDescent="0.35">
      <c r="A1698" s="251"/>
      <c r="B1698" s="252"/>
      <c r="C1698" s="252"/>
      <c r="D1698" s="252"/>
      <c r="E1698" s="252"/>
      <c r="F1698" s="252"/>
      <c r="G1698" s="252"/>
      <c r="H1698" s="252"/>
      <c r="I1698" s="252"/>
      <c r="J1698" s="252"/>
      <c r="K1698" s="253"/>
    </row>
    <row r="1699" spans="1:11" ht="22" customHeight="1" x14ac:dyDescent="0.35">
      <c r="A1699" s="251"/>
      <c r="B1699" s="252"/>
      <c r="C1699" s="252"/>
      <c r="D1699" s="252"/>
      <c r="E1699" s="252"/>
      <c r="F1699" s="252"/>
      <c r="G1699" s="252"/>
      <c r="H1699" s="252"/>
      <c r="I1699" s="252"/>
      <c r="J1699" s="252"/>
      <c r="K1699" s="253"/>
    </row>
    <row r="1700" spans="1:11" ht="22" customHeight="1" x14ac:dyDescent="0.35">
      <c r="A1700" s="251"/>
      <c r="B1700" s="252"/>
      <c r="C1700" s="252"/>
      <c r="D1700" s="252"/>
      <c r="E1700" s="252"/>
      <c r="F1700" s="252"/>
      <c r="G1700" s="252"/>
      <c r="H1700" s="252"/>
      <c r="I1700" s="252"/>
      <c r="J1700" s="252"/>
      <c r="K1700" s="253"/>
    </row>
    <row r="1701" spans="1:11" ht="22" customHeight="1" x14ac:dyDescent="0.35">
      <c r="A1701" s="251"/>
      <c r="B1701" s="252"/>
      <c r="C1701" s="252"/>
      <c r="D1701" s="252"/>
      <c r="E1701" s="252"/>
      <c r="F1701" s="252"/>
      <c r="G1701" s="252"/>
      <c r="H1701" s="252"/>
      <c r="I1701" s="252"/>
      <c r="J1701" s="252"/>
      <c r="K1701" s="253"/>
    </row>
    <row r="1702" spans="1:11" ht="22" customHeight="1" x14ac:dyDescent="0.35">
      <c r="A1702" s="251"/>
      <c r="B1702" s="252"/>
      <c r="C1702" s="252"/>
      <c r="D1702" s="252"/>
      <c r="E1702" s="252"/>
      <c r="F1702" s="252"/>
      <c r="G1702" s="252"/>
      <c r="H1702" s="252"/>
      <c r="I1702" s="252"/>
      <c r="J1702" s="252"/>
      <c r="K1702" s="253"/>
    </row>
    <row r="1703" spans="1:11" ht="22" customHeight="1" x14ac:dyDescent="0.35">
      <c r="A1703" s="251"/>
      <c r="B1703" s="252"/>
      <c r="C1703" s="252"/>
      <c r="D1703" s="252"/>
      <c r="E1703" s="252"/>
      <c r="F1703" s="252"/>
      <c r="G1703" s="252"/>
      <c r="H1703" s="252"/>
      <c r="I1703" s="252"/>
      <c r="J1703" s="252"/>
      <c r="K1703" s="253"/>
    </row>
    <row r="1704" spans="1:11" ht="22" customHeight="1" x14ac:dyDescent="0.35">
      <c r="A1704" s="251"/>
      <c r="B1704" s="252"/>
      <c r="C1704" s="252"/>
      <c r="D1704" s="252"/>
      <c r="E1704" s="252"/>
      <c r="F1704" s="252"/>
      <c r="G1704" s="252"/>
      <c r="H1704" s="252"/>
      <c r="I1704" s="252"/>
      <c r="J1704" s="252"/>
      <c r="K1704" s="253"/>
    </row>
    <row r="1705" spans="1:11" ht="22" customHeight="1" x14ac:dyDescent="0.35">
      <c r="A1705" s="251"/>
      <c r="B1705" s="252"/>
      <c r="C1705" s="252"/>
      <c r="D1705" s="252"/>
      <c r="E1705" s="252"/>
      <c r="F1705" s="252"/>
      <c r="G1705" s="252"/>
      <c r="H1705" s="252"/>
      <c r="I1705" s="252"/>
      <c r="J1705" s="252"/>
      <c r="K1705" s="253"/>
    </row>
    <row r="1706" spans="1:11" ht="22" customHeight="1" x14ac:dyDescent="0.35">
      <c r="A1706" s="251"/>
      <c r="B1706" s="252"/>
      <c r="C1706" s="252"/>
      <c r="D1706" s="252"/>
      <c r="E1706" s="252"/>
      <c r="F1706" s="252"/>
      <c r="G1706" s="252"/>
      <c r="H1706" s="252"/>
      <c r="I1706" s="252"/>
      <c r="J1706" s="252"/>
      <c r="K1706" s="253"/>
    </row>
    <row r="1707" spans="1:11" ht="22" customHeight="1" x14ac:dyDescent="0.35">
      <c r="A1707" s="251"/>
      <c r="B1707" s="252"/>
      <c r="C1707" s="252"/>
      <c r="D1707" s="252"/>
      <c r="E1707" s="252"/>
      <c r="F1707" s="252"/>
      <c r="G1707" s="252"/>
      <c r="H1707" s="252"/>
      <c r="I1707" s="252"/>
      <c r="J1707" s="252"/>
      <c r="K1707" s="253"/>
    </row>
    <row r="1708" spans="1:11" ht="22" customHeight="1" x14ac:dyDescent="0.35">
      <c r="A1708" s="251"/>
      <c r="B1708" s="252"/>
      <c r="C1708" s="252"/>
      <c r="D1708" s="252"/>
      <c r="E1708" s="252"/>
      <c r="F1708" s="252"/>
      <c r="G1708" s="252"/>
      <c r="H1708" s="252"/>
      <c r="I1708" s="252"/>
      <c r="J1708" s="252"/>
      <c r="K1708" s="253"/>
    </row>
    <row r="1709" spans="1:11" ht="22" customHeight="1" x14ac:dyDescent="0.35">
      <c r="A1709" s="251"/>
      <c r="B1709" s="252"/>
      <c r="C1709" s="252"/>
      <c r="D1709" s="252"/>
      <c r="E1709" s="252"/>
      <c r="F1709" s="252"/>
      <c r="G1709" s="252"/>
      <c r="H1709" s="252"/>
      <c r="I1709" s="252"/>
      <c r="J1709" s="252"/>
      <c r="K1709" s="253"/>
    </row>
    <row r="1710" spans="1:11" ht="22" customHeight="1" x14ac:dyDescent="0.35">
      <c r="A1710" s="251"/>
      <c r="B1710" s="252"/>
      <c r="C1710" s="252"/>
      <c r="D1710" s="252"/>
      <c r="E1710" s="252"/>
      <c r="F1710" s="252"/>
      <c r="G1710" s="252"/>
      <c r="H1710" s="252"/>
      <c r="I1710" s="252"/>
      <c r="J1710" s="252"/>
      <c r="K1710" s="253"/>
    </row>
    <row r="1711" spans="1:11" ht="22" customHeight="1" x14ac:dyDescent="0.35">
      <c r="A1711" s="251"/>
      <c r="B1711" s="252"/>
      <c r="C1711" s="252"/>
      <c r="D1711" s="252"/>
      <c r="E1711" s="252"/>
      <c r="F1711" s="252"/>
      <c r="G1711" s="252"/>
      <c r="H1711" s="252"/>
      <c r="I1711" s="252"/>
      <c r="J1711" s="252"/>
      <c r="K1711" s="253"/>
    </row>
    <row r="1712" spans="1:11" ht="22" customHeight="1" x14ac:dyDescent="0.35">
      <c r="A1712" s="251"/>
      <c r="B1712" s="252"/>
      <c r="C1712" s="252"/>
      <c r="D1712" s="252"/>
      <c r="E1712" s="252"/>
      <c r="F1712" s="252"/>
      <c r="G1712" s="252"/>
      <c r="H1712" s="252"/>
      <c r="I1712" s="252"/>
      <c r="J1712" s="252"/>
      <c r="K1712" s="253"/>
    </row>
    <row r="1713" spans="1:11" ht="22" customHeight="1" x14ac:dyDescent="0.35">
      <c r="A1713" s="251"/>
      <c r="B1713" s="252"/>
      <c r="C1713" s="252"/>
      <c r="D1713" s="252"/>
      <c r="E1713" s="252"/>
      <c r="F1713" s="252"/>
      <c r="G1713" s="252"/>
      <c r="H1713" s="252"/>
      <c r="I1713" s="252"/>
      <c r="J1713" s="252"/>
      <c r="K1713" s="253"/>
    </row>
    <row r="1714" spans="1:11" ht="22" customHeight="1" x14ac:dyDescent="0.35">
      <c r="A1714" s="251"/>
      <c r="B1714" s="252"/>
      <c r="C1714" s="252"/>
      <c r="D1714" s="252"/>
      <c r="E1714" s="252"/>
      <c r="F1714" s="252"/>
      <c r="G1714" s="252"/>
      <c r="H1714" s="252"/>
      <c r="I1714" s="252"/>
      <c r="J1714" s="252"/>
      <c r="K1714" s="253"/>
    </row>
    <row r="1715" spans="1:11" ht="22" customHeight="1" x14ac:dyDescent="0.35">
      <c r="A1715" s="251"/>
      <c r="B1715" s="252"/>
      <c r="C1715" s="252"/>
      <c r="D1715" s="252"/>
      <c r="E1715" s="252"/>
      <c r="F1715" s="252"/>
      <c r="G1715" s="252"/>
      <c r="H1715" s="252"/>
      <c r="I1715" s="252"/>
      <c r="J1715" s="252"/>
      <c r="K1715" s="253"/>
    </row>
    <row r="1716" spans="1:11" ht="22" customHeight="1" x14ac:dyDescent="0.35">
      <c r="A1716" s="251"/>
      <c r="B1716" s="252"/>
      <c r="C1716" s="252"/>
      <c r="D1716" s="252"/>
      <c r="E1716" s="252"/>
      <c r="F1716" s="252"/>
      <c r="G1716" s="252"/>
      <c r="H1716" s="252"/>
      <c r="I1716" s="252"/>
      <c r="J1716" s="252"/>
      <c r="K1716" s="253"/>
    </row>
    <row r="1717" spans="1:11" ht="22" customHeight="1" x14ac:dyDescent="0.35">
      <c r="A1717" s="251"/>
      <c r="B1717" s="252"/>
      <c r="C1717" s="252"/>
      <c r="D1717" s="252"/>
      <c r="E1717" s="252"/>
      <c r="F1717" s="252"/>
      <c r="G1717" s="252"/>
      <c r="H1717" s="252"/>
      <c r="I1717" s="252"/>
      <c r="J1717" s="252"/>
      <c r="K1717" s="253"/>
    </row>
    <row r="1718" spans="1:11" ht="22" customHeight="1" x14ac:dyDescent="0.35">
      <c r="A1718" s="251"/>
      <c r="B1718" s="252"/>
      <c r="C1718" s="252"/>
      <c r="D1718" s="252"/>
      <c r="E1718" s="252"/>
      <c r="F1718" s="252"/>
      <c r="G1718" s="252"/>
      <c r="H1718" s="252"/>
      <c r="I1718" s="252"/>
      <c r="J1718" s="252"/>
      <c r="K1718" s="253"/>
    </row>
    <row r="1719" spans="1:11" ht="22" customHeight="1" x14ac:dyDescent="0.35">
      <c r="A1719" s="251"/>
      <c r="B1719" s="252"/>
      <c r="C1719" s="252"/>
      <c r="D1719" s="252"/>
      <c r="E1719" s="252"/>
      <c r="F1719" s="252"/>
      <c r="G1719" s="252"/>
      <c r="H1719" s="252"/>
      <c r="I1719" s="252"/>
      <c r="J1719" s="252"/>
      <c r="K1719" s="253"/>
    </row>
    <row r="1720" spans="1:11" ht="22" customHeight="1" x14ac:dyDescent="0.35">
      <c r="A1720" s="251"/>
      <c r="B1720" s="252"/>
      <c r="C1720" s="252"/>
      <c r="D1720" s="252"/>
      <c r="E1720" s="252"/>
      <c r="F1720" s="252"/>
      <c r="G1720" s="252"/>
      <c r="H1720" s="252"/>
      <c r="I1720" s="252"/>
      <c r="J1720" s="252"/>
      <c r="K1720" s="253"/>
    </row>
    <row r="1721" spans="1:11" ht="22" customHeight="1" x14ac:dyDescent="0.35">
      <c r="A1721" s="251"/>
      <c r="B1721" s="252"/>
      <c r="C1721" s="252"/>
      <c r="D1721" s="252"/>
      <c r="E1721" s="252"/>
      <c r="F1721" s="252"/>
      <c r="G1721" s="252"/>
      <c r="H1721" s="252"/>
      <c r="I1721" s="252"/>
      <c r="J1721" s="252"/>
      <c r="K1721" s="253"/>
    </row>
    <row r="1722" spans="1:11" ht="22" customHeight="1" x14ac:dyDescent="0.35">
      <c r="A1722" s="251"/>
      <c r="B1722" s="252"/>
      <c r="C1722" s="252"/>
      <c r="D1722" s="252"/>
      <c r="E1722" s="252"/>
      <c r="F1722" s="252"/>
      <c r="G1722" s="252"/>
      <c r="H1722" s="252"/>
      <c r="I1722" s="252"/>
      <c r="J1722" s="252"/>
      <c r="K1722" s="253"/>
    </row>
    <row r="1723" spans="1:11" ht="22" customHeight="1" x14ac:dyDescent="0.35">
      <c r="A1723" s="251"/>
      <c r="B1723" s="252"/>
      <c r="C1723" s="252"/>
      <c r="D1723" s="252"/>
      <c r="E1723" s="252"/>
      <c r="F1723" s="252"/>
      <c r="G1723" s="252"/>
      <c r="H1723" s="252"/>
      <c r="I1723" s="252"/>
      <c r="J1723" s="252"/>
      <c r="K1723" s="253"/>
    </row>
    <row r="1724" spans="1:11" ht="22" customHeight="1" x14ac:dyDescent="0.35">
      <c r="A1724" s="251"/>
      <c r="B1724" s="252"/>
      <c r="C1724" s="252"/>
      <c r="D1724" s="252"/>
      <c r="E1724" s="252"/>
      <c r="F1724" s="252"/>
      <c r="G1724" s="252"/>
      <c r="H1724" s="252"/>
      <c r="I1724" s="252"/>
      <c r="J1724" s="252"/>
      <c r="K1724" s="253"/>
    </row>
    <row r="1725" spans="1:11" ht="22" customHeight="1" x14ac:dyDescent="0.35">
      <c r="A1725" s="251"/>
      <c r="B1725" s="252"/>
      <c r="C1725" s="252"/>
      <c r="D1725" s="252"/>
      <c r="E1725" s="252"/>
      <c r="F1725" s="252"/>
      <c r="G1725" s="252"/>
      <c r="H1725" s="252"/>
      <c r="I1725" s="252"/>
      <c r="J1725" s="252"/>
      <c r="K1725" s="253"/>
    </row>
    <row r="1726" spans="1:11" ht="22" customHeight="1" x14ac:dyDescent="0.35">
      <c r="A1726" s="251"/>
      <c r="B1726" s="252"/>
      <c r="C1726" s="252"/>
      <c r="D1726" s="252"/>
      <c r="E1726" s="252"/>
      <c r="F1726" s="252"/>
      <c r="G1726" s="252"/>
      <c r="H1726" s="252"/>
      <c r="I1726" s="252"/>
      <c r="J1726" s="252"/>
      <c r="K1726" s="253"/>
    </row>
    <row r="1727" spans="1:11" ht="22" customHeight="1" x14ac:dyDescent="0.35">
      <c r="A1727" s="251"/>
      <c r="B1727" s="252"/>
      <c r="C1727" s="252"/>
      <c r="D1727" s="252"/>
      <c r="E1727" s="252"/>
      <c r="F1727" s="252"/>
      <c r="G1727" s="252"/>
      <c r="H1727" s="252"/>
      <c r="I1727" s="252"/>
      <c r="J1727" s="252"/>
      <c r="K1727" s="253"/>
    </row>
    <row r="1728" spans="1:11" ht="22" customHeight="1" x14ac:dyDescent="0.35">
      <c r="A1728" s="251"/>
      <c r="B1728" s="252"/>
      <c r="C1728" s="252"/>
      <c r="D1728" s="252"/>
      <c r="E1728" s="252"/>
      <c r="F1728" s="252"/>
      <c r="G1728" s="252"/>
      <c r="H1728" s="252"/>
      <c r="I1728" s="252"/>
      <c r="J1728" s="252"/>
      <c r="K1728" s="253"/>
    </row>
    <row r="1729" spans="1:11" ht="22" customHeight="1" x14ac:dyDescent="0.35">
      <c r="A1729" s="251"/>
      <c r="B1729" s="252"/>
      <c r="C1729" s="252"/>
      <c r="D1729" s="252"/>
      <c r="E1729" s="252"/>
      <c r="F1729" s="252"/>
      <c r="G1729" s="252"/>
      <c r="H1729" s="252"/>
      <c r="I1729" s="252"/>
      <c r="J1729" s="252"/>
      <c r="K1729" s="253"/>
    </row>
    <row r="1730" spans="1:11" ht="22" customHeight="1" x14ac:dyDescent="0.35">
      <c r="A1730" s="251"/>
      <c r="B1730" s="252"/>
      <c r="C1730" s="252"/>
      <c r="D1730" s="252"/>
      <c r="E1730" s="252"/>
      <c r="F1730" s="252"/>
      <c r="G1730" s="252"/>
      <c r="H1730" s="252"/>
      <c r="I1730" s="252"/>
      <c r="J1730" s="252"/>
      <c r="K1730" s="253"/>
    </row>
    <row r="1731" spans="1:11" ht="22" customHeight="1" x14ac:dyDescent="0.35">
      <c r="A1731" s="251"/>
      <c r="B1731" s="252"/>
      <c r="C1731" s="252"/>
      <c r="D1731" s="252"/>
      <c r="E1731" s="252"/>
      <c r="F1731" s="252"/>
      <c r="G1731" s="252"/>
      <c r="H1731" s="252"/>
      <c r="I1731" s="252"/>
      <c r="J1731" s="252"/>
      <c r="K1731" s="253"/>
    </row>
    <row r="1732" spans="1:11" ht="22" customHeight="1" x14ac:dyDescent="0.35">
      <c r="A1732" s="251"/>
      <c r="B1732" s="252"/>
      <c r="C1732" s="252"/>
      <c r="D1732" s="252"/>
      <c r="E1732" s="252"/>
      <c r="F1732" s="252"/>
      <c r="G1732" s="252"/>
      <c r="H1732" s="252"/>
      <c r="I1732" s="252"/>
      <c r="J1732" s="252"/>
      <c r="K1732" s="253"/>
    </row>
    <row r="1733" spans="1:11" ht="22" customHeight="1" x14ac:dyDescent="0.35">
      <c r="A1733" s="251"/>
      <c r="B1733" s="252"/>
      <c r="C1733" s="252"/>
      <c r="D1733" s="252"/>
      <c r="E1733" s="252"/>
      <c r="F1733" s="252"/>
      <c r="G1733" s="252"/>
      <c r="H1733" s="252"/>
      <c r="I1733" s="252"/>
      <c r="J1733" s="252"/>
      <c r="K1733" s="253"/>
    </row>
    <row r="1734" spans="1:11" ht="22" customHeight="1" x14ac:dyDescent="0.35">
      <c r="A1734" s="251"/>
      <c r="B1734" s="252"/>
      <c r="C1734" s="252"/>
      <c r="D1734" s="252"/>
      <c r="E1734" s="252"/>
      <c r="F1734" s="252"/>
      <c r="G1734" s="252"/>
      <c r="H1734" s="252"/>
      <c r="I1734" s="252"/>
      <c r="J1734" s="252"/>
      <c r="K1734" s="253"/>
    </row>
    <row r="1735" spans="1:11" ht="22" customHeight="1" x14ac:dyDescent="0.35">
      <c r="A1735" s="251"/>
      <c r="B1735" s="252"/>
      <c r="C1735" s="252"/>
      <c r="D1735" s="252"/>
      <c r="E1735" s="252"/>
      <c r="F1735" s="252"/>
      <c r="G1735" s="252"/>
      <c r="H1735" s="252"/>
      <c r="I1735" s="252"/>
      <c r="J1735" s="252"/>
      <c r="K1735" s="253"/>
    </row>
    <row r="1736" spans="1:11" ht="22" customHeight="1" x14ac:dyDescent="0.35">
      <c r="A1736" s="251"/>
      <c r="B1736" s="252"/>
      <c r="C1736" s="252"/>
      <c r="D1736" s="252"/>
      <c r="E1736" s="252"/>
      <c r="F1736" s="252"/>
      <c r="G1736" s="252"/>
      <c r="H1736" s="252"/>
      <c r="I1736" s="252"/>
      <c r="J1736" s="252"/>
      <c r="K1736" s="253"/>
    </row>
    <row r="1737" spans="1:11" ht="22" customHeight="1" x14ac:dyDescent="0.35">
      <c r="A1737" s="251"/>
      <c r="B1737" s="252"/>
      <c r="C1737" s="252"/>
      <c r="D1737" s="252"/>
      <c r="E1737" s="252"/>
      <c r="F1737" s="252"/>
      <c r="G1737" s="252"/>
      <c r="H1737" s="252"/>
      <c r="I1737" s="252"/>
      <c r="J1737" s="252"/>
      <c r="K1737" s="253"/>
    </row>
    <row r="1738" spans="1:11" ht="22" customHeight="1" x14ac:dyDescent="0.35">
      <c r="A1738" s="251"/>
      <c r="B1738" s="252"/>
      <c r="C1738" s="252"/>
      <c r="D1738" s="252"/>
      <c r="E1738" s="252"/>
      <c r="F1738" s="252"/>
      <c r="G1738" s="252"/>
      <c r="H1738" s="252"/>
      <c r="I1738" s="252"/>
      <c r="J1738" s="252"/>
      <c r="K1738" s="253"/>
    </row>
    <row r="1739" spans="1:11" ht="22" customHeight="1" x14ac:dyDescent="0.35">
      <c r="A1739" s="251"/>
      <c r="B1739" s="252"/>
      <c r="C1739" s="252"/>
      <c r="D1739" s="252"/>
      <c r="E1739" s="252"/>
      <c r="F1739" s="252"/>
      <c r="G1739" s="252"/>
      <c r="H1739" s="252"/>
      <c r="I1739" s="252"/>
      <c r="J1739" s="252"/>
      <c r="K1739" s="253"/>
    </row>
    <row r="1740" spans="1:11" ht="22" customHeight="1" x14ac:dyDescent="0.35">
      <c r="A1740" s="251"/>
      <c r="B1740" s="252"/>
      <c r="C1740" s="252"/>
      <c r="D1740" s="252"/>
      <c r="E1740" s="252"/>
      <c r="F1740" s="252"/>
      <c r="G1740" s="252"/>
      <c r="H1740" s="252"/>
      <c r="I1740" s="252"/>
      <c r="J1740" s="252"/>
      <c r="K1740" s="253"/>
    </row>
    <row r="1741" spans="1:11" ht="22" customHeight="1" x14ac:dyDescent="0.35">
      <c r="A1741" s="251"/>
      <c r="B1741" s="252"/>
      <c r="C1741" s="252"/>
      <c r="D1741" s="252"/>
      <c r="E1741" s="252"/>
      <c r="F1741" s="252"/>
      <c r="G1741" s="252"/>
      <c r="H1741" s="252"/>
      <c r="I1741" s="252"/>
      <c r="J1741" s="252"/>
      <c r="K1741" s="253"/>
    </row>
    <row r="1742" spans="1:11" ht="22" customHeight="1" x14ac:dyDescent="0.35">
      <c r="A1742" s="251"/>
      <c r="B1742" s="252"/>
      <c r="C1742" s="252"/>
      <c r="D1742" s="252"/>
      <c r="E1742" s="252"/>
      <c r="F1742" s="252"/>
      <c r="G1742" s="252"/>
      <c r="H1742" s="252"/>
      <c r="I1742" s="252"/>
      <c r="J1742" s="252"/>
      <c r="K1742" s="253"/>
    </row>
    <row r="1743" spans="1:11" ht="22" customHeight="1" x14ac:dyDescent="0.35">
      <c r="A1743" s="251"/>
      <c r="B1743" s="252"/>
      <c r="C1743" s="252"/>
      <c r="D1743" s="252"/>
      <c r="E1743" s="252"/>
      <c r="F1743" s="252"/>
      <c r="G1743" s="252"/>
      <c r="H1743" s="252"/>
      <c r="I1743" s="252"/>
      <c r="J1743" s="252"/>
      <c r="K1743" s="253"/>
    </row>
    <row r="1744" spans="1:11" ht="22" customHeight="1" x14ac:dyDescent="0.35">
      <c r="A1744" s="251"/>
      <c r="B1744" s="252"/>
      <c r="C1744" s="252"/>
      <c r="D1744" s="252"/>
      <c r="E1744" s="252"/>
      <c r="F1744" s="252"/>
      <c r="G1744" s="252"/>
      <c r="H1744" s="252"/>
      <c r="I1744" s="252"/>
      <c r="J1744" s="252"/>
      <c r="K1744" s="253"/>
    </row>
    <row r="1745" spans="1:11" ht="22" customHeight="1" x14ac:dyDescent="0.35">
      <c r="A1745" s="251"/>
      <c r="B1745" s="252"/>
      <c r="C1745" s="252"/>
      <c r="D1745" s="252"/>
      <c r="E1745" s="252"/>
      <c r="F1745" s="252"/>
      <c r="G1745" s="252"/>
      <c r="H1745" s="252"/>
      <c r="I1745" s="252"/>
      <c r="J1745" s="252"/>
      <c r="K1745" s="253"/>
    </row>
    <row r="1746" spans="1:11" ht="22" customHeight="1" x14ac:dyDescent="0.35">
      <c r="A1746" s="251"/>
      <c r="B1746" s="252"/>
      <c r="C1746" s="252"/>
      <c r="D1746" s="252"/>
      <c r="E1746" s="252"/>
      <c r="F1746" s="252"/>
      <c r="G1746" s="252"/>
      <c r="H1746" s="252"/>
      <c r="I1746" s="252"/>
      <c r="J1746" s="252"/>
      <c r="K1746" s="253"/>
    </row>
    <row r="1747" spans="1:11" ht="22" customHeight="1" x14ac:dyDescent="0.35">
      <c r="A1747" s="251"/>
      <c r="B1747" s="252"/>
      <c r="C1747" s="252"/>
      <c r="D1747" s="252"/>
      <c r="E1747" s="252"/>
      <c r="F1747" s="252"/>
      <c r="G1747" s="252"/>
      <c r="H1747" s="252"/>
      <c r="I1747" s="252"/>
      <c r="J1747" s="252"/>
      <c r="K1747" s="253"/>
    </row>
    <row r="1748" spans="1:11" ht="22" customHeight="1" x14ac:dyDescent="0.35">
      <c r="A1748" s="251"/>
      <c r="B1748" s="252"/>
      <c r="C1748" s="252"/>
      <c r="D1748" s="252"/>
      <c r="E1748" s="252"/>
      <c r="F1748" s="252"/>
      <c r="G1748" s="252"/>
      <c r="H1748" s="252"/>
      <c r="I1748" s="252"/>
      <c r="J1748" s="252"/>
      <c r="K1748" s="253"/>
    </row>
    <row r="1749" spans="1:11" ht="22" customHeight="1" x14ac:dyDescent="0.35">
      <c r="A1749" s="251"/>
      <c r="B1749" s="252"/>
      <c r="C1749" s="252"/>
      <c r="D1749" s="252"/>
      <c r="E1749" s="252"/>
      <c r="F1749" s="252"/>
      <c r="G1749" s="252"/>
      <c r="H1749" s="252"/>
      <c r="I1749" s="252"/>
      <c r="J1749" s="252"/>
      <c r="K1749" s="253"/>
    </row>
    <row r="1750" spans="1:11" ht="22" customHeight="1" x14ac:dyDescent="0.35">
      <c r="A1750" s="251"/>
      <c r="B1750" s="252"/>
      <c r="C1750" s="252"/>
      <c r="D1750" s="252"/>
      <c r="E1750" s="252"/>
      <c r="F1750" s="252"/>
      <c r="G1750" s="252"/>
      <c r="H1750" s="252"/>
      <c r="I1750" s="252"/>
      <c r="J1750" s="252"/>
      <c r="K1750" s="253"/>
    </row>
    <row r="1751" spans="1:11" ht="22" customHeight="1" x14ac:dyDescent="0.35">
      <c r="A1751" s="251"/>
      <c r="B1751" s="252"/>
      <c r="C1751" s="252"/>
      <c r="D1751" s="252"/>
      <c r="E1751" s="252"/>
      <c r="F1751" s="252"/>
      <c r="G1751" s="252"/>
      <c r="H1751" s="252"/>
      <c r="I1751" s="252"/>
      <c r="J1751" s="252"/>
      <c r="K1751" s="253"/>
    </row>
    <row r="1752" spans="1:11" ht="22" customHeight="1" x14ac:dyDescent="0.35">
      <c r="A1752" s="251"/>
      <c r="B1752" s="252"/>
      <c r="C1752" s="252"/>
      <c r="D1752" s="252"/>
      <c r="E1752" s="252"/>
      <c r="F1752" s="252"/>
      <c r="G1752" s="252"/>
      <c r="H1752" s="252"/>
      <c r="I1752" s="252"/>
      <c r="J1752" s="252"/>
      <c r="K1752" s="253"/>
    </row>
    <row r="1753" spans="1:11" ht="22" customHeight="1" x14ac:dyDescent="0.35">
      <c r="A1753" s="251"/>
      <c r="B1753" s="252"/>
      <c r="C1753" s="252"/>
      <c r="D1753" s="252"/>
      <c r="E1753" s="252"/>
      <c r="F1753" s="252"/>
      <c r="G1753" s="252"/>
      <c r="H1753" s="252"/>
      <c r="I1753" s="252"/>
      <c r="J1753" s="252"/>
      <c r="K1753" s="253"/>
    </row>
    <row r="1754" spans="1:11" ht="22" customHeight="1" x14ac:dyDescent="0.35">
      <c r="A1754" s="251"/>
      <c r="B1754" s="252"/>
      <c r="C1754" s="252"/>
      <c r="D1754" s="252"/>
      <c r="E1754" s="252"/>
      <c r="F1754" s="252"/>
      <c r="G1754" s="252"/>
      <c r="H1754" s="252"/>
      <c r="I1754" s="252"/>
      <c r="J1754" s="252"/>
      <c r="K1754" s="253"/>
    </row>
    <row r="1755" spans="1:11" ht="22" customHeight="1" x14ac:dyDescent="0.35">
      <c r="A1755" s="251"/>
      <c r="B1755" s="252"/>
      <c r="C1755" s="252"/>
      <c r="D1755" s="252"/>
      <c r="E1755" s="252"/>
      <c r="F1755" s="252"/>
      <c r="G1755" s="252"/>
      <c r="H1755" s="252"/>
      <c r="I1755" s="252"/>
      <c r="J1755" s="252"/>
      <c r="K1755" s="253"/>
    </row>
    <row r="1756" spans="1:11" ht="22" customHeight="1" x14ac:dyDescent="0.35">
      <c r="A1756" s="251"/>
      <c r="B1756" s="252"/>
      <c r="C1756" s="252"/>
      <c r="D1756" s="252"/>
      <c r="E1756" s="252"/>
      <c r="F1756" s="252"/>
      <c r="G1756" s="252"/>
      <c r="H1756" s="252"/>
      <c r="I1756" s="252"/>
      <c r="J1756" s="252"/>
      <c r="K1756" s="253"/>
    </row>
    <row r="1757" spans="1:11" ht="22" customHeight="1" x14ac:dyDescent="0.35">
      <c r="A1757" s="251"/>
      <c r="B1757" s="252"/>
      <c r="C1757" s="252"/>
      <c r="D1757" s="252"/>
      <c r="E1757" s="252"/>
      <c r="F1757" s="252"/>
      <c r="G1757" s="252"/>
      <c r="H1757" s="252"/>
      <c r="I1757" s="252"/>
      <c r="J1757" s="252"/>
      <c r="K1757" s="253"/>
    </row>
    <row r="1758" spans="1:11" ht="22" customHeight="1" x14ac:dyDescent="0.35">
      <c r="A1758" s="251"/>
      <c r="B1758" s="252"/>
      <c r="C1758" s="252"/>
      <c r="D1758" s="252"/>
      <c r="E1758" s="252"/>
      <c r="F1758" s="252"/>
      <c r="G1758" s="252"/>
      <c r="H1758" s="252"/>
      <c r="I1758" s="252"/>
      <c r="J1758" s="252"/>
      <c r="K1758" s="253"/>
    </row>
    <row r="1759" spans="1:11" ht="22" customHeight="1" x14ac:dyDescent="0.35">
      <c r="A1759" s="251"/>
      <c r="B1759" s="252"/>
      <c r="C1759" s="252"/>
      <c r="D1759" s="252"/>
      <c r="E1759" s="252"/>
      <c r="F1759" s="252"/>
      <c r="G1759" s="252"/>
      <c r="H1759" s="252"/>
      <c r="I1759" s="252"/>
      <c r="J1759" s="252"/>
      <c r="K1759" s="253"/>
    </row>
    <row r="1760" spans="1:11" ht="22" customHeight="1" x14ac:dyDescent="0.35">
      <c r="A1760" s="251"/>
      <c r="B1760" s="252"/>
      <c r="C1760" s="252"/>
      <c r="D1760" s="252"/>
      <c r="E1760" s="252"/>
      <c r="F1760" s="252"/>
      <c r="G1760" s="252"/>
      <c r="H1760" s="252"/>
      <c r="I1760" s="252"/>
      <c r="J1760" s="252"/>
      <c r="K1760" s="253"/>
    </row>
    <row r="1761" spans="1:11" ht="22" customHeight="1" x14ac:dyDescent="0.35">
      <c r="A1761" s="251"/>
      <c r="B1761" s="252"/>
      <c r="C1761" s="252"/>
      <c r="D1761" s="252"/>
      <c r="E1761" s="252"/>
      <c r="F1761" s="252"/>
      <c r="G1761" s="252"/>
      <c r="H1761" s="252"/>
      <c r="I1761" s="252"/>
      <c r="J1761" s="252"/>
      <c r="K1761" s="253"/>
    </row>
    <row r="1762" spans="1:11" ht="22" customHeight="1" x14ac:dyDescent="0.35">
      <c r="A1762" s="251"/>
      <c r="B1762" s="252"/>
      <c r="C1762" s="252"/>
      <c r="D1762" s="252"/>
      <c r="E1762" s="252"/>
      <c r="F1762" s="252"/>
      <c r="G1762" s="252"/>
      <c r="H1762" s="252"/>
      <c r="I1762" s="252"/>
      <c r="J1762" s="252"/>
      <c r="K1762" s="253"/>
    </row>
    <row r="1763" spans="1:11" ht="22" customHeight="1" x14ac:dyDescent="0.35">
      <c r="A1763" s="251"/>
      <c r="B1763" s="252"/>
      <c r="C1763" s="252"/>
      <c r="D1763" s="252"/>
      <c r="E1763" s="252"/>
      <c r="F1763" s="252"/>
      <c r="G1763" s="252"/>
      <c r="H1763" s="252"/>
      <c r="I1763" s="252"/>
      <c r="J1763" s="252"/>
      <c r="K1763" s="253"/>
    </row>
    <row r="1764" spans="1:11" ht="22" customHeight="1" x14ac:dyDescent="0.35">
      <c r="A1764" s="251"/>
      <c r="B1764" s="252"/>
      <c r="C1764" s="252"/>
      <c r="D1764" s="252"/>
      <c r="E1764" s="252"/>
      <c r="F1764" s="252"/>
      <c r="G1764" s="252"/>
      <c r="H1764" s="252"/>
      <c r="I1764" s="252"/>
      <c r="J1764" s="252"/>
      <c r="K1764" s="253"/>
    </row>
    <row r="1765" spans="1:11" ht="22" customHeight="1" x14ac:dyDescent="0.35">
      <c r="A1765" s="251"/>
      <c r="B1765" s="252"/>
      <c r="C1765" s="252"/>
      <c r="D1765" s="252"/>
      <c r="E1765" s="252"/>
      <c r="F1765" s="252"/>
      <c r="G1765" s="252"/>
      <c r="H1765" s="252"/>
      <c r="I1765" s="252"/>
      <c r="J1765" s="252"/>
      <c r="K1765" s="253"/>
    </row>
    <row r="1766" spans="1:11" ht="22" customHeight="1" x14ac:dyDescent="0.35">
      <c r="A1766" s="251"/>
      <c r="B1766" s="252"/>
      <c r="C1766" s="252"/>
      <c r="D1766" s="252"/>
      <c r="E1766" s="252"/>
      <c r="F1766" s="252"/>
      <c r="G1766" s="252"/>
      <c r="H1766" s="252"/>
      <c r="I1766" s="252"/>
      <c r="J1766" s="252"/>
      <c r="K1766" s="253"/>
    </row>
    <row r="1767" spans="1:11" ht="22" customHeight="1" x14ac:dyDescent="0.35">
      <c r="A1767" s="251"/>
      <c r="B1767" s="252"/>
      <c r="C1767" s="252"/>
      <c r="D1767" s="252"/>
      <c r="E1767" s="252"/>
      <c r="F1767" s="252"/>
      <c r="G1767" s="252"/>
      <c r="H1767" s="252"/>
      <c r="I1767" s="252"/>
      <c r="J1767" s="252"/>
      <c r="K1767" s="253"/>
    </row>
    <row r="1768" spans="1:11" ht="22" customHeight="1" x14ac:dyDescent="0.35">
      <c r="A1768" s="251"/>
      <c r="B1768" s="252"/>
      <c r="C1768" s="252"/>
      <c r="D1768" s="252"/>
      <c r="E1768" s="252"/>
      <c r="F1768" s="252"/>
      <c r="G1768" s="252"/>
      <c r="H1768" s="252"/>
      <c r="I1768" s="252"/>
      <c r="J1768" s="252"/>
      <c r="K1768" s="253"/>
    </row>
    <row r="1769" spans="1:11" ht="22" customHeight="1" x14ac:dyDescent="0.35">
      <c r="A1769" s="251"/>
      <c r="B1769" s="252"/>
      <c r="C1769" s="252"/>
      <c r="D1769" s="252"/>
      <c r="E1769" s="252"/>
      <c r="F1769" s="252"/>
      <c r="G1769" s="252"/>
      <c r="H1769" s="252"/>
      <c r="I1769" s="252"/>
      <c r="J1769" s="252"/>
      <c r="K1769" s="253"/>
    </row>
    <row r="1770" spans="1:11" ht="22" customHeight="1" x14ac:dyDescent="0.35">
      <c r="A1770" s="251"/>
      <c r="B1770" s="252"/>
      <c r="C1770" s="252"/>
      <c r="D1770" s="252"/>
      <c r="E1770" s="252"/>
      <c r="F1770" s="252"/>
      <c r="G1770" s="252"/>
      <c r="H1770" s="252"/>
      <c r="I1770" s="252"/>
      <c r="J1770" s="252"/>
      <c r="K1770" s="253"/>
    </row>
    <row r="1771" spans="1:11" ht="22" customHeight="1" x14ac:dyDescent="0.35">
      <c r="A1771" s="251"/>
      <c r="B1771" s="252"/>
      <c r="C1771" s="252"/>
      <c r="D1771" s="252"/>
      <c r="E1771" s="252"/>
      <c r="F1771" s="252"/>
      <c r="G1771" s="252"/>
      <c r="H1771" s="252"/>
      <c r="I1771" s="252"/>
      <c r="J1771" s="252"/>
      <c r="K1771" s="253"/>
    </row>
    <row r="1772" spans="1:11" ht="22" customHeight="1" x14ac:dyDescent="0.35">
      <c r="A1772" s="251"/>
      <c r="B1772" s="252"/>
      <c r="C1772" s="252"/>
      <c r="D1772" s="252"/>
      <c r="E1772" s="252"/>
      <c r="F1772" s="252"/>
      <c r="G1772" s="252"/>
      <c r="H1772" s="252"/>
      <c r="I1772" s="252"/>
      <c r="J1772" s="252"/>
      <c r="K1772" s="253"/>
    </row>
    <row r="1773" spans="1:11" ht="22" customHeight="1" x14ac:dyDescent="0.35">
      <c r="A1773" s="251"/>
      <c r="B1773" s="252"/>
      <c r="C1773" s="252"/>
      <c r="D1773" s="252"/>
      <c r="E1773" s="252"/>
      <c r="F1773" s="252"/>
      <c r="G1773" s="252"/>
      <c r="H1773" s="252"/>
      <c r="I1773" s="252"/>
      <c r="J1773" s="252"/>
      <c r="K1773" s="253"/>
    </row>
    <row r="1774" spans="1:11" ht="22" customHeight="1" x14ac:dyDescent="0.35">
      <c r="A1774" s="251"/>
      <c r="B1774" s="252"/>
      <c r="C1774" s="252"/>
      <c r="D1774" s="252"/>
      <c r="E1774" s="252"/>
      <c r="F1774" s="252"/>
      <c r="G1774" s="252"/>
      <c r="H1774" s="252"/>
      <c r="I1774" s="252"/>
      <c r="J1774" s="252"/>
      <c r="K1774" s="253"/>
    </row>
    <row r="1775" spans="1:11" ht="22" customHeight="1" x14ac:dyDescent="0.35">
      <c r="A1775" s="251"/>
      <c r="B1775" s="252"/>
      <c r="C1775" s="252"/>
      <c r="D1775" s="252"/>
      <c r="E1775" s="252"/>
      <c r="F1775" s="252"/>
      <c r="G1775" s="252"/>
      <c r="H1775" s="252"/>
      <c r="I1775" s="252"/>
      <c r="J1775" s="252"/>
      <c r="K1775" s="253"/>
    </row>
    <row r="1776" spans="1:11" ht="22" customHeight="1" x14ac:dyDescent="0.35">
      <c r="A1776" s="251"/>
      <c r="B1776" s="252"/>
      <c r="C1776" s="252"/>
      <c r="D1776" s="252"/>
      <c r="E1776" s="252"/>
      <c r="F1776" s="252"/>
      <c r="G1776" s="252"/>
      <c r="H1776" s="252"/>
      <c r="I1776" s="252"/>
      <c r="J1776" s="252"/>
      <c r="K1776" s="253"/>
    </row>
    <row r="1777" spans="1:11" ht="22" customHeight="1" x14ac:dyDescent="0.35">
      <c r="A1777" s="251"/>
      <c r="B1777" s="252"/>
      <c r="C1777" s="252"/>
      <c r="D1777" s="252"/>
      <c r="E1777" s="252"/>
      <c r="F1777" s="252"/>
      <c r="G1777" s="252"/>
      <c r="H1777" s="252"/>
      <c r="I1777" s="252"/>
      <c r="J1777" s="252"/>
      <c r="K1777" s="253"/>
    </row>
    <row r="1778" spans="1:11" ht="22" customHeight="1" x14ac:dyDescent="0.35">
      <c r="A1778" s="251"/>
      <c r="B1778" s="252"/>
      <c r="C1778" s="252"/>
      <c r="D1778" s="252"/>
      <c r="E1778" s="252"/>
      <c r="F1778" s="252"/>
      <c r="G1778" s="252"/>
      <c r="H1778" s="252"/>
      <c r="I1778" s="252"/>
      <c r="J1778" s="252"/>
      <c r="K1778" s="253"/>
    </row>
    <row r="1779" spans="1:11" ht="22" customHeight="1" x14ac:dyDescent="0.35">
      <c r="A1779" s="251"/>
      <c r="B1779" s="252"/>
      <c r="C1779" s="252"/>
      <c r="D1779" s="252"/>
      <c r="E1779" s="252"/>
      <c r="F1779" s="252"/>
      <c r="G1779" s="252"/>
      <c r="H1779" s="252"/>
      <c r="I1779" s="252"/>
      <c r="J1779" s="252"/>
      <c r="K1779" s="253"/>
    </row>
    <row r="1780" spans="1:11" ht="22" customHeight="1" x14ac:dyDescent="0.35">
      <c r="A1780" s="251"/>
      <c r="B1780" s="252"/>
      <c r="C1780" s="252"/>
      <c r="D1780" s="252"/>
      <c r="E1780" s="252"/>
      <c r="F1780" s="252"/>
      <c r="G1780" s="252"/>
      <c r="H1780" s="252"/>
      <c r="I1780" s="252"/>
      <c r="J1780" s="252"/>
      <c r="K1780" s="253"/>
    </row>
    <row r="1781" spans="1:11" ht="22" customHeight="1" x14ac:dyDescent="0.35">
      <c r="A1781" s="251"/>
      <c r="B1781" s="252"/>
      <c r="C1781" s="252"/>
      <c r="D1781" s="252"/>
      <c r="E1781" s="252"/>
      <c r="F1781" s="252"/>
      <c r="G1781" s="252"/>
      <c r="H1781" s="252"/>
      <c r="I1781" s="252"/>
      <c r="J1781" s="252"/>
      <c r="K1781" s="253"/>
    </row>
    <row r="1782" spans="1:11" ht="22" customHeight="1" x14ac:dyDescent="0.35">
      <c r="A1782" s="251"/>
      <c r="B1782" s="252"/>
      <c r="C1782" s="252"/>
      <c r="D1782" s="252"/>
      <c r="E1782" s="252"/>
      <c r="F1782" s="252"/>
      <c r="G1782" s="252"/>
      <c r="H1782" s="252"/>
      <c r="I1782" s="252"/>
      <c r="J1782" s="252"/>
      <c r="K1782" s="253"/>
    </row>
    <row r="1783" spans="1:11" ht="22" customHeight="1" x14ac:dyDescent="0.35">
      <c r="A1783" s="251"/>
      <c r="B1783" s="252"/>
      <c r="C1783" s="252"/>
      <c r="D1783" s="252"/>
      <c r="E1783" s="252"/>
      <c r="F1783" s="252"/>
      <c r="G1783" s="252"/>
      <c r="H1783" s="252"/>
      <c r="I1783" s="252"/>
      <c r="J1783" s="252"/>
      <c r="K1783" s="253"/>
    </row>
    <row r="1784" spans="1:11" ht="22" customHeight="1" x14ac:dyDescent="0.35">
      <c r="A1784" s="251"/>
      <c r="B1784" s="252"/>
      <c r="C1784" s="252"/>
      <c r="D1784" s="252"/>
      <c r="E1784" s="252"/>
      <c r="F1784" s="252"/>
      <c r="G1784" s="252"/>
      <c r="H1784" s="252"/>
      <c r="I1784" s="252"/>
      <c r="J1784" s="252"/>
      <c r="K1784" s="253"/>
    </row>
    <row r="1785" spans="1:11" ht="22" customHeight="1" x14ac:dyDescent="0.35">
      <c r="A1785" s="251"/>
      <c r="B1785" s="252"/>
      <c r="C1785" s="252"/>
      <c r="D1785" s="252"/>
      <c r="E1785" s="252"/>
      <c r="F1785" s="252"/>
      <c r="G1785" s="252"/>
      <c r="H1785" s="252"/>
      <c r="I1785" s="252"/>
      <c r="J1785" s="252"/>
      <c r="K1785" s="253"/>
    </row>
    <row r="1786" spans="1:11" ht="22" customHeight="1" x14ac:dyDescent="0.35">
      <c r="A1786" s="251"/>
      <c r="B1786" s="252"/>
      <c r="C1786" s="252"/>
      <c r="D1786" s="252"/>
      <c r="E1786" s="252"/>
      <c r="F1786" s="252"/>
      <c r="G1786" s="252"/>
      <c r="H1786" s="252"/>
      <c r="I1786" s="252"/>
      <c r="J1786" s="252"/>
      <c r="K1786" s="253"/>
    </row>
    <row r="1787" spans="1:11" ht="22" customHeight="1" x14ac:dyDescent="0.35">
      <c r="A1787" s="251"/>
      <c r="B1787" s="252"/>
      <c r="C1787" s="252"/>
      <c r="D1787" s="252"/>
      <c r="E1787" s="252"/>
      <c r="F1787" s="252"/>
      <c r="G1787" s="252"/>
      <c r="H1787" s="252"/>
      <c r="I1787" s="252"/>
      <c r="J1787" s="252"/>
      <c r="K1787" s="253"/>
    </row>
    <row r="1788" spans="1:11" ht="22" customHeight="1" x14ac:dyDescent="0.35">
      <c r="A1788" s="251"/>
      <c r="B1788" s="252"/>
      <c r="C1788" s="252"/>
      <c r="D1788" s="252"/>
      <c r="E1788" s="252"/>
      <c r="F1788" s="252"/>
      <c r="G1788" s="252"/>
      <c r="H1788" s="252"/>
      <c r="I1788" s="252"/>
      <c r="J1788" s="252"/>
      <c r="K1788" s="253"/>
    </row>
    <row r="1789" spans="1:11" ht="22" customHeight="1" x14ac:dyDescent="0.35">
      <c r="A1789" s="251"/>
      <c r="B1789" s="252"/>
      <c r="C1789" s="252"/>
      <c r="D1789" s="252"/>
      <c r="E1789" s="252"/>
      <c r="F1789" s="252"/>
      <c r="G1789" s="252"/>
      <c r="H1789" s="252"/>
      <c r="I1789" s="252"/>
      <c r="J1789" s="252"/>
      <c r="K1789" s="253"/>
    </row>
    <row r="1790" spans="1:11" ht="22" customHeight="1" x14ac:dyDescent="0.35">
      <c r="A1790" s="251"/>
      <c r="B1790" s="252"/>
      <c r="C1790" s="252"/>
      <c r="D1790" s="252"/>
      <c r="E1790" s="252"/>
      <c r="F1790" s="252"/>
      <c r="G1790" s="252"/>
      <c r="H1790" s="252"/>
      <c r="I1790" s="252"/>
      <c r="J1790" s="252"/>
      <c r="K1790" s="253"/>
    </row>
    <row r="1791" spans="1:11" ht="22" customHeight="1" x14ac:dyDescent="0.35">
      <c r="A1791" s="251"/>
      <c r="B1791" s="252"/>
      <c r="C1791" s="252"/>
      <c r="D1791" s="252"/>
      <c r="E1791" s="252"/>
      <c r="F1791" s="252"/>
      <c r="G1791" s="252"/>
      <c r="H1791" s="252"/>
      <c r="I1791" s="252"/>
      <c r="J1791" s="252"/>
      <c r="K1791" s="253"/>
    </row>
    <row r="1792" spans="1:11" ht="22" customHeight="1" x14ac:dyDescent="0.35">
      <c r="A1792" s="251"/>
      <c r="B1792" s="252"/>
      <c r="C1792" s="252"/>
      <c r="D1792" s="252"/>
      <c r="E1792" s="252"/>
      <c r="F1792" s="252"/>
      <c r="G1792" s="252"/>
      <c r="H1792" s="252"/>
      <c r="I1792" s="252"/>
      <c r="J1792" s="252"/>
      <c r="K1792" s="253"/>
    </row>
    <row r="1793" spans="1:11" ht="22" customHeight="1" x14ac:dyDescent="0.35">
      <c r="A1793" s="251"/>
      <c r="B1793" s="252"/>
      <c r="C1793" s="252"/>
      <c r="D1793" s="252"/>
      <c r="E1793" s="252"/>
      <c r="F1793" s="252"/>
      <c r="G1793" s="252"/>
      <c r="H1793" s="252"/>
      <c r="I1793" s="252"/>
      <c r="J1793" s="252"/>
      <c r="K1793" s="253"/>
    </row>
    <row r="1794" spans="1:11" ht="22" customHeight="1" x14ac:dyDescent="0.35">
      <c r="A1794" s="251"/>
      <c r="B1794" s="252"/>
      <c r="C1794" s="252"/>
      <c r="D1794" s="252"/>
      <c r="E1794" s="252"/>
      <c r="F1794" s="252"/>
      <c r="G1794" s="252"/>
      <c r="H1794" s="252"/>
      <c r="I1794" s="252"/>
      <c r="J1794" s="252"/>
      <c r="K1794" s="253"/>
    </row>
    <row r="1795" spans="1:11" ht="22" customHeight="1" x14ac:dyDescent="0.35">
      <c r="A1795" s="251"/>
      <c r="B1795" s="252"/>
      <c r="C1795" s="252"/>
      <c r="D1795" s="252"/>
      <c r="E1795" s="252"/>
      <c r="F1795" s="252"/>
      <c r="G1795" s="252"/>
      <c r="H1795" s="252"/>
      <c r="I1795" s="252"/>
      <c r="J1795" s="252"/>
      <c r="K1795" s="253"/>
    </row>
    <row r="1796" spans="1:11" ht="22" customHeight="1" x14ac:dyDescent="0.35">
      <c r="A1796" s="251"/>
      <c r="B1796" s="252"/>
      <c r="C1796" s="252"/>
      <c r="D1796" s="252"/>
      <c r="E1796" s="252"/>
      <c r="F1796" s="252"/>
      <c r="G1796" s="252"/>
      <c r="H1796" s="252"/>
      <c r="I1796" s="252"/>
      <c r="J1796" s="252"/>
      <c r="K1796" s="253"/>
    </row>
    <row r="1797" spans="1:11" ht="22" customHeight="1" x14ac:dyDescent="0.35">
      <c r="A1797" s="251"/>
      <c r="B1797" s="252"/>
      <c r="C1797" s="252"/>
      <c r="D1797" s="252"/>
      <c r="E1797" s="252"/>
      <c r="F1797" s="252"/>
      <c r="G1797" s="252"/>
      <c r="H1797" s="252"/>
      <c r="I1797" s="252"/>
      <c r="J1797" s="252"/>
      <c r="K1797" s="253"/>
    </row>
    <row r="1798" spans="1:11" ht="22" customHeight="1" x14ac:dyDescent="0.35">
      <c r="A1798" s="251"/>
      <c r="B1798" s="252"/>
      <c r="C1798" s="252"/>
      <c r="D1798" s="252"/>
      <c r="E1798" s="252"/>
      <c r="F1798" s="252"/>
      <c r="G1798" s="252"/>
      <c r="H1798" s="252"/>
      <c r="I1798" s="252"/>
      <c r="J1798" s="252"/>
      <c r="K1798" s="253"/>
    </row>
    <row r="1799" spans="1:11" ht="22" customHeight="1" x14ac:dyDescent="0.35">
      <c r="A1799" s="251"/>
      <c r="B1799" s="252"/>
      <c r="C1799" s="252"/>
      <c r="D1799" s="252"/>
      <c r="E1799" s="252"/>
      <c r="F1799" s="252"/>
      <c r="G1799" s="252"/>
      <c r="H1799" s="252"/>
      <c r="I1799" s="252"/>
      <c r="J1799" s="252"/>
      <c r="K1799" s="253"/>
    </row>
    <row r="1800" spans="1:11" ht="22" customHeight="1" x14ac:dyDescent="0.35">
      <c r="A1800" s="251"/>
      <c r="B1800" s="252"/>
      <c r="C1800" s="252"/>
      <c r="D1800" s="252"/>
      <c r="E1800" s="252"/>
      <c r="F1800" s="252"/>
      <c r="G1800" s="252"/>
      <c r="H1800" s="252"/>
      <c r="I1800" s="252"/>
      <c r="J1800" s="252"/>
      <c r="K1800" s="253"/>
    </row>
    <row r="1801" spans="1:11" ht="22" customHeight="1" x14ac:dyDescent="0.35">
      <c r="A1801" s="251"/>
      <c r="B1801" s="252"/>
      <c r="C1801" s="252"/>
      <c r="D1801" s="252"/>
      <c r="E1801" s="252"/>
      <c r="F1801" s="252"/>
      <c r="G1801" s="252"/>
      <c r="H1801" s="252"/>
      <c r="I1801" s="252"/>
      <c r="J1801" s="252"/>
      <c r="K1801" s="253"/>
    </row>
    <row r="1802" spans="1:11" ht="22" customHeight="1" x14ac:dyDescent="0.35">
      <c r="A1802" s="251"/>
      <c r="B1802" s="252"/>
      <c r="C1802" s="252"/>
      <c r="D1802" s="252"/>
      <c r="E1802" s="252"/>
      <c r="F1802" s="252"/>
      <c r="G1802" s="252"/>
      <c r="H1802" s="252"/>
      <c r="I1802" s="252"/>
      <c r="J1802" s="252"/>
      <c r="K1802" s="253"/>
    </row>
    <row r="1803" spans="1:11" ht="22" customHeight="1" x14ac:dyDescent="0.35">
      <c r="A1803" s="251"/>
      <c r="B1803" s="252"/>
      <c r="C1803" s="252"/>
      <c r="D1803" s="252"/>
      <c r="E1803" s="252"/>
      <c r="F1803" s="252"/>
      <c r="G1803" s="252"/>
      <c r="H1803" s="252"/>
      <c r="I1803" s="252"/>
      <c r="J1803" s="252"/>
      <c r="K1803" s="253"/>
    </row>
    <row r="1804" spans="1:11" ht="22" customHeight="1" x14ac:dyDescent="0.35">
      <c r="A1804" s="251"/>
      <c r="B1804" s="252"/>
      <c r="C1804" s="252"/>
      <c r="D1804" s="252"/>
      <c r="E1804" s="252"/>
      <c r="F1804" s="252"/>
      <c r="G1804" s="252"/>
      <c r="H1804" s="252"/>
      <c r="I1804" s="252"/>
      <c r="J1804" s="252"/>
      <c r="K1804" s="253"/>
    </row>
    <row r="1805" spans="1:11" ht="22" customHeight="1" x14ac:dyDescent="0.35">
      <c r="A1805" s="251"/>
      <c r="B1805" s="252"/>
      <c r="C1805" s="252"/>
      <c r="D1805" s="252"/>
      <c r="E1805" s="252"/>
      <c r="F1805" s="252"/>
      <c r="G1805" s="252"/>
      <c r="H1805" s="252"/>
      <c r="I1805" s="252"/>
      <c r="J1805" s="252"/>
      <c r="K1805" s="253"/>
    </row>
    <row r="1806" spans="1:11" ht="22" customHeight="1" x14ac:dyDescent="0.35">
      <c r="A1806" s="251"/>
      <c r="B1806" s="252"/>
      <c r="C1806" s="252"/>
      <c r="D1806" s="252"/>
      <c r="E1806" s="252"/>
      <c r="F1806" s="252"/>
      <c r="G1806" s="252"/>
      <c r="H1806" s="252"/>
      <c r="I1806" s="252"/>
      <c r="J1806" s="252"/>
      <c r="K1806" s="253"/>
    </row>
    <row r="1807" spans="1:11" ht="22" customHeight="1" x14ac:dyDescent="0.35">
      <c r="A1807" s="251"/>
      <c r="B1807" s="252"/>
      <c r="C1807" s="252"/>
      <c r="D1807" s="252"/>
      <c r="E1807" s="252"/>
      <c r="F1807" s="252"/>
      <c r="G1807" s="252"/>
      <c r="H1807" s="252"/>
      <c r="I1807" s="252"/>
      <c r="J1807" s="252"/>
      <c r="K1807" s="253"/>
    </row>
    <row r="1808" spans="1:11" ht="22" customHeight="1" x14ac:dyDescent="0.35">
      <c r="A1808" s="251"/>
      <c r="B1808" s="252"/>
      <c r="C1808" s="252"/>
      <c r="D1808" s="252"/>
      <c r="E1808" s="252"/>
      <c r="F1808" s="252"/>
      <c r="G1808" s="252"/>
      <c r="H1808" s="252"/>
      <c r="I1808" s="252"/>
      <c r="J1808" s="252"/>
      <c r="K1808" s="253"/>
    </row>
    <row r="1809" spans="1:11" ht="22" customHeight="1" x14ac:dyDescent="0.35">
      <c r="A1809" s="251"/>
      <c r="B1809" s="252"/>
      <c r="C1809" s="252"/>
      <c r="D1809" s="252"/>
      <c r="E1809" s="252"/>
      <c r="F1809" s="252"/>
      <c r="G1809" s="252"/>
      <c r="H1809" s="252"/>
      <c r="I1809" s="252"/>
      <c r="J1809" s="252"/>
      <c r="K1809" s="253"/>
    </row>
    <row r="1810" spans="1:11" ht="22" customHeight="1" x14ac:dyDescent="0.35">
      <c r="A1810" s="251"/>
      <c r="B1810" s="252"/>
      <c r="C1810" s="252"/>
      <c r="D1810" s="252"/>
      <c r="E1810" s="252"/>
      <c r="F1810" s="252"/>
      <c r="G1810" s="252"/>
      <c r="H1810" s="252"/>
      <c r="I1810" s="252"/>
      <c r="J1810" s="252"/>
      <c r="K1810" s="253"/>
    </row>
    <row r="1811" spans="1:11" ht="22" customHeight="1" x14ac:dyDescent="0.35">
      <c r="A1811" s="251"/>
      <c r="B1811" s="252"/>
      <c r="C1811" s="252"/>
      <c r="D1811" s="252"/>
      <c r="E1811" s="252"/>
      <c r="F1811" s="252"/>
      <c r="G1811" s="252"/>
      <c r="H1811" s="252"/>
      <c r="I1811" s="252"/>
      <c r="J1811" s="252"/>
      <c r="K1811" s="253"/>
    </row>
    <row r="1812" spans="1:11" ht="22" customHeight="1" x14ac:dyDescent="0.35">
      <c r="A1812" s="251"/>
      <c r="B1812" s="252"/>
      <c r="C1812" s="252"/>
      <c r="D1812" s="252"/>
      <c r="E1812" s="252"/>
      <c r="F1812" s="252"/>
      <c r="G1812" s="252"/>
      <c r="H1812" s="252"/>
      <c r="I1812" s="252"/>
      <c r="J1812" s="252"/>
      <c r="K1812" s="253"/>
    </row>
    <row r="1813" spans="1:11" ht="22" customHeight="1" x14ac:dyDescent="0.35">
      <c r="A1813" s="251"/>
      <c r="B1813" s="252"/>
      <c r="C1813" s="252"/>
      <c r="D1813" s="252"/>
      <c r="E1813" s="252"/>
      <c r="F1813" s="252"/>
      <c r="G1813" s="252"/>
      <c r="H1813" s="252"/>
      <c r="I1813" s="252"/>
      <c r="J1813" s="252"/>
      <c r="K1813" s="253"/>
    </row>
    <row r="1814" spans="1:11" ht="22" customHeight="1" x14ac:dyDescent="0.35">
      <c r="A1814" s="251"/>
      <c r="B1814" s="252"/>
      <c r="C1814" s="252"/>
      <c r="D1814" s="252"/>
      <c r="E1814" s="252"/>
      <c r="F1814" s="252"/>
      <c r="G1814" s="252"/>
      <c r="H1814" s="252"/>
      <c r="I1814" s="252"/>
      <c r="J1814" s="252"/>
      <c r="K1814" s="253"/>
    </row>
    <row r="1815" spans="1:11" ht="22" customHeight="1" x14ac:dyDescent="0.35">
      <c r="A1815" s="251"/>
      <c r="B1815" s="252"/>
      <c r="C1815" s="252"/>
      <c r="D1815" s="252"/>
      <c r="E1815" s="252"/>
      <c r="F1815" s="252"/>
      <c r="G1815" s="252"/>
      <c r="H1815" s="252"/>
      <c r="I1815" s="252"/>
      <c r="J1815" s="252"/>
      <c r="K1815" s="253"/>
    </row>
    <row r="1816" spans="1:11" ht="22" customHeight="1" x14ac:dyDescent="0.35">
      <c r="A1816" s="251"/>
      <c r="B1816" s="252"/>
      <c r="C1816" s="252"/>
      <c r="D1816" s="252"/>
      <c r="E1816" s="252"/>
      <c r="F1816" s="252"/>
      <c r="G1816" s="252"/>
      <c r="H1816" s="252"/>
      <c r="I1816" s="252"/>
      <c r="J1816" s="252"/>
      <c r="K1816" s="253"/>
    </row>
    <row r="1817" spans="1:11" ht="22" customHeight="1" x14ac:dyDescent="0.35">
      <c r="A1817" s="251"/>
      <c r="B1817" s="252"/>
      <c r="C1817" s="252"/>
      <c r="D1817" s="252"/>
      <c r="E1817" s="252"/>
      <c r="F1817" s="252"/>
      <c r="G1817" s="252"/>
      <c r="H1817" s="252"/>
      <c r="I1817" s="252"/>
      <c r="J1817" s="252"/>
      <c r="K1817" s="253"/>
    </row>
    <row r="1818" spans="1:11" ht="22" customHeight="1" x14ac:dyDescent="0.35">
      <c r="A1818" s="251"/>
      <c r="B1818" s="252"/>
      <c r="C1818" s="252"/>
      <c r="D1818" s="252"/>
      <c r="E1818" s="252"/>
      <c r="F1818" s="252"/>
      <c r="G1818" s="252"/>
      <c r="H1818" s="252"/>
      <c r="I1818" s="252"/>
      <c r="J1818" s="252"/>
      <c r="K1818" s="253"/>
    </row>
    <row r="1819" spans="1:11" ht="22" customHeight="1" x14ac:dyDescent="0.35">
      <c r="A1819" s="251"/>
      <c r="B1819" s="252"/>
      <c r="C1819" s="252"/>
      <c r="D1819" s="252"/>
      <c r="E1819" s="252"/>
      <c r="F1819" s="252"/>
      <c r="G1819" s="252"/>
      <c r="H1819" s="252"/>
      <c r="I1819" s="252"/>
      <c r="J1819" s="252"/>
      <c r="K1819" s="253"/>
    </row>
    <row r="1820" spans="1:11" ht="22" customHeight="1" x14ac:dyDescent="0.35">
      <c r="A1820" s="251"/>
      <c r="B1820" s="252"/>
      <c r="C1820" s="252"/>
      <c r="D1820" s="252"/>
      <c r="E1820" s="252"/>
      <c r="F1820" s="252"/>
      <c r="G1820" s="252"/>
      <c r="H1820" s="252"/>
      <c r="I1820" s="252"/>
      <c r="J1820" s="252"/>
      <c r="K1820" s="253"/>
    </row>
    <row r="1821" spans="1:11" ht="22" customHeight="1" x14ac:dyDescent="0.35">
      <c r="A1821" s="251"/>
      <c r="B1821" s="252"/>
      <c r="C1821" s="252"/>
      <c r="D1821" s="252"/>
      <c r="E1821" s="252"/>
      <c r="F1821" s="252"/>
      <c r="G1821" s="252"/>
      <c r="H1821" s="252"/>
      <c r="I1821" s="252"/>
      <c r="J1821" s="252"/>
      <c r="K1821" s="253"/>
    </row>
    <row r="1822" spans="1:11" ht="22" customHeight="1" x14ac:dyDescent="0.35">
      <c r="A1822" s="251"/>
      <c r="B1822" s="252"/>
      <c r="C1822" s="252"/>
      <c r="D1822" s="252"/>
      <c r="E1822" s="252"/>
      <c r="F1822" s="252"/>
      <c r="G1822" s="252"/>
      <c r="H1822" s="252"/>
      <c r="I1822" s="252"/>
      <c r="J1822" s="252"/>
      <c r="K1822" s="253"/>
    </row>
    <row r="1823" spans="1:11" ht="22" customHeight="1" x14ac:dyDescent="0.35">
      <c r="A1823" s="251"/>
      <c r="B1823" s="252"/>
      <c r="C1823" s="252"/>
      <c r="D1823" s="252"/>
      <c r="E1823" s="252"/>
      <c r="F1823" s="252"/>
      <c r="G1823" s="252"/>
      <c r="H1823" s="252"/>
      <c r="I1823" s="252"/>
      <c r="J1823" s="252"/>
      <c r="K1823" s="253"/>
    </row>
    <row r="1824" spans="1:11" ht="22" customHeight="1" x14ac:dyDescent="0.35">
      <c r="A1824" s="251"/>
      <c r="B1824" s="252"/>
      <c r="C1824" s="252"/>
      <c r="D1824" s="252"/>
      <c r="E1824" s="252"/>
      <c r="F1824" s="252"/>
      <c r="G1824" s="252"/>
      <c r="H1824" s="252"/>
      <c r="I1824" s="252"/>
      <c r="J1824" s="252"/>
      <c r="K1824" s="253"/>
    </row>
    <row r="1825" spans="1:11" ht="22" customHeight="1" x14ac:dyDescent="0.35">
      <c r="A1825" s="251"/>
      <c r="B1825" s="252"/>
      <c r="C1825" s="252"/>
      <c r="D1825" s="252"/>
      <c r="E1825" s="252"/>
      <c r="F1825" s="252"/>
      <c r="G1825" s="252"/>
      <c r="H1825" s="252"/>
      <c r="I1825" s="252"/>
      <c r="J1825" s="252"/>
      <c r="K1825" s="253"/>
    </row>
    <row r="1826" spans="1:11" ht="22" customHeight="1" x14ac:dyDescent="0.35">
      <c r="A1826" s="251"/>
      <c r="B1826" s="252"/>
      <c r="C1826" s="252"/>
      <c r="D1826" s="252"/>
      <c r="E1826" s="252"/>
      <c r="F1826" s="252"/>
      <c r="G1826" s="252"/>
      <c r="H1826" s="252"/>
      <c r="I1826" s="252"/>
      <c r="J1826" s="252"/>
      <c r="K1826" s="253"/>
    </row>
    <row r="1827" spans="1:11" ht="22" customHeight="1" x14ac:dyDescent="0.35">
      <c r="A1827" s="251"/>
      <c r="B1827" s="252"/>
      <c r="C1827" s="252"/>
      <c r="D1827" s="252"/>
      <c r="E1827" s="252"/>
      <c r="F1827" s="252"/>
      <c r="G1827" s="252"/>
      <c r="H1827" s="252"/>
      <c r="I1827" s="252"/>
      <c r="J1827" s="252"/>
      <c r="K1827" s="253"/>
    </row>
    <row r="1828" spans="1:11" ht="22" customHeight="1" x14ac:dyDescent="0.35">
      <c r="A1828" s="251"/>
      <c r="B1828" s="252"/>
      <c r="C1828" s="252"/>
      <c r="D1828" s="252"/>
      <c r="E1828" s="252"/>
      <c r="F1828" s="252"/>
      <c r="G1828" s="252"/>
      <c r="H1828" s="252"/>
      <c r="I1828" s="252"/>
      <c r="J1828" s="252"/>
      <c r="K1828" s="253"/>
    </row>
    <row r="1829" spans="1:11" ht="22" customHeight="1" x14ac:dyDescent="0.35">
      <c r="A1829" s="251"/>
      <c r="B1829" s="252"/>
      <c r="C1829" s="252"/>
      <c r="D1829" s="252"/>
      <c r="E1829" s="252"/>
      <c r="F1829" s="252"/>
      <c r="G1829" s="252"/>
      <c r="H1829" s="252"/>
      <c r="I1829" s="252"/>
      <c r="J1829" s="252"/>
      <c r="K1829" s="253"/>
    </row>
    <row r="1830" spans="1:11" ht="22" customHeight="1" x14ac:dyDescent="0.35">
      <c r="A1830" s="251"/>
      <c r="B1830" s="252"/>
      <c r="C1830" s="252"/>
      <c r="D1830" s="252"/>
      <c r="E1830" s="252"/>
      <c r="F1830" s="252"/>
      <c r="G1830" s="252"/>
      <c r="H1830" s="252"/>
      <c r="I1830" s="252"/>
      <c r="J1830" s="252"/>
      <c r="K1830" s="253"/>
    </row>
    <row r="1831" spans="1:11" ht="22" customHeight="1" x14ac:dyDescent="0.35">
      <c r="A1831" s="251"/>
      <c r="B1831" s="252"/>
      <c r="C1831" s="252"/>
      <c r="D1831" s="252"/>
      <c r="E1831" s="252"/>
      <c r="F1831" s="252"/>
      <c r="G1831" s="252"/>
      <c r="H1831" s="252"/>
      <c r="I1831" s="252"/>
      <c r="J1831" s="252"/>
      <c r="K1831" s="253"/>
    </row>
    <row r="1832" spans="1:11" ht="22" customHeight="1" x14ac:dyDescent="0.35">
      <c r="A1832" s="251"/>
      <c r="B1832" s="252"/>
      <c r="C1832" s="252"/>
      <c r="D1832" s="252"/>
      <c r="E1832" s="252"/>
      <c r="F1832" s="252"/>
      <c r="G1832" s="252"/>
      <c r="H1832" s="252"/>
      <c r="I1832" s="252"/>
      <c r="J1832" s="252"/>
      <c r="K1832" s="253"/>
    </row>
    <row r="1833" spans="1:11" ht="22" customHeight="1" x14ac:dyDescent="0.35">
      <c r="A1833" s="251"/>
      <c r="B1833" s="252"/>
      <c r="C1833" s="252"/>
      <c r="D1833" s="252"/>
      <c r="E1833" s="252"/>
      <c r="F1833" s="252"/>
      <c r="G1833" s="252"/>
      <c r="H1833" s="252"/>
      <c r="I1833" s="252"/>
      <c r="J1833" s="252"/>
      <c r="K1833" s="253"/>
    </row>
    <row r="1834" spans="1:11" ht="22" customHeight="1" x14ac:dyDescent="0.35">
      <c r="A1834" s="251"/>
      <c r="B1834" s="252"/>
      <c r="C1834" s="252"/>
      <c r="D1834" s="252"/>
      <c r="E1834" s="252"/>
      <c r="F1834" s="252"/>
      <c r="G1834" s="252"/>
      <c r="H1834" s="252"/>
      <c r="I1834" s="252"/>
      <c r="J1834" s="252"/>
      <c r="K1834" s="253"/>
    </row>
    <row r="1835" spans="1:11" ht="22" customHeight="1" x14ac:dyDescent="0.35">
      <c r="A1835" s="251"/>
      <c r="B1835" s="252"/>
      <c r="C1835" s="252"/>
      <c r="D1835" s="252"/>
      <c r="E1835" s="252"/>
      <c r="F1835" s="252"/>
      <c r="G1835" s="252"/>
      <c r="H1835" s="252"/>
      <c r="I1835" s="252"/>
      <c r="J1835" s="252"/>
      <c r="K1835" s="253"/>
    </row>
    <row r="1836" spans="1:11" ht="22" customHeight="1" x14ac:dyDescent="0.35">
      <c r="A1836" s="251"/>
      <c r="B1836" s="252"/>
      <c r="C1836" s="252"/>
      <c r="D1836" s="252"/>
      <c r="E1836" s="252"/>
      <c r="F1836" s="252"/>
      <c r="G1836" s="252"/>
      <c r="H1836" s="252"/>
      <c r="I1836" s="252"/>
      <c r="J1836" s="252"/>
      <c r="K1836" s="253"/>
    </row>
    <row r="1837" spans="1:11" ht="22" customHeight="1" x14ac:dyDescent="0.35">
      <c r="A1837" s="251"/>
      <c r="B1837" s="252"/>
      <c r="C1837" s="252"/>
      <c r="D1837" s="252"/>
      <c r="E1837" s="252"/>
      <c r="F1837" s="252"/>
      <c r="G1837" s="252"/>
      <c r="H1837" s="252"/>
      <c r="I1837" s="252"/>
      <c r="J1837" s="252"/>
      <c r="K1837" s="253"/>
    </row>
    <row r="1838" spans="1:11" ht="22" customHeight="1" x14ac:dyDescent="0.35">
      <c r="A1838" s="251"/>
      <c r="B1838" s="252"/>
      <c r="C1838" s="252"/>
      <c r="D1838" s="252"/>
      <c r="E1838" s="252"/>
      <c r="F1838" s="252"/>
      <c r="G1838" s="252"/>
      <c r="H1838" s="252"/>
      <c r="I1838" s="252"/>
      <c r="J1838" s="252"/>
      <c r="K1838" s="253"/>
    </row>
    <row r="1839" spans="1:11" ht="22" customHeight="1" x14ac:dyDescent="0.35">
      <c r="A1839" s="251"/>
      <c r="B1839" s="252"/>
      <c r="C1839" s="252"/>
      <c r="D1839" s="252"/>
      <c r="E1839" s="252"/>
      <c r="F1839" s="252"/>
      <c r="G1839" s="252"/>
      <c r="H1839" s="252"/>
      <c r="I1839" s="252"/>
      <c r="J1839" s="252"/>
      <c r="K1839" s="253"/>
    </row>
    <row r="1840" spans="1:11" ht="22" customHeight="1" x14ac:dyDescent="0.35">
      <c r="A1840" s="251"/>
      <c r="B1840" s="252"/>
      <c r="C1840" s="252"/>
      <c r="D1840" s="252"/>
      <c r="E1840" s="252"/>
      <c r="F1840" s="252"/>
      <c r="G1840" s="252"/>
      <c r="H1840" s="252"/>
      <c r="I1840" s="252"/>
      <c r="J1840" s="252"/>
      <c r="K1840" s="253"/>
    </row>
    <row r="1841" spans="1:11" ht="22" customHeight="1" x14ac:dyDescent="0.35">
      <c r="A1841" s="251"/>
      <c r="B1841" s="252"/>
      <c r="C1841" s="252"/>
      <c r="D1841" s="252"/>
      <c r="E1841" s="252"/>
      <c r="F1841" s="252"/>
      <c r="G1841" s="252"/>
      <c r="H1841" s="252"/>
      <c r="I1841" s="252"/>
      <c r="J1841" s="252"/>
      <c r="K1841" s="253"/>
    </row>
    <row r="1842" spans="1:11" ht="22" customHeight="1" x14ac:dyDescent="0.35">
      <c r="A1842" s="251"/>
      <c r="B1842" s="252"/>
      <c r="C1842" s="252"/>
      <c r="D1842" s="252"/>
      <c r="E1842" s="252"/>
      <c r="F1842" s="252"/>
      <c r="G1842" s="252"/>
      <c r="H1842" s="252"/>
      <c r="I1842" s="252"/>
      <c r="J1842" s="252"/>
      <c r="K1842" s="253"/>
    </row>
    <row r="1843" spans="1:11" ht="22" customHeight="1" x14ac:dyDescent="0.35">
      <c r="A1843" s="251"/>
      <c r="B1843" s="252"/>
      <c r="C1843" s="252"/>
      <c r="D1843" s="252"/>
      <c r="E1843" s="252"/>
      <c r="F1843" s="252"/>
      <c r="G1843" s="252"/>
      <c r="H1843" s="252"/>
      <c r="I1843" s="252"/>
      <c r="J1843" s="252"/>
      <c r="K1843" s="253"/>
    </row>
    <row r="1844" spans="1:11" ht="22" customHeight="1" x14ac:dyDescent="0.35">
      <c r="A1844" s="251"/>
      <c r="B1844" s="252"/>
      <c r="C1844" s="252"/>
      <c r="D1844" s="252"/>
      <c r="E1844" s="252"/>
      <c r="F1844" s="252"/>
      <c r="G1844" s="252"/>
      <c r="H1844" s="252"/>
      <c r="I1844" s="252"/>
      <c r="J1844" s="252"/>
      <c r="K1844" s="253"/>
    </row>
    <row r="1845" spans="1:11" ht="22" customHeight="1" x14ac:dyDescent="0.35">
      <c r="A1845" s="251"/>
      <c r="B1845" s="252"/>
      <c r="C1845" s="252"/>
      <c r="D1845" s="252"/>
      <c r="E1845" s="252"/>
      <c r="F1845" s="252"/>
      <c r="G1845" s="252"/>
      <c r="H1845" s="252"/>
      <c r="I1845" s="252"/>
      <c r="J1845" s="252"/>
      <c r="K1845" s="253"/>
    </row>
    <row r="1846" spans="1:11" ht="22" customHeight="1" x14ac:dyDescent="0.35">
      <c r="A1846" s="251"/>
      <c r="B1846" s="252"/>
      <c r="C1846" s="252"/>
      <c r="D1846" s="252"/>
      <c r="E1846" s="252"/>
      <c r="F1846" s="252"/>
      <c r="G1846" s="252"/>
      <c r="H1846" s="252"/>
      <c r="I1846" s="252"/>
      <c r="J1846" s="252"/>
      <c r="K1846" s="253"/>
    </row>
    <row r="1847" spans="1:11" ht="22" customHeight="1" x14ac:dyDescent="0.35">
      <c r="A1847" s="251"/>
      <c r="B1847" s="252"/>
      <c r="C1847" s="252"/>
      <c r="D1847" s="252"/>
      <c r="E1847" s="252"/>
      <c r="F1847" s="252"/>
      <c r="G1847" s="252"/>
      <c r="H1847" s="252"/>
      <c r="I1847" s="252"/>
      <c r="J1847" s="252"/>
      <c r="K1847" s="253"/>
    </row>
    <row r="1848" spans="1:11" ht="22" customHeight="1" x14ac:dyDescent="0.35">
      <c r="A1848" s="251"/>
      <c r="B1848" s="252"/>
      <c r="C1848" s="252"/>
      <c r="D1848" s="252"/>
      <c r="E1848" s="252"/>
      <c r="F1848" s="252"/>
      <c r="G1848" s="252"/>
      <c r="H1848" s="252"/>
      <c r="I1848" s="252"/>
      <c r="J1848" s="252"/>
      <c r="K1848" s="253"/>
    </row>
    <row r="1849" spans="1:11" ht="22" customHeight="1" x14ac:dyDescent="0.35">
      <c r="A1849" s="251"/>
      <c r="B1849" s="252"/>
      <c r="C1849" s="252"/>
      <c r="D1849" s="252"/>
      <c r="E1849" s="252"/>
      <c r="F1849" s="252"/>
      <c r="G1849" s="252"/>
      <c r="H1849" s="252"/>
      <c r="I1849" s="252"/>
      <c r="J1849" s="252"/>
      <c r="K1849" s="253"/>
    </row>
    <row r="1850" spans="1:11" ht="22" customHeight="1" x14ac:dyDescent="0.35">
      <c r="A1850" s="251"/>
      <c r="B1850" s="252"/>
      <c r="C1850" s="252"/>
      <c r="D1850" s="252"/>
      <c r="E1850" s="252"/>
      <c r="F1850" s="252"/>
      <c r="G1850" s="252"/>
      <c r="H1850" s="252"/>
      <c r="I1850" s="252"/>
      <c r="J1850" s="252"/>
      <c r="K1850" s="253"/>
    </row>
    <row r="1851" spans="1:11" ht="22" customHeight="1" x14ac:dyDescent="0.35">
      <c r="A1851" s="251"/>
      <c r="B1851" s="252"/>
      <c r="C1851" s="252"/>
      <c r="D1851" s="252"/>
      <c r="E1851" s="252"/>
      <c r="F1851" s="252"/>
      <c r="G1851" s="252"/>
      <c r="H1851" s="252"/>
      <c r="I1851" s="252"/>
      <c r="J1851" s="252"/>
      <c r="K1851" s="253"/>
    </row>
    <row r="1852" spans="1:11" ht="22" customHeight="1" x14ac:dyDescent="0.35">
      <c r="A1852" s="251"/>
      <c r="B1852" s="252"/>
      <c r="C1852" s="252"/>
      <c r="D1852" s="252"/>
      <c r="E1852" s="252"/>
      <c r="F1852" s="252"/>
      <c r="G1852" s="252"/>
      <c r="H1852" s="252"/>
      <c r="I1852" s="252"/>
      <c r="J1852" s="252"/>
      <c r="K1852" s="253"/>
    </row>
    <row r="1853" spans="1:11" ht="22" customHeight="1" x14ac:dyDescent="0.35">
      <c r="A1853" s="251"/>
      <c r="B1853" s="252"/>
      <c r="C1853" s="252"/>
      <c r="D1853" s="252"/>
      <c r="E1853" s="252"/>
      <c r="F1853" s="252"/>
      <c r="G1853" s="252"/>
      <c r="H1853" s="252"/>
      <c r="I1853" s="252"/>
      <c r="J1853" s="252"/>
      <c r="K1853" s="253"/>
    </row>
    <row r="1854" spans="1:11" ht="22" customHeight="1" x14ac:dyDescent="0.35">
      <c r="A1854" s="251"/>
      <c r="B1854" s="252"/>
      <c r="C1854" s="252"/>
      <c r="D1854" s="252"/>
      <c r="E1854" s="252"/>
      <c r="F1854" s="252"/>
      <c r="G1854" s="252"/>
      <c r="H1854" s="252"/>
      <c r="I1854" s="252"/>
      <c r="J1854" s="252"/>
      <c r="K1854" s="253"/>
    </row>
    <row r="1855" spans="1:11" ht="22" customHeight="1" x14ac:dyDescent="0.35">
      <c r="A1855" s="251"/>
      <c r="B1855" s="252"/>
      <c r="C1855" s="252"/>
      <c r="D1855" s="252"/>
      <c r="E1855" s="252"/>
      <c r="F1855" s="252"/>
      <c r="G1855" s="252"/>
      <c r="H1855" s="252"/>
      <c r="I1855" s="252"/>
      <c r="J1855" s="252"/>
      <c r="K1855" s="253"/>
    </row>
    <row r="1856" spans="1:11" ht="22" customHeight="1" x14ac:dyDescent="0.35">
      <c r="A1856" s="251"/>
      <c r="B1856" s="252"/>
      <c r="C1856" s="252"/>
      <c r="D1856" s="252"/>
      <c r="E1856" s="252"/>
      <c r="F1856" s="252"/>
      <c r="G1856" s="252"/>
      <c r="H1856" s="252"/>
      <c r="I1856" s="252"/>
      <c r="J1856" s="252"/>
      <c r="K1856" s="253"/>
    </row>
    <row r="1857" spans="1:11" ht="22" customHeight="1" x14ac:dyDescent="0.35">
      <c r="A1857" s="251"/>
      <c r="B1857" s="252"/>
      <c r="C1857" s="252"/>
      <c r="D1857" s="252"/>
      <c r="E1857" s="252"/>
      <c r="F1857" s="252"/>
      <c r="G1857" s="252"/>
      <c r="H1857" s="252"/>
      <c r="I1857" s="252"/>
      <c r="J1857" s="252"/>
      <c r="K1857" s="253"/>
    </row>
    <row r="1858" spans="1:11" ht="22" customHeight="1" x14ac:dyDescent="0.35">
      <c r="A1858" s="251"/>
      <c r="B1858" s="252"/>
      <c r="C1858" s="252"/>
      <c r="D1858" s="252"/>
      <c r="E1858" s="252"/>
      <c r="F1858" s="252"/>
      <c r="G1858" s="252"/>
      <c r="H1858" s="252"/>
      <c r="I1858" s="252"/>
      <c r="J1858" s="252"/>
      <c r="K1858" s="253"/>
    </row>
    <row r="1859" spans="1:11" ht="22" customHeight="1" x14ac:dyDescent="0.35">
      <c r="A1859" s="251"/>
      <c r="B1859" s="252"/>
      <c r="C1859" s="252"/>
      <c r="D1859" s="252"/>
      <c r="E1859" s="252"/>
      <c r="F1859" s="252"/>
      <c r="G1859" s="252"/>
      <c r="H1859" s="252"/>
      <c r="I1859" s="252"/>
      <c r="J1859" s="252"/>
      <c r="K1859" s="253"/>
    </row>
    <row r="1860" spans="1:11" ht="22" customHeight="1" x14ac:dyDescent="0.35">
      <c r="A1860" s="251"/>
      <c r="B1860" s="252"/>
      <c r="C1860" s="252"/>
      <c r="D1860" s="252"/>
      <c r="E1860" s="252"/>
      <c r="F1860" s="252"/>
      <c r="G1860" s="252"/>
      <c r="H1860" s="252"/>
      <c r="I1860" s="252"/>
      <c r="J1860" s="252"/>
      <c r="K1860" s="253"/>
    </row>
    <row r="1861" spans="1:11" ht="22" customHeight="1" x14ac:dyDescent="0.35">
      <c r="A1861" s="251"/>
      <c r="B1861" s="252"/>
      <c r="C1861" s="252"/>
      <c r="D1861" s="252"/>
      <c r="E1861" s="252"/>
      <c r="F1861" s="252"/>
      <c r="G1861" s="252"/>
      <c r="H1861" s="252"/>
      <c r="I1861" s="252"/>
      <c r="J1861" s="252"/>
      <c r="K1861" s="253"/>
    </row>
    <row r="1862" spans="1:11" ht="22" customHeight="1" x14ac:dyDescent="0.35">
      <c r="A1862" s="251"/>
      <c r="B1862" s="252"/>
      <c r="C1862" s="252"/>
      <c r="D1862" s="252"/>
      <c r="E1862" s="252"/>
      <c r="F1862" s="252"/>
      <c r="G1862" s="252"/>
      <c r="H1862" s="252"/>
      <c r="I1862" s="252"/>
      <c r="J1862" s="252"/>
      <c r="K1862" s="253"/>
    </row>
    <row r="1863" spans="1:11" ht="22" customHeight="1" x14ac:dyDescent="0.35">
      <c r="A1863" s="251"/>
      <c r="B1863" s="252"/>
      <c r="C1863" s="252"/>
      <c r="D1863" s="252"/>
      <c r="E1863" s="252"/>
      <c r="F1863" s="252"/>
      <c r="G1863" s="252"/>
      <c r="H1863" s="252"/>
      <c r="I1863" s="252"/>
      <c r="J1863" s="252"/>
      <c r="K1863" s="253"/>
    </row>
    <row r="1864" spans="1:11" ht="22" customHeight="1" x14ac:dyDescent="0.35">
      <c r="A1864" s="251"/>
      <c r="B1864" s="252"/>
      <c r="C1864" s="252"/>
      <c r="D1864" s="252"/>
      <c r="E1864" s="252"/>
      <c r="F1864" s="252"/>
      <c r="G1864" s="252"/>
      <c r="H1864" s="252"/>
      <c r="I1864" s="252"/>
      <c r="J1864" s="252"/>
      <c r="K1864" s="253"/>
    </row>
    <row r="1865" spans="1:11" ht="22" customHeight="1" x14ac:dyDescent="0.35">
      <c r="A1865" s="251"/>
      <c r="B1865" s="252"/>
      <c r="C1865" s="252"/>
      <c r="D1865" s="252"/>
      <c r="E1865" s="252"/>
      <c r="F1865" s="252"/>
      <c r="G1865" s="252"/>
      <c r="H1865" s="252"/>
      <c r="I1865" s="252"/>
      <c r="J1865" s="252"/>
      <c r="K1865" s="253"/>
    </row>
    <row r="1866" spans="1:11" ht="22" customHeight="1" x14ac:dyDescent="0.35">
      <c r="A1866" s="251"/>
      <c r="B1866" s="252"/>
      <c r="C1866" s="252"/>
      <c r="D1866" s="252"/>
      <c r="E1866" s="252"/>
      <c r="F1866" s="252"/>
      <c r="G1866" s="252"/>
      <c r="H1866" s="252"/>
      <c r="I1866" s="252"/>
      <c r="J1866" s="252"/>
      <c r="K1866" s="253"/>
    </row>
    <row r="1867" spans="1:11" ht="22" customHeight="1" x14ac:dyDescent="0.35">
      <c r="A1867" s="251"/>
      <c r="B1867" s="252"/>
      <c r="C1867" s="252"/>
      <c r="D1867" s="252"/>
      <c r="E1867" s="252"/>
      <c r="F1867" s="252"/>
      <c r="G1867" s="252"/>
      <c r="H1867" s="252"/>
      <c r="I1867" s="252"/>
      <c r="J1867" s="252"/>
      <c r="K1867" s="253"/>
    </row>
    <row r="1868" spans="1:11" ht="22" customHeight="1" x14ac:dyDescent="0.35">
      <c r="A1868" s="251"/>
      <c r="B1868" s="252"/>
      <c r="C1868" s="252"/>
      <c r="D1868" s="252"/>
      <c r="E1868" s="252"/>
      <c r="F1868" s="252"/>
      <c r="G1868" s="252"/>
      <c r="H1868" s="252"/>
      <c r="I1868" s="252"/>
      <c r="J1868" s="252"/>
      <c r="K1868" s="253"/>
    </row>
    <row r="1869" spans="1:11" ht="22" customHeight="1" x14ac:dyDescent="0.35">
      <c r="A1869" s="251"/>
      <c r="B1869" s="252"/>
      <c r="C1869" s="252"/>
      <c r="D1869" s="252"/>
      <c r="E1869" s="252"/>
      <c r="F1869" s="252"/>
      <c r="G1869" s="252"/>
      <c r="H1869" s="252"/>
      <c r="I1869" s="252"/>
      <c r="J1869" s="252"/>
      <c r="K1869" s="253"/>
    </row>
    <row r="1870" spans="1:11" ht="22" customHeight="1" x14ac:dyDescent="0.35">
      <c r="A1870" s="251"/>
      <c r="B1870" s="252"/>
      <c r="C1870" s="252"/>
      <c r="D1870" s="252"/>
      <c r="E1870" s="252"/>
      <c r="F1870" s="252"/>
      <c r="G1870" s="252"/>
      <c r="H1870" s="252"/>
      <c r="I1870" s="252"/>
      <c r="J1870" s="252"/>
      <c r="K1870" s="253"/>
    </row>
    <row r="1871" spans="1:11" ht="22" customHeight="1" x14ac:dyDescent="0.35">
      <c r="A1871" s="251"/>
      <c r="B1871" s="252"/>
      <c r="C1871" s="252"/>
      <c r="D1871" s="252"/>
      <c r="E1871" s="252"/>
      <c r="F1871" s="252"/>
      <c r="G1871" s="252"/>
      <c r="H1871" s="252"/>
      <c r="I1871" s="252"/>
      <c r="J1871" s="252"/>
      <c r="K1871" s="253"/>
    </row>
    <row r="1872" spans="1:11" ht="22" customHeight="1" x14ac:dyDescent="0.35">
      <c r="A1872" s="251"/>
      <c r="B1872" s="252"/>
      <c r="C1872" s="252"/>
      <c r="D1872" s="252"/>
      <c r="E1872" s="252"/>
      <c r="F1872" s="252"/>
      <c r="G1872" s="252"/>
      <c r="H1872" s="252"/>
      <c r="I1872" s="252"/>
      <c r="J1872" s="252"/>
      <c r="K1872" s="253"/>
    </row>
    <row r="1873" spans="1:11" ht="22" customHeight="1" x14ac:dyDescent="0.35">
      <c r="A1873" s="251"/>
      <c r="B1873" s="252"/>
      <c r="C1873" s="252"/>
      <c r="D1873" s="252"/>
      <c r="E1873" s="252"/>
      <c r="F1873" s="252"/>
      <c r="G1873" s="252"/>
      <c r="H1873" s="252"/>
      <c r="I1873" s="252"/>
      <c r="J1873" s="252"/>
      <c r="K1873" s="253"/>
    </row>
    <row r="1874" spans="1:11" ht="22" customHeight="1" x14ac:dyDescent="0.35">
      <c r="A1874" s="251"/>
      <c r="B1874" s="252"/>
      <c r="C1874" s="252"/>
      <c r="D1874" s="252"/>
      <c r="E1874" s="252"/>
      <c r="F1874" s="252"/>
      <c r="G1874" s="252"/>
      <c r="H1874" s="252"/>
      <c r="I1874" s="252"/>
      <c r="J1874" s="252"/>
      <c r="K1874" s="253"/>
    </row>
    <row r="1875" spans="1:11" ht="22" customHeight="1" x14ac:dyDescent="0.35">
      <c r="A1875" s="251"/>
      <c r="B1875" s="252"/>
      <c r="C1875" s="252"/>
      <c r="D1875" s="252"/>
      <c r="E1875" s="252"/>
      <c r="F1875" s="252"/>
      <c r="G1875" s="252"/>
      <c r="H1875" s="252"/>
      <c r="I1875" s="252"/>
      <c r="J1875" s="252"/>
      <c r="K1875" s="253"/>
    </row>
    <row r="1876" spans="1:11" ht="22" customHeight="1" x14ac:dyDescent="0.35">
      <c r="A1876" s="251"/>
      <c r="B1876" s="252"/>
      <c r="C1876" s="252"/>
      <c r="D1876" s="252"/>
      <c r="E1876" s="252"/>
      <c r="F1876" s="252"/>
      <c r="G1876" s="252"/>
      <c r="H1876" s="252"/>
      <c r="I1876" s="252"/>
      <c r="J1876" s="252"/>
      <c r="K1876" s="253"/>
    </row>
    <row r="1877" spans="1:11" ht="22" customHeight="1" x14ac:dyDescent="0.35">
      <c r="A1877" s="251"/>
      <c r="B1877" s="252"/>
      <c r="C1877" s="252"/>
      <c r="D1877" s="252"/>
      <c r="E1877" s="252"/>
      <c r="F1877" s="252"/>
      <c r="G1877" s="252"/>
      <c r="H1877" s="252"/>
      <c r="I1877" s="252"/>
      <c r="J1877" s="252"/>
      <c r="K1877" s="253"/>
    </row>
    <row r="1878" spans="1:11" ht="22" customHeight="1" x14ac:dyDescent="0.35">
      <c r="A1878" s="251"/>
      <c r="B1878" s="252"/>
      <c r="C1878" s="252"/>
      <c r="D1878" s="252"/>
      <c r="E1878" s="252"/>
      <c r="F1878" s="252"/>
      <c r="G1878" s="252"/>
      <c r="H1878" s="252"/>
      <c r="I1878" s="252"/>
      <c r="J1878" s="252"/>
      <c r="K1878" s="253"/>
    </row>
    <row r="1879" spans="1:11" ht="22" customHeight="1" x14ac:dyDescent="0.35">
      <c r="A1879" s="251"/>
      <c r="B1879" s="252"/>
      <c r="C1879" s="252"/>
      <c r="D1879" s="252"/>
      <c r="E1879" s="252"/>
      <c r="F1879" s="252"/>
      <c r="G1879" s="252"/>
      <c r="H1879" s="252"/>
      <c r="I1879" s="252"/>
      <c r="J1879" s="252"/>
      <c r="K1879" s="253"/>
    </row>
    <row r="1880" spans="1:11" ht="22" customHeight="1" x14ac:dyDescent="0.35">
      <c r="A1880" s="251"/>
      <c r="B1880" s="252"/>
      <c r="C1880" s="252"/>
      <c r="D1880" s="252"/>
      <c r="E1880" s="252"/>
      <c r="F1880" s="252"/>
      <c r="G1880" s="252"/>
      <c r="H1880" s="252"/>
      <c r="I1880" s="252"/>
      <c r="J1880" s="252"/>
      <c r="K1880" s="253"/>
    </row>
    <row r="1881" spans="1:11" ht="22" customHeight="1" x14ac:dyDescent="0.35">
      <c r="A1881" s="251"/>
      <c r="B1881" s="252"/>
      <c r="C1881" s="252"/>
      <c r="D1881" s="252"/>
      <c r="E1881" s="252"/>
      <c r="F1881" s="252"/>
      <c r="G1881" s="252"/>
      <c r="H1881" s="252"/>
      <c r="I1881" s="252"/>
      <c r="J1881" s="252"/>
      <c r="K1881" s="253"/>
    </row>
    <row r="1882" spans="1:11" ht="22" customHeight="1" x14ac:dyDescent="0.35">
      <c r="A1882" s="251"/>
      <c r="B1882" s="252"/>
      <c r="C1882" s="252"/>
      <c r="D1882" s="252"/>
      <c r="E1882" s="252"/>
      <c r="F1882" s="252"/>
      <c r="G1882" s="252"/>
      <c r="H1882" s="252"/>
      <c r="I1882" s="252"/>
      <c r="J1882" s="252"/>
      <c r="K1882" s="253"/>
    </row>
    <row r="1883" spans="1:11" ht="22" customHeight="1" x14ac:dyDescent="0.35">
      <c r="A1883" s="251"/>
      <c r="B1883" s="252"/>
      <c r="C1883" s="252"/>
      <c r="D1883" s="252"/>
      <c r="E1883" s="252"/>
      <c r="F1883" s="252"/>
      <c r="G1883" s="252"/>
      <c r="H1883" s="252"/>
      <c r="I1883" s="252"/>
      <c r="J1883" s="252"/>
      <c r="K1883" s="253"/>
    </row>
    <row r="1884" spans="1:11" ht="22" customHeight="1" x14ac:dyDescent="0.35">
      <c r="A1884" s="251"/>
      <c r="B1884" s="252"/>
      <c r="C1884" s="252"/>
      <c r="D1884" s="252"/>
      <c r="E1884" s="252"/>
      <c r="F1884" s="252"/>
      <c r="G1884" s="252"/>
      <c r="H1884" s="252"/>
      <c r="I1884" s="252"/>
      <c r="J1884" s="252"/>
      <c r="K1884" s="253"/>
    </row>
    <row r="1885" spans="1:11" ht="22" customHeight="1" x14ac:dyDescent="0.35">
      <c r="A1885" s="251"/>
      <c r="B1885" s="252"/>
      <c r="C1885" s="252"/>
      <c r="D1885" s="252"/>
      <c r="E1885" s="252"/>
      <c r="F1885" s="252"/>
      <c r="G1885" s="252"/>
      <c r="H1885" s="252"/>
      <c r="I1885" s="252"/>
      <c r="J1885" s="252"/>
      <c r="K1885" s="253"/>
    </row>
    <row r="1886" spans="1:11" ht="22" customHeight="1" x14ac:dyDescent="0.35">
      <c r="A1886" s="251"/>
      <c r="B1886" s="252"/>
      <c r="C1886" s="252"/>
      <c r="D1886" s="252"/>
      <c r="E1886" s="252"/>
      <c r="F1886" s="252"/>
      <c r="G1886" s="252"/>
      <c r="H1886" s="252"/>
      <c r="I1886" s="252"/>
      <c r="J1886" s="252"/>
      <c r="K1886" s="253"/>
    </row>
    <row r="1887" spans="1:11" ht="22" customHeight="1" x14ac:dyDescent="0.35">
      <c r="A1887" s="251"/>
      <c r="B1887" s="252"/>
      <c r="C1887" s="252"/>
      <c r="D1887" s="252"/>
      <c r="E1887" s="252"/>
      <c r="F1887" s="252"/>
      <c r="G1887" s="252"/>
      <c r="H1887" s="252"/>
      <c r="I1887" s="252"/>
      <c r="J1887" s="252"/>
      <c r="K1887" s="253"/>
    </row>
    <row r="1888" spans="1:11" ht="22" customHeight="1" x14ac:dyDescent="0.35">
      <c r="A1888" s="251"/>
      <c r="B1888" s="252"/>
      <c r="C1888" s="252"/>
      <c r="D1888" s="252"/>
      <c r="E1888" s="252"/>
      <c r="F1888" s="252"/>
      <c r="G1888" s="252"/>
      <c r="H1888" s="252"/>
      <c r="I1888" s="252"/>
      <c r="J1888" s="252"/>
      <c r="K1888" s="253"/>
    </row>
    <row r="1889" spans="1:11" ht="22" customHeight="1" x14ac:dyDescent="0.35">
      <c r="A1889" s="251"/>
      <c r="B1889" s="252"/>
      <c r="C1889" s="252"/>
      <c r="D1889" s="252"/>
      <c r="E1889" s="252"/>
      <c r="F1889" s="252"/>
      <c r="G1889" s="252"/>
      <c r="H1889" s="252"/>
      <c r="I1889" s="252"/>
      <c r="J1889" s="252"/>
      <c r="K1889" s="253"/>
    </row>
    <row r="1890" spans="1:11" ht="22" customHeight="1" x14ac:dyDescent="0.35">
      <c r="A1890" s="251"/>
      <c r="B1890" s="252"/>
      <c r="C1890" s="252"/>
      <c r="D1890" s="252"/>
      <c r="E1890" s="252"/>
      <c r="F1890" s="252"/>
      <c r="G1890" s="252"/>
      <c r="H1890" s="252"/>
      <c r="I1890" s="252"/>
      <c r="J1890" s="252"/>
      <c r="K1890" s="253"/>
    </row>
    <row r="1891" spans="1:11" ht="22" customHeight="1" x14ac:dyDescent="0.35">
      <c r="A1891" s="251"/>
      <c r="B1891" s="252"/>
      <c r="C1891" s="252"/>
      <c r="D1891" s="252"/>
      <c r="E1891" s="252"/>
      <c r="F1891" s="252"/>
      <c r="G1891" s="252"/>
      <c r="H1891" s="252"/>
      <c r="I1891" s="252"/>
      <c r="J1891" s="252"/>
      <c r="K1891" s="253"/>
    </row>
    <row r="1892" spans="1:11" ht="22" customHeight="1" x14ac:dyDescent="0.35">
      <c r="A1892" s="251"/>
      <c r="B1892" s="252"/>
      <c r="C1892" s="252"/>
      <c r="D1892" s="252"/>
      <c r="E1892" s="252"/>
      <c r="F1892" s="252"/>
      <c r="G1892" s="252"/>
      <c r="H1892" s="252"/>
      <c r="I1892" s="252"/>
      <c r="J1892" s="252"/>
      <c r="K1892" s="253"/>
    </row>
    <row r="1893" spans="1:11" ht="22" customHeight="1" x14ac:dyDescent="0.35">
      <c r="A1893" s="251"/>
      <c r="B1893" s="252"/>
      <c r="C1893" s="252"/>
      <c r="D1893" s="252"/>
      <c r="E1893" s="252"/>
      <c r="F1893" s="252"/>
      <c r="G1893" s="252"/>
      <c r="H1893" s="252"/>
      <c r="I1893" s="252"/>
      <c r="J1893" s="252"/>
      <c r="K1893" s="253"/>
    </row>
    <row r="1894" spans="1:11" ht="22" customHeight="1" x14ac:dyDescent="0.35">
      <c r="A1894" s="251"/>
      <c r="B1894" s="252"/>
      <c r="C1894" s="252"/>
      <c r="D1894" s="252"/>
      <c r="E1894" s="252"/>
      <c r="F1894" s="252"/>
      <c r="G1894" s="252"/>
      <c r="H1894" s="252"/>
      <c r="I1894" s="252"/>
      <c r="J1894" s="252"/>
      <c r="K1894" s="253"/>
    </row>
    <row r="1895" spans="1:11" ht="22" customHeight="1" x14ac:dyDescent="0.35">
      <c r="A1895" s="251"/>
      <c r="B1895" s="252"/>
      <c r="C1895" s="252"/>
      <c r="D1895" s="252"/>
      <c r="E1895" s="252"/>
      <c r="F1895" s="252"/>
      <c r="G1895" s="252"/>
      <c r="H1895" s="252"/>
      <c r="I1895" s="252"/>
      <c r="J1895" s="252"/>
      <c r="K1895" s="253"/>
    </row>
    <row r="1896" spans="1:11" ht="22" customHeight="1" x14ac:dyDescent="0.35">
      <c r="A1896" s="251"/>
      <c r="B1896" s="252"/>
      <c r="C1896" s="252"/>
      <c r="D1896" s="252"/>
      <c r="E1896" s="252"/>
      <c r="F1896" s="252"/>
      <c r="G1896" s="252"/>
      <c r="H1896" s="252"/>
      <c r="I1896" s="252"/>
      <c r="J1896" s="252"/>
      <c r="K1896" s="253"/>
    </row>
    <row r="1897" spans="1:11" ht="22" customHeight="1" x14ac:dyDescent="0.35">
      <c r="A1897" s="251"/>
      <c r="B1897" s="252"/>
      <c r="C1897" s="252"/>
      <c r="D1897" s="252"/>
      <c r="E1897" s="252"/>
      <c r="F1897" s="252"/>
      <c r="G1897" s="252"/>
      <c r="H1897" s="252"/>
      <c r="I1897" s="252"/>
      <c r="J1897" s="252"/>
      <c r="K1897" s="253"/>
    </row>
    <row r="1898" spans="1:11" ht="22" customHeight="1" x14ac:dyDescent="0.35">
      <c r="A1898" s="251"/>
      <c r="B1898" s="252"/>
      <c r="C1898" s="252"/>
      <c r="D1898" s="252"/>
      <c r="E1898" s="252"/>
      <c r="F1898" s="252"/>
      <c r="G1898" s="252"/>
      <c r="H1898" s="252"/>
      <c r="I1898" s="252"/>
      <c r="J1898" s="252"/>
      <c r="K1898" s="253"/>
    </row>
    <row r="1899" spans="1:11" ht="22" customHeight="1" x14ac:dyDescent="0.35">
      <c r="A1899" s="251"/>
      <c r="B1899" s="252"/>
      <c r="C1899" s="252"/>
      <c r="D1899" s="252"/>
      <c r="E1899" s="252"/>
      <c r="F1899" s="252"/>
      <c r="G1899" s="252"/>
      <c r="H1899" s="252"/>
      <c r="I1899" s="252"/>
      <c r="J1899" s="252"/>
      <c r="K1899" s="253"/>
    </row>
    <row r="1900" spans="1:11" ht="22" customHeight="1" x14ac:dyDescent="0.35">
      <c r="A1900" s="251"/>
      <c r="B1900" s="252"/>
      <c r="C1900" s="252"/>
      <c r="D1900" s="252"/>
      <c r="E1900" s="252"/>
      <c r="F1900" s="252"/>
      <c r="G1900" s="252"/>
      <c r="H1900" s="252"/>
      <c r="I1900" s="252"/>
      <c r="J1900" s="252"/>
      <c r="K1900" s="253"/>
    </row>
    <row r="1901" spans="1:11" ht="22" customHeight="1" x14ac:dyDescent="0.35">
      <c r="A1901" s="251"/>
      <c r="B1901" s="252"/>
      <c r="C1901" s="252"/>
      <c r="D1901" s="252"/>
      <c r="E1901" s="252"/>
      <c r="F1901" s="252"/>
      <c r="G1901" s="252"/>
      <c r="H1901" s="252"/>
      <c r="I1901" s="252"/>
      <c r="J1901" s="252"/>
      <c r="K1901" s="253"/>
    </row>
    <row r="1902" spans="1:11" ht="22" customHeight="1" x14ac:dyDescent="0.35">
      <c r="A1902" s="251"/>
      <c r="B1902" s="252"/>
      <c r="C1902" s="252"/>
      <c r="D1902" s="252"/>
      <c r="E1902" s="252"/>
      <c r="F1902" s="252"/>
      <c r="G1902" s="252"/>
      <c r="H1902" s="252"/>
      <c r="I1902" s="252"/>
      <c r="J1902" s="252"/>
      <c r="K1902" s="253"/>
    </row>
    <row r="1903" spans="1:11" ht="22" customHeight="1" x14ac:dyDescent="0.35">
      <c r="A1903" s="251"/>
      <c r="B1903" s="252"/>
      <c r="C1903" s="252"/>
      <c r="D1903" s="252"/>
      <c r="E1903" s="252"/>
      <c r="F1903" s="252"/>
      <c r="G1903" s="252"/>
      <c r="H1903" s="252"/>
      <c r="I1903" s="252"/>
      <c r="J1903" s="252"/>
      <c r="K1903" s="253"/>
    </row>
    <row r="1904" spans="1:11" ht="22" customHeight="1" x14ac:dyDescent="0.35">
      <c r="A1904" s="251"/>
      <c r="B1904" s="252"/>
      <c r="C1904" s="252"/>
      <c r="D1904" s="252"/>
      <c r="E1904" s="252"/>
      <c r="F1904" s="252"/>
      <c r="G1904" s="252"/>
      <c r="H1904" s="252"/>
      <c r="I1904" s="252"/>
      <c r="J1904" s="252"/>
      <c r="K1904" s="253"/>
    </row>
    <row r="1905" spans="1:11" ht="22" customHeight="1" x14ac:dyDescent="0.35">
      <c r="A1905" s="251"/>
      <c r="B1905" s="252"/>
      <c r="C1905" s="252"/>
      <c r="D1905" s="252"/>
      <c r="E1905" s="252"/>
      <c r="F1905" s="252"/>
      <c r="G1905" s="252"/>
      <c r="H1905" s="252"/>
      <c r="I1905" s="252"/>
      <c r="J1905" s="252"/>
      <c r="K1905" s="253"/>
    </row>
    <row r="1906" spans="1:11" ht="22" customHeight="1" x14ac:dyDescent="0.35">
      <c r="A1906" s="251"/>
      <c r="B1906" s="252"/>
      <c r="C1906" s="252"/>
      <c r="D1906" s="252"/>
      <c r="E1906" s="252"/>
      <c r="F1906" s="252"/>
      <c r="G1906" s="252"/>
      <c r="H1906" s="252"/>
      <c r="I1906" s="252"/>
      <c r="J1906" s="252"/>
      <c r="K1906" s="253"/>
    </row>
    <row r="1907" spans="1:11" ht="22" customHeight="1" x14ac:dyDescent="0.35">
      <c r="A1907" s="251"/>
      <c r="B1907" s="252"/>
      <c r="C1907" s="252"/>
      <c r="D1907" s="252"/>
      <c r="E1907" s="252"/>
      <c r="F1907" s="252"/>
      <c r="G1907" s="252"/>
      <c r="H1907" s="252"/>
      <c r="I1907" s="252"/>
      <c r="J1907" s="252"/>
      <c r="K1907" s="253"/>
    </row>
    <row r="1908" spans="1:11" ht="22" customHeight="1" x14ac:dyDescent="0.35">
      <c r="A1908" s="251"/>
      <c r="B1908" s="252"/>
      <c r="C1908" s="252"/>
      <c r="D1908" s="252"/>
      <c r="E1908" s="252"/>
      <c r="F1908" s="252"/>
      <c r="G1908" s="252"/>
      <c r="H1908" s="252"/>
      <c r="I1908" s="252"/>
      <c r="J1908" s="252"/>
      <c r="K1908" s="253"/>
    </row>
    <row r="1909" spans="1:11" ht="22" customHeight="1" x14ac:dyDescent="0.35">
      <c r="A1909" s="251"/>
      <c r="B1909" s="252"/>
      <c r="C1909" s="252"/>
      <c r="D1909" s="252"/>
      <c r="E1909" s="252"/>
      <c r="F1909" s="252"/>
      <c r="G1909" s="252"/>
      <c r="H1909" s="252"/>
      <c r="I1909" s="252"/>
      <c r="J1909" s="252"/>
      <c r="K1909" s="253"/>
    </row>
    <row r="1910" spans="1:11" ht="22" customHeight="1" x14ac:dyDescent="0.35">
      <c r="A1910" s="251"/>
      <c r="B1910" s="252"/>
      <c r="C1910" s="252"/>
      <c r="D1910" s="252"/>
      <c r="E1910" s="252"/>
      <c r="F1910" s="252"/>
      <c r="G1910" s="252"/>
      <c r="H1910" s="252"/>
      <c r="I1910" s="252"/>
      <c r="J1910" s="252"/>
      <c r="K1910" s="253"/>
    </row>
    <row r="1911" spans="1:11" ht="22" customHeight="1" x14ac:dyDescent="0.35">
      <c r="A1911" s="251"/>
      <c r="B1911" s="252"/>
      <c r="C1911" s="252"/>
      <c r="D1911" s="252"/>
      <c r="E1911" s="252"/>
      <c r="F1911" s="252"/>
      <c r="G1911" s="252"/>
      <c r="H1911" s="252"/>
      <c r="I1911" s="252"/>
      <c r="J1911" s="252"/>
      <c r="K1911" s="253"/>
    </row>
    <row r="1912" spans="1:11" ht="22" customHeight="1" x14ac:dyDescent="0.35">
      <c r="A1912" s="251"/>
      <c r="B1912" s="252"/>
      <c r="C1912" s="252"/>
      <c r="D1912" s="252"/>
      <c r="E1912" s="252"/>
      <c r="F1912" s="252"/>
      <c r="G1912" s="252"/>
      <c r="H1912" s="252"/>
      <c r="I1912" s="252"/>
      <c r="J1912" s="252"/>
      <c r="K1912" s="253"/>
    </row>
    <row r="1913" spans="1:11" ht="22" customHeight="1" x14ac:dyDescent="0.35">
      <c r="A1913" s="251"/>
      <c r="B1913" s="252"/>
      <c r="C1913" s="252"/>
      <c r="D1913" s="252"/>
      <c r="E1913" s="252"/>
      <c r="F1913" s="252"/>
      <c r="G1913" s="252"/>
      <c r="H1913" s="252"/>
      <c r="I1913" s="252"/>
      <c r="J1913" s="252"/>
      <c r="K1913" s="253"/>
    </row>
    <row r="1914" spans="1:11" ht="22" customHeight="1" x14ac:dyDescent="0.35">
      <c r="A1914" s="251"/>
      <c r="B1914" s="252"/>
      <c r="C1914" s="252"/>
      <c r="D1914" s="252"/>
      <c r="E1914" s="252"/>
      <c r="F1914" s="252"/>
      <c r="G1914" s="252"/>
      <c r="H1914" s="252"/>
      <c r="I1914" s="252"/>
      <c r="J1914" s="252"/>
      <c r="K1914" s="253"/>
    </row>
    <row r="1915" spans="1:11" ht="22" customHeight="1" x14ac:dyDescent="0.35">
      <c r="A1915" s="251"/>
      <c r="B1915" s="252"/>
      <c r="C1915" s="252"/>
      <c r="D1915" s="252"/>
      <c r="E1915" s="252"/>
      <c r="F1915" s="252"/>
      <c r="G1915" s="252"/>
      <c r="H1915" s="252"/>
      <c r="I1915" s="252"/>
      <c r="J1915" s="252"/>
      <c r="K1915" s="253"/>
    </row>
    <row r="1916" spans="1:11" ht="22" customHeight="1" x14ac:dyDescent="0.35">
      <c r="A1916" s="251"/>
      <c r="B1916" s="252"/>
      <c r="C1916" s="252"/>
      <c r="D1916" s="252"/>
      <c r="E1916" s="252"/>
      <c r="F1916" s="252"/>
      <c r="G1916" s="252"/>
      <c r="H1916" s="252"/>
      <c r="I1916" s="252"/>
      <c r="J1916" s="252"/>
      <c r="K1916" s="253"/>
    </row>
    <row r="1917" spans="1:11" ht="22" customHeight="1" x14ac:dyDescent="0.35">
      <c r="A1917" s="251"/>
      <c r="B1917" s="252"/>
      <c r="C1917" s="252"/>
      <c r="D1917" s="252"/>
      <c r="E1917" s="252"/>
      <c r="F1917" s="252"/>
      <c r="G1917" s="252"/>
      <c r="H1917" s="252"/>
      <c r="I1917" s="252"/>
      <c r="J1917" s="252"/>
      <c r="K1917" s="253"/>
    </row>
    <row r="1918" spans="1:11" ht="22" customHeight="1" x14ac:dyDescent="0.35">
      <c r="A1918" s="251"/>
      <c r="B1918" s="252"/>
      <c r="C1918" s="252"/>
      <c r="D1918" s="252"/>
      <c r="E1918" s="252"/>
      <c r="F1918" s="252"/>
      <c r="G1918" s="252"/>
      <c r="H1918" s="252"/>
      <c r="I1918" s="252"/>
      <c r="J1918" s="252"/>
      <c r="K1918" s="253"/>
    </row>
    <row r="1919" spans="1:11" ht="22" customHeight="1" x14ac:dyDescent="0.35">
      <c r="A1919" s="251"/>
      <c r="B1919" s="252"/>
      <c r="C1919" s="252"/>
      <c r="D1919" s="252"/>
      <c r="E1919" s="252"/>
      <c r="F1919" s="252"/>
      <c r="G1919" s="252"/>
      <c r="H1919" s="252"/>
      <c r="I1919" s="252"/>
      <c r="J1919" s="252"/>
      <c r="K1919" s="253"/>
    </row>
    <row r="1920" spans="1:11" ht="22" customHeight="1" x14ac:dyDescent="0.35">
      <c r="A1920" s="251"/>
      <c r="B1920" s="252"/>
      <c r="C1920" s="252"/>
      <c r="D1920" s="252"/>
      <c r="E1920" s="252"/>
      <c r="F1920" s="252"/>
      <c r="G1920" s="252"/>
      <c r="H1920" s="252"/>
      <c r="I1920" s="252"/>
      <c r="J1920" s="252"/>
      <c r="K1920" s="253"/>
    </row>
    <row r="1921" spans="1:11" ht="22" customHeight="1" x14ac:dyDescent="0.35">
      <c r="A1921" s="251"/>
      <c r="B1921" s="252"/>
      <c r="C1921" s="252"/>
      <c r="D1921" s="252"/>
      <c r="E1921" s="252"/>
      <c r="F1921" s="252"/>
      <c r="G1921" s="252"/>
      <c r="H1921" s="252"/>
      <c r="I1921" s="252"/>
      <c r="J1921" s="252"/>
      <c r="K1921" s="253"/>
    </row>
    <row r="1922" spans="1:11" ht="22" customHeight="1" x14ac:dyDescent="0.35">
      <c r="A1922" s="251"/>
      <c r="B1922" s="252"/>
      <c r="C1922" s="252"/>
      <c r="D1922" s="252"/>
      <c r="E1922" s="252"/>
      <c r="F1922" s="252"/>
      <c r="G1922" s="252"/>
      <c r="H1922" s="252"/>
      <c r="I1922" s="252"/>
      <c r="J1922" s="252"/>
      <c r="K1922" s="253"/>
    </row>
    <row r="1923" spans="1:11" ht="22" customHeight="1" x14ac:dyDescent="0.35">
      <c r="A1923" s="251"/>
      <c r="B1923" s="252"/>
      <c r="C1923" s="252"/>
      <c r="D1923" s="252"/>
      <c r="E1923" s="252"/>
      <c r="F1923" s="252"/>
      <c r="G1923" s="252"/>
      <c r="H1923" s="252"/>
      <c r="I1923" s="252"/>
      <c r="J1923" s="252"/>
      <c r="K1923" s="253"/>
    </row>
    <row r="1924" spans="1:11" ht="22" customHeight="1" x14ac:dyDescent="0.35">
      <c r="A1924" s="251"/>
      <c r="B1924" s="252"/>
      <c r="C1924" s="252"/>
      <c r="D1924" s="252"/>
      <c r="E1924" s="252"/>
      <c r="F1924" s="252"/>
      <c r="G1924" s="252"/>
      <c r="H1924" s="252"/>
      <c r="I1924" s="252"/>
      <c r="J1924" s="252"/>
      <c r="K1924" s="253"/>
    </row>
    <row r="1925" spans="1:11" ht="22" customHeight="1" x14ac:dyDescent="0.35">
      <c r="A1925" s="251"/>
      <c r="B1925" s="252"/>
      <c r="C1925" s="252"/>
      <c r="D1925" s="252"/>
      <c r="E1925" s="252"/>
      <c r="F1925" s="252"/>
      <c r="G1925" s="252"/>
      <c r="H1925" s="252"/>
      <c r="I1925" s="252"/>
      <c r="J1925" s="252"/>
      <c r="K1925" s="253"/>
    </row>
    <row r="1926" spans="1:11" ht="22" customHeight="1" x14ac:dyDescent="0.35">
      <c r="A1926" s="251"/>
      <c r="B1926" s="252"/>
      <c r="C1926" s="252"/>
      <c r="D1926" s="252"/>
      <c r="E1926" s="252"/>
      <c r="F1926" s="252"/>
      <c r="G1926" s="252"/>
      <c r="H1926" s="252"/>
      <c r="I1926" s="252"/>
      <c r="J1926" s="252"/>
      <c r="K1926" s="253"/>
    </row>
    <row r="1927" spans="1:11" ht="22" customHeight="1" x14ac:dyDescent="0.35">
      <c r="A1927" s="251"/>
      <c r="B1927" s="252"/>
      <c r="C1927" s="252"/>
      <c r="D1927" s="252"/>
      <c r="E1927" s="252"/>
      <c r="F1927" s="252"/>
      <c r="G1927" s="252"/>
      <c r="H1927" s="252"/>
      <c r="I1927" s="252"/>
      <c r="J1927" s="252"/>
      <c r="K1927" s="253"/>
    </row>
    <row r="1928" spans="1:11" ht="22" customHeight="1" x14ac:dyDescent="0.35">
      <c r="A1928" s="251"/>
      <c r="B1928" s="252"/>
      <c r="C1928" s="252"/>
      <c r="D1928" s="252"/>
      <c r="E1928" s="252"/>
      <c r="F1928" s="252"/>
      <c r="G1928" s="252"/>
      <c r="H1928" s="252"/>
      <c r="I1928" s="252"/>
      <c r="J1928" s="252"/>
      <c r="K1928" s="253"/>
    </row>
    <row r="1929" spans="1:11" ht="22" customHeight="1" x14ac:dyDescent="0.35">
      <c r="A1929" s="251"/>
      <c r="B1929" s="252"/>
      <c r="C1929" s="252"/>
      <c r="D1929" s="252"/>
      <c r="E1929" s="252"/>
      <c r="F1929" s="252"/>
      <c r="G1929" s="252"/>
      <c r="H1929" s="252"/>
      <c r="I1929" s="252"/>
      <c r="J1929" s="252"/>
      <c r="K1929" s="253"/>
    </row>
    <row r="1930" spans="1:11" ht="22" customHeight="1" x14ac:dyDescent="0.35">
      <c r="A1930" s="251"/>
      <c r="B1930" s="252"/>
      <c r="C1930" s="252"/>
      <c r="D1930" s="252"/>
      <c r="E1930" s="252"/>
      <c r="F1930" s="252"/>
      <c r="G1930" s="252"/>
      <c r="H1930" s="252"/>
      <c r="I1930" s="252"/>
      <c r="J1930" s="252"/>
      <c r="K1930" s="253"/>
    </row>
    <row r="1931" spans="1:11" ht="22" customHeight="1" x14ac:dyDescent="0.35">
      <c r="A1931" s="251"/>
      <c r="B1931" s="252"/>
      <c r="C1931" s="252"/>
      <c r="D1931" s="252"/>
      <c r="E1931" s="252"/>
      <c r="F1931" s="252"/>
      <c r="G1931" s="252"/>
      <c r="H1931" s="252"/>
      <c r="I1931" s="252"/>
      <c r="J1931" s="252"/>
      <c r="K1931" s="253"/>
    </row>
    <row r="1932" spans="1:11" ht="22" customHeight="1" x14ac:dyDescent="0.35">
      <c r="A1932" s="251"/>
      <c r="B1932" s="252"/>
      <c r="C1932" s="252"/>
      <c r="D1932" s="252"/>
      <c r="E1932" s="252"/>
      <c r="F1932" s="252"/>
      <c r="G1932" s="252"/>
      <c r="H1932" s="252"/>
      <c r="I1932" s="252"/>
      <c r="J1932" s="252"/>
      <c r="K1932" s="253"/>
    </row>
    <row r="1933" spans="1:11" ht="22" customHeight="1" x14ac:dyDescent="0.35">
      <c r="A1933" s="251"/>
      <c r="B1933" s="252"/>
      <c r="C1933" s="252"/>
      <c r="D1933" s="252"/>
      <c r="E1933" s="252"/>
      <c r="F1933" s="252"/>
      <c r="G1933" s="252"/>
      <c r="H1933" s="252"/>
      <c r="I1933" s="252"/>
      <c r="J1933" s="252"/>
      <c r="K1933" s="253"/>
    </row>
    <row r="1934" spans="1:11" ht="22" customHeight="1" x14ac:dyDescent="0.35">
      <c r="A1934" s="251"/>
      <c r="B1934" s="252"/>
      <c r="C1934" s="252"/>
      <c r="D1934" s="252"/>
      <c r="E1934" s="252"/>
      <c r="F1934" s="252"/>
      <c r="G1934" s="252"/>
      <c r="H1934" s="252"/>
      <c r="I1934" s="252"/>
      <c r="J1934" s="252"/>
      <c r="K1934" s="253"/>
    </row>
    <row r="1935" spans="1:11" ht="22" customHeight="1" x14ac:dyDescent="0.35">
      <c r="A1935" s="251"/>
      <c r="B1935" s="252"/>
      <c r="C1935" s="252"/>
      <c r="D1935" s="252"/>
      <c r="E1935" s="252"/>
      <c r="F1935" s="252"/>
      <c r="G1935" s="252"/>
      <c r="H1935" s="252"/>
      <c r="I1935" s="252"/>
      <c r="J1935" s="252"/>
      <c r="K1935" s="253"/>
    </row>
    <row r="1936" spans="1:11" ht="22" customHeight="1" x14ac:dyDescent="0.35">
      <c r="A1936" s="251"/>
      <c r="B1936" s="252"/>
      <c r="C1936" s="252"/>
      <c r="D1936" s="252"/>
      <c r="E1936" s="252"/>
      <c r="F1936" s="252"/>
      <c r="G1936" s="252"/>
      <c r="H1936" s="252"/>
      <c r="I1936" s="252"/>
      <c r="J1936" s="252"/>
      <c r="K1936" s="253"/>
    </row>
    <row r="1937" spans="1:11" ht="22" customHeight="1" x14ac:dyDescent="0.35">
      <c r="A1937" s="251"/>
      <c r="B1937" s="252"/>
      <c r="C1937" s="252"/>
      <c r="D1937" s="252"/>
      <c r="E1937" s="252"/>
      <c r="F1937" s="252"/>
      <c r="G1937" s="252"/>
      <c r="H1937" s="252"/>
      <c r="I1937" s="252"/>
      <c r="J1937" s="252"/>
      <c r="K1937" s="253"/>
    </row>
    <row r="1938" spans="1:11" ht="22" customHeight="1" x14ac:dyDescent="0.35">
      <c r="A1938" s="251"/>
      <c r="B1938" s="252"/>
      <c r="C1938" s="252"/>
      <c r="D1938" s="252"/>
      <c r="E1938" s="252"/>
      <c r="F1938" s="252"/>
      <c r="G1938" s="252"/>
      <c r="H1938" s="252"/>
      <c r="I1938" s="252"/>
      <c r="J1938" s="252"/>
      <c r="K1938" s="253"/>
    </row>
    <row r="1939" spans="1:11" ht="22" customHeight="1" x14ac:dyDescent="0.35">
      <c r="A1939" s="251"/>
      <c r="B1939" s="252"/>
      <c r="C1939" s="252"/>
      <c r="D1939" s="252"/>
      <c r="E1939" s="252"/>
      <c r="F1939" s="252"/>
      <c r="G1939" s="252"/>
      <c r="H1939" s="252"/>
      <c r="I1939" s="252"/>
      <c r="J1939" s="252"/>
      <c r="K1939" s="253"/>
    </row>
    <row r="1940" spans="1:11" ht="22" customHeight="1" x14ac:dyDescent="0.35">
      <c r="A1940" s="251"/>
      <c r="B1940" s="252"/>
      <c r="C1940" s="252"/>
      <c r="D1940" s="252"/>
      <c r="E1940" s="252"/>
      <c r="F1940" s="252"/>
      <c r="G1940" s="252"/>
      <c r="H1940" s="252"/>
      <c r="I1940" s="252"/>
      <c r="J1940" s="252"/>
      <c r="K1940" s="253"/>
    </row>
    <row r="1941" spans="1:11" ht="22" customHeight="1" x14ac:dyDescent="0.35">
      <c r="A1941" s="251"/>
      <c r="B1941" s="252"/>
      <c r="C1941" s="252"/>
      <c r="D1941" s="252"/>
      <c r="E1941" s="252"/>
      <c r="F1941" s="252"/>
      <c r="G1941" s="252"/>
      <c r="H1941" s="252"/>
      <c r="I1941" s="252"/>
      <c r="J1941" s="252"/>
      <c r="K1941" s="253"/>
    </row>
    <row r="1942" spans="1:11" ht="22" customHeight="1" x14ac:dyDescent="0.35">
      <c r="A1942" s="251"/>
      <c r="B1942" s="252"/>
      <c r="C1942" s="252"/>
      <c r="D1942" s="252"/>
      <c r="E1942" s="252"/>
      <c r="F1942" s="252"/>
      <c r="G1942" s="252"/>
      <c r="H1942" s="252"/>
      <c r="I1942" s="252"/>
      <c r="J1942" s="252"/>
      <c r="K1942" s="253"/>
    </row>
    <row r="1943" spans="1:11" ht="22" customHeight="1" x14ac:dyDescent="0.35">
      <c r="A1943" s="251"/>
      <c r="B1943" s="252"/>
      <c r="C1943" s="252"/>
      <c r="D1943" s="252"/>
      <c r="E1943" s="252"/>
      <c r="F1943" s="252"/>
      <c r="G1943" s="252"/>
      <c r="H1943" s="252"/>
      <c r="I1943" s="252"/>
      <c r="J1943" s="252"/>
      <c r="K1943" s="253"/>
    </row>
    <row r="1944" spans="1:11" ht="22" customHeight="1" x14ac:dyDescent="0.35">
      <c r="A1944" s="251"/>
      <c r="B1944" s="252"/>
      <c r="C1944" s="252"/>
      <c r="D1944" s="252"/>
      <c r="E1944" s="252"/>
      <c r="F1944" s="252"/>
      <c r="G1944" s="252"/>
      <c r="H1944" s="252"/>
      <c r="I1944" s="252"/>
      <c r="J1944" s="252"/>
      <c r="K1944" s="253"/>
    </row>
    <row r="1945" spans="1:11" ht="22" customHeight="1" x14ac:dyDescent="0.35">
      <c r="A1945" s="251"/>
      <c r="B1945" s="252"/>
      <c r="C1945" s="252"/>
      <c r="D1945" s="252"/>
      <c r="E1945" s="252"/>
      <c r="F1945" s="252"/>
      <c r="G1945" s="252"/>
      <c r="H1945" s="252"/>
      <c r="I1945" s="252"/>
      <c r="J1945" s="252"/>
      <c r="K1945" s="253"/>
    </row>
    <row r="1946" spans="1:11" ht="22" customHeight="1" x14ac:dyDescent="0.35">
      <c r="A1946" s="251"/>
      <c r="B1946" s="252"/>
      <c r="C1946" s="252"/>
      <c r="D1946" s="252"/>
      <c r="E1946" s="252"/>
      <c r="F1946" s="252"/>
      <c r="G1946" s="252"/>
      <c r="H1946" s="252"/>
      <c r="I1946" s="252"/>
      <c r="J1946" s="252"/>
      <c r="K1946" s="253"/>
    </row>
    <row r="1947" spans="1:11" ht="22" customHeight="1" x14ac:dyDescent="0.35">
      <c r="A1947" s="251"/>
      <c r="B1947" s="252"/>
      <c r="C1947" s="252"/>
      <c r="D1947" s="252"/>
      <c r="E1947" s="252"/>
      <c r="F1947" s="252"/>
      <c r="G1947" s="252"/>
      <c r="H1947" s="252"/>
      <c r="I1947" s="252"/>
      <c r="J1947" s="252"/>
      <c r="K1947" s="253"/>
    </row>
    <row r="1948" spans="1:11" ht="22" customHeight="1" x14ac:dyDescent="0.35">
      <c r="A1948" s="251"/>
      <c r="B1948" s="252"/>
      <c r="C1948" s="252"/>
      <c r="D1948" s="252"/>
      <c r="E1948" s="252"/>
      <c r="F1948" s="252"/>
      <c r="G1948" s="252"/>
      <c r="H1948" s="252"/>
      <c r="I1948" s="252"/>
      <c r="J1948" s="252"/>
      <c r="K1948" s="253"/>
    </row>
    <row r="1949" spans="1:11" ht="22" customHeight="1" x14ac:dyDescent="0.35">
      <c r="A1949" s="251"/>
      <c r="B1949" s="252"/>
      <c r="C1949" s="252"/>
      <c r="D1949" s="252"/>
      <c r="E1949" s="252"/>
      <c r="F1949" s="252"/>
      <c r="G1949" s="252"/>
      <c r="H1949" s="252"/>
      <c r="I1949" s="252"/>
      <c r="J1949" s="252"/>
      <c r="K1949" s="253"/>
    </row>
    <row r="1950" spans="1:11" ht="22" customHeight="1" x14ac:dyDescent="0.35">
      <c r="A1950" s="251"/>
      <c r="B1950" s="252"/>
      <c r="C1950" s="252"/>
      <c r="D1950" s="252"/>
      <c r="E1950" s="252"/>
      <c r="F1950" s="252"/>
      <c r="G1950" s="252"/>
      <c r="H1950" s="252"/>
      <c r="I1950" s="252"/>
      <c r="J1950" s="252"/>
      <c r="K1950" s="253"/>
    </row>
    <row r="1951" spans="1:11" ht="22" customHeight="1" x14ac:dyDescent="0.35">
      <c r="A1951" s="251"/>
      <c r="B1951" s="252"/>
      <c r="C1951" s="252"/>
      <c r="D1951" s="252"/>
      <c r="E1951" s="252"/>
      <c r="F1951" s="252"/>
      <c r="G1951" s="252"/>
      <c r="H1951" s="252"/>
      <c r="I1951" s="252"/>
      <c r="J1951" s="252"/>
      <c r="K1951" s="253"/>
    </row>
    <row r="1952" spans="1:11" ht="22" customHeight="1" x14ac:dyDescent="0.35">
      <c r="A1952" s="251"/>
      <c r="B1952" s="252"/>
      <c r="C1952" s="252"/>
      <c r="D1952" s="252"/>
      <c r="E1952" s="252"/>
      <c r="F1952" s="252"/>
      <c r="G1952" s="252"/>
      <c r="H1952" s="252"/>
      <c r="I1952" s="252"/>
      <c r="J1952" s="252"/>
      <c r="K1952" s="253"/>
    </row>
    <row r="1953" spans="1:11" ht="22" customHeight="1" x14ac:dyDescent="0.35">
      <c r="A1953" s="251"/>
      <c r="B1953" s="252"/>
      <c r="C1953" s="252"/>
      <c r="D1953" s="252"/>
      <c r="E1953" s="252"/>
      <c r="F1953" s="252"/>
      <c r="G1953" s="252"/>
      <c r="H1953" s="252"/>
      <c r="I1953" s="252"/>
      <c r="J1953" s="252"/>
      <c r="K1953" s="253"/>
    </row>
    <row r="1954" spans="1:11" ht="22" customHeight="1" x14ac:dyDescent="0.35">
      <c r="A1954" s="251"/>
      <c r="B1954" s="252"/>
      <c r="C1954" s="252"/>
      <c r="D1954" s="252"/>
      <c r="E1954" s="252"/>
      <c r="F1954" s="252"/>
      <c r="G1954" s="252"/>
      <c r="H1954" s="252"/>
      <c r="I1954" s="252"/>
      <c r="J1954" s="252"/>
      <c r="K1954" s="253"/>
    </row>
    <row r="1955" spans="1:11" ht="22" customHeight="1" x14ac:dyDescent="0.35">
      <c r="A1955" s="251"/>
      <c r="B1955" s="252"/>
      <c r="C1955" s="252"/>
      <c r="D1955" s="252"/>
      <c r="E1955" s="252"/>
      <c r="F1955" s="252"/>
      <c r="G1955" s="252"/>
      <c r="H1955" s="252"/>
      <c r="I1955" s="252"/>
      <c r="J1955" s="252"/>
      <c r="K1955" s="253"/>
    </row>
    <row r="1956" spans="1:11" ht="22" customHeight="1" x14ac:dyDescent="0.35">
      <c r="A1956" s="251"/>
      <c r="B1956" s="252"/>
      <c r="C1956" s="252"/>
      <c r="D1956" s="252"/>
      <c r="E1956" s="252"/>
      <c r="F1956" s="252"/>
      <c r="G1956" s="252"/>
      <c r="H1956" s="252"/>
      <c r="I1956" s="252"/>
      <c r="J1956" s="252"/>
      <c r="K1956" s="253"/>
    </row>
    <row r="1957" spans="1:11" ht="22" customHeight="1" x14ac:dyDescent="0.35">
      <c r="A1957" s="251"/>
      <c r="B1957" s="252"/>
      <c r="C1957" s="252"/>
      <c r="D1957" s="252"/>
      <c r="E1957" s="252"/>
      <c r="F1957" s="252"/>
      <c r="G1957" s="252"/>
      <c r="H1957" s="252"/>
      <c r="I1957" s="252"/>
      <c r="J1957" s="252"/>
      <c r="K1957" s="253"/>
    </row>
    <row r="1958" spans="1:11" ht="22" customHeight="1" x14ac:dyDescent="0.35">
      <c r="A1958" s="251"/>
      <c r="B1958" s="252"/>
      <c r="C1958" s="252"/>
      <c r="D1958" s="252"/>
      <c r="E1958" s="252"/>
      <c r="F1958" s="252"/>
      <c r="G1958" s="252"/>
      <c r="H1958" s="252"/>
      <c r="I1958" s="252"/>
      <c r="J1958" s="252"/>
      <c r="K1958" s="253"/>
    </row>
    <row r="1959" spans="1:11" ht="22" customHeight="1" x14ac:dyDescent="0.35">
      <c r="A1959" s="251"/>
      <c r="B1959" s="252"/>
      <c r="C1959" s="252"/>
      <c r="D1959" s="252"/>
      <c r="E1959" s="252"/>
      <c r="F1959" s="252"/>
      <c r="G1959" s="252"/>
      <c r="H1959" s="252"/>
      <c r="I1959" s="252"/>
      <c r="J1959" s="252"/>
      <c r="K1959" s="253"/>
    </row>
    <row r="1960" spans="1:11" ht="22" customHeight="1" x14ac:dyDescent="0.35">
      <c r="A1960" s="251"/>
      <c r="B1960" s="252"/>
      <c r="C1960" s="252"/>
      <c r="D1960" s="252"/>
      <c r="E1960" s="252"/>
      <c r="F1960" s="252"/>
      <c r="G1960" s="252"/>
      <c r="H1960" s="252"/>
      <c r="I1960" s="252"/>
      <c r="J1960" s="252"/>
      <c r="K1960" s="253"/>
    </row>
    <row r="1961" spans="1:11" ht="22" customHeight="1" x14ac:dyDescent="0.35">
      <c r="A1961" s="251"/>
      <c r="B1961" s="252"/>
      <c r="C1961" s="252"/>
      <c r="D1961" s="252"/>
      <c r="E1961" s="252"/>
      <c r="F1961" s="252"/>
      <c r="G1961" s="252"/>
      <c r="H1961" s="252"/>
      <c r="I1961" s="252"/>
      <c r="J1961" s="252"/>
      <c r="K1961" s="253"/>
    </row>
    <row r="1962" spans="1:11" ht="22" customHeight="1" x14ac:dyDescent="0.35">
      <c r="A1962" s="251"/>
      <c r="B1962" s="252"/>
      <c r="C1962" s="252"/>
      <c r="D1962" s="252"/>
      <c r="E1962" s="252"/>
      <c r="F1962" s="252"/>
      <c r="G1962" s="252"/>
      <c r="H1962" s="252"/>
      <c r="I1962" s="252"/>
      <c r="J1962" s="252"/>
      <c r="K1962" s="253"/>
    </row>
    <row r="1963" spans="1:11" ht="22" customHeight="1" x14ac:dyDescent="0.35">
      <c r="A1963" s="251"/>
      <c r="B1963" s="252"/>
      <c r="C1963" s="252"/>
      <c r="D1963" s="252"/>
      <c r="E1963" s="252"/>
      <c r="F1963" s="252"/>
      <c r="G1963" s="252"/>
      <c r="H1963" s="252"/>
      <c r="I1963" s="252"/>
      <c r="J1963" s="252"/>
      <c r="K1963" s="253"/>
    </row>
    <row r="1964" spans="1:11" ht="22" customHeight="1" x14ac:dyDescent="0.35">
      <c r="A1964" s="251"/>
      <c r="B1964" s="252"/>
      <c r="C1964" s="252"/>
      <c r="D1964" s="252"/>
      <c r="E1964" s="252"/>
      <c r="F1964" s="252"/>
      <c r="G1964" s="252"/>
      <c r="H1964" s="252"/>
      <c r="I1964" s="252"/>
      <c r="J1964" s="252"/>
      <c r="K1964" s="253"/>
    </row>
    <row r="1965" spans="1:11" ht="22" customHeight="1" x14ac:dyDescent="0.35">
      <c r="A1965" s="251"/>
      <c r="B1965" s="252"/>
      <c r="C1965" s="252"/>
      <c r="D1965" s="252"/>
      <c r="E1965" s="252"/>
      <c r="F1965" s="252"/>
      <c r="G1965" s="252"/>
      <c r="H1965" s="252"/>
      <c r="I1965" s="252"/>
      <c r="J1965" s="252"/>
      <c r="K1965" s="253"/>
    </row>
    <row r="1966" spans="1:11" ht="22" customHeight="1" x14ac:dyDescent="0.35">
      <c r="A1966" s="251"/>
      <c r="B1966" s="252"/>
      <c r="C1966" s="252"/>
      <c r="D1966" s="252"/>
      <c r="E1966" s="252"/>
      <c r="F1966" s="252"/>
      <c r="G1966" s="252"/>
      <c r="H1966" s="252"/>
      <c r="I1966" s="252"/>
      <c r="J1966" s="252"/>
      <c r="K1966" s="253"/>
    </row>
    <row r="1967" spans="1:11" ht="22" customHeight="1" x14ac:dyDescent="0.35">
      <c r="A1967" s="251"/>
      <c r="B1967" s="252"/>
      <c r="C1967" s="252"/>
      <c r="D1967" s="252"/>
      <c r="E1967" s="252"/>
      <c r="F1967" s="252"/>
      <c r="G1967" s="252"/>
      <c r="H1967" s="252"/>
      <c r="I1967" s="252"/>
      <c r="J1967" s="252"/>
      <c r="K1967" s="253"/>
    </row>
    <row r="1968" spans="1:11" ht="22" customHeight="1" x14ac:dyDescent="0.35">
      <c r="A1968" s="251"/>
      <c r="B1968" s="252"/>
      <c r="C1968" s="252"/>
      <c r="D1968" s="252"/>
      <c r="E1968" s="252"/>
      <c r="F1968" s="252"/>
      <c r="G1968" s="252"/>
      <c r="H1968" s="252"/>
      <c r="I1968" s="252"/>
      <c r="J1968" s="252"/>
      <c r="K1968" s="253"/>
    </row>
    <row r="1969" spans="1:11" ht="22" customHeight="1" x14ac:dyDescent="0.35">
      <c r="A1969" s="251"/>
      <c r="B1969" s="252"/>
      <c r="C1969" s="252"/>
      <c r="D1969" s="252"/>
      <c r="E1969" s="252"/>
      <c r="F1969" s="252"/>
      <c r="G1969" s="252"/>
      <c r="H1969" s="252"/>
      <c r="I1969" s="252"/>
      <c r="J1969" s="252"/>
      <c r="K1969" s="253"/>
    </row>
    <row r="1970" spans="1:11" ht="22" customHeight="1" x14ac:dyDescent="0.35">
      <c r="A1970" s="251"/>
      <c r="B1970" s="252"/>
      <c r="C1970" s="252"/>
      <c r="D1970" s="252"/>
      <c r="E1970" s="252"/>
      <c r="F1970" s="252"/>
      <c r="G1970" s="252"/>
      <c r="H1970" s="252"/>
      <c r="I1970" s="252"/>
      <c r="J1970" s="252"/>
      <c r="K1970" s="253"/>
    </row>
    <row r="1971" spans="1:11" ht="22" customHeight="1" x14ac:dyDescent="0.35">
      <c r="A1971" s="251"/>
      <c r="B1971" s="252"/>
      <c r="C1971" s="252"/>
      <c r="D1971" s="252"/>
      <c r="E1971" s="252"/>
      <c r="F1971" s="252"/>
      <c r="G1971" s="252"/>
      <c r="H1971" s="252"/>
      <c r="I1971" s="252"/>
      <c r="J1971" s="252"/>
      <c r="K1971" s="253"/>
    </row>
    <row r="1972" spans="1:11" ht="22" customHeight="1" x14ac:dyDescent="0.35">
      <c r="A1972" s="251"/>
      <c r="B1972" s="252"/>
      <c r="C1972" s="252"/>
      <c r="D1972" s="252"/>
      <c r="E1972" s="252"/>
      <c r="F1972" s="252"/>
      <c r="G1972" s="252"/>
      <c r="H1972" s="252"/>
      <c r="I1972" s="252"/>
      <c r="J1972" s="252"/>
      <c r="K1972" s="253"/>
    </row>
    <row r="1973" spans="1:11" ht="22" customHeight="1" x14ac:dyDescent="0.35">
      <c r="A1973" s="251"/>
      <c r="B1973" s="252"/>
      <c r="C1973" s="252"/>
      <c r="D1973" s="252"/>
      <c r="E1973" s="252"/>
      <c r="F1973" s="252"/>
      <c r="G1973" s="252"/>
      <c r="H1973" s="252"/>
      <c r="I1973" s="252"/>
      <c r="J1973" s="252"/>
      <c r="K1973" s="253"/>
    </row>
    <row r="1974" spans="1:11" ht="22" customHeight="1" x14ac:dyDescent="0.35">
      <c r="A1974" s="251"/>
      <c r="B1974" s="252"/>
      <c r="C1974" s="252"/>
      <c r="D1974" s="252"/>
      <c r="E1974" s="252"/>
      <c r="F1974" s="252"/>
      <c r="G1974" s="252"/>
      <c r="H1974" s="252"/>
      <c r="I1974" s="252"/>
      <c r="J1974" s="252"/>
      <c r="K1974" s="253"/>
    </row>
    <row r="1975" spans="1:11" ht="22" customHeight="1" x14ac:dyDescent="0.35">
      <c r="A1975" s="251"/>
      <c r="B1975" s="252"/>
      <c r="C1975" s="252"/>
      <c r="D1975" s="252"/>
      <c r="E1975" s="252"/>
      <c r="F1975" s="252"/>
      <c r="G1975" s="252"/>
      <c r="H1975" s="252"/>
      <c r="I1975" s="252"/>
      <c r="J1975" s="252"/>
      <c r="K1975" s="253"/>
    </row>
    <row r="1976" spans="1:11" ht="22" customHeight="1" x14ac:dyDescent="0.35">
      <c r="A1976" s="251"/>
      <c r="B1976" s="252"/>
      <c r="C1976" s="252"/>
      <c r="D1976" s="252"/>
      <c r="E1976" s="252"/>
      <c r="F1976" s="252"/>
      <c r="G1976" s="252"/>
      <c r="H1976" s="252"/>
      <c r="I1976" s="252"/>
      <c r="J1976" s="252"/>
      <c r="K1976" s="253"/>
    </row>
    <row r="1977" spans="1:11" ht="22" customHeight="1" x14ac:dyDescent="0.35">
      <c r="A1977" s="251"/>
      <c r="B1977" s="252"/>
      <c r="C1977" s="252"/>
      <c r="D1977" s="252"/>
      <c r="E1977" s="252"/>
      <c r="F1977" s="252"/>
      <c r="G1977" s="252"/>
      <c r="H1977" s="252"/>
      <c r="I1977" s="252"/>
      <c r="J1977" s="252"/>
      <c r="K1977" s="253"/>
    </row>
    <row r="1978" spans="1:11" ht="22" customHeight="1" x14ac:dyDescent="0.35">
      <c r="A1978" s="251"/>
      <c r="B1978" s="252"/>
      <c r="C1978" s="252"/>
      <c r="D1978" s="252"/>
      <c r="E1978" s="252"/>
      <c r="F1978" s="252"/>
      <c r="G1978" s="252"/>
      <c r="H1978" s="252"/>
      <c r="I1978" s="252"/>
      <c r="J1978" s="252"/>
      <c r="K1978" s="253"/>
    </row>
    <row r="1979" spans="1:11" ht="22" customHeight="1" x14ac:dyDescent="0.35">
      <c r="A1979" s="251"/>
      <c r="B1979" s="252"/>
      <c r="C1979" s="252"/>
      <c r="D1979" s="252"/>
      <c r="E1979" s="252"/>
      <c r="F1979" s="252"/>
      <c r="G1979" s="252"/>
      <c r="H1979" s="252"/>
      <c r="I1979" s="252"/>
      <c r="J1979" s="252"/>
      <c r="K1979" s="253"/>
    </row>
    <row r="1980" spans="1:11" ht="22" customHeight="1" x14ac:dyDescent="0.35">
      <c r="A1980" s="251"/>
      <c r="B1980" s="252"/>
      <c r="C1980" s="252"/>
      <c r="D1980" s="252"/>
      <c r="E1980" s="252"/>
      <c r="F1980" s="252"/>
      <c r="G1980" s="252"/>
      <c r="H1980" s="252"/>
      <c r="I1980" s="252"/>
      <c r="J1980" s="252"/>
      <c r="K1980" s="253"/>
    </row>
    <row r="1981" spans="1:11" ht="22" customHeight="1" x14ac:dyDescent="0.35">
      <c r="A1981" s="251"/>
      <c r="B1981" s="252"/>
      <c r="C1981" s="252"/>
      <c r="D1981" s="252"/>
      <c r="E1981" s="252"/>
      <c r="F1981" s="252"/>
      <c r="G1981" s="252"/>
      <c r="H1981" s="252"/>
      <c r="I1981" s="252"/>
      <c r="J1981" s="252"/>
      <c r="K1981" s="253"/>
    </row>
    <row r="1982" spans="1:11" ht="22" customHeight="1" x14ac:dyDescent="0.35">
      <c r="A1982" s="251"/>
      <c r="B1982" s="252"/>
      <c r="C1982" s="252"/>
      <c r="D1982" s="252"/>
      <c r="E1982" s="252"/>
      <c r="F1982" s="252"/>
      <c r="G1982" s="252"/>
      <c r="H1982" s="252"/>
      <c r="I1982" s="252"/>
      <c r="J1982" s="252"/>
      <c r="K1982" s="253"/>
    </row>
    <row r="1983" spans="1:11" ht="22" customHeight="1" x14ac:dyDescent="0.35">
      <c r="A1983" s="251"/>
      <c r="B1983" s="252"/>
      <c r="C1983" s="252"/>
      <c r="D1983" s="252"/>
      <c r="E1983" s="252"/>
      <c r="F1983" s="252"/>
      <c r="G1983" s="252"/>
      <c r="H1983" s="252"/>
      <c r="I1983" s="252"/>
      <c r="J1983" s="252"/>
      <c r="K1983" s="253"/>
    </row>
    <row r="1984" spans="1:11" ht="22" customHeight="1" x14ac:dyDescent="0.35">
      <c r="A1984" s="251"/>
      <c r="B1984" s="252"/>
      <c r="C1984" s="252"/>
      <c r="D1984" s="252"/>
      <c r="E1984" s="252"/>
      <c r="F1984" s="252"/>
      <c r="G1984" s="252"/>
      <c r="H1984" s="252"/>
      <c r="I1984" s="252"/>
      <c r="J1984" s="252"/>
      <c r="K1984" s="253"/>
    </row>
    <row r="1985" spans="1:11" ht="22" customHeight="1" x14ac:dyDescent="0.35">
      <c r="A1985" s="251"/>
      <c r="B1985" s="252"/>
      <c r="C1985" s="252"/>
      <c r="D1985" s="252"/>
      <c r="E1985" s="252"/>
      <c r="F1985" s="252"/>
      <c r="G1985" s="252"/>
      <c r="H1985" s="252"/>
      <c r="I1985" s="252"/>
      <c r="J1985" s="252"/>
      <c r="K1985" s="253"/>
    </row>
    <row r="1986" spans="1:11" ht="22" customHeight="1" x14ac:dyDescent="0.35">
      <c r="A1986" s="251"/>
      <c r="B1986" s="252"/>
      <c r="C1986" s="252"/>
      <c r="D1986" s="252"/>
      <c r="E1986" s="252"/>
      <c r="F1986" s="252"/>
      <c r="G1986" s="252"/>
      <c r="H1986" s="252"/>
      <c r="I1986" s="252"/>
      <c r="J1986" s="252"/>
      <c r="K1986" s="253"/>
    </row>
    <row r="1987" spans="1:11" ht="22" customHeight="1" x14ac:dyDescent="0.35">
      <c r="A1987" s="251"/>
      <c r="B1987" s="252"/>
      <c r="C1987" s="252"/>
      <c r="D1987" s="252"/>
      <c r="E1987" s="252"/>
      <c r="F1987" s="252"/>
      <c r="G1987" s="252"/>
      <c r="H1987" s="252"/>
      <c r="I1987" s="252"/>
      <c r="J1987" s="252"/>
      <c r="K1987" s="253"/>
    </row>
    <row r="1988" spans="1:11" ht="22" customHeight="1" x14ac:dyDescent="0.35">
      <c r="A1988" s="251"/>
      <c r="B1988" s="252"/>
      <c r="C1988" s="252"/>
      <c r="D1988" s="252"/>
      <c r="E1988" s="252"/>
      <c r="F1988" s="252"/>
      <c r="G1988" s="252"/>
      <c r="H1988" s="252"/>
      <c r="I1988" s="252"/>
      <c r="J1988" s="252"/>
      <c r="K1988" s="253"/>
    </row>
    <row r="1989" spans="1:11" ht="22" customHeight="1" x14ac:dyDescent="0.35">
      <c r="A1989" s="251"/>
      <c r="B1989" s="252"/>
      <c r="C1989" s="252"/>
      <c r="D1989" s="252"/>
      <c r="E1989" s="252"/>
      <c r="F1989" s="252"/>
      <c r="G1989" s="252"/>
      <c r="H1989" s="252"/>
      <c r="I1989" s="252"/>
      <c r="J1989" s="252"/>
      <c r="K1989" s="253"/>
    </row>
    <row r="1990" spans="1:11" ht="22" customHeight="1" x14ac:dyDescent="0.35">
      <c r="A1990" s="251"/>
      <c r="B1990" s="252"/>
      <c r="C1990" s="252"/>
      <c r="D1990" s="252"/>
      <c r="E1990" s="252"/>
      <c r="F1990" s="252"/>
      <c r="G1990" s="252"/>
      <c r="H1990" s="252"/>
      <c r="I1990" s="252"/>
      <c r="J1990" s="252"/>
      <c r="K1990" s="253"/>
    </row>
    <row r="1991" spans="1:11" ht="22" customHeight="1" x14ac:dyDescent="0.35">
      <c r="A1991" s="251"/>
      <c r="B1991" s="252"/>
      <c r="C1991" s="252"/>
      <c r="D1991" s="252"/>
      <c r="E1991" s="252"/>
      <c r="F1991" s="252"/>
      <c r="G1991" s="252"/>
      <c r="H1991" s="252"/>
      <c r="I1991" s="252"/>
      <c r="J1991" s="252"/>
      <c r="K1991" s="253"/>
    </row>
    <row r="1992" spans="1:11" ht="22" customHeight="1" x14ac:dyDescent="0.35">
      <c r="A1992" s="251"/>
      <c r="B1992" s="252"/>
      <c r="C1992" s="252"/>
      <c r="D1992" s="252"/>
      <c r="E1992" s="252"/>
      <c r="F1992" s="252"/>
      <c r="G1992" s="252"/>
      <c r="H1992" s="252"/>
      <c r="I1992" s="252"/>
      <c r="J1992" s="252"/>
      <c r="K1992" s="253"/>
    </row>
    <row r="1993" spans="1:11" ht="22" customHeight="1" x14ac:dyDescent="0.35">
      <c r="A1993" s="251"/>
      <c r="B1993" s="252"/>
      <c r="C1993" s="252"/>
      <c r="D1993" s="252"/>
      <c r="E1993" s="252"/>
      <c r="F1993" s="252"/>
      <c r="G1993" s="252"/>
      <c r="H1993" s="252"/>
      <c r="I1993" s="252"/>
      <c r="J1993" s="252"/>
      <c r="K1993" s="253"/>
    </row>
    <row r="1994" spans="1:11" ht="22" customHeight="1" x14ac:dyDescent="0.35">
      <c r="A1994" s="251"/>
      <c r="B1994" s="252"/>
      <c r="C1994" s="252"/>
      <c r="D1994" s="252"/>
      <c r="E1994" s="252"/>
      <c r="F1994" s="252"/>
      <c r="G1994" s="252"/>
      <c r="H1994" s="252"/>
      <c r="I1994" s="252"/>
      <c r="J1994" s="252"/>
      <c r="K1994" s="253"/>
    </row>
    <row r="1995" spans="1:11" ht="22" customHeight="1" x14ac:dyDescent="0.35">
      <c r="A1995" s="251"/>
      <c r="B1995" s="252"/>
      <c r="C1995" s="252"/>
      <c r="D1995" s="252"/>
      <c r="E1995" s="252"/>
      <c r="F1995" s="252"/>
      <c r="G1995" s="252"/>
      <c r="H1995" s="252"/>
      <c r="I1995" s="252"/>
      <c r="J1995" s="252"/>
      <c r="K1995" s="253"/>
    </row>
    <row r="1996" spans="1:11" ht="22" customHeight="1" x14ac:dyDescent="0.35">
      <c r="A1996" s="251"/>
      <c r="B1996" s="252"/>
      <c r="C1996" s="252"/>
      <c r="D1996" s="252"/>
      <c r="E1996" s="252"/>
      <c r="F1996" s="252"/>
      <c r="G1996" s="252"/>
      <c r="H1996" s="252"/>
      <c r="I1996" s="252"/>
      <c r="J1996" s="252"/>
      <c r="K1996" s="253"/>
    </row>
    <row r="1997" spans="1:11" ht="22" customHeight="1" x14ac:dyDescent="0.35">
      <c r="A1997" s="251"/>
      <c r="B1997" s="252"/>
      <c r="C1997" s="252"/>
      <c r="D1997" s="252"/>
      <c r="E1997" s="252"/>
      <c r="F1997" s="252"/>
      <c r="G1997" s="252"/>
      <c r="H1997" s="252"/>
      <c r="I1997" s="252"/>
      <c r="J1997" s="252"/>
      <c r="K1997" s="253"/>
    </row>
    <row r="1998" spans="1:11" ht="22" customHeight="1" x14ac:dyDescent="0.35">
      <c r="A1998" s="251"/>
      <c r="B1998" s="252"/>
      <c r="C1998" s="252"/>
      <c r="D1998" s="252"/>
      <c r="E1998" s="252"/>
      <c r="F1998" s="252"/>
      <c r="G1998" s="252"/>
      <c r="H1998" s="252"/>
      <c r="I1998" s="252"/>
      <c r="J1998" s="252"/>
      <c r="K1998" s="253"/>
    </row>
    <row r="1999" spans="1:11" ht="22" customHeight="1" x14ac:dyDescent="0.35">
      <c r="A1999" s="251"/>
      <c r="B1999" s="252"/>
      <c r="C1999" s="252"/>
      <c r="D1999" s="252"/>
      <c r="E1999" s="252"/>
      <c r="F1999" s="252"/>
      <c r="G1999" s="252"/>
      <c r="H1999" s="252"/>
      <c r="I1999" s="252"/>
      <c r="J1999" s="252"/>
      <c r="K1999" s="253"/>
    </row>
    <row r="2000" spans="1:11" ht="22" customHeight="1" x14ac:dyDescent="0.35">
      <c r="A2000" s="251"/>
      <c r="B2000" s="252"/>
      <c r="C2000" s="252"/>
      <c r="D2000" s="252"/>
      <c r="E2000" s="252"/>
      <c r="F2000" s="252"/>
      <c r="G2000" s="252"/>
      <c r="H2000" s="252"/>
      <c r="I2000" s="252"/>
      <c r="J2000" s="252"/>
      <c r="K2000" s="253"/>
    </row>
    <row r="2001" spans="1:11" ht="22" customHeight="1" x14ac:dyDescent="0.35">
      <c r="A2001" s="251"/>
      <c r="B2001" s="252"/>
      <c r="C2001" s="252"/>
      <c r="D2001" s="252"/>
      <c r="E2001" s="252"/>
      <c r="F2001" s="252"/>
      <c r="G2001" s="252"/>
      <c r="H2001" s="252"/>
      <c r="I2001" s="252"/>
      <c r="J2001" s="252"/>
      <c r="K2001" s="253"/>
    </row>
    <row r="2002" spans="1:11" ht="22" customHeight="1" x14ac:dyDescent="0.35">
      <c r="A2002" s="251"/>
      <c r="B2002" s="252"/>
      <c r="C2002" s="252"/>
      <c r="D2002" s="252"/>
      <c r="E2002" s="252"/>
      <c r="F2002" s="252"/>
      <c r="G2002" s="252"/>
      <c r="H2002" s="252"/>
      <c r="I2002" s="252"/>
      <c r="J2002" s="252"/>
      <c r="K2002" s="253"/>
    </row>
    <row r="2003" spans="1:11" ht="22" customHeight="1" x14ac:dyDescent="0.35">
      <c r="A2003" s="251"/>
      <c r="B2003" s="252"/>
      <c r="C2003" s="252"/>
      <c r="D2003" s="252"/>
      <c r="E2003" s="252"/>
      <c r="F2003" s="252"/>
      <c r="G2003" s="252"/>
      <c r="H2003" s="252"/>
      <c r="I2003" s="252"/>
      <c r="J2003" s="252"/>
      <c r="K2003" s="253"/>
    </row>
    <row r="2004" spans="1:11" ht="22" customHeight="1" x14ac:dyDescent="0.35">
      <c r="A2004" s="251"/>
      <c r="B2004" s="252"/>
      <c r="C2004" s="252"/>
      <c r="D2004" s="252"/>
      <c r="E2004" s="252"/>
      <c r="F2004" s="252"/>
      <c r="G2004" s="252"/>
      <c r="H2004" s="252"/>
      <c r="I2004" s="252"/>
      <c r="J2004" s="252"/>
      <c r="K2004" s="253"/>
    </row>
    <row r="2005" spans="1:11" ht="22" customHeight="1" x14ac:dyDescent="0.35">
      <c r="A2005" s="251"/>
      <c r="B2005" s="252"/>
      <c r="C2005" s="252"/>
      <c r="D2005" s="252"/>
      <c r="E2005" s="252"/>
      <c r="F2005" s="252"/>
      <c r="G2005" s="252"/>
      <c r="H2005" s="252"/>
      <c r="I2005" s="252"/>
      <c r="J2005" s="252"/>
      <c r="K2005" s="253"/>
    </row>
    <row r="2006" spans="1:11" ht="22" customHeight="1" x14ac:dyDescent="0.35">
      <c r="A2006" s="251"/>
      <c r="B2006" s="252"/>
      <c r="C2006" s="252"/>
      <c r="D2006" s="252"/>
      <c r="E2006" s="252"/>
      <c r="F2006" s="252"/>
      <c r="G2006" s="252"/>
      <c r="H2006" s="252"/>
      <c r="I2006" s="252"/>
      <c r="J2006" s="252"/>
      <c r="K2006" s="253"/>
    </row>
    <row r="2007" spans="1:11" ht="22" customHeight="1" x14ac:dyDescent="0.35">
      <c r="A2007" s="251"/>
      <c r="B2007" s="252"/>
      <c r="C2007" s="252"/>
      <c r="D2007" s="252"/>
      <c r="E2007" s="252"/>
      <c r="F2007" s="252"/>
      <c r="G2007" s="252"/>
      <c r="H2007" s="252"/>
      <c r="I2007" s="252"/>
      <c r="J2007" s="252"/>
      <c r="K2007" s="253"/>
    </row>
    <row r="2008" spans="1:11" ht="22" customHeight="1" x14ac:dyDescent="0.35">
      <c r="A2008" s="251"/>
      <c r="B2008" s="252"/>
      <c r="C2008" s="252"/>
      <c r="D2008" s="252"/>
      <c r="E2008" s="252"/>
      <c r="F2008" s="252"/>
      <c r="G2008" s="252"/>
      <c r="H2008" s="252"/>
      <c r="I2008" s="252"/>
      <c r="J2008" s="252"/>
      <c r="K2008" s="253"/>
    </row>
    <row r="2009" spans="1:11" ht="22" customHeight="1" x14ac:dyDescent="0.35">
      <c r="A2009" s="251"/>
      <c r="B2009" s="252"/>
      <c r="C2009" s="252"/>
      <c r="D2009" s="252"/>
      <c r="E2009" s="252"/>
      <c r="F2009" s="252"/>
      <c r="G2009" s="252"/>
      <c r="H2009" s="252"/>
      <c r="I2009" s="252"/>
      <c r="J2009" s="252"/>
      <c r="K2009" s="253"/>
    </row>
    <row r="2010" spans="1:11" ht="22" customHeight="1" x14ac:dyDescent="0.35">
      <c r="A2010" s="251"/>
      <c r="B2010" s="252"/>
      <c r="C2010" s="252"/>
      <c r="D2010" s="252"/>
      <c r="E2010" s="252"/>
      <c r="F2010" s="252"/>
      <c r="G2010" s="252"/>
      <c r="H2010" s="252"/>
      <c r="I2010" s="252"/>
      <c r="J2010" s="252"/>
      <c r="K2010" s="253"/>
    </row>
    <row r="2011" spans="1:11" ht="22" customHeight="1" x14ac:dyDescent="0.35">
      <c r="A2011" s="251"/>
      <c r="B2011" s="252"/>
      <c r="C2011" s="252"/>
      <c r="D2011" s="252"/>
      <c r="E2011" s="252"/>
      <c r="F2011" s="252"/>
      <c r="G2011" s="252"/>
      <c r="H2011" s="252"/>
      <c r="I2011" s="252"/>
      <c r="J2011" s="252"/>
      <c r="K2011" s="253"/>
    </row>
    <row r="2012" spans="1:11" ht="22" customHeight="1" x14ac:dyDescent="0.35">
      <c r="A2012" s="251"/>
      <c r="B2012" s="252"/>
      <c r="C2012" s="252"/>
      <c r="D2012" s="252"/>
      <c r="E2012" s="252"/>
      <c r="F2012" s="252"/>
      <c r="G2012" s="252"/>
      <c r="H2012" s="252"/>
      <c r="I2012" s="252"/>
      <c r="J2012" s="252"/>
      <c r="K2012" s="253"/>
    </row>
    <row r="2013" spans="1:11" ht="22" customHeight="1" x14ac:dyDescent="0.35">
      <c r="A2013" s="251"/>
      <c r="B2013" s="252"/>
      <c r="C2013" s="252"/>
      <c r="D2013" s="252"/>
      <c r="E2013" s="252"/>
      <c r="F2013" s="252"/>
      <c r="G2013" s="252"/>
      <c r="H2013" s="252"/>
      <c r="I2013" s="252"/>
      <c r="J2013" s="252"/>
      <c r="K2013" s="253"/>
    </row>
    <row r="2014" spans="1:11" ht="22" customHeight="1" x14ac:dyDescent="0.35">
      <c r="A2014" s="251"/>
      <c r="B2014" s="252"/>
      <c r="C2014" s="252"/>
      <c r="D2014" s="252"/>
      <c r="E2014" s="252"/>
      <c r="F2014" s="252"/>
      <c r="G2014" s="252"/>
      <c r="H2014" s="252"/>
      <c r="I2014" s="252"/>
      <c r="J2014" s="252"/>
      <c r="K2014" s="253"/>
    </row>
    <row r="2015" spans="1:11" ht="22" customHeight="1" x14ac:dyDescent="0.35">
      <c r="A2015" s="251"/>
      <c r="B2015" s="252"/>
      <c r="C2015" s="252"/>
      <c r="D2015" s="252"/>
      <c r="E2015" s="252"/>
      <c r="F2015" s="252"/>
      <c r="G2015" s="252"/>
      <c r="H2015" s="252"/>
      <c r="I2015" s="252"/>
      <c r="J2015" s="252"/>
      <c r="K2015" s="253"/>
    </row>
    <row r="2016" spans="1:11" ht="22" customHeight="1" x14ac:dyDescent="0.35">
      <c r="A2016" s="251"/>
      <c r="B2016" s="252"/>
      <c r="C2016" s="252"/>
      <c r="D2016" s="252"/>
      <c r="E2016" s="252"/>
      <c r="F2016" s="252"/>
      <c r="G2016" s="252"/>
      <c r="H2016" s="252"/>
      <c r="I2016" s="252"/>
      <c r="J2016" s="252"/>
      <c r="K2016" s="253"/>
    </row>
    <row r="2017" spans="1:11" ht="22" customHeight="1" x14ac:dyDescent="0.35">
      <c r="A2017" s="251"/>
      <c r="B2017" s="252"/>
      <c r="C2017" s="252"/>
      <c r="D2017" s="252"/>
      <c r="E2017" s="252"/>
      <c r="F2017" s="252"/>
      <c r="G2017" s="252"/>
      <c r="H2017" s="252"/>
      <c r="I2017" s="252"/>
      <c r="J2017" s="252"/>
      <c r="K2017" s="253"/>
    </row>
    <row r="2018" spans="1:11" ht="22" customHeight="1" x14ac:dyDescent="0.35">
      <c r="A2018" s="251"/>
      <c r="B2018" s="252"/>
      <c r="C2018" s="252"/>
      <c r="D2018" s="252"/>
      <c r="E2018" s="252"/>
      <c r="F2018" s="252"/>
      <c r="G2018" s="252"/>
      <c r="H2018" s="252"/>
      <c r="I2018" s="252"/>
      <c r="J2018" s="252"/>
      <c r="K2018" s="253"/>
    </row>
    <row r="2019" spans="1:11" ht="22" customHeight="1" x14ac:dyDescent="0.35">
      <c r="A2019" s="251"/>
      <c r="B2019" s="252"/>
      <c r="C2019" s="252"/>
      <c r="D2019" s="252"/>
      <c r="E2019" s="252"/>
      <c r="F2019" s="252"/>
      <c r="G2019" s="252"/>
      <c r="H2019" s="252"/>
      <c r="I2019" s="252"/>
      <c r="J2019" s="252"/>
      <c r="K2019" s="253"/>
    </row>
    <row r="2020" spans="1:11" ht="22" customHeight="1" x14ac:dyDescent="0.35">
      <c r="A2020" s="251"/>
      <c r="B2020" s="252"/>
      <c r="C2020" s="252"/>
      <c r="D2020" s="252"/>
      <c r="E2020" s="252"/>
      <c r="F2020" s="252"/>
      <c r="G2020" s="252"/>
      <c r="H2020" s="252"/>
      <c r="I2020" s="252"/>
      <c r="J2020" s="252"/>
      <c r="K2020" s="253"/>
    </row>
    <row r="2021" spans="1:11" ht="22" customHeight="1" x14ac:dyDescent="0.35">
      <c r="A2021" s="251"/>
      <c r="B2021" s="252"/>
      <c r="C2021" s="252"/>
      <c r="D2021" s="252"/>
      <c r="E2021" s="252"/>
      <c r="F2021" s="252"/>
      <c r="G2021" s="252"/>
      <c r="H2021" s="252"/>
      <c r="I2021" s="252"/>
      <c r="J2021" s="252"/>
      <c r="K2021" s="253"/>
    </row>
    <row r="2022" spans="1:11" ht="22" customHeight="1" x14ac:dyDescent="0.35">
      <c r="A2022" s="251"/>
      <c r="B2022" s="252"/>
      <c r="C2022" s="252"/>
      <c r="D2022" s="252"/>
      <c r="E2022" s="252"/>
      <c r="F2022" s="252"/>
      <c r="G2022" s="252"/>
      <c r="H2022" s="252"/>
      <c r="I2022" s="252"/>
      <c r="J2022" s="252"/>
      <c r="K2022" s="253"/>
    </row>
    <row r="2023" spans="1:11" ht="22" customHeight="1" x14ac:dyDescent="0.35">
      <c r="A2023" s="251"/>
      <c r="B2023" s="252"/>
      <c r="C2023" s="252"/>
      <c r="D2023" s="252"/>
      <c r="E2023" s="252"/>
      <c r="F2023" s="252"/>
      <c r="G2023" s="252"/>
      <c r="H2023" s="252"/>
      <c r="I2023" s="252"/>
      <c r="J2023" s="252"/>
      <c r="K2023" s="253"/>
    </row>
    <row r="2024" spans="1:11" ht="22" customHeight="1" x14ac:dyDescent="0.35">
      <c r="A2024" s="251"/>
      <c r="B2024" s="252"/>
      <c r="C2024" s="252"/>
      <c r="D2024" s="252"/>
      <c r="E2024" s="252"/>
      <c r="F2024" s="252"/>
      <c r="G2024" s="252"/>
      <c r="H2024" s="252"/>
      <c r="I2024" s="252"/>
      <c r="J2024" s="252"/>
      <c r="K2024" s="253"/>
    </row>
    <row r="2025" spans="1:11" ht="22" customHeight="1" x14ac:dyDescent="0.35">
      <c r="A2025" s="251"/>
      <c r="B2025" s="252"/>
      <c r="C2025" s="252"/>
      <c r="D2025" s="252"/>
      <c r="E2025" s="252"/>
      <c r="F2025" s="252"/>
      <c r="G2025" s="252"/>
      <c r="H2025" s="252"/>
      <c r="I2025" s="252"/>
      <c r="J2025" s="252"/>
      <c r="K2025" s="253"/>
    </row>
    <row r="2026" spans="1:11" ht="22" customHeight="1" x14ac:dyDescent="0.35">
      <c r="A2026" s="251"/>
      <c r="B2026" s="252"/>
      <c r="C2026" s="252"/>
      <c r="D2026" s="252"/>
      <c r="E2026" s="252"/>
      <c r="F2026" s="252"/>
      <c r="G2026" s="252"/>
      <c r="H2026" s="252"/>
      <c r="I2026" s="252"/>
      <c r="J2026" s="252"/>
      <c r="K2026" s="253"/>
    </row>
    <row r="2027" spans="1:11" ht="22" customHeight="1" x14ac:dyDescent="0.35">
      <c r="A2027" s="251"/>
      <c r="B2027" s="252"/>
      <c r="C2027" s="252"/>
      <c r="D2027" s="252"/>
      <c r="E2027" s="252"/>
      <c r="F2027" s="252"/>
      <c r="G2027" s="252"/>
      <c r="H2027" s="252"/>
      <c r="I2027" s="252"/>
      <c r="J2027" s="252"/>
      <c r="K2027" s="253"/>
    </row>
    <row r="2028" spans="1:11" ht="22" customHeight="1" x14ac:dyDescent="0.35">
      <c r="A2028" s="251"/>
      <c r="B2028" s="252"/>
      <c r="C2028" s="252"/>
      <c r="D2028" s="252"/>
      <c r="E2028" s="252"/>
      <c r="F2028" s="252"/>
      <c r="G2028" s="252"/>
      <c r="H2028" s="252"/>
      <c r="I2028" s="252"/>
      <c r="J2028" s="252"/>
      <c r="K2028" s="253"/>
    </row>
    <row r="2029" spans="1:11" ht="22" customHeight="1" x14ac:dyDescent="0.35">
      <c r="A2029" s="251"/>
      <c r="B2029" s="252"/>
      <c r="C2029" s="252"/>
      <c r="D2029" s="252"/>
      <c r="E2029" s="252"/>
      <c r="F2029" s="252"/>
      <c r="G2029" s="252"/>
      <c r="H2029" s="252"/>
      <c r="I2029" s="252"/>
      <c r="J2029" s="252"/>
      <c r="K2029" s="253"/>
    </row>
    <row r="2030" spans="1:11" ht="22" customHeight="1" x14ac:dyDescent="0.35">
      <c r="A2030" s="251"/>
      <c r="B2030" s="252"/>
      <c r="C2030" s="252"/>
      <c r="D2030" s="252"/>
      <c r="E2030" s="252"/>
      <c r="F2030" s="252"/>
      <c r="G2030" s="252"/>
      <c r="H2030" s="252"/>
      <c r="I2030" s="252"/>
      <c r="J2030" s="252"/>
      <c r="K2030" s="253"/>
    </row>
    <row r="2031" spans="1:11" ht="22" customHeight="1" x14ac:dyDescent="0.35">
      <c r="A2031" s="251"/>
      <c r="B2031" s="252"/>
      <c r="C2031" s="252"/>
      <c r="D2031" s="252"/>
      <c r="E2031" s="252"/>
      <c r="F2031" s="252"/>
      <c r="G2031" s="252"/>
      <c r="H2031" s="252"/>
      <c r="I2031" s="252"/>
      <c r="J2031" s="252"/>
      <c r="K2031" s="253"/>
    </row>
    <row r="2032" spans="1:11" ht="22" customHeight="1" x14ac:dyDescent="0.35">
      <c r="A2032" s="251"/>
      <c r="B2032" s="252"/>
      <c r="C2032" s="252"/>
      <c r="D2032" s="252"/>
      <c r="E2032" s="252"/>
      <c r="F2032" s="252"/>
      <c r="G2032" s="252"/>
      <c r="H2032" s="252"/>
      <c r="I2032" s="252"/>
      <c r="J2032" s="252"/>
      <c r="K2032" s="253"/>
    </row>
    <row r="2033" spans="1:11" ht="22" customHeight="1" x14ac:dyDescent="0.35">
      <c r="A2033" s="251"/>
      <c r="B2033" s="252"/>
      <c r="C2033" s="252"/>
      <c r="D2033" s="252"/>
      <c r="E2033" s="252"/>
      <c r="F2033" s="252"/>
      <c r="G2033" s="252"/>
      <c r="H2033" s="252"/>
      <c r="I2033" s="252"/>
      <c r="J2033" s="252"/>
      <c r="K2033" s="253"/>
    </row>
    <row r="2034" spans="1:11" ht="22" customHeight="1" x14ac:dyDescent="0.35">
      <c r="A2034" s="251"/>
      <c r="B2034" s="252"/>
      <c r="C2034" s="252"/>
      <c r="D2034" s="252"/>
      <c r="E2034" s="252"/>
      <c r="F2034" s="252"/>
      <c r="G2034" s="252"/>
      <c r="H2034" s="252"/>
      <c r="I2034" s="252"/>
      <c r="J2034" s="252"/>
      <c r="K2034" s="253"/>
    </row>
    <row r="2035" spans="1:11" ht="22" customHeight="1" x14ac:dyDescent="0.35">
      <c r="A2035" s="251"/>
      <c r="B2035" s="252"/>
      <c r="C2035" s="252"/>
      <c r="D2035" s="252"/>
      <c r="E2035" s="252"/>
      <c r="F2035" s="252"/>
      <c r="G2035" s="252"/>
      <c r="H2035" s="252"/>
      <c r="I2035" s="252"/>
      <c r="J2035" s="252"/>
      <c r="K2035" s="253"/>
    </row>
    <row r="2036" spans="1:11" ht="22" customHeight="1" x14ac:dyDescent="0.35">
      <c r="A2036" s="251"/>
      <c r="B2036" s="252"/>
      <c r="C2036" s="252"/>
      <c r="D2036" s="252"/>
      <c r="E2036" s="252"/>
      <c r="F2036" s="252"/>
      <c r="G2036" s="252"/>
      <c r="H2036" s="252"/>
      <c r="I2036" s="252"/>
      <c r="J2036" s="252"/>
      <c r="K2036" s="253"/>
    </row>
    <row r="2037" spans="1:11" ht="22" customHeight="1" x14ac:dyDescent="0.35">
      <c r="A2037" s="251"/>
      <c r="B2037" s="252"/>
      <c r="C2037" s="252"/>
      <c r="D2037" s="252"/>
      <c r="E2037" s="252"/>
      <c r="F2037" s="252"/>
      <c r="G2037" s="252"/>
      <c r="H2037" s="252"/>
      <c r="I2037" s="252"/>
      <c r="J2037" s="252"/>
      <c r="K2037" s="253"/>
    </row>
    <row r="2038" spans="1:11" ht="22" customHeight="1" x14ac:dyDescent="0.35">
      <c r="A2038" s="251"/>
      <c r="B2038" s="252"/>
      <c r="C2038" s="252"/>
      <c r="D2038" s="252"/>
      <c r="E2038" s="252"/>
      <c r="F2038" s="252"/>
      <c r="G2038" s="252"/>
      <c r="H2038" s="252"/>
      <c r="I2038" s="252"/>
      <c r="J2038" s="252"/>
      <c r="K2038" s="253"/>
    </row>
    <row r="2039" spans="1:11" ht="22" customHeight="1" x14ac:dyDescent="0.35">
      <c r="A2039" s="251"/>
      <c r="B2039" s="252"/>
      <c r="C2039" s="252"/>
      <c r="D2039" s="252"/>
      <c r="E2039" s="252"/>
      <c r="F2039" s="252"/>
      <c r="G2039" s="252"/>
      <c r="H2039" s="252"/>
      <c r="I2039" s="252"/>
      <c r="J2039" s="252"/>
      <c r="K2039" s="253"/>
    </row>
    <row r="2040" spans="1:11" ht="22" customHeight="1" x14ac:dyDescent="0.35">
      <c r="A2040" s="251"/>
      <c r="B2040" s="252"/>
      <c r="C2040" s="252"/>
      <c r="D2040" s="252"/>
      <c r="E2040" s="252"/>
      <c r="F2040" s="252"/>
      <c r="G2040" s="252"/>
      <c r="H2040" s="252"/>
      <c r="I2040" s="252"/>
      <c r="J2040" s="252"/>
      <c r="K2040" s="253"/>
    </row>
    <row r="2041" spans="1:11" ht="22" customHeight="1" x14ac:dyDescent="0.35">
      <c r="A2041" s="251"/>
      <c r="B2041" s="252"/>
      <c r="C2041" s="252"/>
      <c r="D2041" s="252"/>
      <c r="E2041" s="252"/>
      <c r="F2041" s="252"/>
      <c r="G2041" s="252"/>
      <c r="H2041" s="252"/>
      <c r="I2041" s="252"/>
      <c r="J2041" s="252"/>
      <c r="K2041" s="253"/>
    </row>
    <row r="2042" spans="1:11" ht="22" customHeight="1" x14ac:dyDescent="0.35">
      <c r="A2042" s="251"/>
      <c r="B2042" s="252"/>
      <c r="C2042" s="252"/>
      <c r="D2042" s="252"/>
      <c r="E2042" s="252"/>
      <c r="F2042" s="252"/>
      <c r="G2042" s="252"/>
      <c r="H2042" s="252"/>
      <c r="I2042" s="252"/>
      <c r="J2042" s="252"/>
      <c r="K2042" s="253"/>
    </row>
    <row r="2043" spans="1:11" ht="22" customHeight="1" x14ac:dyDescent="0.35">
      <c r="A2043" s="251"/>
      <c r="B2043" s="252"/>
      <c r="C2043" s="252"/>
      <c r="D2043" s="252"/>
      <c r="E2043" s="252"/>
      <c r="F2043" s="252"/>
      <c r="G2043" s="252"/>
      <c r="H2043" s="252"/>
      <c r="I2043" s="252"/>
      <c r="J2043" s="252"/>
      <c r="K2043" s="253"/>
    </row>
    <row r="2044" spans="1:11" ht="22" customHeight="1" x14ac:dyDescent="0.35">
      <c r="A2044" s="251"/>
      <c r="B2044" s="252"/>
      <c r="C2044" s="252"/>
      <c r="D2044" s="252"/>
      <c r="E2044" s="252"/>
      <c r="F2044" s="252"/>
      <c r="G2044" s="252"/>
      <c r="H2044" s="252"/>
      <c r="I2044" s="252"/>
      <c r="J2044" s="252"/>
      <c r="K2044" s="253"/>
    </row>
    <row r="2045" spans="1:11" ht="22" customHeight="1" x14ac:dyDescent="0.35">
      <c r="A2045" s="251"/>
      <c r="B2045" s="252"/>
      <c r="C2045" s="252"/>
      <c r="D2045" s="252"/>
      <c r="E2045" s="252"/>
      <c r="F2045" s="252"/>
      <c r="G2045" s="252"/>
      <c r="H2045" s="252"/>
      <c r="I2045" s="252"/>
      <c r="J2045" s="252"/>
      <c r="K2045" s="253"/>
    </row>
    <row r="2046" spans="1:11" ht="22" customHeight="1" x14ac:dyDescent="0.35">
      <c r="A2046" s="251"/>
      <c r="B2046" s="252"/>
      <c r="C2046" s="252"/>
      <c r="D2046" s="252"/>
      <c r="E2046" s="252"/>
      <c r="F2046" s="252"/>
      <c r="G2046" s="252"/>
      <c r="H2046" s="252"/>
      <c r="I2046" s="252"/>
      <c r="J2046" s="252"/>
      <c r="K2046" s="253"/>
    </row>
    <row r="2047" spans="1:11" ht="22" customHeight="1" x14ac:dyDescent="0.35">
      <c r="A2047" s="251"/>
      <c r="B2047" s="252"/>
      <c r="C2047" s="252"/>
      <c r="D2047" s="252"/>
      <c r="E2047" s="252"/>
      <c r="F2047" s="252"/>
      <c r="G2047" s="252"/>
      <c r="H2047" s="252"/>
      <c r="I2047" s="252"/>
      <c r="J2047" s="252"/>
      <c r="K2047" s="253"/>
    </row>
    <row r="2048" spans="1:11" ht="22" customHeight="1" x14ac:dyDescent="0.35">
      <c r="A2048" s="251"/>
      <c r="B2048" s="252"/>
      <c r="C2048" s="252"/>
      <c r="D2048" s="252"/>
      <c r="E2048" s="252"/>
      <c r="F2048" s="252"/>
      <c r="G2048" s="252"/>
      <c r="H2048" s="252"/>
      <c r="I2048" s="252"/>
      <c r="J2048" s="252"/>
      <c r="K2048" s="253"/>
    </row>
    <row r="2049" spans="1:11" ht="22" customHeight="1" x14ac:dyDescent="0.35">
      <c r="A2049" s="251"/>
      <c r="B2049" s="252"/>
      <c r="C2049" s="252"/>
      <c r="D2049" s="252"/>
      <c r="E2049" s="252"/>
      <c r="F2049" s="252"/>
      <c r="G2049" s="252"/>
      <c r="H2049" s="252"/>
      <c r="I2049" s="252"/>
      <c r="J2049" s="252"/>
      <c r="K2049" s="253"/>
    </row>
    <row r="2050" spans="1:11" ht="22" customHeight="1" x14ac:dyDescent="0.35">
      <c r="A2050" s="251"/>
      <c r="B2050" s="252"/>
      <c r="C2050" s="252"/>
      <c r="D2050" s="252"/>
      <c r="E2050" s="252"/>
      <c r="F2050" s="252"/>
      <c r="G2050" s="252"/>
      <c r="H2050" s="252"/>
      <c r="I2050" s="252"/>
      <c r="J2050" s="252"/>
      <c r="K2050" s="253"/>
    </row>
    <row r="2051" spans="1:11" ht="22" customHeight="1" x14ac:dyDescent="0.35">
      <c r="A2051" s="251"/>
      <c r="B2051" s="252"/>
      <c r="C2051" s="252"/>
      <c r="D2051" s="252"/>
      <c r="E2051" s="252"/>
      <c r="F2051" s="252"/>
      <c r="G2051" s="252"/>
      <c r="H2051" s="252"/>
      <c r="I2051" s="252"/>
      <c r="J2051" s="252"/>
      <c r="K2051" s="253"/>
    </row>
    <row r="2052" spans="1:11" ht="22" customHeight="1" x14ac:dyDescent="0.35">
      <c r="A2052" s="251"/>
      <c r="B2052" s="252"/>
      <c r="C2052" s="252"/>
      <c r="D2052" s="252"/>
      <c r="E2052" s="252"/>
      <c r="F2052" s="252"/>
      <c r="G2052" s="252"/>
      <c r="H2052" s="252"/>
      <c r="I2052" s="252"/>
      <c r="J2052" s="252"/>
      <c r="K2052" s="253"/>
    </row>
    <row r="2053" spans="1:11" ht="22" customHeight="1" x14ac:dyDescent="0.35">
      <c r="A2053" s="251"/>
      <c r="B2053" s="252"/>
      <c r="C2053" s="252"/>
      <c r="D2053" s="252"/>
      <c r="E2053" s="252"/>
      <c r="F2053" s="252"/>
      <c r="G2053" s="252"/>
      <c r="H2053" s="252"/>
      <c r="I2053" s="252"/>
      <c r="J2053" s="252"/>
      <c r="K2053" s="253"/>
    </row>
    <row r="2054" spans="1:11" ht="22" customHeight="1" x14ac:dyDescent="0.35">
      <c r="A2054" s="251"/>
      <c r="B2054" s="252"/>
      <c r="C2054" s="252"/>
      <c r="D2054" s="252"/>
      <c r="E2054" s="252"/>
      <c r="F2054" s="252"/>
      <c r="G2054" s="252"/>
      <c r="H2054" s="252"/>
      <c r="I2054" s="252"/>
      <c r="J2054" s="252"/>
      <c r="K2054" s="253"/>
    </row>
    <row r="2055" spans="1:11" ht="22" customHeight="1" x14ac:dyDescent="0.35">
      <c r="A2055" s="251"/>
      <c r="B2055" s="252"/>
      <c r="C2055" s="252"/>
      <c r="D2055" s="252"/>
      <c r="E2055" s="252"/>
      <c r="F2055" s="252"/>
      <c r="G2055" s="252"/>
      <c r="H2055" s="252"/>
      <c r="I2055" s="252"/>
      <c r="J2055" s="252"/>
      <c r="K2055" s="253"/>
    </row>
    <row r="2056" spans="1:11" ht="22" customHeight="1" x14ac:dyDescent="0.35">
      <c r="A2056" s="251"/>
      <c r="B2056" s="252"/>
      <c r="C2056" s="252"/>
      <c r="D2056" s="252"/>
      <c r="E2056" s="252"/>
      <c r="F2056" s="252"/>
      <c r="G2056" s="252"/>
      <c r="H2056" s="252"/>
      <c r="I2056" s="252"/>
      <c r="J2056" s="252"/>
      <c r="K2056" s="253"/>
    </row>
    <row r="2057" spans="1:11" ht="22" customHeight="1" x14ac:dyDescent="0.35">
      <c r="A2057" s="251"/>
      <c r="B2057" s="252"/>
      <c r="C2057" s="252"/>
      <c r="D2057" s="252"/>
      <c r="E2057" s="252"/>
      <c r="F2057" s="252"/>
      <c r="G2057" s="252"/>
      <c r="H2057" s="252"/>
      <c r="I2057" s="252"/>
      <c r="J2057" s="252"/>
      <c r="K2057" s="253"/>
    </row>
    <row r="2058" spans="1:11" ht="22" customHeight="1" x14ac:dyDescent="0.35">
      <c r="A2058" s="251"/>
      <c r="B2058" s="252"/>
      <c r="C2058" s="252"/>
      <c r="D2058" s="252"/>
      <c r="E2058" s="252"/>
      <c r="F2058" s="252"/>
      <c r="G2058" s="252"/>
      <c r="H2058" s="252"/>
      <c r="I2058" s="252"/>
      <c r="J2058" s="252"/>
      <c r="K2058" s="253"/>
    </row>
    <row r="2059" spans="1:11" ht="22" customHeight="1" x14ac:dyDescent="0.35">
      <c r="A2059" s="251"/>
      <c r="B2059" s="252"/>
      <c r="C2059" s="252"/>
      <c r="D2059" s="252"/>
      <c r="E2059" s="252"/>
      <c r="F2059" s="252"/>
      <c r="G2059" s="252"/>
      <c r="H2059" s="252"/>
      <c r="I2059" s="252"/>
      <c r="J2059" s="252"/>
      <c r="K2059" s="253"/>
    </row>
    <row r="2060" spans="1:11" ht="22" customHeight="1" x14ac:dyDescent="0.35">
      <c r="A2060" s="251"/>
      <c r="B2060" s="252"/>
      <c r="C2060" s="252"/>
      <c r="D2060" s="252"/>
      <c r="E2060" s="252"/>
      <c r="F2060" s="252"/>
      <c r="G2060" s="252"/>
      <c r="H2060" s="252"/>
      <c r="I2060" s="252"/>
      <c r="J2060" s="252"/>
      <c r="K2060" s="253"/>
    </row>
    <row r="2061" spans="1:11" ht="22" customHeight="1" x14ac:dyDescent="0.35">
      <c r="A2061" s="251"/>
      <c r="B2061" s="252"/>
      <c r="C2061" s="252"/>
      <c r="D2061" s="252"/>
      <c r="E2061" s="252"/>
      <c r="F2061" s="252"/>
      <c r="G2061" s="252"/>
      <c r="H2061" s="252"/>
      <c r="I2061" s="252"/>
      <c r="J2061" s="252"/>
      <c r="K2061" s="253"/>
    </row>
    <row r="2062" spans="1:11" ht="22" customHeight="1" x14ac:dyDescent="0.35">
      <c r="A2062" s="251"/>
      <c r="B2062" s="252"/>
      <c r="C2062" s="252"/>
      <c r="D2062" s="252"/>
      <c r="E2062" s="252"/>
      <c r="F2062" s="252"/>
      <c r="G2062" s="252"/>
      <c r="H2062" s="252"/>
      <c r="I2062" s="252"/>
      <c r="J2062" s="252"/>
      <c r="K2062" s="253"/>
    </row>
    <row r="2063" spans="1:11" ht="22" customHeight="1" x14ac:dyDescent="0.35">
      <c r="A2063" s="251"/>
      <c r="B2063" s="252"/>
      <c r="C2063" s="252"/>
      <c r="D2063" s="252"/>
      <c r="E2063" s="252"/>
      <c r="F2063" s="252"/>
      <c r="G2063" s="252"/>
      <c r="H2063" s="252"/>
      <c r="I2063" s="252"/>
      <c r="J2063" s="252"/>
      <c r="K2063" s="253"/>
    </row>
    <row r="2064" spans="1:11" ht="22" customHeight="1" x14ac:dyDescent="0.35">
      <c r="A2064" s="251"/>
      <c r="B2064" s="252"/>
      <c r="C2064" s="252"/>
      <c r="D2064" s="252"/>
      <c r="E2064" s="252"/>
      <c r="F2064" s="252"/>
      <c r="G2064" s="252"/>
      <c r="H2064" s="252"/>
      <c r="I2064" s="252"/>
      <c r="J2064" s="252"/>
      <c r="K2064" s="253"/>
    </row>
    <row r="2065" spans="1:11" ht="22" customHeight="1" x14ac:dyDescent="0.35">
      <c r="A2065" s="251"/>
      <c r="B2065" s="252"/>
      <c r="C2065" s="252"/>
      <c r="D2065" s="252"/>
      <c r="E2065" s="252"/>
      <c r="F2065" s="252"/>
      <c r="G2065" s="252"/>
      <c r="H2065" s="252"/>
      <c r="I2065" s="252"/>
      <c r="J2065" s="252"/>
      <c r="K2065" s="253"/>
    </row>
    <row r="2066" spans="1:11" ht="22" customHeight="1" x14ac:dyDescent="0.35">
      <c r="A2066" s="251"/>
      <c r="B2066" s="252"/>
      <c r="C2066" s="252"/>
      <c r="D2066" s="252"/>
      <c r="E2066" s="252"/>
      <c r="F2066" s="252"/>
      <c r="G2066" s="252"/>
      <c r="H2066" s="252"/>
      <c r="I2066" s="252"/>
      <c r="J2066" s="252"/>
      <c r="K2066" s="253"/>
    </row>
    <row r="2067" spans="1:11" ht="22" customHeight="1" x14ac:dyDescent="0.35">
      <c r="A2067" s="251"/>
      <c r="B2067" s="252"/>
      <c r="C2067" s="252"/>
      <c r="D2067" s="252"/>
      <c r="E2067" s="252"/>
      <c r="F2067" s="252"/>
      <c r="G2067" s="252"/>
      <c r="H2067" s="252"/>
      <c r="I2067" s="252"/>
      <c r="J2067" s="252"/>
      <c r="K2067" s="253"/>
    </row>
    <row r="2068" spans="1:11" ht="22" customHeight="1" x14ac:dyDescent="0.35">
      <c r="A2068" s="251"/>
      <c r="B2068" s="252"/>
      <c r="C2068" s="252"/>
      <c r="D2068" s="252"/>
      <c r="E2068" s="252"/>
      <c r="F2068" s="252"/>
      <c r="G2068" s="252"/>
      <c r="H2068" s="252"/>
      <c r="I2068" s="252"/>
      <c r="J2068" s="252"/>
      <c r="K2068" s="253"/>
    </row>
    <row r="2069" spans="1:11" ht="22" customHeight="1" x14ac:dyDescent="0.35">
      <c r="A2069" s="251"/>
      <c r="B2069" s="252"/>
      <c r="C2069" s="252"/>
      <c r="D2069" s="252"/>
      <c r="E2069" s="252"/>
      <c r="F2069" s="252"/>
      <c r="G2069" s="252"/>
      <c r="H2069" s="252"/>
      <c r="I2069" s="252"/>
      <c r="J2069" s="252"/>
      <c r="K2069" s="253"/>
    </row>
    <row r="2070" spans="1:11" ht="22" customHeight="1" x14ac:dyDescent="0.35">
      <c r="A2070" s="251"/>
      <c r="B2070" s="252"/>
      <c r="C2070" s="252"/>
      <c r="D2070" s="252"/>
      <c r="E2070" s="252"/>
      <c r="F2070" s="252"/>
      <c r="G2070" s="252"/>
      <c r="H2070" s="252"/>
      <c r="I2070" s="252"/>
      <c r="J2070" s="252"/>
      <c r="K2070" s="253"/>
    </row>
    <row r="2071" spans="1:11" ht="22" customHeight="1" x14ac:dyDescent="0.35">
      <c r="A2071" s="251"/>
      <c r="B2071" s="252"/>
      <c r="C2071" s="252"/>
      <c r="D2071" s="252"/>
      <c r="E2071" s="252"/>
      <c r="F2071" s="252"/>
      <c r="G2071" s="252"/>
      <c r="H2071" s="252"/>
      <c r="I2071" s="252"/>
      <c r="J2071" s="252"/>
      <c r="K2071" s="253"/>
    </row>
    <row r="2072" spans="1:11" ht="22" customHeight="1" x14ac:dyDescent="0.35">
      <c r="A2072" s="251"/>
      <c r="B2072" s="252"/>
      <c r="C2072" s="252"/>
      <c r="D2072" s="252"/>
      <c r="E2072" s="252"/>
      <c r="F2072" s="252"/>
      <c r="G2072" s="252"/>
      <c r="H2072" s="252"/>
      <c r="I2072" s="252"/>
      <c r="J2072" s="252"/>
      <c r="K2072" s="253"/>
    </row>
    <row r="2073" spans="1:11" ht="22" customHeight="1" x14ac:dyDescent="0.35">
      <c r="A2073" s="251"/>
      <c r="B2073" s="252"/>
      <c r="C2073" s="252"/>
      <c r="D2073" s="252"/>
      <c r="E2073" s="252"/>
      <c r="F2073" s="252"/>
      <c r="G2073" s="252"/>
      <c r="H2073" s="252"/>
      <c r="I2073" s="252"/>
      <c r="J2073" s="252"/>
      <c r="K2073" s="253"/>
    </row>
    <row r="2074" spans="1:11" ht="22" customHeight="1" x14ac:dyDescent="0.35">
      <c r="A2074" s="251"/>
      <c r="B2074" s="252"/>
      <c r="C2074" s="252"/>
      <c r="D2074" s="252"/>
      <c r="E2074" s="252"/>
      <c r="F2074" s="252"/>
      <c r="G2074" s="252"/>
      <c r="H2074" s="252"/>
      <c r="I2074" s="252"/>
      <c r="J2074" s="252"/>
      <c r="K2074" s="253"/>
    </row>
    <row r="2075" spans="1:11" ht="22" customHeight="1" x14ac:dyDescent="0.35">
      <c r="A2075" s="251"/>
      <c r="B2075" s="252"/>
      <c r="C2075" s="252"/>
      <c r="D2075" s="252"/>
      <c r="E2075" s="252"/>
      <c r="F2075" s="252"/>
      <c r="G2075" s="252"/>
      <c r="H2075" s="252"/>
      <c r="I2075" s="252"/>
      <c r="J2075" s="252"/>
      <c r="K2075" s="253"/>
    </row>
    <row r="2076" spans="1:11" ht="22" customHeight="1" x14ac:dyDescent="0.35">
      <c r="A2076" s="251"/>
      <c r="B2076" s="252"/>
      <c r="C2076" s="252"/>
      <c r="D2076" s="252"/>
      <c r="E2076" s="252"/>
      <c r="F2076" s="252"/>
      <c r="G2076" s="252"/>
      <c r="H2076" s="252"/>
      <c r="I2076" s="252"/>
      <c r="J2076" s="252"/>
      <c r="K2076" s="253"/>
    </row>
    <row r="2077" spans="1:11" ht="22" customHeight="1" x14ac:dyDescent="0.35">
      <c r="A2077" s="251"/>
      <c r="B2077" s="252"/>
      <c r="C2077" s="252"/>
      <c r="D2077" s="252"/>
      <c r="E2077" s="252"/>
      <c r="F2077" s="252"/>
      <c r="G2077" s="252"/>
      <c r="H2077" s="252"/>
      <c r="I2077" s="252"/>
      <c r="J2077" s="252"/>
      <c r="K2077" s="253"/>
    </row>
    <row r="2078" spans="1:11" ht="22" customHeight="1" x14ac:dyDescent="0.35">
      <c r="A2078" s="251"/>
      <c r="B2078" s="252"/>
      <c r="C2078" s="252"/>
      <c r="D2078" s="252"/>
      <c r="E2078" s="252"/>
      <c r="F2078" s="252"/>
      <c r="G2078" s="252"/>
      <c r="H2078" s="252"/>
      <c r="I2078" s="252"/>
      <c r="J2078" s="252"/>
      <c r="K2078" s="253"/>
    </row>
    <row r="2079" spans="1:11" ht="22" customHeight="1" x14ac:dyDescent="0.35">
      <c r="A2079" s="251"/>
      <c r="B2079" s="252"/>
      <c r="C2079" s="252"/>
      <c r="D2079" s="252"/>
      <c r="E2079" s="252"/>
      <c r="F2079" s="252"/>
      <c r="G2079" s="252"/>
      <c r="H2079" s="252"/>
      <c r="I2079" s="252"/>
      <c r="J2079" s="252"/>
      <c r="K2079" s="253"/>
    </row>
    <row r="2080" spans="1:11" ht="22" customHeight="1" x14ac:dyDescent="0.35">
      <c r="A2080" s="251"/>
      <c r="B2080" s="252"/>
      <c r="C2080" s="252"/>
      <c r="D2080" s="252"/>
      <c r="E2080" s="252"/>
      <c r="F2080" s="252"/>
      <c r="G2080" s="252"/>
      <c r="H2080" s="252"/>
      <c r="I2080" s="252"/>
      <c r="J2080" s="252"/>
      <c r="K2080" s="253"/>
    </row>
    <row r="2081" spans="1:11" ht="22" customHeight="1" x14ac:dyDescent="0.35">
      <c r="A2081" s="251"/>
      <c r="B2081" s="252"/>
      <c r="C2081" s="252"/>
      <c r="D2081" s="252"/>
      <c r="E2081" s="252"/>
      <c r="F2081" s="252"/>
      <c r="G2081" s="252"/>
      <c r="H2081" s="252"/>
      <c r="I2081" s="252"/>
      <c r="J2081" s="252"/>
      <c r="K2081" s="253"/>
    </row>
    <row r="2082" spans="1:11" ht="22" customHeight="1" x14ac:dyDescent="0.35">
      <c r="A2082" s="251"/>
      <c r="B2082" s="252"/>
      <c r="C2082" s="252"/>
      <c r="D2082" s="252"/>
      <c r="E2082" s="252"/>
      <c r="F2082" s="252"/>
      <c r="G2082" s="252"/>
      <c r="H2082" s="252"/>
      <c r="I2082" s="252"/>
      <c r="J2082" s="252"/>
      <c r="K2082" s="253"/>
    </row>
    <row r="2083" spans="1:11" ht="22" customHeight="1" x14ac:dyDescent="0.35">
      <c r="A2083" s="251"/>
      <c r="B2083" s="252"/>
      <c r="C2083" s="252"/>
      <c r="D2083" s="252"/>
      <c r="E2083" s="252"/>
      <c r="F2083" s="252"/>
      <c r="G2083" s="252"/>
      <c r="H2083" s="252"/>
      <c r="I2083" s="252"/>
      <c r="J2083" s="252"/>
      <c r="K2083" s="253"/>
    </row>
    <row r="2084" spans="1:11" ht="22" customHeight="1" x14ac:dyDescent="0.35">
      <c r="A2084" s="251"/>
      <c r="B2084" s="252"/>
      <c r="C2084" s="252"/>
      <c r="D2084" s="252"/>
      <c r="E2084" s="252"/>
      <c r="F2084" s="252"/>
      <c r="G2084" s="252"/>
      <c r="H2084" s="252"/>
      <c r="I2084" s="252"/>
      <c r="J2084" s="252"/>
      <c r="K2084" s="253"/>
    </row>
    <row r="2085" spans="1:11" ht="22" customHeight="1" x14ac:dyDescent="0.35">
      <c r="A2085" s="251"/>
      <c r="B2085" s="252"/>
      <c r="C2085" s="252"/>
      <c r="D2085" s="252"/>
      <c r="E2085" s="252"/>
      <c r="F2085" s="252"/>
      <c r="G2085" s="252"/>
      <c r="H2085" s="252"/>
      <c r="I2085" s="252"/>
      <c r="J2085" s="252"/>
      <c r="K2085" s="253"/>
    </row>
    <row r="2086" spans="1:11" ht="22" customHeight="1" x14ac:dyDescent="0.35">
      <c r="A2086" s="251"/>
      <c r="B2086" s="252"/>
      <c r="C2086" s="252"/>
      <c r="D2086" s="252"/>
      <c r="E2086" s="252"/>
      <c r="F2086" s="252"/>
      <c r="G2086" s="252"/>
      <c r="H2086" s="252"/>
      <c r="I2086" s="252"/>
      <c r="J2086" s="252"/>
      <c r="K2086" s="253"/>
    </row>
    <row r="2087" spans="1:11" ht="22" customHeight="1" x14ac:dyDescent="0.35">
      <c r="A2087" s="251"/>
      <c r="B2087" s="252"/>
      <c r="C2087" s="252"/>
      <c r="D2087" s="252"/>
      <c r="E2087" s="252"/>
      <c r="F2087" s="252"/>
      <c r="G2087" s="252"/>
      <c r="H2087" s="252"/>
      <c r="I2087" s="252"/>
      <c r="J2087" s="252"/>
      <c r="K2087" s="253"/>
    </row>
    <row r="2088" spans="1:11" ht="22" customHeight="1" x14ac:dyDescent="0.35">
      <c r="A2088" s="251"/>
      <c r="B2088" s="252"/>
      <c r="C2088" s="252"/>
      <c r="D2088" s="252"/>
      <c r="E2088" s="252"/>
      <c r="F2088" s="252"/>
      <c r="G2088" s="252"/>
      <c r="H2088" s="252"/>
      <c r="I2088" s="252"/>
      <c r="J2088" s="252"/>
      <c r="K2088" s="253"/>
    </row>
    <row r="2089" spans="1:11" ht="22" customHeight="1" x14ac:dyDescent="0.35">
      <c r="A2089" s="251"/>
      <c r="B2089" s="252"/>
      <c r="C2089" s="252"/>
      <c r="D2089" s="252"/>
      <c r="E2089" s="252"/>
      <c r="F2089" s="252"/>
      <c r="G2089" s="252"/>
      <c r="H2089" s="252"/>
      <c r="I2089" s="252"/>
      <c r="J2089" s="252"/>
      <c r="K2089" s="253"/>
    </row>
    <row r="2090" spans="1:11" ht="22" customHeight="1" x14ac:dyDescent="0.35">
      <c r="A2090" s="251"/>
      <c r="B2090" s="252"/>
      <c r="C2090" s="252"/>
      <c r="D2090" s="252"/>
      <c r="E2090" s="252"/>
      <c r="F2090" s="252"/>
      <c r="G2090" s="252"/>
      <c r="H2090" s="252"/>
      <c r="I2090" s="252"/>
      <c r="J2090" s="252"/>
      <c r="K2090" s="253"/>
    </row>
    <row r="2091" spans="1:11" ht="22" customHeight="1" x14ac:dyDescent="0.35">
      <c r="A2091" s="251"/>
      <c r="B2091" s="252"/>
      <c r="C2091" s="252"/>
      <c r="D2091" s="252"/>
      <c r="E2091" s="252"/>
      <c r="F2091" s="252"/>
      <c r="G2091" s="252"/>
      <c r="H2091" s="252"/>
      <c r="I2091" s="252"/>
      <c r="J2091" s="252"/>
      <c r="K2091" s="253"/>
    </row>
    <row r="2092" spans="1:11" ht="22" customHeight="1" x14ac:dyDescent="0.35">
      <c r="A2092" s="251"/>
      <c r="B2092" s="252"/>
      <c r="C2092" s="252"/>
      <c r="D2092" s="252"/>
      <c r="E2092" s="252"/>
      <c r="F2092" s="252"/>
      <c r="G2092" s="252"/>
      <c r="H2092" s="252"/>
      <c r="I2092" s="252"/>
      <c r="J2092" s="252"/>
      <c r="K2092" s="253"/>
    </row>
    <row r="2093" spans="1:11" ht="22" customHeight="1" x14ac:dyDescent="0.35">
      <c r="A2093" s="251"/>
      <c r="B2093" s="252"/>
      <c r="C2093" s="252"/>
      <c r="D2093" s="252"/>
      <c r="E2093" s="252"/>
      <c r="F2093" s="252"/>
      <c r="G2093" s="252"/>
      <c r="H2093" s="252"/>
      <c r="I2093" s="252"/>
      <c r="J2093" s="252"/>
      <c r="K2093" s="253"/>
    </row>
    <row r="2094" spans="1:11" ht="22" customHeight="1" x14ac:dyDescent="0.35">
      <c r="A2094" s="251"/>
      <c r="B2094" s="252"/>
      <c r="C2094" s="252"/>
      <c r="D2094" s="252"/>
      <c r="E2094" s="252"/>
      <c r="F2094" s="252"/>
      <c r="G2094" s="252"/>
      <c r="H2094" s="252"/>
      <c r="I2094" s="252"/>
      <c r="J2094" s="252"/>
      <c r="K2094" s="253"/>
    </row>
    <row r="2095" spans="1:11" ht="22" customHeight="1" x14ac:dyDescent="0.35">
      <c r="A2095" s="251"/>
      <c r="B2095" s="252"/>
      <c r="C2095" s="252"/>
      <c r="D2095" s="252"/>
      <c r="E2095" s="252"/>
      <c r="F2095" s="252"/>
      <c r="G2095" s="252"/>
      <c r="H2095" s="252"/>
      <c r="I2095" s="252"/>
      <c r="J2095" s="252"/>
      <c r="K2095" s="253"/>
    </row>
    <row r="2096" spans="1:11" ht="22" customHeight="1" x14ac:dyDescent="0.35">
      <c r="A2096" s="251"/>
      <c r="B2096" s="252"/>
      <c r="C2096" s="252"/>
      <c r="D2096" s="252"/>
      <c r="E2096" s="252"/>
      <c r="F2096" s="252"/>
      <c r="G2096" s="252"/>
      <c r="H2096" s="252"/>
      <c r="I2096" s="252"/>
      <c r="J2096" s="252"/>
      <c r="K2096" s="253"/>
    </row>
    <row r="2097" spans="1:11" ht="22" customHeight="1" x14ac:dyDescent="0.35">
      <c r="A2097" s="251"/>
      <c r="B2097" s="252"/>
      <c r="C2097" s="252"/>
      <c r="D2097" s="252"/>
      <c r="E2097" s="252"/>
      <c r="F2097" s="252"/>
      <c r="G2097" s="252"/>
      <c r="H2097" s="252"/>
      <c r="I2097" s="252"/>
      <c r="J2097" s="252"/>
      <c r="K2097" s="253"/>
    </row>
    <row r="2098" spans="1:11" ht="22" customHeight="1" x14ac:dyDescent="0.35">
      <c r="A2098" s="251"/>
      <c r="B2098" s="252"/>
      <c r="C2098" s="252"/>
      <c r="D2098" s="252"/>
      <c r="E2098" s="252"/>
      <c r="F2098" s="252"/>
      <c r="G2098" s="252"/>
      <c r="H2098" s="252"/>
      <c r="I2098" s="252"/>
      <c r="J2098" s="252"/>
      <c r="K2098" s="253"/>
    </row>
    <row r="2099" spans="1:11" ht="22" customHeight="1" x14ac:dyDescent="0.35">
      <c r="A2099" s="251"/>
      <c r="B2099" s="252"/>
      <c r="C2099" s="252"/>
      <c r="D2099" s="252"/>
      <c r="E2099" s="252"/>
      <c r="F2099" s="252"/>
      <c r="G2099" s="252"/>
      <c r="H2099" s="252"/>
      <c r="I2099" s="252"/>
      <c r="J2099" s="252"/>
      <c r="K2099" s="253"/>
    </row>
    <row r="2100" spans="1:11" ht="22" customHeight="1" x14ac:dyDescent="0.35">
      <c r="A2100" s="251"/>
      <c r="B2100" s="252"/>
      <c r="C2100" s="252"/>
      <c r="D2100" s="252"/>
      <c r="E2100" s="252"/>
      <c r="F2100" s="252"/>
      <c r="G2100" s="252"/>
      <c r="H2100" s="252"/>
      <c r="I2100" s="252"/>
      <c r="J2100" s="252"/>
      <c r="K2100" s="253"/>
    </row>
    <row r="2101" spans="1:11" ht="22" customHeight="1" x14ac:dyDescent="0.35">
      <c r="A2101" s="251"/>
      <c r="B2101" s="252"/>
      <c r="C2101" s="252"/>
      <c r="D2101" s="252"/>
      <c r="E2101" s="252"/>
      <c r="F2101" s="252"/>
      <c r="G2101" s="252"/>
      <c r="H2101" s="252"/>
      <c r="I2101" s="252"/>
      <c r="J2101" s="252"/>
      <c r="K2101" s="253"/>
    </row>
    <row r="2102" spans="1:11" ht="22" customHeight="1" x14ac:dyDescent="0.35">
      <c r="A2102" s="251"/>
      <c r="B2102" s="252"/>
      <c r="C2102" s="252"/>
      <c r="D2102" s="252"/>
      <c r="E2102" s="252"/>
      <c r="F2102" s="252"/>
      <c r="G2102" s="252"/>
      <c r="H2102" s="252"/>
      <c r="I2102" s="252"/>
      <c r="J2102" s="252"/>
      <c r="K2102" s="253"/>
    </row>
    <row r="2103" spans="1:11" ht="22" customHeight="1" x14ac:dyDescent="0.35">
      <c r="A2103" s="251"/>
      <c r="B2103" s="252"/>
      <c r="C2103" s="252"/>
      <c r="D2103" s="252"/>
      <c r="E2103" s="252"/>
      <c r="F2103" s="252"/>
      <c r="G2103" s="252"/>
      <c r="H2103" s="252"/>
      <c r="I2103" s="252"/>
      <c r="J2103" s="252"/>
      <c r="K2103" s="253"/>
    </row>
    <row r="2104" spans="1:11" ht="22" customHeight="1" x14ac:dyDescent="0.35">
      <c r="A2104" s="251"/>
      <c r="B2104" s="252"/>
      <c r="C2104" s="252"/>
      <c r="D2104" s="252"/>
      <c r="E2104" s="252"/>
      <c r="F2104" s="252"/>
      <c r="G2104" s="252"/>
      <c r="H2104" s="252"/>
      <c r="I2104" s="252"/>
      <c r="J2104" s="252"/>
      <c r="K2104" s="253"/>
    </row>
    <row r="2105" spans="1:11" ht="22" customHeight="1" x14ac:dyDescent="0.35">
      <c r="A2105" s="251"/>
      <c r="B2105" s="252"/>
      <c r="C2105" s="252"/>
      <c r="D2105" s="252"/>
      <c r="E2105" s="252"/>
      <c r="F2105" s="252"/>
      <c r="G2105" s="252"/>
      <c r="H2105" s="252"/>
      <c r="I2105" s="252"/>
      <c r="J2105" s="252"/>
      <c r="K2105" s="253"/>
    </row>
    <row r="2106" spans="1:11" ht="22" customHeight="1" x14ac:dyDescent="0.35">
      <c r="A2106" s="251"/>
      <c r="B2106" s="252"/>
      <c r="C2106" s="252"/>
      <c r="D2106" s="252"/>
      <c r="E2106" s="252"/>
      <c r="F2106" s="252"/>
      <c r="G2106" s="252"/>
      <c r="H2106" s="252"/>
      <c r="I2106" s="252"/>
      <c r="J2106" s="252"/>
      <c r="K2106" s="253"/>
    </row>
    <row r="2107" spans="1:11" ht="22" customHeight="1" x14ac:dyDescent="0.35">
      <c r="A2107" s="251"/>
      <c r="B2107" s="252"/>
      <c r="C2107" s="252"/>
      <c r="D2107" s="252"/>
      <c r="E2107" s="252"/>
      <c r="F2107" s="252"/>
      <c r="G2107" s="252"/>
      <c r="H2107" s="252"/>
      <c r="I2107" s="252"/>
      <c r="J2107" s="252"/>
      <c r="K2107" s="253"/>
    </row>
    <row r="2108" spans="1:11" ht="22" customHeight="1" x14ac:dyDescent="0.35">
      <c r="A2108" s="251"/>
      <c r="B2108" s="252"/>
      <c r="C2108" s="252"/>
      <c r="D2108" s="252"/>
      <c r="E2108" s="252"/>
      <c r="F2108" s="252"/>
      <c r="G2108" s="252"/>
      <c r="H2108" s="252"/>
      <c r="I2108" s="252"/>
      <c r="J2108" s="252"/>
      <c r="K2108" s="253"/>
    </row>
    <row r="2109" spans="1:11" ht="22" customHeight="1" x14ac:dyDescent="0.35">
      <c r="A2109" s="251"/>
      <c r="B2109" s="252"/>
      <c r="C2109" s="252"/>
      <c r="D2109" s="252"/>
      <c r="E2109" s="252"/>
      <c r="F2109" s="252"/>
      <c r="G2109" s="252"/>
      <c r="H2109" s="252"/>
      <c r="I2109" s="252"/>
      <c r="J2109" s="252"/>
      <c r="K2109" s="253"/>
    </row>
    <row r="2110" spans="1:11" ht="22" customHeight="1" x14ac:dyDescent="0.35">
      <c r="A2110" s="251"/>
      <c r="B2110" s="252"/>
      <c r="C2110" s="252"/>
      <c r="D2110" s="252"/>
      <c r="E2110" s="252"/>
      <c r="F2110" s="252"/>
      <c r="G2110" s="252"/>
      <c r="H2110" s="252"/>
      <c r="I2110" s="252"/>
      <c r="J2110" s="252"/>
      <c r="K2110" s="253"/>
    </row>
    <row r="2111" spans="1:11" ht="22" customHeight="1" x14ac:dyDescent="0.35">
      <c r="A2111" s="251"/>
      <c r="B2111" s="252"/>
      <c r="C2111" s="252"/>
      <c r="D2111" s="252"/>
      <c r="E2111" s="252"/>
      <c r="F2111" s="252"/>
      <c r="G2111" s="252"/>
      <c r="H2111" s="252"/>
      <c r="I2111" s="252"/>
      <c r="J2111" s="252"/>
      <c r="K2111" s="253"/>
    </row>
    <row r="2112" spans="1:11" ht="22" customHeight="1" x14ac:dyDescent="0.35">
      <c r="A2112" s="251"/>
      <c r="B2112" s="252"/>
      <c r="C2112" s="252"/>
      <c r="D2112" s="252"/>
      <c r="E2112" s="252"/>
      <c r="F2112" s="252"/>
      <c r="G2112" s="252"/>
      <c r="H2112" s="252"/>
      <c r="I2112" s="252"/>
      <c r="J2112" s="252"/>
      <c r="K2112" s="253"/>
    </row>
    <row r="2113" spans="1:11" ht="22" customHeight="1" x14ac:dyDescent="0.35">
      <c r="A2113" s="251"/>
      <c r="B2113" s="252"/>
      <c r="C2113" s="252"/>
      <c r="D2113" s="252"/>
      <c r="E2113" s="252"/>
      <c r="F2113" s="252"/>
      <c r="G2113" s="252"/>
      <c r="H2113" s="252"/>
      <c r="I2113" s="252"/>
      <c r="J2113" s="252"/>
      <c r="K2113" s="253"/>
    </row>
    <row r="2114" spans="1:11" ht="22" customHeight="1" x14ac:dyDescent="0.35">
      <c r="A2114" s="251"/>
      <c r="B2114" s="252"/>
      <c r="C2114" s="252"/>
      <c r="D2114" s="252"/>
      <c r="E2114" s="252"/>
      <c r="F2114" s="252"/>
      <c r="G2114" s="252"/>
      <c r="H2114" s="252"/>
      <c r="I2114" s="252"/>
      <c r="J2114" s="252"/>
      <c r="K2114" s="253"/>
    </row>
    <row r="2115" spans="1:11" ht="22" customHeight="1" x14ac:dyDescent="0.35">
      <c r="A2115" s="251"/>
      <c r="B2115" s="252"/>
      <c r="C2115" s="252"/>
      <c r="D2115" s="252"/>
      <c r="E2115" s="252"/>
      <c r="F2115" s="252"/>
      <c r="G2115" s="252"/>
      <c r="H2115" s="252"/>
      <c r="I2115" s="252"/>
      <c r="J2115" s="252"/>
      <c r="K2115" s="253"/>
    </row>
    <row r="2116" spans="1:11" ht="22" customHeight="1" x14ac:dyDescent="0.35">
      <c r="A2116" s="251"/>
      <c r="B2116" s="252"/>
      <c r="C2116" s="252"/>
      <c r="D2116" s="252"/>
      <c r="E2116" s="252"/>
      <c r="F2116" s="252"/>
      <c r="G2116" s="252"/>
      <c r="H2116" s="252"/>
      <c r="I2116" s="252"/>
      <c r="J2116" s="252"/>
      <c r="K2116" s="253"/>
    </row>
    <row r="2117" spans="1:11" ht="22" customHeight="1" x14ac:dyDescent="0.35">
      <c r="A2117" s="251"/>
      <c r="B2117" s="252"/>
      <c r="C2117" s="252"/>
      <c r="D2117" s="252"/>
      <c r="E2117" s="252"/>
      <c r="F2117" s="252"/>
      <c r="G2117" s="252"/>
      <c r="H2117" s="252"/>
      <c r="I2117" s="252"/>
      <c r="J2117" s="252"/>
      <c r="K2117" s="253"/>
    </row>
    <row r="2118" spans="1:11" ht="22" customHeight="1" x14ac:dyDescent="0.35">
      <c r="A2118" s="251"/>
      <c r="B2118" s="252"/>
      <c r="C2118" s="252"/>
      <c r="D2118" s="252"/>
      <c r="E2118" s="252"/>
      <c r="F2118" s="252"/>
      <c r="G2118" s="252"/>
      <c r="H2118" s="252"/>
      <c r="I2118" s="252"/>
      <c r="J2118" s="252"/>
      <c r="K2118" s="253"/>
    </row>
    <row r="2119" spans="1:11" ht="22" customHeight="1" x14ac:dyDescent="0.35">
      <c r="A2119" s="251"/>
      <c r="B2119" s="252"/>
      <c r="C2119" s="252"/>
      <c r="D2119" s="252"/>
      <c r="E2119" s="252"/>
      <c r="F2119" s="252"/>
      <c r="G2119" s="252"/>
      <c r="H2119" s="252"/>
      <c r="I2119" s="252"/>
      <c r="J2119" s="252"/>
      <c r="K2119" s="253"/>
    </row>
    <row r="2120" spans="1:11" ht="22" customHeight="1" x14ac:dyDescent="0.35">
      <c r="A2120" s="251"/>
      <c r="B2120" s="252"/>
      <c r="C2120" s="252"/>
      <c r="D2120" s="252"/>
      <c r="E2120" s="252"/>
      <c r="F2120" s="252"/>
      <c r="G2120" s="252"/>
      <c r="H2120" s="252"/>
      <c r="I2120" s="252"/>
      <c r="J2120" s="252"/>
      <c r="K2120" s="253"/>
    </row>
    <row r="2121" spans="1:11" ht="22" customHeight="1" x14ac:dyDescent="0.35">
      <c r="A2121" s="251"/>
      <c r="B2121" s="252"/>
      <c r="C2121" s="252"/>
      <c r="D2121" s="252"/>
      <c r="E2121" s="252"/>
      <c r="F2121" s="252"/>
      <c r="G2121" s="252"/>
      <c r="H2121" s="252"/>
      <c r="I2121" s="252"/>
      <c r="J2121" s="252"/>
      <c r="K2121" s="253"/>
    </row>
    <row r="2122" spans="1:11" ht="22" customHeight="1" x14ac:dyDescent="0.35">
      <c r="A2122" s="251"/>
      <c r="B2122" s="252"/>
      <c r="C2122" s="252"/>
      <c r="D2122" s="252"/>
      <c r="E2122" s="252"/>
      <c r="F2122" s="252"/>
      <c r="G2122" s="252"/>
      <c r="H2122" s="252"/>
      <c r="I2122" s="252"/>
      <c r="J2122" s="252"/>
      <c r="K2122" s="253"/>
    </row>
    <row r="2123" spans="1:11" ht="22" customHeight="1" x14ac:dyDescent="0.35">
      <c r="A2123" s="251"/>
      <c r="B2123" s="252"/>
      <c r="C2123" s="252"/>
      <c r="D2123" s="252"/>
      <c r="E2123" s="252"/>
      <c r="F2123" s="252"/>
      <c r="G2123" s="252"/>
      <c r="H2123" s="252"/>
      <c r="I2123" s="252"/>
      <c r="J2123" s="252"/>
      <c r="K2123" s="253"/>
    </row>
    <row r="2124" spans="1:11" ht="22" customHeight="1" x14ac:dyDescent="0.35">
      <c r="A2124" s="251"/>
      <c r="B2124" s="252"/>
      <c r="C2124" s="252"/>
      <c r="D2124" s="252"/>
      <c r="E2124" s="252"/>
      <c r="F2124" s="252"/>
      <c r="G2124" s="252"/>
      <c r="H2124" s="252"/>
      <c r="I2124" s="252"/>
      <c r="J2124" s="252"/>
      <c r="K2124" s="253"/>
    </row>
    <row r="2125" spans="1:11" ht="22" customHeight="1" x14ac:dyDescent="0.35">
      <c r="A2125" s="251"/>
      <c r="B2125" s="252"/>
      <c r="C2125" s="252"/>
      <c r="D2125" s="252"/>
      <c r="E2125" s="252"/>
      <c r="F2125" s="252"/>
      <c r="G2125" s="252"/>
      <c r="H2125" s="252"/>
      <c r="I2125" s="252"/>
      <c r="J2125" s="252"/>
      <c r="K2125" s="253"/>
    </row>
    <row r="2126" spans="1:11" ht="22" customHeight="1" x14ac:dyDescent="0.35">
      <c r="A2126" s="251"/>
      <c r="B2126" s="252"/>
      <c r="C2126" s="252"/>
      <c r="D2126" s="252"/>
      <c r="E2126" s="252"/>
      <c r="F2126" s="252"/>
      <c r="G2126" s="252"/>
      <c r="H2126" s="252"/>
      <c r="I2126" s="252"/>
      <c r="J2126" s="252"/>
      <c r="K2126" s="253"/>
    </row>
    <row r="2127" spans="1:11" ht="22" customHeight="1" x14ac:dyDescent="0.35">
      <c r="A2127" s="251"/>
      <c r="B2127" s="252"/>
      <c r="C2127" s="252"/>
      <c r="D2127" s="252"/>
      <c r="E2127" s="252"/>
      <c r="F2127" s="252"/>
      <c r="G2127" s="252"/>
      <c r="H2127" s="252"/>
      <c r="I2127" s="252"/>
      <c r="J2127" s="252"/>
      <c r="K2127" s="253"/>
    </row>
    <row r="2128" spans="1:11" ht="22" customHeight="1" x14ac:dyDescent="0.35">
      <c r="A2128" s="251"/>
      <c r="B2128" s="252"/>
      <c r="C2128" s="252"/>
      <c r="D2128" s="252"/>
      <c r="E2128" s="252"/>
      <c r="F2128" s="252"/>
      <c r="G2128" s="252"/>
      <c r="H2128" s="252"/>
      <c r="I2128" s="252"/>
      <c r="J2128" s="252"/>
      <c r="K2128" s="253"/>
    </row>
    <row r="2129" spans="1:11" ht="22" customHeight="1" x14ac:dyDescent="0.35">
      <c r="A2129" s="251"/>
      <c r="B2129" s="252"/>
      <c r="C2129" s="252"/>
      <c r="D2129" s="252"/>
      <c r="E2129" s="252"/>
      <c r="F2129" s="252"/>
      <c r="G2129" s="252"/>
      <c r="H2129" s="252"/>
      <c r="I2129" s="252"/>
      <c r="J2129" s="252"/>
      <c r="K2129" s="253"/>
    </row>
    <row r="2130" spans="1:11" ht="22" customHeight="1" x14ac:dyDescent="0.35">
      <c r="A2130" s="251"/>
      <c r="B2130" s="252"/>
      <c r="C2130" s="252"/>
      <c r="D2130" s="252"/>
      <c r="E2130" s="252"/>
      <c r="F2130" s="252"/>
      <c r="G2130" s="252"/>
      <c r="H2130" s="252"/>
      <c r="I2130" s="252"/>
      <c r="J2130" s="252"/>
      <c r="K2130" s="253"/>
    </row>
    <row r="2131" spans="1:11" ht="22" customHeight="1" x14ac:dyDescent="0.35">
      <c r="A2131" s="251"/>
      <c r="B2131" s="252"/>
      <c r="C2131" s="252"/>
      <c r="D2131" s="252"/>
      <c r="E2131" s="252"/>
      <c r="F2131" s="252"/>
      <c r="G2131" s="252"/>
      <c r="H2131" s="252"/>
      <c r="I2131" s="252"/>
      <c r="J2131" s="252"/>
      <c r="K2131" s="253"/>
    </row>
    <row r="2132" spans="1:11" ht="22" customHeight="1" x14ac:dyDescent="0.35">
      <c r="A2132" s="251"/>
      <c r="B2132" s="252"/>
      <c r="C2132" s="252"/>
      <c r="D2132" s="252"/>
      <c r="E2132" s="252"/>
      <c r="F2132" s="252"/>
      <c r="G2132" s="252"/>
      <c r="H2132" s="252"/>
      <c r="I2132" s="252"/>
      <c r="J2132" s="252"/>
      <c r="K2132" s="253"/>
    </row>
    <row r="2133" spans="1:11" ht="22" customHeight="1" x14ac:dyDescent="0.35">
      <c r="A2133" s="251"/>
      <c r="B2133" s="252"/>
      <c r="C2133" s="252"/>
      <c r="D2133" s="252"/>
      <c r="E2133" s="252"/>
      <c r="F2133" s="252"/>
      <c r="G2133" s="252"/>
      <c r="H2133" s="252"/>
      <c r="I2133" s="252"/>
      <c r="J2133" s="252"/>
      <c r="K2133" s="253"/>
    </row>
    <row r="2134" spans="1:11" ht="22" customHeight="1" x14ac:dyDescent="0.35">
      <c r="A2134" s="251"/>
      <c r="B2134" s="252"/>
      <c r="C2134" s="252"/>
      <c r="D2134" s="252"/>
      <c r="E2134" s="252"/>
      <c r="F2134" s="252"/>
      <c r="G2134" s="252"/>
      <c r="H2134" s="252"/>
      <c r="I2134" s="252"/>
      <c r="J2134" s="252"/>
      <c r="K2134" s="253"/>
    </row>
    <row r="2135" spans="1:11" ht="22" customHeight="1" x14ac:dyDescent="0.35">
      <c r="A2135" s="251"/>
      <c r="B2135" s="252"/>
      <c r="C2135" s="252"/>
      <c r="D2135" s="252"/>
      <c r="E2135" s="252"/>
      <c r="F2135" s="252"/>
      <c r="G2135" s="252"/>
      <c r="H2135" s="252"/>
      <c r="I2135" s="252"/>
      <c r="J2135" s="252"/>
      <c r="K2135" s="253"/>
    </row>
    <row r="2136" spans="1:11" ht="22" customHeight="1" x14ac:dyDescent="0.35">
      <c r="A2136" s="251"/>
      <c r="B2136" s="252"/>
      <c r="C2136" s="252"/>
      <c r="D2136" s="252"/>
      <c r="E2136" s="252"/>
      <c r="F2136" s="252"/>
      <c r="G2136" s="252"/>
      <c r="H2136" s="252"/>
      <c r="I2136" s="252"/>
      <c r="J2136" s="252"/>
      <c r="K2136" s="253"/>
    </row>
    <row r="2137" spans="1:11" ht="22" customHeight="1" x14ac:dyDescent="0.35">
      <c r="A2137" s="251"/>
      <c r="B2137" s="252"/>
      <c r="C2137" s="252"/>
      <c r="D2137" s="252"/>
      <c r="E2137" s="252"/>
      <c r="F2137" s="252"/>
      <c r="G2137" s="252"/>
      <c r="H2137" s="252"/>
      <c r="I2137" s="252"/>
      <c r="J2137" s="252"/>
      <c r="K2137" s="253"/>
    </row>
    <row r="2138" spans="1:11" ht="22" customHeight="1" x14ac:dyDescent="0.35">
      <c r="A2138" s="251"/>
      <c r="B2138" s="252"/>
      <c r="C2138" s="252"/>
      <c r="D2138" s="252"/>
      <c r="E2138" s="252"/>
      <c r="F2138" s="252"/>
      <c r="G2138" s="252"/>
      <c r="H2138" s="252"/>
      <c r="I2138" s="252"/>
      <c r="J2138" s="252"/>
      <c r="K2138" s="253"/>
    </row>
    <row r="2139" spans="1:11" ht="22" customHeight="1" x14ac:dyDescent="0.35">
      <c r="A2139" s="251"/>
      <c r="B2139" s="252"/>
      <c r="C2139" s="252"/>
      <c r="D2139" s="252"/>
      <c r="E2139" s="252"/>
      <c r="F2139" s="252"/>
      <c r="G2139" s="252"/>
      <c r="H2139" s="252"/>
      <c r="I2139" s="252"/>
      <c r="J2139" s="252"/>
      <c r="K2139" s="253"/>
    </row>
    <row r="2140" spans="1:11" ht="22" customHeight="1" x14ac:dyDescent="0.35">
      <c r="A2140" s="251"/>
      <c r="B2140" s="252"/>
      <c r="C2140" s="252"/>
      <c r="D2140" s="252"/>
      <c r="E2140" s="252"/>
      <c r="F2140" s="252"/>
      <c r="G2140" s="252"/>
      <c r="H2140" s="252"/>
      <c r="I2140" s="252"/>
      <c r="J2140" s="252"/>
      <c r="K2140" s="253"/>
    </row>
    <row r="2141" spans="1:11" ht="22" customHeight="1" x14ac:dyDescent="0.35">
      <c r="A2141" s="251"/>
      <c r="B2141" s="252"/>
      <c r="C2141" s="252"/>
      <c r="D2141" s="252"/>
      <c r="E2141" s="252"/>
      <c r="F2141" s="252"/>
      <c r="G2141" s="252"/>
      <c r="H2141" s="252"/>
      <c r="I2141" s="252"/>
      <c r="J2141" s="252"/>
      <c r="K2141" s="253"/>
    </row>
    <row r="2142" spans="1:11" ht="22" customHeight="1" x14ac:dyDescent="0.35">
      <c r="A2142" s="251"/>
      <c r="B2142" s="252"/>
      <c r="C2142" s="252"/>
      <c r="D2142" s="252"/>
      <c r="E2142" s="252"/>
      <c r="F2142" s="252"/>
      <c r="G2142" s="252"/>
      <c r="H2142" s="252"/>
      <c r="I2142" s="252"/>
      <c r="J2142" s="252"/>
      <c r="K2142" s="253"/>
    </row>
    <row r="2143" spans="1:11" ht="22" customHeight="1" x14ac:dyDescent="0.35">
      <c r="A2143" s="251"/>
      <c r="B2143" s="252"/>
      <c r="C2143" s="252"/>
      <c r="D2143" s="252"/>
      <c r="E2143" s="252"/>
      <c r="F2143" s="252"/>
      <c r="G2143" s="252"/>
      <c r="H2143" s="252"/>
      <c r="I2143" s="252"/>
      <c r="J2143" s="252"/>
      <c r="K2143" s="253"/>
    </row>
    <row r="2144" spans="1:11" ht="22" customHeight="1" x14ac:dyDescent="0.35">
      <c r="A2144" s="251"/>
      <c r="B2144" s="252"/>
      <c r="C2144" s="252"/>
      <c r="D2144" s="252"/>
      <c r="E2144" s="252"/>
      <c r="F2144" s="252"/>
      <c r="G2144" s="252"/>
      <c r="H2144" s="252"/>
      <c r="I2144" s="252"/>
      <c r="J2144" s="252"/>
      <c r="K2144" s="253"/>
    </row>
    <row r="2145" spans="1:11" ht="22" customHeight="1" x14ac:dyDescent="0.35">
      <c r="A2145" s="251"/>
      <c r="B2145" s="252"/>
      <c r="C2145" s="252"/>
      <c r="D2145" s="252"/>
      <c r="E2145" s="252"/>
      <c r="F2145" s="252"/>
      <c r="G2145" s="252"/>
      <c r="H2145" s="252"/>
      <c r="I2145" s="252"/>
      <c r="J2145" s="252"/>
      <c r="K2145" s="253"/>
    </row>
    <row r="2146" spans="1:11" ht="22" customHeight="1" x14ac:dyDescent="0.35">
      <c r="A2146" s="251"/>
      <c r="B2146" s="252"/>
      <c r="C2146" s="252"/>
      <c r="D2146" s="252"/>
      <c r="E2146" s="252"/>
      <c r="F2146" s="252"/>
      <c r="G2146" s="252"/>
      <c r="H2146" s="252"/>
      <c r="I2146" s="252"/>
      <c r="J2146" s="252"/>
      <c r="K2146" s="253"/>
    </row>
    <row r="2147" spans="1:11" ht="22" customHeight="1" x14ac:dyDescent="0.35">
      <c r="A2147" s="251"/>
      <c r="B2147" s="252"/>
      <c r="C2147" s="252"/>
      <c r="D2147" s="252"/>
      <c r="E2147" s="252"/>
      <c r="F2147" s="252"/>
      <c r="G2147" s="252"/>
      <c r="H2147" s="252"/>
      <c r="I2147" s="252"/>
      <c r="J2147" s="252"/>
      <c r="K2147" s="253"/>
    </row>
    <row r="2148" spans="1:11" ht="22" customHeight="1" x14ac:dyDescent="0.35">
      <c r="A2148" s="251"/>
      <c r="B2148" s="252"/>
      <c r="C2148" s="252"/>
      <c r="D2148" s="252"/>
      <c r="E2148" s="252"/>
      <c r="F2148" s="252"/>
      <c r="G2148" s="252"/>
      <c r="H2148" s="252"/>
      <c r="I2148" s="252"/>
      <c r="J2148" s="252"/>
      <c r="K2148" s="253"/>
    </row>
    <row r="2149" spans="1:11" ht="22" customHeight="1" x14ac:dyDescent="0.35">
      <c r="A2149" s="251"/>
      <c r="B2149" s="252"/>
      <c r="C2149" s="252"/>
      <c r="D2149" s="252"/>
      <c r="E2149" s="252"/>
      <c r="F2149" s="252"/>
      <c r="G2149" s="252"/>
      <c r="H2149" s="252"/>
      <c r="I2149" s="252"/>
      <c r="J2149" s="252"/>
      <c r="K2149" s="253"/>
    </row>
    <row r="2150" spans="1:11" ht="22" customHeight="1" x14ac:dyDescent="0.35">
      <c r="A2150" s="251"/>
      <c r="B2150" s="252"/>
      <c r="C2150" s="252"/>
      <c r="D2150" s="252"/>
      <c r="E2150" s="252"/>
      <c r="F2150" s="252"/>
      <c r="G2150" s="252"/>
      <c r="H2150" s="252"/>
      <c r="I2150" s="252"/>
      <c r="J2150" s="252"/>
      <c r="K2150" s="253"/>
    </row>
    <row r="2151" spans="1:11" ht="22" customHeight="1" x14ac:dyDescent="0.35">
      <c r="A2151" s="251"/>
      <c r="B2151" s="252"/>
      <c r="C2151" s="252"/>
      <c r="D2151" s="252"/>
      <c r="E2151" s="252"/>
      <c r="F2151" s="252"/>
      <c r="G2151" s="252"/>
      <c r="H2151" s="252"/>
      <c r="I2151" s="252"/>
      <c r="J2151" s="252"/>
      <c r="K2151" s="253"/>
    </row>
    <row r="2152" spans="1:11" ht="22" customHeight="1" x14ac:dyDescent="0.35">
      <c r="A2152" s="251"/>
      <c r="B2152" s="252"/>
      <c r="C2152" s="252"/>
      <c r="D2152" s="252"/>
      <c r="E2152" s="252"/>
      <c r="F2152" s="252"/>
      <c r="G2152" s="252"/>
      <c r="H2152" s="252"/>
      <c r="I2152" s="252"/>
      <c r="J2152" s="252"/>
      <c r="K2152" s="253"/>
    </row>
    <row r="2153" spans="1:11" ht="22" customHeight="1" x14ac:dyDescent="0.35">
      <c r="A2153" s="251"/>
      <c r="B2153" s="252"/>
      <c r="C2153" s="252"/>
      <c r="D2153" s="252"/>
      <c r="E2153" s="252"/>
      <c r="F2153" s="252"/>
      <c r="G2153" s="252"/>
      <c r="H2153" s="252"/>
      <c r="I2153" s="252"/>
      <c r="J2153" s="252"/>
      <c r="K2153" s="253"/>
    </row>
    <row r="2154" spans="1:11" ht="22" customHeight="1" x14ac:dyDescent="0.35">
      <c r="A2154" s="251"/>
      <c r="B2154" s="252"/>
      <c r="C2154" s="252"/>
      <c r="D2154" s="252"/>
      <c r="E2154" s="252"/>
      <c r="F2154" s="252"/>
      <c r="G2154" s="252"/>
      <c r="H2154" s="252"/>
      <c r="I2154" s="252"/>
      <c r="J2154" s="252"/>
      <c r="K2154" s="253"/>
    </row>
    <row r="2155" spans="1:11" ht="22" customHeight="1" x14ac:dyDescent="0.35">
      <c r="A2155" s="251"/>
      <c r="B2155" s="252"/>
      <c r="C2155" s="252"/>
      <c r="D2155" s="252"/>
      <c r="E2155" s="252"/>
      <c r="F2155" s="252"/>
      <c r="G2155" s="252"/>
      <c r="H2155" s="252"/>
      <c r="I2155" s="252"/>
      <c r="J2155" s="252"/>
      <c r="K2155" s="253"/>
    </row>
    <row r="2156" spans="1:11" ht="22" customHeight="1" x14ac:dyDescent="0.35">
      <c r="A2156" s="251"/>
      <c r="B2156" s="252"/>
      <c r="C2156" s="252"/>
      <c r="D2156" s="252"/>
      <c r="E2156" s="252"/>
      <c r="F2156" s="252"/>
      <c r="G2156" s="252"/>
      <c r="H2156" s="252"/>
      <c r="I2156" s="252"/>
      <c r="J2156" s="252"/>
      <c r="K2156" s="253"/>
    </row>
    <row r="2157" spans="1:11" ht="22" customHeight="1" x14ac:dyDescent="0.35">
      <c r="A2157" s="251"/>
      <c r="B2157" s="252"/>
      <c r="C2157" s="252"/>
      <c r="D2157" s="252"/>
      <c r="E2157" s="252"/>
      <c r="F2157" s="252"/>
      <c r="G2157" s="252"/>
      <c r="H2157" s="252"/>
      <c r="I2157" s="252"/>
      <c r="J2157" s="252"/>
      <c r="K2157" s="253"/>
    </row>
    <row r="2158" spans="1:11" ht="22" customHeight="1" x14ac:dyDescent="0.35">
      <c r="A2158" s="251"/>
      <c r="B2158" s="252"/>
      <c r="C2158" s="252"/>
      <c r="D2158" s="252"/>
      <c r="E2158" s="252"/>
      <c r="F2158" s="252"/>
      <c r="G2158" s="252"/>
      <c r="H2158" s="252"/>
      <c r="I2158" s="252"/>
      <c r="J2158" s="252"/>
      <c r="K2158" s="253"/>
    </row>
    <row r="2159" spans="1:11" ht="22" customHeight="1" x14ac:dyDescent="0.35">
      <c r="A2159" s="251"/>
      <c r="B2159" s="252"/>
      <c r="C2159" s="252"/>
      <c r="D2159" s="252"/>
      <c r="E2159" s="252"/>
      <c r="F2159" s="252"/>
      <c r="G2159" s="252"/>
      <c r="H2159" s="252"/>
      <c r="I2159" s="252"/>
      <c r="J2159" s="252"/>
      <c r="K2159" s="253"/>
    </row>
    <row r="2160" spans="1:11" ht="22" customHeight="1" x14ac:dyDescent="0.35">
      <c r="A2160" s="251"/>
      <c r="B2160" s="252"/>
      <c r="C2160" s="252"/>
      <c r="D2160" s="252"/>
      <c r="E2160" s="252"/>
      <c r="F2160" s="252"/>
      <c r="G2160" s="252"/>
      <c r="H2160" s="252"/>
      <c r="I2160" s="252"/>
      <c r="J2160" s="252"/>
      <c r="K2160" s="253"/>
    </row>
    <row r="2161" spans="1:11" ht="22" customHeight="1" x14ac:dyDescent="0.35">
      <c r="A2161" s="251"/>
      <c r="B2161" s="252"/>
      <c r="C2161" s="252"/>
      <c r="D2161" s="252"/>
      <c r="E2161" s="252"/>
      <c r="F2161" s="252"/>
      <c r="G2161" s="252"/>
      <c r="H2161" s="252"/>
      <c r="I2161" s="252"/>
      <c r="J2161" s="252"/>
      <c r="K2161" s="253"/>
    </row>
    <row r="2162" spans="1:11" ht="22" customHeight="1" x14ac:dyDescent="0.35">
      <c r="A2162" s="251"/>
      <c r="B2162" s="252"/>
      <c r="C2162" s="252"/>
      <c r="D2162" s="252"/>
      <c r="E2162" s="252"/>
      <c r="F2162" s="252"/>
      <c r="G2162" s="252"/>
      <c r="H2162" s="252"/>
      <c r="I2162" s="252"/>
      <c r="J2162" s="252"/>
      <c r="K2162" s="253"/>
    </row>
    <row r="2163" spans="1:11" ht="22" customHeight="1" x14ac:dyDescent="0.35">
      <c r="A2163" s="251"/>
      <c r="B2163" s="252"/>
      <c r="C2163" s="252"/>
      <c r="D2163" s="252"/>
      <c r="E2163" s="252"/>
      <c r="F2163" s="252"/>
      <c r="G2163" s="252"/>
      <c r="H2163" s="252"/>
      <c r="I2163" s="252"/>
      <c r="J2163" s="252"/>
      <c r="K2163" s="253"/>
    </row>
    <row r="2164" spans="1:11" ht="22" customHeight="1" x14ac:dyDescent="0.35">
      <c r="A2164" s="251"/>
      <c r="B2164" s="252"/>
      <c r="C2164" s="252"/>
      <c r="D2164" s="252"/>
      <c r="E2164" s="252"/>
      <c r="F2164" s="252"/>
      <c r="G2164" s="252"/>
      <c r="H2164" s="252"/>
      <c r="I2164" s="252"/>
      <c r="J2164" s="252"/>
      <c r="K2164" s="253"/>
    </row>
    <row r="2165" spans="1:11" ht="22" customHeight="1" x14ac:dyDescent="0.35">
      <c r="A2165" s="251"/>
      <c r="B2165" s="252"/>
      <c r="C2165" s="252"/>
      <c r="D2165" s="252"/>
      <c r="E2165" s="252"/>
      <c r="F2165" s="252"/>
      <c r="G2165" s="252"/>
      <c r="H2165" s="252"/>
      <c r="I2165" s="252"/>
      <c r="J2165" s="252"/>
      <c r="K2165" s="253"/>
    </row>
    <row r="2166" spans="1:11" ht="22" customHeight="1" x14ac:dyDescent="0.35">
      <c r="A2166" s="251"/>
      <c r="B2166" s="252"/>
      <c r="C2166" s="252"/>
      <c r="D2166" s="252"/>
      <c r="E2166" s="252"/>
      <c r="F2166" s="252"/>
      <c r="G2166" s="252"/>
      <c r="H2166" s="252"/>
      <c r="I2166" s="252"/>
      <c r="J2166" s="252"/>
      <c r="K2166" s="253"/>
    </row>
    <row r="2167" spans="1:11" ht="22" customHeight="1" x14ac:dyDescent="0.35">
      <c r="A2167" s="251"/>
      <c r="B2167" s="252"/>
      <c r="C2167" s="252"/>
      <c r="D2167" s="252"/>
      <c r="E2167" s="252"/>
      <c r="F2167" s="252"/>
      <c r="G2167" s="252"/>
      <c r="H2167" s="252"/>
      <c r="I2167" s="252"/>
      <c r="J2167" s="252"/>
      <c r="K2167" s="253"/>
    </row>
    <row r="2168" spans="1:11" ht="22" customHeight="1" x14ac:dyDescent="0.35">
      <c r="A2168" s="251"/>
      <c r="B2168" s="252"/>
      <c r="C2168" s="252"/>
      <c r="D2168" s="252"/>
      <c r="E2168" s="252"/>
      <c r="F2168" s="252"/>
      <c r="G2168" s="252"/>
      <c r="H2168" s="252"/>
      <c r="I2168" s="252"/>
      <c r="J2168" s="252"/>
      <c r="K2168" s="253"/>
    </row>
    <row r="2169" spans="1:11" ht="22" customHeight="1" x14ac:dyDescent="0.35">
      <c r="A2169" s="251"/>
      <c r="B2169" s="252"/>
      <c r="C2169" s="252"/>
      <c r="D2169" s="252"/>
      <c r="E2169" s="252"/>
      <c r="F2169" s="252"/>
      <c r="G2169" s="252"/>
      <c r="H2169" s="252"/>
      <c r="I2169" s="252"/>
      <c r="J2169" s="252"/>
      <c r="K2169" s="253"/>
    </row>
    <row r="2170" spans="1:11" ht="22" customHeight="1" x14ac:dyDescent="0.35">
      <c r="A2170" s="251"/>
      <c r="B2170" s="252"/>
      <c r="C2170" s="252"/>
      <c r="D2170" s="252"/>
      <c r="E2170" s="252"/>
      <c r="F2170" s="252"/>
      <c r="G2170" s="252"/>
      <c r="H2170" s="252"/>
      <c r="I2170" s="252"/>
      <c r="J2170" s="252"/>
      <c r="K2170" s="253"/>
    </row>
    <row r="2171" spans="1:11" ht="22" customHeight="1" x14ac:dyDescent="0.35">
      <c r="A2171" s="251"/>
      <c r="B2171" s="252"/>
      <c r="C2171" s="252"/>
      <c r="D2171" s="252"/>
      <c r="E2171" s="252"/>
      <c r="F2171" s="252"/>
      <c r="G2171" s="252"/>
      <c r="H2171" s="252"/>
      <c r="I2171" s="252"/>
      <c r="J2171" s="252"/>
      <c r="K2171" s="253"/>
    </row>
    <row r="2172" spans="1:11" ht="22" customHeight="1" x14ac:dyDescent="0.35">
      <c r="A2172" s="251"/>
      <c r="B2172" s="252"/>
      <c r="C2172" s="252"/>
      <c r="D2172" s="252"/>
      <c r="E2172" s="252"/>
      <c r="F2172" s="252"/>
      <c r="G2172" s="252"/>
      <c r="H2172" s="252"/>
      <c r="I2172" s="252"/>
      <c r="J2172" s="252"/>
      <c r="K2172" s="253"/>
    </row>
    <row r="2173" spans="1:11" ht="22" customHeight="1" x14ac:dyDescent="0.35">
      <c r="A2173" s="251"/>
      <c r="B2173" s="252"/>
      <c r="C2173" s="252"/>
      <c r="D2173" s="252"/>
      <c r="E2173" s="252"/>
      <c r="F2173" s="252"/>
      <c r="G2173" s="252"/>
      <c r="H2173" s="252"/>
      <c r="I2173" s="252"/>
      <c r="J2173" s="252"/>
      <c r="K2173" s="253"/>
    </row>
    <row r="2174" spans="1:11" ht="22" customHeight="1" x14ac:dyDescent="0.35">
      <c r="A2174" s="251"/>
      <c r="B2174" s="252"/>
      <c r="C2174" s="252"/>
      <c r="D2174" s="252"/>
      <c r="E2174" s="252"/>
      <c r="F2174" s="252"/>
      <c r="G2174" s="252"/>
      <c r="H2174" s="252"/>
      <c r="I2174" s="252"/>
      <c r="J2174" s="252"/>
      <c r="K2174" s="253"/>
    </row>
    <row r="2175" spans="1:11" ht="22" customHeight="1" x14ac:dyDescent="0.35">
      <c r="A2175" s="251"/>
      <c r="B2175" s="252"/>
      <c r="C2175" s="252"/>
      <c r="D2175" s="252"/>
      <c r="E2175" s="252"/>
      <c r="F2175" s="252"/>
      <c r="G2175" s="252"/>
      <c r="H2175" s="252"/>
      <c r="I2175" s="252"/>
      <c r="J2175" s="252"/>
      <c r="K2175" s="253"/>
    </row>
    <row r="2176" spans="1:11" ht="22" customHeight="1" x14ac:dyDescent="0.35">
      <c r="A2176" s="251"/>
      <c r="B2176" s="252"/>
      <c r="C2176" s="252"/>
      <c r="D2176" s="252"/>
      <c r="E2176" s="252"/>
      <c r="F2176" s="252"/>
      <c r="G2176" s="252"/>
      <c r="H2176" s="252"/>
      <c r="I2176" s="252"/>
      <c r="J2176" s="252"/>
      <c r="K2176" s="253"/>
    </row>
    <row r="2177" spans="1:11" ht="22" customHeight="1" x14ac:dyDescent="0.35">
      <c r="A2177" s="251"/>
      <c r="B2177" s="252"/>
      <c r="C2177" s="252"/>
      <c r="D2177" s="252"/>
      <c r="E2177" s="252"/>
      <c r="F2177" s="252"/>
      <c r="G2177" s="252"/>
      <c r="H2177" s="252"/>
      <c r="I2177" s="252"/>
      <c r="J2177" s="252"/>
      <c r="K2177" s="253"/>
    </row>
    <row r="2178" spans="1:11" ht="22" customHeight="1" x14ac:dyDescent="0.35">
      <c r="A2178" s="251"/>
      <c r="B2178" s="252"/>
      <c r="C2178" s="252"/>
      <c r="D2178" s="252"/>
      <c r="E2178" s="252"/>
      <c r="F2178" s="252"/>
      <c r="G2178" s="252"/>
      <c r="H2178" s="252"/>
      <c r="I2178" s="252"/>
      <c r="J2178" s="252"/>
      <c r="K2178" s="253"/>
    </row>
    <row r="2179" spans="1:11" ht="22" customHeight="1" x14ac:dyDescent="0.35">
      <c r="A2179" s="251"/>
      <c r="B2179" s="252"/>
      <c r="C2179" s="252"/>
      <c r="D2179" s="252"/>
      <c r="E2179" s="252"/>
      <c r="F2179" s="252"/>
      <c r="G2179" s="252"/>
      <c r="H2179" s="252"/>
      <c r="I2179" s="252"/>
      <c r="J2179" s="252"/>
      <c r="K2179" s="253"/>
    </row>
    <row r="2180" spans="1:11" ht="22" customHeight="1" x14ac:dyDescent="0.35">
      <c r="A2180" s="251"/>
      <c r="B2180" s="252"/>
      <c r="C2180" s="252"/>
      <c r="D2180" s="252"/>
      <c r="E2180" s="252"/>
      <c r="F2180" s="252"/>
      <c r="G2180" s="252"/>
      <c r="H2180" s="252"/>
      <c r="I2180" s="252"/>
      <c r="J2180" s="252"/>
      <c r="K2180" s="253"/>
    </row>
    <row r="2181" spans="1:11" ht="22" customHeight="1" x14ac:dyDescent="0.35">
      <c r="A2181" s="251"/>
      <c r="B2181" s="252"/>
      <c r="C2181" s="252"/>
      <c r="D2181" s="252"/>
      <c r="E2181" s="252"/>
      <c r="F2181" s="252"/>
      <c r="G2181" s="252"/>
      <c r="H2181" s="252"/>
      <c r="I2181" s="252"/>
      <c r="J2181" s="252"/>
      <c r="K2181" s="253"/>
    </row>
    <row r="2182" spans="1:11" ht="22" customHeight="1" x14ac:dyDescent="0.35">
      <c r="A2182" s="251"/>
      <c r="B2182" s="252"/>
      <c r="C2182" s="252"/>
      <c r="D2182" s="252"/>
      <c r="E2182" s="252"/>
      <c r="F2182" s="252"/>
      <c r="G2182" s="252"/>
      <c r="H2182" s="252"/>
      <c r="I2182" s="252"/>
      <c r="J2182" s="252"/>
      <c r="K2182" s="253"/>
    </row>
    <row r="2183" spans="1:11" ht="22" customHeight="1" x14ac:dyDescent="0.35">
      <c r="A2183" s="251"/>
      <c r="B2183" s="252"/>
      <c r="C2183" s="252"/>
      <c r="D2183" s="252"/>
      <c r="E2183" s="252"/>
      <c r="F2183" s="252"/>
      <c r="G2183" s="252"/>
      <c r="H2183" s="252"/>
      <c r="I2183" s="252"/>
      <c r="J2183" s="252"/>
      <c r="K2183" s="253"/>
    </row>
    <row r="2184" spans="1:11" ht="22" customHeight="1" x14ac:dyDescent="0.35">
      <c r="A2184" s="251"/>
      <c r="B2184" s="252"/>
      <c r="C2184" s="252"/>
      <c r="D2184" s="252"/>
      <c r="E2184" s="252"/>
      <c r="F2184" s="252"/>
      <c r="G2184" s="252"/>
      <c r="H2184" s="252"/>
      <c r="I2184" s="252"/>
      <c r="J2184" s="252"/>
      <c r="K2184" s="253"/>
    </row>
    <row r="2185" spans="1:11" ht="22" customHeight="1" x14ac:dyDescent="0.35">
      <c r="A2185" s="251"/>
      <c r="B2185" s="252"/>
      <c r="C2185" s="252"/>
      <c r="D2185" s="252"/>
      <c r="E2185" s="252"/>
      <c r="F2185" s="252"/>
      <c r="G2185" s="252"/>
      <c r="H2185" s="252"/>
      <c r="I2185" s="252"/>
      <c r="J2185" s="252"/>
      <c r="K2185" s="253"/>
    </row>
    <row r="2186" spans="1:11" ht="22" customHeight="1" x14ac:dyDescent="0.35">
      <c r="A2186" s="251"/>
      <c r="B2186" s="252"/>
      <c r="C2186" s="252"/>
      <c r="D2186" s="252"/>
      <c r="E2186" s="252"/>
      <c r="F2186" s="252"/>
      <c r="G2186" s="252"/>
      <c r="H2186" s="252"/>
      <c r="I2186" s="252"/>
      <c r="J2186" s="252"/>
      <c r="K2186" s="253"/>
    </row>
    <row r="2187" spans="1:11" ht="22" customHeight="1" x14ac:dyDescent="0.35">
      <c r="A2187" s="251"/>
      <c r="B2187" s="252"/>
      <c r="C2187" s="252"/>
      <c r="D2187" s="252"/>
      <c r="E2187" s="252"/>
      <c r="F2187" s="252"/>
      <c r="G2187" s="252"/>
      <c r="H2187" s="252"/>
      <c r="I2187" s="252"/>
      <c r="J2187" s="252"/>
      <c r="K2187" s="253"/>
    </row>
    <row r="2188" spans="1:11" ht="22" customHeight="1" x14ac:dyDescent="0.35">
      <c r="A2188" s="251"/>
      <c r="B2188" s="252"/>
      <c r="C2188" s="252"/>
      <c r="D2188" s="252"/>
      <c r="E2188" s="252"/>
      <c r="F2188" s="252"/>
      <c r="G2188" s="252"/>
      <c r="H2188" s="252"/>
      <c r="I2188" s="252"/>
      <c r="J2188" s="252"/>
      <c r="K2188" s="253"/>
    </row>
    <row r="2189" spans="1:11" ht="22" customHeight="1" x14ac:dyDescent="0.35">
      <c r="A2189" s="251"/>
      <c r="B2189" s="252"/>
      <c r="C2189" s="252"/>
      <c r="D2189" s="252"/>
      <c r="E2189" s="252"/>
      <c r="F2189" s="252"/>
      <c r="G2189" s="252"/>
      <c r="H2189" s="252"/>
      <c r="I2189" s="252"/>
      <c r="J2189" s="252"/>
      <c r="K2189" s="253"/>
    </row>
    <row r="2190" spans="1:11" ht="22" customHeight="1" x14ac:dyDescent="0.35">
      <c r="A2190" s="251"/>
      <c r="B2190" s="252"/>
      <c r="C2190" s="252"/>
      <c r="D2190" s="252"/>
      <c r="E2190" s="252"/>
      <c r="F2190" s="252"/>
      <c r="G2190" s="252"/>
      <c r="H2190" s="252"/>
      <c r="I2190" s="252"/>
      <c r="J2190" s="252"/>
      <c r="K2190" s="253"/>
    </row>
    <row r="2191" spans="1:11" ht="22" customHeight="1" x14ac:dyDescent="0.35">
      <c r="A2191" s="251"/>
      <c r="B2191" s="252"/>
      <c r="C2191" s="252"/>
      <c r="D2191" s="252"/>
      <c r="E2191" s="252"/>
      <c r="F2191" s="252"/>
      <c r="G2191" s="252"/>
      <c r="H2191" s="252"/>
      <c r="I2191" s="252"/>
      <c r="J2191" s="252"/>
      <c r="K2191" s="253"/>
    </row>
    <row r="2192" spans="1:11" ht="22" customHeight="1" x14ac:dyDescent="0.35">
      <c r="A2192" s="251"/>
      <c r="B2192" s="252"/>
      <c r="C2192" s="252"/>
      <c r="D2192" s="252"/>
      <c r="E2192" s="252"/>
      <c r="F2192" s="252"/>
      <c r="G2192" s="252"/>
      <c r="H2192" s="252"/>
      <c r="I2192" s="252"/>
      <c r="J2192" s="252"/>
      <c r="K2192" s="253"/>
    </row>
    <row r="2193" spans="1:11" ht="22" customHeight="1" x14ac:dyDescent="0.35">
      <c r="A2193" s="251"/>
      <c r="B2193" s="252"/>
      <c r="C2193" s="252"/>
      <c r="D2193" s="252"/>
      <c r="E2193" s="252"/>
      <c r="F2193" s="252"/>
      <c r="G2193" s="252"/>
      <c r="H2193" s="252"/>
      <c r="I2193" s="252"/>
      <c r="J2193" s="252"/>
      <c r="K2193" s="253"/>
    </row>
    <row r="2194" spans="1:11" ht="22" customHeight="1" x14ac:dyDescent="0.35">
      <c r="A2194" s="251"/>
      <c r="B2194" s="252"/>
      <c r="C2194" s="252"/>
      <c r="D2194" s="252"/>
      <c r="E2194" s="252"/>
      <c r="F2194" s="252"/>
      <c r="G2194" s="252"/>
      <c r="H2194" s="252"/>
      <c r="I2194" s="252"/>
      <c r="J2194" s="252"/>
      <c r="K2194" s="253"/>
    </row>
    <row r="2195" spans="1:11" ht="22" customHeight="1" x14ac:dyDescent="0.35">
      <c r="A2195" s="251"/>
      <c r="B2195" s="252"/>
      <c r="C2195" s="252"/>
      <c r="D2195" s="252"/>
      <c r="E2195" s="252"/>
      <c r="F2195" s="252"/>
      <c r="G2195" s="252"/>
      <c r="H2195" s="252"/>
      <c r="I2195" s="252"/>
      <c r="J2195" s="252"/>
      <c r="K2195" s="253"/>
    </row>
    <row r="2196" spans="1:11" ht="22" customHeight="1" x14ac:dyDescent="0.35">
      <c r="A2196" s="251"/>
      <c r="B2196" s="252"/>
      <c r="C2196" s="252"/>
      <c r="D2196" s="252"/>
      <c r="E2196" s="252"/>
      <c r="F2196" s="252"/>
      <c r="G2196" s="252"/>
      <c r="H2196" s="252"/>
      <c r="I2196" s="252"/>
      <c r="J2196" s="252"/>
      <c r="K2196" s="253"/>
    </row>
    <row r="2197" spans="1:11" ht="22" customHeight="1" x14ac:dyDescent="0.35">
      <c r="A2197" s="251"/>
      <c r="B2197" s="252"/>
      <c r="C2197" s="252"/>
      <c r="D2197" s="252"/>
      <c r="E2197" s="252"/>
      <c r="F2197" s="252"/>
      <c r="G2197" s="252"/>
      <c r="H2197" s="252"/>
      <c r="I2197" s="252"/>
      <c r="J2197" s="252"/>
      <c r="K2197" s="253"/>
    </row>
    <row r="2198" spans="1:11" ht="22" customHeight="1" x14ac:dyDescent="0.35">
      <c r="A2198" s="251"/>
      <c r="B2198" s="252"/>
      <c r="C2198" s="252"/>
      <c r="D2198" s="252"/>
      <c r="E2198" s="252"/>
      <c r="F2198" s="252"/>
      <c r="G2198" s="252"/>
      <c r="H2198" s="252"/>
      <c r="I2198" s="252"/>
      <c r="J2198" s="252"/>
      <c r="K2198" s="253"/>
    </row>
    <row r="2199" spans="1:11" ht="22" customHeight="1" x14ac:dyDescent="0.35">
      <c r="A2199" s="251"/>
      <c r="B2199" s="252"/>
      <c r="C2199" s="252"/>
      <c r="D2199" s="252"/>
      <c r="E2199" s="252"/>
      <c r="F2199" s="252"/>
      <c r="G2199" s="252"/>
      <c r="H2199" s="252"/>
      <c r="I2199" s="252"/>
      <c r="J2199" s="252"/>
      <c r="K2199" s="253"/>
    </row>
    <row r="2200" spans="1:11" ht="22" customHeight="1" x14ac:dyDescent="0.35">
      <c r="A2200" s="251"/>
      <c r="B2200" s="252"/>
      <c r="C2200" s="252"/>
      <c r="D2200" s="252"/>
      <c r="E2200" s="252"/>
      <c r="F2200" s="252"/>
      <c r="G2200" s="252"/>
      <c r="H2200" s="252"/>
      <c r="I2200" s="252"/>
      <c r="J2200" s="252"/>
      <c r="K2200" s="253"/>
    </row>
    <row r="2201" spans="1:11" ht="22" customHeight="1" x14ac:dyDescent="0.35">
      <c r="A2201" s="251"/>
      <c r="B2201" s="252"/>
      <c r="C2201" s="252"/>
      <c r="D2201" s="252"/>
      <c r="E2201" s="252"/>
      <c r="F2201" s="252"/>
      <c r="G2201" s="252"/>
      <c r="H2201" s="252"/>
      <c r="I2201" s="252"/>
      <c r="J2201" s="252"/>
      <c r="K2201" s="253"/>
    </row>
    <row r="2202" spans="1:11" ht="22" customHeight="1" x14ac:dyDescent="0.35">
      <c r="A2202" s="251"/>
      <c r="B2202" s="252"/>
      <c r="C2202" s="252"/>
      <c r="D2202" s="252"/>
      <c r="E2202" s="252"/>
      <c r="F2202" s="252"/>
      <c r="G2202" s="252"/>
      <c r="H2202" s="252"/>
      <c r="I2202" s="252"/>
      <c r="J2202" s="252"/>
      <c r="K2202" s="253"/>
    </row>
    <row r="2203" spans="1:11" ht="22" customHeight="1" x14ac:dyDescent="0.35">
      <c r="A2203" s="251"/>
      <c r="B2203" s="252"/>
      <c r="C2203" s="252"/>
      <c r="D2203" s="252"/>
      <c r="E2203" s="252"/>
      <c r="F2203" s="252"/>
      <c r="G2203" s="252"/>
      <c r="H2203" s="252"/>
      <c r="I2203" s="252"/>
      <c r="J2203" s="252"/>
      <c r="K2203" s="253"/>
    </row>
    <row r="2204" spans="1:11" ht="22" customHeight="1" x14ac:dyDescent="0.35">
      <c r="A2204" s="251"/>
      <c r="B2204" s="252"/>
      <c r="C2204" s="252"/>
      <c r="D2204" s="252"/>
      <c r="E2204" s="252"/>
      <c r="F2204" s="252"/>
      <c r="G2204" s="252"/>
      <c r="H2204" s="252"/>
      <c r="I2204" s="252"/>
      <c r="J2204" s="252"/>
      <c r="K2204" s="253"/>
    </row>
    <row r="2205" spans="1:11" ht="22" customHeight="1" x14ac:dyDescent="0.35">
      <c r="A2205" s="251"/>
      <c r="B2205" s="252"/>
      <c r="C2205" s="252"/>
      <c r="D2205" s="252"/>
      <c r="E2205" s="252"/>
      <c r="F2205" s="252"/>
      <c r="G2205" s="252"/>
      <c r="H2205" s="252"/>
      <c r="I2205" s="252"/>
      <c r="J2205" s="252"/>
      <c r="K2205" s="253"/>
    </row>
    <row r="2206" spans="1:11" ht="22" customHeight="1" x14ac:dyDescent="0.35">
      <c r="A2206" s="251"/>
      <c r="B2206" s="252"/>
      <c r="C2206" s="252"/>
      <c r="D2206" s="252"/>
      <c r="E2206" s="252"/>
      <c r="F2206" s="252"/>
      <c r="G2206" s="252"/>
      <c r="H2206" s="252"/>
      <c r="I2206" s="252"/>
      <c r="J2206" s="252"/>
      <c r="K2206" s="253"/>
    </row>
    <row r="2207" spans="1:11" ht="22" customHeight="1" x14ac:dyDescent="0.35">
      <c r="A2207" s="251"/>
      <c r="B2207" s="252"/>
      <c r="C2207" s="252"/>
      <c r="D2207" s="252"/>
      <c r="E2207" s="252"/>
      <c r="F2207" s="252"/>
      <c r="G2207" s="252"/>
      <c r="H2207" s="252"/>
      <c r="I2207" s="252"/>
      <c r="J2207" s="252"/>
      <c r="K2207" s="253"/>
    </row>
    <row r="2208" spans="1:11" ht="22" customHeight="1" x14ac:dyDescent="0.35">
      <c r="A2208" s="251"/>
      <c r="B2208" s="252"/>
      <c r="C2208" s="252"/>
      <c r="D2208" s="252"/>
      <c r="E2208" s="252"/>
      <c r="F2208" s="252"/>
      <c r="G2208" s="252"/>
      <c r="H2208" s="252"/>
      <c r="I2208" s="252"/>
      <c r="J2208" s="252"/>
      <c r="K2208" s="253"/>
    </row>
    <row r="2209" spans="1:11" ht="22" customHeight="1" x14ac:dyDescent="0.35">
      <c r="A2209" s="251"/>
      <c r="B2209" s="252"/>
      <c r="C2209" s="252"/>
      <c r="D2209" s="252"/>
      <c r="E2209" s="252"/>
      <c r="F2209" s="252"/>
      <c r="G2209" s="252"/>
      <c r="H2209" s="252"/>
      <c r="I2209" s="252"/>
      <c r="J2209" s="252"/>
      <c r="K2209" s="253"/>
    </row>
    <row r="2210" spans="1:11" ht="22" customHeight="1" x14ac:dyDescent="0.35">
      <c r="A2210" s="251"/>
      <c r="B2210" s="252"/>
      <c r="C2210" s="252"/>
      <c r="D2210" s="252"/>
      <c r="E2210" s="252"/>
      <c r="F2210" s="252"/>
      <c r="G2210" s="252"/>
      <c r="H2210" s="252"/>
      <c r="I2210" s="252"/>
      <c r="J2210" s="252"/>
      <c r="K2210" s="253"/>
    </row>
    <row r="2211" spans="1:11" ht="22" customHeight="1" x14ac:dyDescent="0.35">
      <c r="A2211" s="251"/>
      <c r="B2211" s="252"/>
      <c r="C2211" s="252"/>
      <c r="D2211" s="252"/>
      <c r="E2211" s="252"/>
      <c r="F2211" s="252"/>
      <c r="G2211" s="252"/>
      <c r="H2211" s="252"/>
      <c r="I2211" s="252"/>
      <c r="J2211" s="252"/>
      <c r="K2211" s="253"/>
    </row>
    <row r="2212" spans="1:11" ht="22" customHeight="1" x14ac:dyDescent="0.35">
      <c r="A2212" s="251"/>
      <c r="B2212" s="252"/>
      <c r="C2212" s="252"/>
      <c r="D2212" s="252"/>
      <c r="E2212" s="252"/>
      <c r="F2212" s="252"/>
      <c r="G2212" s="252"/>
      <c r="H2212" s="252"/>
      <c r="I2212" s="252"/>
      <c r="J2212" s="252"/>
      <c r="K2212" s="253"/>
    </row>
    <row r="2213" spans="1:11" ht="22" customHeight="1" x14ac:dyDescent="0.35">
      <c r="A2213" s="251"/>
      <c r="B2213" s="252"/>
      <c r="C2213" s="252"/>
      <c r="D2213" s="252"/>
      <c r="E2213" s="252"/>
      <c r="F2213" s="252"/>
      <c r="G2213" s="252"/>
      <c r="H2213" s="252"/>
      <c r="I2213" s="252"/>
      <c r="J2213" s="252"/>
      <c r="K2213" s="253"/>
    </row>
    <row r="2214" spans="1:11" ht="22" customHeight="1" x14ac:dyDescent="0.35">
      <c r="A2214" s="251"/>
      <c r="B2214" s="252"/>
      <c r="C2214" s="252"/>
      <c r="D2214" s="252"/>
      <c r="E2214" s="252"/>
      <c r="F2214" s="252"/>
      <c r="G2214" s="252"/>
      <c r="H2214" s="252"/>
      <c r="I2214" s="252"/>
      <c r="J2214" s="252"/>
      <c r="K2214" s="253"/>
    </row>
    <row r="2215" spans="1:11" ht="22" customHeight="1" x14ac:dyDescent="0.35">
      <c r="A2215" s="251"/>
      <c r="B2215" s="252"/>
      <c r="C2215" s="252"/>
      <c r="D2215" s="252"/>
      <c r="E2215" s="252"/>
      <c r="F2215" s="252"/>
      <c r="G2215" s="252"/>
      <c r="H2215" s="252"/>
      <c r="I2215" s="252"/>
      <c r="J2215" s="252"/>
      <c r="K2215" s="253"/>
    </row>
    <row r="2216" spans="1:11" ht="22" customHeight="1" x14ac:dyDescent="0.35">
      <c r="A2216" s="251"/>
      <c r="B2216" s="252"/>
      <c r="C2216" s="252"/>
      <c r="D2216" s="252"/>
      <c r="E2216" s="252"/>
      <c r="F2216" s="252"/>
      <c r="G2216" s="252"/>
      <c r="H2216" s="252"/>
      <c r="I2216" s="252"/>
      <c r="J2216" s="252"/>
      <c r="K2216" s="253"/>
    </row>
    <row r="2217" spans="1:11" ht="22" customHeight="1" x14ac:dyDescent="0.35">
      <c r="A2217" s="251"/>
      <c r="B2217" s="252"/>
      <c r="C2217" s="252"/>
      <c r="D2217" s="252"/>
      <c r="E2217" s="252"/>
      <c r="F2217" s="252"/>
      <c r="G2217" s="252"/>
      <c r="H2217" s="252"/>
      <c r="I2217" s="252"/>
      <c r="J2217" s="252"/>
      <c r="K2217" s="253"/>
    </row>
    <row r="2218" spans="1:11" ht="22" customHeight="1" x14ac:dyDescent="0.35">
      <c r="A2218" s="251"/>
      <c r="B2218" s="252"/>
      <c r="C2218" s="252"/>
      <c r="D2218" s="252"/>
      <c r="E2218" s="252"/>
      <c r="F2218" s="252"/>
      <c r="G2218" s="252"/>
      <c r="H2218" s="252"/>
      <c r="I2218" s="252"/>
      <c r="J2218" s="252"/>
      <c r="K2218" s="253"/>
    </row>
    <row r="2219" spans="1:11" ht="22" customHeight="1" x14ac:dyDescent="0.35">
      <c r="A2219" s="251"/>
      <c r="B2219" s="252"/>
      <c r="C2219" s="252"/>
      <c r="D2219" s="252"/>
      <c r="E2219" s="252"/>
      <c r="F2219" s="252"/>
      <c r="G2219" s="252"/>
      <c r="H2219" s="252"/>
      <c r="I2219" s="252"/>
      <c r="J2219" s="252"/>
      <c r="K2219" s="253"/>
    </row>
    <row r="2220" spans="1:11" ht="22" customHeight="1" x14ac:dyDescent="0.35">
      <c r="A2220" s="251"/>
      <c r="B2220" s="252"/>
      <c r="C2220" s="252"/>
      <c r="D2220" s="252"/>
      <c r="E2220" s="252"/>
      <c r="F2220" s="252"/>
      <c r="G2220" s="252"/>
      <c r="H2220" s="252"/>
      <c r="I2220" s="252"/>
      <c r="J2220" s="252"/>
      <c r="K2220" s="253"/>
    </row>
    <row r="2221" spans="1:11" ht="22" customHeight="1" x14ac:dyDescent="0.35">
      <c r="A2221" s="251"/>
      <c r="B2221" s="252"/>
      <c r="C2221" s="252"/>
      <c r="D2221" s="252"/>
      <c r="E2221" s="252"/>
      <c r="F2221" s="252"/>
      <c r="G2221" s="252"/>
      <c r="H2221" s="252"/>
      <c r="I2221" s="252"/>
      <c r="J2221" s="252"/>
      <c r="K2221" s="253"/>
    </row>
    <row r="2222" spans="1:11" ht="22" customHeight="1" x14ac:dyDescent="0.35">
      <c r="A2222" s="251"/>
      <c r="B2222" s="252"/>
      <c r="C2222" s="252"/>
      <c r="D2222" s="252"/>
      <c r="E2222" s="252"/>
      <c r="F2222" s="252"/>
      <c r="G2222" s="252"/>
      <c r="H2222" s="252"/>
      <c r="I2222" s="252"/>
      <c r="J2222" s="252"/>
      <c r="K2222" s="253"/>
    </row>
    <row r="2223" spans="1:11" ht="22" customHeight="1" x14ac:dyDescent="0.35">
      <c r="A2223" s="251"/>
      <c r="B2223" s="252"/>
      <c r="C2223" s="252"/>
      <c r="D2223" s="252"/>
      <c r="E2223" s="252"/>
      <c r="F2223" s="252"/>
      <c r="G2223" s="252"/>
      <c r="H2223" s="252"/>
      <c r="I2223" s="252"/>
      <c r="J2223" s="252"/>
      <c r="K2223" s="253"/>
    </row>
    <row r="2224" spans="1:11" ht="22" customHeight="1" x14ac:dyDescent="0.35">
      <c r="A2224" s="251"/>
      <c r="B2224" s="252"/>
      <c r="C2224" s="252"/>
      <c r="D2224" s="252"/>
      <c r="E2224" s="252"/>
      <c r="F2224" s="252"/>
      <c r="G2224" s="252"/>
      <c r="H2224" s="252"/>
      <c r="I2224" s="252"/>
      <c r="J2224" s="252"/>
      <c r="K2224" s="253"/>
    </row>
    <row r="2225" spans="1:11" ht="22" customHeight="1" x14ac:dyDescent="0.35">
      <c r="A2225" s="251"/>
      <c r="B2225" s="252"/>
      <c r="C2225" s="252"/>
      <c r="D2225" s="252"/>
      <c r="E2225" s="252"/>
      <c r="F2225" s="252"/>
      <c r="G2225" s="252"/>
      <c r="H2225" s="252"/>
      <c r="I2225" s="252"/>
      <c r="J2225" s="252"/>
      <c r="K2225" s="253"/>
    </row>
    <row r="2226" spans="1:11" ht="22" customHeight="1" x14ac:dyDescent="0.35">
      <c r="A2226" s="251"/>
      <c r="B2226" s="252"/>
      <c r="C2226" s="252"/>
      <c r="D2226" s="252"/>
      <c r="E2226" s="252"/>
      <c r="F2226" s="252"/>
      <c r="G2226" s="252"/>
      <c r="H2226" s="252"/>
      <c r="I2226" s="252"/>
      <c r="J2226" s="252"/>
      <c r="K2226" s="253"/>
    </row>
    <row r="2227" spans="1:11" ht="22" customHeight="1" x14ac:dyDescent="0.35">
      <c r="A2227" s="251"/>
      <c r="B2227" s="252"/>
      <c r="C2227" s="252"/>
      <c r="D2227" s="252"/>
      <c r="E2227" s="252"/>
      <c r="F2227" s="252"/>
      <c r="G2227" s="252"/>
      <c r="H2227" s="252"/>
      <c r="I2227" s="252"/>
      <c r="J2227" s="252"/>
      <c r="K2227" s="253"/>
    </row>
    <row r="2228" spans="1:11" ht="22" customHeight="1" x14ac:dyDescent="0.35">
      <c r="A2228" s="251"/>
      <c r="B2228" s="252"/>
      <c r="C2228" s="252"/>
      <c r="D2228" s="252"/>
      <c r="E2228" s="252"/>
      <c r="F2228" s="252"/>
      <c r="G2228" s="252"/>
      <c r="H2228" s="252"/>
      <c r="I2228" s="252"/>
      <c r="J2228" s="252"/>
      <c r="K2228" s="253"/>
    </row>
    <row r="2229" spans="1:11" ht="22" customHeight="1" x14ac:dyDescent="0.35">
      <c r="A2229" s="251"/>
      <c r="B2229" s="252"/>
      <c r="C2229" s="252"/>
      <c r="D2229" s="252"/>
      <c r="E2229" s="252"/>
      <c r="F2229" s="252"/>
      <c r="G2229" s="252"/>
      <c r="H2229" s="252"/>
      <c r="I2229" s="252"/>
      <c r="J2229" s="252"/>
      <c r="K2229" s="253"/>
    </row>
    <row r="2230" spans="1:11" ht="22" customHeight="1" x14ac:dyDescent="0.35">
      <c r="A2230" s="251"/>
      <c r="B2230" s="252"/>
      <c r="C2230" s="252"/>
      <c r="D2230" s="252"/>
      <c r="E2230" s="252"/>
      <c r="F2230" s="252"/>
      <c r="G2230" s="252"/>
      <c r="H2230" s="252"/>
      <c r="I2230" s="252"/>
      <c r="J2230" s="252"/>
      <c r="K2230" s="253"/>
    </row>
    <row r="2231" spans="1:11" ht="22" customHeight="1" x14ac:dyDescent="0.35">
      <c r="A2231" s="251"/>
      <c r="B2231" s="252"/>
      <c r="C2231" s="252"/>
      <c r="D2231" s="252"/>
      <c r="E2231" s="252"/>
      <c r="F2231" s="252"/>
      <c r="G2231" s="252"/>
      <c r="H2231" s="252"/>
      <c r="I2231" s="252"/>
      <c r="J2231" s="252"/>
      <c r="K2231" s="253"/>
    </row>
    <row r="2232" spans="1:11" ht="22" customHeight="1" x14ac:dyDescent="0.35">
      <c r="A2232" s="251"/>
      <c r="B2232" s="252"/>
      <c r="C2232" s="252"/>
      <c r="D2232" s="252"/>
      <c r="E2232" s="252"/>
      <c r="F2232" s="252"/>
      <c r="G2232" s="252"/>
      <c r="H2232" s="252"/>
      <c r="I2232" s="252"/>
      <c r="J2232" s="252"/>
      <c r="K2232" s="253"/>
    </row>
    <row r="2233" spans="1:11" ht="22" customHeight="1" x14ac:dyDescent="0.35">
      <c r="A2233" s="251"/>
      <c r="B2233" s="252"/>
      <c r="C2233" s="252"/>
      <c r="D2233" s="252"/>
      <c r="E2233" s="252"/>
      <c r="F2233" s="252"/>
      <c r="G2233" s="252"/>
      <c r="H2233" s="252"/>
      <c r="I2233" s="252"/>
      <c r="J2233" s="252"/>
      <c r="K2233" s="253"/>
    </row>
    <row r="2234" spans="1:11" ht="22" customHeight="1" x14ac:dyDescent="0.35">
      <c r="A2234" s="251"/>
      <c r="B2234" s="252"/>
      <c r="C2234" s="252"/>
      <c r="D2234" s="252"/>
      <c r="E2234" s="252"/>
      <c r="F2234" s="252"/>
      <c r="G2234" s="252"/>
      <c r="H2234" s="252"/>
      <c r="I2234" s="252"/>
      <c r="J2234" s="252"/>
      <c r="K2234" s="253"/>
    </row>
    <row r="2235" spans="1:11" ht="22" customHeight="1" x14ac:dyDescent="0.35">
      <c r="A2235" s="251"/>
      <c r="B2235" s="252"/>
      <c r="C2235" s="252"/>
      <c r="D2235" s="252"/>
      <c r="E2235" s="252"/>
      <c r="F2235" s="252"/>
      <c r="G2235" s="252"/>
      <c r="H2235" s="252"/>
      <c r="I2235" s="252"/>
      <c r="J2235" s="252"/>
      <c r="K2235" s="253"/>
    </row>
    <row r="2236" spans="1:11" ht="22" customHeight="1" x14ac:dyDescent="0.35">
      <c r="A2236" s="251"/>
      <c r="B2236" s="252"/>
      <c r="C2236" s="252"/>
      <c r="D2236" s="252"/>
      <c r="E2236" s="252"/>
      <c r="F2236" s="252"/>
      <c r="G2236" s="252"/>
      <c r="H2236" s="252"/>
      <c r="I2236" s="252"/>
      <c r="J2236" s="252"/>
      <c r="K2236" s="253"/>
    </row>
    <row r="2237" spans="1:11" ht="22" customHeight="1" x14ac:dyDescent="0.35">
      <c r="A2237" s="251"/>
      <c r="B2237" s="252"/>
      <c r="C2237" s="252"/>
      <c r="D2237" s="252"/>
      <c r="E2237" s="252"/>
      <c r="F2237" s="252"/>
      <c r="G2237" s="252"/>
      <c r="H2237" s="252"/>
      <c r="I2237" s="252"/>
      <c r="J2237" s="252"/>
      <c r="K2237" s="253"/>
    </row>
    <row r="2238" spans="1:11" ht="22" customHeight="1" x14ac:dyDescent="0.35">
      <c r="A2238" s="251"/>
      <c r="B2238" s="252"/>
      <c r="C2238" s="252"/>
      <c r="D2238" s="252"/>
      <c r="E2238" s="252"/>
      <c r="F2238" s="252"/>
      <c r="G2238" s="252"/>
      <c r="H2238" s="252"/>
      <c r="I2238" s="252"/>
      <c r="J2238" s="252"/>
      <c r="K2238" s="253"/>
    </row>
    <row r="2239" spans="1:11" ht="22" customHeight="1" x14ac:dyDescent="0.35">
      <c r="A2239" s="251"/>
      <c r="B2239" s="252"/>
      <c r="C2239" s="252"/>
      <c r="D2239" s="252"/>
      <c r="E2239" s="252"/>
      <c r="F2239" s="252"/>
      <c r="G2239" s="252"/>
      <c r="H2239" s="252"/>
      <c r="I2239" s="252"/>
      <c r="J2239" s="252"/>
      <c r="K2239" s="253"/>
    </row>
    <row r="2240" spans="1:11" ht="22" customHeight="1" x14ac:dyDescent="0.35">
      <c r="A2240" s="251"/>
      <c r="B2240" s="252"/>
      <c r="C2240" s="252"/>
      <c r="D2240" s="252"/>
      <c r="E2240" s="252"/>
      <c r="F2240" s="252"/>
      <c r="G2240" s="252"/>
      <c r="H2240" s="252"/>
      <c r="I2240" s="252"/>
      <c r="J2240" s="252"/>
      <c r="K2240" s="253"/>
    </row>
    <row r="2241" spans="1:11" ht="22" customHeight="1" x14ac:dyDescent="0.35">
      <c r="A2241" s="251"/>
      <c r="B2241" s="252"/>
      <c r="C2241" s="252"/>
      <c r="D2241" s="252"/>
      <c r="E2241" s="252"/>
      <c r="F2241" s="252"/>
      <c r="G2241" s="252"/>
      <c r="H2241" s="252"/>
      <c r="I2241" s="252"/>
      <c r="J2241" s="252"/>
      <c r="K2241" s="253"/>
    </row>
    <row r="2242" spans="1:11" ht="22" customHeight="1" x14ac:dyDescent="0.35">
      <c r="A2242" s="251"/>
      <c r="B2242" s="252"/>
      <c r="C2242" s="252"/>
      <c r="D2242" s="252"/>
      <c r="E2242" s="252"/>
      <c r="F2242" s="252"/>
      <c r="G2242" s="252"/>
      <c r="H2242" s="252"/>
      <c r="I2242" s="252"/>
      <c r="J2242" s="252"/>
      <c r="K2242" s="253"/>
    </row>
    <row r="2243" spans="1:11" ht="22" customHeight="1" x14ac:dyDescent="0.35">
      <c r="A2243" s="251"/>
      <c r="B2243" s="252"/>
      <c r="C2243" s="252"/>
      <c r="D2243" s="252"/>
      <c r="E2243" s="252"/>
      <c r="F2243" s="252"/>
      <c r="G2243" s="252"/>
      <c r="H2243" s="252"/>
      <c r="I2243" s="252"/>
      <c r="J2243" s="252"/>
      <c r="K2243" s="253"/>
    </row>
    <row r="2244" spans="1:11" ht="22" customHeight="1" x14ac:dyDescent="0.35">
      <c r="A2244" s="251"/>
      <c r="B2244" s="252"/>
      <c r="C2244" s="252"/>
      <c r="D2244" s="252"/>
      <c r="E2244" s="252"/>
      <c r="F2244" s="252"/>
      <c r="G2244" s="252"/>
      <c r="H2244" s="252"/>
      <c r="I2244" s="252"/>
      <c r="J2244" s="252"/>
      <c r="K2244" s="253"/>
    </row>
    <row r="2245" spans="1:11" ht="22" customHeight="1" x14ac:dyDescent="0.35">
      <c r="A2245" s="251"/>
      <c r="B2245" s="252"/>
      <c r="C2245" s="252"/>
      <c r="D2245" s="252"/>
      <c r="E2245" s="252"/>
      <c r="F2245" s="252"/>
      <c r="G2245" s="252"/>
      <c r="H2245" s="252"/>
      <c r="I2245" s="252"/>
      <c r="J2245" s="252"/>
      <c r="K2245" s="253"/>
    </row>
    <row r="2246" spans="1:11" ht="22" customHeight="1" x14ac:dyDescent="0.35">
      <c r="A2246" s="251"/>
      <c r="B2246" s="252"/>
      <c r="C2246" s="252"/>
      <c r="D2246" s="252"/>
      <c r="E2246" s="252"/>
      <c r="F2246" s="252"/>
      <c r="G2246" s="252"/>
      <c r="H2246" s="252"/>
      <c r="I2246" s="252"/>
      <c r="J2246" s="252"/>
      <c r="K2246" s="253"/>
    </row>
    <row r="2247" spans="1:11" ht="22" customHeight="1" x14ac:dyDescent="0.35">
      <c r="A2247" s="251"/>
      <c r="B2247" s="252"/>
      <c r="C2247" s="252"/>
      <c r="D2247" s="252"/>
      <c r="E2247" s="252"/>
      <c r="F2247" s="252"/>
      <c r="G2247" s="252"/>
      <c r="H2247" s="252"/>
      <c r="I2247" s="252"/>
      <c r="J2247" s="252"/>
      <c r="K2247" s="253"/>
    </row>
    <row r="2248" spans="1:11" ht="22" customHeight="1" x14ac:dyDescent="0.35">
      <c r="A2248" s="251"/>
      <c r="B2248" s="252"/>
      <c r="C2248" s="252"/>
      <c r="D2248" s="252"/>
      <c r="E2248" s="252"/>
      <c r="F2248" s="252"/>
      <c r="G2248" s="252"/>
      <c r="H2248" s="252"/>
      <c r="I2248" s="252"/>
      <c r="J2248" s="252"/>
      <c r="K2248" s="253"/>
    </row>
    <row r="2249" spans="1:11" ht="22" customHeight="1" x14ac:dyDescent="0.35">
      <c r="A2249" s="251"/>
      <c r="B2249" s="252"/>
      <c r="C2249" s="252"/>
      <c r="D2249" s="252"/>
      <c r="E2249" s="252"/>
      <c r="F2249" s="252"/>
      <c r="G2249" s="252"/>
      <c r="H2249" s="252"/>
      <c r="I2249" s="252"/>
      <c r="J2249" s="252"/>
      <c r="K2249" s="253"/>
    </row>
    <row r="2250" spans="1:11" ht="22" customHeight="1" x14ac:dyDescent="0.35">
      <c r="A2250" s="251"/>
      <c r="B2250" s="252"/>
      <c r="C2250" s="252"/>
      <c r="D2250" s="252"/>
      <c r="E2250" s="252"/>
      <c r="F2250" s="252"/>
      <c r="G2250" s="252"/>
      <c r="H2250" s="252"/>
      <c r="I2250" s="252"/>
      <c r="J2250" s="252"/>
      <c r="K2250" s="253"/>
    </row>
    <row r="2251" spans="1:11" ht="22" customHeight="1" x14ac:dyDescent="0.35">
      <c r="A2251" s="251"/>
      <c r="B2251" s="252"/>
      <c r="C2251" s="252"/>
      <c r="D2251" s="252"/>
      <c r="E2251" s="252"/>
      <c r="F2251" s="252"/>
      <c r="G2251" s="252"/>
      <c r="H2251" s="252"/>
      <c r="I2251" s="252"/>
      <c r="J2251" s="252"/>
      <c r="K2251" s="253"/>
    </row>
    <row r="2252" spans="1:11" ht="22" customHeight="1" x14ac:dyDescent="0.35">
      <c r="A2252" s="251"/>
      <c r="B2252" s="252"/>
      <c r="C2252" s="252"/>
      <c r="D2252" s="252"/>
      <c r="E2252" s="252"/>
      <c r="F2252" s="252"/>
      <c r="G2252" s="252"/>
      <c r="H2252" s="252"/>
      <c r="I2252" s="252"/>
      <c r="J2252" s="252"/>
      <c r="K2252" s="253"/>
    </row>
    <row r="2253" spans="1:11" ht="22" customHeight="1" x14ac:dyDescent="0.35">
      <c r="A2253" s="251"/>
      <c r="B2253" s="252"/>
      <c r="C2253" s="252"/>
      <c r="D2253" s="252"/>
      <c r="E2253" s="252"/>
      <c r="F2253" s="252"/>
      <c r="G2253" s="252"/>
      <c r="H2253" s="252"/>
      <c r="I2253" s="252"/>
      <c r="J2253" s="252"/>
      <c r="K2253" s="253"/>
    </row>
    <row r="2254" spans="1:11" ht="22" customHeight="1" x14ac:dyDescent="0.35">
      <c r="A2254" s="251"/>
      <c r="B2254" s="252"/>
      <c r="C2254" s="252"/>
      <c r="D2254" s="252"/>
      <c r="E2254" s="252"/>
      <c r="F2254" s="252"/>
      <c r="G2254" s="252"/>
      <c r="H2254" s="252"/>
      <c r="I2254" s="252"/>
      <c r="J2254" s="252"/>
      <c r="K2254" s="253"/>
    </row>
    <row r="2255" spans="1:11" ht="22" customHeight="1" x14ac:dyDescent="0.35">
      <c r="A2255" s="251"/>
      <c r="B2255" s="252"/>
      <c r="C2255" s="252"/>
      <c r="D2255" s="252"/>
      <c r="E2255" s="252"/>
      <c r="F2255" s="252"/>
      <c r="G2255" s="252"/>
      <c r="H2255" s="252"/>
      <c r="I2255" s="252"/>
      <c r="J2255" s="252"/>
      <c r="K2255" s="253"/>
    </row>
    <row r="2256" spans="1:11" ht="22" customHeight="1" x14ac:dyDescent="0.35">
      <c r="A2256" s="251"/>
      <c r="B2256" s="252"/>
      <c r="C2256" s="252"/>
      <c r="D2256" s="252"/>
      <c r="E2256" s="252"/>
      <c r="F2256" s="252"/>
      <c r="G2256" s="252"/>
      <c r="H2256" s="252"/>
      <c r="I2256" s="252"/>
      <c r="J2256" s="252"/>
      <c r="K2256" s="253"/>
    </row>
    <row r="2257" spans="1:11" ht="22" customHeight="1" x14ac:dyDescent="0.35">
      <c r="A2257" s="251"/>
      <c r="B2257" s="252"/>
      <c r="C2257" s="252"/>
      <c r="D2257" s="252"/>
      <c r="E2257" s="252"/>
      <c r="F2257" s="252"/>
      <c r="G2257" s="252"/>
      <c r="H2257" s="252"/>
      <c r="I2257" s="252"/>
      <c r="J2257" s="252"/>
      <c r="K2257" s="253"/>
    </row>
    <row r="2258" spans="1:11" ht="22" customHeight="1" x14ac:dyDescent="0.35">
      <c r="A2258" s="251"/>
      <c r="B2258" s="252"/>
      <c r="C2258" s="252"/>
      <c r="D2258" s="252"/>
      <c r="E2258" s="252"/>
      <c r="F2258" s="252"/>
      <c r="G2258" s="252"/>
      <c r="H2258" s="252"/>
      <c r="I2258" s="252"/>
      <c r="J2258" s="252"/>
      <c r="K2258" s="253"/>
    </row>
    <row r="2259" spans="1:11" ht="22" customHeight="1" x14ac:dyDescent="0.35">
      <c r="A2259" s="251"/>
      <c r="B2259" s="252"/>
      <c r="C2259" s="252"/>
      <c r="D2259" s="252"/>
      <c r="E2259" s="252"/>
      <c r="F2259" s="252"/>
      <c r="G2259" s="252"/>
      <c r="H2259" s="252"/>
      <c r="I2259" s="252"/>
      <c r="J2259" s="252"/>
      <c r="K2259" s="253"/>
    </row>
    <row r="2260" spans="1:11" ht="22" customHeight="1" x14ac:dyDescent="0.35">
      <c r="A2260" s="251"/>
      <c r="B2260" s="252"/>
      <c r="C2260" s="252"/>
      <c r="D2260" s="252"/>
      <c r="E2260" s="252"/>
      <c r="F2260" s="252"/>
      <c r="G2260" s="252"/>
      <c r="H2260" s="252"/>
      <c r="I2260" s="252"/>
      <c r="J2260" s="252"/>
      <c r="K2260" s="253"/>
    </row>
    <row r="2261" spans="1:11" ht="22" customHeight="1" x14ac:dyDescent="0.35">
      <c r="A2261" s="251"/>
      <c r="B2261" s="252"/>
      <c r="C2261" s="252"/>
      <c r="D2261" s="252"/>
      <c r="E2261" s="252"/>
      <c r="F2261" s="252"/>
      <c r="G2261" s="252"/>
      <c r="H2261" s="252"/>
      <c r="I2261" s="252"/>
      <c r="J2261" s="252"/>
      <c r="K2261" s="253"/>
    </row>
    <row r="2262" spans="1:11" ht="22" customHeight="1" x14ac:dyDescent="0.35">
      <c r="A2262" s="251"/>
      <c r="B2262" s="252"/>
      <c r="C2262" s="252"/>
      <c r="D2262" s="252"/>
      <c r="E2262" s="252"/>
      <c r="F2262" s="252"/>
      <c r="G2262" s="252"/>
      <c r="H2262" s="252"/>
      <c r="I2262" s="252"/>
      <c r="J2262" s="252"/>
      <c r="K2262" s="253"/>
    </row>
    <row r="2263" spans="1:11" ht="22" customHeight="1" x14ac:dyDescent="0.35">
      <c r="A2263" s="251"/>
      <c r="B2263" s="252"/>
      <c r="C2263" s="252"/>
      <c r="D2263" s="252"/>
      <c r="E2263" s="252"/>
      <c r="F2263" s="252"/>
      <c r="G2263" s="252"/>
      <c r="H2263" s="252"/>
      <c r="I2263" s="252"/>
      <c r="J2263" s="252"/>
      <c r="K2263" s="253"/>
    </row>
    <row r="2264" spans="1:11" ht="22" customHeight="1" x14ac:dyDescent="0.35">
      <c r="A2264" s="251"/>
      <c r="B2264" s="252"/>
      <c r="C2264" s="252"/>
      <c r="D2264" s="252"/>
      <c r="E2264" s="252"/>
      <c r="F2264" s="252"/>
      <c r="G2264" s="252"/>
      <c r="H2264" s="252"/>
      <c r="I2264" s="252"/>
      <c r="J2264" s="252"/>
      <c r="K2264" s="253"/>
    </row>
    <row r="2265" spans="1:11" ht="22" customHeight="1" x14ac:dyDescent="0.35">
      <c r="A2265" s="251"/>
      <c r="B2265" s="252"/>
      <c r="C2265" s="252"/>
      <c r="D2265" s="252"/>
      <c r="E2265" s="252"/>
      <c r="F2265" s="252"/>
      <c r="G2265" s="252"/>
      <c r="H2265" s="252"/>
      <c r="I2265" s="252"/>
      <c r="J2265" s="252"/>
      <c r="K2265" s="253"/>
    </row>
    <row r="2266" spans="1:11" ht="22" customHeight="1" x14ac:dyDescent="0.35">
      <c r="A2266" s="251"/>
      <c r="B2266" s="252"/>
      <c r="C2266" s="252"/>
      <c r="D2266" s="252"/>
      <c r="E2266" s="252"/>
      <c r="F2266" s="252"/>
      <c r="G2266" s="252"/>
      <c r="H2266" s="252"/>
      <c r="I2266" s="252"/>
      <c r="J2266" s="252"/>
      <c r="K2266" s="253"/>
    </row>
    <row r="2267" spans="1:11" ht="22" customHeight="1" x14ac:dyDescent="0.35">
      <c r="A2267" s="251"/>
      <c r="B2267" s="252"/>
      <c r="C2267" s="252"/>
      <c r="D2267" s="252"/>
      <c r="E2267" s="252"/>
      <c r="F2267" s="252"/>
      <c r="G2267" s="252"/>
      <c r="H2267" s="252"/>
      <c r="I2267" s="252"/>
      <c r="J2267" s="252"/>
      <c r="K2267" s="253"/>
    </row>
    <row r="2268" spans="1:11" ht="22" customHeight="1" x14ac:dyDescent="0.35">
      <c r="A2268" s="251"/>
      <c r="B2268" s="252"/>
      <c r="C2268" s="252"/>
      <c r="D2268" s="252"/>
      <c r="E2268" s="252"/>
      <c r="F2268" s="252"/>
      <c r="G2268" s="252"/>
      <c r="H2268" s="252"/>
      <c r="I2268" s="252"/>
      <c r="J2268" s="252"/>
      <c r="K2268" s="253"/>
    </row>
    <row r="2269" spans="1:11" ht="22" customHeight="1" x14ac:dyDescent="0.35">
      <c r="A2269" s="251"/>
      <c r="B2269" s="252"/>
      <c r="C2269" s="252"/>
      <c r="D2269" s="252"/>
      <c r="E2269" s="252"/>
      <c r="F2269" s="252"/>
      <c r="G2269" s="252"/>
      <c r="H2269" s="252"/>
      <c r="I2269" s="252"/>
      <c r="J2269" s="252"/>
      <c r="K2269" s="253"/>
    </row>
    <row r="2270" spans="1:11" ht="22" customHeight="1" x14ac:dyDescent="0.35">
      <c r="A2270" s="251"/>
      <c r="B2270" s="252"/>
      <c r="C2270" s="252"/>
      <c r="D2270" s="252"/>
      <c r="E2270" s="252"/>
      <c r="F2270" s="252"/>
      <c r="G2270" s="252"/>
      <c r="H2270" s="252"/>
      <c r="I2270" s="252"/>
      <c r="J2270" s="252"/>
      <c r="K2270" s="253"/>
    </row>
    <row r="2271" spans="1:11" ht="22" customHeight="1" x14ac:dyDescent="0.35">
      <c r="A2271" s="251"/>
      <c r="B2271" s="252"/>
      <c r="C2271" s="252"/>
      <c r="D2271" s="252"/>
      <c r="E2271" s="252"/>
      <c r="F2271" s="252"/>
      <c r="G2271" s="252"/>
      <c r="H2271" s="252"/>
      <c r="I2271" s="252"/>
      <c r="J2271" s="252"/>
      <c r="K2271" s="253"/>
    </row>
    <row r="2272" spans="1:11" ht="22" customHeight="1" x14ac:dyDescent="0.35">
      <c r="A2272" s="251"/>
      <c r="B2272" s="252"/>
      <c r="C2272" s="252"/>
      <c r="D2272" s="252"/>
      <c r="E2272" s="252"/>
      <c r="F2272" s="252"/>
      <c r="G2272" s="252"/>
      <c r="H2272" s="252"/>
      <c r="I2272" s="252"/>
      <c r="J2272" s="252"/>
      <c r="K2272" s="253"/>
    </row>
    <row r="2273" spans="1:11" ht="22" customHeight="1" x14ac:dyDescent="0.35">
      <c r="A2273" s="251"/>
      <c r="B2273" s="252"/>
      <c r="C2273" s="252"/>
      <c r="D2273" s="252"/>
      <c r="E2273" s="252"/>
      <c r="F2273" s="252"/>
      <c r="G2273" s="252"/>
      <c r="H2273" s="252"/>
      <c r="I2273" s="252"/>
      <c r="J2273" s="252"/>
      <c r="K2273" s="253"/>
    </row>
    <row r="2274" spans="1:11" ht="22" customHeight="1" x14ac:dyDescent="0.35">
      <c r="A2274" s="251"/>
      <c r="B2274" s="252"/>
      <c r="C2274" s="252"/>
      <c r="D2274" s="252"/>
      <c r="E2274" s="252"/>
      <c r="F2274" s="252"/>
      <c r="G2274" s="252"/>
      <c r="H2274" s="252"/>
      <c r="I2274" s="252"/>
      <c r="J2274" s="252"/>
      <c r="K2274" s="253"/>
    </row>
    <row r="2275" spans="1:11" ht="22" customHeight="1" x14ac:dyDescent="0.35">
      <c r="A2275" s="251"/>
      <c r="B2275" s="252"/>
      <c r="C2275" s="252"/>
      <c r="D2275" s="252"/>
      <c r="E2275" s="252"/>
      <c r="F2275" s="252"/>
      <c r="G2275" s="252"/>
      <c r="H2275" s="252"/>
      <c r="I2275" s="252"/>
      <c r="J2275" s="252"/>
      <c r="K2275" s="253"/>
    </row>
    <row r="2276" spans="1:11" ht="22" customHeight="1" x14ac:dyDescent="0.35">
      <c r="A2276" s="251"/>
      <c r="B2276" s="252"/>
      <c r="C2276" s="252"/>
      <c r="D2276" s="252"/>
      <c r="E2276" s="252"/>
      <c r="F2276" s="252"/>
      <c r="G2276" s="252"/>
      <c r="H2276" s="252"/>
      <c r="I2276" s="252"/>
      <c r="J2276" s="252"/>
      <c r="K2276" s="253"/>
    </row>
    <row r="2277" spans="1:11" ht="22" customHeight="1" x14ac:dyDescent="0.35">
      <c r="A2277" s="251"/>
      <c r="B2277" s="252"/>
      <c r="C2277" s="252"/>
      <c r="D2277" s="252"/>
      <c r="E2277" s="252"/>
      <c r="F2277" s="252"/>
      <c r="G2277" s="252"/>
      <c r="H2277" s="252"/>
      <c r="I2277" s="252"/>
      <c r="J2277" s="252"/>
      <c r="K2277" s="253"/>
    </row>
    <row r="2278" spans="1:11" ht="22" customHeight="1" x14ac:dyDescent="0.35">
      <c r="A2278" s="251"/>
      <c r="B2278" s="252"/>
      <c r="C2278" s="252"/>
      <c r="D2278" s="252"/>
      <c r="E2278" s="252"/>
      <c r="F2278" s="252"/>
      <c r="G2278" s="252"/>
      <c r="H2278" s="252"/>
      <c r="I2278" s="252"/>
      <c r="J2278" s="252"/>
      <c r="K2278" s="253"/>
    </row>
    <row r="2279" spans="1:11" ht="22" customHeight="1" x14ac:dyDescent="0.35">
      <c r="A2279" s="251"/>
      <c r="B2279" s="252"/>
      <c r="C2279" s="252"/>
      <c r="D2279" s="252"/>
      <c r="E2279" s="252"/>
      <c r="F2279" s="252"/>
      <c r="G2279" s="252"/>
      <c r="H2279" s="252"/>
      <c r="I2279" s="252"/>
      <c r="J2279" s="252"/>
      <c r="K2279" s="253"/>
    </row>
    <row r="2280" spans="1:11" ht="22" customHeight="1" x14ac:dyDescent="0.35">
      <c r="A2280" s="251"/>
      <c r="B2280" s="252"/>
      <c r="C2280" s="252"/>
      <c r="D2280" s="252"/>
      <c r="E2280" s="252"/>
      <c r="F2280" s="252"/>
      <c r="G2280" s="252"/>
      <c r="H2280" s="252"/>
      <c r="I2280" s="252"/>
      <c r="J2280" s="252"/>
      <c r="K2280" s="253"/>
    </row>
    <row r="2281" spans="1:11" ht="22" customHeight="1" x14ac:dyDescent="0.35">
      <c r="A2281" s="251"/>
      <c r="B2281" s="252"/>
      <c r="C2281" s="252"/>
      <c r="D2281" s="252"/>
      <c r="E2281" s="252"/>
      <c r="F2281" s="252"/>
      <c r="G2281" s="252"/>
      <c r="H2281" s="252"/>
      <c r="I2281" s="252"/>
      <c r="J2281" s="252"/>
      <c r="K2281" s="253"/>
    </row>
    <row r="2282" spans="1:11" ht="22" customHeight="1" x14ac:dyDescent="0.35">
      <c r="A2282" s="251"/>
      <c r="B2282" s="252"/>
      <c r="C2282" s="252"/>
      <c r="D2282" s="252"/>
      <c r="E2282" s="252"/>
      <c r="F2282" s="252"/>
      <c r="G2282" s="252"/>
      <c r="H2282" s="252"/>
      <c r="I2282" s="252"/>
      <c r="J2282" s="252"/>
      <c r="K2282" s="253"/>
    </row>
    <row r="2283" spans="1:11" ht="22" customHeight="1" x14ac:dyDescent="0.35">
      <c r="A2283" s="251"/>
      <c r="B2283" s="252"/>
      <c r="C2283" s="252"/>
      <c r="D2283" s="252"/>
      <c r="E2283" s="252"/>
      <c r="F2283" s="252"/>
      <c r="G2283" s="252"/>
      <c r="H2283" s="252"/>
      <c r="I2283" s="252"/>
      <c r="J2283" s="252"/>
      <c r="K2283" s="253"/>
    </row>
    <row r="2284" spans="1:11" ht="22" customHeight="1" x14ac:dyDescent="0.35">
      <c r="A2284" s="251"/>
      <c r="B2284" s="252"/>
      <c r="C2284" s="252"/>
      <c r="D2284" s="252"/>
      <c r="E2284" s="252"/>
      <c r="F2284" s="252"/>
      <c r="G2284" s="252"/>
      <c r="H2284" s="252"/>
      <c r="I2284" s="252"/>
      <c r="J2284" s="252"/>
      <c r="K2284" s="253"/>
    </row>
    <row r="2285" spans="1:11" ht="22" customHeight="1" x14ac:dyDescent="0.35">
      <c r="A2285" s="251"/>
      <c r="B2285" s="252"/>
      <c r="C2285" s="252"/>
      <c r="D2285" s="252"/>
      <c r="E2285" s="252"/>
      <c r="F2285" s="252"/>
      <c r="G2285" s="252"/>
      <c r="H2285" s="252"/>
      <c r="I2285" s="252"/>
      <c r="J2285" s="252"/>
      <c r="K2285" s="253"/>
    </row>
    <row r="2286" spans="1:11" ht="22" customHeight="1" x14ac:dyDescent="0.35">
      <c r="A2286" s="251"/>
      <c r="B2286" s="252"/>
      <c r="C2286" s="252"/>
      <c r="D2286" s="252"/>
      <c r="E2286" s="252"/>
      <c r="F2286" s="252"/>
      <c r="G2286" s="252"/>
      <c r="H2286" s="252"/>
      <c r="I2286" s="252"/>
      <c r="J2286" s="252"/>
      <c r="K2286" s="253"/>
    </row>
    <row r="2287" spans="1:11" ht="22" customHeight="1" x14ac:dyDescent="0.35">
      <c r="A2287" s="251"/>
      <c r="B2287" s="252"/>
      <c r="C2287" s="252"/>
      <c r="D2287" s="252"/>
      <c r="E2287" s="252"/>
      <c r="F2287" s="252"/>
      <c r="G2287" s="252"/>
      <c r="H2287" s="252"/>
      <c r="I2287" s="252"/>
      <c r="J2287" s="252"/>
      <c r="K2287" s="253"/>
    </row>
    <row r="2288" spans="1:11" ht="22" customHeight="1" x14ac:dyDescent="0.35">
      <c r="A2288" s="251"/>
      <c r="B2288" s="252"/>
      <c r="C2288" s="252"/>
      <c r="D2288" s="252"/>
      <c r="E2288" s="252"/>
      <c r="F2288" s="252"/>
      <c r="G2288" s="252"/>
      <c r="H2288" s="252"/>
      <c r="I2288" s="252"/>
      <c r="J2288" s="252"/>
      <c r="K2288" s="253"/>
    </row>
    <row r="2289" spans="1:11" ht="22" customHeight="1" x14ac:dyDescent="0.35">
      <c r="A2289" s="251"/>
      <c r="B2289" s="252"/>
      <c r="C2289" s="252"/>
      <c r="D2289" s="252"/>
      <c r="E2289" s="252"/>
      <c r="F2289" s="252"/>
      <c r="G2289" s="252"/>
      <c r="H2289" s="252"/>
      <c r="I2289" s="252"/>
      <c r="J2289" s="252"/>
      <c r="K2289" s="253"/>
    </row>
    <row r="2290" spans="1:11" ht="22" customHeight="1" x14ac:dyDescent="0.35">
      <c r="A2290" s="251"/>
      <c r="B2290" s="252"/>
      <c r="C2290" s="252"/>
      <c r="D2290" s="252"/>
      <c r="E2290" s="252"/>
      <c r="F2290" s="252"/>
      <c r="G2290" s="252"/>
      <c r="H2290" s="252"/>
      <c r="I2290" s="252"/>
      <c r="J2290" s="252"/>
      <c r="K2290" s="253"/>
    </row>
    <row r="2291" spans="1:11" ht="22" customHeight="1" x14ac:dyDescent="0.35">
      <c r="A2291" s="251"/>
      <c r="B2291" s="252"/>
      <c r="C2291" s="252"/>
      <c r="D2291" s="252"/>
      <c r="E2291" s="252"/>
      <c r="F2291" s="252"/>
      <c r="G2291" s="252"/>
      <c r="H2291" s="252"/>
      <c r="I2291" s="252"/>
      <c r="J2291" s="252"/>
      <c r="K2291" s="253"/>
    </row>
    <row r="2292" spans="1:11" ht="22" customHeight="1" x14ac:dyDescent="0.35">
      <c r="A2292" s="251"/>
      <c r="B2292" s="252"/>
      <c r="C2292" s="252"/>
      <c r="D2292" s="252"/>
      <c r="E2292" s="252"/>
      <c r="F2292" s="252"/>
      <c r="G2292" s="252"/>
      <c r="H2292" s="252"/>
      <c r="I2292" s="252"/>
      <c r="J2292" s="252"/>
      <c r="K2292" s="253"/>
    </row>
    <row r="2293" spans="1:11" ht="22" customHeight="1" x14ac:dyDescent="0.35">
      <c r="A2293" s="251"/>
      <c r="B2293" s="252"/>
      <c r="C2293" s="252"/>
      <c r="D2293" s="252"/>
      <c r="E2293" s="252"/>
      <c r="F2293" s="252"/>
      <c r="G2293" s="252"/>
      <c r="H2293" s="252"/>
      <c r="I2293" s="252"/>
      <c r="J2293" s="252"/>
      <c r="K2293" s="253"/>
    </row>
    <row r="2294" spans="1:11" ht="22" customHeight="1" x14ac:dyDescent="0.35">
      <c r="A2294" s="251"/>
      <c r="B2294" s="252"/>
      <c r="C2294" s="252"/>
      <c r="D2294" s="252"/>
      <c r="E2294" s="252"/>
      <c r="F2294" s="252"/>
      <c r="G2294" s="252"/>
      <c r="H2294" s="252"/>
      <c r="I2294" s="252"/>
      <c r="J2294" s="252"/>
      <c r="K2294" s="253"/>
    </row>
    <row r="2295" spans="1:11" ht="22" customHeight="1" x14ac:dyDescent="0.35">
      <c r="A2295" s="251"/>
      <c r="B2295" s="252"/>
      <c r="C2295" s="252"/>
      <c r="D2295" s="252"/>
      <c r="E2295" s="252"/>
      <c r="F2295" s="252"/>
      <c r="G2295" s="252"/>
      <c r="H2295" s="252"/>
      <c r="I2295" s="252"/>
      <c r="J2295" s="252"/>
      <c r="K2295" s="253"/>
    </row>
    <row r="2296" spans="1:11" ht="22" customHeight="1" x14ac:dyDescent="0.35">
      <c r="A2296" s="251"/>
      <c r="B2296" s="252"/>
      <c r="C2296" s="252"/>
      <c r="D2296" s="252"/>
      <c r="E2296" s="252"/>
      <c r="F2296" s="252"/>
      <c r="G2296" s="252"/>
      <c r="H2296" s="252"/>
      <c r="I2296" s="252"/>
      <c r="J2296" s="252"/>
      <c r="K2296" s="253"/>
    </row>
    <row r="2297" spans="1:11" ht="22" customHeight="1" x14ac:dyDescent="0.35">
      <c r="A2297" s="251"/>
      <c r="B2297" s="252"/>
      <c r="C2297" s="252"/>
      <c r="D2297" s="252"/>
      <c r="E2297" s="252"/>
      <c r="F2297" s="252"/>
      <c r="G2297" s="252"/>
      <c r="H2297" s="252"/>
      <c r="I2297" s="252"/>
      <c r="J2297" s="252"/>
      <c r="K2297" s="253"/>
    </row>
    <row r="2298" spans="1:11" ht="22" customHeight="1" x14ac:dyDescent="0.35">
      <c r="A2298" s="251"/>
      <c r="B2298" s="252"/>
      <c r="C2298" s="252"/>
      <c r="D2298" s="252"/>
      <c r="E2298" s="252"/>
      <c r="F2298" s="252"/>
      <c r="G2298" s="252"/>
      <c r="H2298" s="252"/>
      <c r="I2298" s="252"/>
      <c r="J2298" s="252"/>
      <c r="K2298" s="253"/>
    </row>
    <row r="2299" spans="1:11" ht="22" customHeight="1" x14ac:dyDescent="0.35">
      <c r="A2299" s="251"/>
      <c r="B2299" s="252"/>
      <c r="C2299" s="252"/>
      <c r="D2299" s="252"/>
      <c r="E2299" s="252"/>
      <c r="F2299" s="252"/>
      <c r="G2299" s="252"/>
      <c r="H2299" s="252"/>
      <c r="I2299" s="252"/>
      <c r="J2299" s="252"/>
      <c r="K2299" s="253"/>
    </row>
    <row r="2300" spans="1:11" ht="22" customHeight="1" x14ac:dyDescent="0.35">
      <c r="A2300" s="251"/>
      <c r="B2300" s="252"/>
      <c r="C2300" s="252"/>
      <c r="D2300" s="252"/>
      <c r="E2300" s="252"/>
      <c r="F2300" s="252"/>
      <c r="G2300" s="252"/>
      <c r="H2300" s="252"/>
      <c r="I2300" s="252"/>
      <c r="J2300" s="252"/>
      <c r="K2300" s="253"/>
    </row>
    <row r="2301" spans="1:11" ht="22" customHeight="1" x14ac:dyDescent="0.35">
      <c r="A2301" s="251"/>
      <c r="B2301" s="252"/>
      <c r="C2301" s="252"/>
      <c r="D2301" s="252"/>
      <c r="E2301" s="252"/>
      <c r="F2301" s="252"/>
      <c r="G2301" s="252"/>
      <c r="H2301" s="252"/>
      <c r="I2301" s="252"/>
      <c r="J2301" s="252"/>
      <c r="K2301" s="253"/>
    </row>
    <row r="2302" spans="1:11" ht="22" customHeight="1" x14ac:dyDescent="0.35">
      <c r="A2302" s="251"/>
      <c r="B2302" s="252"/>
      <c r="C2302" s="252"/>
      <c r="D2302" s="252"/>
      <c r="E2302" s="252"/>
      <c r="F2302" s="252"/>
      <c r="G2302" s="252"/>
      <c r="H2302" s="252"/>
      <c r="I2302" s="252"/>
      <c r="J2302" s="252"/>
      <c r="K2302" s="253"/>
    </row>
    <row r="2303" spans="1:11" ht="22" customHeight="1" x14ac:dyDescent="0.35">
      <c r="A2303" s="251"/>
      <c r="B2303" s="252"/>
      <c r="C2303" s="252"/>
      <c r="D2303" s="252"/>
      <c r="E2303" s="252"/>
      <c r="F2303" s="252"/>
      <c r="G2303" s="252"/>
      <c r="H2303" s="252"/>
      <c r="I2303" s="252"/>
      <c r="J2303" s="252"/>
      <c r="K2303" s="253"/>
    </row>
    <row r="2304" spans="1:11" ht="22" customHeight="1" x14ac:dyDescent="0.35">
      <c r="A2304" s="251"/>
      <c r="B2304" s="252"/>
      <c r="C2304" s="252"/>
      <c r="D2304" s="252"/>
      <c r="E2304" s="252"/>
      <c r="F2304" s="252"/>
      <c r="G2304" s="252"/>
      <c r="H2304" s="252"/>
      <c r="I2304" s="252"/>
      <c r="J2304" s="252"/>
      <c r="K2304" s="253"/>
    </row>
    <row r="2305" spans="1:11" ht="22" customHeight="1" x14ac:dyDescent="0.35">
      <c r="A2305" s="251"/>
      <c r="B2305" s="252"/>
      <c r="C2305" s="252"/>
      <c r="D2305" s="252"/>
      <c r="E2305" s="252"/>
      <c r="F2305" s="252"/>
      <c r="G2305" s="252"/>
      <c r="H2305" s="252"/>
      <c r="I2305" s="252"/>
      <c r="J2305" s="252"/>
      <c r="K2305" s="253"/>
    </row>
    <row r="2306" spans="1:11" ht="22" customHeight="1" x14ac:dyDescent="0.35">
      <c r="A2306" s="251"/>
      <c r="B2306" s="252"/>
      <c r="C2306" s="252"/>
      <c r="D2306" s="252"/>
      <c r="E2306" s="252"/>
      <c r="F2306" s="252"/>
      <c r="G2306" s="252"/>
      <c r="H2306" s="252"/>
      <c r="I2306" s="252"/>
      <c r="J2306" s="252"/>
      <c r="K2306" s="253"/>
    </row>
    <row r="2307" spans="1:11" ht="22" customHeight="1" x14ac:dyDescent="0.35">
      <c r="A2307" s="251"/>
      <c r="B2307" s="252"/>
      <c r="C2307" s="252"/>
      <c r="D2307" s="252"/>
      <c r="E2307" s="252"/>
      <c r="F2307" s="252"/>
      <c r="G2307" s="252"/>
      <c r="H2307" s="252"/>
      <c r="I2307" s="252"/>
      <c r="J2307" s="252"/>
      <c r="K2307" s="253"/>
    </row>
    <row r="2308" spans="1:11" ht="22" customHeight="1" x14ac:dyDescent="0.35">
      <c r="A2308" s="251"/>
      <c r="B2308" s="252"/>
      <c r="C2308" s="252"/>
      <c r="D2308" s="252"/>
      <c r="E2308" s="252"/>
      <c r="F2308" s="252"/>
      <c r="G2308" s="252"/>
      <c r="H2308" s="252"/>
      <c r="I2308" s="252"/>
      <c r="J2308" s="252"/>
      <c r="K2308" s="253"/>
    </row>
    <row r="2309" spans="1:11" ht="22" customHeight="1" x14ac:dyDescent="0.35">
      <c r="A2309" s="251"/>
      <c r="B2309" s="252"/>
      <c r="C2309" s="252"/>
      <c r="D2309" s="252"/>
      <c r="E2309" s="252"/>
      <c r="F2309" s="252"/>
      <c r="G2309" s="252"/>
      <c r="H2309" s="252"/>
      <c r="I2309" s="252"/>
      <c r="J2309" s="252"/>
      <c r="K2309" s="253"/>
    </row>
    <row r="2310" spans="1:11" ht="22" customHeight="1" x14ac:dyDescent="0.35">
      <c r="A2310" s="251"/>
      <c r="B2310" s="252"/>
      <c r="C2310" s="252"/>
      <c r="D2310" s="252"/>
      <c r="E2310" s="252"/>
      <c r="F2310" s="252"/>
      <c r="G2310" s="252"/>
      <c r="H2310" s="252"/>
      <c r="I2310" s="252"/>
      <c r="J2310" s="252"/>
      <c r="K2310" s="253"/>
    </row>
    <row r="2311" spans="1:11" ht="22" customHeight="1" x14ac:dyDescent="0.35">
      <c r="A2311" s="251"/>
      <c r="B2311" s="252"/>
      <c r="C2311" s="252"/>
      <c r="D2311" s="252"/>
      <c r="E2311" s="252"/>
      <c r="F2311" s="252"/>
      <c r="G2311" s="252"/>
      <c r="H2311" s="252"/>
      <c r="I2311" s="252"/>
      <c r="J2311" s="252"/>
      <c r="K2311" s="253"/>
    </row>
    <row r="2312" spans="1:11" ht="22" customHeight="1" x14ac:dyDescent="0.35">
      <c r="A2312" s="251"/>
      <c r="B2312" s="252"/>
      <c r="C2312" s="252"/>
      <c r="D2312" s="252"/>
      <c r="E2312" s="252"/>
      <c r="F2312" s="252"/>
      <c r="G2312" s="252"/>
      <c r="H2312" s="252"/>
      <c r="I2312" s="252"/>
      <c r="J2312" s="252"/>
      <c r="K2312" s="253"/>
    </row>
    <row r="2313" spans="1:11" ht="22" customHeight="1" x14ac:dyDescent="0.35">
      <c r="A2313" s="251"/>
      <c r="B2313" s="252"/>
      <c r="C2313" s="252"/>
      <c r="D2313" s="252"/>
      <c r="E2313" s="252"/>
      <c r="F2313" s="252"/>
      <c r="G2313" s="252"/>
      <c r="H2313" s="252"/>
      <c r="I2313" s="252"/>
      <c r="J2313" s="252"/>
      <c r="K2313" s="253"/>
    </row>
    <row r="2314" spans="1:11" ht="22" customHeight="1" x14ac:dyDescent="0.35">
      <c r="A2314" s="251"/>
      <c r="B2314" s="252"/>
      <c r="C2314" s="252"/>
      <c r="D2314" s="252"/>
      <c r="E2314" s="252"/>
      <c r="F2314" s="252"/>
      <c r="G2314" s="252"/>
      <c r="H2314" s="252"/>
      <c r="I2314" s="252"/>
      <c r="J2314" s="252"/>
      <c r="K2314" s="253"/>
    </row>
    <row r="2315" spans="1:11" ht="22" customHeight="1" x14ac:dyDescent="0.35">
      <c r="A2315" s="251"/>
      <c r="B2315" s="252"/>
      <c r="C2315" s="252"/>
      <c r="D2315" s="252"/>
      <c r="E2315" s="252"/>
      <c r="F2315" s="252"/>
      <c r="G2315" s="252"/>
      <c r="H2315" s="252"/>
      <c r="I2315" s="252"/>
      <c r="J2315" s="252"/>
      <c r="K2315" s="253"/>
    </row>
    <row r="2316" spans="1:11" ht="22" customHeight="1" x14ac:dyDescent="0.35">
      <c r="A2316" s="251"/>
      <c r="B2316" s="252"/>
      <c r="C2316" s="252"/>
      <c r="D2316" s="252"/>
      <c r="E2316" s="252"/>
      <c r="F2316" s="252"/>
      <c r="G2316" s="252"/>
      <c r="H2316" s="252"/>
      <c r="I2316" s="252"/>
      <c r="J2316" s="252"/>
      <c r="K2316" s="253"/>
    </row>
    <row r="2317" spans="1:11" ht="22" customHeight="1" x14ac:dyDescent="0.35">
      <c r="A2317" s="251"/>
      <c r="B2317" s="252"/>
      <c r="C2317" s="252"/>
      <c r="D2317" s="252"/>
      <c r="E2317" s="252"/>
      <c r="F2317" s="252"/>
      <c r="G2317" s="252"/>
      <c r="H2317" s="252"/>
      <c r="I2317" s="252"/>
      <c r="J2317" s="252"/>
      <c r="K2317" s="253"/>
    </row>
    <row r="2318" spans="1:11" ht="22" customHeight="1" x14ac:dyDescent="0.35">
      <c r="A2318" s="251"/>
      <c r="B2318" s="252"/>
      <c r="C2318" s="252"/>
      <c r="D2318" s="252"/>
      <c r="E2318" s="252"/>
      <c r="F2318" s="252"/>
      <c r="G2318" s="252"/>
      <c r="H2318" s="252"/>
      <c r="I2318" s="252"/>
      <c r="J2318" s="252"/>
      <c r="K2318" s="253"/>
    </row>
    <row r="2319" spans="1:11" ht="22" customHeight="1" x14ac:dyDescent="0.35">
      <c r="A2319" s="251"/>
      <c r="B2319" s="252"/>
      <c r="C2319" s="252"/>
      <c r="D2319" s="252"/>
      <c r="E2319" s="252"/>
      <c r="F2319" s="252"/>
      <c r="G2319" s="252"/>
      <c r="H2319" s="252"/>
      <c r="I2319" s="252"/>
      <c r="J2319" s="252"/>
      <c r="K2319" s="253"/>
    </row>
    <row r="2320" spans="1:11" ht="22" customHeight="1" x14ac:dyDescent="0.35">
      <c r="A2320" s="251"/>
      <c r="B2320" s="252"/>
      <c r="C2320" s="252"/>
      <c r="D2320" s="252"/>
      <c r="E2320" s="252"/>
      <c r="F2320" s="252"/>
      <c r="G2320" s="252"/>
      <c r="H2320" s="252"/>
      <c r="I2320" s="252"/>
      <c r="J2320" s="252"/>
      <c r="K2320" s="253"/>
    </row>
    <row r="2321" spans="1:11" ht="22" customHeight="1" x14ac:dyDescent="0.35">
      <c r="A2321" s="251"/>
      <c r="B2321" s="252"/>
      <c r="C2321" s="252"/>
      <c r="D2321" s="252"/>
      <c r="E2321" s="252"/>
      <c r="F2321" s="252"/>
      <c r="G2321" s="252"/>
      <c r="H2321" s="252"/>
      <c r="I2321" s="252"/>
      <c r="J2321" s="252"/>
      <c r="K2321" s="253"/>
    </row>
    <row r="2322" spans="1:11" ht="22" customHeight="1" x14ac:dyDescent="0.35">
      <c r="A2322" s="251"/>
      <c r="B2322" s="252"/>
      <c r="C2322" s="252"/>
      <c r="D2322" s="252"/>
      <c r="E2322" s="252"/>
      <c r="F2322" s="252"/>
      <c r="G2322" s="252"/>
      <c r="H2322" s="252"/>
      <c r="I2322" s="252"/>
      <c r="J2322" s="252"/>
      <c r="K2322" s="253"/>
    </row>
    <row r="2323" spans="1:11" ht="22" customHeight="1" x14ac:dyDescent="0.35">
      <c r="A2323" s="251"/>
      <c r="B2323" s="252"/>
      <c r="C2323" s="252"/>
      <c r="D2323" s="252"/>
      <c r="E2323" s="252"/>
      <c r="F2323" s="252"/>
      <c r="G2323" s="252"/>
      <c r="H2323" s="252"/>
      <c r="I2323" s="252"/>
      <c r="J2323" s="252"/>
      <c r="K2323" s="253"/>
    </row>
    <row r="2324" spans="1:11" ht="22" customHeight="1" x14ac:dyDescent="0.35">
      <c r="A2324" s="251"/>
      <c r="B2324" s="252"/>
      <c r="C2324" s="252"/>
      <c r="D2324" s="252"/>
      <c r="E2324" s="252"/>
      <c r="F2324" s="252"/>
      <c r="G2324" s="252"/>
      <c r="H2324" s="252"/>
      <c r="I2324" s="252"/>
      <c r="J2324" s="252"/>
      <c r="K2324" s="253"/>
    </row>
    <row r="2325" spans="1:11" ht="22" customHeight="1" x14ac:dyDescent="0.35">
      <c r="A2325" s="251"/>
      <c r="B2325" s="252"/>
      <c r="C2325" s="252"/>
      <c r="D2325" s="252"/>
      <c r="E2325" s="252"/>
      <c r="F2325" s="252"/>
      <c r="G2325" s="252"/>
      <c r="H2325" s="252"/>
      <c r="I2325" s="252"/>
      <c r="J2325" s="252"/>
      <c r="K2325" s="253"/>
    </row>
    <row r="2326" spans="1:11" ht="22" customHeight="1" x14ac:dyDescent="0.35">
      <c r="A2326" s="251"/>
      <c r="B2326" s="252"/>
      <c r="C2326" s="252"/>
      <c r="D2326" s="252"/>
      <c r="E2326" s="252"/>
      <c r="F2326" s="252"/>
      <c r="G2326" s="252"/>
      <c r="H2326" s="252"/>
      <c r="I2326" s="252"/>
      <c r="J2326" s="252"/>
      <c r="K2326" s="253"/>
    </row>
    <row r="2327" spans="1:11" ht="22" customHeight="1" x14ac:dyDescent="0.35">
      <c r="A2327" s="251"/>
      <c r="B2327" s="252"/>
      <c r="C2327" s="252"/>
      <c r="D2327" s="252"/>
      <c r="E2327" s="252"/>
      <c r="F2327" s="252"/>
      <c r="G2327" s="252"/>
      <c r="H2327" s="252"/>
      <c r="I2327" s="252"/>
      <c r="J2327" s="252"/>
      <c r="K2327" s="253"/>
    </row>
    <row r="2328" spans="1:11" ht="22" customHeight="1" x14ac:dyDescent="0.35">
      <c r="A2328" s="251"/>
      <c r="B2328" s="252"/>
      <c r="C2328" s="252"/>
      <c r="D2328" s="252"/>
      <c r="E2328" s="252"/>
      <c r="F2328" s="252"/>
      <c r="G2328" s="252"/>
      <c r="H2328" s="252"/>
      <c r="I2328" s="252"/>
      <c r="J2328" s="252"/>
      <c r="K2328" s="253"/>
    </row>
    <row r="2329" spans="1:11" ht="22" customHeight="1" x14ac:dyDescent="0.35">
      <c r="A2329" s="251"/>
      <c r="B2329" s="252"/>
      <c r="C2329" s="252"/>
      <c r="D2329" s="252"/>
      <c r="E2329" s="252"/>
      <c r="F2329" s="252"/>
      <c r="G2329" s="252"/>
      <c r="H2329" s="252"/>
      <c r="I2329" s="252"/>
      <c r="J2329" s="252"/>
      <c r="K2329" s="253"/>
    </row>
    <row r="2330" spans="1:11" ht="22" customHeight="1" x14ac:dyDescent="0.35">
      <c r="A2330" s="251"/>
      <c r="B2330" s="252"/>
      <c r="C2330" s="252"/>
      <c r="D2330" s="252"/>
      <c r="E2330" s="252"/>
      <c r="F2330" s="252"/>
      <c r="G2330" s="252"/>
      <c r="H2330" s="252"/>
      <c r="I2330" s="252"/>
      <c r="J2330" s="252"/>
      <c r="K2330" s="253"/>
    </row>
    <row r="2331" spans="1:11" ht="22" customHeight="1" x14ac:dyDescent="0.35">
      <c r="A2331" s="251"/>
      <c r="B2331" s="252"/>
      <c r="C2331" s="252"/>
      <c r="D2331" s="252"/>
      <c r="E2331" s="252"/>
      <c r="F2331" s="252"/>
      <c r="G2331" s="252"/>
      <c r="H2331" s="252"/>
      <c r="I2331" s="252"/>
      <c r="J2331" s="252"/>
      <c r="K2331" s="253"/>
    </row>
    <row r="2332" spans="1:11" ht="22" customHeight="1" x14ac:dyDescent="0.35">
      <c r="A2332" s="251"/>
      <c r="B2332" s="252"/>
      <c r="C2332" s="252"/>
      <c r="D2332" s="252"/>
      <c r="E2332" s="252"/>
      <c r="F2332" s="252"/>
      <c r="G2332" s="252"/>
      <c r="H2332" s="252"/>
      <c r="I2332" s="252"/>
      <c r="J2332" s="252"/>
      <c r="K2332" s="253"/>
    </row>
    <row r="2333" spans="1:11" ht="22" customHeight="1" x14ac:dyDescent="0.35">
      <c r="A2333" s="251"/>
      <c r="B2333" s="252"/>
      <c r="C2333" s="252"/>
      <c r="D2333" s="252"/>
      <c r="E2333" s="252"/>
      <c r="F2333" s="252"/>
      <c r="G2333" s="252"/>
      <c r="H2333" s="252"/>
      <c r="I2333" s="252"/>
      <c r="J2333" s="252"/>
      <c r="K2333" s="253"/>
    </row>
    <row r="2334" spans="1:11" ht="22" customHeight="1" x14ac:dyDescent="0.35">
      <c r="A2334" s="251"/>
      <c r="B2334" s="252"/>
      <c r="C2334" s="252"/>
      <c r="D2334" s="252"/>
      <c r="E2334" s="252"/>
      <c r="F2334" s="252"/>
      <c r="G2334" s="252"/>
      <c r="H2334" s="252"/>
      <c r="I2334" s="252"/>
      <c r="J2334" s="252"/>
      <c r="K2334" s="253"/>
    </row>
    <row r="2335" spans="1:11" ht="22" customHeight="1" x14ac:dyDescent="0.35">
      <c r="A2335" s="251"/>
      <c r="B2335" s="252"/>
      <c r="C2335" s="252"/>
      <c r="D2335" s="252"/>
      <c r="E2335" s="252"/>
      <c r="F2335" s="252"/>
      <c r="G2335" s="252"/>
      <c r="H2335" s="252"/>
      <c r="I2335" s="252"/>
      <c r="J2335" s="252"/>
      <c r="K2335" s="253"/>
    </row>
    <row r="2336" spans="1:11" ht="22" customHeight="1" x14ac:dyDescent="0.35">
      <c r="A2336" s="251"/>
      <c r="B2336" s="252"/>
      <c r="C2336" s="252"/>
      <c r="D2336" s="252"/>
      <c r="E2336" s="252"/>
      <c r="F2336" s="252"/>
      <c r="G2336" s="252"/>
      <c r="H2336" s="252"/>
      <c r="I2336" s="252"/>
      <c r="J2336" s="252"/>
      <c r="K2336" s="253"/>
    </row>
    <row r="2337" spans="1:11" ht="22" customHeight="1" x14ac:dyDescent="0.35">
      <c r="A2337" s="251"/>
      <c r="B2337" s="252"/>
      <c r="C2337" s="252"/>
      <c r="D2337" s="252"/>
      <c r="E2337" s="252"/>
      <c r="F2337" s="252"/>
      <c r="G2337" s="252"/>
      <c r="H2337" s="252"/>
      <c r="I2337" s="252"/>
      <c r="J2337" s="252"/>
      <c r="K2337" s="253"/>
    </row>
    <row r="2338" spans="1:11" ht="22" customHeight="1" x14ac:dyDescent="0.35">
      <c r="A2338" s="251"/>
      <c r="B2338" s="252"/>
      <c r="C2338" s="252"/>
      <c r="D2338" s="252"/>
      <c r="E2338" s="252"/>
      <c r="F2338" s="252"/>
      <c r="G2338" s="252"/>
      <c r="H2338" s="252"/>
      <c r="I2338" s="252"/>
      <c r="J2338" s="252"/>
      <c r="K2338" s="253"/>
    </row>
    <row r="2339" spans="1:11" ht="22" customHeight="1" x14ac:dyDescent="0.35">
      <c r="A2339" s="251"/>
      <c r="B2339" s="252"/>
      <c r="C2339" s="252"/>
      <c r="D2339" s="252"/>
      <c r="E2339" s="252"/>
      <c r="F2339" s="252"/>
      <c r="G2339" s="252"/>
      <c r="H2339" s="252"/>
      <c r="I2339" s="252"/>
      <c r="J2339" s="252"/>
      <c r="K2339" s="253"/>
    </row>
    <row r="2340" spans="1:11" ht="22" customHeight="1" x14ac:dyDescent="0.35">
      <c r="A2340" s="251"/>
      <c r="B2340" s="252"/>
      <c r="C2340" s="252"/>
      <c r="D2340" s="252"/>
      <c r="E2340" s="252"/>
      <c r="F2340" s="252"/>
      <c r="G2340" s="252"/>
      <c r="H2340" s="252"/>
      <c r="I2340" s="252"/>
      <c r="J2340" s="252"/>
      <c r="K2340" s="253"/>
    </row>
    <row r="2341" spans="1:11" ht="22" customHeight="1" x14ac:dyDescent="0.35">
      <c r="A2341" s="251"/>
      <c r="B2341" s="252"/>
      <c r="C2341" s="252"/>
      <c r="D2341" s="252"/>
      <c r="E2341" s="252"/>
      <c r="F2341" s="252"/>
      <c r="G2341" s="252"/>
      <c r="H2341" s="252"/>
      <c r="I2341" s="252"/>
      <c r="J2341" s="252"/>
      <c r="K2341" s="253"/>
    </row>
    <row r="2342" spans="1:11" ht="22" customHeight="1" x14ac:dyDescent="0.35">
      <c r="A2342" s="251"/>
      <c r="B2342" s="252"/>
      <c r="C2342" s="252"/>
      <c r="D2342" s="252"/>
      <c r="E2342" s="252"/>
      <c r="F2342" s="252"/>
      <c r="G2342" s="252"/>
      <c r="H2342" s="252"/>
      <c r="I2342" s="252"/>
      <c r="J2342" s="252"/>
      <c r="K2342" s="253"/>
    </row>
    <row r="2343" spans="1:11" ht="22" customHeight="1" x14ac:dyDescent="0.35">
      <c r="A2343" s="251"/>
      <c r="B2343" s="252"/>
      <c r="C2343" s="252"/>
      <c r="D2343" s="252"/>
      <c r="E2343" s="252"/>
      <c r="F2343" s="252"/>
      <c r="G2343" s="252"/>
      <c r="H2343" s="252"/>
      <c r="I2343" s="252"/>
      <c r="J2343" s="252"/>
      <c r="K2343" s="253"/>
    </row>
    <row r="2344" spans="1:11" ht="22" customHeight="1" x14ac:dyDescent="0.35">
      <c r="A2344" s="251"/>
      <c r="B2344" s="252"/>
      <c r="C2344" s="252"/>
      <c r="D2344" s="252"/>
      <c r="E2344" s="252"/>
      <c r="F2344" s="252"/>
      <c r="G2344" s="252"/>
      <c r="H2344" s="252"/>
      <c r="I2344" s="252"/>
      <c r="J2344" s="252"/>
      <c r="K2344" s="253"/>
    </row>
    <row r="2345" spans="1:11" ht="22" customHeight="1" x14ac:dyDescent="0.35">
      <c r="A2345" s="251"/>
      <c r="B2345" s="252"/>
      <c r="C2345" s="252"/>
      <c r="D2345" s="252"/>
      <c r="E2345" s="252"/>
      <c r="F2345" s="252"/>
      <c r="G2345" s="252"/>
      <c r="H2345" s="252"/>
      <c r="I2345" s="252"/>
      <c r="J2345" s="252"/>
      <c r="K2345" s="253"/>
    </row>
    <row r="2346" spans="1:11" ht="22" customHeight="1" x14ac:dyDescent="0.35">
      <c r="A2346" s="251"/>
      <c r="B2346" s="252"/>
      <c r="C2346" s="252"/>
      <c r="D2346" s="252"/>
      <c r="E2346" s="252"/>
      <c r="F2346" s="252"/>
      <c r="G2346" s="252"/>
      <c r="H2346" s="252"/>
      <c r="I2346" s="252"/>
      <c r="J2346" s="252"/>
      <c r="K2346" s="253"/>
    </row>
    <row r="2347" spans="1:11" ht="22" customHeight="1" x14ac:dyDescent="0.35">
      <c r="A2347" s="251"/>
      <c r="B2347" s="252"/>
      <c r="C2347" s="252"/>
      <c r="D2347" s="252"/>
      <c r="E2347" s="252"/>
      <c r="F2347" s="252"/>
      <c r="G2347" s="252"/>
      <c r="H2347" s="252"/>
      <c r="I2347" s="252"/>
      <c r="J2347" s="252"/>
      <c r="K2347" s="253"/>
    </row>
    <row r="2348" spans="1:11" ht="22" customHeight="1" x14ac:dyDescent="0.35">
      <c r="A2348" s="251"/>
      <c r="B2348" s="252"/>
      <c r="C2348" s="252"/>
      <c r="D2348" s="252"/>
      <c r="E2348" s="252"/>
      <c r="F2348" s="252"/>
      <c r="G2348" s="252"/>
      <c r="H2348" s="252"/>
      <c r="I2348" s="252"/>
      <c r="J2348" s="252"/>
      <c r="K2348" s="253"/>
    </row>
    <row r="2349" spans="1:11" ht="22" customHeight="1" x14ac:dyDescent="0.35">
      <c r="A2349" s="251"/>
      <c r="B2349" s="252"/>
      <c r="C2349" s="252"/>
      <c r="D2349" s="252"/>
      <c r="E2349" s="252"/>
      <c r="F2349" s="252"/>
      <c r="G2349" s="252"/>
      <c r="H2349" s="252"/>
      <c r="I2349" s="252"/>
      <c r="J2349" s="252"/>
      <c r="K2349" s="253"/>
    </row>
    <row r="2350" spans="1:11" ht="22" customHeight="1" x14ac:dyDescent="0.35">
      <c r="A2350" s="251"/>
      <c r="B2350" s="252"/>
      <c r="C2350" s="252"/>
      <c r="D2350" s="252"/>
      <c r="E2350" s="252"/>
      <c r="F2350" s="252"/>
      <c r="G2350" s="252"/>
      <c r="H2350" s="252"/>
      <c r="I2350" s="252"/>
      <c r="J2350" s="252"/>
      <c r="K2350" s="253"/>
    </row>
    <row r="2351" spans="1:11" ht="22" customHeight="1" x14ac:dyDescent="0.35">
      <c r="A2351" s="251"/>
      <c r="B2351" s="252"/>
      <c r="C2351" s="252"/>
      <c r="D2351" s="252"/>
      <c r="E2351" s="252"/>
      <c r="F2351" s="252"/>
      <c r="G2351" s="252"/>
      <c r="H2351" s="252"/>
      <c r="I2351" s="252"/>
      <c r="J2351" s="252"/>
      <c r="K2351" s="253"/>
    </row>
    <row r="2352" spans="1:11" ht="22" customHeight="1" x14ac:dyDescent="0.35">
      <c r="A2352" s="251"/>
      <c r="B2352" s="252"/>
      <c r="C2352" s="252"/>
      <c r="D2352" s="252"/>
      <c r="E2352" s="252"/>
      <c r="F2352" s="252"/>
      <c r="G2352" s="252"/>
      <c r="H2352" s="252"/>
      <c r="I2352" s="252"/>
      <c r="J2352" s="252"/>
      <c r="K2352" s="253"/>
    </row>
    <row r="2353" spans="1:11" ht="22" customHeight="1" x14ac:dyDescent="0.35">
      <c r="A2353" s="251"/>
      <c r="B2353" s="252"/>
      <c r="C2353" s="252"/>
      <c r="D2353" s="252"/>
      <c r="E2353" s="252"/>
      <c r="F2353" s="252"/>
      <c r="G2353" s="252"/>
      <c r="H2353" s="252"/>
      <c r="I2353" s="252"/>
      <c r="J2353" s="252"/>
      <c r="K2353" s="253"/>
    </row>
    <row r="2354" spans="1:11" ht="22" customHeight="1" x14ac:dyDescent="0.35">
      <c r="A2354" s="251"/>
      <c r="B2354" s="252"/>
      <c r="C2354" s="252"/>
      <c r="D2354" s="252"/>
      <c r="E2354" s="252"/>
      <c r="F2354" s="252"/>
      <c r="G2354" s="252"/>
      <c r="H2354" s="252"/>
      <c r="I2354" s="252"/>
      <c r="J2354" s="252"/>
      <c r="K2354" s="253"/>
    </row>
    <row r="2355" spans="1:11" ht="22" customHeight="1" x14ac:dyDescent="0.35">
      <c r="A2355" s="251"/>
      <c r="B2355" s="252"/>
      <c r="C2355" s="252"/>
      <c r="D2355" s="252"/>
      <c r="E2355" s="252"/>
      <c r="F2355" s="252"/>
      <c r="G2355" s="252"/>
      <c r="H2355" s="252"/>
      <c r="I2355" s="252"/>
      <c r="J2355" s="252"/>
      <c r="K2355" s="253"/>
    </row>
    <row r="2356" spans="1:11" ht="22" customHeight="1" x14ac:dyDescent="0.35">
      <c r="A2356" s="251"/>
      <c r="B2356" s="252"/>
      <c r="C2356" s="252"/>
      <c r="D2356" s="252"/>
      <c r="E2356" s="252"/>
      <c r="F2356" s="252"/>
      <c r="G2356" s="252"/>
      <c r="H2356" s="252"/>
      <c r="I2356" s="252"/>
      <c r="J2356" s="252"/>
      <c r="K2356" s="253"/>
    </row>
    <row r="2357" spans="1:11" ht="22" customHeight="1" x14ac:dyDescent="0.35">
      <c r="A2357" s="251"/>
      <c r="B2357" s="252"/>
      <c r="C2357" s="252"/>
      <c r="D2357" s="252"/>
      <c r="E2357" s="252"/>
      <c r="F2357" s="252"/>
      <c r="G2357" s="252"/>
      <c r="H2357" s="252"/>
      <c r="I2357" s="252"/>
      <c r="J2357" s="252"/>
      <c r="K2357" s="253"/>
    </row>
    <row r="2358" spans="1:11" ht="22" customHeight="1" x14ac:dyDescent="0.35">
      <c r="A2358" s="251"/>
      <c r="B2358" s="252"/>
      <c r="C2358" s="252"/>
      <c r="D2358" s="252"/>
      <c r="E2358" s="252"/>
      <c r="F2358" s="252"/>
      <c r="G2358" s="252"/>
      <c r="H2358" s="252"/>
      <c r="I2358" s="252"/>
      <c r="J2358" s="252"/>
      <c r="K2358" s="253"/>
    </row>
    <row r="2359" spans="1:11" ht="22" customHeight="1" x14ac:dyDescent="0.35">
      <c r="A2359" s="251"/>
      <c r="B2359" s="252"/>
      <c r="C2359" s="252"/>
      <c r="D2359" s="252"/>
      <c r="E2359" s="252"/>
      <c r="F2359" s="252"/>
      <c r="G2359" s="252"/>
      <c r="H2359" s="252"/>
      <c r="I2359" s="252"/>
      <c r="J2359" s="252"/>
      <c r="K2359" s="253"/>
    </row>
    <row r="2360" spans="1:11" ht="22" customHeight="1" x14ac:dyDescent="0.35">
      <c r="A2360" s="251"/>
      <c r="B2360" s="252"/>
      <c r="C2360" s="252"/>
      <c r="D2360" s="252"/>
      <c r="E2360" s="252"/>
      <c r="F2360" s="252"/>
      <c r="G2360" s="252"/>
      <c r="H2360" s="252"/>
      <c r="I2360" s="252"/>
      <c r="J2360" s="252"/>
      <c r="K2360" s="253"/>
    </row>
    <row r="2361" spans="1:11" ht="22" customHeight="1" x14ac:dyDescent="0.35">
      <c r="A2361" s="251"/>
      <c r="B2361" s="252"/>
      <c r="C2361" s="252"/>
      <c r="D2361" s="252"/>
      <c r="E2361" s="252"/>
      <c r="F2361" s="252"/>
      <c r="G2361" s="252"/>
      <c r="H2361" s="252"/>
      <c r="I2361" s="252"/>
      <c r="J2361" s="252"/>
      <c r="K2361" s="253"/>
    </row>
    <row r="2362" spans="1:11" ht="22" customHeight="1" x14ac:dyDescent="0.35">
      <c r="A2362" s="251"/>
      <c r="B2362" s="252"/>
      <c r="C2362" s="252"/>
      <c r="D2362" s="252"/>
      <c r="E2362" s="252"/>
      <c r="F2362" s="252"/>
      <c r="G2362" s="252"/>
      <c r="H2362" s="252"/>
      <c r="I2362" s="252"/>
      <c r="J2362" s="252"/>
      <c r="K2362" s="253"/>
    </row>
    <row r="2363" spans="1:11" ht="22" customHeight="1" x14ac:dyDescent="0.35">
      <c r="A2363" s="251"/>
      <c r="B2363" s="252"/>
      <c r="C2363" s="252"/>
      <c r="D2363" s="252"/>
      <c r="E2363" s="252"/>
      <c r="F2363" s="252"/>
      <c r="G2363" s="252"/>
      <c r="H2363" s="252"/>
      <c r="I2363" s="252"/>
      <c r="J2363" s="252"/>
      <c r="K2363" s="253"/>
    </row>
    <row r="2364" spans="1:11" ht="22" customHeight="1" x14ac:dyDescent="0.35">
      <c r="A2364" s="251"/>
      <c r="B2364" s="252"/>
      <c r="C2364" s="252"/>
      <c r="D2364" s="252"/>
      <c r="E2364" s="252"/>
      <c r="F2364" s="252"/>
      <c r="G2364" s="252"/>
      <c r="H2364" s="252"/>
      <c r="I2364" s="252"/>
      <c r="J2364" s="252"/>
      <c r="K2364" s="253"/>
    </row>
    <row r="2365" spans="1:11" ht="22" customHeight="1" x14ac:dyDescent="0.35">
      <c r="A2365" s="251"/>
      <c r="B2365" s="252"/>
      <c r="C2365" s="252"/>
      <c r="D2365" s="252"/>
      <c r="E2365" s="252"/>
      <c r="F2365" s="252"/>
      <c r="G2365" s="252"/>
      <c r="H2365" s="252"/>
      <c r="I2365" s="252"/>
      <c r="J2365" s="252"/>
      <c r="K2365" s="253"/>
    </row>
    <row r="2366" spans="1:11" ht="22" customHeight="1" x14ac:dyDescent="0.35">
      <c r="A2366" s="251"/>
      <c r="B2366" s="252"/>
      <c r="C2366" s="252"/>
      <c r="D2366" s="252"/>
      <c r="E2366" s="252"/>
      <c r="F2366" s="252"/>
      <c r="G2366" s="252"/>
      <c r="H2366" s="252"/>
      <c r="I2366" s="252"/>
      <c r="J2366" s="252"/>
      <c r="K2366" s="253"/>
    </row>
    <row r="2367" spans="1:11" ht="22" customHeight="1" x14ac:dyDescent="0.35">
      <c r="A2367" s="251"/>
      <c r="B2367" s="252"/>
      <c r="C2367" s="252"/>
      <c r="D2367" s="252"/>
      <c r="E2367" s="252"/>
      <c r="F2367" s="252"/>
      <c r="G2367" s="252"/>
      <c r="H2367" s="252"/>
      <c r="I2367" s="252"/>
      <c r="J2367" s="252"/>
      <c r="K2367" s="253"/>
    </row>
    <row r="2368" spans="1:11" ht="22" customHeight="1" x14ac:dyDescent="0.35">
      <c r="A2368" s="251"/>
      <c r="B2368" s="252"/>
      <c r="C2368" s="252"/>
      <c r="D2368" s="252"/>
      <c r="E2368" s="252"/>
      <c r="F2368" s="252"/>
      <c r="G2368" s="252"/>
      <c r="H2368" s="252"/>
      <c r="I2368" s="252"/>
      <c r="J2368" s="252"/>
      <c r="K2368" s="253"/>
    </row>
    <row r="2369" spans="1:11" ht="22" customHeight="1" x14ac:dyDescent="0.35">
      <c r="A2369" s="251"/>
      <c r="B2369" s="252"/>
      <c r="C2369" s="252"/>
      <c r="D2369" s="252"/>
      <c r="E2369" s="252"/>
      <c r="F2369" s="252"/>
      <c r="G2369" s="252"/>
      <c r="H2369" s="252"/>
      <c r="I2369" s="252"/>
      <c r="J2369" s="252"/>
      <c r="K2369" s="253"/>
    </row>
    <row r="2370" spans="1:11" ht="22" customHeight="1" x14ac:dyDescent="0.35">
      <c r="A2370" s="251"/>
      <c r="B2370" s="252"/>
      <c r="C2370" s="252"/>
      <c r="D2370" s="252"/>
      <c r="E2370" s="252"/>
      <c r="F2370" s="252"/>
      <c r="G2370" s="252"/>
      <c r="H2370" s="252"/>
      <c r="I2370" s="252"/>
      <c r="J2370" s="252"/>
      <c r="K2370" s="253"/>
    </row>
    <row r="2371" spans="1:11" ht="22" customHeight="1" x14ac:dyDescent="0.35">
      <c r="A2371" s="251"/>
      <c r="B2371" s="252"/>
      <c r="C2371" s="252"/>
      <c r="D2371" s="252"/>
      <c r="E2371" s="252"/>
      <c r="F2371" s="252"/>
      <c r="G2371" s="252"/>
      <c r="H2371" s="252"/>
      <c r="I2371" s="252"/>
      <c r="J2371" s="252"/>
      <c r="K2371" s="253"/>
    </row>
    <row r="2372" spans="1:11" ht="22" customHeight="1" x14ac:dyDescent="0.35">
      <c r="A2372" s="251"/>
      <c r="B2372" s="252"/>
      <c r="C2372" s="252"/>
      <c r="D2372" s="252"/>
      <c r="E2372" s="252"/>
      <c r="F2372" s="252"/>
      <c r="G2372" s="252"/>
      <c r="H2372" s="252"/>
      <c r="I2372" s="252"/>
      <c r="J2372" s="252"/>
      <c r="K2372" s="253"/>
    </row>
    <row r="2373" spans="1:11" ht="22" customHeight="1" x14ac:dyDescent="0.35">
      <c r="A2373" s="251"/>
      <c r="B2373" s="252"/>
      <c r="C2373" s="252"/>
      <c r="D2373" s="252"/>
      <c r="E2373" s="252"/>
      <c r="F2373" s="252"/>
      <c r="G2373" s="252"/>
      <c r="H2373" s="252"/>
      <c r="I2373" s="252"/>
      <c r="J2373" s="252"/>
      <c r="K2373" s="253"/>
    </row>
    <row r="2374" spans="1:11" ht="22" customHeight="1" x14ac:dyDescent="0.35">
      <c r="A2374" s="251"/>
      <c r="B2374" s="252"/>
      <c r="C2374" s="252"/>
      <c r="D2374" s="252"/>
      <c r="E2374" s="252"/>
      <c r="F2374" s="252"/>
      <c r="G2374" s="252"/>
      <c r="H2374" s="252"/>
      <c r="I2374" s="252"/>
      <c r="J2374" s="252"/>
      <c r="K2374" s="253"/>
    </row>
    <row r="2375" spans="1:11" ht="22" customHeight="1" x14ac:dyDescent="0.35">
      <c r="A2375" s="251"/>
      <c r="B2375" s="252"/>
      <c r="C2375" s="252"/>
      <c r="D2375" s="252"/>
      <c r="E2375" s="252"/>
      <c r="F2375" s="252"/>
      <c r="G2375" s="252"/>
      <c r="H2375" s="252"/>
      <c r="I2375" s="252"/>
      <c r="J2375" s="252"/>
      <c r="K2375" s="253"/>
    </row>
    <row r="2376" spans="1:11" ht="22" customHeight="1" x14ac:dyDescent="0.35">
      <c r="A2376" s="251"/>
      <c r="B2376" s="252"/>
      <c r="C2376" s="252"/>
      <c r="D2376" s="252"/>
      <c r="E2376" s="252"/>
      <c r="F2376" s="252"/>
      <c r="G2376" s="252"/>
      <c r="H2376" s="252"/>
      <c r="I2376" s="252"/>
      <c r="J2376" s="252"/>
      <c r="K2376" s="253"/>
    </row>
    <row r="2377" spans="1:11" ht="22" customHeight="1" x14ac:dyDescent="0.35">
      <c r="A2377" s="251"/>
      <c r="B2377" s="252"/>
      <c r="C2377" s="252"/>
      <c r="D2377" s="252"/>
      <c r="E2377" s="252"/>
      <c r="F2377" s="252"/>
      <c r="G2377" s="252"/>
      <c r="H2377" s="252"/>
      <c r="I2377" s="252"/>
      <c r="J2377" s="252"/>
      <c r="K2377" s="253"/>
    </row>
    <row r="2378" spans="1:11" ht="22" customHeight="1" x14ac:dyDescent="0.35">
      <c r="A2378" s="251"/>
      <c r="B2378" s="252"/>
      <c r="C2378" s="252"/>
      <c r="D2378" s="252"/>
      <c r="E2378" s="252"/>
      <c r="F2378" s="252"/>
      <c r="G2378" s="252"/>
      <c r="H2378" s="252"/>
      <c r="I2378" s="252"/>
      <c r="J2378" s="252"/>
      <c r="K2378" s="253"/>
    </row>
    <row r="2379" spans="1:11" ht="22" customHeight="1" x14ac:dyDescent="0.35">
      <c r="A2379" s="251"/>
      <c r="B2379" s="252"/>
      <c r="C2379" s="252"/>
      <c r="D2379" s="252"/>
      <c r="E2379" s="252"/>
      <c r="F2379" s="252"/>
      <c r="G2379" s="252"/>
      <c r="H2379" s="252"/>
      <c r="I2379" s="252"/>
      <c r="J2379" s="252"/>
      <c r="K2379" s="253"/>
    </row>
    <row r="2380" spans="1:11" ht="22" customHeight="1" x14ac:dyDescent="0.35">
      <c r="A2380" s="251"/>
      <c r="B2380" s="252"/>
      <c r="C2380" s="252"/>
      <c r="D2380" s="252"/>
      <c r="E2380" s="252"/>
      <c r="F2380" s="252"/>
      <c r="G2380" s="252"/>
      <c r="H2380" s="252"/>
      <c r="I2380" s="252"/>
      <c r="J2380" s="252"/>
      <c r="K2380" s="253"/>
    </row>
    <row r="2381" spans="1:11" ht="22" customHeight="1" x14ac:dyDescent="0.35">
      <c r="A2381" s="251"/>
      <c r="B2381" s="252"/>
      <c r="C2381" s="252"/>
      <c r="D2381" s="252"/>
      <c r="E2381" s="252"/>
      <c r="F2381" s="252"/>
      <c r="G2381" s="252"/>
      <c r="H2381" s="252"/>
      <c r="I2381" s="252"/>
      <c r="J2381" s="252"/>
      <c r="K2381" s="253"/>
    </row>
    <row r="2382" spans="1:11" ht="22" customHeight="1" x14ac:dyDescent="0.35">
      <c r="A2382" s="251"/>
      <c r="B2382" s="252"/>
      <c r="C2382" s="252"/>
      <c r="D2382" s="252"/>
      <c r="E2382" s="252"/>
      <c r="F2382" s="252"/>
      <c r="G2382" s="252"/>
      <c r="H2382" s="252"/>
      <c r="I2382" s="252"/>
      <c r="J2382" s="252"/>
      <c r="K2382" s="253"/>
    </row>
    <row r="2383" spans="1:11" ht="22" customHeight="1" x14ac:dyDescent="0.35">
      <c r="A2383" s="251"/>
      <c r="B2383" s="252"/>
      <c r="C2383" s="252"/>
      <c r="D2383" s="252"/>
      <c r="E2383" s="252"/>
      <c r="F2383" s="252"/>
      <c r="G2383" s="252"/>
      <c r="H2383" s="252"/>
      <c r="I2383" s="252"/>
      <c r="J2383" s="252"/>
      <c r="K2383" s="253"/>
    </row>
    <row r="2384" spans="1:11" ht="22" customHeight="1" x14ac:dyDescent="0.35">
      <c r="A2384" s="251"/>
      <c r="B2384" s="252"/>
      <c r="C2384" s="252"/>
      <c r="D2384" s="252"/>
      <c r="E2384" s="252"/>
      <c r="F2384" s="252"/>
      <c r="G2384" s="252"/>
      <c r="H2384" s="252"/>
      <c r="I2384" s="252"/>
      <c r="J2384" s="252"/>
      <c r="K2384" s="253"/>
    </row>
    <row r="2385" spans="1:11" ht="22" customHeight="1" x14ac:dyDescent="0.35">
      <c r="A2385" s="251"/>
      <c r="B2385" s="252"/>
      <c r="C2385" s="252"/>
      <c r="D2385" s="252"/>
      <c r="E2385" s="252"/>
      <c r="F2385" s="252"/>
      <c r="G2385" s="252"/>
      <c r="H2385" s="252"/>
      <c r="I2385" s="252"/>
      <c r="J2385" s="252"/>
      <c r="K2385" s="253"/>
    </row>
    <row r="2386" spans="1:11" ht="22" customHeight="1" x14ac:dyDescent="0.35">
      <c r="A2386" s="251"/>
      <c r="B2386" s="252"/>
      <c r="C2386" s="252"/>
      <c r="D2386" s="252"/>
      <c r="E2386" s="252"/>
      <c r="F2386" s="252"/>
      <c r="G2386" s="252"/>
      <c r="H2386" s="252"/>
      <c r="I2386" s="252"/>
      <c r="J2386" s="252"/>
      <c r="K2386" s="253"/>
    </row>
    <row r="2387" spans="1:11" ht="22" customHeight="1" x14ac:dyDescent="0.35">
      <c r="A2387" s="251"/>
      <c r="B2387" s="252"/>
      <c r="C2387" s="252"/>
      <c r="D2387" s="252"/>
      <c r="E2387" s="252"/>
      <c r="F2387" s="252"/>
      <c r="G2387" s="252"/>
      <c r="H2387" s="252"/>
      <c r="I2387" s="252"/>
      <c r="J2387" s="252"/>
      <c r="K2387" s="253"/>
    </row>
    <row r="2388" spans="1:11" ht="22" customHeight="1" x14ac:dyDescent="0.35">
      <c r="A2388" s="251"/>
      <c r="B2388" s="252"/>
      <c r="C2388" s="252"/>
      <c r="D2388" s="252"/>
      <c r="E2388" s="252"/>
      <c r="F2388" s="252"/>
      <c r="G2388" s="252"/>
      <c r="H2388" s="252"/>
      <c r="I2388" s="252"/>
      <c r="J2388" s="252"/>
      <c r="K2388" s="253"/>
    </row>
    <row r="2389" spans="1:11" ht="22" customHeight="1" x14ac:dyDescent="0.35">
      <c r="A2389" s="251"/>
      <c r="B2389" s="252"/>
      <c r="C2389" s="252"/>
      <c r="D2389" s="252"/>
      <c r="E2389" s="252"/>
      <c r="F2389" s="252"/>
      <c r="G2389" s="252"/>
      <c r="H2389" s="252"/>
      <c r="I2389" s="252"/>
      <c r="J2389" s="252"/>
      <c r="K2389" s="253"/>
    </row>
    <row r="2390" spans="1:11" ht="22" customHeight="1" x14ac:dyDescent="0.35">
      <c r="A2390" s="251"/>
      <c r="B2390" s="252"/>
      <c r="C2390" s="252"/>
      <c r="D2390" s="252"/>
      <c r="E2390" s="252"/>
      <c r="F2390" s="252"/>
      <c r="G2390" s="252"/>
      <c r="H2390" s="252"/>
      <c r="I2390" s="252"/>
      <c r="J2390" s="252"/>
      <c r="K2390" s="253"/>
    </row>
    <row r="2391" spans="1:11" ht="22" customHeight="1" x14ac:dyDescent="0.35">
      <c r="A2391" s="251"/>
      <c r="B2391" s="252"/>
      <c r="C2391" s="252"/>
      <c r="D2391" s="252"/>
      <c r="E2391" s="252"/>
      <c r="F2391" s="252"/>
      <c r="G2391" s="252"/>
      <c r="H2391" s="252"/>
      <c r="I2391" s="252"/>
      <c r="J2391" s="252"/>
      <c r="K2391" s="253"/>
    </row>
    <row r="2392" spans="1:11" ht="22" customHeight="1" x14ac:dyDescent="0.35">
      <c r="A2392" s="251"/>
      <c r="B2392" s="252"/>
      <c r="C2392" s="252"/>
      <c r="D2392" s="252"/>
      <c r="E2392" s="252"/>
      <c r="F2392" s="252"/>
      <c r="G2392" s="252"/>
      <c r="H2392" s="252"/>
      <c r="I2392" s="252"/>
      <c r="J2392" s="252"/>
      <c r="K2392" s="253"/>
    </row>
    <row r="2393" spans="1:11" ht="22" customHeight="1" x14ac:dyDescent="0.35">
      <c r="A2393" s="251"/>
      <c r="B2393" s="252"/>
      <c r="C2393" s="252"/>
      <c r="D2393" s="252"/>
      <c r="E2393" s="252"/>
      <c r="F2393" s="252"/>
      <c r="G2393" s="252"/>
      <c r="H2393" s="252"/>
      <c r="I2393" s="252"/>
      <c r="J2393" s="252"/>
      <c r="K2393" s="253"/>
    </row>
    <row r="2394" spans="1:11" ht="22" customHeight="1" x14ac:dyDescent="0.35">
      <c r="A2394" s="251"/>
      <c r="B2394" s="252"/>
      <c r="C2394" s="252"/>
      <c r="D2394" s="252"/>
      <c r="E2394" s="252"/>
      <c r="F2394" s="252"/>
      <c r="G2394" s="252"/>
      <c r="H2394" s="252"/>
      <c r="I2394" s="252"/>
      <c r="J2394" s="252"/>
      <c r="K2394" s="253"/>
    </row>
    <row r="2395" spans="1:11" ht="22" customHeight="1" x14ac:dyDescent="0.35">
      <c r="A2395" s="251"/>
      <c r="B2395" s="252"/>
      <c r="C2395" s="252"/>
      <c r="D2395" s="252"/>
      <c r="E2395" s="252"/>
      <c r="F2395" s="252"/>
      <c r="G2395" s="252"/>
      <c r="H2395" s="252"/>
      <c r="I2395" s="252"/>
      <c r="J2395" s="252"/>
      <c r="K2395" s="253"/>
    </row>
    <row r="2396" spans="1:11" ht="22" customHeight="1" x14ac:dyDescent="0.35">
      <c r="A2396" s="251"/>
      <c r="B2396" s="252"/>
      <c r="C2396" s="252"/>
      <c r="D2396" s="252"/>
      <c r="E2396" s="252"/>
      <c r="F2396" s="252"/>
      <c r="G2396" s="252"/>
      <c r="H2396" s="252"/>
      <c r="I2396" s="252"/>
      <c r="J2396" s="252"/>
      <c r="K2396" s="253"/>
    </row>
    <row r="2397" spans="1:11" ht="22" customHeight="1" x14ac:dyDescent="0.35">
      <c r="A2397" s="251"/>
      <c r="B2397" s="252"/>
      <c r="C2397" s="252"/>
      <c r="D2397" s="252"/>
      <c r="E2397" s="252"/>
      <c r="F2397" s="252"/>
      <c r="G2397" s="252"/>
      <c r="H2397" s="252"/>
      <c r="I2397" s="252"/>
      <c r="J2397" s="252"/>
      <c r="K2397" s="253"/>
    </row>
    <row r="2398" spans="1:11" ht="22" customHeight="1" x14ac:dyDescent="0.35">
      <c r="A2398" s="251"/>
      <c r="B2398" s="252"/>
      <c r="C2398" s="252"/>
      <c r="D2398" s="252"/>
      <c r="E2398" s="252"/>
      <c r="F2398" s="252"/>
      <c r="G2398" s="252"/>
      <c r="H2398" s="252"/>
      <c r="I2398" s="252"/>
      <c r="J2398" s="252"/>
      <c r="K2398" s="253"/>
    </row>
    <row r="2399" spans="1:11" ht="22" customHeight="1" x14ac:dyDescent="0.35">
      <c r="A2399" s="251"/>
      <c r="B2399" s="252"/>
      <c r="C2399" s="252"/>
      <c r="D2399" s="252"/>
      <c r="E2399" s="252"/>
      <c r="F2399" s="252"/>
      <c r="G2399" s="252"/>
      <c r="H2399" s="252"/>
      <c r="I2399" s="252"/>
      <c r="J2399" s="252"/>
      <c r="K2399" s="253"/>
    </row>
    <row r="2400" spans="1:11" ht="22" customHeight="1" x14ac:dyDescent="0.35">
      <c r="A2400" s="251"/>
      <c r="B2400" s="252"/>
      <c r="C2400" s="252"/>
      <c r="D2400" s="252"/>
      <c r="E2400" s="252"/>
      <c r="F2400" s="252"/>
      <c r="G2400" s="252"/>
      <c r="H2400" s="252"/>
      <c r="I2400" s="252"/>
      <c r="J2400" s="252"/>
      <c r="K2400" s="253"/>
    </row>
    <row r="2401" spans="1:11" ht="22" customHeight="1" x14ac:dyDescent="0.35">
      <c r="A2401" s="251"/>
      <c r="B2401" s="252"/>
      <c r="C2401" s="252"/>
      <c r="D2401" s="252"/>
      <c r="E2401" s="252"/>
      <c r="F2401" s="252"/>
      <c r="G2401" s="252"/>
      <c r="H2401" s="252"/>
      <c r="I2401" s="252"/>
      <c r="J2401" s="252"/>
      <c r="K2401" s="253"/>
    </row>
    <row r="2402" spans="1:11" ht="22" customHeight="1" x14ac:dyDescent="0.35">
      <c r="A2402" s="251"/>
      <c r="B2402" s="252"/>
      <c r="C2402" s="252"/>
      <c r="D2402" s="252"/>
      <c r="E2402" s="252"/>
      <c r="F2402" s="252"/>
      <c r="G2402" s="252"/>
      <c r="H2402" s="252"/>
      <c r="I2402" s="252"/>
      <c r="J2402" s="252"/>
      <c r="K2402" s="253"/>
    </row>
    <row r="2403" spans="1:11" ht="22" customHeight="1" x14ac:dyDescent="0.35">
      <c r="A2403" s="251"/>
      <c r="B2403" s="252"/>
      <c r="C2403" s="252"/>
      <c r="D2403" s="252"/>
      <c r="E2403" s="252"/>
      <c r="F2403" s="252"/>
      <c r="G2403" s="252"/>
      <c r="H2403" s="252"/>
      <c r="I2403" s="252"/>
      <c r="J2403" s="252"/>
      <c r="K2403" s="253"/>
    </row>
    <row r="2404" spans="1:11" ht="22" customHeight="1" x14ac:dyDescent="0.35">
      <c r="A2404" s="251"/>
      <c r="B2404" s="252"/>
      <c r="C2404" s="252"/>
      <c r="D2404" s="252"/>
      <c r="E2404" s="252"/>
      <c r="F2404" s="252"/>
      <c r="G2404" s="252"/>
      <c r="H2404" s="252"/>
      <c r="I2404" s="252"/>
      <c r="J2404" s="252"/>
      <c r="K2404" s="253"/>
    </row>
    <row r="2405" spans="1:11" ht="22" customHeight="1" x14ac:dyDescent="0.35">
      <c r="A2405" s="251"/>
      <c r="B2405" s="252"/>
      <c r="C2405" s="252"/>
      <c r="D2405" s="252"/>
      <c r="E2405" s="252"/>
      <c r="F2405" s="252"/>
      <c r="G2405" s="252"/>
      <c r="H2405" s="252"/>
      <c r="I2405" s="252"/>
      <c r="J2405" s="252"/>
      <c r="K2405" s="253"/>
    </row>
    <row r="2406" spans="1:11" ht="22" customHeight="1" x14ac:dyDescent="0.35">
      <c r="A2406" s="251"/>
      <c r="B2406" s="252"/>
      <c r="C2406" s="252"/>
      <c r="D2406" s="252"/>
      <c r="E2406" s="252"/>
      <c r="F2406" s="252"/>
      <c r="G2406" s="252"/>
      <c r="H2406" s="252"/>
      <c r="I2406" s="252"/>
      <c r="J2406" s="252"/>
      <c r="K2406" s="253"/>
    </row>
    <row r="2407" spans="1:11" ht="22" customHeight="1" x14ac:dyDescent="0.35">
      <c r="A2407" s="251"/>
      <c r="B2407" s="252"/>
      <c r="C2407" s="252"/>
      <c r="D2407" s="252"/>
      <c r="E2407" s="252"/>
      <c r="F2407" s="252"/>
      <c r="G2407" s="252"/>
      <c r="H2407" s="252"/>
      <c r="I2407" s="252"/>
      <c r="J2407" s="252"/>
      <c r="K2407" s="253"/>
    </row>
    <row r="2408" spans="1:11" ht="22" customHeight="1" x14ac:dyDescent="0.35">
      <c r="A2408" s="251"/>
      <c r="B2408" s="252"/>
      <c r="C2408" s="252"/>
      <c r="D2408" s="252"/>
      <c r="E2408" s="252"/>
      <c r="F2408" s="252"/>
      <c r="G2408" s="252"/>
      <c r="H2408" s="252"/>
      <c r="I2408" s="252"/>
      <c r="J2408" s="252"/>
      <c r="K2408" s="253"/>
    </row>
    <row r="2409" spans="1:11" ht="22" customHeight="1" x14ac:dyDescent="0.35">
      <c r="A2409" s="251"/>
      <c r="B2409" s="252"/>
      <c r="C2409" s="252"/>
      <c r="D2409" s="252"/>
      <c r="E2409" s="252"/>
      <c r="F2409" s="252"/>
      <c r="G2409" s="252"/>
      <c r="H2409" s="252"/>
      <c r="I2409" s="252"/>
      <c r="J2409" s="252"/>
      <c r="K2409" s="253"/>
    </row>
    <row r="2410" spans="1:11" ht="22" customHeight="1" x14ac:dyDescent="0.35">
      <c r="A2410" s="251"/>
      <c r="B2410" s="252"/>
      <c r="C2410" s="252"/>
      <c r="D2410" s="252"/>
      <c r="E2410" s="252"/>
      <c r="F2410" s="252"/>
      <c r="G2410" s="252"/>
      <c r="H2410" s="252"/>
      <c r="I2410" s="252"/>
      <c r="J2410" s="252"/>
      <c r="K2410" s="253"/>
    </row>
    <row r="2411" spans="1:11" ht="22" customHeight="1" x14ac:dyDescent="0.35">
      <c r="A2411" s="251"/>
      <c r="B2411" s="252"/>
      <c r="C2411" s="252"/>
      <c r="D2411" s="252"/>
      <c r="E2411" s="252"/>
      <c r="F2411" s="252"/>
      <c r="G2411" s="252"/>
      <c r="H2411" s="252"/>
      <c r="I2411" s="252"/>
      <c r="J2411" s="252"/>
      <c r="K2411" s="253"/>
    </row>
    <row r="2412" spans="1:11" ht="22" customHeight="1" x14ac:dyDescent="0.35">
      <c r="A2412" s="251"/>
      <c r="B2412" s="252"/>
      <c r="C2412" s="252"/>
      <c r="D2412" s="252"/>
      <c r="E2412" s="252"/>
      <c r="F2412" s="252"/>
      <c r="G2412" s="252"/>
      <c r="H2412" s="252"/>
      <c r="I2412" s="252"/>
      <c r="J2412" s="252"/>
      <c r="K2412" s="253"/>
    </row>
    <row r="2413" spans="1:11" ht="22" customHeight="1" x14ac:dyDescent="0.35">
      <c r="A2413" s="251"/>
      <c r="B2413" s="252"/>
      <c r="C2413" s="252"/>
      <c r="D2413" s="252"/>
      <c r="E2413" s="252"/>
      <c r="F2413" s="252"/>
      <c r="G2413" s="252"/>
      <c r="H2413" s="252"/>
      <c r="I2413" s="252"/>
      <c r="J2413" s="252"/>
      <c r="K2413" s="253"/>
    </row>
    <row r="2414" spans="1:11" ht="22" customHeight="1" x14ac:dyDescent="0.35">
      <c r="A2414" s="251"/>
      <c r="B2414" s="252"/>
      <c r="C2414" s="252"/>
      <c r="D2414" s="252"/>
      <c r="E2414" s="252"/>
      <c r="F2414" s="252"/>
      <c r="G2414" s="252"/>
      <c r="H2414" s="252"/>
      <c r="I2414" s="252"/>
      <c r="J2414" s="252"/>
      <c r="K2414" s="253"/>
    </row>
    <row r="2415" spans="1:11" ht="22" customHeight="1" x14ac:dyDescent="0.35">
      <c r="A2415" s="251"/>
      <c r="B2415" s="252"/>
      <c r="C2415" s="252"/>
      <c r="D2415" s="252"/>
      <c r="E2415" s="252"/>
      <c r="F2415" s="252"/>
      <c r="G2415" s="252"/>
      <c r="H2415" s="252"/>
      <c r="I2415" s="252"/>
      <c r="J2415" s="252"/>
      <c r="K2415" s="253"/>
    </row>
    <row r="2416" spans="1:11" ht="22" customHeight="1" x14ac:dyDescent="0.35">
      <c r="A2416" s="251"/>
      <c r="B2416" s="252"/>
      <c r="C2416" s="252"/>
      <c r="D2416" s="252"/>
      <c r="E2416" s="252"/>
      <c r="F2416" s="252"/>
      <c r="G2416" s="252"/>
      <c r="H2416" s="252"/>
      <c r="I2416" s="252"/>
      <c r="J2416" s="252"/>
      <c r="K2416" s="253"/>
    </row>
    <row r="2417" spans="1:11" ht="22" customHeight="1" x14ac:dyDescent="0.35">
      <c r="A2417" s="251"/>
      <c r="B2417" s="252"/>
      <c r="C2417" s="252"/>
      <c r="D2417" s="252"/>
      <c r="E2417" s="252"/>
      <c r="F2417" s="252"/>
      <c r="G2417" s="252"/>
      <c r="H2417" s="252"/>
      <c r="I2417" s="252"/>
      <c r="J2417" s="252"/>
      <c r="K2417" s="253"/>
    </row>
    <row r="2418" spans="1:11" ht="22" customHeight="1" x14ac:dyDescent="0.35">
      <c r="A2418" s="251"/>
      <c r="B2418" s="252"/>
      <c r="C2418" s="252"/>
      <c r="D2418" s="252"/>
      <c r="E2418" s="252"/>
      <c r="F2418" s="252"/>
      <c r="G2418" s="252"/>
      <c r="H2418" s="252"/>
      <c r="I2418" s="252"/>
      <c r="J2418" s="252"/>
      <c r="K2418" s="253"/>
    </row>
    <row r="2419" spans="1:11" ht="22" customHeight="1" x14ac:dyDescent="0.35">
      <c r="A2419" s="251"/>
      <c r="B2419" s="252"/>
      <c r="C2419" s="252"/>
      <c r="D2419" s="252"/>
      <c r="E2419" s="252"/>
      <c r="F2419" s="252"/>
      <c r="G2419" s="252"/>
      <c r="H2419" s="252"/>
      <c r="I2419" s="252"/>
      <c r="J2419" s="252"/>
      <c r="K2419" s="253"/>
    </row>
    <row r="2420" spans="1:11" ht="22" customHeight="1" x14ac:dyDescent="0.35">
      <c r="A2420" s="251"/>
      <c r="B2420" s="252"/>
      <c r="C2420" s="252"/>
      <c r="D2420" s="252"/>
      <c r="E2420" s="252"/>
      <c r="F2420" s="252"/>
      <c r="G2420" s="252"/>
      <c r="H2420" s="252"/>
      <c r="I2420" s="252"/>
      <c r="J2420" s="252"/>
      <c r="K2420" s="253"/>
    </row>
    <row r="2421" spans="1:11" ht="22" customHeight="1" x14ac:dyDescent="0.35">
      <c r="A2421" s="251"/>
      <c r="B2421" s="252"/>
      <c r="C2421" s="252"/>
      <c r="D2421" s="252"/>
      <c r="E2421" s="252"/>
      <c r="F2421" s="252"/>
      <c r="G2421" s="252"/>
      <c r="H2421" s="252"/>
      <c r="I2421" s="252"/>
      <c r="J2421" s="252"/>
      <c r="K2421" s="253"/>
    </row>
    <row r="2422" spans="1:11" ht="22" customHeight="1" x14ac:dyDescent="0.35">
      <c r="A2422" s="251"/>
      <c r="B2422" s="252"/>
      <c r="C2422" s="252"/>
      <c r="D2422" s="252"/>
      <c r="E2422" s="252"/>
      <c r="F2422" s="252"/>
      <c r="G2422" s="252"/>
      <c r="H2422" s="252"/>
      <c r="I2422" s="252"/>
      <c r="J2422" s="252"/>
      <c r="K2422" s="253"/>
    </row>
    <row r="2423" spans="1:11" ht="22" customHeight="1" x14ac:dyDescent="0.35">
      <c r="A2423" s="251"/>
      <c r="B2423" s="252"/>
      <c r="C2423" s="252"/>
      <c r="D2423" s="252"/>
      <c r="E2423" s="252"/>
      <c r="F2423" s="252"/>
      <c r="G2423" s="252"/>
      <c r="H2423" s="252"/>
      <c r="I2423" s="252"/>
      <c r="J2423" s="252"/>
      <c r="K2423" s="253"/>
    </row>
    <row r="2424" spans="1:11" ht="22" customHeight="1" x14ac:dyDescent="0.35">
      <c r="A2424" s="251"/>
      <c r="B2424" s="252"/>
      <c r="C2424" s="252"/>
      <c r="D2424" s="252"/>
      <c r="E2424" s="252"/>
      <c r="F2424" s="252"/>
      <c r="G2424" s="252"/>
      <c r="H2424" s="252"/>
      <c r="I2424" s="252"/>
      <c r="J2424" s="252"/>
      <c r="K2424" s="253"/>
    </row>
    <row r="2425" spans="1:11" ht="22" customHeight="1" x14ac:dyDescent="0.35">
      <c r="A2425" s="251"/>
      <c r="B2425" s="252"/>
      <c r="C2425" s="252"/>
      <c r="D2425" s="252"/>
      <c r="E2425" s="252"/>
      <c r="F2425" s="252"/>
      <c r="G2425" s="252"/>
      <c r="H2425" s="252"/>
      <c r="I2425" s="252"/>
      <c r="J2425" s="252"/>
      <c r="K2425" s="253"/>
    </row>
    <row r="2426" spans="1:11" ht="22" customHeight="1" x14ac:dyDescent="0.35">
      <c r="A2426" s="251"/>
      <c r="B2426" s="252"/>
      <c r="C2426" s="252"/>
      <c r="D2426" s="252"/>
      <c r="E2426" s="252"/>
      <c r="F2426" s="252"/>
      <c r="G2426" s="252"/>
      <c r="H2426" s="252"/>
      <c r="I2426" s="252"/>
      <c r="J2426" s="252"/>
      <c r="K2426" s="253"/>
    </row>
    <row r="2427" spans="1:11" ht="22" customHeight="1" x14ac:dyDescent="0.35">
      <c r="A2427" s="251"/>
      <c r="B2427" s="252"/>
      <c r="C2427" s="252"/>
      <c r="D2427" s="252"/>
      <c r="E2427" s="252"/>
      <c r="F2427" s="252"/>
      <c r="G2427" s="252"/>
      <c r="H2427" s="252"/>
      <c r="I2427" s="252"/>
      <c r="J2427" s="252"/>
      <c r="K2427" s="253"/>
    </row>
    <row r="2428" spans="1:11" ht="22" customHeight="1" x14ac:dyDescent="0.35">
      <c r="A2428" s="251"/>
      <c r="B2428" s="252"/>
      <c r="C2428" s="252"/>
      <c r="D2428" s="252"/>
      <c r="E2428" s="252"/>
      <c r="F2428" s="252"/>
      <c r="G2428" s="252"/>
      <c r="H2428" s="252"/>
      <c r="I2428" s="252"/>
      <c r="J2428" s="252"/>
      <c r="K2428" s="253"/>
    </row>
    <row r="2429" spans="1:11" ht="22" customHeight="1" x14ac:dyDescent="0.35">
      <c r="A2429" s="251"/>
      <c r="B2429" s="252"/>
      <c r="C2429" s="252"/>
      <c r="D2429" s="252"/>
      <c r="E2429" s="252"/>
      <c r="F2429" s="252"/>
      <c r="G2429" s="252"/>
      <c r="H2429" s="252"/>
      <c r="I2429" s="252"/>
      <c r="J2429" s="252"/>
      <c r="K2429" s="253"/>
    </row>
    <row r="2430" spans="1:11" ht="22" customHeight="1" x14ac:dyDescent="0.35">
      <c r="A2430" s="251"/>
      <c r="B2430" s="252"/>
      <c r="C2430" s="252"/>
      <c r="D2430" s="252"/>
      <c r="E2430" s="252"/>
      <c r="F2430" s="252"/>
      <c r="G2430" s="252"/>
      <c r="H2430" s="252"/>
      <c r="I2430" s="252"/>
      <c r="J2430" s="252"/>
      <c r="K2430" s="253"/>
    </row>
    <row r="2431" spans="1:11" ht="22" customHeight="1" x14ac:dyDescent="0.35">
      <c r="A2431" s="251"/>
      <c r="B2431" s="252"/>
      <c r="C2431" s="252"/>
      <c r="D2431" s="252"/>
      <c r="E2431" s="252"/>
      <c r="F2431" s="252"/>
      <c r="G2431" s="252"/>
      <c r="H2431" s="252"/>
      <c r="I2431" s="252"/>
      <c r="J2431" s="252"/>
      <c r="K2431" s="253"/>
    </row>
    <row r="2432" spans="1:11" ht="22" customHeight="1" x14ac:dyDescent="0.35">
      <c r="A2432" s="251"/>
      <c r="B2432" s="252"/>
      <c r="C2432" s="252"/>
      <c r="D2432" s="252"/>
      <c r="E2432" s="252"/>
      <c r="F2432" s="252"/>
      <c r="G2432" s="252"/>
      <c r="H2432" s="252"/>
      <c r="I2432" s="252"/>
      <c r="J2432" s="252"/>
      <c r="K2432" s="253"/>
    </row>
    <row r="2433" spans="1:11" ht="22" customHeight="1" x14ac:dyDescent="0.35">
      <c r="A2433" s="251"/>
      <c r="B2433" s="252"/>
      <c r="C2433" s="252"/>
      <c r="D2433" s="252"/>
      <c r="E2433" s="252"/>
      <c r="F2433" s="252"/>
      <c r="G2433" s="252"/>
      <c r="H2433" s="252"/>
      <c r="I2433" s="252"/>
      <c r="J2433" s="252"/>
      <c r="K2433" s="253"/>
    </row>
    <row r="2434" spans="1:11" ht="22" customHeight="1" x14ac:dyDescent="0.35">
      <c r="A2434" s="251"/>
      <c r="B2434" s="252"/>
      <c r="C2434" s="252"/>
      <c r="D2434" s="252"/>
      <c r="E2434" s="252"/>
      <c r="F2434" s="252"/>
      <c r="G2434" s="252"/>
      <c r="H2434" s="252"/>
      <c r="I2434" s="252"/>
      <c r="J2434" s="252"/>
      <c r="K2434" s="253"/>
    </row>
    <row r="2435" spans="1:11" ht="22" customHeight="1" x14ac:dyDescent="0.35">
      <c r="A2435" s="251"/>
      <c r="B2435" s="252"/>
      <c r="C2435" s="252"/>
      <c r="D2435" s="252"/>
      <c r="E2435" s="252"/>
      <c r="F2435" s="252"/>
      <c r="G2435" s="252"/>
      <c r="H2435" s="252"/>
      <c r="I2435" s="252"/>
      <c r="J2435" s="252"/>
      <c r="K2435" s="253"/>
    </row>
    <row r="2436" spans="1:11" ht="22" customHeight="1" x14ac:dyDescent="0.35">
      <c r="A2436" s="251"/>
      <c r="B2436" s="252"/>
      <c r="C2436" s="252"/>
      <c r="D2436" s="252"/>
      <c r="E2436" s="252"/>
      <c r="F2436" s="252"/>
      <c r="G2436" s="252"/>
      <c r="H2436" s="252"/>
      <c r="I2436" s="252"/>
      <c r="J2436" s="252"/>
      <c r="K2436" s="253"/>
    </row>
    <row r="2437" spans="1:11" ht="22" customHeight="1" x14ac:dyDescent="0.35">
      <c r="A2437" s="251"/>
      <c r="B2437" s="252"/>
      <c r="C2437" s="252"/>
      <c r="D2437" s="252"/>
      <c r="E2437" s="252"/>
      <c r="F2437" s="252"/>
      <c r="G2437" s="252"/>
      <c r="H2437" s="252"/>
      <c r="I2437" s="252"/>
      <c r="J2437" s="252"/>
      <c r="K2437" s="253"/>
    </row>
    <row r="2438" spans="1:11" ht="22" customHeight="1" x14ac:dyDescent="0.35">
      <c r="A2438" s="251"/>
      <c r="B2438" s="252"/>
      <c r="C2438" s="252"/>
      <c r="D2438" s="252"/>
      <c r="E2438" s="252"/>
      <c r="F2438" s="252"/>
      <c r="G2438" s="252"/>
      <c r="H2438" s="252"/>
      <c r="I2438" s="252"/>
      <c r="J2438" s="252"/>
      <c r="K2438" s="253"/>
    </row>
    <row r="2439" spans="1:11" ht="22" customHeight="1" x14ac:dyDescent="0.35">
      <c r="A2439" s="251"/>
      <c r="B2439" s="252"/>
      <c r="C2439" s="252"/>
      <c r="D2439" s="252"/>
      <c r="E2439" s="252"/>
      <c r="F2439" s="252"/>
      <c r="G2439" s="252"/>
      <c r="H2439" s="252"/>
      <c r="I2439" s="252"/>
      <c r="J2439" s="252"/>
      <c r="K2439" s="253"/>
    </row>
    <row r="2440" spans="1:11" ht="22" customHeight="1" x14ac:dyDescent="0.35">
      <c r="A2440" s="251"/>
      <c r="B2440" s="252"/>
      <c r="C2440" s="252"/>
      <c r="D2440" s="252"/>
      <c r="E2440" s="252"/>
      <c r="F2440" s="252"/>
      <c r="G2440" s="252"/>
      <c r="H2440" s="252"/>
      <c r="I2440" s="252"/>
      <c r="J2440" s="252"/>
      <c r="K2440" s="253"/>
    </row>
    <row r="2441" spans="1:11" ht="22" customHeight="1" x14ac:dyDescent="0.35">
      <c r="A2441" s="251"/>
      <c r="B2441" s="252"/>
      <c r="C2441" s="252"/>
      <c r="D2441" s="252"/>
      <c r="E2441" s="252"/>
      <c r="F2441" s="252"/>
      <c r="G2441" s="252"/>
      <c r="H2441" s="252"/>
      <c r="I2441" s="252"/>
      <c r="J2441" s="252"/>
      <c r="K2441" s="253"/>
    </row>
    <row r="2442" spans="1:11" ht="22" customHeight="1" x14ac:dyDescent="0.35">
      <c r="A2442" s="251"/>
      <c r="B2442" s="252"/>
      <c r="C2442" s="252"/>
      <c r="D2442" s="252"/>
      <c r="E2442" s="252"/>
      <c r="F2442" s="252"/>
      <c r="G2442" s="252"/>
      <c r="H2442" s="252"/>
      <c r="I2442" s="252"/>
      <c r="J2442" s="252"/>
      <c r="K2442" s="253"/>
    </row>
    <row r="2443" spans="1:11" ht="22" customHeight="1" x14ac:dyDescent="0.35">
      <c r="A2443" s="251"/>
      <c r="B2443" s="252"/>
      <c r="C2443" s="252"/>
      <c r="D2443" s="252"/>
      <c r="E2443" s="252"/>
      <c r="F2443" s="252"/>
      <c r="G2443" s="252"/>
      <c r="H2443" s="252"/>
      <c r="I2443" s="252"/>
      <c r="J2443" s="252"/>
      <c r="K2443" s="253"/>
    </row>
    <row r="2444" spans="1:11" ht="22" customHeight="1" x14ac:dyDescent="0.35">
      <c r="A2444" s="251"/>
      <c r="B2444" s="252"/>
      <c r="C2444" s="252"/>
      <c r="D2444" s="252"/>
      <c r="E2444" s="252"/>
      <c r="F2444" s="252"/>
      <c r="G2444" s="252"/>
      <c r="H2444" s="252"/>
      <c r="I2444" s="252"/>
      <c r="J2444" s="252"/>
      <c r="K2444" s="253"/>
    </row>
    <row r="2445" spans="1:11" ht="22" customHeight="1" x14ac:dyDescent="0.35">
      <c r="A2445" s="251"/>
      <c r="B2445" s="252"/>
      <c r="C2445" s="252"/>
      <c r="D2445" s="252"/>
      <c r="E2445" s="252"/>
      <c r="F2445" s="252"/>
      <c r="G2445" s="252"/>
      <c r="H2445" s="252"/>
      <c r="I2445" s="252"/>
      <c r="J2445" s="252"/>
      <c r="K2445" s="253"/>
    </row>
    <row r="2446" spans="1:11" ht="22" customHeight="1" x14ac:dyDescent="0.35">
      <c r="A2446" s="251"/>
      <c r="B2446" s="252"/>
      <c r="C2446" s="252"/>
      <c r="D2446" s="252"/>
      <c r="E2446" s="252"/>
      <c r="F2446" s="252"/>
      <c r="G2446" s="252"/>
      <c r="H2446" s="252"/>
      <c r="I2446" s="252"/>
      <c r="J2446" s="252"/>
      <c r="K2446" s="253"/>
    </row>
    <row r="2447" spans="1:11" ht="22" customHeight="1" x14ac:dyDescent="0.35">
      <c r="A2447" s="251"/>
      <c r="B2447" s="252"/>
      <c r="C2447" s="252"/>
      <c r="D2447" s="252"/>
      <c r="E2447" s="252"/>
      <c r="F2447" s="252"/>
      <c r="G2447" s="252"/>
      <c r="H2447" s="252"/>
      <c r="I2447" s="252"/>
      <c r="J2447" s="252"/>
      <c r="K2447" s="253"/>
    </row>
    <row r="2448" spans="1:11" ht="22" customHeight="1" x14ac:dyDescent="0.35">
      <c r="A2448" s="251"/>
      <c r="B2448" s="252"/>
      <c r="C2448" s="252"/>
      <c r="D2448" s="252"/>
      <c r="E2448" s="252"/>
      <c r="F2448" s="252"/>
      <c r="G2448" s="252"/>
      <c r="H2448" s="252"/>
      <c r="I2448" s="252"/>
      <c r="J2448" s="252"/>
      <c r="K2448" s="253"/>
    </row>
    <row r="2449" spans="1:11" ht="22" customHeight="1" x14ac:dyDescent="0.35">
      <c r="A2449" s="251"/>
      <c r="B2449" s="252"/>
      <c r="C2449" s="252"/>
      <c r="D2449" s="252"/>
      <c r="E2449" s="252"/>
      <c r="F2449" s="252"/>
      <c r="G2449" s="252"/>
      <c r="H2449" s="252"/>
      <c r="I2449" s="252"/>
      <c r="J2449" s="252"/>
      <c r="K2449" s="253"/>
    </row>
    <row r="2450" spans="1:11" ht="22" customHeight="1" x14ac:dyDescent="0.35">
      <c r="A2450" s="251"/>
      <c r="B2450" s="252"/>
      <c r="C2450" s="252"/>
      <c r="D2450" s="252"/>
      <c r="E2450" s="252"/>
      <c r="F2450" s="252"/>
      <c r="G2450" s="252"/>
      <c r="H2450" s="252"/>
      <c r="I2450" s="252"/>
      <c r="J2450" s="252"/>
      <c r="K2450" s="253"/>
    </row>
    <row r="2451" spans="1:11" ht="22" customHeight="1" x14ac:dyDescent="0.35">
      <c r="A2451" s="251"/>
      <c r="B2451" s="252"/>
      <c r="C2451" s="252"/>
      <c r="D2451" s="252"/>
      <c r="E2451" s="252"/>
      <c r="F2451" s="252"/>
      <c r="G2451" s="252"/>
      <c r="H2451" s="252"/>
      <c r="I2451" s="252"/>
      <c r="J2451" s="252"/>
      <c r="K2451" s="253"/>
    </row>
    <row r="2452" spans="1:11" ht="22" customHeight="1" x14ac:dyDescent="0.35">
      <c r="A2452" s="251"/>
      <c r="B2452" s="252"/>
      <c r="C2452" s="252"/>
      <c r="D2452" s="252"/>
      <c r="E2452" s="252"/>
      <c r="F2452" s="252"/>
      <c r="G2452" s="252"/>
      <c r="H2452" s="252"/>
      <c r="I2452" s="252"/>
      <c r="J2452" s="252"/>
      <c r="K2452" s="253"/>
    </row>
    <row r="2453" spans="1:11" ht="22" customHeight="1" x14ac:dyDescent="0.35">
      <c r="A2453" s="251"/>
      <c r="B2453" s="252"/>
      <c r="C2453" s="252"/>
      <c r="D2453" s="252"/>
      <c r="E2453" s="252"/>
      <c r="F2453" s="252"/>
      <c r="G2453" s="252"/>
      <c r="H2453" s="252"/>
      <c r="I2453" s="252"/>
      <c r="J2453" s="252"/>
      <c r="K2453" s="253"/>
    </row>
    <row r="2454" spans="1:11" ht="22" customHeight="1" x14ac:dyDescent="0.35">
      <c r="A2454" s="251"/>
      <c r="B2454" s="252"/>
      <c r="C2454" s="252"/>
      <c r="D2454" s="252"/>
      <c r="E2454" s="252"/>
      <c r="F2454" s="252"/>
      <c r="G2454" s="252"/>
      <c r="H2454" s="252"/>
      <c r="I2454" s="252"/>
      <c r="J2454" s="252"/>
      <c r="K2454" s="253"/>
    </row>
    <row r="2455" spans="1:11" ht="22" customHeight="1" x14ac:dyDescent="0.35">
      <c r="A2455" s="251"/>
      <c r="B2455" s="252"/>
      <c r="C2455" s="252"/>
      <c r="D2455" s="252"/>
      <c r="E2455" s="252"/>
      <c r="F2455" s="252"/>
      <c r="G2455" s="252"/>
      <c r="H2455" s="252"/>
      <c r="I2455" s="252"/>
      <c r="J2455" s="252"/>
      <c r="K2455" s="253"/>
    </row>
    <row r="2456" spans="1:11" ht="22" customHeight="1" x14ac:dyDescent="0.35">
      <c r="A2456" s="251"/>
      <c r="B2456" s="252"/>
      <c r="C2456" s="252"/>
      <c r="D2456" s="252"/>
      <c r="E2456" s="252"/>
      <c r="F2456" s="252"/>
      <c r="G2456" s="252"/>
      <c r="H2456" s="252"/>
      <c r="I2456" s="252"/>
      <c r="J2456" s="252"/>
      <c r="K2456" s="253"/>
    </row>
    <row r="2457" spans="1:11" ht="22" customHeight="1" x14ac:dyDescent="0.35">
      <c r="A2457" s="251"/>
      <c r="B2457" s="252"/>
      <c r="C2457" s="252"/>
      <c r="D2457" s="252"/>
      <c r="E2457" s="252"/>
      <c r="F2457" s="252"/>
      <c r="G2457" s="252"/>
      <c r="H2457" s="252"/>
      <c r="I2457" s="252"/>
      <c r="J2457" s="252"/>
      <c r="K2457" s="253"/>
    </row>
    <row r="2458" spans="1:11" ht="22" customHeight="1" x14ac:dyDescent="0.35">
      <c r="A2458" s="251"/>
      <c r="B2458" s="252"/>
      <c r="C2458" s="252"/>
      <c r="D2458" s="252"/>
      <c r="E2458" s="252"/>
      <c r="F2458" s="252"/>
      <c r="G2458" s="252"/>
      <c r="H2458" s="252"/>
      <c r="I2458" s="252"/>
      <c r="J2458" s="252"/>
      <c r="K2458" s="253"/>
    </row>
    <row r="2459" spans="1:11" ht="22" customHeight="1" x14ac:dyDescent="0.35">
      <c r="A2459" s="251"/>
      <c r="B2459" s="252"/>
      <c r="C2459" s="252"/>
      <c r="D2459" s="252"/>
      <c r="E2459" s="252"/>
      <c r="F2459" s="252"/>
      <c r="G2459" s="252"/>
      <c r="H2459" s="252"/>
      <c r="I2459" s="252"/>
      <c r="J2459" s="252"/>
      <c r="K2459" s="253"/>
    </row>
    <row r="2460" spans="1:11" ht="22" customHeight="1" x14ac:dyDescent="0.35">
      <c r="A2460" s="251"/>
      <c r="B2460" s="252"/>
      <c r="C2460" s="252"/>
      <c r="D2460" s="252"/>
      <c r="E2460" s="252"/>
      <c r="F2460" s="252"/>
      <c r="G2460" s="252"/>
      <c r="H2460" s="252"/>
      <c r="I2460" s="252"/>
      <c r="J2460" s="252"/>
      <c r="K2460" s="253"/>
    </row>
    <row r="2461" spans="1:11" ht="22" customHeight="1" x14ac:dyDescent="0.35">
      <c r="A2461" s="251"/>
      <c r="B2461" s="252"/>
      <c r="C2461" s="252"/>
      <c r="D2461" s="252"/>
      <c r="E2461" s="252"/>
      <c r="F2461" s="252"/>
      <c r="G2461" s="252"/>
      <c r="H2461" s="252"/>
      <c r="I2461" s="252"/>
      <c r="J2461" s="252"/>
      <c r="K2461" s="253"/>
    </row>
    <row r="2462" spans="1:11" ht="22" customHeight="1" x14ac:dyDescent="0.35">
      <c r="A2462" s="251"/>
      <c r="B2462" s="252"/>
      <c r="C2462" s="252"/>
      <c r="D2462" s="252"/>
      <c r="E2462" s="252"/>
      <c r="F2462" s="252"/>
      <c r="G2462" s="252"/>
      <c r="H2462" s="252"/>
      <c r="I2462" s="252"/>
      <c r="J2462" s="252"/>
      <c r="K2462" s="253"/>
    </row>
    <row r="2463" spans="1:11" ht="22" customHeight="1" x14ac:dyDescent="0.35">
      <c r="A2463" s="251"/>
      <c r="B2463" s="252"/>
      <c r="C2463" s="252"/>
      <c r="D2463" s="252"/>
      <c r="E2463" s="252"/>
      <c r="F2463" s="252"/>
      <c r="G2463" s="252"/>
      <c r="H2463" s="252"/>
      <c r="I2463" s="252"/>
      <c r="J2463" s="252"/>
      <c r="K2463" s="253"/>
    </row>
    <row r="2464" spans="1:11" ht="22" customHeight="1" x14ac:dyDescent="0.35">
      <c r="A2464" s="251"/>
      <c r="B2464" s="252"/>
      <c r="C2464" s="252"/>
      <c r="D2464" s="252"/>
      <c r="E2464" s="252"/>
      <c r="F2464" s="252"/>
      <c r="G2464" s="252"/>
      <c r="H2464" s="252"/>
      <c r="I2464" s="252"/>
      <c r="J2464" s="252"/>
      <c r="K2464" s="253"/>
    </row>
    <row r="2465" spans="1:11" ht="22" customHeight="1" x14ac:dyDescent="0.35">
      <c r="A2465" s="251"/>
      <c r="B2465" s="252"/>
      <c r="C2465" s="252"/>
      <c r="D2465" s="252"/>
      <c r="E2465" s="252"/>
      <c r="F2465" s="252"/>
      <c r="G2465" s="252"/>
      <c r="H2465" s="252"/>
      <c r="I2465" s="252"/>
      <c r="J2465" s="252"/>
      <c r="K2465" s="253"/>
    </row>
    <row r="2466" spans="1:11" ht="22" customHeight="1" x14ac:dyDescent="0.35">
      <c r="A2466" s="251"/>
      <c r="B2466" s="252"/>
      <c r="C2466" s="252"/>
      <c r="D2466" s="252"/>
      <c r="E2466" s="252"/>
      <c r="F2466" s="252"/>
      <c r="G2466" s="252"/>
      <c r="H2466" s="252"/>
      <c r="I2466" s="252"/>
      <c r="J2466" s="252"/>
      <c r="K2466" s="253"/>
    </row>
    <row r="2467" spans="1:11" ht="22" customHeight="1" x14ac:dyDescent="0.35">
      <c r="A2467" s="251"/>
      <c r="B2467" s="252"/>
      <c r="C2467" s="252"/>
      <c r="D2467" s="252"/>
      <c r="E2467" s="252"/>
      <c r="F2467" s="252"/>
      <c r="G2467" s="252"/>
      <c r="H2467" s="252"/>
      <c r="I2467" s="252"/>
      <c r="J2467" s="252"/>
      <c r="K2467" s="253"/>
    </row>
    <row r="2468" spans="1:11" ht="22" customHeight="1" x14ac:dyDescent="0.35">
      <c r="A2468" s="251"/>
      <c r="B2468" s="252"/>
      <c r="C2468" s="252"/>
      <c r="D2468" s="252"/>
      <c r="E2468" s="252"/>
      <c r="F2468" s="252"/>
      <c r="G2468" s="252"/>
      <c r="H2468" s="252"/>
      <c r="I2468" s="252"/>
      <c r="J2468" s="252"/>
      <c r="K2468" s="253"/>
    </row>
    <row r="2469" spans="1:11" ht="22" customHeight="1" x14ac:dyDescent="0.35">
      <c r="A2469" s="251"/>
      <c r="B2469" s="252"/>
      <c r="C2469" s="252"/>
      <c r="D2469" s="252"/>
      <c r="E2469" s="252"/>
      <c r="F2469" s="252"/>
      <c r="G2469" s="252"/>
      <c r="H2469" s="252"/>
      <c r="I2469" s="252"/>
      <c r="J2469" s="252"/>
      <c r="K2469" s="253"/>
    </row>
    <row r="2470" spans="1:11" ht="22" customHeight="1" x14ac:dyDescent="0.35">
      <c r="A2470" s="251"/>
      <c r="B2470" s="252"/>
      <c r="C2470" s="252"/>
      <c r="D2470" s="252"/>
      <c r="E2470" s="252"/>
      <c r="F2470" s="252"/>
      <c r="G2470" s="252"/>
      <c r="H2470" s="252"/>
      <c r="I2470" s="252"/>
      <c r="J2470" s="252"/>
      <c r="K2470" s="253"/>
    </row>
    <row r="2471" spans="1:11" ht="22" customHeight="1" x14ac:dyDescent="0.35">
      <c r="A2471" s="251"/>
      <c r="B2471" s="252"/>
      <c r="C2471" s="252"/>
      <c r="D2471" s="252"/>
      <c r="E2471" s="252"/>
      <c r="F2471" s="252"/>
      <c r="G2471" s="252"/>
      <c r="H2471" s="252"/>
      <c r="I2471" s="252"/>
      <c r="J2471" s="252"/>
      <c r="K2471" s="253"/>
    </row>
    <row r="2472" spans="1:11" ht="22" customHeight="1" x14ac:dyDescent="0.35">
      <c r="A2472" s="251"/>
      <c r="B2472" s="252"/>
      <c r="C2472" s="252"/>
      <c r="D2472" s="252"/>
      <c r="E2472" s="252"/>
      <c r="F2472" s="252"/>
      <c r="G2472" s="252"/>
      <c r="H2472" s="252"/>
      <c r="I2472" s="252"/>
      <c r="J2472" s="252"/>
      <c r="K2472" s="253"/>
    </row>
    <row r="2473" spans="1:11" ht="22" customHeight="1" x14ac:dyDescent="0.35">
      <c r="A2473" s="251"/>
      <c r="B2473" s="252"/>
      <c r="C2473" s="252"/>
      <c r="D2473" s="252"/>
      <c r="E2473" s="252"/>
      <c r="F2473" s="252"/>
      <c r="G2473" s="252"/>
      <c r="H2473" s="252"/>
      <c r="I2473" s="252"/>
      <c r="J2473" s="252"/>
      <c r="K2473" s="253"/>
    </row>
    <row r="2474" spans="1:11" ht="22" customHeight="1" x14ac:dyDescent="0.35">
      <c r="A2474" s="251"/>
      <c r="B2474" s="252"/>
      <c r="C2474" s="252"/>
      <c r="D2474" s="252"/>
      <c r="E2474" s="252"/>
      <c r="F2474" s="252"/>
      <c r="G2474" s="252"/>
      <c r="H2474" s="252"/>
      <c r="I2474" s="252"/>
      <c r="J2474" s="252"/>
      <c r="K2474" s="253"/>
    </row>
    <row r="2475" spans="1:11" ht="22" customHeight="1" x14ac:dyDescent="0.35">
      <c r="A2475" s="251"/>
      <c r="B2475" s="252"/>
      <c r="C2475" s="252"/>
      <c r="D2475" s="252"/>
      <c r="E2475" s="252"/>
      <c r="F2475" s="252"/>
      <c r="G2475" s="252"/>
      <c r="H2475" s="252"/>
      <c r="I2475" s="252"/>
      <c r="J2475" s="252"/>
      <c r="K2475" s="253"/>
    </row>
    <row r="2476" spans="1:11" ht="22" customHeight="1" x14ac:dyDescent="0.35">
      <c r="A2476" s="251"/>
      <c r="B2476" s="252"/>
      <c r="C2476" s="252"/>
      <c r="D2476" s="252"/>
      <c r="E2476" s="252"/>
      <c r="F2476" s="252"/>
      <c r="G2476" s="252"/>
      <c r="H2476" s="252"/>
      <c r="I2476" s="252"/>
      <c r="J2476" s="252"/>
      <c r="K2476" s="253"/>
    </row>
    <row r="2477" spans="1:11" ht="22" customHeight="1" x14ac:dyDescent="0.35">
      <c r="A2477" s="251"/>
      <c r="B2477" s="252"/>
      <c r="C2477" s="252"/>
      <c r="D2477" s="252"/>
      <c r="E2477" s="252"/>
      <c r="F2477" s="252"/>
      <c r="G2477" s="252"/>
      <c r="H2477" s="252"/>
      <c r="I2477" s="252"/>
      <c r="J2477" s="252"/>
      <c r="K2477" s="253"/>
    </row>
    <row r="2478" spans="1:11" ht="22" customHeight="1" x14ac:dyDescent="0.35">
      <c r="A2478" s="251"/>
      <c r="B2478" s="252"/>
      <c r="C2478" s="252"/>
      <c r="D2478" s="252"/>
      <c r="E2478" s="252"/>
      <c r="F2478" s="252"/>
      <c r="G2478" s="252"/>
      <c r="H2478" s="252"/>
      <c r="I2478" s="252"/>
      <c r="J2478" s="252"/>
      <c r="K2478" s="253"/>
    </row>
    <row r="2479" spans="1:11" ht="22" customHeight="1" x14ac:dyDescent="0.35">
      <c r="A2479" s="251"/>
      <c r="B2479" s="252"/>
      <c r="C2479" s="252"/>
      <c r="D2479" s="252"/>
      <c r="E2479" s="252"/>
      <c r="F2479" s="252"/>
      <c r="G2479" s="252"/>
      <c r="H2479" s="252"/>
      <c r="I2479" s="252"/>
      <c r="J2479" s="252"/>
      <c r="K2479" s="253"/>
    </row>
    <row r="2480" spans="1:11" ht="22" customHeight="1" x14ac:dyDescent="0.35">
      <c r="A2480" s="251"/>
      <c r="B2480" s="252"/>
      <c r="C2480" s="252"/>
      <c r="D2480" s="252"/>
      <c r="E2480" s="252"/>
      <c r="F2480" s="252"/>
      <c r="G2480" s="252"/>
      <c r="H2480" s="252"/>
      <c r="I2480" s="252"/>
      <c r="J2480" s="252"/>
      <c r="K2480" s="253"/>
    </row>
    <row r="2481" spans="1:11" ht="22" customHeight="1" x14ac:dyDescent="0.35">
      <c r="A2481" s="251"/>
      <c r="B2481" s="252"/>
      <c r="C2481" s="252"/>
      <c r="D2481" s="252"/>
      <c r="E2481" s="252"/>
      <c r="F2481" s="252"/>
      <c r="G2481" s="252"/>
      <c r="H2481" s="252"/>
      <c r="I2481" s="252"/>
      <c r="J2481" s="252"/>
      <c r="K2481" s="253"/>
    </row>
    <row r="2482" spans="1:11" ht="22" customHeight="1" x14ac:dyDescent="0.35">
      <c r="A2482" s="251"/>
      <c r="B2482" s="252"/>
      <c r="C2482" s="252"/>
      <c r="D2482" s="252"/>
      <c r="E2482" s="252"/>
      <c r="F2482" s="252"/>
      <c r="G2482" s="252"/>
      <c r="H2482" s="252"/>
      <c r="I2482" s="252"/>
      <c r="J2482" s="252"/>
      <c r="K2482" s="253"/>
    </row>
    <row r="2483" spans="1:11" ht="22" customHeight="1" x14ac:dyDescent="0.35">
      <c r="A2483" s="251"/>
      <c r="B2483" s="252"/>
      <c r="C2483" s="252"/>
      <c r="D2483" s="252"/>
      <c r="E2483" s="252"/>
      <c r="F2483" s="252"/>
      <c r="G2483" s="252"/>
      <c r="H2483" s="252"/>
      <c r="I2483" s="252"/>
      <c r="J2483" s="252"/>
      <c r="K2483" s="253"/>
    </row>
    <row r="2484" spans="1:11" ht="22" customHeight="1" x14ac:dyDescent="0.35">
      <c r="A2484" s="251"/>
      <c r="B2484" s="252"/>
      <c r="C2484" s="252"/>
      <c r="D2484" s="252"/>
      <c r="E2484" s="252"/>
      <c r="F2484" s="252"/>
      <c r="G2484" s="252"/>
      <c r="H2484" s="252"/>
      <c r="I2484" s="252"/>
      <c r="J2484" s="252"/>
      <c r="K2484" s="253"/>
    </row>
    <row r="2485" spans="1:11" ht="22" customHeight="1" x14ac:dyDescent="0.35">
      <c r="A2485" s="251"/>
      <c r="B2485" s="252"/>
      <c r="C2485" s="252"/>
      <c r="D2485" s="252"/>
      <c r="E2485" s="252"/>
      <c r="F2485" s="252"/>
      <c r="G2485" s="252"/>
      <c r="H2485" s="252"/>
      <c r="I2485" s="252"/>
      <c r="J2485" s="252"/>
      <c r="K2485" s="253"/>
    </row>
    <row r="2486" spans="1:11" ht="22" customHeight="1" x14ac:dyDescent="0.35">
      <c r="A2486" s="251"/>
      <c r="B2486" s="252"/>
      <c r="C2486" s="252"/>
      <c r="D2486" s="252"/>
      <c r="E2486" s="252"/>
      <c r="F2486" s="252"/>
      <c r="G2486" s="252"/>
      <c r="H2486" s="252"/>
      <c r="I2486" s="252"/>
      <c r="J2486" s="252"/>
      <c r="K2486" s="253"/>
    </row>
    <row r="2487" spans="1:11" ht="22" customHeight="1" x14ac:dyDescent="0.35">
      <c r="A2487" s="251"/>
      <c r="B2487" s="252"/>
      <c r="C2487" s="252"/>
      <c r="D2487" s="252"/>
      <c r="E2487" s="252"/>
      <c r="F2487" s="252"/>
      <c r="G2487" s="252"/>
      <c r="H2487" s="252"/>
      <c r="I2487" s="252"/>
      <c r="J2487" s="252"/>
      <c r="K2487" s="253"/>
    </row>
    <row r="2488" spans="1:11" ht="22" customHeight="1" x14ac:dyDescent="0.35">
      <c r="A2488" s="251"/>
      <c r="B2488" s="252"/>
      <c r="C2488" s="252"/>
      <c r="D2488" s="252"/>
      <c r="E2488" s="252"/>
      <c r="F2488" s="252"/>
      <c r="G2488" s="252"/>
      <c r="H2488" s="252"/>
      <c r="I2488" s="252"/>
      <c r="J2488" s="252"/>
      <c r="K2488" s="253"/>
    </row>
    <row r="2489" spans="1:11" ht="22" customHeight="1" x14ac:dyDescent="0.35">
      <c r="A2489" s="251"/>
      <c r="B2489" s="252"/>
      <c r="C2489" s="252"/>
      <c r="D2489" s="252"/>
      <c r="E2489" s="252"/>
      <c r="F2489" s="252"/>
      <c r="G2489" s="252"/>
      <c r="H2489" s="252"/>
      <c r="I2489" s="252"/>
      <c r="J2489" s="252"/>
      <c r="K2489" s="253"/>
    </row>
    <row r="2490" spans="1:11" ht="22" customHeight="1" x14ac:dyDescent="0.35">
      <c r="A2490" s="251"/>
      <c r="B2490" s="252"/>
      <c r="C2490" s="252"/>
      <c r="D2490" s="252"/>
      <c r="E2490" s="252"/>
      <c r="F2490" s="252"/>
      <c r="G2490" s="252"/>
      <c r="H2490" s="252"/>
      <c r="I2490" s="252"/>
      <c r="J2490" s="252"/>
      <c r="K2490" s="253"/>
    </row>
    <row r="2491" spans="1:11" ht="22" customHeight="1" x14ac:dyDescent="0.35">
      <c r="A2491" s="251"/>
      <c r="B2491" s="252"/>
      <c r="C2491" s="252"/>
      <c r="D2491" s="252"/>
      <c r="E2491" s="252"/>
      <c r="F2491" s="252"/>
      <c r="G2491" s="252"/>
      <c r="H2491" s="252"/>
      <c r="I2491" s="252"/>
      <c r="J2491" s="252"/>
      <c r="K2491" s="253"/>
    </row>
    <row r="2492" spans="1:11" ht="22" customHeight="1" x14ac:dyDescent="0.35">
      <c r="A2492" s="251"/>
      <c r="B2492" s="252"/>
      <c r="C2492" s="252"/>
      <c r="D2492" s="252"/>
      <c r="E2492" s="252"/>
      <c r="F2492" s="252"/>
      <c r="G2492" s="252"/>
      <c r="H2492" s="252"/>
      <c r="I2492" s="252"/>
      <c r="J2492" s="252"/>
      <c r="K2492" s="253"/>
    </row>
    <row r="2493" spans="1:11" ht="22" customHeight="1" x14ac:dyDescent="0.35">
      <c r="A2493" s="251"/>
      <c r="B2493" s="252"/>
      <c r="C2493" s="252"/>
      <c r="D2493" s="252"/>
      <c r="E2493" s="252"/>
      <c r="F2493" s="252"/>
      <c r="G2493" s="252"/>
      <c r="H2493" s="252"/>
      <c r="I2493" s="252"/>
      <c r="J2493" s="252"/>
      <c r="K2493" s="253"/>
    </row>
    <row r="2494" spans="1:11" ht="22" customHeight="1" x14ac:dyDescent="0.35">
      <c r="A2494" s="251"/>
      <c r="B2494" s="252"/>
      <c r="C2494" s="252"/>
      <c r="D2494" s="252"/>
      <c r="E2494" s="252"/>
      <c r="F2494" s="252"/>
      <c r="G2494" s="252"/>
      <c r="H2494" s="252"/>
      <c r="I2494" s="252"/>
      <c r="J2494" s="252"/>
      <c r="K2494" s="253"/>
    </row>
    <row r="2495" spans="1:11" ht="22" customHeight="1" x14ac:dyDescent="0.35">
      <c r="A2495" s="251"/>
      <c r="B2495" s="252"/>
      <c r="C2495" s="252"/>
      <c r="D2495" s="252"/>
      <c r="E2495" s="252"/>
      <c r="F2495" s="252"/>
      <c r="G2495" s="252"/>
      <c r="H2495" s="252"/>
      <c r="I2495" s="252"/>
      <c r="J2495" s="252"/>
      <c r="K2495" s="253"/>
    </row>
    <row r="2496" spans="1:11" ht="22" customHeight="1" x14ac:dyDescent="0.35">
      <c r="A2496" s="251"/>
      <c r="B2496" s="252"/>
      <c r="C2496" s="252"/>
      <c r="D2496" s="252"/>
      <c r="E2496" s="252"/>
      <c r="F2496" s="252"/>
      <c r="G2496" s="252"/>
      <c r="H2496" s="252"/>
      <c r="I2496" s="252"/>
      <c r="J2496" s="252"/>
      <c r="K2496" s="253"/>
    </row>
    <row r="2497" spans="1:11" ht="22" customHeight="1" x14ac:dyDescent="0.35">
      <c r="A2497" s="251"/>
      <c r="B2497" s="252"/>
      <c r="C2497" s="252"/>
      <c r="D2497" s="252"/>
      <c r="E2497" s="252"/>
      <c r="F2497" s="252"/>
      <c r="G2497" s="252"/>
      <c r="H2497" s="252"/>
      <c r="I2497" s="252"/>
      <c r="J2497" s="252"/>
      <c r="K2497" s="253"/>
    </row>
    <row r="2498" spans="1:11" ht="22" customHeight="1" x14ac:dyDescent="0.35">
      <c r="A2498" s="251"/>
      <c r="B2498" s="252"/>
      <c r="C2498" s="252"/>
      <c r="D2498" s="252"/>
      <c r="E2498" s="252"/>
      <c r="F2498" s="252"/>
      <c r="G2498" s="252"/>
      <c r="H2498" s="252"/>
      <c r="I2498" s="252"/>
      <c r="J2498" s="252"/>
      <c r="K2498" s="253"/>
    </row>
    <row r="2499" spans="1:11" ht="22" customHeight="1" x14ac:dyDescent="0.35">
      <c r="A2499" s="251"/>
      <c r="B2499" s="252"/>
      <c r="C2499" s="252"/>
      <c r="D2499" s="252"/>
      <c r="E2499" s="252"/>
      <c r="F2499" s="252"/>
      <c r="G2499" s="252"/>
      <c r="H2499" s="252"/>
      <c r="I2499" s="252"/>
      <c r="J2499" s="252"/>
      <c r="K2499" s="253"/>
    </row>
    <row r="2500" spans="1:11" ht="22" customHeight="1" x14ac:dyDescent="0.35">
      <c r="A2500" s="251"/>
      <c r="B2500" s="252"/>
      <c r="C2500" s="252"/>
      <c r="D2500" s="252"/>
      <c r="E2500" s="252"/>
      <c r="F2500" s="252"/>
      <c r="G2500" s="252"/>
      <c r="H2500" s="252"/>
      <c r="I2500" s="252"/>
      <c r="J2500" s="252"/>
      <c r="K2500" s="253"/>
    </row>
    <row r="2501" spans="1:11" ht="22" customHeight="1" x14ac:dyDescent="0.35">
      <c r="A2501" s="251"/>
      <c r="B2501" s="252"/>
      <c r="C2501" s="252"/>
      <c r="D2501" s="252"/>
      <c r="E2501" s="252"/>
      <c r="F2501" s="252"/>
      <c r="G2501" s="252"/>
      <c r="H2501" s="252"/>
      <c r="I2501" s="252"/>
      <c r="J2501" s="252"/>
      <c r="K2501" s="253"/>
    </row>
    <row r="2502" spans="1:11" ht="22" customHeight="1" x14ac:dyDescent="0.35">
      <c r="A2502" s="251"/>
      <c r="B2502" s="252"/>
      <c r="C2502" s="252"/>
      <c r="D2502" s="252"/>
      <c r="E2502" s="252"/>
      <c r="F2502" s="252"/>
      <c r="G2502" s="252"/>
      <c r="H2502" s="252"/>
      <c r="I2502" s="252"/>
      <c r="J2502" s="252"/>
      <c r="K2502" s="253"/>
    </row>
    <row r="2503" spans="1:11" ht="22" customHeight="1" x14ac:dyDescent="0.35">
      <c r="A2503" s="251"/>
      <c r="B2503" s="252"/>
      <c r="C2503" s="252"/>
      <c r="D2503" s="252"/>
      <c r="E2503" s="252"/>
      <c r="F2503" s="252"/>
      <c r="G2503" s="252"/>
      <c r="H2503" s="252"/>
      <c r="I2503" s="252"/>
      <c r="J2503" s="252"/>
      <c r="K2503" s="253"/>
    </row>
    <row r="2504" spans="1:11" ht="22" customHeight="1" x14ac:dyDescent="0.35">
      <c r="A2504" s="251"/>
      <c r="B2504" s="252"/>
      <c r="C2504" s="252"/>
      <c r="D2504" s="252"/>
      <c r="E2504" s="252"/>
      <c r="F2504" s="252"/>
      <c r="G2504" s="252"/>
      <c r="H2504" s="252"/>
      <c r="I2504" s="252"/>
      <c r="J2504" s="252"/>
      <c r="K2504" s="253"/>
    </row>
    <row r="2505" spans="1:11" ht="22" customHeight="1" x14ac:dyDescent="0.35">
      <c r="A2505" s="251"/>
      <c r="B2505" s="252"/>
      <c r="C2505" s="252"/>
      <c r="D2505" s="252"/>
      <c r="E2505" s="252"/>
      <c r="F2505" s="252"/>
      <c r="G2505" s="252"/>
      <c r="H2505" s="252"/>
      <c r="I2505" s="252"/>
      <c r="J2505" s="252"/>
      <c r="K2505" s="253"/>
    </row>
    <row r="2506" spans="1:11" ht="22" customHeight="1" x14ac:dyDescent="0.35">
      <c r="A2506" s="251"/>
      <c r="B2506" s="252"/>
      <c r="C2506" s="252"/>
      <c r="D2506" s="252"/>
      <c r="E2506" s="252"/>
      <c r="F2506" s="252"/>
      <c r="G2506" s="252"/>
      <c r="H2506" s="252"/>
      <c r="I2506" s="252"/>
      <c r="J2506" s="252"/>
      <c r="K2506" s="253"/>
    </row>
    <row r="2507" spans="1:11" ht="22" customHeight="1" x14ac:dyDescent="0.35">
      <c r="A2507" s="251"/>
      <c r="B2507" s="252"/>
      <c r="C2507" s="252"/>
      <c r="D2507" s="252"/>
      <c r="E2507" s="252"/>
      <c r="F2507" s="252"/>
      <c r="G2507" s="252"/>
      <c r="H2507" s="252"/>
      <c r="I2507" s="252"/>
      <c r="J2507" s="252"/>
      <c r="K2507" s="253"/>
    </row>
    <row r="2508" spans="1:11" ht="22" customHeight="1" x14ac:dyDescent="0.35">
      <c r="A2508" s="251"/>
      <c r="B2508" s="252"/>
      <c r="C2508" s="252"/>
      <c r="D2508" s="252"/>
      <c r="E2508" s="252"/>
      <c r="F2508" s="252"/>
      <c r="G2508" s="252"/>
      <c r="H2508" s="252"/>
      <c r="I2508" s="252"/>
      <c r="J2508" s="252"/>
      <c r="K2508" s="253"/>
    </row>
    <row r="2509" spans="1:11" ht="22" customHeight="1" x14ac:dyDescent="0.35">
      <c r="A2509" s="251"/>
      <c r="B2509" s="252"/>
      <c r="C2509" s="252"/>
      <c r="D2509" s="252"/>
      <c r="E2509" s="252"/>
      <c r="F2509" s="252"/>
      <c r="G2509" s="252"/>
      <c r="H2509" s="252"/>
      <c r="I2509" s="252"/>
      <c r="J2509" s="252"/>
      <c r="K2509" s="253"/>
    </row>
    <row r="2510" spans="1:11" ht="22" customHeight="1" x14ac:dyDescent="0.35">
      <c r="A2510" s="251"/>
      <c r="B2510" s="252"/>
      <c r="C2510" s="252"/>
      <c r="D2510" s="252"/>
      <c r="E2510" s="252"/>
      <c r="F2510" s="252"/>
      <c r="G2510" s="252"/>
      <c r="H2510" s="252"/>
      <c r="I2510" s="252"/>
      <c r="J2510" s="252"/>
      <c r="K2510" s="253"/>
    </row>
    <row r="2511" spans="1:11" ht="22" customHeight="1" x14ac:dyDescent="0.35">
      <c r="A2511" s="251"/>
      <c r="B2511" s="252"/>
      <c r="C2511" s="252"/>
      <c r="D2511" s="252"/>
      <c r="E2511" s="252"/>
      <c r="F2511" s="252"/>
      <c r="G2511" s="252"/>
      <c r="H2511" s="252"/>
      <c r="I2511" s="252"/>
      <c r="J2511" s="252"/>
      <c r="K2511" s="253"/>
    </row>
    <row r="2512" spans="1:11" ht="22" customHeight="1" x14ac:dyDescent="0.35">
      <c r="A2512" s="251"/>
      <c r="B2512" s="252"/>
      <c r="C2512" s="252"/>
      <c r="D2512" s="252"/>
      <c r="E2512" s="252"/>
      <c r="F2512" s="252"/>
      <c r="G2512" s="252"/>
      <c r="H2512" s="252"/>
      <c r="I2512" s="252"/>
      <c r="J2512" s="252"/>
      <c r="K2512" s="253"/>
    </row>
    <row r="2513" spans="1:11" ht="22" customHeight="1" x14ac:dyDescent="0.35">
      <c r="A2513" s="251"/>
      <c r="B2513" s="252"/>
      <c r="C2513" s="252"/>
      <c r="D2513" s="252"/>
      <c r="E2513" s="252"/>
      <c r="F2513" s="252"/>
      <c r="G2513" s="252"/>
      <c r="H2513" s="252"/>
      <c r="I2513" s="252"/>
      <c r="J2513" s="252"/>
      <c r="K2513" s="253"/>
    </row>
    <row r="2514" spans="1:11" ht="22" customHeight="1" x14ac:dyDescent="0.35">
      <c r="A2514" s="251"/>
      <c r="B2514" s="252"/>
      <c r="C2514" s="252"/>
      <c r="D2514" s="252"/>
      <c r="E2514" s="252"/>
      <c r="F2514" s="252"/>
      <c r="G2514" s="252"/>
      <c r="H2514" s="252"/>
      <c r="I2514" s="252"/>
      <c r="J2514" s="252"/>
      <c r="K2514" s="253"/>
    </row>
    <row r="2515" spans="1:11" ht="22" customHeight="1" x14ac:dyDescent="0.35">
      <c r="A2515" s="251"/>
      <c r="B2515" s="252"/>
      <c r="C2515" s="252"/>
      <c r="D2515" s="252"/>
      <c r="E2515" s="252"/>
      <c r="F2515" s="252"/>
      <c r="G2515" s="252"/>
      <c r="H2515" s="252"/>
      <c r="I2515" s="252"/>
      <c r="J2515" s="252"/>
      <c r="K2515" s="253"/>
    </row>
    <row r="2516" spans="1:11" ht="22" customHeight="1" x14ac:dyDescent="0.35">
      <c r="A2516" s="251"/>
      <c r="B2516" s="252"/>
      <c r="C2516" s="252"/>
      <c r="D2516" s="252"/>
      <c r="E2516" s="252"/>
      <c r="F2516" s="252"/>
      <c r="G2516" s="252"/>
      <c r="H2516" s="252"/>
      <c r="I2516" s="252"/>
      <c r="J2516" s="252"/>
      <c r="K2516" s="253"/>
    </row>
    <row r="2517" spans="1:11" ht="22" customHeight="1" x14ac:dyDescent="0.35">
      <c r="A2517" s="251"/>
      <c r="B2517" s="252"/>
      <c r="C2517" s="252"/>
      <c r="D2517" s="252"/>
      <c r="E2517" s="252"/>
      <c r="F2517" s="252"/>
      <c r="G2517" s="252"/>
      <c r="H2517" s="252"/>
      <c r="I2517" s="252"/>
      <c r="J2517" s="252"/>
      <c r="K2517" s="253"/>
    </row>
    <row r="2518" spans="1:11" ht="22" customHeight="1" x14ac:dyDescent="0.35">
      <c r="A2518" s="251"/>
      <c r="B2518" s="252"/>
      <c r="C2518" s="252"/>
      <c r="D2518" s="252"/>
      <c r="E2518" s="252"/>
      <c r="F2518" s="252"/>
      <c r="G2518" s="252"/>
      <c r="H2518" s="252"/>
      <c r="I2518" s="252"/>
      <c r="J2518" s="252"/>
      <c r="K2518" s="253"/>
    </row>
    <row r="2519" spans="1:11" ht="22" customHeight="1" x14ac:dyDescent="0.35">
      <c r="A2519" s="251"/>
      <c r="B2519" s="252"/>
      <c r="C2519" s="252"/>
      <c r="D2519" s="252"/>
      <c r="E2519" s="252"/>
      <c r="F2519" s="252"/>
      <c r="G2519" s="252"/>
      <c r="H2519" s="252"/>
      <c r="I2519" s="252"/>
      <c r="J2519" s="252"/>
      <c r="K2519" s="253"/>
    </row>
    <row r="2520" spans="1:11" ht="22" customHeight="1" x14ac:dyDescent="0.35">
      <c r="A2520" s="251"/>
      <c r="B2520" s="252"/>
      <c r="C2520" s="252"/>
      <c r="D2520" s="252"/>
      <c r="E2520" s="252"/>
      <c r="F2520" s="252"/>
      <c r="G2520" s="252"/>
      <c r="H2520" s="252"/>
      <c r="I2520" s="252"/>
      <c r="J2520" s="252"/>
      <c r="K2520" s="253"/>
    </row>
    <row r="2521" spans="1:11" ht="22" customHeight="1" x14ac:dyDescent="0.35">
      <c r="A2521" s="251"/>
      <c r="B2521" s="252"/>
      <c r="C2521" s="252"/>
      <c r="D2521" s="252"/>
      <c r="E2521" s="252"/>
      <c r="F2521" s="252"/>
      <c r="G2521" s="252"/>
      <c r="H2521" s="252"/>
      <c r="I2521" s="252"/>
      <c r="J2521" s="252"/>
      <c r="K2521" s="253"/>
    </row>
    <row r="2522" spans="1:11" ht="22" customHeight="1" x14ac:dyDescent="0.35">
      <c r="A2522" s="251"/>
      <c r="B2522" s="252"/>
      <c r="C2522" s="252"/>
      <c r="D2522" s="252"/>
      <c r="E2522" s="252"/>
      <c r="F2522" s="252"/>
      <c r="G2522" s="252"/>
      <c r="H2522" s="252"/>
      <c r="I2522" s="252"/>
      <c r="J2522" s="252"/>
      <c r="K2522" s="253"/>
    </row>
    <row r="2523" spans="1:11" ht="22" customHeight="1" x14ac:dyDescent="0.35">
      <c r="A2523" s="251"/>
      <c r="B2523" s="252"/>
      <c r="C2523" s="252"/>
      <c r="D2523" s="252"/>
      <c r="E2523" s="252"/>
      <c r="F2523" s="252"/>
      <c r="G2523" s="252"/>
      <c r="H2523" s="252"/>
      <c r="I2523" s="252"/>
      <c r="J2523" s="252"/>
      <c r="K2523" s="253"/>
    </row>
    <row r="2524" spans="1:11" ht="22" customHeight="1" x14ac:dyDescent="0.35">
      <c r="A2524" s="251"/>
      <c r="B2524" s="252"/>
      <c r="C2524" s="252"/>
      <c r="D2524" s="252"/>
      <c r="E2524" s="252"/>
      <c r="F2524" s="252"/>
      <c r="G2524" s="252"/>
      <c r="H2524" s="252"/>
      <c r="I2524" s="252"/>
      <c r="J2524" s="252"/>
      <c r="K2524" s="253"/>
    </row>
    <row r="2525" spans="1:11" ht="22" customHeight="1" x14ac:dyDescent="0.35">
      <c r="A2525" s="251"/>
      <c r="B2525" s="252"/>
      <c r="C2525" s="252"/>
      <c r="D2525" s="252"/>
      <c r="E2525" s="252"/>
      <c r="F2525" s="252"/>
      <c r="G2525" s="252"/>
      <c r="H2525" s="252"/>
      <c r="I2525" s="252"/>
      <c r="J2525" s="252"/>
      <c r="K2525" s="253"/>
    </row>
    <row r="2526" spans="1:11" ht="22" customHeight="1" x14ac:dyDescent="0.35">
      <c r="A2526" s="251"/>
      <c r="B2526" s="252"/>
      <c r="C2526" s="252"/>
      <c r="D2526" s="252"/>
      <c r="E2526" s="252"/>
      <c r="F2526" s="252"/>
      <c r="G2526" s="252"/>
      <c r="H2526" s="252"/>
      <c r="I2526" s="252"/>
      <c r="J2526" s="252"/>
      <c r="K2526" s="253"/>
    </row>
    <row r="2527" spans="1:11" ht="22" customHeight="1" x14ac:dyDescent="0.35">
      <c r="A2527" s="251"/>
      <c r="B2527" s="252"/>
      <c r="C2527" s="252"/>
      <c r="D2527" s="252"/>
      <c r="E2527" s="252"/>
      <c r="F2527" s="252"/>
      <c r="G2527" s="252"/>
      <c r="H2527" s="252"/>
      <c r="I2527" s="252"/>
      <c r="J2527" s="252"/>
      <c r="K2527" s="253"/>
    </row>
    <row r="2528" spans="1:11" ht="22" customHeight="1" x14ac:dyDescent="0.35">
      <c r="A2528" s="251"/>
      <c r="B2528" s="252"/>
      <c r="C2528" s="252"/>
      <c r="D2528" s="252"/>
      <c r="E2528" s="252"/>
      <c r="F2528" s="252"/>
      <c r="G2528" s="252"/>
      <c r="H2528" s="252"/>
      <c r="I2528" s="252"/>
      <c r="J2528" s="252"/>
      <c r="K2528" s="253"/>
    </row>
    <row r="2529" spans="1:11" ht="22" customHeight="1" x14ac:dyDescent="0.35">
      <c r="A2529" s="251"/>
      <c r="B2529" s="252"/>
      <c r="C2529" s="252"/>
      <c r="D2529" s="252"/>
      <c r="E2529" s="252"/>
      <c r="F2529" s="252"/>
      <c r="G2529" s="252"/>
      <c r="H2529" s="252"/>
      <c r="I2529" s="252"/>
      <c r="J2529" s="252"/>
      <c r="K2529" s="253"/>
    </row>
    <row r="2530" spans="1:11" ht="22" customHeight="1" x14ac:dyDescent="0.35">
      <c r="A2530" s="251"/>
      <c r="B2530" s="252"/>
      <c r="C2530" s="252"/>
      <c r="D2530" s="252"/>
      <c r="E2530" s="252"/>
      <c r="F2530" s="252"/>
      <c r="G2530" s="252"/>
      <c r="H2530" s="252"/>
      <c r="I2530" s="252"/>
      <c r="J2530" s="252"/>
      <c r="K2530" s="253"/>
    </row>
    <row r="2531" spans="1:11" ht="22" customHeight="1" x14ac:dyDescent="0.35">
      <c r="A2531" s="251"/>
      <c r="B2531" s="252"/>
      <c r="C2531" s="252"/>
      <c r="D2531" s="252"/>
      <c r="E2531" s="252"/>
      <c r="F2531" s="252"/>
      <c r="G2531" s="252"/>
      <c r="H2531" s="252"/>
      <c r="I2531" s="252"/>
      <c r="J2531" s="252"/>
      <c r="K2531" s="253"/>
    </row>
    <row r="2532" spans="1:11" ht="22" customHeight="1" x14ac:dyDescent="0.35">
      <c r="A2532" s="251"/>
      <c r="B2532" s="252"/>
      <c r="C2532" s="252"/>
      <c r="D2532" s="252"/>
      <c r="E2532" s="252"/>
      <c r="F2532" s="252"/>
      <c r="G2532" s="252"/>
      <c r="H2532" s="252"/>
      <c r="I2532" s="252"/>
      <c r="J2532" s="252"/>
      <c r="K2532" s="253"/>
    </row>
    <row r="2533" spans="1:11" ht="22" customHeight="1" x14ac:dyDescent="0.35">
      <c r="A2533" s="251"/>
      <c r="B2533" s="252"/>
      <c r="C2533" s="252"/>
      <c r="D2533" s="252"/>
      <c r="E2533" s="252"/>
      <c r="F2533" s="252"/>
      <c r="G2533" s="252"/>
      <c r="H2533" s="252"/>
      <c r="I2533" s="252"/>
      <c r="J2533" s="252"/>
      <c r="K2533" s="253"/>
    </row>
    <row r="2534" spans="1:11" ht="22" customHeight="1" x14ac:dyDescent="0.35">
      <c r="A2534" s="251"/>
      <c r="B2534" s="252"/>
      <c r="C2534" s="252"/>
      <c r="D2534" s="252"/>
      <c r="E2534" s="252"/>
      <c r="F2534" s="252"/>
      <c r="G2534" s="252"/>
      <c r="H2534" s="252"/>
      <c r="I2534" s="252"/>
      <c r="J2534" s="252"/>
      <c r="K2534" s="253"/>
    </row>
    <row r="2535" spans="1:11" ht="22" customHeight="1" x14ac:dyDescent="0.35">
      <c r="A2535" s="251"/>
      <c r="B2535" s="252"/>
      <c r="C2535" s="252"/>
      <c r="D2535" s="252"/>
      <c r="E2535" s="252"/>
      <c r="F2535" s="252"/>
      <c r="G2535" s="252"/>
      <c r="H2535" s="252"/>
      <c r="I2535" s="252"/>
      <c r="J2535" s="252"/>
      <c r="K2535" s="253"/>
    </row>
    <row r="2536" spans="1:11" ht="22" customHeight="1" x14ac:dyDescent="0.35">
      <c r="A2536" s="251"/>
      <c r="B2536" s="252"/>
      <c r="C2536" s="252"/>
      <c r="D2536" s="252"/>
      <c r="E2536" s="252"/>
      <c r="F2536" s="252"/>
      <c r="G2536" s="252"/>
      <c r="H2536" s="252"/>
      <c r="I2536" s="252"/>
      <c r="J2536" s="252"/>
      <c r="K2536" s="253"/>
    </row>
    <row r="2537" spans="1:11" ht="22" customHeight="1" x14ac:dyDescent="0.35">
      <c r="A2537" s="251"/>
      <c r="B2537" s="252"/>
      <c r="C2537" s="252"/>
      <c r="D2537" s="252"/>
      <c r="E2537" s="252"/>
      <c r="F2537" s="252"/>
      <c r="G2537" s="252"/>
      <c r="H2537" s="252"/>
      <c r="I2537" s="252"/>
      <c r="J2537" s="252"/>
      <c r="K2537" s="253"/>
    </row>
    <row r="2538" spans="1:11" ht="22" customHeight="1" x14ac:dyDescent="0.35">
      <c r="A2538" s="251"/>
      <c r="B2538" s="252"/>
      <c r="C2538" s="252"/>
      <c r="D2538" s="252"/>
      <c r="E2538" s="252"/>
      <c r="F2538" s="252"/>
      <c r="G2538" s="252"/>
      <c r="H2538" s="252"/>
      <c r="I2538" s="252"/>
      <c r="J2538" s="252"/>
      <c r="K2538" s="253"/>
    </row>
    <row r="2539" spans="1:11" ht="22" customHeight="1" x14ac:dyDescent="0.35">
      <c r="A2539" s="251"/>
      <c r="B2539" s="252"/>
      <c r="C2539" s="252"/>
      <c r="D2539" s="252"/>
      <c r="E2539" s="252"/>
      <c r="F2539" s="252"/>
      <c r="G2539" s="252"/>
      <c r="H2539" s="252"/>
      <c r="I2539" s="252"/>
      <c r="J2539" s="252"/>
      <c r="K2539" s="253"/>
    </row>
    <row r="2540" spans="1:11" ht="22" customHeight="1" x14ac:dyDescent="0.35">
      <c r="A2540" s="251"/>
      <c r="B2540" s="252"/>
      <c r="C2540" s="252"/>
      <c r="D2540" s="252"/>
      <c r="E2540" s="252"/>
      <c r="F2540" s="252"/>
      <c r="G2540" s="252"/>
      <c r="H2540" s="252"/>
      <c r="I2540" s="252"/>
      <c r="J2540" s="252"/>
      <c r="K2540" s="253"/>
    </row>
    <row r="2541" spans="1:11" ht="22" customHeight="1" x14ac:dyDescent="0.35">
      <c r="A2541" s="251"/>
      <c r="B2541" s="252"/>
      <c r="C2541" s="252"/>
      <c r="D2541" s="252"/>
      <c r="E2541" s="252"/>
      <c r="F2541" s="252"/>
      <c r="G2541" s="252"/>
      <c r="H2541" s="252"/>
      <c r="I2541" s="252"/>
      <c r="J2541" s="252"/>
      <c r="K2541" s="253"/>
    </row>
    <row r="2542" spans="1:11" ht="22" customHeight="1" x14ac:dyDescent="0.35">
      <c r="A2542" s="251"/>
      <c r="B2542" s="252"/>
      <c r="C2542" s="252"/>
      <c r="D2542" s="252"/>
      <c r="E2542" s="252"/>
      <c r="F2542" s="252"/>
      <c r="G2542" s="252"/>
      <c r="H2542" s="252"/>
      <c r="I2542" s="252"/>
      <c r="J2542" s="252"/>
      <c r="K2542" s="253"/>
    </row>
    <row r="2543" spans="1:11" ht="22" customHeight="1" x14ac:dyDescent="0.35">
      <c r="A2543" s="251"/>
      <c r="B2543" s="252"/>
      <c r="C2543" s="252"/>
      <c r="D2543" s="252"/>
      <c r="E2543" s="252"/>
      <c r="F2543" s="252"/>
      <c r="G2543" s="252"/>
      <c r="H2543" s="252"/>
      <c r="I2543" s="252"/>
      <c r="J2543" s="252"/>
      <c r="K2543" s="253"/>
    </row>
    <row r="2544" spans="1:11" ht="22" customHeight="1" x14ac:dyDescent="0.35">
      <c r="A2544" s="251"/>
      <c r="B2544" s="252"/>
      <c r="C2544" s="252"/>
      <c r="D2544" s="252"/>
      <c r="E2544" s="252"/>
      <c r="F2544" s="252"/>
      <c r="G2544" s="252"/>
      <c r="H2544" s="252"/>
      <c r="I2544" s="252"/>
      <c r="J2544" s="252"/>
      <c r="K2544" s="253"/>
    </row>
    <row r="2545" spans="1:11" ht="22" customHeight="1" x14ac:dyDescent="0.35">
      <c r="A2545" s="251"/>
      <c r="B2545" s="252"/>
      <c r="C2545" s="252"/>
      <c r="D2545" s="252"/>
      <c r="E2545" s="252"/>
      <c r="F2545" s="252"/>
      <c r="G2545" s="252"/>
      <c r="H2545" s="252"/>
      <c r="I2545" s="252"/>
      <c r="J2545" s="252"/>
      <c r="K2545" s="253"/>
    </row>
    <row r="2546" spans="1:11" ht="22" customHeight="1" x14ac:dyDescent="0.35">
      <c r="A2546" s="251"/>
      <c r="B2546" s="252"/>
      <c r="C2546" s="252"/>
      <c r="D2546" s="252"/>
      <c r="E2546" s="252"/>
      <c r="F2546" s="252"/>
      <c r="G2546" s="252"/>
      <c r="H2546" s="252"/>
      <c r="I2546" s="252"/>
      <c r="J2546" s="252"/>
      <c r="K2546" s="253"/>
    </row>
    <row r="2547" spans="1:11" ht="22" customHeight="1" x14ac:dyDescent="0.35">
      <c r="A2547" s="251"/>
      <c r="B2547" s="252"/>
      <c r="C2547" s="252"/>
      <c r="D2547" s="252"/>
      <c r="E2547" s="252"/>
      <c r="F2547" s="252"/>
      <c r="G2547" s="252"/>
      <c r="H2547" s="252"/>
      <c r="I2547" s="252"/>
      <c r="J2547" s="252"/>
      <c r="K2547" s="253"/>
    </row>
    <row r="2548" spans="1:11" ht="22" customHeight="1" x14ac:dyDescent="0.35">
      <c r="A2548" s="251"/>
      <c r="B2548" s="252"/>
      <c r="C2548" s="252"/>
      <c r="D2548" s="252"/>
      <c r="E2548" s="252"/>
      <c r="F2548" s="252"/>
      <c r="G2548" s="252"/>
      <c r="H2548" s="252"/>
      <c r="I2548" s="252"/>
      <c r="J2548" s="252"/>
      <c r="K2548" s="253"/>
    </row>
    <row r="2549" spans="1:11" ht="22" customHeight="1" x14ac:dyDescent="0.35">
      <c r="A2549" s="251"/>
      <c r="B2549" s="252"/>
      <c r="C2549" s="252"/>
      <c r="D2549" s="252"/>
      <c r="E2549" s="252"/>
      <c r="F2549" s="252"/>
      <c r="G2549" s="252"/>
      <c r="H2549" s="252"/>
      <c r="I2549" s="252"/>
      <c r="J2549" s="252"/>
      <c r="K2549" s="253"/>
    </row>
    <row r="2550" spans="1:11" ht="22" customHeight="1" x14ac:dyDescent="0.35">
      <c r="A2550" s="251"/>
      <c r="B2550" s="252"/>
      <c r="C2550" s="252"/>
      <c r="D2550" s="252"/>
      <c r="E2550" s="252"/>
      <c r="F2550" s="252"/>
      <c r="G2550" s="252"/>
      <c r="H2550" s="252"/>
      <c r="I2550" s="252"/>
      <c r="J2550" s="252"/>
      <c r="K2550" s="253"/>
    </row>
    <row r="2551" spans="1:11" ht="22" customHeight="1" x14ac:dyDescent="0.35">
      <c r="A2551" s="251"/>
      <c r="B2551" s="252"/>
      <c r="C2551" s="252"/>
      <c r="D2551" s="252"/>
      <c r="E2551" s="252"/>
      <c r="F2551" s="252"/>
      <c r="G2551" s="252"/>
      <c r="H2551" s="252"/>
      <c r="I2551" s="252"/>
      <c r="J2551" s="252"/>
      <c r="K2551" s="253"/>
    </row>
    <row r="2552" spans="1:11" ht="22" customHeight="1" x14ac:dyDescent="0.35">
      <c r="A2552" s="251"/>
      <c r="B2552" s="252"/>
      <c r="C2552" s="252"/>
      <c r="D2552" s="252"/>
      <c r="E2552" s="252"/>
      <c r="F2552" s="252"/>
      <c r="G2552" s="252"/>
      <c r="H2552" s="252"/>
      <c r="I2552" s="252"/>
      <c r="J2552" s="252"/>
      <c r="K2552" s="253"/>
    </row>
    <row r="2553" spans="1:11" ht="22" customHeight="1" x14ac:dyDescent="0.35">
      <c r="A2553" s="251"/>
      <c r="B2553" s="252"/>
      <c r="C2553" s="252"/>
      <c r="D2553" s="252"/>
      <c r="E2553" s="252"/>
      <c r="F2553" s="252"/>
      <c r="G2553" s="252"/>
      <c r="H2553" s="252"/>
      <c r="I2553" s="252"/>
      <c r="J2553" s="252"/>
      <c r="K2553" s="253"/>
    </row>
    <row r="2554" spans="1:11" ht="22" customHeight="1" x14ac:dyDescent="0.35">
      <c r="A2554" s="251"/>
      <c r="B2554" s="252"/>
      <c r="C2554" s="252"/>
      <c r="D2554" s="252"/>
      <c r="E2554" s="252"/>
      <c r="F2554" s="252"/>
      <c r="G2554" s="252"/>
      <c r="H2554" s="252"/>
      <c r="I2554" s="252"/>
      <c r="J2554" s="252"/>
      <c r="K2554" s="253"/>
    </row>
    <row r="2555" spans="1:11" ht="22" customHeight="1" x14ac:dyDescent="0.35">
      <c r="A2555" s="251"/>
      <c r="B2555" s="252"/>
      <c r="C2555" s="252"/>
      <c r="D2555" s="252"/>
      <c r="E2555" s="252"/>
      <c r="F2555" s="252"/>
      <c r="G2555" s="252"/>
      <c r="H2555" s="252"/>
      <c r="I2555" s="252"/>
      <c r="J2555" s="252"/>
      <c r="K2555" s="253"/>
    </row>
    <row r="2556" spans="1:11" ht="22" customHeight="1" x14ac:dyDescent="0.35">
      <c r="A2556" s="251"/>
      <c r="B2556" s="252"/>
      <c r="C2556" s="252"/>
      <c r="D2556" s="252"/>
      <c r="E2556" s="252"/>
      <c r="F2556" s="252"/>
      <c r="G2556" s="252"/>
      <c r="H2556" s="252"/>
      <c r="I2556" s="252"/>
      <c r="J2556" s="252"/>
      <c r="K2556" s="253"/>
    </row>
    <row r="2557" spans="1:11" ht="22" customHeight="1" x14ac:dyDescent="0.35">
      <c r="A2557" s="251"/>
      <c r="B2557" s="252"/>
      <c r="C2557" s="252"/>
      <c r="D2557" s="252"/>
      <c r="E2557" s="252"/>
      <c r="F2557" s="252"/>
      <c r="G2557" s="252"/>
      <c r="H2557" s="252"/>
      <c r="I2557" s="252"/>
      <c r="J2557" s="252"/>
      <c r="K2557" s="253"/>
    </row>
    <row r="2558" spans="1:11" ht="22" customHeight="1" x14ac:dyDescent="0.35">
      <c r="A2558" s="251"/>
      <c r="B2558" s="252"/>
      <c r="C2558" s="252"/>
      <c r="D2558" s="252"/>
      <c r="E2558" s="252"/>
      <c r="F2558" s="252"/>
      <c r="G2558" s="252"/>
      <c r="H2558" s="252"/>
      <c r="I2558" s="252"/>
      <c r="J2558" s="252"/>
      <c r="K2558" s="253"/>
    </row>
    <row r="2559" spans="1:11" ht="22" customHeight="1" x14ac:dyDescent="0.35">
      <c r="A2559" s="251"/>
      <c r="B2559" s="252"/>
      <c r="C2559" s="252"/>
      <c r="D2559" s="252"/>
      <c r="E2559" s="252"/>
      <c r="F2559" s="252"/>
      <c r="G2559" s="252"/>
      <c r="H2559" s="252"/>
      <c r="I2559" s="252"/>
      <c r="J2559" s="252"/>
      <c r="K2559" s="253"/>
    </row>
    <row r="2560" spans="1:11" ht="22" customHeight="1" x14ac:dyDescent="0.35">
      <c r="A2560" s="251"/>
      <c r="B2560" s="252"/>
      <c r="C2560" s="252"/>
      <c r="D2560" s="252"/>
      <c r="E2560" s="252"/>
      <c r="F2560" s="252"/>
      <c r="G2560" s="252"/>
      <c r="H2560" s="252"/>
      <c r="I2560" s="252"/>
      <c r="J2560" s="252"/>
      <c r="K2560" s="253"/>
    </row>
    <row r="2561" spans="1:11" ht="22" customHeight="1" x14ac:dyDescent="0.35">
      <c r="A2561" s="251"/>
      <c r="B2561" s="252"/>
      <c r="C2561" s="252"/>
      <c r="D2561" s="252"/>
      <c r="E2561" s="252"/>
      <c r="F2561" s="252"/>
      <c r="G2561" s="252"/>
      <c r="H2561" s="252"/>
      <c r="I2561" s="252"/>
      <c r="J2561" s="252"/>
      <c r="K2561" s="253"/>
    </row>
    <row r="2562" spans="1:11" ht="22" customHeight="1" x14ac:dyDescent="0.35">
      <c r="A2562" s="251"/>
      <c r="B2562" s="252"/>
      <c r="C2562" s="252"/>
      <c r="D2562" s="252"/>
      <c r="E2562" s="252"/>
      <c r="F2562" s="252"/>
      <c r="G2562" s="252"/>
      <c r="H2562" s="252"/>
      <c r="I2562" s="252"/>
      <c r="J2562" s="252"/>
      <c r="K2562" s="253"/>
    </row>
    <row r="2563" spans="1:11" ht="22" customHeight="1" x14ac:dyDescent="0.35">
      <c r="A2563" s="251"/>
      <c r="B2563" s="252"/>
      <c r="C2563" s="252"/>
      <c r="D2563" s="252"/>
      <c r="E2563" s="252"/>
      <c r="F2563" s="252"/>
      <c r="G2563" s="252"/>
      <c r="H2563" s="252"/>
      <c r="I2563" s="252"/>
      <c r="J2563" s="252"/>
      <c r="K2563" s="253"/>
    </row>
    <row r="2564" spans="1:11" ht="22" customHeight="1" x14ac:dyDescent="0.35">
      <c r="A2564" s="251"/>
      <c r="B2564" s="252"/>
      <c r="C2564" s="252"/>
      <c r="D2564" s="252"/>
      <c r="E2564" s="252"/>
      <c r="F2564" s="252"/>
      <c r="G2564" s="252"/>
      <c r="H2564" s="252"/>
      <c r="I2564" s="252"/>
      <c r="J2564" s="252"/>
      <c r="K2564" s="253"/>
    </row>
    <row r="2565" spans="1:11" ht="22" customHeight="1" x14ac:dyDescent="0.35">
      <c r="A2565" s="251"/>
      <c r="B2565" s="252"/>
      <c r="C2565" s="252"/>
      <c r="D2565" s="252"/>
      <c r="E2565" s="252"/>
      <c r="F2565" s="252"/>
      <c r="G2565" s="252"/>
      <c r="H2565" s="252"/>
      <c r="I2565" s="252"/>
      <c r="J2565" s="252"/>
      <c r="K2565" s="253"/>
    </row>
    <row r="2566" spans="1:11" ht="22" customHeight="1" x14ac:dyDescent="0.35">
      <c r="A2566" s="251"/>
      <c r="B2566" s="252"/>
      <c r="C2566" s="252"/>
      <c r="D2566" s="252"/>
      <c r="E2566" s="252"/>
      <c r="F2566" s="252"/>
      <c r="G2566" s="252"/>
      <c r="H2566" s="252"/>
      <c r="I2566" s="252"/>
      <c r="J2566" s="252"/>
      <c r="K2566" s="253"/>
    </row>
    <row r="2567" spans="1:11" ht="22" customHeight="1" x14ac:dyDescent="0.35">
      <c r="A2567" s="251"/>
      <c r="B2567" s="252"/>
      <c r="C2567" s="252"/>
      <c r="D2567" s="252"/>
      <c r="E2567" s="252"/>
      <c r="F2567" s="252"/>
      <c r="G2567" s="252"/>
      <c r="H2567" s="252"/>
      <c r="I2567" s="252"/>
      <c r="J2567" s="252"/>
      <c r="K2567" s="253"/>
    </row>
    <row r="2568" spans="1:11" ht="22" customHeight="1" x14ac:dyDescent="0.35">
      <c r="A2568" s="251"/>
      <c r="B2568" s="252"/>
      <c r="C2568" s="252"/>
      <c r="D2568" s="252"/>
      <c r="E2568" s="252"/>
      <c r="F2568" s="252"/>
      <c r="G2568" s="252"/>
      <c r="H2568" s="252"/>
      <c r="I2568" s="252"/>
      <c r="J2568" s="252"/>
      <c r="K2568" s="253"/>
    </row>
    <row r="2569" spans="1:11" ht="22" customHeight="1" x14ac:dyDescent="0.35">
      <c r="A2569" s="251"/>
      <c r="B2569" s="252"/>
      <c r="C2569" s="252"/>
      <c r="D2569" s="252"/>
      <c r="E2569" s="252"/>
      <c r="F2569" s="252"/>
      <c r="G2569" s="252"/>
      <c r="H2569" s="252"/>
      <c r="I2569" s="252"/>
      <c r="J2569" s="252"/>
      <c r="K2569" s="253"/>
    </row>
    <row r="2570" spans="1:11" ht="22" customHeight="1" x14ac:dyDescent="0.35">
      <c r="A2570" s="251"/>
      <c r="B2570" s="252"/>
      <c r="C2570" s="252"/>
      <c r="D2570" s="252"/>
      <c r="E2570" s="252"/>
      <c r="F2570" s="252"/>
      <c r="G2570" s="252"/>
      <c r="H2570" s="252"/>
      <c r="I2570" s="252"/>
      <c r="J2570" s="252"/>
      <c r="K2570" s="253"/>
    </row>
    <row r="2571" spans="1:11" ht="22" customHeight="1" x14ac:dyDescent="0.35">
      <c r="A2571" s="251"/>
      <c r="B2571" s="252"/>
      <c r="C2571" s="252"/>
      <c r="D2571" s="252"/>
      <c r="E2571" s="252"/>
      <c r="F2571" s="252"/>
      <c r="G2571" s="252"/>
      <c r="H2571" s="252"/>
      <c r="I2571" s="252"/>
      <c r="J2571" s="252"/>
      <c r="K2571" s="253"/>
    </row>
    <row r="2572" spans="1:11" ht="22" customHeight="1" x14ac:dyDescent="0.35">
      <c r="A2572" s="251"/>
      <c r="B2572" s="252"/>
      <c r="C2572" s="252"/>
      <c r="D2572" s="252"/>
      <c r="E2572" s="252"/>
      <c r="F2572" s="252"/>
      <c r="G2572" s="252"/>
      <c r="H2572" s="252"/>
      <c r="I2572" s="252"/>
      <c r="J2572" s="252"/>
      <c r="K2572" s="253"/>
    </row>
    <row r="2573" spans="1:11" ht="22" customHeight="1" x14ac:dyDescent="0.35">
      <c r="A2573" s="251"/>
      <c r="B2573" s="252"/>
      <c r="C2573" s="252"/>
      <c r="D2573" s="252"/>
      <c r="E2573" s="252"/>
      <c r="F2573" s="252"/>
      <c r="G2573" s="252"/>
      <c r="H2573" s="252"/>
      <c r="I2573" s="252"/>
      <c r="J2573" s="252"/>
      <c r="K2573" s="253"/>
    </row>
    <row r="2574" spans="1:11" ht="22" customHeight="1" x14ac:dyDescent="0.35">
      <c r="A2574" s="251"/>
      <c r="B2574" s="252"/>
      <c r="C2574" s="252"/>
      <c r="D2574" s="252"/>
      <c r="E2574" s="252"/>
      <c r="F2574" s="252"/>
      <c r="G2574" s="252"/>
      <c r="H2574" s="252"/>
      <c r="I2574" s="252"/>
      <c r="J2574" s="252"/>
      <c r="K2574" s="253"/>
    </row>
    <row r="2575" spans="1:11" ht="22" customHeight="1" x14ac:dyDescent="0.35">
      <c r="A2575" s="251"/>
      <c r="B2575" s="252"/>
      <c r="C2575" s="252"/>
      <c r="D2575" s="252"/>
      <c r="E2575" s="252"/>
      <c r="F2575" s="252"/>
      <c r="G2575" s="252"/>
      <c r="H2575" s="252"/>
      <c r="I2575" s="252"/>
      <c r="J2575" s="252"/>
      <c r="K2575" s="253"/>
    </row>
    <row r="2576" spans="1:11" ht="22" customHeight="1" x14ac:dyDescent="0.35">
      <c r="A2576" s="251"/>
      <c r="B2576" s="252"/>
      <c r="C2576" s="252"/>
      <c r="D2576" s="252"/>
      <c r="E2576" s="252"/>
      <c r="F2576" s="252"/>
      <c r="G2576" s="252"/>
      <c r="H2576" s="252"/>
      <c r="I2576" s="252"/>
      <c r="J2576" s="252"/>
      <c r="K2576" s="253"/>
    </row>
    <row r="2577" spans="1:11" ht="22" customHeight="1" x14ac:dyDescent="0.35">
      <c r="A2577" s="251"/>
      <c r="B2577" s="252"/>
      <c r="C2577" s="252"/>
      <c r="D2577" s="252"/>
      <c r="E2577" s="252"/>
      <c r="F2577" s="252"/>
      <c r="G2577" s="252"/>
      <c r="H2577" s="252"/>
      <c r="I2577" s="252"/>
      <c r="J2577" s="252"/>
      <c r="K2577" s="253"/>
    </row>
    <row r="2578" spans="1:11" ht="22" customHeight="1" x14ac:dyDescent="0.35">
      <c r="A2578" s="251"/>
      <c r="B2578" s="252"/>
      <c r="C2578" s="252"/>
      <c r="D2578" s="252"/>
      <c r="E2578" s="252"/>
      <c r="F2578" s="252"/>
      <c r="G2578" s="252"/>
      <c r="H2578" s="252"/>
      <c r="I2578" s="252"/>
      <c r="J2578" s="252"/>
      <c r="K2578" s="253"/>
    </row>
    <row r="2579" spans="1:11" ht="22" customHeight="1" x14ac:dyDescent="0.35">
      <c r="A2579" s="251"/>
      <c r="B2579" s="252"/>
      <c r="C2579" s="252"/>
      <c r="D2579" s="252"/>
      <c r="E2579" s="252"/>
      <c r="F2579" s="252"/>
      <c r="G2579" s="252"/>
      <c r="H2579" s="252"/>
      <c r="I2579" s="252"/>
      <c r="J2579" s="252"/>
      <c r="K2579" s="253"/>
    </row>
    <row r="2580" spans="1:11" ht="22" customHeight="1" x14ac:dyDescent="0.35">
      <c r="A2580" s="251"/>
      <c r="B2580" s="252"/>
      <c r="C2580" s="252"/>
      <c r="D2580" s="252"/>
      <c r="E2580" s="252"/>
      <c r="F2580" s="252"/>
      <c r="G2580" s="252"/>
      <c r="H2580" s="252"/>
      <c r="I2580" s="252"/>
      <c r="J2580" s="252"/>
      <c r="K2580" s="253"/>
    </row>
    <row r="2581" spans="1:11" ht="22" customHeight="1" x14ac:dyDescent="0.35">
      <c r="A2581" s="251"/>
      <c r="B2581" s="252"/>
      <c r="C2581" s="252"/>
      <c r="D2581" s="252"/>
      <c r="E2581" s="252"/>
      <c r="F2581" s="252"/>
      <c r="G2581" s="252"/>
      <c r="H2581" s="252"/>
      <c r="I2581" s="252"/>
      <c r="J2581" s="252"/>
      <c r="K2581" s="253"/>
    </row>
    <row r="2582" spans="1:11" ht="22" customHeight="1" x14ac:dyDescent="0.35">
      <c r="A2582" s="251"/>
      <c r="B2582" s="252"/>
      <c r="C2582" s="252"/>
      <c r="D2582" s="252"/>
      <c r="E2582" s="252"/>
      <c r="F2582" s="252"/>
      <c r="G2582" s="252"/>
      <c r="H2582" s="252"/>
      <c r="I2582" s="252"/>
      <c r="J2582" s="252"/>
      <c r="K2582" s="253"/>
    </row>
    <row r="2583" spans="1:11" ht="22" customHeight="1" x14ac:dyDescent="0.35">
      <c r="A2583" s="251"/>
      <c r="B2583" s="252"/>
      <c r="C2583" s="252"/>
      <c r="D2583" s="252"/>
      <c r="E2583" s="252"/>
      <c r="F2583" s="252"/>
      <c r="G2583" s="252"/>
      <c r="H2583" s="252"/>
      <c r="I2583" s="252"/>
      <c r="J2583" s="252"/>
      <c r="K2583" s="253"/>
    </row>
    <row r="2584" spans="1:11" ht="22" customHeight="1" x14ac:dyDescent="0.35">
      <c r="A2584" s="251"/>
      <c r="B2584" s="252"/>
      <c r="C2584" s="252"/>
      <c r="D2584" s="252"/>
      <c r="E2584" s="252"/>
      <c r="F2584" s="252"/>
      <c r="G2584" s="252"/>
      <c r="H2584" s="252"/>
      <c r="I2584" s="252"/>
      <c r="J2584" s="252"/>
      <c r="K2584" s="253"/>
    </row>
    <row r="2585" spans="1:11" ht="22" customHeight="1" x14ac:dyDescent="0.35">
      <c r="A2585" s="251"/>
      <c r="B2585" s="252"/>
      <c r="C2585" s="252"/>
      <c r="D2585" s="252"/>
      <c r="E2585" s="252"/>
      <c r="F2585" s="252"/>
      <c r="G2585" s="252"/>
      <c r="H2585" s="252"/>
      <c r="I2585" s="252"/>
      <c r="J2585" s="252"/>
      <c r="K2585" s="253"/>
    </row>
    <row r="2586" spans="1:11" ht="22" customHeight="1" x14ac:dyDescent="0.35">
      <c r="A2586" s="251"/>
      <c r="B2586" s="252"/>
      <c r="C2586" s="252"/>
      <c r="D2586" s="252"/>
      <c r="E2586" s="252"/>
      <c r="F2586" s="252"/>
      <c r="G2586" s="252"/>
      <c r="H2586" s="252"/>
      <c r="I2586" s="252"/>
      <c r="J2586" s="252"/>
      <c r="K2586" s="253"/>
    </row>
    <row r="2587" spans="1:11" ht="22" customHeight="1" x14ac:dyDescent="0.35">
      <c r="A2587" s="251"/>
      <c r="B2587" s="252"/>
      <c r="C2587" s="252"/>
      <c r="D2587" s="252"/>
      <c r="E2587" s="252"/>
      <c r="F2587" s="252"/>
      <c r="G2587" s="252"/>
      <c r="H2587" s="252"/>
      <c r="I2587" s="252"/>
      <c r="J2587" s="252"/>
      <c r="K2587" s="253"/>
    </row>
    <row r="2588" spans="1:11" ht="22" customHeight="1" x14ac:dyDescent="0.35">
      <c r="A2588" s="251"/>
      <c r="B2588" s="252"/>
      <c r="C2588" s="252"/>
      <c r="D2588" s="252"/>
      <c r="E2588" s="252"/>
      <c r="F2588" s="252"/>
      <c r="G2588" s="252"/>
      <c r="H2588" s="252"/>
      <c r="I2588" s="252"/>
      <c r="J2588" s="252"/>
      <c r="K2588" s="253"/>
    </row>
    <row r="2589" spans="1:11" ht="22" customHeight="1" x14ac:dyDescent="0.35">
      <c r="A2589" s="251"/>
      <c r="B2589" s="252"/>
      <c r="C2589" s="252"/>
      <c r="D2589" s="252"/>
      <c r="E2589" s="252"/>
      <c r="F2589" s="252"/>
      <c r="G2589" s="252"/>
      <c r="H2589" s="252"/>
      <c r="I2589" s="252"/>
      <c r="J2589" s="252"/>
      <c r="K2589" s="253"/>
    </row>
    <row r="2590" spans="1:11" ht="22" customHeight="1" x14ac:dyDescent="0.35">
      <c r="A2590" s="251"/>
      <c r="B2590" s="252"/>
      <c r="C2590" s="252"/>
      <c r="D2590" s="252"/>
      <c r="E2590" s="252"/>
      <c r="F2590" s="252"/>
      <c r="G2590" s="252"/>
      <c r="H2590" s="252"/>
      <c r="I2590" s="252"/>
      <c r="J2590" s="252"/>
      <c r="K2590" s="253"/>
    </row>
    <row r="2591" spans="1:11" ht="22" customHeight="1" x14ac:dyDescent="0.35">
      <c r="A2591" s="251"/>
      <c r="B2591" s="252"/>
      <c r="C2591" s="252"/>
      <c r="D2591" s="252"/>
      <c r="E2591" s="252"/>
      <c r="F2591" s="252"/>
      <c r="G2591" s="252"/>
      <c r="H2591" s="252"/>
      <c r="I2591" s="252"/>
      <c r="J2591" s="252"/>
      <c r="K2591" s="253"/>
    </row>
    <row r="2592" spans="1:11" ht="22" customHeight="1" x14ac:dyDescent="0.35">
      <c r="A2592" s="251"/>
      <c r="B2592" s="252"/>
      <c r="C2592" s="252"/>
      <c r="D2592" s="252"/>
      <c r="E2592" s="252"/>
      <c r="F2592" s="252"/>
      <c r="G2592" s="252"/>
      <c r="H2592" s="252"/>
      <c r="I2592" s="252"/>
      <c r="J2592" s="252"/>
      <c r="K2592" s="253"/>
    </row>
    <row r="2593" spans="1:11" ht="22" customHeight="1" x14ac:dyDescent="0.35">
      <c r="A2593" s="251"/>
      <c r="B2593" s="252"/>
      <c r="C2593" s="252"/>
      <c r="D2593" s="252"/>
      <c r="E2593" s="252"/>
      <c r="F2593" s="252"/>
      <c r="G2593" s="252"/>
      <c r="H2593" s="252"/>
      <c r="I2593" s="252"/>
      <c r="J2593" s="252"/>
      <c r="K2593" s="253"/>
    </row>
    <row r="2594" spans="1:11" ht="22" customHeight="1" x14ac:dyDescent="0.35">
      <c r="A2594" s="251"/>
      <c r="B2594" s="252"/>
      <c r="C2594" s="252"/>
      <c r="D2594" s="252"/>
      <c r="E2594" s="252"/>
      <c r="F2594" s="252"/>
      <c r="G2594" s="252"/>
      <c r="H2594" s="252"/>
      <c r="I2594" s="252"/>
      <c r="J2594" s="252"/>
      <c r="K2594" s="253"/>
    </row>
    <row r="2595" spans="1:11" ht="22" customHeight="1" x14ac:dyDescent="0.35">
      <c r="A2595" s="251"/>
      <c r="B2595" s="252"/>
      <c r="C2595" s="252"/>
      <c r="D2595" s="252"/>
      <c r="E2595" s="252"/>
      <c r="F2595" s="252"/>
      <c r="G2595" s="252"/>
      <c r="H2595" s="252"/>
      <c r="I2595" s="252"/>
      <c r="J2595" s="252"/>
      <c r="K2595" s="253"/>
    </row>
    <row r="2596" spans="1:11" ht="22" customHeight="1" x14ac:dyDescent="0.35">
      <c r="A2596" s="251"/>
      <c r="B2596" s="252"/>
      <c r="C2596" s="252"/>
      <c r="D2596" s="252"/>
      <c r="E2596" s="252"/>
      <c r="F2596" s="252"/>
      <c r="G2596" s="252"/>
      <c r="H2596" s="252"/>
      <c r="I2596" s="252"/>
      <c r="J2596" s="252"/>
      <c r="K2596" s="253"/>
    </row>
    <row r="2597" spans="1:11" ht="22" customHeight="1" x14ac:dyDescent="0.35">
      <c r="A2597" s="251"/>
      <c r="B2597" s="252"/>
      <c r="C2597" s="252"/>
      <c r="D2597" s="252"/>
      <c r="E2597" s="252"/>
      <c r="F2597" s="252"/>
      <c r="G2597" s="252"/>
      <c r="H2597" s="252"/>
      <c r="I2597" s="252"/>
      <c r="J2597" s="252"/>
      <c r="K2597" s="253"/>
    </row>
    <row r="2598" spans="1:11" ht="22" customHeight="1" x14ac:dyDescent="0.35">
      <c r="A2598" s="251"/>
      <c r="B2598" s="252"/>
      <c r="C2598" s="252"/>
      <c r="D2598" s="252"/>
      <c r="E2598" s="252"/>
      <c r="F2598" s="252"/>
      <c r="G2598" s="252"/>
      <c r="H2598" s="252"/>
      <c r="I2598" s="252"/>
      <c r="J2598" s="252"/>
      <c r="K2598" s="253"/>
    </row>
    <row r="2599" spans="1:11" ht="22" customHeight="1" x14ac:dyDescent="0.35">
      <c r="A2599" s="251"/>
      <c r="B2599" s="252"/>
      <c r="C2599" s="252"/>
      <c r="D2599" s="252"/>
      <c r="E2599" s="252"/>
      <c r="F2599" s="252"/>
      <c r="G2599" s="252"/>
      <c r="H2599" s="252"/>
      <c r="I2599" s="252"/>
      <c r="J2599" s="252"/>
      <c r="K2599" s="253"/>
    </row>
    <row r="2600" spans="1:11" ht="22" customHeight="1" x14ac:dyDescent="0.35">
      <c r="A2600" s="251"/>
      <c r="B2600" s="252"/>
      <c r="C2600" s="252"/>
      <c r="D2600" s="252"/>
      <c r="E2600" s="252"/>
      <c r="F2600" s="252"/>
      <c r="G2600" s="252"/>
      <c r="H2600" s="252"/>
      <c r="I2600" s="252"/>
      <c r="J2600" s="252"/>
      <c r="K2600" s="253"/>
    </row>
    <row r="2601" spans="1:11" ht="22" customHeight="1" x14ac:dyDescent="0.35">
      <c r="A2601" s="251"/>
      <c r="B2601" s="252"/>
      <c r="C2601" s="252"/>
      <c r="D2601" s="252"/>
      <c r="E2601" s="252"/>
      <c r="F2601" s="252"/>
      <c r="G2601" s="252"/>
      <c r="H2601" s="252"/>
      <c r="I2601" s="252"/>
      <c r="J2601" s="252"/>
      <c r="K2601" s="253"/>
    </row>
    <row r="2602" spans="1:11" ht="22" customHeight="1" x14ac:dyDescent="0.35">
      <c r="A2602" s="251"/>
      <c r="B2602" s="252"/>
      <c r="C2602" s="252"/>
      <c r="D2602" s="252"/>
      <c r="E2602" s="252"/>
      <c r="F2602" s="252"/>
      <c r="G2602" s="252"/>
      <c r="H2602" s="252"/>
      <c r="I2602" s="252"/>
      <c r="J2602" s="252"/>
      <c r="K2602" s="253"/>
    </row>
    <row r="2603" spans="1:11" ht="22" customHeight="1" x14ac:dyDescent="0.35">
      <c r="A2603" s="251"/>
      <c r="B2603" s="252"/>
      <c r="C2603" s="252"/>
      <c r="D2603" s="252"/>
      <c r="E2603" s="252"/>
      <c r="F2603" s="252"/>
      <c r="G2603" s="252"/>
      <c r="H2603" s="252"/>
      <c r="I2603" s="252"/>
      <c r="J2603" s="252"/>
      <c r="K2603" s="253"/>
    </row>
    <row r="2604" spans="1:11" ht="22" customHeight="1" x14ac:dyDescent="0.35">
      <c r="A2604" s="251"/>
      <c r="B2604" s="252"/>
      <c r="C2604" s="252"/>
      <c r="D2604" s="252"/>
      <c r="E2604" s="252"/>
      <c r="F2604" s="252"/>
      <c r="G2604" s="252"/>
      <c r="H2604" s="252"/>
      <c r="I2604" s="252"/>
      <c r="J2604" s="252"/>
      <c r="K2604" s="253"/>
    </row>
    <row r="2605" spans="1:11" ht="22" customHeight="1" x14ac:dyDescent="0.35">
      <c r="A2605" s="251"/>
      <c r="B2605" s="252"/>
      <c r="C2605" s="252"/>
      <c r="D2605" s="252"/>
      <c r="E2605" s="252"/>
      <c r="F2605" s="252"/>
      <c r="G2605" s="252"/>
      <c r="H2605" s="252"/>
      <c r="I2605" s="252"/>
      <c r="J2605" s="252"/>
      <c r="K2605" s="253"/>
    </row>
    <row r="2606" spans="1:11" ht="22" customHeight="1" x14ac:dyDescent="0.35">
      <c r="A2606" s="251"/>
      <c r="B2606" s="252"/>
      <c r="C2606" s="252"/>
      <c r="D2606" s="252"/>
      <c r="E2606" s="252"/>
      <c r="F2606" s="252"/>
      <c r="G2606" s="252"/>
      <c r="H2606" s="252"/>
      <c r="I2606" s="252"/>
      <c r="J2606" s="252"/>
      <c r="K2606" s="253"/>
    </row>
    <row r="2607" spans="1:11" ht="22" customHeight="1" x14ac:dyDescent="0.35">
      <c r="A2607" s="251"/>
      <c r="B2607" s="252"/>
      <c r="C2607" s="252"/>
      <c r="D2607" s="252"/>
      <c r="E2607" s="252"/>
      <c r="F2607" s="252"/>
      <c r="G2607" s="252"/>
      <c r="H2607" s="252"/>
      <c r="I2607" s="252"/>
      <c r="J2607" s="252"/>
      <c r="K2607" s="253"/>
    </row>
    <row r="2608" spans="1:11" ht="22" customHeight="1" x14ac:dyDescent="0.35">
      <c r="A2608" s="251"/>
      <c r="B2608" s="252"/>
      <c r="C2608" s="252"/>
      <c r="D2608" s="252"/>
      <c r="E2608" s="252"/>
      <c r="F2608" s="252"/>
      <c r="G2608" s="252"/>
      <c r="H2608" s="252"/>
      <c r="I2608" s="252"/>
      <c r="J2608" s="252"/>
      <c r="K2608" s="253"/>
    </row>
    <row r="2609" spans="1:11" ht="22" customHeight="1" x14ac:dyDescent="0.35">
      <c r="A2609" s="251"/>
      <c r="B2609" s="252"/>
      <c r="C2609" s="252"/>
      <c r="D2609" s="252"/>
      <c r="E2609" s="252"/>
      <c r="F2609" s="252"/>
      <c r="G2609" s="252"/>
      <c r="H2609" s="252"/>
      <c r="I2609" s="252"/>
      <c r="J2609" s="252"/>
      <c r="K2609" s="253"/>
    </row>
    <row r="2610" spans="1:11" ht="22" customHeight="1" x14ac:dyDescent="0.35">
      <c r="A2610" s="251"/>
      <c r="B2610" s="252"/>
      <c r="C2610" s="252"/>
      <c r="D2610" s="252"/>
      <c r="E2610" s="252"/>
      <c r="F2610" s="252"/>
      <c r="G2610" s="252"/>
      <c r="H2610" s="252"/>
      <c r="I2610" s="252"/>
      <c r="J2610" s="252"/>
      <c r="K2610" s="253"/>
    </row>
    <row r="2611" spans="1:11" ht="22" customHeight="1" x14ac:dyDescent="0.35">
      <c r="A2611" s="251"/>
      <c r="B2611" s="252"/>
      <c r="C2611" s="252"/>
      <c r="D2611" s="252"/>
      <c r="E2611" s="252"/>
      <c r="F2611" s="252"/>
      <c r="G2611" s="252"/>
      <c r="H2611" s="252"/>
      <c r="I2611" s="252"/>
      <c r="J2611" s="252"/>
      <c r="K2611" s="253"/>
    </row>
    <row r="2612" spans="1:11" ht="22" customHeight="1" x14ac:dyDescent="0.35">
      <c r="A2612" s="251"/>
      <c r="B2612" s="252"/>
      <c r="C2612" s="252"/>
      <c r="D2612" s="252"/>
      <c r="E2612" s="252"/>
      <c r="F2612" s="252"/>
      <c r="G2612" s="252"/>
      <c r="H2612" s="252"/>
      <c r="I2612" s="252"/>
      <c r="J2612" s="252"/>
      <c r="K2612" s="253"/>
    </row>
    <row r="2613" spans="1:11" ht="22" customHeight="1" x14ac:dyDescent="0.35">
      <c r="A2613" s="251"/>
      <c r="B2613" s="252"/>
      <c r="C2613" s="252"/>
      <c r="D2613" s="252"/>
      <c r="E2613" s="252"/>
      <c r="F2613" s="252"/>
      <c r="G2613" s="252"/>
      <c r="H2613" s="252"/>
      <c r="I2613" s="252"/>
      <c r="J2613" s="252"/>
      <c r="K2613" s="253"/>
    </row>
    <row r="2614" spans="1:11" ht="22" customHeight="1" x14ac:dyDescent="0.35">
      <c r="A2614" s="251"/>
      <c r="B2614" s="252"/>
      <c r="C2614" s="252"/>
      <c r="D2614" s="252"/>
      <c r="E2614" s="252"/>
      <c r="F2614" s="252"/>
      <c r="G2614" s="252"/>
      <c r="H2614" s="252"/>
      <c r="I2614" s="252"/>
      <c r="J2614" s="252"/>
      <c r="K2614" s="253"/>
    </row>
    <row r="2615" spans="1:11" ht="22" customHeight="1" x14ac:dyDescent="0.35">
      <c r="A2615" s="251"/>
      <c r="B2615" s="252"/>
      <c r="C2615" s="252"/>
      <c r="D2615" s="252"/>
      <c r="E2615" s="252"/>
      <c r="F2615" s="252"/>
      <c r="G2615" s="252"/>
      <c r="H2615" s="252"/>
      <c r="I2615" s="252"/>
      <c r="J2615" s="252"/>
      <c r="K2615" s="253"/>
    </row>
    <row r="2616" spans="1:11" ht="22" customHeight="1" x14ac:dyDescent="0.35">
      <c r="A2616" s="251"/>
      <c r="B2616" s="252"/>
      <c r="C2616" s="252"/>
      <c r="D2616" s="252"/>
      <c r="E2616" s="252"/>
      <c r="F2616" s="252"/>
      <c r="G2616" s="252"/>
      <c r="H2616" s="252"/>
      <c r="I2616" s="252"/>
      <c r="J2616" s="252"/>
      <c r="K2616" s="253"/>
    </row>
    <row r="2617" spans="1:11" ht="22" customHeight="1" x14ac:dyDescent="0.35">
      <c r="A2617" s="251"/>
      <c r="B2617" s="252"/>
      <c r="C2617" s="252"/>
      <c r="D2617" s="252"/>
      <c r="E2617" s="252"/>
      <c r="F2617" s="252"/>
      <c r="G2617" s="252"/>
      <c r="H2617" s="252"/>
      <c r="I2617" s="252"/>
      <c r="J2617" s="252"/>
      <c r="K2617" s="253"/>
    </row>
    <row r="2618" spans="1:11" ht="22" customHeight="1" x14ac:dyDescent="0.35">
      <c r="A2618" s="251"/>
      <c r="B2618" s="252"/>
      <c r="C2618" s="252"/>
      <c r="D2618" s="252"/>
      <c r="E2618" s="252"/>
      <c r="F2618" s="252"/>
      <c r="G2618" s="252"/>
      <c r="H2618" s="252"/>
      <c r="I2618" s="252"/>
      <c r="J2618" s="252"/>
      <c r="K2618" s="253"/>
    </row>
    <row r="2619" spans="1:11" ht="22" customHeight="1" x14ac:dyDescent="0.35">
      <c r="A2619" s="251"/>
      <c r="B2619" s="252"/>
      <c r="C2619" s="252"/>
      <c r="D2619" s="252"/>
      <c r="E2619" s="252"/>
      <c r="F2619" s="252"/>
      <c r="G2619" s="252"/>
      <c r="H2619" s="252"/>
      <c r="I2619" s="252"/>
      <c r="J2619" s="252"/>
      <c r="K2619" s="253"/>
    </row>
    <row r="2620" spans="1:11" ht="22" customHeight="1" x14ac:dyDescent="0.35">
      <c r="A2620" s="251"/>
      <c r="B2620" s="252"/>
      <c r="C2620" s="252"/>
      <c r="D2620" s="252"/>
      <c r="E2620" s="252"/>
      <c r="F2620" s="252"/>
      <c r="G2620" s="252"/>
      <c r="H2620" s="252"/>
      <c r="I2620" s="252"/>
      <c r="J2620" s="252"/>
      <c r="K2620" s="253"/>
    </row>
    <row r="2621" spans="1:11" ht="22" customHeight="1" x14ac:dyDescent="0.35">
      <c r="A2621" s="251"/>
      <c r="B2621" s="252"/>
      <c r="C2621" s="252"/>
      <c r="D2621" s="252"/>
      <c r="E2621" s="252"/>
      <c r="F2621" s="252"/>
      <c r="G2621" s="252"/>
      <c r="H2621" s="252"/>
      <c r="I2621" s="252"/>
      <c r="J2621" s="252"/>
      <c r="K2621" s="253"/>
    </row>
    <row r="2622" spans="1:11" ht="22" customHeight="1" x14ac:dyDescent="0.35">
      <c r="A2622" s="251"/>
      <c r="B2622" s="252"/>
      <c r="C2622" s="252"/>
      <c r="D2622" s="252"/>
      <c r="E2622" s="252"/>
      <c r="F2622" s="252"/>
      <c r="G2622" s="252"/>
      <c r="H2622" s="252"/>
      <c r="I2622" s="252"/>
      <c r="J2622" s="252"/>
      <c r="K2622" s="253"/>
    </row>
    <row r="2623" spans="1:11" ht="22" customHeight="1" x14ac:dyDescent="0.35">
      <c r="A2623" s="251"/>
      <c r="B2623" s="252"/>
      <c r="C2623" s="252"/>
      <c r="D2623" s="252"/>
      <c r="E2623" s="252"/>
      <c r="F2623" s="252"/>
      <c r="G2623" s="252"/>
      <c r="H2623" s="252"/>
      <c r="I2623" s="252"/>
      <c r="J2623" s="252"/>
      <c r="K2623" s="253"/>
    </row>
    <row r="2624" spans="1:11" ht="22" customHeight="1" x14ac:dyDescent="0.35">
      <c r="A2624" s="251"/>
      <c r="B2624" s="252"/>
      <c r="C2624" s="252"/>
      <c r="D2624" s="252"/>
      <c r="E2624" s="252"/>
      <c r="F2624" s="252"/>
      <c r="G2624" s="252"/>
      <c r="H2624" s="252"/>
      <c r="I2624" s="252"/>
      <c r="J2624" s="252"/>
      <c r="K2624" s="253"/>
    </row>
    <row r="2625" spans="1:11" ht="22" customHeight="1" x14ac:dyDescent="0.35">
      <c r="A2625" s="251"/>
      <c r="B2625" s="252"/>
      <c r="C2625" s="252"/>
      <c r="D2625" s="252"/>
      <c r="E2625" s="252"/>
      <c r="F2625" s="252"/>
      <c r="G2625" s="252"/>
      <c r="H2625" s="252"/>
      <c r="I2625" s="252"/>
      <c r="J2625" s="252"/>
      <c r="K2625" s="253"/>
    </row>
    <row r="2626" spans="1:11" ht="22" customHeight="1" x14ac:dyDescent="0.35">
      <c r="A2626" s="251"/>
      <c r="B2626" s="252"/>
      <c r="C2626" s="252"/>
      <c r="D2626" s="252"/>
      <c r="E2626" s="252"/>
      <c r="F2626" s="252"/>
      <c r="G2626" s="252"/>
      <c r="H2626" s="252"/>
      <c r="I2626" s="252"/>
      <c r="J2626" s="252"/>
      <c r="K2626" s="253"/>
    </row>
    <row r="2627" spans="1:11" ht="22" customHeight="1" x14ac:dyDescent="0.35">
      <c r="A2627" s="251"/>
      <c r="B2627" s="252"/>
      <c r="C2627" s="252"/>
      <c r="D2627" s="252"/>
      <c r="E2627" s="252"/>
      <c r="F2627" s="252"/>
      <c r="G2627" s="252"/>
      <c r="H2627" s="252"/>
      <c r="I2627" s="252"/>
      <c r="J2627" s="252"/>
      <c r="K2627" s="253"/>
    </row>
    <row r="2628" spans="1:11" ht="22" customHeight="1" x14ac:dyDescent="0.35">
      <c r="A2628" s="251"/>
      <c r="B2628" s="252"/>
      <c r="C2628" s="252"/>
      <c r="D2628" s="252"/>
      <c r="E2628" s="252"/>
      <c r="F2628" s="252"/>
      <c r="G2628" s="252"/>
      <c r="H2628" s="252"/>
      <c r="I2628" s="252"/>
      <c r="J2628" s="252"/>
      <c r="K2628" s="253"/>
    </row>
    <row r="2629" spans="1:11" ht="22" customHeight="1" x14ac:dyDescent="0.35">
      <c r="A2629" s="251"/>
      <c r="B2629" s="252"/>
      <c r="C2629" s="252"/>
      <c r="D2629" s="252"/>
      <c r="E2629" s="252"/>
      <c r="F2629" s="252"/>
      <c r="G2629" s="252"/>
      <c r="H2629" s="252"/>
      <c r="I2629" s="252"/>
      <c r="J2629" s="252"/>
      <c r="K2629" s="253"/>
    </row>
    <row r="2630" spans="1:11" ht="22" customHeight="1" x14ac:dyDescent="0.35">
      <c r="A2630" s="251"/>
      <c r="B2630" s="252"/>
      <c r="C2630" s="252"/>
      <c r="D2630" s="252"/>
      <c r="E2630" s="252"/>
      <c r="F2630" s="252"/>
      <c r="G2630" s="252"/>
      <c r="H2630" s="252"/>
      <c r="I2630" s="252"/>
      <c r="J2630" s="252"/>
      <c r="K2630" s="253"/>
    </row>
    <row r="2631" spans="1:11" ht="22" customHeight="1" x14ac:dyDescent="0.35">
      <c r="A2631" s="251"/>
      <c r="B2631" s="252"/>
      <c r="C2631" s="252"/>
      <c r="D2631" s="252"/>
      <c r="E2631" s="252"/>
      <c r="F2631" s="252"/>
      <c r="G2631" s="252"/>
      <c r="H2631" s="252"/>
      <c r="I2631" s="252"/>
      <c r="J2631" s="252"/>
      <c r="K2631" s="253"/>
    </row>
    <row r="2632" spans="1:11" ht="22" customHeight="1" x14ac:dyDescent="0.35">
      <c r="A2632" s="251"/>
      <c r="B2632" s="252"/>
      <c r="C2632" s="252"/>
      <c r="D2632" s="252"/>
      <c r="E2632" s="252"/>
      <c r="F2632" s="252"/>
      <c r="G2632" s="252"/>
      <c r="H2632" s="252"/>
      <c r="I2632" s="252"/>
      <c r="J2632" s="252"/>
      <c r="K2632" s="253"/>
    </row>
    <row r="2633" spans="1:11" ht="22" customHeight="1" x14ac:dyDescent="0.35">
      <c r="A2633" s="251"/>
      <c r="B2633" s="252"/>
      <c r="C2633" s="252"/>
      <c r="D2633" s="252"/>
      <c r="E2633" s="252"/>
      <c r="F2633" s="252"/>
      <c r="G2633" s="252"/>
      <c r="H2633" s="252"/>
      <c r="I2633" s="252"/>
      <c r="J2633" s="252"/>
      <c r="K2633" s="253"/>
    </row>
    <row r="2634" spans="1:11" ht="22" customHeight="1" x14ac:dyDescent="0.35">
      <c r="A2634" s="251"/>
      <c r="B2634" s="252"/>
      <c r="C2634" s="252"/>
      <c r="D2634" s="252"/>
      <c r="E2634" s="252"/>
      <c r="F2634" s="252"/>
      <c r="G2634" s="252"/>
      <c r="H2634" s="252"/>
      <c r="I2634" s="252"/>
      <c r="J2634" s="252"/>
      <c r="K2634" s="253"/>
    </row>
    <row r="2635" spans="1:11" ht="22" customHeight="1" x14ac:dyDescent="0.35">
      <c r="A2635" s="251"/>
      <c r="B2635" s="252"/>
      <c r="C2635" s="252"/>
      <c r="D2635" s="252"/>
      <c r="E2635" s="252"/>
      <c r="F2635" s="252"/>
      <c r="G2635" s="252"/>
      <c r="H2635" s="252"/>
      <c r="I2635" s="252"/>
      <c r="J2635" s="252"/>
      <c r="K2635" s="253"/>
    </row>
    <row r="2636" spans="1:11" ht="22" customHeight="1" x14ac:dyDescent="0.35">
      <c r="A2636" s="251"/>
      <c r="B2636" s="252"/>
      <c r="C2636" s="252"/>
      <c r="D2636" s="252"/>
      <c r="E2636" s="252"/>
      <c r="F2636" s="252"/>
      <c r="G2636" s="252"/>
      <c r="H2636" s="252"/>
      <c r="I2636" s="252"/>
      <c r="J2636" s="252"/>
      <c r="K2636" s="253"/>
    </row>
    <row r="2637" spans="1:11" ht="22" customHeight="1" x14ac:dyDescent="0.35">
      <c r="A2637" s="251"/>
      <c r="B2637" s="252"/>
      <c r="C2637" s="252"/>
      <c r="D2637" s="252"/>
      <c r="E2637" s="252"/>
      <c r="F2637" s="252"/>
      <c r="G2637" s="252"/>
      <c r="H2637" s="252"/>
      <c r="I2637" s="252"/>
      <c r="J2637" s="252"/>
      <c r="K2637" s="253"/>
    </row>
    <row r="2638" spans="1:11" ht="22" customHeight="1" x14ac:dyDescent="0.35">
      <c r="A2638" s="251"/>
      <c r="B2638" s="252"/>
      <c r="C2638" s="252"/>
      <c r="D2638" s="252"/>
      <c r="E2638" s="252"/>
      <c r="F2638" s="252"/>
      <c r="G2638" s="252"/>
      <c r="H2638" s="252"/>
      <c r="I2638" s="252"/>
      <c r="J2638" s="252"/>
      <c r="K2638" s="253"/>
    </row>
    <row r="2639" spans="1:11" ht="22" customHeight="1" x14ac:dyDescent="0.35">
      <c r="A2639" s="251"/>
      <c r="B2639" s="252"/>
      <c r="C2639" s="252"/>
      <c r="D2639" s="252"/>
      <c r="E2639" s="252"/>
      <c r="F2639" s="252"/>
      <c r="G2639" s="252"/>
      <c r="H2639" s="252"/>
      <c r="I2639" s="252"/>
      <c r="J2639" s="252"/>
      <c r="K2639" s="253"/>
    </row>
    <row r="2640" spans="1:11" ht="22" customHeight="1" x14ac:dyDescent="0.35">
      <c r="A2640" s="251"/>
      <c r="B2640" s="252"/>
      <c r="C2640" s="252"/>
      <c r="D2640" s="252"/>
      <c r="E2640" s="252"/>
      <c r="F2640" s="252"/>
      <c r="G2640" s="252"/>
      <c r="H2640" s="252"/>
      <c r="I2640" s="252"/>
      <c r="J2640" s="252"/>
      <c r="K2640" s="253"/>
    </row>
    <row r="2641" spans="1:11" ht="22" customHeight="1" x14ac:dyDescent="0.35">
      <c r="A2641" s="251"/>
      <c r="B2641" s="252"/>
      <c r="C2641" s="252"/>
      <c r="D2641" s="252"/>
      <c r="E2641" s="252"/>
      <c r="F2641" s="252"/>
      <c r="G2641" s="252"/>
      <c r="H2641" s="252"/>
      <c r="I2641" s="252"/>
      <c r="J2641" s="252"/>
      <c r="K2641" s="253"/>
    </row>
    <row r="2642" spans="1:11" ht="22" customHeight="1" x14ac:dyDescent="0.35">
      <c r="A2642" s="251"/>
      <c r="B2642" s="252"/>
      <c r="C2642" s="252"/>
      <c r="D2642" s="252"/>
      <c r="E2642" s="252"/>
      <c r="F2642" s="252"/>
      <c r="G2642" s="252"/>
      <c r="H2642" s="252"/>
      <c r="I2642" s="252"/>
      <c r="J2642" s="252"/>
      <c r="K2642" s="253"/>
    </row>
    <row r="2643" spans="1:11" ht="22" customHeight="1" x14ac:dyDescent="0.35">
      <c r="A2643" s="251"/>
      <c r="B2643" s="252"/>
      <c r="C2643" s="252"/>
      <c r="D2643" s="252"/>
      <c r="E2643" s="252"/>
      <c r="F2643" s="252"/>
      <c r="G2643" s="252"/>
      <c r="H2643" s="252"/>
      <c r="I2643" s="252"/>
      <c r="J2643" s="252"/>
      <c r="K2643" s="253"/>
    </row>
    <row r="2644" spans="1:11" ht="22" customHeight="1" x14ac:dyDescent="0.35">
      <c r="A2644" s="251"/>
      <c r="B2644" s="252"/>
      <c r="C2644" s="252"/>
      <c r="D2644" s="252"/>
      <c r="E2644" s="252"/>
      <c r="F2644" s="252"/>
      <c r="G2644" s="252"/>
      <c r="H2644" s="252"/>
      <c r="I2644" s="252"/>
      <c r="J2644" s="252"/>
      <c r="K2644" s="253"/>
    </row>
    <row r="2645" spans="1:11" ht="22" customHeight="1" x14ac:dyDescent="0.35">
      <c r="A2645" s="251"/>
      <c r="B2645" s="252"/>
      <c r="C2645" s="252"/>
      <c r="D2645" s="252"/>
      <c r="E2645" s="252"/>
      <c r="F2645" s="252"/>
      <c r="G2645" s="252"/>
      <c r="H2645" s="252"/>
      <c r="I2645" s="252"/>
      <c r="J2645" s="252"/>
      <c r="K2645" s="253"/>
    </row>
    <row r="2646" spans="1:11" ht="22" customHeight="1" x14ac:dyDescent="0.35">
      <c r="A2646" s="251"/>
      <c r="B2646" s="252"/>
      <c r="C2646" s="252"/>
      <c r="D2646" s="252"/>
      <c r="E2646" s="252"/>
      <c r="F2646" s="252"/>
      <c r="G2646" s="252"/>
      <c r="H2646" s="252"/>
      <c r="I2646" s="252"/>
      <c r="J2646" s="252"/>
      <c r="K2646" s="253"/>
    </row>
    <row r="2647" spans="1:11" ht="22" customHeight="1" x14ac:dyDescent="0.35">
      <c r="A2647" s="251"/>
      <c r="B2647" s="252"/>
      <c r="C2647" s="252"/>
      <c r="D2647" s="252"/>
      <c r="E2647" s="252"/>
      <c r="F2647" s="252"/>
      <c r="G2647" s="252"/>
      <c r="H2647" s="252"/>
      <c r="I2647" s="252"/>
      <c r="J2647" s="252"/>
      <c r="K2647" s="253"/>
    </row>
    <row r="2648" spans="1:11" ht="22" customHeight="1" x14ac:dyDescent="0.35">
      <c r="A2648" s="251"/>
      <c r="B2648" s="252"/>
      <c r="C2648" s="252"/>
      <c r="D2648" s="252"/>
      <c r="E2648" s="252"/>
      <c r="F2648" s="252"/>
      <c r="G2648" s="252"/>
      <c r="H2648" s="252"/>
      <c r="I2648" s="252"/>
      <c r="J2648" s="252"/>
      <c r="K2648" s="253"/>
    </row>
    <row r="2649" spans="1:11" ht="22" customHeight="1" x14ac:dyDescent="0.35">
      <c r="A2649" s="251"/>
      <c r="B2649" s="252"/>
      <c r="C2649" s="252"/>
      <c r="D2649" s="252"/>
      <c r="E2649" s="252"/>
      <c r="F2649" s="252"/>
      <c r="G2649" s="252"/>
      <c r="H2649" s="252"/>
      <c r="I2649" s="252"/>
      <c r="J2649" s="252"/>
      <c r="K2649" s="253"/>
    </row>
    <row r="2650" spans="1:11" ht="22" customHeight="1" x14ac:dyDescent="0.35">
      <c r="A2650" s="251"/>
      <c r="B2650" s="252"/>
      <c r="C2650" s="252"/>
      <c r="D2650" s="252"/>
      <c r="E2650" s="252"/>
      <c r="F2650" s="252"/>
      <c r="G2650" s="252"/>
      <c r="H2650" s="252"/>
      <c r="I2650" s="252"/>
      <c r="J2650" s="252"/>
      <c r="K2650" s="253"/>
    </row>
    <row r="2651" spans="1:11" ht="22" customHeight="1" x14ac:dyDescent="0.35">
      <c r="A2651" s="251"/>
      <c r="B2651" s="252"/>
      <c r="C2651" s="252"/>
      <c r="D2651" s="252"/>
      <c r="E2651" s="252"/>
      <c r="F2651" s="252"/>
      <c r="G2651" s="252"/>
      <c r="H2651" s="252"/>
      <c r="I2651" s="252"/>
      <c r="J2651" s="252"/>
      <c r="K2651" s="253"/>
    </row>
    <row r="2652" spans="1:11" ht="22" customHeight="1" x14ac:dyDescent="0.35">
      <c r="A2652" s="251"/>
      <c r="B2652" s="252"/>
      <c r="C2652" s="252"/>
      <c r="D2652" s="252"/>
      <c r="E2652" s="252"/>
      <c r="F2652" s="252"/>
      <c r="G2652" s="252"/>
      <c r="H2652" s="252"/>
      <c r="I2652" s="252"/>
      <c r="J2652" s="252"/>
      <c r="K2652" s="253"/>
    </row>
    <row r="2653" spans="1:11" ht="22" customHeight="1" x14ac:dyDescent="0.35">
      <c r="A2653" s="251"/>
      <c r="B2653" s="252"/>
      <c r="C2653" s="252"/>
      <c r="D2653" s="252"/>
      <c r="E2653" s="252"/>
      <c r="F2653" s="252"/>
      <c r="G2653" s="252"/>
      <c r="H2653" s="252"/>
      <c r="I2653" s="252"/>
      <c r="J2653" s="252"/>
      <c r="K2653" s="253"/>
    </row>
    <row r="2654" spans="1:11" ht="22" customHeight="1" x14ac:dyDescent="0.35">
      <c r="A2654" s="251"/>
      <c r="B2654" s="252"/>
      <c r="C2654" s="252"/>
      <c r="D2654" s="252"/>
      <c r="E2654" s="252"/>
      <c r="F2654" s="252"/>
      <c r="G2654" s="252"/>
      <c r="H2654" s="252"/>
      <c r="I2654" s="252"/>
      <c r="J2654" s="252"/>
      <c r="K2654" s="253"/>
    </row>
    <row r="2655" spans="1:11" ht="22" customHeight="1" x14ac:dyDescent="0.35">
      <c r="A2655" s="251"/>
      <c r="B2655" s="252"/>
      <c r="C2655" s="252"/>
      <c r="D2655" s="252"/>
      <c r="E2655" s="252"/>
      <c r="F2655" s="252"/>
      <c r="G2655" s="252"/>
      <c r="H2655" s="252"/>
      <c r="I2655" s="252"/>
      <c r="J2655" s="252"/>
      <c r="K2655" s="253"/>
    </row>
    <row r="2656" spans="1:11" ht="22" customHeight="1" x14ac:dyDescent="0.35">
      <c r="A2656" s="251"/>
      <c r="B2656" s="252"/>
      <c r="C2656" s="252"/>
      <c r="D2656" s="252"/>
      <c r="E2656" s="252"/>
      <c r="F2656" s="252"/>
      <c r="G2656" s="252"/>
      <c r="H2656" s="252"/>
      <c r="I2656" s="252"/>
      <c r="J2656" s="252"/>
      <c r="K2656" s="253"/>
    </row>
    <row r="2657" spans="1:11" ht="22" customHeight="1" x14ac:dyDescent="0.35">
      <c r="A2657" s="251"/>
      <c r="B2657" s="252"/>
      <c r="C2657" s="252"/>
      <c r="D2657" s="252"/>
      <c r="E2657" s="252"/>
      <c r="F2657" s="252"/>
      <c r="G2657" s="252"/>
      <c r="H2657" s="252"/>
      <c r="I2657" s="252"/>
      <c r="J2657" s="252"/>
      <c r="K2657" s="253"/>
    </row>
    <row r="2658" spans="1:11" ht="22" customHeight="1" x14ac:dyDescent="0.35">
      <c r="A2658" s="251"/>
      <c r="B2658" s="252"/>
      <c r="C2658" s="252"/>
      <c r="D2658" s="252"/>
      <c r="E2658" s="252"/>
      <c r="F2658" s="252"/>
      <c r="G2658" s="252"/>
      <c r="H2658" s="252"/>
      <c r="I2658" s="252"/>
      <c r="J2658" s="252"/>
      <c r="K2658" s="253"/>
    </row>
    <row r="2659" spans="1:11" ht="22" customHeight="1" x14ac:dyDescent="0.35">
      <c r="A2659" s="251"/>
      <c r="B2659" s="252"/>
      <c r="C2659" s="252"/>
      <c r="D2659" s="252"/>
      <c r="E2659" s="252"/>
      <c r="F2659" s="252"/>
      <c r="G2659" s="252"/>
      <c r="H2659" s="252"/>
      <c r="I2659" s="252"/>
      <c r="J2659" s="252"/>
      <c r="K2659" s="253"/>
    </row>
    <row r="2660" spans="1:11" ht="22" customHeight="1" x14ac:dyDescent="0.35">
      <c r="A2660" s="251"/>
      <c r="B2660" s="252"/>
      <c r="C2660" s="252"/>
      <c r="D2660" s="252"/>
      <c r="E2660" s="252"/>
      <c r="F2660" s="252"/>
      <c r="G2660" s="252"/>
      <c r="H2660" s="252"/>
      <c r="I2660" s="252"/>
      <c r="J2660" s="252"/>
      <c r="K2660" s="253"/>
    </row>
    <row r="2661" spans="1:11" ht="22" customHeight="1" x14ac:dyDescent="0.35">
      <c r="A2661" s="251"/>
      <c r="B2661" s="252"/>
      <c r="C2661" s="252"/>
      <c r="D2661" s="252"/>
      <c r="E2661" s="252"/>
      <c r="F2661" s="252"/>
      <c r="G2661" s="252"/>
      <c r="H2661" s="252"/>
      <c r="I2661" s="252"/>
      <c r="J2661" s="252"/>
      <c r="K2661" s="253"/>
    </row>
    <row r="2662" spans="1:11" ht="22" customHeight="1" x14ac:dyDescent="0.35">
      <c r="A2662" s="251"/>
      <c r="B2662" s="252"/>
      <c r="C2662" s="252"/>
      <c r="D2662" s="252"/>
      <c r="E2662" s="252"/>
      <c r="F2662" s="252"/>
      <c r="G2662" s="252"/>
      <c r="H2662" s="252"/>
      <c r="I2662" s="252"/>
      <c r="J2662" s="252"/>
      <c r="K2662" s="253"/>
    </row>
    <row r="2663" spans="1:11" ht="22" customHeight="1" x14ac:dyDescent="0.35">
      <c r="A2663" s="251"/>
      <c r="B2663" s="252"/>
      <c r="C2663" s="252"/>
      <c r="D2663" s="252"/>
      <c r="E2663" s="252"/>
      <c r="F2663" s="252"/>
      <c r="G2663" s="252"/>
      <c r="H2663" s="252"/>
      <c r="I2663" s="252"/>
      <c r="J2663" s="252"/>
      <c r="K2663" s="253"/>
    </row>
    <row r="2664" spans="1:11" ht="22" customHeight="1" x14ac:dyDescent="0.35">
      <c r="A2664" s="251"/>
      <c r="B2664" s="252"/>
      <c r="C2664" s="252"/>
      <c r="D2664" s="252"/>
      <c r="E2664" s="252"/>
      <c r="F2664" s="252"/>
      <c r="G2664" s="252"/>
      <c r="H2664" s="252"/>
      <c r="I2664" s="252"/>
      <c r="J2664" s="252"/>
      <c r="K2664" s="253"/>
    </row>
    <row r="2665" spans="1:11" ht="22" customHeight="1" x14ac:dyDescent="0.35">
      <c r="A2665" s="251"/>
      <c r="B2665" s="252"/>
      <c r="C2665" s="252"/>
      <c r="D2665" s="252"/>
      <c r="E2665" s="252"/>
      <c r="F2665" s="252"/>
      <c r="G2665" s="252"/>
      <c r="H2665" s="252"/>
      <c r="I2665" s="252"/>
      <c r="J2665" s="252"/>
      <c r="K2665" s="253"/>
    </row>
    <row r="2666" spans="1:11" ht="22" customHeight="1" x14ac:dyDescent="0.35">
      <c r="A2666" s="251"/>
      <c r="B2666" s="252"/>
      <c r="C2666" s="252"/>
      <c r="D2666" s="252"/>
      <c r="E2666" s="252"/>
      <c r="F2666" s="252"/>
      <c r="G2666" s="252"/>
      <c r="H2666" s="252"/>
      <c r="I2666" s="252"/>
      <c r="J2666" s="252"/>
      <c r="K2666" s="253"/>
    </row>
    <row r="2667" spans="1:11" ht="22" customHeight="1" x14ac:dyDescent="0.35">
      <c r="A2667" s="251"/>
      <c r="B2667" s="252"/>
      <c r="C2667" s="252"/>
      <c r="D2667" s="252"/>
      <c r="E2667" s="252"/>
      <c r="F2667" s="252"/>
      <c r="G2667" s="252"/>
      <c r="H2667" s="252"/>
      <c r="I2667" s="252"/>
      <c r="J2667" s="252"/>
      <c r="K2667" s="253"/>
    </row>
    <row r="2668" spans="1:11" ht="22" customHeight="1" x14ac:dyDescent="0.35">
      <c r="A2668" s="251"/>
      <c r="B2668" s="252"/>
      <c r="C2668" s="252"/>
      <c r="D2668" s="252"/>
      <c r="E2668" s="252"/>
      <c r="F2668" s="252"/>
      <c r="G2668" s="252"/>
      <c r="H2668" s="252"/>
      <c r="I2668" s="252"/>
      <c r="J2668" s="252"/>
      <c r="K2668" s="253"/>
    </row>
    <row r="2669" spans="1:11" ht="22" customHeight="1" x14ac:dyDescent="0.35">
      <c r="A2669" s="251"/>
      <c r="B2669" s="252"/>
      <c r="C2669" s="252"/>
      <c r="D2669" s="252"/>
      <c r="E2669" s="252"/>
      <c r="F2669" s="252"/>
      <c r="G2669" s="252"/>
      <c r="H2669" s="252"/>
      <c r="I2669" s="252"/>
      <c r="J2669" s="252"/>
      <c r="K2669" s="253"/>
    </row>
    <row r="2670" spans="1:11" ht="22" customHeight="1" x14ac:dyDescent="0.35">
      <c r="A2670" s="251"/>
      <c r="B2670" s="252"/>
      <c r="C2670" s="252"/>
      <c r="D2670" s="252"/>
      <c r="E2670" s="252"/>
      <c r="F2670" s="252"/>
      <c r="G2670" s="252"/>
      <c r="H2670" s="252"/>
      <c r="I2670" s="252"/>
      <c r="J2670" s="252"/>
      <c r="K2670" s="253"/>
    </row>
    <row r="2671" spans="1:11" ht="22" customHeight="1" x14ac:dyDescent="0.35">
      <c r="A2671" s="251"/>
      <c r="B2671" s="252"/>
      <c r="C2671" s="252"/>
      <c r="D2671" s="252"/>
      <c r="E2671" s="252"/>
      <c r="F2671" s="252"/>
      <c r="G2671" s="252"/>
      <c r="H2671" s="252"/>
      <c r="I2671" s="252"/>
      <c r="J2671" s="252"/>
      <c r="K2671" s="253"/>
    </row>
    <row r="2672" spans="1:11" ht="22" customHeight="1" x14ac:dyDescent="0.35">
      <c r="A2672" s="251"/>
      <c r="B2672" s="252"/>
      <c r="C2672" s="252"/>
      <c r="D2672" s="252"/>
      <c r="E2672" s="252"/>
      <c r="F2672" s="252"/>
      <c r="G2672" s="252"/>
      <c r="H2672" s="252"/>
      <c r="I2672" s="252"/>
      <c r="J2672" s="252"/>
      <c r="K2672" s="253"/>
    </row>
    <row r="2673" spans="1:11" ht="22" customHeight="1" x14ac:dyDescent="0.35">
      <c r="A2673" s="251"/>
      <c r="B2673" s="252"/>
      <c r="C2673" s="252"/>
      <c r="D2673" s="252"/>
      <c r="E2673" s="252"/>
      <c r="F2673" s="252"/>
      <c r="G2673" s="252"/>
      <c r="H2673" s="252"/>
      <c r="I2673" s="252"/>
      <c r="J2673" s="252"/>
      <c r="K2673" s="253"/>
    </row>
    <row r="2674" spans="1:11" ht="22" customHeight="1" x14ac:dyDescent="0.35">
      <c r="A2674" s="251"/>
      <c r="B2674" s="252"/>
      <c r="C2674" s="252"/>
      <c r="D2674" s="252"/>
      <c r="E2674" s="252"/>
      <c r="F2674" s="252"/>
      <c r="G2674" s="252"/>
      <c r="H2674" s="252"/>
      <c r="I2674" s="252"/>
      <c r="J2674" s="252"/>
      <c r="K2674" s="253"/>
    </row>
    <row r="2675" spans="1:11" ht="22" customHeight="1" x14ac:dyDescent="0.35">
      <c r="A2675" s="251"/>
      <c r="B2675" s="252"/>
      <c r="C2675" s="252"/>
      <c r="D2675" s="252"/>
      <c r="E2675" s="252"/>
      <c r="F2675" s="252"/>
      <c r="G2675" s="252"/>
      <c r="H2675" s="252"/>
      <c r="I2675" s="252"/>
      <c r="J2675" s="252"/>
      <c r="K2675" s="253"/>
    </row>
    <row r="2676" spans="1:11" ht="22" customHeight="1" x14ac:dyDescent="0.35">
      <c r="A2676" s="251"/>
      <c r="B2676" s="252"/>
      <c r="C2676" s="252"/>
      <c r="D2676" s="252"/>
      <c r="E2676" s="252"/>
      <c r="F2676" s="252"/>
      <c r="G2676" s="252"/>
      <c r="H2676" s="252"/>
      <c r="I2676" s="252"/>
      <c r="J2676" s="252"/>
      <c r="K2676" s="253"/>
    </row>
    <row r="2677" spans="1:11" ht="22" customHeight="1" x14ac:dyDescent="0.35">
      <c r="A2677" s="251"/>
      <c r="B2677" s="252"/>
      <c r="C2677" s="252"/>
      <c r="D2677" s="252"/>
      <c r="E2677" s="252"/>
      <c r="F2677" s="252"/>
      <c r="G2677" s="252"/>
      <c r="H2677" s="252"/>
      <c r="I2677" s="252"/>
      <c r="J2677" s="252"/>
      <c r="K2677" s="253"/>
    </row>
    <row r="2678" spans="1:11" ht="22" customHeight="1" x14ac:dyDescent="0.35">
      <c r="A2678" s="251"/>
      <c r="B2678" s="252"/>
      <c r="C2678" s="252"/>
      <c r="D2678" s="252"/>
      <c r="E2678" s="252"/>
      <c r="F2678" s="252"/>
      <c r="G2678" s="252"/>
      <c r="H2678" s="252"/>
      <c r="I2678" s="252"/>
      <c r="J2678" s="252"/>
      <c r="K2678" s="253"/>
    </row>
    <row r="2679" spans="1:11" ht="22" customHeight="1" x14ac:dyDescent="0.35">
      <c r="A2679" s="251"/>
      <c r="B2679" s="252"/>
      <c r="C2679" s="252"/>
      <c r="D2679" s="252"/>
      <c r="E2679" s="252"/>
      <c r="F2679" s="252"/>
      <c r="G2679" s="252"/>
      <c r="H2679" s="252"/>
      <c r="I2679" s="252"/>
      <c r="J2679" s="252"/>
      <c r="K2679" s="253"/>
    </row>
    <row r="2680" spans="1:11" ht="22" customHeight="1" x14ac:dyDescent="0.35">
      <c r="A2680" s="251"/>
      <c r="B2680" s="252"/>
      <c r="C2680" s="252"/>
      <c r="D2680" s="252"/>
      <c r="E2680" s="252"/>
      <c r="F2680" s="252"/>
      <c r="G2680" s="252"/>
      <c r="H2680" s="252"/>
      <c r="I2680" s="252"/>
      <c r="J2680" s="252"/>
      <c r="K2680" s="253"/>
    </row>
    <row r="2681" spans="1:11" ht="22" customHeight="1" x14ac:dyDescent="0.35">
      <c r="A2681" s="251"/>
      <c r="B2681" s="252"/>
      <c r="C2681" s="252"/>
      <c r="D2681" s="252"/>
      <c r="E2681" s="252"/>
      <c r="F2681" s="252"/>
      <c r="G2681" s="252"/>
      <c r="H2681" s="252"/>
      <c r="I2681" s="252"/>
      <c r="J2681" s="252"/>
      <c r="K2681" s="253"/>
    </row>
    <row r="2682" spans="1:11" ht="22" customHeight="1" x14ac:dyDescent="0.35">
      <c r="A2682" s="251"/>
      <c r="B2682" s="252"/>
      <c r="C2682" s="252"/>
      <c r="D2682" s="252"/>
      <c r="E2682" s="252"/>
      <c r="F2682" s="252"/>
      <c r="G2682" s="252"/>
      <c r="H2682" s="252"/>
      <c r="I2682" s="252"/>
      <c r="J2682" s="252"/>
      <c r="K2682" s="253"/>
    </row>
    <row r="2683" spans="1:11" ht="22" customHeight="1" x14ac:dyDescent="0.35">
      <c r="A2683" s="251"/>
      <c r="B2683" s="252"/>
      <c r="C2683" s="252"/>
      <c r="D2683" s="252"/>
      <c r="E2683" s="252"/>
      <c r="F2683" s="252"/>
      <c r="G2683" s="252"/>
      <c r="H2683" s="252"/>
      <c r="I2683" s="252"/>
      <c r="J2683" s="252"/>
      <c r="K2683" s="253"/>
    </row>
    <row r="2684" spans="1:11" ht="22" customHeight="1" x14ac:dyDescent="0.35">
      <c r="A2684" s="251"/>
      <c r="B2684" s="252"/>
      <c r="C2684" s="252"/>
      <c r="D2684" s="252"/>
      <c r="E2684" s="252"/>
      <c r="F2684" s="252"/>
      <c r="G2684" s="252"/>
      <c r="H2684" s="252"/>
      <c r="I2684" s="252"/>
      <c r="J2684" s="252"/>
      <c r="K2684" s="253"/>
    </row>
    <row r="2685" spans="1:11" ht="22" customHeight="1" x14ac:dyDescent="0.35">
      <c r="A2685" s="251"/>
      <c r="B2685" s="252"/>
      <c r="C2685" s="252"/>
      <c r="D2685" s="252"/>
      <c r="E2685" s="252"/>
      <c r="F2685" s="252"/>
      <c r="G2685" s="252"/>
      <c r="H2685" s="252"/>
      <c r="I2685" s="252"/>
      <c r="J2685" s="252"/>
      <c r="K2685" s="253"/>
    </row>
    <row r="2686" spans="1:11" ht="22" customHeight="1" x14ac:dyDescent="0.35">
      <c r="A2686" s="251"/>
      <c r="B2686" s="252"/>
      <c r="C2686" s="252"/>
      <c r="D2686" s="252"/>
      <c r="E2686" s="252"/>
      <c r="F2686" s="252"/>
      <c r="G2686" s="252"/>
      <c r="H2686" s="252"/>
      <c r="I2686" s="252"/>
      <c r="J2686" s="252"/>
      <c r="K2686" s="253"/>
    </row>
    <row r="2687" spans="1:11" ht="22" customHeight="1" x14ac:dyDescent="0.35">
      <c r="A2687" s="251"/>
      <c r="B2687" s="252"/>
      <c r="C2687" s="252"/>
      <c r="D2687" s="252"/>
      <c r="E2687" s="252"/>
      <c r="F2687" s="252"/>
      <c r="G2687" s="252"/>
      <c r="H2687" s="252"/>
      <c r="I2687" s="252"/>
      <c r="J2687" s="252"/>
      <c r="K2687" s="253"/>
    </row>
    <row r="2688" spans="1:11" ht="22" customHeight="1" x14ac:dyDescent="0.35">
      <c r="A2688" s="251"/>
      <c r="B2688" s="252"/>
      <c r="C2688" s="252"/>
      <c r="D2688" s="252"/>
      <c r="E2688" s="252"/>
      <c r="F2688" s="252"/>
      <c r="G2688" s="252"/>
      <c r="H2688" s="252"/>
      <c r="I2688" s="252"/>
      <c r="J2688" s="252"/>
      <c r="K2688" s="253"/>
    </row>
    <row r="2689" spans="1:11" ht="22" customHeight="1" x14ac:dyDescent="0.35">
      <c r="A2689" s="251"/>
      <c r="B2689" s="252"/>
      <c r="C2689" s="252"/>
      <c r="D2689" s="252"/>
      <c r="E2689" s="252"/>
      <c r="F2689" s="252"/>
      <c r="G2689" s="252"/>
      <c r="H2689" s="252"/>
      <c r="I2689" s="252"/>
      <c r="J2689" s="252"/>
      <c r="K2689" s="253"/>
    </row>
    <row r="2690" spans="1:11" ht="22" customHeight="1" x14ac:dyDescent="0.35">
      <c r="A2690" s="251"/>
      <c r="B2690" s="252"/>
      <c r="C2690" s="252"/>
      <c r="D2690" s="252"/>
      <c r="E2690" s="252"/>
      <c r="F2690" s="252"/>
      <c r="G2690" s="252"/>
      <c r="H2690" s="252"/>
      <c r="I2690" s="252"/>
      <c r="J2690" s="252"/>
      <c r="K2690" s="253"/>
    </row>
    <row r="2691" spans="1:11" ht="22" customHeight="1" x14ac:dyDescent="0.35">
      <c r="A2691" s="251"/>
      <c r="B2691" s="252"/>
      <c r="C2691" s="252"/>
      <c r="D2691" s="252"/>
      <c r="E2691" s="252"/>
      <c r="F2691" s="252"/>
      <c r="G2691" s="252"/>
      <c r="H2691" s="252"/>
      <c r="I2691" s="252"/>
      <c r="J2691" s="252"/>
      <c r="K2691" s="253"/>
    </row>
    <row r="2692" spans="1:11" ht="22" customHeight="1" x14ac:dyDescent="0.35">
      <c r="A2692" s="251"/>
      <c r="B2692" s="252"/>
      <c r="C2692" s="252"/>
      <c r="D2692" s="252"/>
      <c r="E2692" s="252"/>
      <c r="F2692" s="252"/>
      <c r="G2692" s="252"/>
      <c r="H2692" s="252"/>
      <c r="I2692" s="252"/>
      <c r="J2692" s="252"/>
      <c r="K2692" s="253"/>
    </row>
    <row r="2693" spans="1:11" ht="22" customHeight="1" x14ac:dyDescent="0.35">
      <c r="A2693" s="251"/>
      <c r="B2693" s="252"/>
      <c r="C2693" s="252"/>
      <c r="D2693" s="252"/>
      <c r="E2693" s="252"/>
      <c r="F2693" s="252"/>
      <c r="G2693" s="252"/>
      <c r="H2693" s="252"/>
      <c r="I2693" s="252"/>
      <c r="J2693" s="252"/>
      <c r="K2693" s="253"/>
    </row>
    <row r="2694" spans="1:11" ht="22" customHeight="1" x14ac:dyDescent="0.35">
      <c r="A2694" s="251"/>
      <c r="B2694" s="252"/>
      <c r="C2694" s="252"/>
      <c r="D2694" s="252"/>
      <c r="E2694" s="252"/>
      <c r="F2694" s="252"/>
      <c r="G2694" s="252"/>
      <c r="H2694" s="252"/>
      <c r="I2694" s="252"/>
      <c r="J2694" s="252"/>
      <c r="K2694" s="253"/>
    </row>
    <row r="2695" spans="1:11" ht="22" customHeight="1" x14ac:dyDescent="0.35">
      <c r="A2695" s="251"/>
      <c r="B2695" s="252"/>
      <c r="C2695" s="252"/>
      <c r="D2695" s="252"/>
      <c r="E2695" s="252"/>
      <c r="F2695" s="252"/>
      <c r="G2695" s="252"/>
      <c r="H2695" s="252"/>
      <c r="I2695" s="252"/>
      <c r="J2695" s="252"/>
      <c r="K2695" s="253"/>
    </row>
    <row r="2696" spans="1:11" ht="22" customHeight="1" x14ac:dyDescent="0.35">
      <c r="A2696" s="251"/>
      <c r="B2696" s="252"/>
      <c r="C2696" s="252"/>
      <c r="D2696" s="252"/>
      <c r="E2696" s="252"/>
      <c r="F2696" s="252"/>
      <c r="G2696" s="252"/>
      <c r="H2696" s="252"/>
      <c r="I2696" s="252"/>
      <c r="J2696" s="252"/>
      <c r="K2696" s="253"/>
    </row>
    <row r="2697" spans="1:11" ht="22" customHeight="1" x14ac:dyDescent="0.35">
      <c r="A2697" s="251"/>
      <c r="B2697" s="252"/>
      <c r="C2697" s="252"/>
      <c r="D2697" s="252"/>
      <c r="E2697" s="252"/>
      <c r="F2697" s="252"/>
      <c r="G2697" s="252"/>
      <c r="H2697" s="252"/>
      <c r="I2697" s="252"/>
      <c r="J2697" s="252"/>
      <c r="K2697" s="253"/>
    </row>
    <row r="2698" spans="1:11" ht="22" customHeight="1" x14ac:dyDescent="0.35">
      <c r="A2698" s="251"/>
      <c r="B2698" s="252"/>
      <c r="C2698" s="252"/>
      <c r="D2698" s="252"/>
      <c r="E2698" s="252"/>
      <c r="F2698" s="252"/>
      <c r="G2698" s="252"/>
      <c r="H2698" s="252"/>
      <c r="I2698" s="252"/>
      <c r="J2698" s="252"/>
      <c r="K2698" s="253"/>
    </row>
    <row r="2699" spans="1:11" ht="22" customHeight="1" x14ac:dyDescent="0.35">
      <c r="A2699" s="251"/>
      <c r="B2699" s="252"/>
      <c r="C2699" s="252"/>
      <c r="D2699" s="252"/>
      <c r="E2699" s="252"/>
      <c r="F2699" s="252"/>
      <c r="G2699" s="252"/>
      <c r="H2699" s="252"/>
      <c r="I2699" s="252"/>
      <c r="J2699" s="252"/>
      <c r="K2699" s="253"/>
    </row>
    <row r="2700" spans="1:11" ht="22" customHeight="1" x14ac:dyDescent="0.35">
      <c r="A2700" s="251"/>
      <c r="B2700" s="252"/>
      <c r="C2700" s="252"/>
      <c r="D2700" s="252"/>
      <c r="E2700" s="252"/>
      <c r="F2700" s="252"/>
      <c r="G2700" s="252"/>
      <c r="H2700" s="252"/>
      <c r="I2700" s="252"/>
      <c r="J2700" s="252"/>
      <c r="K2700" s="253"/>
    </row>
    <row r="2701" spans="1:11" ht="22" customHeight="1" x14ac:dyDescent="0.35">
      <c r="A2701" s="251"/>
      <c r="B2701" s="252"/>
      <c r="C2701" s="252"/>
      <c r="D2701" s="252"/>
      <c r="E2701" s="252"/>
      <c r="F2701" s="252"/>
      <c r="G2701" s="252"/>
      <c r="H2701" s="252"/>
      <c r="I2701" s="252"/>
      <c r="J2701" s="252"/>
      <c r="K2701" s="253"/>
    </row>
    <row r="2702" spans="1:11" ht="22" customHeight="1" x14ac:dyDescent="0.35">
      <c r="A2702" s="251"/>
      <c r="B2702" s="252"/>
      <c r="C2702" s="252"/>
      <c r="D2702" s="252"/>
      <c r="E2702" s="252"/>
      <c r="F2702" s="252"/>
      <c r="G2702" s="252"/>
      <c r="H2702" s="252"/>
      <c r="I2702" s="252"/>
      <c r="J2702" s="252"/>
      <c r="K2702" s="253"/>
    </row>
    <row r="2703" spans="1:11" ht="22" customHeight="1" x14ac:dyDescent="0.35">
      <c r="A2703" s="251"/>
      <c r="B2703" s="252"/>
      <c r="C2703" s="252"/>
      <c r="D2703" s="252"/>
      <c r="E2703" s="252"/>
      <c r="F2703" s="252"/>
      <c r="G2703" s="252"/>
      <c r="H2703" s="252"/>
      <c r="I2703" s="252"/>
      <c r="J2703" s="252"/>
      <c r="K2703" s="253"/>
    </row>
    <row r="2704" spans="1:11" ht="22" customHeight="1" x14ac:dyDescent="0.35">
      <c r="A2704" s="251"/>
      <c r="B2704" s="252"/>
      <c r="C2704" s="252"/>
      <c r="D2704" s="252"/>
      <c r="E2704" s="252"/>
      <c r="F2704" s="252"/>
      <c r="G2704" s="252"/>
      <c r="H2704" s="252"/>
      <c r="I2704" s="252"/>
      <c r="J2704" s="252"/>
      <c r="K2704" s="253"/>
    </row>
    <row r="2705" spans="1:11" ht="22" customHeight="1" x14ac:dyDescent="0.35">
      <c r="A2705" s="251"/>
      <c r="B2705" s="252"/>
      <c r="C2705" s="252"/>
      <c r="D2705" s="252"/>
      <c r="E2705" s="252"/>
      <c r="F2705" s="252"/>
      <c r="G2705" s="252"/>
      <c r="H2705" s="252"/>
      <c r="I2705" s="252"/>
      <c r="J2705" s="252"/>
      <c r="K2705" s="253"/>
    </row>
    <row r="2706" spans="1:11" ht="22" customHeight="1" x14ac:dyDescent="0.35">
      <c r="A2706" s="251"/>
      <c r="B2706" s="252"/>
      <c r="C2706" s="252"/>
      <c r="D2706" s="252"/>
      <c r="E2706" s="252"/>
      <c r="F2706" s="252"/>
      <c r="G2706" s="252"/>
      <c r="H2706" s="252"/>
      <c r="I2706" s="252"/>
      <c r="J2706" s="252"/>
      <c r="K2706" s="253"/>
    </row>
    <row r="2707" spans="1:11" ht="22" customHeight="1" x14ac:dyDescent="0.35">
      <c r="A2707" s="251"/>
      <c r="B2707" s="252"/>
      <c r="C2707" s="252"/>
      <c r="D2707" s="252"/>
      <c r="E2707" s="252"/>
      <c r="F2707" s="252"/>
      <c r="G2707" s="252"/>
      <c r="H2707" s="252"/>
      <c r="I2707" s="252"/>
      <c r="J2707" s="252"/>
      <c r="K2707" s="253"/>
    </row>
    <row r="2708" spans="1:11" ht="22" customHeight="1" x14ac:dyDescent="0.35">
      <c r="A2708" s="251"/>
      <c r="B2708" s="252"/>
      <c r="C2708" s="252"/>
      <c r="D2708" s="252"/>
      <c r="E2708" s="252"/>
      <c r="F2708" s="252"/>
      <c r="G2708" s="252"/>
      <c r="H2708" s="252"/>
      <c r="I2708" s="252"/>
      <c r="J2708" s="252"/>
      <c r="K2708" s="253"/>
    </row>
    <row r="2709" spans="1:11" ht="22" customHeight="1" x14ac:dyDescent="0.35">
      <c r="A2709" s="251"/>
      <c r="B2709" s="252"/>
      <c r="C2709" s="252"/>
      <c r="D2709" s="252"/>
      <c r="E2709" s="252"/>
      <c r="F2709" s="252"/>
      <c r="G2709" s="252"/>
      <c r="H2709" s="252"/>
      <c r="I2709" s="252"/>
      <c r="J2709" s="252"/>
      <c r="K2709" s="253"/>
    </row>
    <row r="2710" spans="1:11" ht="22" customHeight="1" x14ac:dyDescent="0.35">
      <c r="A2710" s="251"/>
      <c r="B2710" s="252"/>
      <c r="C2710" s="252"/>
      <c r="D2710" s="252"/>
      <c r="E2710" s="252"/>
      <c r="F2710" s="252"/>
      <c r="G2710" s="252"/>
      <c r="H2710" s="252"/>
      <c r="I2710" s="252"/>
      <c r="J2710" s="252"/>
      <c r="K2710" s="253"/>
    </row>
    <row r="2711" spans="1:11" ht="22" customHeight="1" x14ac:dyDescent="0.35">
      <c r="A2711" s="251"/>
      <c r="B2711" s="252"/>
      <c r="C2711" s="252"/>
      <c r="D2711" s="252"/>
      <c r="E2711" s="252"/>
      <c r="F2711" s="252"/>
      <c r="G2711" s="252"/>
      <c r="H2711" s="252"/>
      <c r="I2711" s="252"/>
      <c r="J2711" s="252"/>
      <c r="K2711" s="253"/>
    </row>
    <row r="2712" spans="1:11" ht="22" customHeight="1" x14ac:dyDescent="0.35">
      <c r="A2712" s="251"/>
      <c r="B2712" s="252"/>
      <c r="C2712" s="252"/>
      <c r="D2712" s="252"/>
      <c r="E2712" s="252"/>
      <c r="F2712" s="252"/>
      <c r="G2712" s="252"/>
      <c r="H2712" s="252"/>
      <c r="I2712" s="252"/>
      <c r="J2712" s="252"/>
      <c r="K2712" s="253"/>
    </row>
    <row r="2713" spans="1:11" ht="22" customHeight="1" x14ac:dyDescent="0.35">
      <c r="A2713" s="251"/>
      <c r="B2713" s="252"/>
      <c r="C2713" s="252"/>
      <c r="D2713" s="252"/>
      <c r="E2713" s="252"/>
      <c r="F2713" s="252"/>
      <c r="G2713" s="252"/>
      <c r="H2713" s="252"/>
      <c r="I2713" s="252"/>
      <c r="J2713" s="252"/>
      <c r="K2713" s="253"/>
    </row>
    <row r="2714" spans="1:11" ht="22" customHeight="1" x14ac:dyDescent="0.35">
      <c r="A2714" s="251"/>
      <c r="B2714" s="252"/>
      <c r="C2714" s="252"/>
      <c r="D2714" s="252"/>
      <c r="E2714" s="252"/>
      <c r="F2714" s="252"/>
      <c r="G2714" s="252"/>
      <c r="H2714" s="252"/>
      <c r="I2714" s="252"/>
      <c r="J2714" s="252"/>
      <c r="K2714" s="253"/>
    </row>
    <row r="2715" spans="1:11" ht="22" customHeight="1" x14ac:dyDescent="0.35">
      <c r="A2715" s="251"/>
      <c r="B2715" s="252"/>
      <c r="C2715" s="252"/>
      <c r="D2715" s="252"/>
      <c r="E2715" s="252"/>
      <c r="F2715" s="252"/>
      <c r="G2715" s="252"/>
      <c r="H2715" s="252"/>
      <c r="I2715" s="252"/>
      <c r="J2715" s="252"/>
      <c r="K2715" s="253"/>
    </row>
    <row r="2716" spans="1:11" ht="22" customHeight="1" x14ac:dyDescent="0.35">
      <c r="A2716" s="251"/>
      <c r="B2716" s="252"/>
      <c r="C2716" s="252"/>
      <c r="D2716" s="252"/>
      <c r="E2716" s="252"/>
      <c r="F2716" s="252"/>
      <c r="G2716" s="252"/>
      <c r="H2716" s="252"/>
      <c r="I2716" s="252"/>
      <c r="J2716" s="252"/>
      <c r="K2716" s="253"/>
    </row>
    <row r="2717" spans="1:11" ht="22" customHeight="1" x14ac:dyDescent="0.35">
      <c r="A2717" s="251"/>
      <c r="B2717" s="252"/>
      <c r="C2717" s="252"/>
      <c r="D2717" s="252"/>
      <c r="E2717" s="252"/>
      <c r="F2717" s="252"/>
      <c r="G2717" s="252"/>
      <c r="H2717" s="252"/>
      <c r="I2717" s="252"/>
      <c r="J2717" s="252"/>
      <c r="K2717" s="253"/>
    </row>
    <row r="2718" spans="1:11" ht="22" customHeight="1" x14ac:dyDescent="0.35">
      <c r="A2718" s="251"/>
      <c r="B2718" s="252"/>
      <c r="C2718" s="252"/>
      <c r="D2718" s="252"/>
      <c r="E2718" s="252"/>
      <c r="F2718" s="252"/>
      <c r="G2718" s="252"/>
      <c r="H2718" s="252"/>
      <c r="I2718" s="252"/>
      <c r="J2718" s="252"/>
      <c r="K2718" s="253"/>
    </row>
    <row r="2719" spans="1:11" ht="22" customHeight="1" x14ac:dyDescent="0.35">
      <c r="A2719" s="251"/>
      <c r="B2719" s="252"/>
      <c r="C2719" s="252"/>
      <c r="D2719" s="252"/>
      <c r="E2719" s="252"/>
      <c r="F2719" s="252"/>
      <c r="G2719" s="252"/>
      <c r="H2719" s="252"/>
      <c r="I2719" s="252"/>
      <c r="J2719" s="252"/>
      <c r="K2719" s="253"/>
    </row>
    <row r="2720" spans="1:11" ht="22" customHeight="1" x14ac:dyDescent="0.35">
      <c r="A2720" s="251"/>
      <c r="B2720" s="252"/>
      <c r="C2720" s="252"/>
      <c r="D2720" s="252"/>
      <c r="E2720" s="252"/>
      <c r="F2720" s="252"/>
      <c r="G2720" s="252"/>
      <c r="H2720" s="252"/>
      <c r="I2720" s="252"/>
      <c r="J2720" s="252"/>
      <c r="K2720" s="253"/>
    </row>
    <row r="2721" spans="1:11" ht="22" customHeight="1" x14ac:dyDescent="0.35">
      <c r="A2721" s="251"/>
      <c r="B2721" s="252"/>
      <c r="C2721" s="252"/>
      <c r="D2721" s="252"/>
      <c r="E2721" s="252"/>
      <c r="F2721" s="252"/>
      <c r="G2721" s="252"/>
      <c r="H2721" s="252"/>
      <c r="I2721" s="252"/>
      <c r="J2721" s="252"/>
      <c r="K2721" s="253"/>
    </row>
    <row r="2722" spans="1:11" ht="22" customHeight="1" x14ac:dyDescent="0.35">
      <c r="A2722" s="251"/>
      <c r="B2722" s="252"/>
      <c r="C2722" s="252"/>
      <c r="D2722" s="252"/>
      <c r="E2722" s="252"/>
      <c r="F2722" s="252"/>
      <c r="G2722" s="252"/>
      <c r="H2722" s="252"/>
      <c r="I2722" s="252"/>
      <c r="J2722" s="252"/>
      <c r="K2722" s="253"/>
    </row>
    <row r="2723" spans="1:11" ht="22" customHeight="1" x14ac:dyDescent="0.35">
      <c r="A2723" s="251"/>
      <c r="B2723" s="252"/>
      <c r="C2723" s="252"/>
      <c r="D2723" s="252"/>
      <c r="E2723" s="252"/>
      <c r="F2723" s="252"/>
      <c r="G2723" s="252"/>
      <c r="H2723" s="252"/>
      <c r="I2723" s="252"/>
      <c r="J2723" s="252"/>
      <c r="K2723" s="253"/>
    </row>
    <row r="2724" spans="1:11" ht="22" customHeight="1" x14ac:dyDescent="0.35">
      <c r="A2724" s="251"/>
      <c r="B2724" s="252"/>
      <c r="C2724" s="252"/>
      <c r="D2724" s="252"/>
      <c r="E2724" s="252"/>
      <c r="F2724" s="252"/>
      <c r="G2724" s="252"/>
      <c r="H2724" s="252"/>
      <c r="I2724" s="252"/>
      <c r="J2724" s="252"/>
      <c r="K2724" s="253"/>
    </row>
    <row r="2725" spans="1:11" ht="22" customHeight="1" x14ac:dyDescent="0.35">
      <c r="A2725" s="251"/>
      <c r="B2725" s="252"/>
      <c r="C2725" s="252"/>
      <c r="D2725" s="252"/>
      <c r="E2725" s="252"/>
      <c r="F2725" s="252"/>
      <c r="G2725" s="252"/>
      <c r="H2725" s="252"/>
      <c r="I2725" s="252"/>
      <c r="J2725" s="252"/>
      <c r="K2725" s="253"/>
    </row>
    <row r="2726" spans="1:11" ht="22" customHeight="1" x14ac:dyDescent="0.35">
      <c r="A2726" s="251"/>
      <c r="B2726" s="252"/>
      <c r="C2726" s="252"/>
      <c r="D2726" s="252"/>
      <c r="E2726" s="252"/>
      <c r="F2726" s="252"/>
      <c r="G2726" s="252"/>
      <c r="H2726" s="252"/>
      <c r="I2726" s="252"/>
      <c r="J2726" s="252"/>
      <c r="K2726" s="253"/>
    </row>
    <row r="2727" spans="1:11" ht="22" customHeight="1" x14ac:dyDescent="0.35">
      <c r="A2727" s="251"/>
      <c r="B2727" s="252"/>
      <c r="C2727" s="252"/>
      <c r="D2727" s="252"/>
      <c r="E2727" s="252"/>
      <c r="F2727" s="252"/>
      <c r="G2727" s="252"/>
      <c r="H2727" s="252"/>
      <c r="I2727" s="252"/>
      <c r="J2727" s="252"/>
      <c r="K2727" s="253"/>
    </row>
    <row r="2728" spans="1:11" ht="22" customHeight="1" x14ac:dyDescent="0.35">
      <c r="A2728" s="251"/>
      <c r="B2728" s="252"/>
      <c r="C2728" s="252"/>
      <c r="D2728" s="252"/>
      <c r="E2728" s="252"/>
      <c r="F2728" s="252"/>
      <c r="G2728" s="252"/>
      <c r="H2728" s="252"/>
      <c r="I2728" s="252"/>
      <c r="J2728" s="252"/>
      <c r="K2728" s="253"/>
    </row>
    <row r="2729" spans="1:11" ht="22" customHeight="1" x14ac:dyDescent="0.35">
      <c r="A2729" s="251"/>
      <c r="B2729" s="252"/>
      <c r="C2729" s="252"/>
      <c r="D2729" s="252"/>
      <c r="E2729" s="252"/>
      <c r="F2729" s="252"/>
      <c r="G2729" s="252"/>
      <c r="H2729" s="252"/>
      <c r="I2729" s="252"/>
      <c r="J2729" s="252"/>
      <c r="K2729" s="253"/>
    </row>
    <row r="2730" spans="1:11" ht="22" customHeight="1" x14ac:dyDescent="0.35">
      <c r="A2730" s="251"/>
      <c r="B2730" s="252"/>
      <c r="C2730" s="252"/>
      <c r="D2730" s="252"/>
      <c r="E2730" s="252"/>
      <c r="F2730" s="252"/>
      <c r="G2730" s="252"/>
      <c r="H2730" s="252"/>
      <c r="I2730" s="252"/>
      <c r="J2730" s="252"/>
      <c r="K2730" s="253"/>
    </row>
    <row r="2731" spans="1:11" ht="22" customHeight="1" x14ac:dyDescent="0.35">
      <c r="A2731" s="251"/>
      <c r="B2731" s="252"/>
      <c r="C2731" s="252"/>
      <c r="D2731" s="252"/>
      <c r="E2731" s="252"/>
      <c r="F2731" s="252"/>
      <c r="G2731" s="252"/>
      <c r="H2731" s="252"/>
      <c r="I2731" s="252"/>
      <c r="J2731" s="252"/>
      <c r="K2731" s="253"/>
    </row>
    <row r="2732" spans="1:11" ht="22" customHeight="1" x14ac:dyDescent="0.35">
      <c r="A2732" s="251"/>
      <c r="B2732" s="252"/>
      <c r="C2732" s="252"/>
      <c r="D2732" s="252"/>
      <c r="E2732" s="252"/>
      <c r="F2732" s="252"/>
      <c r="G2732" s="252"/>
      <c r="H2732" s="252"/>
      <c r="I2732" s="252"/>
      <c r="J2732" s="252"/>
      <c r="K2732" s="253"/>
    </row>
    <row r="2733" spans="1:11" ht="22" customHeight="1" x14ac:dyDescent="0.35">
      <c r="A2733" s="251"/>
      <c r="B2733" s="252"/>
      <c r="C2733" s="252"/>
      <c r="D2733" s="252"/>
      <c r="E2733" s="252"/>
      <c r="F2733" s="252"/>
      <c r="G2733" s="252"/>
      <c r="H2733" s="252"/>
      <c r="I2733" s="252"/>
      <c r="J2733" s="252"/>
      <c r="K2733" s="253"/>
    </row>
    <row r="2734" spans="1:11" ht="22" customHeight="1" x14ac:dyDescent="0.35">
      <c r="A2734" s="251"/>
      <c r="B2734" s="252"/>
      <c r="C2734" s="252"/>
      <c r="D2734" s="252"/>
      <c r="E2734" s="252"/>
      <c r="F2734" s="252"/>
      <c r="G2734" s="252"/>
      <c r="H2734" s="252"/>
      <c r="I2734" s="252"/>
      <c r="J2734" s="252"/>
      <c r="K2734" s="253"/>
    </row>
    <row r="2735" spans="1:11" ht="22" customHeight="1" x14ac:dyDescent="0.35">
      <c r="A2735" s="251"/>
      <c r="B2735" s="252"/>
      <c r="C2735" s="252"/>
      <c r="D2735" s="252"/>
      <c r="E2735" s="252"/>
      <c r="F2735" s="252"/>
      <c r="G2735" s="252"/>
      <c r="H2735" s="252"/>
      <c r="I2735" s="252"/>
      <c r="J2735" s="252"/>
      <c r="K2735" s="253"/>
    </row>
    <row r="2736" spans="1:11" ht="22" customHeight="1" x14ac:dyDescent="0.35">
      <c r="A2736" s="251"/>
      <c r="B2736" s="252"/>
      <c r="C2736" s="252"/>
      <c r="D2736" s="252"/>
      <c r="E2736" s="252"/>
      <c r="F2736" s="252"/>
      <c r="G2736" s="252"/>
      <c r="H2736" s="252"/>
      <c r="I2736" s="252"/>
      <c r="J2736" s="252"/>
      <c r="K2736" s="253"/>
    </row>
    <row r="2737" spans="1:11" ht="22" customHeight="1" x14ac:dyDescent="0.35">
      <c r="A2737" s="251"/>
      <c r="B2737" s="252"/>
      <c r="C2737" s="252"/>
      <c r="D2737" s="252"/>
      <c r="E2737" s="252"/>
      <c r="F2737" s="252"/>
      <c r="G2737" s="252"/>
      <c r="H2737" s="252"/>
      <c r="I2737" s="252"/>
      <c r="J2737" s="252"/>
      <c r="K2737" s="253"/>
    </row>
    <row r="2738" spans="1:11" ht="22" customHeight="1" x14ac:dyDescent="0.35">
      <c r="A2738" s="251"/>
      <c r="B2738" s="252"/>
      <c r="C2738" s="252"/>
      <c r="D2738" s="252"/>
      <c r="E2738" s="252"/>
      <c r="F2738" s="252"/>
      <c r="G2738" s="252"/>
      <c r="H2738" s="252"/>
      <c r="I2738" s="252"/>
      <c r="J2738" s="252"/>
      <c r="K2738" s="253"/>
    </row>
    <row r="2739" spans="1:11" ht="22" customHeight="1" x14ac:dyDescent="0.35">
      <c r="A2739" s="251"/>
      <c r="B2739" s="252"/>
      <c r="C2739" s="252"/>
      <c r="D2739" s="252"/>
      <c r="E2739" s="252"/>
      <c r="F2739" s="252"/>
      <c r="G2739" s="252"/>
      <c r="H2739" s="252"/>
      <c r="I2739" s="252"/>
      <c r="J2739" s="252"/>
      <c r="K2739" s="253"/>
    </row>
    <row r="2740" spans="1:11" ht="22" customHeight="1" x14ac:dyDescent="0.35">
      <c r="A2740" s="251"/>
      <c r="B2740" s="252"/>
      <c r="C2740" s="252"/>
      <c r="D2740" s="252"/>
      <c r="E2740" s="252"/>
      <c r="F2740" s="252"/>
      <c r="G2740" s="252"/>
      <c r="H2740" s="252"/>
      <c r="I2740" s="252"/>
      <c r="J2740" s="252"/>
      <c r="K2740" s="253"/>
    </row>
    <row r="2741" spans="1:11" ht="22" customHeight="1" x14ac:dyDescent="0.35">
      <c r="A2741" s="251"/>
      <c r="B2741" s="252"/>
      <c r="C2741" s="252"/>
      <c r="D2741" s="252"/>
      <c r="E2741" s="252"/>
      <c r="F2741" s="252"/>
      <c r="G2741" s="252"/>
      <c r="H2741" s="252"/>
      <c r="I2741" s="252"/>
      <c r="J2741" s="252"/>
      <c r="K2741" s="253"/>
    </row>
    <row r="2742" spans="1:11" ht="22" customHeight="1" x14ac:dyDescent="0.35">
      <c r="A2742" s="251"/>
      <c r="B2742" s="252"/>
      <c r="C2742" s="252"/>
      <c r="D2742" s="252"/>
      <c r="E2742" s="252"/>
      <c r="F2742" s="252"/>
      <c r="G2742" s="252"/>
      <c r="H2742" s="252"/>
      <c r="I2742" s="252"/>
      <c r="J2742" s="252"/>
      <c r="K2742" s="253"/>
    </row>
    <row r="2743" spans="1:11" ht="22" customHeight="1" x14ac:dyDescent="0.35">
      <c r="A2743" s="251"/>
      <c r="B2743" s="252"/>
      <c r="C2743" s="252"/>
      <c r="D2743" s="252"/>
      <c r="E2743" s="252"/>
      <c r="F2743" s="252"/>
      <c r="G2743" s="252"/>
      <c r="H2743" s="252"/>
      <c r="I2743" s="252"/>
      <c r="J2743" s="252"/>
      <c r="K2743" s="253"/>
    </row>
    <row r="2744" spans="1:11" ht="22" customHeight="1" x14ac:dyDescent="0.35">
      <c r="A2744" s="251"/>
      <c r="B2744" s="252"/>
      <c r="C2744" s="252"/>
      <c r="D2744" s="252"/>
      <c r="E2744" s="252"/>
      <c r="F2744" s="252"/>
      <c r="G2744" s="252"/>
      <c r="H2744" s="252"/>
      <c r="I2744" s="252"/>
      <c r="J2744" s="252"/>
      <c r="K2744" s="253"/>
    </row>
    <row r="2745" spans="1:11" ht="22" customHeight="1" x14ac:dyDescent="0.35">
      <c r="A2745" s="251"/>
      <c r="B2745" s="252"/>
      <c r="C2745" s="252"/>
      <c r="D2745" s="252"/>
      <c r="E2745" s="252"/>
      <c r="F2745" s="252"/>
      <c r="G2745" s="252"/>
      <c r="H2745" s="252"/>
      <c r="I2745" s="252"/>
      <c r="J2745" s="252"/>
      <c r="K2745" s="253"/>
    </row>
    <row r="2746" spans="1:11" ht="22" customHeight="1" x14ac:dyDescent="0.35">
      <c r="A2746" s="251"/>
      <c r="B2746" s="252"/>
      <c r="C2746" s="252"/>
      <c r="D2746" s="252"/>
      <c r="E2746" s="252"/>
      <c r="F2746" s="252"/>
      <c r="G2746" s="252"/>
      <c r="H2746" s="252"/>
      <c r="I2746" s="252"/>
      <c r="J2746" s="252"/>
      <c r="K2746" s="253"/>
    </row>
    <row r="2747" spans="1:11" ht="22" customHeight="1" x14ac:dyDescent="0.35">
      <c r="A2747" s="251"/>
      <c r="B2747" s="252"/>
      <c r="C2747" s="252"/>
      <c r="D2747" s="252"/>
      <c r="E2747" s="252"/>
      <c r="F2747" s="252"/>
      <c r="G2747" s="252"/>
      <c r="H2747" s="252"/>
      <c r="I2747" s="252"/>
      <c r="J2747" s="252"/>
      <c r="K2747" s="253"/>
    </row>
    <row r="2748" spans="1:11" ht="22" customHeight="1" x14ac:dyDescent="0.35">
      <c r="A2748" s="251"/>
      <c r="B2748" s="252"/>
      <c r="C2748" s="252"/>
      <c r="D2748" s="252"/>
      <c r="E2748" s="252"/>
      <c r="F2748" s="252"/>
      <c r="G2748" s="252"/>
      <c r="H2748" s="252"/>
      <c r="I2748" s="252"/>
      <c r="J2748" s="252"/>
      <c r="K2748" s="253"/>
    </row>
    <row r="2749" spans="1:11" ht="22" customHeight="1" x14ac:dyDescent="0.35">
      <c r="A2749" s="251"/>
      <c r="B2749" s="252"/>
      <c r="C2749" s="252"/>
      <c r="D2749" s="252"/>
      <c r="E2749" s="252"/>
      <c r="F2749" s="252"/>
      <c r="G2749" s="252"/>
      <c r="H2749" s="252"/>
      <c r="I2749" s="252"/>
      <c r="J2749" s="252"/>
      <c r="K2749" s="253"/>
    </row>
    <row r="2750" spans="1:11" ht="22" customHeight="1" x14ac:dyDescent="0.35">
      <c r="A2750" s="251"/>
      <c r="B2750" s="252"/>
      <c r="C2750" s="252"/>
      <c r="D2750" s="252"/>
      <c r="E2750" s="252"/>
      <c r="F2750" s="252"/>
      <c r="G2750" s="252"/>
      <c r="H2750" s="252"/>
      <c r="I2750" s="252"/>
      <c r="J2750" s="252"/>
      <c r="K2750" s="253"/>
    </row>
    <row r="2751" spans="1:11" ht="22" customHeight="1" x14ac:dyDescent="0.35">
      <c r="A2751" s="251"/>
      <c r="B2751" s="252"/>
      <c r="C2751" s="252"/>
      <c r="D2751" s="252"/>
      <c r="E2751" s="252"/>
      <c r="F2751" s="252"/>
      <c r="G2751" s="252"/>
      <c r="H2751" s="252"/>
      <c r="I2751" s="252"/>
      <c r="J2751" s="252"/>
      <c r="K2751" s="253"/>
    </row>
    <row r="2752" spans="1:11" ht="22" customHeight="1" x14ac:dyDescent="0.35">
      <c r="A2752" s="251"/>
      <c r="B2752" s="252"/>
      <c r="C2752" s="252"/>
      <c r="D2752" s="252"/>
      <c r="E2752" s="252"/>
      <c r="F2752" s="252"/>
      <c r="G2752" s="252"/>
      <c r="H2752" s="252"/>
      <c r="I2752" s="252"/>
      <c r="J2752" s="252"/>
      <c r="K2752" s="253"/>
    </row>
    <row r="2753" spans="1:11" ht="22" customHeight="1" x14ac:dyDescent="0.35">
      <c r="A2753" s="251"/>
      <c r="B2753" s="252"/>
      <c r="C2753" s="252"/>
      <c r="D2753" s="252"/>
      <c r="E2753" s="252"/>
      <c r="F2753" s="252"/>
      <c r="G2753" s="252"/>
      <c r="H2753" s="252"/>
      <c r="I2753" s="252"/>
      <c r="J2753" s="252"/>
      <c r="K2753" s="253"/>
    </row>
    <row r="2754" spans="1:11" ht="22" customHeight="1" x14ac:dyDescent="0.35">
      <c r="A2754" s="251"/>
      <c r="B2754" s="252"/>
      <c r="C2754" s="252"/>
      <c r="D2754" s="252"/>
      <c r="E2754" s="252"/>
      <c r="F2754" s="252"/>
      <c r="G2754" s="252"/>
      <c r="H2754" s="252"/>
      <c r="I2754" s="252"/>
      <c r="J2754" s="252"/>
      <c r="K2754" s="253"/>
    </row>
    <row r="2755" spans="1:11" ht="22" customHeight="1" x14ac:dyDescent="0.35">
      <c r="A2755" s="251"/>
      <c r="B2755" s="252"/>
      <c r="C2755" s="252"/>
      <c r="D2755" s="252"/>
      <c r="E2755" s="252"/>
      <c r="F2755" s="252"/>
      <c r="G2755" s="252"/>
      <c r="H2755" s="252"/>
      <c r="I2755" s="252"/>
      <c r="J2755" s="252"/>
      <c r="K2755" s="253"/>
    </row>
    <row r="2756" spans="1:11" ht="22" customHeight="1" x14ac:dyDescent="0.35">
      <c r="A2756" s="251"/>
      <c r="B2756" s="252"/>
      <c r="C2756" s="252"/>
      <c r="D2756" s="252"/>
      <c r="E2756" s="252"/>
      <c r="F2756" s="252"/>
      <c r="G2756" s="252"/>
      <c r="H2756" s="252"/>
      <c r="I2756" s="252"/>
      <c r="J2756" s="252"/>
      <c r="K2756" s="253"/>
    </row>
    <row r="2757" spans="1:11" ht="22" customHeight="1" x14ac:dyDescent="0.35">
      <c r="A2757" s="251"/>
      <c r="B2757" s="252"/>
      <c r="C2757" s="252"/>
      <c r="D2757" s="252"/>
      <c r="E2757" s="252"/>
      <c r="F2757" s="252"/>
      <c r="G2757" s="252"/>
      <c r="H2757" s="252"/>
      <c r="I2757" s="252"/>
      <c r="J2757" s="252"/>
      <c r="K2757" s="253"/>
    </row>
    <row r="2758" spans="1:11" ht="22" customHeight="1" x14ac:dyDescent="0.35">
      <c r="A2758" s="251"/>
      <c r="B2758" s="252"/>
      <c r="C2758" s="252"/>
      <c r="D2758" s="252"/>
      <c r="E2758" s="252"/>
      <c r="F2758" s="252"/>
      <c r="G2758" s="252"/>
      <c r="H2758" s="252"/>
      <c r="I2758" s="252"/>
      <c r="J2758" s="252"/>
      <c r="K2758" s="253"/>
    </row>
    <row r="2759" spans="1:11" ht="22" customHeight="1" x14ac:dyDescent="0.35">
      <c r="A2759" s="251"/>
      <c r="B2759" s="252"/>
      <c r="C2759" s="252"/>
      <c r="D2759" s="252"/>
      <c r="E2759" s="252"/>
      <c r="F2759" s="252"/>
      <c r="G2759" s="252"/>
      <c r="H2759" s="252"/>
      <c r="I2759" s="252"/>
      <c r="J2759" s="252"/>
      <c r="K2759" s="253"/>
    </row>
    <row r="2760" spans="1:11" ht="22" customHeight="1" x14ac:dyDescent="0.35">
      <c r="A2760" s="251"/>
      <c r="B2760" s="252"/>
      <c r="C2760" s="252"/>
      <c r="D2760" s="252"/>
      <c r="E2760" s="252"/>
      <c r="F2760" s="252"/>
      <c r="G2760" s="252"/>
      <c r="H2760" s="252"/>
      <c r="I2760" s="252"/>
      <c r="J2760" s="252"/>
      <c r="K2760" s="253"/>
    </row>
    <row r="2761" spans="1:11" ht="22" customHeight="1" x14ac:dyDescent="0.35">
      <c r="A2761" s="251"/>
      <c r="B2761" s="252"/>
      <c r="C2761" s="252"/>
      <c r="D2761" s="252"/>
      <c r="E2761" s="252"/>
      <c r="F2761" s="252"/>
      <c r="G2761" s="252"/>
      <c r="H2761" s="252"/>
      <c r="I2761" s="252"/>
      <c r="J2761" s="252"/>
      <c r="K2761" s="253"/>
    </row>
    <row r="2762" spans="1:11" ht="22" customHeight="1" x14ac:dyDescent="0.35">
      <c r="A2762" s="251"/>
      <c r="B2762" s="252"/>
      <c r="C2762" s="252"/>
      <c r="D2762" s="252"/>
      <c r="E2762" s="252"/>
      <c r="F2762" s="252"/>
      <c r="G2762" s="252"/>
      <c r="H2762" s="252"/>
      <c r="I2762" s="252"/>
      <c r="J2762" s="252"/>
      <c r="K2762" s="253"/>
    </row>
    <row r="2763" spans="1:11" ht="22" customHeight="1" x14ac:dyDescent="0.35">
      <c r="A2763" s="251"/>
      <c r="B2763" s="252"/>
      <c r="C2763" s="252"/>
      <c r="D2763" s="252"/>
      <c r="E2763" s="252"/>
      <c r="F2763" s="252"/>
      <c r="G2763" s="252"/>
      <c r="H2763" s="252"/>
      <c r="I2763" s="252"/>
      <c r="J2763" s="252"/>
      <c r="K2763" s="253"/>
    </row>
    <row r="2764" spans="1:11" ht="22" customHeight="1" x14ac:dyDescent="0.35">
      <c r="A2764" s="251"/>
      <c r="B2764" s="252"/>
      <c r="C2764" s="252"/>
      <c r="D2764" s="252"/>
      <c r="E2764" s="252"/>
      <c r="F2764" s="252"/>
      <c r="G2764" s="252"/>
      <c r="H2764" s="252"/>
      <c r="I2764" s="252"/>
      <c r="J2764" s="252"/>
      <c r="K2764" s="253"/>
    </row>
    <row r="2765" spans="1:11" ht="22" customHeight="1" x14ac:dyDescent="0.35">
      <c r="A2765" s="251"/>
      <c r="B2765" s="252"/>
      <c r="C2765" s="252"/>
      <c r="D2765" s="252"/>
      <c r="E2765" s="252"/>
      <c r="F2765" s="252"/>
      <c r="G2765" s="252"/>
      <c r="H2765" s="252"/>
      <c r="I2765" s="252"/>
      <c r="J2765" s="252"/>
      <c r="K2765" s="253"/>
    </row>
    <row r="2766" spans="1:11" ht="22" customHeight="1" x14ac:dyDescent="0.35">
      <c r="A2766" s="251"/>
      <c r="B2766" s="252"/>
      <c r="C2766" s="252"/>
      <c r="D2766" s="252"/>
      <c r="E2766" s="252"/>
      <c r="F2766" s="252"/>
      <c r="G2766" s="252"/>
      <c r="H2766" s="252"/>
      <c r="I2766" s="252"/>
      <c r="J2766" s="252"/>
      <c r="K2766" s="253"/>
    </row>
    <row r="2767" spans="1:11" ht="22" customHeight="1" x14ac:dyDescent="0.35">
      <c r="A2767" s="251"/>
      <c r="B2767" s="252"/>
      <c r="C2767" s="252"/>
      <c r="D2767" s="252"/>
      <c r="E2767" s="252"/>
      <c r="F2767" s="252"/>
      <c r="G2767" s="252"/>
      <c r="H2767" s="252"/>
      <c r="I2767" s="252"/>
      <c r="J2767" s="252"/>
      <c r="K2767" s="253"/>
    </row>
    <row r="2768" spans="1:11" ht="22" customHeight="1" x14ac:dyDescent="0.35">
      <c r="A2768" s="251"/>
      <c r="B2768" s="252"/>
      <c r="C2768" s="252"/>
      <c r="D2768" s="252"/>
      <c r="E2768" s="252"/>
      <c r="F2768" s="252"/>
      <c r="G2768" s="252"/>
      <c r="H2768" s="252"/>
      <c r="I2768" s="252"/>
      <c r="J2768" s="252"/>
      <c r="K2768" s="253"/>
    </row>
    <row r="2769" spans="1:11" ht="22" customHeight="1" x14ac:dyDescent="0.35">
      <c r="A2769" s="251"/>
      <c r="B2769" s="252"/>
      <c r="C2769" s="252"/>
      <c r="D2769" s="252"/>
      <c r="E2769" s="252"/>
      <c r="F2769" s="252"/>
      <c r="G2769" s="252"/>
      <c r="H2769" s="252"/>
      <c r="I2769" s="252"/>
      <c r="J2769" s="252"/>
      <c r="K2769" s="253"/>
    </row>
    <row r="2770" spans="1:11" ht="22" customHeight="1" x14ac:dyDescent="0.35">
      <c r="A2770" s="251"/>
      <c r="B2770" s="252"/>
      <c r="C2770" s="252"/>
      <c r="D2770" s="252"/>
      <c r="E2770" s="252"/>
      <c r="F2770" s="252"/>
      <c r="G2770" s="252"/>
      <c r="H2770" s="252"/>
      <c r="I2770" s="252"/>
      <c r="J2770" s="252"/>
      <c r="K2770" s="253"/>
    </row>
    <row r="2771" spans="1:11" ht="22" customHeight="1" x14ac:dyDescent="0.35">
      <c r="A2771" s="251"/>
      <c r="B2771" s="252"/>
      <c r="C2771" s="252"/>
      <c r="D2771" s="252"/>
      <c r="E2771" s="252"/>
      <c r="F2771" s="252"/>
      <c r="G2771" s="252"/>
      <c r="H2771" s="252"/>
      <c r="I2771" s="252"/>
      <c r="J2771" s="252"/>
      <c r="K2771" s="253"/>
    </row>
    <row r="2772" spans="1:11" ht="22" customHeight="1" x14ac:dyDescent="0.35">
      <c r="A2772" s="251"/>
      <c r="B2772" s="252"/>
      <c r="C2772" s="252"/>
      <c r="D2772" s="252"/>
      <c r="E2772" s="252"/>
      <c r="F2772" s="252"/>
      <c r="G2772" s="252"/>
      <c r="H2772" s="252"/>
      <c r="I2772" s="252"/>
      <c r="J2772" s="252"/>
      <c r="K2772" s="253"/>
    </row>
    <row r="2773" spans="1:11" ht="22" customHeight="1" x14ac:dyDescent="0.35">
      <c r="A2773" s="251"/>
      <c r="B2773" s="252"/>
      <c r="C2773" s="252"/>
      <c r="D2773" s="252"/>
      <c r="E2773" s="252"/>
      <c r="F2773" s="252"/>
      <c r="G2773" s="252"/>
      <c r="H2773" s="252"/>
      <c r="I2773" s="252"/>
      <c r="J2773" s="252"/>
      <c r="K2773" s="253"/>
    </row>
    <row r="2774" spans="1:11" ht="22" customHeight="1" x14ac:dyDescent="0.35">
      <c r="A2774" s="251"/>
      <c r="B2774" s="252"/>
      <c r="C2774" s="252"/>
      <c r="D2774" s="252"/>
      <c r="E2774" s="252"/>
      <c r="F2774" s="252"/>
      <c r="G2774" s="252"/>
      <c r="H2774" s="252"/>
      <c r="I2774" s="252"/>
      <c r="J2774" s="252"/>
      <c r="K2774" s="253"/>
    </row>
    <row r="2775" spans="1:11" ht="22" customHeight="1" x14ac:dyDescent="0.35">
      <c r="A2775" s="251"/>
      <c r="B2775" s="252"/>
      <c r="C2775" s="252"/>
      <c r="D2775" s="252"/>
      <c r="E2775" s="252"/>
      <c r="F2775" s="252"/>
      <c r="G2775" s="252"/>
      <c r="H2775" s="252"/>
      <c r="I2775" s="252"/>
      <c r="J2775" s="252"/>
      <c r="K2775" s="253"/>
    </row>
    <row r="2776" spans="1:11" ht="22" customHeight="1" x14ac:dyDescent="0.35">
      <c r="A2776" s="251"/>
      <c r="B2776" s="252"/>
      <c r="C2776" s="252"/>
      <c r="D2776" s="252"/>
      <c r="E2776" s="252"/>
      <c r="F2776" s="252"/>
      <c r="G2776" s="252"/>
      <c r="H2776" s="252"/>
      <c r="I2776" s="252"/>
      <c r="J2776" s="252"/>
      <c r="K2776" s="253"/>
    </row>
    <row r="2777" spans="1:11" ht="22" customHeight="1" x14ac:dyDescent="0.35">
      <c r="A2777" s="251"/>
      <c r="B2777" s="252"/>
      <c r="C2777" s="252"/>
      <c r="D2777" s="252"/>
      <c r="E2777" s="252"/>
      <c r="F2777" s="252"/>
      <c r="G2777" s="252"/>
      <c r="H2777" s="252"/>
      <c r="I2777" s="252"/>
      <c r="J2777" s="252"/>
      <c r="K2777" s="253"/>
    </row>
    <row r="2778" spans="1:11" ht="22" customHeight="1" x14ac:dyDescent="0.35">
      <c r="A2778" s="251"/>
      <c r="B2778" s="252"/>
      <c r="C2778" s="252"/>
      <c r="D2778" s="252"/>
      <c r="E2778" s="252"/>
      <c r="F2778" s="252"/>
      <c r="G2778" s="252"/>
      <c r="H2778" s="252"/>
      <c r="I2778" s="252"/>
      <c r="J2778" s="252"/>
      <c r="K2778" s="253"/>
    </row>
    <row r="2779" spans="1:11" ht="22" customHeight="1" x14ac:dyDescent="0.35">
      <c r="A2779" s="251"/>
      <c r="B2779" s="252"/>
      <c r="C2779" s="252"/>
      <c r="D2779" s="252"/>
      <c r="E2779" s="252"/>
      <c r="F2779" s="252"/>
      <c r="G2779" s="252"/>
      <c r="H2779" s="252"/>
      <c r="I2779" s="252"/>
      <c r="J2779" s="252"/>
      <c r="K2779" s="253"/>
    </row>
    <row r="2780" spans="1:11" ht="22" customHeight="1" x14ac:dyDescent="0.35">
      <c r="A2780" s="251"/>
      <c r="B2780" s="252"/>
      <c r="C2780" s="252"/>
      <c r="D2780" s="252"/>
      <c r="E2780" s="252"/>
      <c r="F2780" s="252"/>
      <c r="G2780" s="252"/>
      <c r="H2780" s="252"/>
      <c r="I2780" s="252"/>
      <c r="J2780" s="252"/>
      <c r="K2780" s="253"/>
    </row>
    <row r="2781" spans="1:11" ht="22" customHeight="1" x14ac:dyDescent="0.35">
      <c r="A2781" s="251"/>
      <c r="B2781" s="252"/>
      <c r="C2781" s="252"/>
      <c r="D2781" s="252"/>
      <c r="E2781" s="252"/>
      <c r="F2781" s="252"/>
      <c r="G2781" s="252"/>
      <c r="H2781" s="252"/>
      <c r="I2781" s="252"/>
      <c r="J2781" s="252"/>
      <c r="K2781" s="253"/>
    </row>
    <row r="2782" spans="1:11" ht="22" customHeight="1" x14ac:dyDescent="0.35">
      <c r="A2782" s="251"/>
      <c r="B2782" s="252"/>
      <c r="C2782" s="252"/>
      <c r="D2782" s="252"/>
      <c r="E2782" s="252"/>
      <c r="F2782" s="252"/>
      <c r="G2782" s="252"/>
      <c r="H2782" s="252"/>
      <c r="I2782" s="252"/>
      <c r="J2782" s="252"/>
      <c r="K2782" s="253"/>
    </row>
    <row r="2783" spans="1:11" ht="22" customHeight="1" x14ac:dyDescent="0.35">
      <c r="A2783" s="251"/>
      <c r="B2783" s="252"/>
      <c r="C2783" s="252"/>
      <c r="D2783" s="252"/>
      <c r="E2783" s="252"/>
      <c r="F2783" s="252"/>
      <c r="G2783" s="252"/>
      <c r="H2783" s="252"/>
      <c r="I2783" s="252"/>
      <c r="J2783" s="252"/>
      <c r="K2783" s="253"/>
    </row>
    <row r="2784" spans="1:11" ht="22" customHeight="1" x14ac:dyDescent="0.35">
      <c r="A2784" s="251"/>
      <c r="B2784" s="252"/>
      <c r="C2784" s="252"/>
      <c r="D2784" s="252"/>
      <c r="E2784" s="252"/>
      <c r="F2784" s="252"/>
      <c r="G2784" s="252"/>
      <c r="H2784" s="252"/>
      <c r="I2784" s="252"/>
      <c r="J2784" s="252"/>
      <c r="K2784" s="253"/>
    </row>
    <row r="2785" spans="1:11" ht="22" customHeight="1" x14ac:dyDescent="0.35">
      <c r="A2785" s="251"/>
      <c r="B2785" s="252"/>
      <c r="C2785" s="252"/>
      <c r="D2785" s="252"/>
      <c r="E2785" s="252"/>
      <c r="F2785" s="252"/>
      <c r="G2785" s="252"/>
      <c r="H2785" s="252"/>
      <c r="I2785" s="252"/>
      <c r="J2785" s="252"/>
      <c r="K2785" s="253"/>
    </row>
    <row r="2786" spans="1:11" ht="22" customHeight="1" x14ac:dyDescent="0.35">
      <c r="A2786" s="251"/>
      <c r="B2786" s="252"/>
      <c r="C2786" s="252"/>
      <c r="D2786" s="252"/>
      <c r="E2786" s="252"/>
      <c r="F2786" s="252"/>
      <c r="G2786" s="252"/>
      <c r="H2786" s="252"/>
      <c r="I2786" s="252"/>
      <c r="J2786" s="252"/>
      <c r="K2786" s="253"/>
    </row>
    <row r="2787" spans="1:11" ht="22" customHeight="1" x14ac:dyDescent="0.35">
      <c r="A2787" s="251"/>
      <c r="B2787" s="252"/>
      <c r="C2787" s="252"/>
      <c r="D2787" s="252"/>
      <c r="E2787" s="252"/>
      <c r="F2787" s="252"/>
      <c r="G2787" s="252"/>
      <c r="H2787" s="252"/>
      <c r="I2787" s="252"/>
      <c r="J2787" s="252"/>
      <c r="K2787" s="253"/>
    </row>
    <row r="2788" spans="1:11" ht="22" customHeight="1" x14ac:dyDescent="0.35">
      <c r="A2788" s="251"/>
      <c r="B2788" s="252"/>
      <c r="C2788" s="252"/>
      <c r="D2788" s="252"/>
      <c r="E2788" s="252"/>
      <c r="F2788" s="252"/>
      <c r="G2788" s="252"/>
      <c r="H2788" s="252"/>
      <c r="I2788" s="252"/>
      <c r="J2788" s="252"/>
      <c r="K2788" s="253"/>
    </row>
    <row r="2789" spans="1:11" ht="22" customHeight="1" x14ac:dyDescent="0.35">
      <c r="A2789" s="251"/>
      <c r="B2789" s="252"/>
      <c r="C2789" s="252"/>
      <c r="D2789" s="252"/>
      <c r="E2789" s="252"/>
      <c r="F2789" s="252"/>
      <c r="G2789" s="252"/>
      <c r="H2789" s="252"/>
      <c r="I2789" s="252"/>
      <c r="J2789" s="252"/>
      <c r="K2789" s="253"/>
    </row>
    <row r="2790" spans="1:11" ht="22" customHeight="1" x14ac:dyDescent="0.35">
      <c r="A2790" s="251"/>
      <c r="B2790" s="252"/>
      <c r="C2790" s="252"/>
      <c r="D2790" s="252"/>
      <c r="E2790" s="252"/>
      <c r="F2790" s="252"/>
      <c r="G2790" s="252"/>
      <c r="H2790" s="252"/>
      <c r="I2790" s="252"/>
      <c r="J2790" s="252"/>
      <c r="K2790" s="253"/>
    </row>
    <row r="2791" spans="1:11" ht="22" customHeight="1" x14ac:dyDescent="0.35">
      <c r="A2791" s="251"/>
      <c r="B2791" s="252"/>
      <c r="C2791" s="252"/>
      <c r="D2791" s="252"/>
      <c r="E2791" s="252"/>
      <c r="F2791" s="252"/>
      <c r="G2791" s="252"/>
      <c r="H2791" s="252"/>
      <c r="I2791" s="252"/>
      <c r="J2791" s="252"/>
      <c r="K2791" s="253"/>
    </row>
    <row r="2792" spans="1:11" ht="22" customHeight="1" x14ac:dyDescent="0.35">
      <c r="A2792" s="251"/>
      <c r="B2792" s="252"/>
      <c r="C2792" s="252"/>
      <c r="D2792" s="252"/>
      <c r="E2792" s="252"/>
      <c r="F2792" s="252"/>
      <c r="G2792" s="252"/>
      <c r="H2792" s="252"/>
      <c r="I2792" s="252"/>
      <c r="J2792" s="252"/>
      <c r="K2792" s="253"/>
    </row>
    <row r="2793" spans="1:11" ht="22" customHeight="1" x14ac:dyDescent="0.35">
      <c r="A2793" s="251"/>
      <c r="B2793" s="252"/>
      <c r="C2793" s="252"/>
      <c r="D2793" s="252"/>
      <c r="E2793" s="252"/>
      <c r="F2793" s="252"/>
      <c r="G2793" s="252"/>
      <c r="H2793" s="252"/>
      <c r="I2793" s="252"/>
      <c r="J2793" s="252"/>
      <c r="K2793" s="253"/>
    </row>
    <row r="2794" spans="1:11" ht="22" customHeight="1" x14ac:dyDescent="0.35">
      <c r="A2794" s="251"/>
      <c r="B2794" s="252"/>
      <c r="C2794" s="252"/>
      <c r="D2794" s="252"/>
      <c r="E2794" s="252"/>
      <c r="F2794" s="252"/>
      <c r="G2794" s="252"/>
      <c r="H2794" s="252"/>
      <c r="I2794" s="252"/>
      <c r="J2794" s="252"/>
      <c r="K2794" s="253"/>
    </row>
    <row r="2795" spans="1:11" ht="22" customHeight="1" x14ac:dyDescent="0.35">
      <c r="A2795" s="251"/>
      <c r="B2795" s="252"/>
      <c r="C2795" s="252"/>
      <c r="D2795" s="252"/>
      <c r="E2795" s="252"/>
      <c r="F2795" s="252"/>
      <c r="G2795" s="252"/>
      <c r="H2795" s="252"/>
      <c r="I2795" s="252"/>
      <c r="J2795" s="252"/>
      <c r="K2795" s="253"/>
    </row>
    <row r="2796" spans="1:11" ht="22" customHeight="1" x14ac:dyDescent="0.35">
      <c r="A2796" s="251"/>
      <c r="B2796" s="252"/>
      <c r="C2796" s="252"/>
      <c r="D2796" s="252"/>
      <c r="E2796" s="252"/>
      <c r="F2796" s="252"/>
      <c r="G2796" s="252"/>
      <c r="H2796" s="252"/>
      <c r="I2796" s="252"/>
      <c r="J2796" s="252"/>
      <c r="K2796" s="253"/>
    </row>
    <row r="2797" spans="1:11" ht="22" customHeight="1" x14ac:dyDescent="0.35">
      <c r="A2797" s="251"/>
      <c r="B2797" s="252"/>
      <c r="C2797" s="252"/>
      <c r="D2797" s="252"/>
      <c r="E2797" s="252"/>
      <c r="F2797" s="252"/>
      <c r="G2797" s="252"/>
      <c r="H2797" s="252"/>
      <c r="I2797" s="252"/>
      <c r="J2797" s="252"/>
      <c r="K2797" s="253"/>
    </row>
    <row r="2798" spans="1:11" ht="22" customHeight="1" x14ac:dyDescent="0.35">
      <c r="A2798" s="251"/>
      <c r="B2798" s="252"/>
      <c r="C2798" s="252"/>
      <c r="D2798" s="252"/>
      <c r="E2798" s="252"/>
      <c r="F2798" s="252"/>
      <c r="G2798" s="252"/>
      <c r="H2798" s="252"/>
      <c r="I2798" s="252"/>
      <c r="J2798" s="252"/>
      <c r="K2798" s="253"/>
    </row>
    <row r="2799" spans="1:11" ht="22" customHeight="1" x14ac:dyDescent="0.35">
      <c r="A2799" s="251"/>
      <c r="B2799" s="252"/>
      <c r="C2799" s="252"/>
      <c r="D2799" s="252"/>
      <c r="E2799" s="252"/>
      <c r="F2799" s="252"/>
      <c r="G2799" s="252"/>
      <c r="H2799" s="252"/>
      <c r="I2799" s="252"/>
      <c r="J2799" s="252"/>
      <c r="K2799" s="253"/>
    </row>
    <row r="2800" spans="1:11" ht="22" customHeight="1" x14ac:dyDescent="0.35">
      <c r="A2800" s="251"/>
      <c r="B2800" s="252"/>
      <c r="C2800" s="252"/>
      <c r="D2800" s="252"/>
      <c r="E2800" s="252"/>
      <c r="F2800" s="252"/>
      <c r="G2800" s="252"/>
      <c r="H2800" s="252"/>
      <c r="I2800" s="252"/>
      <c r="J2800" s="252"/>
      <c r="K2800" s="253"/>
    </row>
    <row r="2801" spans="1:11" ht="22" customHeight="1" x14ac:dyDescent="0.35">
      <c r="A2801" s="251"/>
      <c r="B2801" s="252"/>
      <c r="C2801" s="252"/>
      <c r="D2801" s="252"/>
      <c r="E2801" s="252"/>
      <c r="F2801" s="252"/>
      <c r="G2801" s="252"/>
      <c r="H2801" s="252"/>
      <c r="I2801" s="252"/>
      <c r="J2801" s="252"/>
      <c r="K2801" s="253"/>
    </row>
    <row r="2802" spans="1:11" ht="22" customHeight="1" x14ac:dyDescent="0.35">
      <c r="A2802" s="251"/>
      <c r="B2802" s="252"/>
      <c r="C2802" s="252"/>
      <c r="D2802" s="252"/>
      <c r="E2802" s="252"/>
      <c r="F2802" s="252"/>
      <c r="G2802" s="252"/>
      <c r="H2802" s="252"/>
      <c r="I2802" s="252"/>
      <c r="J2802" s="252"/>
      <c r="K2802" s="253"/>
    </row>
    <row r="2803" spans="1:11" ht="22" customHeight="1" x14ac:dyDescent="0.35">
      <c r="A2803" s="251"/>
      <c r="B2803" s="252"/>
      <c r="C2803" s="252"/>
      <c r="D2803" s="252"/>
      <c r="E2803" s="252"/>
      <c r="F2803" s="252"/>
      <c r="G2803" s="252"/>
      <c r="H2803" s="252"/>
      <c r="I2803" s="252"/>
      <c r="J2803" s="252"/>
      <c r="K2803" s="253"/>
    </row>
    <row r="2804" spans="1:11" ht="22" customHeight="1" x14ac:dyDescent="0.35">
      <c r="A2804" s="251"/>
      <c r="B2804" s="252"/>
      <c r="C2804" s="252"/>
      <c r="D2804" s="252"/>
      <c r="E2804" s="252"/>
      <c r="F2804" s="252"/>
      <c r="G2804" s="252"/>
      <c r="H2804" s="252"/>
      <c r="I2804" s="252"/>
      <c r="J2804" s="252"/>
      <c r="K2804" s="253"/>
    </row>
    <row r="2805" spans="1:11" ht="22" customHeight="1" x14ac:dyDescent="0.35">
      <c r="A2805" s="251"/>
      <c r="B2805" s="252"/>
      <c r="C2805" s="252"/>
      <c r="D2805" s="252"/>
      <c r="E2805" s="252"/>
      <c r="F2805" s="252"/>
      <c r="G2805" s="252"/>
      <c r="H2805" s="252"/>
      <c r="I2805" s="252"/>
      <c r="J2805" s="252"/>
      <c r="K2805" s="253"/>
    </row>
    <row r="2806" spans="1:11" ht="22" customHeight="1" x14ac:dyDescent="0.35">
      <c r="A2806" s="251"/>
      <c r="B2806" s="252"/>
      <c r="C2806" s="252"/>
      <c r="D2806" s="252"/>
      <c r="E2806" s="252"/>
      <c r="F2806" s="252"/>
      <c r="G2806" s="252"/>
      <c r="H2806" s="252"/>
      <c r="I2806" s="252"/>
      <c r="J2806" s="252"/>
      <c r="K2806" s="253"/>
    </row>
    <row r="2807" spans="1:11" ht="22" customHeight="1" x14ac:dyDescent="0.35">
      <c r="A2807" s="251"/>
      <c r="B2807" s="252"/>
      <c r="C2807" s="252"/>
      <c r="D2807" s="252"/>
      <c r="E2807" s="252"/>
      <c r="F2807" s="252"/>
      <c r="G2807" s="252"/>
      <c r="H2807" s="252"/>
      <c r="I2807" s="252"/>
      <c r="J2807" s="252"/>
      <c r="K2807" s="253"/>
    </row>
    <row r="2808" spans="1:11" ht="22" customHeight="1" x14ac:dyDescent="0.35">
      <c r="A2808" s="251"/>
      <c r="B2808" s="252"/>
      <c r="C2808" s="252"/>
      <c r="D2808" s="252"/>
      <c r="E2808" s="252"/>
      <c r="F2808" s="252"/>
      <c r="G2808" s="252"/>
      <c r="H2808" s="252"/>
      <c r="I2808" s="252"/>
      <c r="J2808" s="252"/>
      <c r="K2808" s="253"/>
    </row>
    <row r="2809" spans="1:11" ht="22" customHeight="1" x14ac:dyDescent="0.35">
      <c r="A2809" s="251"/>
      <c r="B2809" s="252"/>
      <c r="C2809" s="252"/>
      <c r="D2809" s="252"/>
      <c r="E2809" s="252"/>
      <c r="F2809" s="252"/>
      <c r="G2809" s="252"/>
      <c r="H2809" s="252"/>
      <c r="I2809" s="252"/>
      <c r="J2809" s="252"/>
      <c r="K2809" s="253"/>
    </row>
    <row r="2810" spans="1:11" ht="22" customHeight="1" x14ac:dyDescent="0.35">
      <c r="A2810" s="251"/>
      <c r="B2810" s="252"/>
      <c r="C2810" s="252"/>
      <c r="D2810" s="252"/>
      <c r="E2810" s="252"/>
      <c r="F2810" s="252"/>
      <c r="G2810" s="252"/>
      <c r="H2810" s="252"/>
      <c r="I2810" s="252"/>
      <c r="J2810" s="252"/>
      <c r="K2810" s="253"/>
    </row>
    <row r="2811" spans="1:11" ht="22" customHeight="1" x14ac:dyDescent="0.35">
      <c r="A2811" s="251"/>
      <c r="B2811" s="252"/>
      <c r="C2811" s="252"/>
      <c r="D2811" s="252"/>
      <c r="E2811" s="252"/>
      <c r="F2811" s="252"/>
      <c r="G2811" s="252"/>
      <c r="H2811" s="252"/>
      <c r="I2811" s="252"/>
      <c r="J2811" s="252"/>
      <c r="K2811" s="253"/>
    </row>
    <row r="2812" spans="1:11" ht="22" customHeight="1" x14ac:dyDescent="0.35">
      <c r="A2812" s="251"/>
      <c r="B2812" s="252"/>
      <c r="C2812" s="252"/>
      <c r="D2812" s="252"/>
      <c r="E2812" s="252"/>
      <c r="F2812" s="252"/>
      <c r="G2812" s="252"/>
      <c r="H2812" s="252"/>
      <c r="I2812" s="252"/>
      <c r="J2812" s="252"/>
      <c r="K2812" s="253"/>
    </row>
    <row r="2813" spans="1:11" ht="22" customHeight="1" x14ac:dyDescent="0.35">
      <c r="A2813" s="251"/>
      <c r="B2813" s="252"/>
      <c r="C2813" s="252"/>
      <c r="D2813" s="252"/>
      <c r="E2813" s="252"/>
      <c r="F2813" s="252"/>
      <c r="G2813" s="252"/>
      <c r="H2813" s="252"/>
      <c r="I2813" s="252"/>
      <c r="J2813" s="252"/>
      <c r="K2813" s="253"/>
    </row>
    <row r="2814" spans="1:11" ht="22" customHeight="1" x14ac:dyDescent="0.35">
      <c r="A2814" s="251"/>
      <c r="B2814" s="252"/>
      <c r="C2814" s="252"/>
      <c r="D2814" s="252"/>
      <c r="E2814" s="252"/>
      <c r="F2814" s="252"/>
      <c r="G2814" s="252"/>
      <c r="H2814" s="252"/>
      <c r="I2814" s="252"/>
      <c r="J2814" s="252"/>
      <c r="K2814" s="253"/>
    </row>
    <row r="2815" spans="1:11" ht="22" customHeight="1" x14ac:dyDescent="0.35">
      <c r="A2815" s="251"/>
      <c r="B2815" s="252"/>
      <c r="C2815" s="252"/>
      <c r="D2815" s="252"/>
      <c r="E2815" s="252"/>
      <c r="F2815" s="252"/>
      <c r="G2815" s="252"/>
      <c r="H2815" s="252"/>
      <c r="I2815" s="252"/>
      <c r="J2815" s="252"/>
      <c r="K2815" s="253"/>
    </row>
    <row r="2816" spans="1:11" ht="22" customHeight="1" x14ac:dyDescent="0.35">
      <c r="A2816" s="251"/>
      <c r="B2816" s="252"/>
      <c r="C2816" s="252"/>
      <c r="D2816" s="252"/>
      <c r="E2816" s="252"/>
      <c r="F2816" s="252"/>
      <c r="G2816" s="252"/>
      <c r="H2816" s="252"/>
      <c r="I2816" s="252"/>
      <c r="J2816" s="252"/>
      <c r="K2816" s="253"/>
    </row>
    <row r="2817" spans="1:11" ht="22" customHeight="1" x14ac:dyDescent="0.35">
      <c r="A2817" s="251"/>
      <c r="B2817" s="252"/>
      <c r="C2817" s="252"/>
      <c r="D2817" s="252"/>
      <c r="E2817" s="252"/>
      <c r="F2817" s="252"/>
      <c r="G2817" s="252"/>
      <c r="H2817" s="252"/>
      <c r="I2817" s="252"/>
      <c r="J2817" s="252"/>
      <c r="K2817" s="253"/>
    </row>
    <row r="2818" spans="1:11" ht="22" customHeight="1" x14ac:dyDescent="0.35">
      <c r="A2818" s="251"/>
      <c r="B2818" s="252"/>
      <c r="C2818" s="252"/>
      <c r="D2818" s="252"/>
      <c r="E2818" s="252"/>
      <c r="F2818" s="252"/>
      <c r="G2818" s="252"/>
      <c r="H2818" s="252"/>
      <c r="I2818" s="252"/>
      <c r="J2818" s="252"/>
      <c r="K2818" s="253"/>
    </row>
    <row r="2819" spans="1:11" ht="22" customHeight="1" x14ac:dyDescent="0.35">
      <c r="A2819" s="251"/>
      <c r="B2819" s="252"/>
      <c r="C2819" s="252"/>
      <c r="D2819" s="252"/>
      <c r="E2819" s="252"/>
      <c r="F2819" s="252"/>
      <c r="G2819" s="252"/>
      <c r="H2819" s="252"/>
      <c r="I2819" s="252"/>
      <c r="J2819" s="252"/>
      <c r="K2819" s="253"/>
    </row>
    <row r="2820" spans="1:11" ht="22" customHeight="1" x14ac:dyDescent="0.35">
      <c r="A2820" s="251"/>
      <c r="B2820" s="252"/>
      <c r="C2820" s="252"/>
      <c r="D2820" s="252"/>
      <c r="E2820" s="252"/>
      <c r="F2820" s="252"/>
      <c r="G2820" s="252"/>
      <c r="H2820" s="252"/>
      <c r="I2820" s="252"/>
      <c r="J2820" s="252"/>
      <c r="K2820" s="253"/>
    </row>
    <row r="2821" spans="1:11" ht="22" customHeight="1" x14ac:dyDescent="0.35">
      <c r="A2821" s="251"/>
      <c r="B2821" s="252"/>
      <c r="C2821" s="252"/>
      <c r="D2821" s="252"/>
      <c r="E2821" s="252"/>
      <c r="F2821" s="252"/>
      <c r="G2821" s="252"/>
      <c r="H2821" s="252"/>
      <c r="I2821" s="252"/>
      <c r="J2821" s="252"/>
      <c r="K2821" s="253"/>
    </row>
    <row r="2822" spans="1:11" ht="22" customHeight="1" x14ac:dyDescent="0.35">
      <c r="A2822" s="251"/>
      <c r="B2822" s="252"/>
      <c r="C2822" s="252"/>
      <c r="D2822" s="252"/>
      <c r="E2822" s="252"/>
      <c r="F2822" s="252"/>
      <c r="G2822" s="252"/>
      <c r="H2822" s="252"/>
      <c r="I2822" s="252"/>
      <c r="J2822" s="252"/>
      <c r="K2822" s="253"/>
    </row>
    <row r="2823" spans="1:11" ht="22" customHeight="1" x14ac:dyDescent="0.35">
      <c r="A2823" s="251"/>
      <c r="B2823" s="252"/>
      <c r="C2823" s="252"/>
      <c r="D2823" s="252"/>
      <c r="E2823" s="252"/>
      <c r="F2823" s="252"/>
      <c r="G2823" s="252"/>
      <c r="H2823" s="252"/>
      <c r="I2823" s="252"/>
      <c r="J2823" s="252"/>
      <c r="K2823" s="253"/>
    </row>
    <row r="2824" spans="1:11" ht="22" customHeight="1" x14ac:dyDescent="0.35">
      <c r="A2824" s="251"/>
      <c r="B2824" s="252"/>
      <c r="C2824" s="252"/>
      <c r="D2824" s="252"/>
      <c r="E2824" s="252"/>
      <c r="F2824" s="252"/>
      <c r="G2824" s="252"/>
      <c r="H2824" s="252"/>
      <c r="I2824" s="252"/>
      <c r="J2824" s="252"/>
      <c r="K2824" s="253"/>
    </row>
    <row r="2825" spans="1:11" ht="22" customHeight="1" x14ac:dyDescent="0.35">
      <c r="A2825" s="251"/>
      <c r="B2825" s="252"/>
      <c r="C2825" s="252"/>
      <c r="D2825" s="252"/>
      <c r="E2825" s="252"/>
      <c r="F2825" s="252"/>
      <c r="G2825" s="252"/>
      <c r="H2825" s="252"/>
      <c r="I2825" s="252"/>
      <c r="J2825" s="252"/>
      <c r="K2825" s="253"/>
    </row>
    <row r="2826" spans="1:11" ht="22" customHeight="1" x14ac:dyDescent="0.35">
      <c r="A2826" s="251"/>
      <c r="B2826" s="252"/>
      <c r="C2826" s="252"/>
      <c r="D2826" s="252"/>
      <c r="E2826" s="252"/>
      <c r="F2826" s="252"/>
      <c r="G2826" s="252"/>
      <c r="H2826" s="252"/>
      <c r="I2826" s="252"/>
      <c r="J2826" s="252"/>
      <c r="K2826" s="253"/>
    </row>
    <row r="2827" spans="1:11" ht="22" customHeight="1" x14ac:dyDescent="0.35">
      <c r="A2827" s="251"/>
      <c r="B2827" s="252"/>
      <c r="C2827" s="252"/>
      <c r="D2827" s="252"/>
      <c r="E2827" s="252"/>
      <c r="F2827" s="252"/>
      <c r="G2827" s="252"/>
      <c r="H2827" s="252"/>
      <c r="I2827" s="252"/>
      <c r="J2827" s="252"/>
      <c r="K2827" s="253"/>
    </row>
    <row r="2828" spans="1:11" ht="22" customHeight="1" x14ac:dyDescent="0.35">
      <c r="A2828" s="251"/>
      <c r="B2828" s="252"/>
      <c r="C2828" s="252"/>
      <c r="D2828" s="252"/>
      <c r="E2828" s="252"/>
      <c r="F2828" s="252"/>
      <c r="G2828" s="252"/>
      <c r="H2828" s="252"/>
      <c r="I2828" s="252"/>
      <c r="J2828" s="252"/>
      <c r="K2828" s="253"/>
    </row>
    <row r="2829" spans="1:11" ht="22" customHeight="1" x14ac:dyDescent="0.35">
      <c r="A2829" s="251"/>
      <c r="B2829" s="252"/>
      <c r="C2829" s="252"/>
      <c r="D2829" s="252"/>
      <c r="E2829" s="252"/>
      <c r="F2829" s="252"/>
      <c r="G2829" s="252"/>
      <c r="H2829" s="252"/>
      <c r="I2829" s="252"/>
      <c r="J2829" s="252"/>
      <c r="K2829" s="253"/>
    </row>
    <row r="2830" spans="1:11" ht="22" customHeight="1" x14ac:dyDescent="0.35">
      <c r="A2830" s="251"/>
      <c r="B2830" s="252"/>
      <c r="C2830" s="252"/>
      <c r="D2830" s="252"/>
      <c r="E2830" s="252"/>
      <c r="F2830" s="252"/>
      <c r="G2830" s="252"/>
      <c r="H2830" s="252"/>
      <c r="I2830" s="252"/>
      <c r="J2830" s="252"/>
      <c r="K2830" s="253"/>
    </row>
    <row r="2831" spans="1:11" ht="22" customHeight="1" x14ac:dyDescent="0.35">
      <c r="A2831" s="251"/>
      <c r="B2831" s="252"/>
      <c r="C2831" s="252"/>
      <c r="D2831" s="252"/>
      <c r="E2831" s="252"/>
      <c r="F2831" s="252"/>
      <c r="G2831" s="252"/>
      <c r="H2831" s="252"/>
      <c r="I2831" s="252"/>
      <c r="J2831" s="252"/>
      <c r="K2831" s="253"/>
    </row>
    <row r="2832" spans="1:11" ht="22" customHeight="1" x14ac:dyDescent="0.35">
      <c r="A2832" s="251"/>
      <c r="B2832" s="252"/>
      <c r="C2832" s="252"/>
      <c r="D2832" s="252"/>
      <c r="E2832" s="252"/>
      <c r="F2832" s="252"/>
      <c r="G2832" s="252"/>
      <c r="H2832" s="252"/>
      <c r="I2832" s="252"/>
      <c r="J2832" s="252"/>
      <c r="K2832" s="253"/>
    </row>
    <row r="2833" spans="1:11" ht="22" customHeight="1" x14ac:dyDescent="0.35">
      <c r="A2833" s="251"/>
      <c r="B2833" s="252"/>
      <c r="C2833" s="252"/>
      <c r="D2833" s="252"/>
      <c r="E2833" s="252"/>
      <c r="F2833" s="252"/>
      <c r="G2833" s="252"/>
      <c r="H2833" s="252"/>
      <c r="I2833" s="252"/>
      <c r="J2833" s="252"/>
      <c r="K2833" s="253"/>
    </row>
    <row r="2834" spans="1:11" ht="22" customHeight="1" x14ac:dyDescent="0.35">
      <c r="A2834" s="251"/>
      <c r="B2834" s="252"/>
      <c r="C2834" s="252"/>
      <c r="D2834" s="252"/>
      <c r="E2834" s="252"/>
      <c r="F2834" s="252"/>
      <c r="G2834" s="252"/>
      <c r="H2834" s="252"/>
      <c r="I2834" s="252"/>
      <c r="J2834" s="252"/>
      <c r="K2834" s="253"/>
    </row>
    <row r="2835" spans="1:11" ht="22" customHeight="1" x14ac:dyDescent="0.35">
      <c r="A2835" s="251"/>
      <c r="B2835" s="252"/>
      <c r="C2835" s="252"/>
      <c r="D2835" s="252"/>
      <c r="E2835" s="252"/>
      <c r="F2835" s="252"/>
      <c r="G2835" s="252"/>
      <c r="H2835" s="252"/>
      <c r="I2835" s="252"/>
      <c r="J2835" s="252"/>
      <c r="K2835" s="253"/>
    </row>
    <row r="2836" spans="1:11" ht="22" customHeight="1" x14ac:dyDescent="0.35">
      <c r="A2836" s="251"/>
      <c r="B2836" s="252"/>
      <c r="C2836" s="252"/>
      <c r="D2836" s="252"/>
      <c r="E2836" s="252"/>
      <c r="F2836" s="252"/>
      <c r="G2836" s="252"/>
      <c r="H2836" s="252"/>
      <c r="I2836" s="252"/>
      <c r="J2836" s="252"/>
      <c r="K2836" s="253"/>
    </row>
    <row r="2837" spans="1:11" ht="22" customHeight="1" x14ac:dyDescent="0.35">
      <c r="A2837" s="251"/>
      <c r="B2837" s="252"/>
      <c r="C2837" s="252"/>
      <c r="D2837" s="252"/>
      <c r="E2837" s="252"/>
      <c r="F2837" s="252"/>
      <c r="G2837" s="252"/>
      <c r="H2837" s="252"/>
      <c r="I2837" s="252"/>
      <c r="J2837" s="252"/>
      <c r="K2837" s="253"/>
    </row>
    <row r="2838" spans="1:11" ht="22" customHeight="1" x14ac:dyDescent="0.35">
      <c r="A2838" s="251"/>
      <c r="B2838" s="252"/>
      <c r="C2838" s="252"/>
      <c r="D2838" s="252"/>
      <c r="E2838" s="252"/>
      <c r="F2838" s="252"/>
      <c r="G2838" s="252"/>
      <c r="H2838" s="252"/>
      <c r="I2838" s="252"/>
      <c r="J2838" s="252"/>
      <c r="K2838" s="253"/>
    </row>
    <row r="2839" spans="1:11" ht="22" customHeight="1" x14ac:dyDescent="0.35">
      <c r="A2839" s="251"/>
      <c r="B2839" s="252"/>
      <c r="C2839" s="252"/>
      <c r="D2839" s="252"/>
      <c r="E2839" s="252"/>
      <c r="F2839" s="252"/>
      <c r="G2839" s="252"/>
      <c r="H2839" s="252"/>
      <c r="I2839" s="252"/>
      <c r="J2839" s="252"/>
      <c r="K2839" s="253"/>
    </row>
    <row r="2840" spans="1:11" ht="22" customHeight="1" x14ac:dyDescent="0.35">
      <c r="A2840" s="251"/>
      <c r="B2840" s="252"/>
      <c r="C2840" s="252"/>
      <c r="D2840" s="252"/>
      <c r="E2840" s="252"/>
      <c r="F2840" s="252"/>
      <c r="G2840" s="252"/>
      <c r="H2840" s="252"/>
      <c r="I2840" s="252"/>
      <c r="J2840" s="252"/>
      <c r="K2840" s="253"/>
    </row>
    <row r="2841" spans="1:11" ht="22" customHeight="1" x14ac:dyDescent="0.35">
      <c r="A2841" s="251"/>
      <c r="B2841" s="252"/>
      <c r="C2841" s="252"/>
      <c r="D2841" s="252"/>
      <c r="E2841" s="252"/>
      <c r="F2841" s="252"/>
      <c r="G2841" s="252"/>
      <c r="H2841" s="252"/>
      <c r="I2841" s="252"/>
      <c r="J2841" s="252"/>
      <c r="K2841" s="253"/>
    </row>
    <row r="2842" spans="1:11" ht="22" customHeight="1" x14ac:dyDescent="0.35">
      <c r="A2842" s="251"/>
      <c r="B2842" s="252"/>
      <c r="C2842" s="252"/>
      <c r="D2842" s="252"/>
      <c r="E2842" s="252"/>
      <c r="F2842" s="252"/>
      <c r="G2842" s="252"/>
      <c r="H2842" s="252"/>
      <c r="I2842" s="252"/>
      <c r="J2842" s="252"/>
      <c r="K2842" s="253"/>
    </row>
    <row r="2843" spans="1:11" ht="22" customHeight="1" x14ac:dyDescent="0.35">
      <c r="A2843" s="251"/>
      <c r="B2843" s="252"/>
      <c r="C2843" s="252"/>
      <c r="D2843" s="252"/>
      <c r="E2843" s="252"/>
      <c r="F2843" s="252"/>
      <c r="G2843" s="252"/>
      <c r="H2843" s="252"/>
      <c r="I2843" s="252"/>
      <c r="J2843" s="252"/>
      <c r="K2843" s="253"/>
    </row>
    <row r="2844" spans="1:11" ht="22" customHeight="1" x14ac:dyDescent="0.35">
      <c r="A2844" s="251"/>
      <c r="B2844" s="252"/>
      <c r="C2844" s="252"/>
      <c r="D2844" s="252"/>
      <c r="E2844" s="252"/>
      <c r="F2844" s="252"/>
      <c r="G2844" s="252"/>
      <c r="H2844" s="252"/>
      <c r="I2844" s="252"/>
      <c r="J2844" s="252"/>
      <c r="K2844" s="253"/>
    </row>
    <row r="2845" spans="1:11" ht="22" customHeight="1" x14ac:dyDescent="0.35">
      <c r="A2845" s="251"/>
      <c r="B2845" s="252"/>
      <c r="C2845" s="252"/>
      <c r="D2845" s="252"/>
      <c r="E2845" s="252"/>
      <c r="F2845" s="252"/>
      <c r="G2845" s="252"/>
      <c r="H2845" s="252"/>
      <c r="I2845" s="252"/>
      <c r="J2845" s="252"/>
      <c r="K2845" s="253"/>
    </row>
    <row r="2846" spans="1:11" ht="22" customHeight="1" x14ac:dyDescent="0.35">
      <c r="A2846" s="251"/>
      <c r="B2846" s="252"/>
      <c r="C2846" s="252"/>
      <c r="D2846" s="252"/>
      <c r="E2846" s="252"/>
      <c r="F2846" s="252"/>
      <c r="G2846" s="252"/>
      <c r="H2846" s="252"/>
      <c r="I2846" s="252"/>
      <c r="J2846" s="252"/>
      <c r="K2846" s="253"/>
    </row>
    <row r="2847" spans="1:11" ht="22" customHeight="1" x14ac:dyDescent="0.35">
      <c r="A2847" s="251"/>
      <c r="B2847" s="252"/>
      <c r="C2847" s="252"/>
      <c r="D2847" s="252"/>
      <c r="E2847" s="252"/>
      <c r="F2847" s="252"/>
      <c r="G2847" s="252"/>
      <c r="H2847" s="252"/>
      <c r="I2847" s="252"/>
      <c r="J2847" s="252"/>
      <c r="K2847" s="253"/>
    </row>
    <row r="2848" spans="1:11" ht="22" customHeight="1" x14ac:dyDescent="0.35">
      <c r="A2848" s="251"/>
      <c r="B2848" s="252"/>
      <c r="C2848" s="252"/>
      <c r="D2848" s="252"/>
      <c r="E2848" s="252"/>
      <c r="F2848" s="252"/>
      <c r="G2848" s="252"/>
      <c r="H2848" s="252"/>
      <c r="I2848" s="252"/>
      <c r="J2848" s="252"/>
      <c r="K2848" s="253"/>
    </row>
    <row r="2849" spans="1:11" ht="22" customHeight="1" x14ac:dyDescent="0.35">
      <c r="A2849" s="251"/>
      <c r="B2849" s="252"/>
      <c r="C2849" s="252"/>
      <c r="D2849" s="252"/>
      <c r="E2849" s="252"/>
      <c r="F2849" s="252"/>
      <c r="G2849" s="252"/>
      <c r="H2849" s="252"/>
      <c r="I2849" s="252"/>
      <c r="J2849" s="252"/>
      <c r="K2849" s="253"/>
    </row>
    <row r="2850" spans="1:11" ht="22" customHeight="1" x14ac:dyDescent="0.35">
      <c r="A2850" s="251"/>
      <c r="B2850" s="252"/>
      <c r="C2850" s="252"/>
      <c r="D2850" s="252"/>
      <c r="E2850" s="252"/>
      <c r="F2850" s="252"/>
      <c r="G2850" s="252"/>
      <c r="H2850" s="252"/>
      <c r="I2850" s="252"/>
      <c r="J2850" s="252"/>
      <c r="K2850" s="253"/>
    </row>
    <row r="2851" spans="1:11" ht="22" customHeight="1" x14ac:dyDescent="0.35">
      <c r="A2851" s="251"/>
      <c r="B2851" s="252"/>
      <c r="C2851" s="252"/>
      <c r="D2851" s="252"/>
      <c r="E2851" s="252"/>
      <c r="F2851" s="252"/>
      <c r="G2851" s="252"/>
      <c r="H2851" s="252"/>
      <c r="I2851" s="252"/>
      <c r="J2851" s="252"/>
      <c r="K2851" s="253"/>
    </row>
    <row r="2852" spans="1:11" ht="22" customHeight="1" x14ac:dyDescent="0.35">
      <c r="A2852" s="251"/>
      <c r="B2852" s="252"/>
      <c r="C2852" s="252"/>
      <c r="D2852" s="252"/>
      <c r="E2852" s="252"/>
      <c r="F2852" s="252"/>
      <c r="G2852" s="252"/>
      <c r="H2852" s="252"/>
      <c r="I2852" s="252"/>
      <c r="J2852" s="252"/>
      <c r="K2852" s="253"/>
    </row>
    <row r="2853" spans="1:11" ht="22" customHeight="1" x14ac:dyDescent="0.35">
      <c r="A2853" s="251"/>
      <c r="B2853" s="252"/>
      <c r="C2853" s="252"/>
      <c r="D2853" s="252"/>
      <c r="E2853" s="252"/>
      <c r="F2853" s="252"/>
      <c r="G2853" s="252"/>
      <c r="H2853" s="252"/>
      <c r="I2853" s="252"/>
      <c r="J2853" s="252"/>
      <c r="K2853" s="253"/>
    </row>
    <row r="2854" spans="1:11" ht="22" customHeight="1" x14ac:dyDescent="0.35">
      <c r="A2854" s="251"/>
      <c r="B2854" s="252"/>
      <c r="C2854" s="252"/>
      <c r="D2854" s="252"/>
      <c r="E2854" s="252"/>
      <c r="F2854" s="252"/>
      <c r="G2854" s="252"/>
      <c r="H2854" s="252"/>
      <c r="I2854" s="252"/>
      <c r="J2854" s="252"/>
      <c r="K2854" s="253"/>
    </row>
    <row r="2855" spans="1:11" ht="22" customHeight="1" x14ac:dyDescent="0.35">
      <c r="A2855" s="251"/>
      <c r="B2855" s="252"/>
      <c r="C2855" s="252"/>
      <c r="D2855" s="252"/>
      <c r="E2855" s="252"/>
      <c r="F2855" s="252"/>
      <c r="G2855" s="252"/>
      <c r="H2855" s="252"/>
      <c r="I2855" s="252"/>
      <c r="J2855" s="252"/>
      <c r="K2855" s="253"/>
    </row>
    <row r="2856" spans="1:11" ht="22" customHeight="1" x14ac:dyDescent="0.35">
      <c r="A2856" s="251"/>
      <c r="B2856" s="252"/>
      <c r="C2856" s="252"/>
      <c r="D2856" s="252"/>
      <c r="E2856" s="252"/>
      <c r="F2856" s="252"/>
      <c r="G2856" s="252"/>
      <c r="H2856" s="252"/>
      <c r="I2856" s="252"/>
      <c r="J2856" s="252"/>
      <c r="K2856" s="253"/>
    </row>
    <row r="2857" spans="1:11" ht="22" customHeight="1" x14ac:dyDescent="0.35">
      <c r="A2857" s="251"/>
      <c r="B2857" s="252"/>
      <c r="C2857" s="252"/>
      <c r="D2857" s="252"/>
      <c r="E2857" s="252"/>
      <c r="F2857" s="252"/>
      <c r="G2857" s="252"/>
      <c r="H2857" s="252"/>
      <c r="I2857" s="252"/>
      <c r="J2857" s="252"/>
      <c r="K2857" s="253"/>
    </row>
    <row r="2858" spans="1:11" ht="22" customHeight="1" x14ac:dyDescent="0.35">
      <c r="A2858" s="251"/>
      <c r="B2858" s="252"/>
      <c r="C2858" s="252"/>
      <c r="D2858" s="252"/>
      <c r="E2858" s="252"/>
      <c r="F2858" s="252"/>
      <c r="G2858" s="252"/>
      <c r="H2858" s="252"/>
      <c r="I2858" s="252"/>
      <c r="J2858" s="252"/>
      <c r="K2858" s="253"/>
    </row>
    <row r="2859" spans="1:11" ht="22" customHeight="1" x14ac:dyDescent="0.35">
      <c r="A2859" s="251"/>
      <c r="B2859" s="252"/>
      <c r="C2859" s="252"/>
      <c r="D2859" s="252"/>
      <c r="E2859" s="252"/>
      <c r="F2859" s="252"/>
      <c r="G2859" s="252"/>
      <c r="H2859" s="252"/>
      <c r="I2859" s="252"/>
      <c r="J2859" s="252"/>
      <c r="K2859" s="253"/>
    </row>
    <row r="2860" spans="1:11" ht="22" customHeight="1" x14ac:dyDescent="0.35">
      <c r="A2860" s="251"/>
      <c r="B2860" s="252"/>
      <c r="C2860" s="252"/>
      <c r="D2860" s="252"/>
      <c r="E2860" s="252"/>
      <c r="F2860" s="252"/>
      <c r="G2860" s="252"/>
      <c r="H2860" s="252"/>
      <c r="I2860" s="252"/>
      <c r="J2860" s="252"/>
      <c r="K2860" s="253"/>
    </row>
    <row r="2861" spans="1:11" ht="22" customHeight="1" x14ac:dyDescent="0.35">
      <c r="A2861" s="251"/>
      <c r="B2861" s="252"/>
      <c r="C2861" s="252"/>
      <c r="D2861" s="252"/>
      <c r="E2861" s="252"/>
      <c r="F2861" s="252"/>
      <c r="G2861" s="252"/>
      <c r="H2861" s="252"/>
      <c r="I2861" s="252"/>
      <c r="J2861" s="252"/>
      <c r="K2861" s="253"/>
    </row>
    <row r="2862" spans="1:11" ht="22" customHeight="1" x14ac:dyDescent="0.35">
      <c r="A2862" s="251"/>
      <c r="B2862" s="252"/>
      <c r="C2862" s="252"/>
      <c r="D2862" s="252"/>
      <c r="E2862" s="252"/>
      <c r="F2862" s="252"/>
      <c r="G2862" s="252"/>
      <c r="H2862" s="252"/>
      <c r="I2862" s="252"/>
      <c r="J2862" s="252"/>
      <c r="K2862" s="253"/>
    </row>
    <row r="2863" spans="1:11" ht="22" customHeight="1" x14ac:dyDescent="0.35">
      <c r="A2863" s="251"/>
      <c r="B2863" s="252"/>
      <c r="C2863" s="252"/>
      <c r="D2863" s="252"/>
      <c r="E2863" s="252"/>
      <c r="F2863" s="252"/>
      <c r="G2863" s="252"/>
      <c r="H2863" s="252"/>
      <c r="I2863" s="252"/>
      <c r="J2863" s="252"/>
      <c r="K2863" s="253"/>
    </row>
    <row r="2864" spans="1:11" ht="22" customHeight="1" x14ac:dyDescent="0.35">
      <c r="A2864" s="251"/>
      <c r="B2864" s="252"/>
      <c r="C2864" s="252"/>
      <c r="D2864" s="252"/>
      <c r="E2864" s="252"/>
      <c r="F2864" s="252"/>
      <c r="G2864" s="252"/>
      <c r="H2864" s="252"/>
      <c r="I2864" s="252"/>
      <c r="J2864" s="252"/>
      <c r="K2864" s="253"/>
    </row>
    <row r="2865" spans="1:11" ht="22" customHeight="1" x14ac:dyDescent="0.35">
      <c r="A2865" s="251"/>
      <c r="B2865" s="252"/>
      <c r="C2865" s="252"/>
      <c r="D2865" s="252"/>
      <c r="E2865" s="252"/>
      <c r="F2865" s="252"/>
      <c r="G2865" s="252"/>
      <c r="H2865" s="252"/>
      <c r="I2865" s="252"/>
      <c r="J2865" s="252"/>
      <c r="K2865" s="253"/>
    </row>
    <row r="2866" spans="1:11" ht="22" customHeight="1" x14ac:dyDescent="0.35">
      <c r="A2866" s="251"/>
      <c r="B2866" s="252"/>
      <c r="C2866" s="252"/>
      <c r="D2866" s="252"/>
      <c r="E2866" s="252"/>
      <c r="F2866" s="252"/>
      <c r="G2866" s="252"/>
      <c r="H2866" s="252"/>
      <c r="I2866" s="252"/>
      <c r="J2866" s="252"/>
      <c r="K2866" s="253"/>
    </row>
    <row r="2867" spans="1:11" ht="22" customHeight="1" x14ac:dyDescent="0.35">
      <c r="A2867" s="251"/>
      <c r="B2867" s="252"/>
      <c r="C2867" s="252"/>
      <c r="D2867" s="252"/>
      <c r="E2867" s="252"/>
      <c r="F2867" s="252"/>
      <c r="G2867" s="252"/>
      <c r="H2867" s="252"/>
      <c r="I2867" s="252"/>
      <c r="J2867" s="252"/>
      <c r="K2867" s="253"/>
    </row>
    <row r="2868" spans="1:11" ht="22" customHeight="1" x14ac:dyDescent="0.35">
      <c r="A2868" s="251"/>
      <c r="B2868" s="252"/>
      <c r="C2868" s="252"/>
      <c r="D2868" s="252"/>
      <c r="E2868" s="252"/>
      <c r="F2868" s="252"/>
      <c r="G2868" s="252"/>
      <c r="H2868" s="252"/>
      <c r="I2868" s="252"/>
      <c r="J2868" s="252"/>
      <c r="K2868" s="253"/>
    </row>
    <row r="2869" spans="1:11" ht="22" customHeight="1" x14ac:dyDescent="0.35">
      <c r="A2869" s="251"/>
      <c r="B2869" s="252"/>
      <c r="C2869" s="252"/>
      <c r="D2869" s="252"/>
      <c r="E2869" s="252"/>
      <c r="F2869" s="252"/>
      <c r="G2869" s="252"/>
      <c r="H2869" s="252"/>
      <c r="I2869" s="252"/>
      <c r="J2869" s="252"/>
      <c r="K2869" s="253"/>
    </row>
    <row r="2870" spans="1:11" ht="22" customHeight="1" x14ac:dyDescent="0.35">
      <c r="A2870" s="251"/>
      <c r="B2870" s="252"/>
      <c r="C2870" s="252"/>
      <c r="D2870" s="252"/>
      <c r="E2870" s="252"/>
      <c r="F2870" s="252"/>
      <c r="G2870" s="252"/>
      <c r="H2870" s="252"/>
      <c r="I2870" s="252"/>
      <c r="J2870" s="252"/>
      <c r="K2870" s="253"/>
    </row>
    <row r="2871" spans="1:11" ht="22" customHeight="1" x14ac:dyDescent="0.35">
      <c r="A2871" s="251"/>
      <c r="B2871" s="252"/>
      <c r="C2871" s="252"/>
      <c r="D2871" s="252"/>
      <c r="E2871" s="252"/>
      <c r="F2871" s="252"/>
      <c r="G2871" s="252"/>
      <c r="H2871" s="252"/>
      <c r="I2871" s="252"/>
      <c r="J2871" s="252"/>
      <c r="K2871" s="253"/>
    </row>
    <row r="2872" spans="1:11" ht="22" customHeight="1" x14ac:dyDescent="0.35">
      <c r="A2872" s="251"/>
      <c r="B2872" s="252"/>
      <c r="C2872" s="252"/>
      <c r="D2872" s="252"/>
      <c r="E2872" s="252"/>
      <c r="F2872" s="252"/>
      <c r="G2872" s="252"/>
      <c r="H2872" s="252"/>
      <c r="I2872" s="252"/>
      <c r="J2872" s="252"/>
      <c r="K2872" s="253"/>
    </row>
    <row r="2873" spans="1:11" ht="22" customHeight="1" x14ac:dyDescent="0.35">
      <c r="A2873" s="251"/>
      <c r="B2873" s="252"/>
      <c r="C2873" s="252"/>
      <c r="D2873" s="252"/>
      <c r="E2873" s="252"/>
      <c r="F2873" s="252"/>
      <c r="G2873" s="252"/>
      <c r="H2873" s="252"/>
      <c r="I2873" s="252"/>
      <c r="J2873" s="252"/>
      <c r="K2873" s="253"/>
    </row>
    <row r="2874" spans="1:11" ht="22" customHeight="1" x14ac:dyDescent="0.35">
      <c r="A2874" s="251"/>
      <c r="B2874" s="252"/>
      <c r="C2874" s="252"/>
      <c r="D2874" s="252"/>
      <c r="E2874" s="252"/>
      <c r="F2874" s="252"/>
      <c r="G2874" s="252"/>
      <c r="H2874" s="252"/>
      <c r="I2874" s="252"/>
      <c r="J2874" s="252"/>
      <c r="K2874" s="253"/>
    </row>
    <row r="2875" spans="1:11" ht="22" customHeight="1" x14ac:dyDescent="0.35">
      <c r="A2875" s="251"/>
      <c r="B2875" s="252"/>
      <c r="C2875" s="252"/>
      <c r="D2875" s="252"/>
      <c r="E2875" s="252"/>
      <c r="F2875" s="252"/>
      <c r="G2875" s="252"/>
      <c r="H2875" s="252"/>
      <c r="I2875" s="252"/>
      <c r="J2875" s="252"/>
      <c r="K2875" s="253"/>
    </row>
    <row r="2876" spans="1:11" ht="22" customHeight="1" x14ac:dyDescent="0.35">
      <c r="A2876" s="251"/>
      <c r="B2876" s="252"/>
      <c r="C2876" s="252"/>
      <c r="D2876" s="252"/>
      <c r="E2876" s="252"/>
      <c r="F2876" s="252"/>
      <c r="G2876" s="252"/>
      <c r="H2876" s="252"/>
      <c r="I2876" s="252"/>
      <c r="J2876" s="252"/>
      <c r="K2876" s="253"/>
    </row>
    <row r="2877" spans="1:11" ht="22" customHeight="1" x14ac:dyDescent="0.35">
      <c r="A2877" s="251"/>
      <c r="B2877" s="252"/>
      <c r="C2877" s="252"/>
      <c r="D2877" s="252"/>
      <c r="E2877" s="252"/>
      <c r="F2877" s="252"/>
      <c r="G2877" s="252"/>
      <c r="H2877" s="252"/>
      <c r="I2877" s="252"/>
      <c r="J2877" s="252"/>
      <c r="K2877" s="253"/>
    </row>
    <row r="2878" spans="1:11" ht="22" customHeight="1" x14ac:dyDescent="0.35">
      <c r="A2878" s="251"/>
      <c r="B2878" s="252"/>
      <c r="C2878" s="252"/>
      <c r="D2878" s="252"/>
      <c r="E2878" s="252"/>
      <c r="F2878" s="252"/>
      <c r="G2878" s="252"/>
      <c r="H2878" s="252"/>
      <c r="I2878" s="252"/>
      <c r="J2878" s="252"/>
      <c r="K2878" s="253"/>
    </row>
    <row r="2879" spans="1:11" ht="22" customHeight="1" x14ac:dyDescent="0.35">
      <c r="A2879" s="251"/>
      <c r="B2879" s="252"/>
      <c r="C2879" s="252"/>
      <c r="D2879" s="252"/>
      <c r="E2879" s="252"/>
      <c r="F2879" s="252"/>
      <c r="G2879" s="252"/>
      <c r="H2879" s="252"/>
      <c r="I2879" s="252"/>
      <c r="J2879" s="252"/>
      <c r="K2879" s="253"/>
    </row>
    <row r="2880" spans="1:11" ht="22" customHeight="1" x14ac:dyDescent="0.35">
      <c r="A2880" s="251"/>
      <c r="B2880" s="252"/>
      <c r="C2880" s="252"/>
      <c r="D2880" s="252"/>
      <c r="E2880" s="252"/>
      <c r="F2880" s="252"/>
      <c r="G2880" s="252"/>
      <c r="H2880" s="252"/>
      <c r="I2880" s="252"/>
      <c r="J2880" s="252"/>
      <c r="K2880" s="253"/>
    </row>
    <row r="2881" spans="1:11" ht="22" customHeight="1" x14ac:dyDescent="0.35">
      <c r="A2881" s="251"/>
      <c r="B2881" s="252"/>
      <c r="C2881" s="252"/>
      <c r="D2881" s="252"/>
      <c r="E2881" s="252"/>
      <c r="F2881" s="252"/>
      <c r="G2881" s="252"/>
      <c r="H2881" s="252"/>
      <c r="I2881" s="252"/>
      <c r="J2881" s="252"/>
      <c r="K2881" s="253"/>
    </row>
    <row r="2882" spans="1:11" ht="22" customHeight="1" x14ac:dyDescent="0.35">
      <c r="A2882" s="251"/>
      <c r="B2882" s="252"/>
      <c r="C2882" s="252"/>
      <c r="D2882" s="252"/>
      <c r="E2882" s="252"/>
      <c r="F2882" s="252"/>
      <c r="G2882" s="252"/>
      <c r="H2882" s="252"/>
      <c r="I2882" s="252"/>
      <c r="J2882" s="252"/>
      <c r="K2882" s="253"/>
    </row>
    <row r="2883" spans="1:11" ht="22" customHeight="1" x14ac:dyDescent="0.35">
      <c r="A2883" s="251"/>
      <c r="B2883" s="252"/>
      <c r="C2883" s="252"/>
      <c r="D2883" s="252"/>
      <c r="E2883" s="252"/>
      <c r="F2883" s="252"/>
      <c r="G2883" s="252"/>
      <c r="H2883" s="252"/>
      <c r="I2883" s="252"/>
      <c r="J2883" s="252"/>
      <c r="K2883" s="253"/>
    </row>
    <row r="2884" spans="1:11" ht="22" customHeight="1" x14ac:dyDescent="0.35">
      <c r="A2884" s="251"/>
      <c r="B2884" s="252"/>
      <c r="C2884" s="252"/>
      <c r="D2884" s="252"/>
      <c r="E2884" s="252"/>
      <c r="F2884" s="252"/>
      <c r="G2884" s="252"/>
      <c r="H2884" s="252"/>
      <c r="I2884" s="252"/>
      <c r="J2884" s="252"/>
      <c r="K2884" s="253"/>
    </row>
    <row r="2885" spans="1:11" ht="22" customHeight="1" x14ac:dyDescent="0.35">
      <c r="A2885" s="251"/>
      <c r="B2885" s="252"/>
      <c r="C2885" s="252"/>
      <c r="D2885" s="252"/>
      <c r="E2885" s="252"/>
      <c r="F2885" s="252"/>
      <c r="G2885" s="252"/>
      <c r="H2885" s="252"/>
      <c r="I2885" s="252"/>
      <c r="J2885" s="252"/>
      <c r="K2885" s="253"/>
    </row>
    <row r="2886" spans="1:11" ht="22" customHeight="1" x14ac:dyDescent="0.35">
      <c r="A2886" s="251"/>
      <c r="B2886" s="252"/>
      <c r="C2886" s="252"/>
      <c r="D2886" s="252"/>
      <c r="E2886" s="252"/>
      <c r="F2886" s="252"/>
      <c r="G2886" s="252"/>
      <c r="H2886" s="252"/>
      <c r="I2886" s="252"/>
      <c r="J2886" s="252"/>
      <c r="K2886" s="253"/>
    </row>
    <row r="2887" spans="1:11" ht="22" customHeight="1" x14ac:dyDescent="0.35">
      <c r="A2887" s="251"/>
      <c r="B2887" s="252"/>
      <c r="C2887" s="252"/>
      <c r="D2887" s="252"/>
      <c r="E2887" s="252"/>
      <c r="F2887" s="252"/>
      <c r="G2887" s="252"/>
      <c r="H2887" s="252"/>
      <c r="I2887" s="252"/>
      <c r="J2887" s="252"/>
      <c r="K2887" s="253"/>
    </row>
    <row r="2888" spans="1:11" ht="22" customHeight="1" x14ac:dyDescent="0.35">
      <c r="A2888" s="251"/>
      <c r="B2888" s="252"/>
      <c r="C2888" s="252"/>
      <c r="D2888" s="252"/>
      <c r="E2888" s="252"/>
      <c r="F2888" s="252"/>
      <c r="G2888" s="252"/>
      <c r="H2888" s="252"/>
      <c r="I2888" s="252"/>
      <c r="J2888" s="252"/>
      <c r="K2888" s="253"/>
    </row>
    <row r="2889" spans="1:11" ht="22" customHeight="1" x14ac:dyDescent="0.35">
      <c r="A2889" s="251"/>
      <c r="B2889" s="252"/>
      <c r="C2889" s="252"/>
      <c r="D2889" s="252"/>
      <c r="E2889" s="252"/>
      <c r="F2889" s="252"/>
      <c r="G2889" s="252"/>
      <c r="H2889" s="252"/>
      <c r="I2889" s="252"/>
      <c r="J2889" s="252"/>
      <c r="K2889" s="253"/>
    </row>
    <row r="2890" spans="1:11" ht="22" customHeight="1" x14ac:dyDescent="0.35">
      <c r="A2890" s="251"/>
      <c r="B2890" s="252"/>
      <c r="C2890" s="252"/>
      <c r="D2890" s="252"/>
      <c r="E2890" s="252"/>
      <c r="F2890" s="252"/>
      <c r="G2890" s="252"/>
      <c r="H2890" s="252"/>
      <c r="I2890" s="252"/>
      <c r="J2890" s="252"/>
      <c r="K2890" s="253"/>
    </row>
    <row r="2891" spans="1:11" ht="22" customHeight="1" x14ac:dyDescent="0.35">
      <c r="A2891" s="251"/>
      <c r="B2891" s="252"/>
      <c r="C2891" s="252"/>
      <c r="D2891" s="252"/>
      <c r="E2891" s="252"/>
      <c r="F2891" s="252"/>
      <c r="G2891" s="252"/>
      <c r="H2891" s="252"/>
      <c r="I2891" s="252"/>
      <c r="J2891" s="252"/>
      <c r="K2891" s="253"/>
    </row>
    <row r="2892" spans="1:11" ht="22" customHeight="1" x14ac:dyDescent="0.35">
      <c r="A2892" s="251"/>
      <c r="B2892" s="252"/>
      <c r="C2892" s="252"/>
      <c r="D2892" s="252"/>
      <c r="E2892" s="252"/>
      <c r="F2892" s="252"/>
      <c r="G2892" s="252"/>
      <c r="H2892" s="252"/>
      <c r="I2892" s="252"/>
      <c r="J2892" s="252"/>
      <c r="K2892" s="253"/>
    </row>
    <row r="2893" spans="1:11" ht="22" customHeight="1" x14ac:dyDescent="0.35">
      <c r="A2893" s="251"/>
      <c r="B2893" s="252"/>
      <c r="C2893" s="252"/>
      <c r="D2893" s="252"/>
      <c r="E2893" s="252"/>
      <c r="F2893" s="252"/>
      <c r="G2893" s="252"/>
      <c r="H2893" s="252"/>
      <c r="I2893" s="252"/>
      <c r="J2893" s="252"/>
      <c r="K2893" s="253"/>
    </row>
    <row r="2894" spans="1:11" ht="22" customHeight="1" x14ac:dyDescent="0.35">
      <c r="A2894" s="251"/>
      <c r="B2894" s="252"/>
      <c r="C2894" s="252"/>
      <c r="D2894" s="252"/>
      <c r="E2894" s="252"/>
      <c r="F2894" s="252"/>
      <c r="G2894" s="252"/>
      <c r="H2894" s="252"/>
      <c r="I2894" s="252"/>
      <c r="J2894" s="252"/>
      <c r="K2894" s="253"/>
    </row>
    <row r="2895" spans="1:11" ht="22" customHeight="1" x14ac:dyDescent="0.35">
      <c r="A2895" s="251"/>
      <c r="B2895" s="252"/>
      <c r="C2895" s="252"/>
      <c r="D2895" s="252"/>
      <c r="E2895" s="252"/>
      <c r="F2895" s="252"/>
      <c r="G2895" s="252"/>
      <c r="H2895" s="252"/>
      <c r="I2895" s="252"/>
      <c r="J2895" s="252"/>
      <c r="K2895" s="253"/>
    </row>
    <row r="2896" spans="1:11" ht="22" customHeight="1" x14ac:dyDescent="0.35">
      <c r="A2896" s="251"/>
      <c r="B2896" s="252"/>
      <c r="C2896" s="252"/>
      <c r="D2896" s="252"/>
      <c r="E2896" s="252"/>
      <c r="F2896" s="252"/>
      <c r="G2896" s="252"/>
      <c r="H2896" s="252"/>
      <c r="I2896" s="252"/>
      <c r="J2896" s="252"/>
      <c r="K2896" s="253"/>
    </row>
    <row r="2897" spans="1:11" ht="22" customHeight="1" x14ac:dyDescent="0.35">
      <c r="A2897" s="251"/>
      <c r="B2897" s="252"/>
      <c r="C2897" s="252"/>
      <c r="D2897" s="252"/>
      <c r="E2897" s="252"/>
      <c r="F2897" s="252"/>
      <c r="G2897" s="252"/>
      <c r="H2897" s="252"/>
      <c r="I2897" s="252"/>
      <c r="J2897" s="252"/>
      <c r="K2897" s="253"/>
    </row>
    <row r="2898" spans="1:11" ht="22" customHeight="1" x14ac:dyDescent="0.35">
      <c r="A2898" s="251"/>
      <c r="B2898" s="252"/>
      <c r="C2898" s="252"/>
      <c r="D2898" s="252"/>
      <c r="E2898" s="252"/>
      <c r="F2898" s="252"/>
      <c r="G2898" s="252"/>
      <c r="H2898" s="252"/>
      <c r="I2898" s="252"/>
      <c r="J2898" s="252"/>
      <c r="K2898" s="253"/>
    </row>
    <row r="2899" spans="1:11" ht="22" customHeight="1" x14ac:dyDescent="0.35">
      <c r="A2899" s="251"/>
      <c r="B2899" s="252"/>
      <c r="C2899" s="252"/>
      <c r="D2899" s="252"/>
      <c r="E2899" s="252"/>
      <c r="F2899" s="252"/>
      <c r="G2899" s="252"/>
      <c r="H2899" s="252"/>
      <c r="I2899" s="252"/>
      <c r="J2899" s="252"/>
      <c r="K2899" s="253"/>
    </row>
    <row r="2900" spans="1:11" ht="22" customHeight="1" x14ac:dyDescent="0.35">
      <c r="A2900" s="251"/>
      <c r="B2900" s="252"/>
      <c r="C2900" s="252"/>
      <c r="D2900" s="252"/>
      <c r="E2900" s="252"/>
      <c r="F2900" s="252"/>
      <c r="G2900" s="252"/>
      <c r="H2900" s="252"/>
      <c r="I2900" s="252"/>
      <c r="J2900" s="252"/>
      <c r="K2900" s="253"/>
    </row>
    <row r="2901" spans="1:11" ht="22" customHeight="1" x14ac:dyDescent="0.35">
      <c r="A2901" s="251"/>
      <c r="B2901" s="252"/>
      <c r="C2901" s="252"/>
      <c r="D2901" s="252"/>
      <c r="E2901" s="252"/>
      <c r="F2901" s="252"/>
      <c r="G2901" s="252"/>
      <c r="H2901" s="252"/>
      <c r="I2901" s="252"/>
      <c r="J2901" s="252"/>
      <c r="K2901" s="253"/>
    </row>
    <row r="2902" spans="1:11" ht="22" customHeight="1" x14ac:dyDescent="0.35">
      <c r="A2902" s="251"/>
      <c r="B2902" s="252"/>
      <c r="C2902" s="252"/>
      <c r="D2902" s="252"/>
      <c r="E2902" s="252"/>
      <c r="F2902" s="252"/>
      <c r="G2902" s="252"/>
      <c r="H2902" s="252"/>
      <c r="I2902" s="252"/>
      <c r="J2902" s="252"/>
      <c r="K2902" s="253"/>
    </row>
    <row r="2903" spans="1:11" ht="22" customHeight="1" x14ac:dyDescent="0.35">
      <c r="A2903" s="251"/>
      <c r="B2903" s="252"/>
      <c r="C2903" s="252"/>
      <c r="D2903" s="252"/>
      <c r="E2903" s="252"/>
      <c r="F2903" s="252"/>
      <c r="G2903" s="252"/>
      <c r="H2903" s="252"/>
      <c r="I2903" s="252"/>
      <c r="J2903" s="252"/>
      <c r="K2903" s="253"/>
    </row>
    <row r="2904" spans="1:11" ht="22" customHeight="1" x14ac:dyDescent="0.35">
      <c r="A2904" s="251"/>
      <c r="B2904" s="252"/>
      <c r="C2904" s="252"/>
      <c r="D2904" s="252"/>
      <c r="E2904" s="252"/>
      <c r="F2904" s="252"/>
      <c r="G2904" s="252"/>
      <c r="H2904" s="252"/>
      <c r="I2904" s="252"/>
      <c r="J2904" s="252"/>
      <c r="K2904" s="253"/>
    </row>
    <row r="2905" spans="1:11" ht="22" customHeight="1" x14ac:dyDescent="0.35">
      <c r="A2905" s="251"/>
      <c r="B2905" s="252"/>
      <c r="C2905" s="252"/>
      <c r="D2905" s="252"/>
      <c r="E2905" s="252"/>
      <c r="F2905" s="252"/>
      <c r="G2905" s="252"/>
      <c r="H2905" s="252"/>
      <c r="I2905" s="252"/>
      <c r="J2905" s="252"/>
      <c r="K2905" s="253"/>
    </row>
    <row r="2906" spans="1:11" ht="22" customHeight="1" x14ac:dyDescent="0.35">
      <c r="A2906" s="251"/>
      <c r="B2906" s="252"/>
      <c r="C2906" s="252"/>
      <c r="D2906" s="252"/>
      <c r="E2906" s="252"/>
      <c r="F2906" s="252"/>
      <c r="G2906" s="252"/>
      <c r="H2906" s="252"/>
      <c r="I2906" s="252"/>
      <c r="J2906" s="252"/>
      <c r="K2906" s="253"/>
    </row>
    <row r="2907" spans="1:11" ht="22" customHeight="1" x14ac:dyDescent="0.35">
      <c r="A2907" s="251"/>
      <c r="B2907" s="252"/>
      <c r="C2907" s="252"/>
      <c r="D2907" s="252"/>
      <c r="E2907" s="252"/>
      <c r="F2907" s="252"/>
      <c r="G2907" s="252"/>
      <c r="H2907" s="252"/>
      <c r="I2907" s="252"/>
      <c r="J2907" s="252"/>
      <c r="K2907" s="253"/>
    </row>
    <row r="2908" spans="1:11" ht="22" customHeight="1" x14ac:dyDescent="0.35">
      <c r="A2908" s="251"/>
      <c r="B2908" s="252"/>
      <c r="C2908" s="252"/>
      <c r="D2908" s="252"/>
      <c r="E2908" s="252"/>
      <c r="F2908" s="252"/>
      <c r="G2908" s="252"/>
      <c r="H2908" s="252"/>
      <c r="I2908" s="252"/>
      <c r="J2908" s="252"/>
      <c r="K2908" s="253"/>
    </row>
    <row r="2909" spans="1:11" ht="22" customHeight="1" x14ac:dyDescent="0.35">
      <c r="A2909" s="251"/>
      <c r="B2909" s="252"/>
      <c r="C2909" s="252"/>
      <c r="D2909" s="252"/>
      <c r="E2909" s="252"/>
      <c r="F2909" s="252"/>
      <c r="G2909" s="252"/>
      <c r="H2909" s="252"/>
      <c r="I2909" s="252"/>
      <c r="J2909" s="252"/>
      <c r="K2909" s="253"/>
    </row>
    <row r="2910" spans="1:11" ht="22" customHeight="1" x14ac:dyDescent="0.35">
      <c r="A2910" s="251"/>
      <c r="B2910" s="252"/>
      <c r="C2910" s="252"/>
      <c r="D2910" s="252"/>
      <c r="E2910" s="252"/>
      <c r="F2910" s="252"/>
      <c r="G2910" s="252"/>
      <c r="H2910" s="252"/>
      <c r="I2910" s="252"/>
      <c r="J2910" s="252"/>
      <c r="K2910" s="253"/>
    </row>
    <row r="2911" spans="1:11" ht="22" customHeight="1" x14ac:dyDescent="0.35">
      <c r="A2911" s="251"/>
      <c r="B2911" s="252"/>
      <c r="C2911" s="252"/>
      <c r="D2911" s="252"/>
      <c r="E2911" s="252"/>
      <c r="F2911" s="252"/>
      <c r="G2911" s="252"/>
      <c r="H2911" s="252"/>
      <c r="I2911" s="252"/>
      <c r="J2911" s="252"/>
      <c r="K2911" s="253"/>
    </row>
    <row r="2912" spans="1:11" ht="22" customHeight="1" x14ac:dyDescent="0.35">
      <c r="A2912" s="251"/>
      <c r="B2912" s="252"/>
      <c r="C2912" s="252"/>
      <c r="D2912" s="252"/>
      <c r="E2912" s="252"/>
      <c r="F2912" s="252"/>
      <c r="G2912" s="252"/>
      <c r="H2912" s="252"/>
      <c r="I2912" s="252"/>
      <c r="J2912" s="252"/>
      <c r="K2912" s="253"/>
    </row>
    <row r="2913" spans="1:11" ht="22" customHeight="1" x14ac:dyDescent="0.35">
      <c r="A2913" s="251"/>
      <c r="B2913" s="252"/>
      <c r="C2913" s="252"/>
      <c r="D2913" s="252"/>
      <c r="E2913" s="252"/>
      <c r="F2913" s="252"/>
      <c r="G2913" s="252"/>
      <c r="H2913" s="252"/>
      <c r="I2913" s="252"/>
      <c r="J2913" s="252"/>
      <c r="K2913" s="253"/>
    </row>
    <row r="2914" spans="1:11" ht="22" customHeight="1" x14ac:dyDescent="0.35">
      <c r="A2914" s="251"/>
      <c r="B2914" s="252"/>
      <c r="C2914" s="252"/>
      <c r="D2914" s="252"/>
      <c r="E2914" s="252"/>
      <c r="F2914" s="252"/>
      <c r="G2914" s="252"/>
      <c r="H2914" s="252"/>
      <c r="I2914" s="252"/>
      <c r="J2914" s="252"/>
      <c r="K2914" s="253"/>
    </row>
    <row r="2915" spans="1:11" ht="22" customHeight="1" x14ac:dyDescent="0.35">
      <c r="A2915" s="251"/>
      <c r="B2915" s="252"/>
      <c r="C2915" s="252"/>
      <c r="D2915" s="252"/>
      <c r="E2915" s="252"/>
      <c r="F2915" s="252"/>
      <c r="G2915" s="252"/>
      <c r="H2915" s="252"/>
      <c r="I2915" s="252"/>
      <c r="J2915" s="252"/>
      <c r="K2915" s="253"/>
    </row>
    <row r="2916" spans="1:11" ht="22" customHeight="1" x14ac:dyDescent="0.35">
      <c r="A2916" s="251"/>
      <c r="B2916" s="252"/>
      <c r="C2916" s="252"/>
      <c r="D2916" s="252"/>
      <c r="E2916" s="252"/>
      <c r="F2916" s="252"/>
      <c r="G2916" s="252"/>
      <c r="H2916" s="252"/>
      <c r="I2916" s="252"/>
      <c r="J2916" s="252"/>
      <c r="K2916" s="253"/>
    </row>
    <row r="2917" spans="1:11" ht="22" customHeight="1" x14ac:dyDescent="0.35">
      <c r="A2917" s="251"/>
      <c r="B2917" s="252"/>
      <c r="C2917" s="252"/>
      <c r="D2917" s="252"/>
      <c r="E2917" s="252"/>
      <c r="F2917" s="252"/>
      <c r="G2917" s="252"/>
      <c r="H2917" s="252"/>
      <c r="I2917" s="252"/>
      <c r="J2917" s="252"/>
      <c r="K2917" s="253"/>
    </row>
    <row r="2918" spans="1:11" ht="22" customHeight="1" x14ac:dyDescent="0.35">
      <c r="A2918" s="251"/>
      <c r="B2918" s="252"/>
      <c r="C2918" s="252"/>
      <c r="D2918" s="252"/>
      <c r="E2918" s="252"/>
      <c r="F2918" s="252"/>
      <c r="G2918" s="252"/>
      <c r="H2918" s="252"/>
      <c r="I2918" s="252"/>
      <c r="J2918" s="252"/>
      <c r="K2918" s="253"/>
    </row>
    <row r="2919" spans="1:11" ht="22" customHeight="1" x14ac:dyDescent="0.35">
      <c r="A2919" s="251"/>
      <c r="B2919" s="252"/>
      <c r="C2919" s="252"/>
      <c r="D2919" s="252"/>
      <c r="E2919" s="252"/>
      <c r="F2919" s="252"/>
      <c r="G2919" s="252"/>
      <c r="H2919" s="252"/>
      <c r="I2919" s="252"/>
      <c r="J2919" s="252"/>
      <c r="K2919" s="253"/>
    </row>
    <row r="2920" spans="1:11" ht="22" customHeight="1" x14ac:dyDescent="0.35">
      <c r="A2920" s="251"/>
      <c r="B2920" s="252"/>
      <c r="C2920" s="252"/>
      <c r="D2920" s="252"/>
      <c r="E2920" s="252"/>
      <c r="F2920" s="252"/>
      <c r="G2920" s="252"/>
      <c r="H2920" s="252"/>
      <c r="I2920" s="252"/>
      <c r="J2920" s="252"/>
      <c r="K2920" s="253"/>
    </row>
    <row r="2921" spans="1:11" ht="22" customHeight="1" x14ac:dyDescent="0.35">
      <c r="A2921" s="251"/>
      <c r="B2921" s="252"/>
      <c r="C2921" s="252"/>
      <c r="D2921" s="252"/>
      <c r="E2921" s="252"/>
      <c r="F2921" s="252"/>
      <c r="G2921" s="252"/>
      <c r="H2921" s="252"/>
      <c r="I2921" s="252"/>
      <c r="J2921" s="252"/>
      <c r="K2921" s="253"/>
    </row>
    <row r="2922" spans="1:11" ht="22" customHeight="1" x14ac:dyDescent="0.35">
      <c r="A2922" s="251"/>
      <c r="B2922" s="252"/>
      <c r="C2922" s="252"/>
      <c r="D2922" s="252"/>
      <c r="E2922" s="252"/>
      <c r="F2922" s="252"/>
      <c r="G2922" s="252"/>
      <c r="H2922" s="252"/>
      <c r="I2922" s="252"/>
      <c r="J2922" s="252"/>
      <c r="K2922" s="253"/>
    </row>
    <row r="2923" spans="1:11" ht="22" customHeight="1" x14ac:dyDescent="0.35">
      <c r="A2923" s="251"/>
      <c r="B2923" s="252"/>
      <c r="C2923" s="252"/>
      <c r="D2923" s="252"/>
      <c r="E2923" s="252"/>
      <c r="F2923" s="252"/>
      <c r="G2923" s="252"/>
      <c r="H2923" s="252"/>
      <c r="I2923" s="252"/>
      <c r="J2923" s="252"/>
      <c r="K2923" s="253"/>
    </row>
    <row r="2924" spans="1:11" ht="22" customHeight="1" x14ac:dyDescent="0.35">
      <c r="A2924" s="251"/>
      <c r="B2924" s="252"/>
      <c r="C2924" s="252"/>
      <c r="D2924" s="252"/>
      <c r="E2924" s="252"/>
      <c r="F2924" s="252"/>
      <c r="G2924" s="252"/>
      <c r="H2924" s="252"/>
      <c r="I2924" s="252"/>
      <c r="J2924" s="252"/>
      <c r="K2924" s="253"/>
    </row>
    <row r="2925" spans="1:11" ht="22" customHeight="1" x14ac:dyDescent="0.35">
      <c r="A2925" s="251"/>
      <c r="B2925" s="252"/>
      <c r="C2925" s="252"/>
      <c r="D2925" s="252"/>
      <c r="E2925" s="252"/>
      <c r="F2925" s="252"/>
      <c r="G2925" s="252"/>
      <c r="H2925" s="252"/>
      <c r="I2925" s="252"/>
      <c r="J2925" s="252"/>
      <c r="K2925" s="253"/>
    </row>
    <row r="2926" spans="1:11" ht="22" customHeight="1" x14ac:dyDescent="0.35">
      <c r="A2926" s="251"/>
      <c r="B2926" s="252"/>
      <c r="C2926" s="252"/>
      <c r="D2926" s="252"/>
      <c r="E2926" s="252"/>
      <c r="F2926" s="252"/>
      <c r="G2926" s="252"/>
      <c r="H2926" s="252"/>
      <c r="I2926" s="252"/>
      <c r="J2926" s="252"/>
      <c r="K2926" s="253"/>
    </row>
    <row r="2927" spans="1:11" ht="22" customHeight="1" x14ac:dyDescent="0.35">
      <c r="A2927" s="251"/>
      <c r="B2927" s="252"/>
      <c r="C2927" s="252"/>
      <c r="D2927" s="252"/>
      <c r="E2927" s="252"/>
      <c r="F2927" s="252"/>
      <c r="G2927" s="252"/>
      <c r="H2927" s="252"/>
      <c r="I2927" s="252"/>
      <c r="J2927" s="252"/>
      <c r="K2927" s="253"/>
    </row>
    <row r="2928" spans="1:11" ht="22" customHeight="1" x14ac:dyDescent="0.35">
      <c r="A2928" s="251"/>
      <c r="B2928" s="252"/>
      <c r="C2928" s="252"/>
      <c r="D2928" s="252"/>
      <c r="E2928" s="252"/>
      <c r="F2928" s="252"/>
      <c r="G2928" s="252"/>
      <c r="H2928" s="252"/>
      <c r="I2928" s="252"/>
      <c r="J2928" s="252"/>
      <c r="K2928" s="253"/>
    </row>
    <row r="2929" spans="1:11" ht="22" customHeight="1" x14ac:dyDescent="0.35">
      <c r="A2929" s="251"/>
      <c r="B2929" s="252"/>
      <c r="C2929" s="252"/>
      <c r="D2929" s="252"/>
      <c r="E2929" s="252"/>
      <c r="F2929" s="252"/>
      <c r="G2929" s="252"/>
      <c r="H2929" s="252"/>
      <c r="I2929" s="252"/>
      <c r="J2929" s="252"/>
      <c r="K2929" s="253"/>
    </row>
    <row r="2930" spans="1:11" ht="22" customHeight="1" x14ac:dyDescent="0.35">
      <c r="A2930" s="251"/>
      <c r="B2930" s="252"/>
      <c r="C2930" s="252"/>
      <c r="D2930" s="252"/>
      <c r="E2930" s="252"/>
      <c r="F2930" s="252"/>
      <c r="G2930" s="252"/>
      <c r="H2930" s="252"/>
      <c r="I2930" s="252"/>
      <c r="J2930" s="252"/>
      <c r="K2930" s="253"/>
    </row>
    <row r="2931" spans="1:11" ht="22" customHeight="1" x14ac:dyDescent="0.35">
      <c r="A2931" s="251"/>
      <c r="B2931" s="252"/>
      <c r="C2931" s="252"/>
      <c r="D2931" s="252"/>
      <c r="E2931" s="252"/>
      <c r="F2931" s="252"/>
      <c r="G2931" s="252"/>
      <c r="H2931" s="252"/>
      <c r="I2931" s="252"/>
      <c r="J2931" s="252"/>
      <c r="K2931" s="253"/>
    </row>
    <row r="2932" spans="1:11" ht="22" customHeight="1" x14ac:dyDescent="0.35">
      <c r="A2932" s="251"/>
      <c r="B2932" s="252"/>
      <c r="C2932" s="252"/>
      <c r="D2932" s="252"/>
      <c r="E2932" s="252"/>
      <c r="F2932" s="252"/>
      <c r="G2932" s="252"/>
      <c r="H2932" s="252"/>
      <c r="I2932" s="252"/>
      <c r="J2932" s="252"/>
      <c r="K2932" s="253"/>
    </row>
    <row r="2933" spans="1:11" ht="22" customHeight="1" x14ac:dyDescent="0.35">
      <c r="A2933" s="251"/>
      <c r="B2933" s="252"/>
      <c r="C2933" s="252"/>
      <c r="D2933" s="252"/>
      <c r="E2933" s="252"/>
      <c r="F2933" s="252"/>
      <c r="G2933" s="252"/>
      <c r="H2933" s="252"/>
      <c r="I2933" s="252"/>
      <c r="J2933" s="252"/>
      <c r="K2933" s="253"/>
    </row>
    <row r="2934" spans="1:11" ht="22" customHeight="1" x14ac:dyDescent="0.35">
      <c r="A2934" s="251"/>
      <c r="B2934" s="252"/>
      <c r="C2934" s="252"/>
      <c r="D2934" s="252"/>
      <c r="E2934" s="252"/>
      <c r="F2934" s="252"/>
      <c r="G2934" s="252"/>
      <c r="H2934" s="252"/>
      <c r="I2934" s="252"/>
      <c r="J2934" s="252"/>
      <c r="K2934" s="253"/>
    </row>
    <row r="2935" spans="1:11" ht="22" customHeight="1" x14ac:dyDescent="0.35">
      <c r="A2935" s="251"/>
      <c r="B2935" s="252"/>
      <c r="C2935" s="252"/>
      <c r="D2935" s="252"/>
      <c r="E2935" s="252"/>
      <c r="F2935" s="252"/>
      <c r="G2935" s="252"/>
      <c r="H2935" s="252"/>
      <c r="I2935" s="252"/>
      <c r="J2935" s="252"/>
      <c r="K2935" s="253"/>
    </row>
    <row r="2936" spans="1:11" ht="22" customHeight="1" x14ac:dyDescent="0.35">
      <c r="A2936" s="251"/>
      <c r="B2936" s="252"/>
      <c r="C2936" s="252"/>
      <c r="D2936" s="252"/>
      <c r="E2936" s="252"/>
      <c r="F2936" s="252"/>
      <c r="G2936" s="252"/>
      <c r="H2936" s="252"/>
      <c r="I2936" s="252"/>
      <c r="J2936" s="252"/>
      <c r="K2936" s="253"/>
    </row>
    <row r="2937" spans="1:11" ht="22" customHeight="1" x14ac:dyDescent="0.35">
      <c r="A2937" s="251"/>
      <c r="B2937" s="252"/>
      <c r="C2937" s="252"/>
      <c r="D2937" s="252"/>
      <c r="E2937" s="252"/>
      <c r="F2937" s="252"/>
      <c r="G2937" s="252"/>
      <c r="H2937" s="252"/>
      <c r="I2937" s="252"/>
      <c r="J2937" s="252"/>
      <c r="K2937" s="253"/>
    </row>
    <row r="2938" spans="1:11" ht="22" customHeight="1" x14ac:dyDescent="0.35">
      <c r="A2938" s="251"/>
      <c r="B2938" s="252"/>
      <c r="C2938" s="252"/>
      <c r="D2938" s="252"/>
      <c r="E2938" s="252"/>
      <c r="F2938" s="252"/>
      <c r="G2938" s="252"/>
      <c r="H2938" s="252"/>
      <c r="I2938" s="252"/>
      <c r="J2938" s="252"/>
      <c r="K2938" s="253"/>
    </row>
    <row r="2939" spans="1:11" ht="22" customHeight="1" x14ac:dyDescent="0.35">
      <c r="A2939" s="251"/>
      <c r="B2939" s="252"/>
      <c r="C2939" s="252"/>
      <c r="D2939" s="252"/>
      <c r="E2939" s="252"/>
      <c r="F2939" s="252"/>
      <c r="G2939" s="252"/>
      <c r="H2939" s="252"/>
      <c r="I2939" s="252"/>
      <c r="J2939" s="252"/>
      <c r="K2939" s="253"/>
    </row>
    <row r="2940" spans="1:11" ht="22" customHeight="1" x14ac:dyDescent="0.35">
      <c r="A2940" s="251"/>
      <c r="B2940" s="252"/>
      <c r="C2940" s="252"/>
      <c r="D2940" s="252"/>
      <c r="E2940" s="252"/>
      <c r="F2940" s="252"/>
      <c r="G2940" s="252"/>
      <c r="H2940" s="252"/>
      <c r="I2940" s="252"/>
      <c r="J2940" s="252"/>
      <c r="K2940" s="253"/>
    </row>
    <row r="2941" spans="1:11" ht="22" customHeight="1" x14ac:dyDescent="0.35">
      <c r="A2941" s="251"/>
      <c r="B2941" s="252"/>
      <c r="C2941" s="252"/>
      <c r="D2941" s="252"/>
      <c r="E2941" s="252"/>
      <c r="F2941" s="252"/>
      <c r="G2941" s="252"/>
      <c r="H2941" s="252"/>
      <c r="I2941" s="252"/>
      <c r="J2941" s="252"/>
      <c r="K2941" s="253"/>
    </row>
    <row r="2942" spans="1:11" ht="22" customHeight="1" x14ac:dyDescent="0.35">
      <c r="A2942" s="251"/>
      <c r="B2942" s="252"/>
      <c r="C2942" s="252"/>
      <c r="D2942" s="252"/>
      <c r="E2942" s="252"/>
      <c r="F2942" s="252"/>
      <c r="G2942" s="252"/>
      <c r="H2942" s="252"/>
      <c r="I2942" s="252"/>
      <c r="J2942" s="252"/>
      <c r="K2942" s="253"/>
    </row>
    <row r="2943" spans="1:11" ht="22" customHeight="1" x14ac:dyDescent="0.35">
      <c r="A2943" s="251"/>
      <c r="B2943" s="252"/>
      <c r="C2943" s="252"/>
      <c r="D2943" s="252"/>
      <c r="E2943" s="252"/>
      <c r="F2943" s="252"/>
      <c r="G2943" s="252"/>
      <c r="H2943" s="252"/>
      <c r="I2943" s="252"/>
      <c r="J2943" s="252"/>
      <c r="K2943" s="253"/>
    </row>
    <row r="2944" spans="1:11" ht="22" customHeight="1" x14ac:dyDescent="0.35">
      <c r="A2944" s="251"/>
      <c r="B2944" s="252"/>
      <c r="C2944" s="252"/>
      <c r="D2944" s="252"/>
      <c r="E2944" s="252"/>
      <c r="F2944" s="252"/>
      <c r="G2944" s="252"/>
      <c r="H2944" s="252"/>
      <c r="I2944" s="252"/>
      <c r="J2944" s="252"/>
      <c r="K2944" s="253"/>
    </row>
    <row r="2945" spans="1:11" ht="22" customHeight="1" x14ac:dyDescent="0.35">
      <c r="A2945" s="251"/>
      <c r="B2945" s="252"/>
      <c r="C2945" s="252"/>
      <c r="D2945" s="252"/>
      <c r="E2945" s="252"/>
      <c r="F2945" s="252"/>
      <c r="G2945" s="252"/>
      <c r="H2945" s="252"/>
      <c r="I2945" s="252"/>
      <c r="J2945" s="252"/>
      <c r="K2945" s="253"/>
    </row>
    <row r="2946" spans="1:11" ht="22" customHeight="1" x14ac:dyDescent="0.35">
      <c r="A2946" s="251"/>
      <c r="B2946" s="252"/>
      <c r="C2946" s="252"/>
      <c r="D2946" s="252"/>
      <c r="E2946" s="252"/>
      <c r="F2946" s="252"/>
      <c r="G2946" s="252"/>
      <c r="H2946" s="252"/>
      <c r="I2946" s="252"/>
      <c r="J2946" s="252"/>
      <c r="K2946" s="253"/>
    </row>
    <row r="2947" spans="1:11" ht="22" customHeight="1" x14ac:dyDescent="0.35">
      <c r="A2947" s="251"/>
      <c r="B2947" s="252"/>
      <c r="C2947" s="252"/>
      <c r="D2947" s="252"/>
      <c r="E2947" s="252"/>
      <c r="F2947" s="252"/>
      <c r="G2947" s="252"/>
      <c r="H2947" s="252"/>
      <c r="I2947" s="252"/>
      <c r="J2947" s="252"/>
      <c r="K2947" s="253"/>
    </row>
    <row r="2948" spans="1:11" ht="22" customHeight="1" x14ac:dyDescent="0.35">
      <c r="A2948" s="251"/>
      <c r="B2948" s="252"/>
      <c r="C2948" s="252"/>
      <c r="D2948" s="252"/>
      <c r="E2948" s="252"/>
      <c r="F2948" s="252"/>
      <c r="G2948" s="252"/>
      <c r="H2948" s="252"/>
      <c r="I2948" s="252"/>
      <c r="J2948" s="252"/>
      <c r="K2948" s="253"/>
    </row>
    <row r="2949" spans="1:11" ht="22" customHeight="1" x14ac:dyDescent="0.35">
      <c r="A2949" s="251"/>
      <c r="B2949" s="252"/>
      <c r="C2949" s="252"/>
      <c r="D2949" s="252"/>
      <c r="E2949" s="252"/>
      <c r="F2949" s="252"/>
      <c r="G2949" s="252"/>
      <c r="H2949" s="252"/>
      <c r="I2949" s="252"/>
      <c r="J2949" s="252"/>
      <c r="K2949" s="253"/>
    </row>
    <row r="2950" spans="1:11" ht="22" customHeight="1" x14ac:dyDescent="0.35">
      <c r="A2950" s="251"/>
      <c r="B2950" s="252"/>
      <c r="C2950" s="252"/>
      <c r="D2950" s="252"/>
      <c r="E2950" s="252"/>
      <c r="F2950" s="252"/>
      <c r="G2950" s="252"/>
      <c r="H2950" s="252"/>
      <c r="I2950" s="252"/>
      <c r="J2950" s="252"/>
      <c r="K2950" s="253"/>
    </row>
    <row r="2951" spans="1:11" ht="22" customHeight="1" x14ac:dyDescent="0.35">
      <c r="A2951" s="251"/>
      <c r="B2951" s="252"/>
      <c r="C2951" s="252"/>
      <c r="D2951" s="252"/>
      <c r="E2951" s="252"/>
      <c r="F2951" s="252"/>
      <c r="G2951" s="252"/>
      <c r="H2951" s="252"/>
      <c r="I2951" s="252"/>
      <c r="J2951" s="252"/>
      <c r="K2951" s="253"/>
    </row>
    <row r="2952" spans="1:11" ht="22" customHeight="1" x14ac:dyDescent="0.35">
      <c r="A2952" s="251"/>
      <c r="B2952" s="252"/>
      <c r="C2952" s="252"/>
      <c r="D2952" s="252"/>
      <c r="E2952" s="252"/>
      <c r="F2952" s="252"/>
      <c r="G2952" s="252"/>
      <c r="H2952" s="252"/>
      <c r="I2952" s="252"/>
      <c r="J2952" s="252"/>
      <c r="K2952" s="253"/>
    </row>
    <row r="2953" spans="1:11" ht="22" customHeight="1" x14ac:dyDescent="0.35">
      <c r="A2953" s="251"/>
      <c r="B2953" s="252"/>
      <c r="C2953" s="252"/>
      <c r="D2953" s="252"/>
      <c r="E2953" s="252"/>
      <c r="F2953" s="252"/>
      <c r="G2953" s="252"/>
      <c r="H2953" s="252"/>
      <c r="I2953" s="252"/>
      <c r="J2953" s="252"/>
      <c r="K2953" s="253"/>
    </row>
    <row r="2954" spans="1:11" ht="22" customHeight="1" x14ac:dyDescent="0.35">
      <c r="A2954" s="251"/>
      <c r="B2954" s="252"/>
      <c r="C2954" s="252"/>
      <c r="D2954" s="252"/>
      <c r="E2954" s="252"/>
      <c r="F2954" s="252"/>
      <c r="G2954" s="252"/>
      <c r="H2954" s="252"/>
      <c r="I2954" s="252"/>
      <c r="J2954" s="252"/>
      <c r="K2954" s="253"/>
    </row>
    <row r="2955" spans="1:11" ht="22" customHeight="1" x14ac:dyDescent="0.35">
      <c r="A2955" s="251"/>
      <c r="B2955" s="252"/>
      <c r="C2955" s="252"/>
      <c r="D2955" s="252"/>
      <c r="E2955" s="252"/>
      <c r="F2955" s="252"/>
      <c r="G2955" s="252"/>
      <c r="H2955" s="252"/>
      <c r="I2955" s="252"/>
      <c r="J2955" s="252"/>
      <c r="K2955" s="253"/>
    </row>
    <row r="2956" spans="1:11" ht="22" customHeight="1" x14ac:dyDescent="0.35">
      <c r="A2956" s="251"/>
      <c r="B2956" s="252"/>
      <c r="C2956" s="252"/>
      <c r="D2956" s="252"/>
      <c r="E2956" s="252"/>
      <c r="F2956" s="252"/>
      <c r="G2956" s="252"/>
      <c r="H2956" s="252"/>
      <c r="I2956" s="252"/>
      <c r="J2956" s="252"/>
      <c r="K2956" s="253"/>
    </row>
    <row r="2957" spans="1:11" ht="22" customHeight="1" x14ac:dyDescent="0.35">
      <c r="A2957" s="251"/>
      <c r="B2957" s="252"/>
      <c r="C2957" s="252"/>
      <c r="D2957" s="252"/>
      <c r="E2957" s="252"/>
      <c r="F2957" s="252"/>
      <c r="G2957" s="252"/>
      <c r="H2957" s="252"/>
      <c r="I2957" s="252"/>
      <c r="J2957" s="252"/>
      <c r="K2957" s="253"/>
    </row>
    <row r="2958" spans="1:11" ht="22" customHeight="1" x14ac:dyDescent="0.35">
      <c r="A2958" s="251"/>
      <c r="B2958" s="252"/>
      <c r="C2958" s="252"/>
      <c r="D2958" s="252"/>
      <c r="E2958" s="252"/>
      <c r="F2958" s="252"/>
      <c r="G2958" s="252"/>
      <c r="H2958" s="252"/>
      <c r="I2958" s="252"/>
      <c r="J2958" s="252"/>
      <c r="K2958" s="253"/>
    </row>
    <row r="2959" spans="1:11" ht="22" customHeight="1" x14ac:dyDescent="0.35">
      <c r="A2959" s="251"/>
      <c r="B2959" s="252"/>
      <c r="C2959" s="252"/>
      <c r="D2959" s="252"/>
      <c r="E2959" s="252"/>
      <c r="F2959" s="252"/>
      <c r="G2959" s="252"/>
      <c r="H2959" s="252"/>
      <c r="I2959" s="252"/>
      <c r="J2959" s="252"/>
      <c r="K2959" s="253"/>
    </row>
    <row r="2960" spans="1:11" ht="22" customHeight="1" x14ac:dyDescent="0.35">
      <c r="A2960" s="251"/>
      <c r="B2960" s="252"/>
      <c r="C2960" s="252"/>
      <c r="D2960" s="252"/>
      <c r="E2960" s="252"/>
      <c r="F2960" s="252"/>
      <c r="G2960" s="252"/>
      <c r="H2960" s="252"/>
      <c r="I2960" s="252"/>
      <c r="J2960" s="252"/>
      <c r="K2960" s="253"/>
    </row>
    <row r="2961" spans="1:11" ht="22" customHeight="1" x14ac:dyDescent="0.35">
      <c r="A2961" s="251"/>
      <c r="B2961" s="252"/>
      <c r="C2961" s="252"/>
      <c r="D2961" s="252"/>
      <c r="E2961" s="252"/>
      <c r="F2961" s="252"/>
      <c r="G2961" s="252"/>
      <c r="H2961" s="252"/>
      <c r="I2961" s="252"/>
      <c r="J2961" s="252"/>
      <c r="K2961" s="253"/>
    </row>
    <row r="2962" spans="1:11" ht="22" customHeight="1" x14ac:dyDescent="0.35">
      <c r="A2962" s="251"/>
      <c r="B2962" s="252"/>
      <c r="C2962" s="252"/>
      <c r="D2962" s="252"/>
      <c r="E2962" s="252"/>
      <c r="F2962" s="252"/>
      <c r="G2962" s="252"/>
      <c r="H2962" s="252"/>
      <c r="I2962" s="252"/>
      <c r="J2962" s="252"/>
      <c r="K2962" s="253"/>
    </row>
    <row r="2963" spans="1:11" ht="22" customHeight="1" x14ac:dyDescent="0.35">
      <c r="A2963" s="251"/>
      <c r="B2963" s="252"/>
      <c r="C2963" s="252"/>
      <c r="D2963" s="252"/>
      <c r="E2963" s="252"/>
      <c r="F2963" s="252"/>
      <c r="G2963" s="252"/>
      <c r="H2963" s="252"/>
      <c r="I2963" s="252"/>
      <c r="J2963" s="252"/>
      <c r="K2963" s="253"/>
    </row>
    <row r="2964" spans="1:11" ht="22" customHeight="1" x14ac:dyDescent="0.35">
      <c r="A2964" s="251"/>
      <c r="B2964" s="252"/>
      <c r="C2964" s="252"/>
      <c r="D2964" s="252"/>
      <c r="E2964" s="252"/>
      <c r="F2964" s="252"/>
      <c r="G2964" s="252"/>
      <c r="H2964" s="252"/>
      <c r="I2964" s="252"/>
      <c r="J2964" s="252"/>
      <c r="K2964" s="253"/>
    </row>
    <row r="2965" spans="1:11" ht="22" customHeight="1" x14ac:dyDescent="0.35">
      <c r="A2965" s="251"/>
      <c r="B2965" s="252"/>
      <c r="C2965" s="252"/>
      <c r="D2965" s="252"/>
      <c r="E2965" s="252"/>
      <c r="F2965" s="252"/>
      <c r="G2965" s="252"/>
      <c r="H2965" s="252"/>
      <c r="I2965" s="252"/>
      <c r="J2965" s="252"/>
      <c r="K2965" s="253"/>
    </row>
    <row r="2966" spans="1:11" ht="22" customHeight="1" x14ac:dyDescent="0.35">
      <c r="A2966" s="251"/>
      <c r="B2966" s="252"/>
      <c r="C2966" s="252"/>
      <c r="D2966" s="252"/>
      <c r="E2966" s="252"/>
      <c r="F2966" s="252"/>
      <c r="G2966" s="252"/>
      <c r="H2966" s="252"/>
      <c r="I2966" s="252"/>
      <c r="J2966" s="252"/>
      <c r="K2966" s="253"/>
    </row>
    <row r="2967" spans="1:11" ht="22" customHeight="1" x14ac:dyDescent="0.35">
      <c r="A2967" s="251"/>
      <c r="B2967" s="252"/>
      <c r="C2967" s="252"/>
      <c r="D2967" s="252"/>
      <c r="E2967" s="252"/>
      <c r="F2967" s="252"/>
      <c r="G2967" s="252"/>
      <c r="H2967" s="252"/>
      <c r="I2967" s="252"/>
      <c r="J2967" s="252"/>
      <c r="K2967" s="253"/>
    </row>
    <row r="2968" spans="1:11" ht="22" customHeight="1" x14ac:dyDescent="0.35">
      <c r="A2968" s="251"/>
      <c r="B2968" s="252"/>
      <c r="C2968" s="252"/>
      <c r="D2968" s="252"/>
      <c r="E2968" s="252"/>
      <c r="F2968" s="252"/>
      <c r="G2968" s="252"/>
      <c r="H2968" s="252"/>
      <c r="I2968" s="252"/>
      <c r="J2968" s="252"/>
      <c r="K2968" s="253"/>
    </row>
    <row r="2969" spans="1:11" ht="22" customHeight="1" x14ac:dyDescent="0.35">
      <c r="A2969" s="251"/>
      <c r="B2969" s="252"/>
      <c r="C2969" s="252"/>
      <c r="D2969" s="252"/>
      <c r="E2969" s="252"/>
      <c r="F2969" s="252"/>
      <c r="G2969" s="252"/>
      <c r="H2969" s="252"/>
      <c r="I2969" s="252"/>
      <c r="J2969" s="252"/>
      <c r="K2969" s="253"/>
    </row>
    <row r="2970" spans="1:11" ht="22" customHeight="1" x14ac:dyDescent="0.35">
      <c r="A2970" s="251"/>
      <c r="B2970" s="252"/>
      <c r="C2970" s="252"/>
      <c r="D2970" s="252"/>
      <c r="E2970" s="252"/>
      <c r="F2970" s="252"/>
      <c r="G2970" s="252"/>
      <c r="H2970" s="252"/>
      <c r="I2970" s="252"/>
      <c r="J2970" s="252"/>
      <c r="K2970" s="253"/>
    </row>
    <row r="2971" spans="1:11" ht="22" customHeight="1" x14ac:dyDescent="0.35">
      <c r="A2971" s="251"/>
      <c r="B2971" s="252"/>
      <c r="C2971" s="252"/>
      <c r="D2971" s="252"/>
      <c r="E2971" s="252"/>
      <c r="F2971" s="252"/>
      <c r="G2971" s="252"/>
      <c r="H2971" s="252"/>
      <c r="I2971" s="252"/>
      <c r="J2971" s="252"/>
      <c r="K2971" s="253"/>
    </row>
    <row r="2972" spans="1:11" ht="22" customHeight="1" x14ac:dyDescent="0.35">
      <c r="A2972" s="251"/>
      <c r="B2972" s="252"/>
      <c r="C2972" s="252"/>
      <c r="D2972" s="252"/>
      <c r="E2972" s="252"/>
      <c r="F2972" s="252"/>
      <c r="G2972" s="252"/>
      <c r="H2972" s="252"/>
      <c r="I2972" s="252"/>
      <c r="J2972" s="252"/>
      <c r="K2972" s="253"/>
    </row>
    <row r="2973" spans="1:11" ht="22" customHeight="1" x14ac:dyDescent="0.35">
      <c r="A2973" s="251"/>
      <c r="B2973" s="252"/>
      <c r="C2973" s="252"/>
      <c r="D2973" s="252"/>
      <c r="E2973" s="252"/>
      <c r="F2973" s="252"/>
      <c r="G2973" s="252"/>
      <c r="H2973" s="252"/>
      <c r="I2973" s="252"/>
      <c r="J2973" s="252"/>
      <c r="K2973" s="253"/>
    </row>
    <row r="2974" spans="1:11" ht="22" customHeight="1" x14ac:dyDescent="0.35">
      <c r="A2974" s="251"/>
      <c r="B2974" s="252"/>
      <c r="C2974" s="252"/>
      <c r="D2974" s="252"/>
      <c r="E2974" s="252"/>
      <c r="F2974" s="252"/>
      <c r="G2974" s="252"/>
      <c r="H2974" s="252"/>
      <c r="I2974" s="252"/>
      <c r="J2974" s="252"/>
      <c r="K2974" s="253"/>
    </row>
    <row r="2975" spans="1:11" ht="22" customHeight="1" x14ac:dyDescent="0.35">
      <c r="A2975" s="251"/>
      <c r="B2975" s="252"/>
      <c r="C2975" s="252"/>
      <c r="D2975" s="252"/>
      <c r="E2975" s="252"/>
      <c r="F2975" s="252"/>
      <c r="G2975" s="252"/>
      <c r="H2975" s="252"/>
      <c r="I2975" s="252"/>
      <c r="J2975" s="252"/>
      <c r="K2975" s="253"/>
    </row>
    <row r="2976" spans="1:11" ht="22" customHeight="1" x14ac:dyDescent="0.35">
      <c r="A2976" s="251"/>
      <c r="B2976" s="252"/>
      <c r="C2976" s="252"/>
      <c r="D2976" s="252"/>
      <c r="E2976" s="252"/>
      <c r="F2976" s="252"/>
      <c r="G2976" s="252"/>
      <c r="H2976" s="252"/>
      <c r="I2976" s="252"/>
      <c r="J2976" s="252"/>
      <c r="K2976" s="253"/>
    </row>
    <row r="2977" spans="1:11" ht="22" customHeight="1" x14ac:dyDescent="0.35">
      <c r="A2977" s="251"/>
      <c r="B2977" s="252"/>
      <c r="C2977" s="252"/>
      <c r="D2977" s="252"/>
      <c r="E2977" s="252"/>
      <c r="F2977" s="252"/>
      <c r="G2977" s="252"/>
      <c r="H2977" s="252"/>
      <c r="I2977" s="252"/>
      <c r="J2977" s="252"/>
      <c r="K2977" s="253"/>
    </row>
    <row r="2978" spans="1:11" ht="22" customHeight="1" x14ac:dyDescent="0.35">
      <c r="A2978" s="251"/>
      <c r="B2978" s="252"/>
      <c r="C2978" s="252"/>
      <c r="D2978" s="252"/>
      <c r="E2978" s="252"/>
      <c r="F2978" s="252"/>
      <c r="G2978" s="252"/>
      <c r="H2978" s="252"/>
      <c r="I2978" s="252"/>
      <c r="J2978" s="252"/>
      <c r="K2978" s="253"/>
    </row>
    <row r="2979" spans="1:11" ht="22" customHeight="1" x14ac:dyDescent="0.35">
      <c r="A2979" s="251"/>
      <c r="B2979" s="252"/>
      <c r="C2979" s="252"/>
      <c r="D2979" s="252"/>
      <c r="E2979" s="252"/>
      <c r="F2979" s="252"/>
      <c r="G2979" s="252"/>
      <c r="H2979" s="252"/>
      <c r="I2979" s="252"/>
      <c r="J2979" s="252"/>
      <c r="K2979" s="253"/>
    </row>
    <row r="2980" spans="1:11" ht="22" customHeight="1" x14ac:dyDescent="0.35">
      <c r="A2980" s="251"/>
      <c r="B2980" s="252"/>
      <c r="C2980" s="252"/>
      <c r="D2980" s="252"/>
      <c r="E2980" s="252"/>
      <c r="F2980" s="252"/>
      <c r="G2980" s="252"/>
      <c r="H2980" s="252"/>
      <c r="I2980" s="252"/>
      <c r="J2980" s="252"/>
      <c r="K2980" s="253"/>
    </row>
    <row r="2981" spans="1:11" ht="22" customHeight="1" x14ac:dyDescent="0.35">
      <c r="A2981" s="251"/>
      <c r="B2981" s="252"/>
      <c r="C2981" s="252"/>
      <c r="D2981" s="252"/>
      <c r="E2981" s="252"/>
      <c r="F2981" s="252"/>
      <c r="G2981" s="252"/>
      <c r="H2981" s="252"/>
      <c r="I2981" s="252"/>
      <c r="J2981" s="252"/>
      <c r="K2981" s="253"/>
    </row>
    <row r="2982" spans="1:11" ht="22" customHeight="1" x14ac:dyDescent="0.35">
      <c r="A2982" s="251"/>
      <c r="B2982" s="252"/>
      <c r="C2982" s="252"/>
      <c r="D2982" s="252"/>
      <c r="E2982" s="252"/>
      <c r="F2982" s="252"/>
      <c r="G2982" s="252"/>
      <c r="H2982" s="252"/>
      <c r="I2982" s="252"/>
      <c r="J2982" s="252"/>
      <c r="K2982" s="253"/>
    </row>
    <row r="2983" spans="1:11" ht="22" customHeight="1" x14ac:dyDescent="0.35">
      <c r="A2983" s="251"/>
      <c r="B2983" s="252"/>
      <c r="C2983" s="252"/>
      <c r="D2983" s="252"/>
      <c r="E2983" s="252"/>
      <c r="F2983" s="252"/>
      <c r="G2983" s="252"/>
      <c r="H2983" s="252"/>
      <c r="I2983" s="252"/>
      <c r="J2983" s="252"/>
      <c r="K2983" s="253"/>
    </row>
    <row r="2984" spans="1:11" ht="22" customHeight="1" x14ac:dyDescent="0.35">
      <c r="A2984" s="251"/>
      <c r="B2984" s="252"/>
      <c r="C2984" s="252"/>
      <c r="D2984" s="252"/>
      <c r="E2984" s="252"/>
      <c r="F2984" s="252"/>
      <c r="G2984" s="252"/>
      <c r="H2984" s="252"/>
      <c r="I2984" s="252"/>
      <c r="J2984" s="252"/>
      <c r="K2984" s="253"/>
    </row>
    <row r="2985" spans="1:11" ht="22" customHeight="1" x14ac:dyDescent="0.35">
      <c r="A2985" s="251"/>
      <c r="B2985" s="252"/>
      <c r="C2985" s="252"/>
      <c r="D2985" s="252"/>
      <c r="E2985" s="252"/>
      <c r="F2985" s="252"/>
      <c r="G2985" s="252"/>
      <c r="H2985" s="252"/>
      <c r="I2985" s="252"/>
      <c r="J2985" s="252"/>
      <c r="K2985" s="253"/>
    </row>
    <row r="2986" spans="1:11" ht="22" customHeight="1" x14ac:dyDescent="0.35">
      <c r="A2986" s="251"/>
      <c r="B2986" s="252"/>
      <c r="C2986" s="252"/>
      <c r="D2986" s="252"/>
      <c r="E2986" s="252"/>
      <c r="F2986" s="252"/>
      <c r="G2986" s="252"/>
      <c r="H2986" s="252"/>
      <c r="I2986" s="252"/>
      <c r="J2986" s="252"/>
      <c r="K2986" s="253"/>
    </row>
    <row r="2987" spans="1:11" ht="22" customHeight="1" x14ac:dyDescent="0.35">
      <c r="A2987" s="251"/>
      <c r="B2987" s="252"/>
      <c r="C2987" s="252"/>
      <c r="D2987" s="252"/>
      <c r="E2987" s="252"/>
      <c r="F2987" s="252"/>
      <c r="G2987" s="252"/>
      <c r="H2987" s="252"/>
      <c r="I2987" s="252"/>
      <c r="J2987" s="252"/>
      <c r="K2987" s="253"/>
    </row>
    <row r="2988" spans="1:11" ht="22" customHeight="1" x14ac:dyDescent="0.35">
      <c r="A2988" s="251"/>
      <c r="B2988" s="252"/>
      <c r="C2988" s="252"/>
      <c r="D2988" s="252"/>
      <c r="E2988" s="252"/>
      <c r="F2988" s="252"/>
      <c r="G2988" s="252"/>
      <c r="H2988" s="252"/>
      <c r="I2988" s="252"/>
      <c r="J2988" s="252"/>
      <c r="K2988" s="253"/>
    </row>
    <row r="2989" spans="1:11" ht="22" customHeight="1" x14ac:dyDescent="0.35">
      <c r="A2989" s="251"/>
      <c r="B2989" s="252"/>
      <c r="C2989" s="252"/>
      <c r="D2989" s="252"/>
      <c r="E2989" s="252"/>
      <c r="F2989" s="252"/>
      <c r="G2989" s="252"/>
      <c r="H2989" s="252"/>
      <c r="I2989" s="252"/>
      <c r="J2989" s="252"/>
      <c r="K2989" s="253"/>
    </row>
    <row r="2990" spans="1:11" ht="22" customHeight="1" x14ac:dyDescent="0.35">
      <c r="A2990" s="251"/>
      <c r="B2990" s="252"/>
      <c r="C2990" s="252"/>
      <c r="D2990" s="252"/>
      <c r="E2990" s="252"/>
      <c r="F2990" s="252"/>
      <c r="G2990" s="252"/>
      <c r="H2990" s="252"/>
      <c r="I2990" s="252"/>
      <c r="J2990" s="252"/>
      <c r="K2990" s="253"/>
    </row>
    <row r="2991" spans="1:11" ht="22" customHeight="1" x14ac:dyDescent="0.35">
      <c r="A2991" s="251"/>
      <c r="B2991" s="252"/>
      <c r="C2991" s="252"/>
      <c r="D2991" s="252"/>
      <c r="E2991" s="252"/>
      <c r="F2991" s="252"/>
      <c r="G2991" s="252"/>
      <c r="H2991" s="252"/>
      <c r="I2991" s="252"/>
      <c r="J2991" s="252"/>
      <c r="K2991" s="253"/>
    </row>
    <row r="2992" spans="1:11" ht="22" customHeight="1" x14ac:dyDescent="0.35">
      <c r="A2992" s="251"/>
      <c r="B2992" s="252"/>
      <c r="C2992" s="252"/>
      <c r="D2992" s="252"/>
      <c r="E2992" s="252"/>
      <c r="F2992" s="252"/>
      <c r="G2992" s="252"/>
      <c r="H2992" s="252"/>
      <c r="I2992" s="252"/>
      <c r="J2992" s="252"/>
      <c r="K2992" s="253"/>
    </row>
    <row r="2993" spans="1:11" ht="22" customHeight="1" x14ac:dyDescent="0.35">
      <c r="A2993" s="251"/>
      <c r="B2993" s="252"/>
      <c r="C2993" s="252"/>
      <c r="D2993" s="252"/>
      <c r="E2993" s="252"/>
      <c r="F2993" s="252"/>
      <c r="G2993" s="252"/>
      <c r="H2993" s="252"/>
      <c r="I2993" s="252"/>
      <c r="J2993" s="252"/>
      <c r="K2993" s="253"/>
    </row>
    <row r="2994" spans="1:11" ht="22" customHeight="1" x14ac:dyDescent="0.35">
      <c r="A2994" s="251"/>
      <c r="B2994" s="252"/>
      <c r="C2994" s="252"/>
      <c r="D2994" s="252"/>
      <c r="E2994" s="252"/>
      <c r="F2994" s="252"/>
      <c r="G2994" s="252"/>
      <c r="H2994" s="252"/>
      <c r="I2994" s="252"/>
      <c r="J2994" s="252"/>
      <c r="K2994" s="253"/>
    </row>
    <row r="2995" spans="1:11" ht="22" customHeight="1" x14ac:dyDescent="0.35">
      <c r="A2995" s="251"/>
      <c r="B2995" s="252"/>
      <c r="C2995" s="252"/>
      <c r="D2995" s="252"/>
      <c r="E2995" s="252"/>
      <c r="F2995" s="252"/>
      <c r="G2995" s="252"/>
      <c r="H2995" s="252"/>
      <c r="I2995" s="252"/>
      <c r="J2995" s="252"/>
      <c r="K2995" s="253"/>
    </row>
    <row r="2996" spans="1:11" ht="22" customHeight="1" x14ac:dyDescent="0.35">
      <c r="A2996" s="251"/>
      <c r="B2996" s="252"/>
      <c r="C2996" s="252"/>
      <c r="D2996" s="252"/>
      <c r="E2996" s="252"/>
      <c r="F2996" s="252"/>
      <c r="G2996" s="252"/>
      <c r="H2996" s="252"/>
      <c r="I2996" s="252"/>
      <c r="J2996" s="252"/>
      <c r="K2996" s="253"/>
    </row>
    <row r="2997" spans="1:11" ht="22" customHeight="1" x14ac:dyDescent="0.35">
      <c r="A2997" s="251"/>
      <c r="B2997" s="252"/>
      <c r="C2997" s="252"/>
      <c r="D2997" s="252"/>
      <c r="E2997" s="252"/>
      <c r="F2997" s="252"/>
      <c r="G2997" s="252"/>
      <c r="H2997" s="252"/>
      <c r="I2997" s="252"/>
      <c r="J2997" s="252"/>
      <c r="K2997" s="253"/>
    </row>
    <row r="2998" spans="1:11" ht="22" customHeight="1" x14ac:dyDescent="0.35">
      <c r="A2998" s="251"/>
      <c r="B2998" s="252"/>
      <c r="C2998" s="252"/>
      <c r="D2998" s="252"/>
      <c r="E2998" s="252"/>
      <c r="F2998" s="252"/>
      <c r="G2998" s="252"/>
      <c r="H2998" s="252"/>
      <c r="I2998" s="252"/>
      <c r="J2998" s="252"/>
      <c r="K2998" s="253"/>
    </row>
    <row r="2999" spans="1:11" ht="22" customHeight="1" x14ac:dyDescent="0.35">
      <c r="A2999" s="251"/>
      <c r="B2999" s="252"/>
      <c r="C2999" s="252"/>
      <c r="D2999" s="252"/>
      <c r="E2999" s="252"/>
      <c r="F2999" s="252"/>
      <c r="G2999" s="252"/>
      <c r="H2999" s="252"/>
      <c r="I2999" s="252"/>
      <c r="J2999" s="252"/>
      <c r="K2999" s="253"/>
    </row>
    <row r="3000" spans="1:11" ht="22" customHeight="1" x14ac:dyDescent="0.35">
      <c r="A3000" s="251"/>
      <c r="B3000" s="252"/>
      <c r="C3000" s="252"/>
      <c r="D3000" s="252"/>
      <c r="E3000" s="252"/>
      <c r="F3000" s="252"/>
      <c r="G3000" s="252"/>
      <c r="H3000" s="252"/>
      <c r="I3000" s="252"/>
      <c r="J3000" s="252"/>
      <c r="K3000" s="253"/>
    </row>
    <row r="3001" spans="1:11" ht="22" customHeight="1" x14ac:dyDescent="0.35">
      <c r="A3001" s="251"/>
      <c r="B3001" s="252"/>
      <c r="C3001" s="252"/>
      <c r="D3001" s="252"/>
      <c r="E3001" s="252"/>
      <c r="F3001" s="252"/>
      <c r="G3001" s="252"/>
      <c r="H3001" s="252"/>
      <c r="I3001" s="252"/>
      <c r="J3001" s="252"/>
      <c r="K3001" s="253"/>
    </row>
    <row r="3002" spans="1:11" ht="22" customHeight="1" x14ac:dyDescent="0.35">
      <c r="A3002" s="251"/>
      <c r="B3002" s="252"/>
      <c r="C3002" s="252"/>
      <c r="D3002" s="252"/>
      <c r="E3002" s="252"/>
      <c r="F3002" s="252"/>
      <c r="G3002" s="252"/>
      <c r="H3002" s="252"/>
      <c r="I3002" s="252"/>
      <c r="J3002" s="252"/>
      <c r="K3002" s="253"/>
    </row>
    <row r="3003" spans="1:11" ht="22" customHeight="1" x14ac:dyDescent="0.35">
      <c r="A3003" s="251"/>
      <c r="B3003" s="252"/>
      <c r="C3003" s="252"/>
      <c r="D3003" s="252"/>
      <c r="E3003" s="252"/>
      <c r="F3003" s="252"/>
      <c r="G3003" s="252"/>
      <c r="H3003" s="252"/>
      <c r="I3003" s="252"/>
      <c r="J3003" s="252"/>
      <c r="K3003" s="253"/>
    </row>
    <row r="3004" spans="1:11" ht="22" customHeight="1" x14ac:dyDescent="0.35">
      <c r="A3004" s="251"/>
      <c r="B3004" s="252"/>
      <c r="C3004" s="252"/>
      <c r="D3004" s="252"/>
      <c r="E3004" s="252"/>
      <c r="F3004" s="252"/>
      <c r="G3004" s="252"/>
      <c r="H3004" s="252"/>
      <c r="I3004" s="252"/>
      <c r="J3004" s="252"/>
      <c r="K3004" s="253"/>
    </row>
    <row r="3005" spans="1:11" ht="22" customHeight="1" x14ac:dyDescent="0.35">
      <c r="A3005" s="251"/>
      <c r="B3005" s="252"/>
      <c r="C3005" s="252"/>
      <c r="D3005" s="252"/>
      <c r="E3005" s="252"/>
      <c r="F3005" s="252"/>
      <c r="G3005" s="252"/>
      <c r="H3005" s="252"/>
      <c r="I3005" s="252"/>
      <c r="J3005" s="252"/>
      <c r="K3005" s="253"/>
    </row>
    <row r="3006" spans="1:11" ht="22" customHeight="1" x14ac:dyDescent="0.35">
      <c r="A3006" s="251"/>
      <c r="B3006" s="252"/>
      <c r="C3006" s="252"/>
      <c r="D3006" s="252"/>
      <c r="E3006" s="252"/>
      <c r="F3006" s="252"/>
      <c r="G3006" s="252"/>
      <c r="H3006" s="252"/>
      <c r="I3006" s="252"/>
      <c r="J3006" s="252"/>
      <c r="K3006" s="253"/>
    </row>
    <row r="3007" spans="1:11" ht="22" customHeight="1" x14ac:dyDescent="0.35">
      <c r="A3007" s="251"/>
      <c r="B3007" s="252"/>
      <c r="C3007" s="252"/>
      <c r="D3007" s="252"/>
      <c r="E3007" s="252"/>
      <c r="F3007" s="252"/>
      <c r="G3007" s="252"/>
      <c r="H3007" s="252"/>
      <c r="I3007" s="252"/>
      <c r="J3007" s="252"/>
      <c r="K3007" s="253"/>
    </row>
    <row r="3008" spans="1:11" ht="22" customHeight="1" x14ac:dyDescent="0.35">
      <c r="A3008" s="251"/>
      <c r="B3008" s="252"/>
      <c r="C3008" s="252"/>
      <c r="D3008" s="252"/>
      <c r="E3008" s="252"/>
      <c r="F3008" s="252"/>
      <c r="G3008" s="252"/>
      <c r="H3008" s="252"/>
      <c r="I3008" s="252"/>
      <c r="J3008" s="252"/>
      <c r="K3008" s="253"/>
    </row>
    <row r="3009" spans="1:11" ht="22" customHeight="1" x14ac:dyDescent="0.35">
      <c r="A3009" s="251"/>
      <c r="B3009" s="252"/>
      <c r="C3009" s="252"/>
      <c r="D3009" s="252"/>
      <c r="E3009" s="252"/>
      <c r="F3009" s="252"/>
      <c r="G3009" s="252"/>
      <c r="H3009" s="252"/>
      <c r="I3009" s="252"/>
      <c r="J3009" s="252"/>
      <c r="K3009" s="253"/>
    </row>
    <row r="3010" spans="1:11" ht="22" customHeight="1" x14ac:dyDescent="0.35">
      <c r="A3010" s="251"/>
      <c r="B3010" s="252"/>
      <c r="C3010" s="252"/>
      <c r="D3010" s="252"/>
      <c r="E3010" s="252"/>
      <c r="F3010" s="252"/>
      <c r="G3010" s="252"/>
      <c r="H3010" s="252"/>
      <c r="I3010" s="252"/>
      <c r="J3010" s="252"/>
      <c r="K3010" s="253"/>
    </row>
    <row r="3011" spans="1:11" ht="22" customHeight="1" x14ac:dyDescent="0.35">
      <c r="A3011" s="251"/>
      <c r="B3011" s="252"/>
      <c r="C3011" s="252"/>
      <c r="D3011" s="252"/>
      <c r="E3011" s="252"/>
      <c r="F3011" s="252"/>
      <c r="G3011" s="252"/>
      <c r="H3011" s="252"/>
      <c r="I3011" s="252"/>
      <c r="J3011" s="252"/>
      <c r="K3011" s="253"/>
    </row>
    <row r="3012" spans="1:11" ht="22" customHeight="1" x14ac:dyDescent="0.35">
      <c r="A3012" s="251"/>
      <c r="B3012" s="252"/>
      <c r="C3012" s="252"/>
      <c r="D3012" s="252"/>
      <c r="E3012" s="252"/>
      <c r="F3012" s="252"/>
      <c r="G3012" s="252"/>
      <c r="H3012" s="252"/>
      <c r="I3012" s="252"/>
      <c r="J3012" s="252"/>
      <c r="K3012" s="253"/>
    </row>
    <row r="3013" spans="1:11" ht="22" customHeight="1" x14ac:dyDescent="0.35">
      <c r="A3013" s="251"/>
      <c r="B3013" s="252"/>
      <c r="C3013" s="252"/>
      <c r="D3013" s="252"/>
      <c r="E3013" s="252"/>
      <c r="F3013" s="252"/>
      <c r="G3013" s="252"/>
      <c r="H3013" s="252"/>
      <c r="I3013" s="252"/>
      <c r="J3013" s="252"/>
      <c r="K3013" s="253"/>
    </row>
    <row r="3014" spans="1:11" ht="22" customHeight="1" x14ac:dyDescent="0.35">
      <c r="A3014" s="251"/>
      <c r="B3014" s="252"/>
      <c r="C3014" s="252"/>
      <c r="D3014" s="252"/>
      <c r="E3014" s="252"/>
      <c r="F3014" s="252"/>
      <c r="G3014" s="252"/>
      <c r="H3014" s="252"/>
      <c r="I3014" s="252"/>
      <c r="J3014" s="252"/>
      <c r="K3014" s="253"/>
    </row>
    <row r="3015" spans="1:11" ht="22" customHeight="1" x14ac:dyDescent="0.35">
      <c r="A3015" s="251"/>
      <c r="B3015" s="252"/>
      <c r="C3015" s="252"/>
      <c r="D3015" s="252"/>
      <c r="E3015" s="252"/>
      <c r="F3015" s="252"/>
      <c r="G3015" s="252"/>
      <c r="H3015" s="252"/>
      <c r="I3015" s="252"/>
      <c r="J3015" s="252"/>
      <c r="K3015" s="253"/>
    </row>
    <row r="3016" spans="1:11" ht="22" customHeight="1" x14ac:dyDescent="0.35">
      <c r="A3016" s="251"/>
      <c r="B3016" s="252"/>
      <c r="C3016" s="252"/>
      <c r="D3016" s="252"/>
      <c r="E3016" s="252"/>
      <c r="F3016" s="252"/>
      <c r="G3016" s="252"/>
      <c r="H3016" s="252"/>
      <c r="I3016" s="252"/>
      <c r="J3016" s="252"/>
      <c r="K3016" s="253"/>
    </row>
    <row r="3017" spans="1:11" ht="22" customHeight="1" x14ac:dyDescent="0.35">
      <c r="A3017" s="251"/>
      <c r="B3017" s="252"/>
      <c r="C3017" s="252"/>
      <c r="D3017" s="252"/>
      <c r="E3017" s="252"/>
      <c r="F3017" s="252"/>
      <c r="G3017" s="252"/>
      <c r="H3017" s="252"/>
      <c r="I3017" s="252"/>
      <c r="J3017" s="252"/>
      <c r="K3017" s="253"/>
    </row>
    <row r="3018" spans="1:11" ht="22" customHeight="1" x14ac:dyDescent="0.35">
      <c r="A3018" s="251"/>
      <c r="B3018" s="252"/>
      <c r="C3018" s="252"/>
      <c r="D3018" s="252"/>
      <c r="E3018" s="252"/>
      <c r="F3018" s="252"/>
      <c r="G3018" s="252"/>
      <c r="H3018" s="252"/>
      <c r="I3018" s="252"/>
      <c r="J3018" s="252"/>
      <c r="K3018" s="253"/>
    </row>
    <row r="3019" spans="1:11" ht="22" customHeight="1" x14ac:dyDescent="0.35">
      <c r="A3019" s="251"/>
      <c r="B3019" s="252"/>
      <c r="C3019" s="252"/>
      <c r="D3019" s="252"/>
      <c r="E3019" s="252"/>
      <c r="F3019" s="252"/>
      <c r="G3019" s="252"/>
      <c r="H3019" s="252"/>
      <c r="I3019" s="252"/>
      <c r="J3019" s="252"/>
      <c r="K3019" s="253"/>
    </row>
    <row r="3020" spans="1:11" ht="22" customHeight="1" x14ac:dyDescent="0.35">
      <c r="A3020" s="251"/>
      <c r="B3020" s="252"/>
      <c r="C3020" s="252"/>
      <c r="D3020" s="252"/>
      <c r="E3020" s="252"/>
      <c r="F3020" s="252"/>
      <c r="G3020" s="252"/>
      <c r="H3020" s="252"/>
      <c r="I3020" s="252"/>
      <c r="J3020" s="252"/>
      <c r="K3020" s="253"/>
    </row>
    <row r="3021" spans="1:11" ht="22" customHeight="1" x14ac:dyDescent="0.35">
      <c r="A3021" s="251"/>
      <c r="B3021" s="252"/>
      <c r="C3021" s="252"/>
      <c r="D3021" s="252"/>
      <c r="E3021" s="252"/>
      <c r="F3021" s="252"/>
      <c r="G3021" s="252"/>
      <c r="H3021" s="252"/>
      <c r="I3021" s="252"/>
      <c r="J3021" s="252"/>
      <c r="K3021" s="253"/>
    </row>
    <row r="3022" spans="1:11" ht="22" customHeight="1" x14ac:dyDescent="0.35">
      <c r="A3022" s="251"/>
      <c r="B3022" s="252"/>
      <c r="C3022" s="252"/>
      <c r="D3022" s="252"/>
      <c r="E3022" s="252"/>
      <c r="F3022" s="252"/>
      <c r="G3022" s="252"/>
      <c r="H3022" s="252"/>
      <c r="I3022" s="252"/>
      <c r="J3022" s="252"/>
      <c r="K3022" s="253"/>
    </row>
    <row r="3023" spans="1:11" ht="22" customHeight="1" x14ac:dyDescent="0.35">
      <c r="A3023" s="251"/>
      <c r="B3023" s="252"/>
      <c r="C3023" s="252"/>
      <c r="D3023" s="252"/>
      <c r="E3023" s="252"/>
      <c r="F3023" s="252"/>
      <c r="G3023" s="252"/>
      <c r="H3023" s="252"/>
      <c r="I3023" s="252"/>
      <c r="J3023" s="252"/>
      <c r="K3023" s="253"/>
    </row>
    <row r="3024" spans="1:11" ht="22" customHeight="1" x14ac:dyDescent="0.35">
      <c r="A3024" s="251"/>
      <c r="B3024" s="252"/>
      <c r="C3024" s="252"/>
      <c r="D3024" s="252"/>
      <c r="E3024" s="252"/>
      <c r="F3024" s="252"/>
      <c r="G3024" s="252"/>
      <c r="H3024" s="252"/>
      <c r="I3024" s="252"/>
      <c r="J3024" s="252"/>
      <c r="K3024" s="253"/>
    </row>
    <row r="3025" spans="1:11" ht="22" customHeight="1" x14ac:dyDescent="0.35">
      <c r="A3025" s="251"/>
      <c r="B3025" s="252"/>
      <c r="C3025" s="252"/>
      <c r="D3025" s="252"/>
      <c r="E3025" s="252"/>
      <c r="F3025" s="252"/>
      <c r="G3025" s="252"/>
      <c r="H3025" s="252"/>
      <c r="I3025" s="252"/>
      <c r="J3025" s="252"/>
      <c r="K3025" s="253"/>
    </row>
    <row r="3026" spans="1:11" ht="22" customHeight="1" x14ac:dyDescent="0.35">
      <c r="A3026" s="251"/>
      <c r="B3026" s="252"/>
      <c r="C3026" s="252"/>
      <c r="D3026" s="252"/>
      <c r="E3026" s="252"/>
      <c r="F3026" s="252"/>
      <c r="G3026" s="252"/>
      <c r="H3026" s="252"/>
      <c r="I3026" s="252"/>
      <c r="J3026" s="252"/>
      <c r="K3026" s="253"/>
    </row>
    <row r="3027" spans="1:11" ht="22" customHeight="1" x14ac:dyDescent="0.35">
      <c r="A3027" s="251"/>
      <c r="B3027" s="252"/>
      <c r="C3027" s="252"/>
      <c r="D3027" s="252"/>
      <c r="E3027" s="252"/>
      <c r="F3027" s="252"/>
      <c r="G3027" s="252"/>
      <c r="H3027" s="252"/>
      <c r="I3027" s="252"/>
      <c r="J3027" s="252"/>
      <c r="K3027" s="253"/>
    </row>
    <row r="3028" spans="1:11" ht="22" customHeight="1" x14ac:dyDescent="0.35">
      <c r="A3028" s="251"/>
      <c r="B3028" s="252"/>
      <c r="C3028" s="252"/>
      <c r="D3028" s="252"/>
      <c r="E3028" s="252"/>
      <c r="F3028" s="252"/>
      <c r="G3028" s="252"/>
      <c r="H3028" s="252"/>
      <c r="I3028" s="252"/>
      <c r="J3028" s="252"/>
      <c r="K3028" s="253"/>
    </row>
    <row r="3029" spans="1:11" ht="22" customHeight="1" x14ac:dyDescent="0.35">
      <c r="A3029" s="251"/>
      <c r="B3029" s="252"/>
      <c r="C3029" s="252"/>
      <c r="D3029" s="252"/>
      <c r="E3029" s="252"/>
      <c r="F3029" s="252"/>
      <c r="G3029" s="252"/>
      <c r="H3029" s="252"/>
      <c r="I3029" s="252"/>
      <c r="J3029" s="252"/>
      <c r="K3029" s="253"/>
    </row>
    <row r="3030" spans="1:11" ht="22" customHeight="1" x14ac:dyDescent="0.35">
      <c r="A3030" s="251"/>
      <c r="B3030" s="252"/>
      <c r="C3030" s="252"/>
      <c r="D3030" s="252"/>
      <c r="E3030" s="252"/>
      <c r="F3030" s="252"/>
      <c r="G3030" s="252"/>
      <c r="H3030" s="252"/>
      <c r="I3030" s="252"/>
      <c r="J3030" s="252"/>
      <c r="K3030" s="253"/>
    </row>
    <row r="3031" spans="1:11" ht="22" customHeight="1" x14ac:dyDescent="0.35">
      <c r="A3031" s="251"/>
      <c r="B3031" s="252"/>
      <c r="C3031" s="252"/>
      <c r="D3031" s="252"/>
      <c r="E3031" s="252"/>
      <c r="F3031" s="252"/>
      <c r="G3031" s="252"/>
      <c r="H3031" s="252"/>
      <c r="I3031" s="252"/>
      <c r="J3031" s="252"/>
      <c r="K3031" s="253"/>
    </row>
    <row r="3032" spans="1:11" ht="22" customHeight="1" x14ac:dyDescent="0.35">
      <c r="A3032" s="251"/>
      <c r="B3032" s="252"/>
      <c r="C3032" s="252"/>
      <c r="D3032" s="252"/>
      <c r="E3032" s="252"/>
      <c r="F3032" s="252"/>
      <c r="G3032" s="252"/>
      <c r="H3032" s="252"/>
      <c r="I3032" s="252"/>
      <c r="J3032" s="252"/>
      <c r="K3032" s="253"/>
    </row>
    <row r="3033" spans="1:11" ht="22" customHeight="1" x14ac:dyDescent="0.35">
      <c r="A3033" s="251"/>
      <c r="B3033" s="252"/>
      <c r="C3033" s="252"/>
      <c r="D3033" s="252"/>
      <c r="E3033" s="252"/>
      <c r="F3033" s="252"/>
      <c r="G3033" s="252"/>
      <c r="H3033" s="252"/>
      <c r="I3033" s="252"/>
      <c r="J3033" s="252"/>
      <c r="K3033" s="253"/>
    </row>
    <row r="3034" spans="1:11" ht="22" customHeight="1" x14ac:dyDescent="0.35">
      <c r="A3034" s="251"/>
      <c r="B3034" s="252"/>
      <c r="C3034" s="252"/>
      <c r="D3034" s="252"/>
      <c r="E3034" s="252"/>
      <c r="F3034" s="252"/>
      <c r="G3034" s="252"/>
      <c r="H3034" s="252"/>
      <c r="I3034" s="252"/>
      <c r="J3034" s="252"/>
      <c r="K3034" s="253"/>
    </row>
    <row r="3035" spans="1:11" ht="22" customHeight="1" x14ac:dyDescent="0.35">
      <c r="A3035" s="251"/>
      <c r="B3035" s="252"/>
      <c r="C3035" s="252"/>
      <c r="D3035" s="252"/>
      <c r="E3035" s="252"/>
      <c r="F3035" s="252"/>
      <c r="G3035" s="252"/>
      <c r="H3035" s="252"/>
      <c r="I3035" s="252"/>
      <c r="J3035" s="252"/>
      <c r="K3035" s="253"/>
    </row>
    <row r="3036" spans="1:11" ht="22" customHeight="1" x14ac:dyDescent="0.35">
      <c r="A3036" s="251"/>
      <c r="B3036" s="252"/>
      <c r="C3036" s="252"/>
      <c r="D3036" s="252"/>
      <c r="E3036" s="252"/>
      <c r="F3036" s="252"/>
      <c r="G3036" s="252"/>
      <c r="H3036" s="252"/>
      <c r="I3036" s="252"/>
      <c r="J3036" s="252"/>
      <c r="K3036" s="253"/>
    </row>
    <row r="3037" spans="1:11" ht="22" customHeight="1" x14ac:dyDescent="0.35">
      <c r="A3037" s="251"/>
      <c r="B3037" s="252"/>
      <c r="C3037" s="252"/>
      <c r="D3037" s="252"/>
      <c r="E3037" s="252"/>
      <c r="F3037" s="252"/>
      <c r="G3037" s="252"/>
      <c r="H3037" s="252"/>
      <c r="I3037" s="252"/>
      <c r="J3037" s="252"/>
      <c r="K3037" s="253"/>
    </row>
    <row r="3038" spans="1:11" ht="22" customHeight="1" x14ac:dyDescent="0.35">
      <c r="A3038" s="251"/>
      <c r="B3038" s="252"/>
      <c r="C3038" s="252"/>
      <c r="D3038" s="252"/>
      <c r="E3038" s="252"/>
      <c r="F3038" s="252"/>
      <c r="G3038" s="252"/>
      <c r="H3038" s="252"/>
      <c r="I3038" s="252"/>
      <c r="J3038" s="252"/>
      <c r="K3038" s="253"/>
    </row>
    <row r="3039" spans="1:11" ht="22" customHeight="1" x14ac:dyDescent="0.35">
      <c r="A3039" s="251"/>
      <c r="B3039" s="252"/>
      <c r="C3039" s="252"/>
      <c r="D3039" s="252"/>
      <c r="E3039" s="252"/>
      <c r="F3039" s="252"/>
      <c r="G3039" s="252"/>
      <c r="H3039" s="252"/>
      <c r="I3039" s="252"/>
      <c r="J3039" s="252"/>
      <c r="K3039" s="253"/>
    </row>
    <row r="3040" spans="1:11" ht="22" customHeight="1" x14ac:dyDescent="0.35">
      <c r="A3040" s="251"/>
      <c r="B3040" s="252"/>
      <c r="C3040" s="252"/>
      <c r="D3040" s="252"/>
      <c r="E3040" s="252"/>
      <c r="F3040" s="252"/>
      <c r="G3040" s="252"/>
      <c r="H3040" s="252"/>
      <c r="I3040" s="252"/>
      <c r="J3040" s="252"/>
      <c r="K3040" s="253"/>
    </row>
    <row r="3041" spans="1:11" ht="22" customHeight="1" x14ac:dyDescent="0.35">
      <c r="A3041" s="251"/>
      <c r="B3041" s="252"/>
      <c r="C3041" s="252"/>
      <c r="D3041" s="252"/>
      <c r="E3041" s="252"/>
      <c r="F3041" s="252"/>
      <c r="G3041" s="252"/>
      <c r="H3041" s="252"/>
      <c r="I3041" s="252"/>
      <c r="J3041" s="252"/>
      <c r="K3041" s="253"/>
    </row>
    <row r="3042" spans="1:11" ht="22" customHeight="1" x14ac:dyDescent="0.35">
      <c r="A3042" s="251"/>
      <c r="B3042" s="252"/>
      <c r="C3042" s="252"/>
      <c r="D3042" s="252"/>
      <c r="E3042" s="252"/>
      <c r="F3042" s="252"/>
      <c r="G3042" s="252"/>
      <c r="H3042" s="252"/>
      <c r="I3042" s="252"/>
      <c r="J3042" s="252"/>
      <c r="K3042" s="253"/>
    </row>
    <row r="3043" spans="1:11" ht="22" customHeight="1" x14ac:dyDescent="0.35">
      <c r="A3043" s="251"/>
      <c r="B3043" s="252"/>
      <c r="C3043" s="252"/>
      <c r="D3043" s="252"/>
      <c r="E3043" s="252"/>
      <c r="F3043" s="252"/>
      <c r="G3043" s="252"/>
      <c r="H3043" s="252"/>
      <c r="I3043" s="252"/>
      <c r="J3043" s="252"/>
      <c r="K3043" s="253"/>
    </row>
    <row r="3044" spans="1:11" ht="22" customHeight="1" x14ac:dyDescent="0.35">
      <c r="A3044" s="251"/>
      <c r="B3044" s="252"/>
      <c r="C3044" s="252"/>
      <c r="D3044" s="252"/>
      <c r="E3044" s="252"/>
      <c r="F3044" s="252"/>
      <c r="G3044" s="252"/>
      <c r="H3044" s="252"/>
      <c r="I3044" s="252"/>
      <c r="J3044" s="252"/>
      <c r="K3044" s="253"/>
    </row>
    <row r="3045" spans="1:11" ht="22" customHeight="1" x14ac:dyDescent="0.35">
      <c r="A3045" s="251"/>
      <c r="B3045" s="252"/>
      <c r="C3045" s="252"/>
      <c r="D3045" s="252"/>
      <c r="E3045" s="252"/>
      <c r="F3045" s="252"/>
      <c r="G3045" s="252"/>
      <c r="H3045" s="252"/>
      <c r="I3045" s="252"/>
      <c r="J3045" s="252"/>
      <c r="K3045" s="253"/>
    </row>
    <row r="3046" spans="1:11" ht="22" customHeight="1" x14ac:dyDescent="0.35">
      <c r="A3046" s="251"/>
      <c r="B3046" s="252"/>
      <c r="C3046" s="252"/>
      <c r="D3046" s="252"/>
      <c r="E3046" s="252"/>
      <c r="F3046" s="252"/>
      <c r="G3046" s="252"/>
      <c r="H3046" s="252"/>
      <c r="I3046" s="252"/>
      <c r="J3046" s="252"/>
      <c r="K3046" s="253"/>
    </row>
    <row r="3047" spans="1:11" ht="22" customHeight="1" x14ac:dyDescent="0.35">
      <c r="A3047" s="251"/>
      <c r="B3047" s="252"/>
      <c r="C3047" s="252"/>
      <c r="D3047" s="252"/>
      <c r="E3047" s="252"/>
      <c r="F3047" s="252"/>
      <c r="G3047" s="252"/>
      <c r="H3047" s="252"/>
      <c r="I3047" s="252"/>
      <c r="J3047" s="252"/>
      <c r="K3047" s="253"/>
    </row>
    <row r="3048" spans="1:11" ht="22" customHeight="1" x14ac:dyDescent="0.35">
      <c r="A3048" s="251"/>
      <c r="B3048" s="252"/>
      <c r="C3048" s="252"/>
      <c r="D3048" s="252"/>
      <c r="E3048" s="252"/>
      <c r="F3048" s="252"/>
      <c r="G3048" s="252"/>
      <c r="H3048" s="252"/>
      <c r="I3048" s="252"/>
      <c r="J3048" s="252"/>
      <c r="K3048" s="253"/>
    </row>
    <row r="3049" spans="1:11" ht="22" customHeight="1" x14ac:dyDescent="0.35">
      <c r="A3049" s="251"/>
      <c r="B3049" s="252"/>
      <c r="C3049" s="252"/>
      <c r="D3049" s="252"/>
      <c r="E3049" s="252"/>
      <c r="F3049" s="252"/>
      <c r="G3049" s="252"/>
      <c r="H3049" s="252"/>
      <c r="I3049" s="252"/>
      <c r="J3049" s="252"/>
      <c r="K3049" s="253"/>
    </row>
    <row r="3050" spans="1:11" ht="22" customHeight="1" x14ac:dyDescent="0.35">
      <c r="A3050" s="251"/>
      <c r="B3050" s="252"/>
      <c r="C3050" s="252"/>
      <c r="D3050" s="252"/>
      <c r="E3050" s="252"/>
      <c r="F3050" s="252"/>
      <c r="G3050" s="252"/>
      <c r="H3050" s="252"/>
      <c r="I3050" s="252"/>
      <c r="J3050" s="252"/>
      <c r="K3050" s="253"/>
    </row>
    <row r="3051" spans="1:11" ht="22" customHeight="1" x14ac:dyDescent="0.35">
      <c r="A3051" s="251"/>
      <c r="B3051" s="252"/>
      <c r="C3051" s="252"/>
      <c r="D3051" s="252"/>
      <c r="E3051" s="252"/>
      <c r="F3051" s="252"/>
      <c r="G3051" s="252"/>
      <c r="H3051" s="252"/>
      <c r="I3051" s="252"/>
      <c r="J3051" s="252"/>
      <c r="K3051" s="253"/>
    </row>
    <row r="3052" spans="1:11" ht="22" customHeight="1" x14ac:dyDescent="0.35">
      <c r="A3052" s="251"/>
      <c r="B3052" s="252"/>
      <c r="C3052" s="252"/>
      <c r="D3052" s="252"/>
      <c r="E3052" s="252"/>
      <c r="F3052" s="252"/>
      <c r="G3052" s="252"/>
      <c r="H3052" s="252"/>
      <c r="I3052" s="252"/>
      <c r="J3052" s="252"/>
      <c r="K3052" s="253"/>
    </row>
    <row r="3053" spans="1:11" ht="22" customHeight="1" x14ac:dyDescent="0.35">
      <c r="A3053" s="251"/>
      <c r="B3053" s="252"/>
      <c r="C3053" s="252"/>
      <c r="D3053" s="252"/>
      <c r="E3053" s="252"/>
      <c r="F3053" s="252"/>
      <c r="G3053" s="252"/>
      <c r="H3053" s="252"/>
      <c r="I3053" s="252"/>
      <c r="J3053" s="252"/>
      <c r="K3053" s="253"/>
    </row>
    <row r="3054" spans="1:11" ht="22" customHeight="1" x14ac:dyDescent="0.35">
      <c r="A3054" s="251"/>
      <c r="B3054" s="252"/>
      <c r="C3054" s="252"/>
      <c r="D3054" s="252"/>
      <c r="E3054" s="252"/>
      <c r="F3054" s="252"/>
      <c r="G3054" s="252"/>
      <c r="H3054" s="252"/>
      <c r="I3054" s="252"/>
      <c r="J3054" s="252"/>
      <c r="K3054" s="253"/>
    </row>
    <row r="3055" spans="1:11" ht="22" customHeight="1" x14ac:dyDescent="0.35">
      <c r="A3055" s="251"/>
      <c r="B3055" s="252"/>
      <c r="C3055" s="252"/>
      <c r="D3055" s="252"/>
      <c r="E3055" s="252"/>
      <c r="F3055" s="252"/>
      <c r="G3055" s="252"/>
      <c r="H3055" s="252"/>
      <c r="I3055" s="252"/>
      <c r="J3055" s="252"/>
      <c r="K3055" s="253"/>
    </row>
    <row r="3056" spans="1:11" ht="22" customHeight="1" x14ac:dyDescent="0.35">
      <c r="A3056" s="251"/>
      <c r="B3056" s="252"/>
      <c r="C3056" s="252"/>
      <c r="D3056" s="252"/>
      <c r="E3056" s="252"/>
      <c r="F3056" s="252"/>
      <c r="G3056" s="252"/>
      <c r="H3056" s="252"/>
      <c r="I3056" s="252"/>
      <c r="J3056" s="252"/>
      <c r="K3056" s="253"/>
    </row>
    <row r="3057" spans="1:11" ht="22" customHeight="1" x14ac:dyDescent="0.35">
      <c r="A3057" s="251"/>
      <c r="B3057" s="252"/>
      <c r="C3057" s="252"/>
      <c r="D3057" s="252"/>
      <c r="E3057" s="252"/>
      <c r="F3057" s="252"/>
      <c r="G3057" s="252"/>
      <c r="H3057" s="252"/>
      <c r="I3057" s="252"/>
      <c r="J3057" s="252"/>
      <c r="K3057" s="253"/>
    </row>
    <row r="3058" spans="1:11" ht="22" customHeight="1" x14ac:dyDescent="0.35">
      <c r="A3058" s="251"/>
      <c r="B3058" s="252"/>
      <c r="C3058" s="252"/>
      <c r="D3058" s="252"/>
      <c r="E3058" s="252"/>
      <c r="F3058" s="252"/>
      <c r="G3058" s="252"/>
      <c r="H3058" s="252"/>
      <c r="I3058" s="252"/>
      <c r="J3058" s="252"/>
      <c r="K3058" s="253"/>
    </row>
    <row r="3059" spans="1:11" ht="22" customHeight="1" x14ac:dyDescent="0.35">
      <c r="A3059" s="251"/>
      <c r="B3059" s="252"/>
      <c r="C3059" s="252"/>
      <c r="D3059" s="252"/>
      <c r="E3059" s="252"/>
      <c r="F3059" s="252"/>
      <c r="G3059" s="252"/>
      <c r="H3059" s="252"/>
      <c r="I3059" s="252"/>
      <c r="J3059" s="252"/>
      <c r="K3059" s="253"/>
    </row>
    <row r="3060" spans="1:11" ht="22" customHeight="1" x14ac:dyDescent="0.35">
      <c r="A3060" s="251"/>
      <c r="B3060" s="252"/>
      <c r="C3060" s="252"/>
      <c r="D3060" s="252"/>
      <c r="E3060" s="252"/>
      <c r="F3060" s="252"/>
      <c r="G3060" s="252"/>
      <c r="H3060" s="252"/>
      <c r="I3060" s="252"/>
      <c r="J3060" s="252"/>
      <c r="K3060" s="253"/>
    </row>
    <row r="3061" spans="1:11" ht="22" customHeight="1" x14ac:dyDescent="0.35">
      <c r="A3061" s="251"/>
      <c r="B3061" s="252"/>
      <c r="C3061" s="252"/>
      <c r="D3061" s="252"/>
      <c r="E3061" s="252"/>
      <c r="F3061" s="252"/>
      <c r="G3061" s="252"/>
      <c r="H3061" s="252"/>
      <c r="I3061" s="252"/>
      <c r="J3061" s="252"/>
      <c r="K3061" s="253"/>
    </row>
    <row r="3062" spans="1:11" ht="22" customHeight="1" x14ac:dyDescent="0.35">
      <c r="A3062" s="251"/>
      <c r="B3062" s="252"/>
      <c r="C3062" s="252"/>
      <c r="D3062" s="252"/>
      <c r="E3062" s="252"/>
      <c r="F3062" s="252"/>
      <c r="G3062" s="252"/>
      <c r="H3062" s="252"/>
      <c r="I3062" s="252"/>
      <c r="J3062" s="252"/>
      <c r="K3062" s="253"/>
    </row>
    <row r="3063" spans="1:11" ht="22" customHeight="1" x14ac:dyDescent="0.35">
      <c r="A3063" s="251"/>
      <c r="B3063" s="252"/>
      <c r="C3063" s="252"/>
      <c r="D3063" s="252"/>
      <c r="E3063" s="252"/>
      <c r="F3063" s="252"/>
      <c r="G3063" s="252"/>
      <c r="H3063" s="252"/>
      <c r="I3063" s="252"/>
      <c r="J3063" s="252"/>
      <c r="K3063" s="253"/>
    </row>
    <row r="3064" spans="1:11" ht="22" customHeight="1" x14ac:dyDescent="0.35">
      <c r="A3064" s="251"/>
      <c r="B3064" s="252"/>
      <c r="C3064" s="252"/>
      <c r="D3064" s="252"/>
      <c r="E3064" s="252"/>
      <c r="F3064" s="252"/>
      <c r="G3064" s="252"/>
      <c r="H3064" s="252"/>
      <c r="I3064" s="252"/>
      <c r="J3064" s="252"/>
      <c r="K3064" s="253"/>
    </row>
    <row r="3065" spans="1:11" ht="22" customHeight="1" x14ac:dyDescent="0.35">
      <c r="A3065" s="251"/>
      <c r="B3065" s="252"/>
      <c r="C3065" s="252"/>
      <c r="D3065" s="252"/>
      <c r="E3065" s="252"/>
      <c r="F3065" s="252"/>
      <c r="G3065" s="252"/>
      <c r="H3065" s="252"/>
      <c r="I3065" s="252"/>
      <c r="J3065" s="252"/>
      <c r="K3065" s="253"/>
    </row>
    <row r="3066" spans="1:11" ht="22" customHeight="1" x14ac:dyDescent="0.35">
      <c r="A3066" s="251"/>
      <c r="B3066" s="252"/>
      <c r="C3066" s="252"/>
      <c r="D3066" s="252"/>
      <c r="E3066" s="252"/>
      <c r="F3066" s="252"/>
      <c r="G3066" s="252"/>
      <c r="H3066" s="252"/>
      <c r="I3066" s="252"/>
      <c r="J3066" s="252"/>
      <c r="K3066" s="253"/>
    </row>
    <row r="3067" spans="1:11" ht="22" customHeight="1" x14ac:dyDescent="0.35">
      <c r="A3067" s="251"/>
      <c r="B3067" s="252"/>
      <c r="C3067" s="252"/>
      <c r="D3067" s="252"/>
      <c r="E3067" s="252"/>
      <c r="F3067" s="252"/>
      <c r="G3067" s="252"/>
      <c r="H3067" s="252"/>
      <c r="I3067" s="252"/>
      <c r="J3067" s="252"/>
      <c r="K3067" s="253"/>
    </row>
    <row r="3068" spans="1:11" ht="22" customHeight="1" x14ac:dyDescent="0.35">
      <c r="A3068" s="251"/>
      <c r="B3068" s="252"/>
      <c r="C3068" s="252"/>
      <c r="D3068" s="252"/>
      <c r="E3068" s="252"/>
      <c r="F3068" s="252"/>
      <c r="G3068" s="252"/>
      <c r="H3068" s="252"/>
      <c r="I3068" s="252"/>
      <c r="J3068" s="252"/>
      <c r="K3068" s="253"/>
    </row>
    <row r="3069" spans="1:11" ht="22" customHeight="1" x14ac:dyDescent="0.35">
      <c r="A3069" s="251"/>
      <c r="B3069" s="252"/>
      <c r="C3069" s="252"/>
      <c r="D3069" s="252"/>
      <c r="E3069" s="252"/>
      <c r="F3069" s="252"/>
      <c r="G3069" s="252"/>
      <c r="H3069" s="252"/>
      <c r="I3069" s="252"/>
      <c r="J3069" s="252"/>
      <c r="K3069" s="253"/>
    </row>
    <row r="3070" spans="1:11" ht="22" customHeight="1" x14ac:dyDescent="0.35">
      <c r="A3070" s="251"/>
      <c r="B3070" s="252"/>
      <c r="C3070" s="252"/>
      <c r="D3070" s="252"/>
      <c r="E3070" s="252"/>
      <c r="F3070" s="252"/>
      <c r="G3070" s="252"/>
      <c r="H3070" s="252"/>
      <c r="I3070" s="252"/>
      <c r="J3070" s="252"/>
      <c r="K3070" s="253"/>
    </row>
    <row r="3071" spans="1:11" ht="22" customHeight="1" x14ac:dyDescent="0.35">
      <c r="A3071" s="251"/>
      <c r="B3071" s="252"/>
      <c r="C3071" s="252"/>
      <c r="D3071" s="252"/>
      <c r="E3071" s="252"/>
      <c r="F3071" s="252"/>
      <c r="G3071" s="252"/>
      <c r="H3071" s="252"/>
      <c r="I3071" s="252"/>
      <c r="J3071" s="252"/>
      <c r="K3071" s="253"/>
    </row>
    <row r="3072" spans="1:11" ht="22" customHeight="1" x14ac:dyDescent="0.35">
      <c r="A3072" s="251"/>
      <c r="B3072" s="252"/>
      <c r="C3072" s="252"/>
      <c r="D3072" s="252"/>
      <c r="E3072" s="252"/>
      <c r="F3072" s="252"/>
      <c r="G3072" s="252"/>
      <c r="H3072" s="252"/>
      <c r="I3072" s="252"/>
      <c r="J3072" s="252"/>
      <c r="K3072" s="253"/>
    </row>
    <row r="3073" spans="1:11" ht="22" customHeight="1" x14ac:dyDescent="0.35">
      <c r="A3073" s="251"/>
      <c r="B3073" s="252"/>
      <c r="C3073" s="252"/>
      <c r="D3073" s="252"/>
      <c r="E3073" s="252"/>
      <c r="F3073" s="252"/>
      <c r="G3073" s="252"/>
      <c r="H3073" s="252"/>
      <c r="I3073" s="252"/>
      <c r="J3073" s="252"/>
      <c r="K3073" s="253"/>
    </row>
    <row r="3074" spans="1:11" ht="22" customHeight="1" x14ac:dyDescent="0.35">
      <c r="A3074" s="251"/>
      <c r="B3074" s="252"/>
      <c r="C3074" s="252"/>
      <c r="D3074" s="252"/>
      <c r="E3074" s="252"/>
      <c r="F3074" s="252"/>
      <c r="G3074" s="252"/>
      <c r="H3074" s="252"/>
      <c r="I3074" s="252"/>
      <c r="J3074" s="252"/>
      <c r="K3074" s="253"/>
    </row>
    <row r="3075" spans="1:11" ht="22" customHeight="1" x14ac:dyDescent="0.35">
      <c r="A3075" s="251"/>
      <c r="B3075" s="252"/>
      <c r="C3075" s="252"/>
      <c r="D3075" s="252"/>
      <c r="E3075" s="252"/>
      <c r="F3075" s="252"/>
      <c r="G3075" s="252"/>
      <c r="H3075" s="252"/>
      <c r="I3075" s="252"/>
      <c r="J3075" s="252"/>
      <c r="K3075" s="253"/>
    </row>
    <row r="3076" spans="1:11" ht="22" customHeight="1" x14ac:dyDescent="0.35">
      <c r="A3076" s="251"/>
      <c r="B3076" s="252"/>
      <c r="C3076" s="252"/>
      <c r="D3076" s="252"/>
      <c r="E3076" s="252"/>
      <c r="F3076" s="252"/>
      <c r="G3076" s="252"/>
      <c r="H3076" s="252"/>
      <c r="I3076" s="252"/>
      <c r="J3076" s="252"/>
      <c r="K3076" s="253"/>
    </row>
    <row r="3077" spans="1:11" ht="22" customHeight="1" x14ac:dyDescent="0.35">
      <c r="A3077" s="251"/>
      <c r="B3077" s="252"/>
      <c r="C3077" s="252"/>
      <c r="D3077" s="252"/>
      <c r="E3077" s="252"/>
      <c r="F3077" s="252"/>
      <c r="G3077" s="252"/>
      <c r="H3077" s="252"/>
      <c r="I3077" s="252"/>
      <c r="J3077" s="252"/>
      <c r="K3077" s="253"/>
    </row>
    <row r="3078" spans="1:11" ht="22" customHeight="1" x14ac:dyDescent="0.35">
      <c r="A3078" s="251"/>
      <c r="B3078" s="252"/>
      <c r="C3078" s="252"/>
      <c r="D3078" s="252"/>
      <c r="E3078" s="252"/>
      <c r="F3078" s="252"/>
      <c r="G3078" s="252"/>
      <c r="H3078" s="252"/>
      <c r="I3078" s="252"/>
      <c r="J3078" s="252"/>
      <c r="K3078" s="253"/>
    </row>
    <row r="3079" spans="1:11" ht="22" customHeight="1" x14ac:dyDescent="0.35">
      <c r="A3079" s="251"/>
      <c r="B3079" s="252"/>
      <c r="C3079" s="252"/>
      <c r="D3079" s="252"/>
      <c r="E3079" s="252"/>
      <c r="F3079" s="252"/>
      <c r="G3079" s="252"/>
      <c r="H3079" s="252"/>
      <c r="I3079" s="252"/>
      <c r="J3079" s="252"/>
      <c r="K3079" s="253"/>
    </row>
    <row r="3080" spans="1:11" ht="22" customHeight="1" x14ac:dyDescent="0.35">
      <c r="A3080" s="251"/>
      <c r="B3080" s="252"/>
      <c r="C3080" s="252"/>
      <c r="D3080" s="252"/>
      <c r="E3080" s="252"/>
      <c r="F3080" s="252"/>
      <c r="G3080" s="252"/>
      <c r="H3080" s="252"/>
      <c r="I3080" s="252"/>
      <c r="J3080" s="252"/>
      <c r="K3080" s="253"/>
    </row>
    <row r="3081" spans="1:11" ht="22" customHeight="1" x14ac:dyDescent="0.35">
      <c r="A3081" s="251"/>
      <c r="B3081" s="252"/>
      <c r="C3081" s="252"/>
      <c r="D3081" s="252"/>
      <c r="E3081" s="252"/>
      <c r="F3081" s="252"/>
      <c r="G3081" s="252"/>
      <c r="H3081" s="252"/>
      <c r="I3081" s="252"/>
      <c r="J3081" s="252"/>
      <c r="K3081" s="253"/>
    </row>
    <row r="3082" spans="1:11" ht="22" customHeight="1" x14ac:dyDescent="0.35">
      <c r="A3082" s="251"/>
      <c r="B3082" s="252"/>
      <c r="C3082" s="252"/>
      <c r="D3082" s="252"/>
      <c r="E3082" s="252"/>
      <c r="F3082" s="252"/>
      <c r="G3082" s="252"/>
      <c r="H3082" s="252"/>
      <c r="I3082" s="252"/>
      <c r="J3082" s="252"/>
      <c r="K3082" s="253"/>
    </row>
    <row r="3083" spans="1:11" ht="22" customHeight="1" x14ac:dyDescent="0.35">
      <c r="A3083" s="251"/>
      <c r="B3083" s="252"/>
      <c r="C3083" s="252"/>
      <c r="D3083" s="252"/>
      <c r="E3083" s="252"/>
      <c r="F3083" s="252"/>
      <c r="G3083" s="252"/>
      <c r="H3083" s="252"/>
      <c r="I3083" s="252"/>
      <c r="J3083" s="252"/>
      <c r="K3083" s="253"/>
    </row>
    <row r="3084" spans="1:11" ht="22" customHeight="1" x14ac:dyDescent="0.35">
      <c r="A3084" s="251"/>
      <c r="B3084" s="252"/>
      <c r="C3084" s="252"/>
      <c r="D3084" s="252"/>
      <c r="E3084" s="252"/>
      <c r="F3084" s="252"/>
      <c r="G3084" s="252"/>
      <c r="H3084" s="252"/>
      <c r="I3084" s="252"/>
      <c r="J3084" s="252"/>
      <c r="K3084" s="253"/>
    </row>
    <row r="3085" spans="1:11" ht="22" customHeight="1" x14ac:dyDescent="0.35">
      <c r="A3085" s="251"/>
      <c r="B3085" s="252"/>
      <c r="C3085" s="252"/>
      <c r="D3085" s="252"/>
      <c r="E3085" s="252"/>
      <c r="F3085" s="252"/>
      <c r="G3085" s="252"/>
      <c r="H3085" s="252"/>
      <c r="I3085" s="252"/>
      <c r="J3085" s="252"/>
      <c r="K3085" s="253"/>
    </row>
    <row r="3086" spans="1:11" ht="22" customHeight="1" x14ac:dyDescent="0.35">
      <c r="A3086" s="251"/>
      <c r="B3086" s="252"/>
      <c r="C3086" s="252"/>
      <c r="D3086" s="252"/>
      <c r="E3086" s="252"/>
      <c r="F3086" s="252"/>
      <c r="G3086" s="252"/>
      <c r="H3086" s="252"/>
      <c r="I3086" s="252"/>
      <c r="J3086" s="252"/>
      <c r="K3086" s="253"/>
    </row>
    <row r="3087" spans="1:11" ht="22" customHeight="1" x14ac:dyDescent="0.35">
      <c r="A3087" s="251"/>
      <c r="B3087" s="252"/>
      <c r="C3087" s="252"/>
      <c r="D3087" s="252"/>
      <c r="E3087" s="252"/>
      <c r="F3087" s="252"/>
      <c r="G3087" s="252"/>
      <c r="H3087" s="252"/>
      <c r="I3087" s="252"/>
      <c r="J3087" s="252"/>
      <c r="K3087" s="253"/>
    </row>
    <row r="3088" spans="1:11" ht="22" customHeight="1" x14ac:dyDescent="0.35">
      <c r="A3088" s="251"/>
      <c r="B3088" s="252"/>
      <c r="C3088" s="252"/>
      <c r="D3088" s="252"/>
      <c r="E3088" s="252"/>
      <c r="F3088" s="252"/>
      <c r="G3088" s="252"/>
      <c r="H3088" s="252"/>
      <c r="I3088" s="252"/>
      <c r="J3088" s="252"/>
      <c r="K3088" s="253"/>
    </row>
    <row r="3089" spans="1:11" ht="22" customHeight="1" x14ac:dyDescent="0.35">
      <c r="A3089" s="251"/>
      <c r="B3089" s="252"/>
      <c r="C3089" s="252"/>
      <c r="D3089" s="252"/>
      <c r="E3089" s="252"/>
      <c r="F3089" s="252"/>
      <c r="G3089" s="252"/>
      <c r="H3089" s="252"/>
      <c r="I3089" s="252"/>
      <c r="J3089" s="252"/>
      <c r="K3089" s="253"/>
    </row>
    <row r="3090" spans="1:11" ht="22" customHeight="1" x14ac:dyDescent="0.35">
      <c r="A3090" s="251"/>
      <c r="B3090" s="252"/>
      <c r="C3090" s="252"/>
      <c r="D3090" s="252"/>
      <c r="E3090" s="252"/>
      <c r="F3090" s="252"/>
      <c r="G3090" s="252"/>
      <c r="H3090" s="252"/>
      <c r="I3090" s="252"/>
      <c r="J3090" s="252"/>
      <c r="K3090" s="253"/>
    </row>
    <row r="3091" spans="1:11" ht="22" customHeight="1" x14ac:dyDescent="0.35">
      <c r="A3091" s="251"/>
      <c r="B3091" s="252"/>
      <c r="C3091" s="252"/>
      <c r="D3091" s="252"/>
      <c r="E3091" s="252"/>
      <c r="F3091" s="252"/>
      <c r="G3091" s="252"/>
      <c r="H3091" s="252"/>
      <c r="I3091" s="252"/>
      <c r="J3091" s="252"/>
      <c r="K3091" s="253"/>
    </row>
    <row r="3092" spans="1:11" ht="22" customHeight="1" x14ac:dyDescent="0.35">
      <c r="A3092" s="251"/>
      <c r="B3092" s="252"/>
      <c r="C3092" s="252"/>
      <c r="D3092" s="252"/>
      <c r="E3092" s="252"/>
      <c r="F3092" s="252"/>
      <c r="G3092" s="252"/>
      <c r="H3092" s="252"/>
      <c r="I3092" s="252"/>
      <c r="J3092" s="252"/>
      <c r="K3092" s="253"/>
    </row>
    <row r="3093" spans="1:11" ht="22" customHeight="1" x14ac:dyDescent="0.35">
      <c r="A3093" s="251"/>
      <c r="B3093" s="252"/>
      <c r="C3093" s="252"/>
      <c r="D3093" s="252"/>
      <c r="E3093" s="252"/>
      <c r="F3093" s="252"/>
      <c r="G3093" s="252"/>
      <c r="H3093" s="252"/>
      <c r="I3093" s="252"/>
      <c r="J3093" s="252"/>
      <c r="K3093" s="253"/>
    </row>
    <row r="3094" spans="1:11" ht="22" customHeight="1" x14ac:dyDescent="0.35">
      <c r="A3094" s="251"/>
      <c r="B3094" s="252"/>
      <c r="C3094" s="252"/>
      <c r="D3094" s="252"/>
      <c r="E3094" s="252"/>
      <c r="F3094" s="252"/>
      <c r="G3094" s="252"/>
      <c r="H3094" s="252"/>
      <c r="I3094" s="252"/>
      <c r="J3094" s="252"/>
      <c r="K3094" s="253"/>
    </row>
    <row r="3095" spans="1:11" ht="22" customHeight="1" x14ac:dyDescent="0.35">
      <c r="A3095" s="251"/>
      <c r="B3095" s="252"/>
      <c r="C3095" s="252"/>
      <c r="D3095" s="252"/>
      <c r="E3095" s="252"/>
      <c r="F3095" s="252"/>
      <c r="G3095" s="252"/>
      <c r="H3095" s="252"/>
      <c r="I3095" s="252"/>
      <c r="J3095" s="252"/>
      <c r="K3095" s="253"/>
    </row>
    <row r="3096" spans="1:11" ht="22" customHeight="1" x14ac:dyDescent="0.35">
      <c r="A3096" s="251"/>
      <c r="B3096" s="252"/>
      <c r="C3096" s="252"/>
      <c r="D3096" s="252"/>
      <c r="E3096" s="252"/>
      <c r="F3096" s="252"/>
      <c r="G3096" s="252"/>
      <c r="H3096" s="252"/>
      <c r="I3096" s="252"/>
      <c r="J3096" s="252"/>
      <c r="K3096" s="253"/>
    </row>
    <row r="3097" spans="1:11" ht="22" customHeight="1" x14ac:dyDescent="0.35">
      <c r="A3097" s="251"/>
      <c r="B3097" s="252"/>
      <c r="C3097" s="252"/>
      <c r="D3097" s="252"/>
      <c r="E3097" s="252"/>
      <c r="F3097" s="252"/>
      <c r="G3097" s="252"/>
      <c r="H3097" s="252"/>
      <c r="I3097" s="252"/>
      <c r="J3097" s="252"/>
      <c r="K3097" s="253"/>
    </row>
    <row r="3098" spans="1:11" ht="22" customHeight="1" x14ac:dyDescent="0.35">
      <c r="A3098" s="251"/>
      <c r="B3098" s="252"/>
      <c r="C3098" s="252"/>
      <c r="D3098" s="252"/>
      <c r="E3098" s="252"/>
      <c r="F3098" s="252"/>
      <c r="G3098" s="252"/>
      <c r="H3098" s="252"/>
      <c r="I3098" s="252"/>
      <c r="J3098" s="252"/>
      <c r="K3098" s="253"/>
    </row>
    <row r="3099" spans="1:11" ht="22" customHeight="1" x14ac:dyDescent="0.35">
      <c r="A3099" s="251"/>
      <c r="B3099" s="252"/>
      <c r="C3099" s="252"/>
      <c r="D3099" s="252"/>
      <c r="E3099" s="252"/>
      <c r="F3099" s="252"/>
      <c r="G3099" s="252"/>
      <c r="H3099" s="252"/>
      <c r="I3099" s="252"/>
      <c r="J3099" s="252"/>
      <c r="K3099" s="253"/>
    </row>
    <row r="3100" spans="1:11" ht="22" customHeight="1" x14ac:dyDescent="0.35">
      <c r="A3100" s="251"/>
      <c r="B3100" s="252"/>
      <c r="C3100" s="252"/>
      <c r="D3100" s="252"/>
      <c r="E3100" s="252"/>
      <c r="F3100" s="252"/>
      <c r="G3100" s="252"/>
      <c r="H3100" s="252"/>
      <c r="I3100" s="252"/>
      <c r="J3100" s="252"/>
      <c r="K3100" s="253"/>
    </row>
    <row r="3101" spans="1:11" ht="22" customHeight="1" x14ac:dyDescent="0.35">
      <c r="A3101" s="251"/>
      <c r="B3101" s="252"/>
      <c r="C3101" s="252"/>
      <c r="D3101" s="252"/>
      <c r="E3101" s="252"/>
      <c r="F3101" s="252"/>
      <c r="G3101" s="252"/>
      <c r="H3101" s="252"/>
      <c r="I3101" s="252"/>
      <c r="J3101" s="252"/>
      <c r="K3101" s="253"/>
    </row>
    <row r="3102" spans="1:11" ht="22" customHeight="1" x14ac:dyDescent="0.35">
      <c r="A3102" s="251"/>
      <c r="B3102" s="252"/>
      <c r="C3102" s="252"/>
      <c r="D3102" s="252"/>
      <c r="E3102" s="252"/>
      <c r="F3102" s="252"/>
      <c r="G3102" s="252"/>
      <c r="H3102" s="252"/>
      <c r="I3102" s="252"/>
      <c r="J3102" s="252"/>
      <c r="K3102" s="253"/>
    </row>
    <row r="3103" spans="1:11" ht="22" customHeight="1" x14ac:dyDescent="0.35">
      <c r="A3103" s="251"/>
      <c r="B3103" s="252"/>
      <c r="C3103" s="252"/>
      <c r="D3103" s="252"/>
      <c r="E3103" s="252"/>
      <c r="F3103" s="252"/>
      <c r="G3103" s="252"/>
      <c r="H3103" s="252"/>
      <c r="I3103" s="252"/>
      <c r="J3103" s="252"/>
      <c r="K3103" s="253"/>
    </row>
    <row r="3104" spans="1:11" ht="22" customHeight="1" x14ac:dyDescent="0.35">
      <c r="A3104" s="251"/>
      <c r="B3104" s="252"/>
      <c r="C3104" s="252"/>
      <c r="D3104" s="252"/>
      <c r="E3104" s="252"/>
      <c r="F3104" s="252"/>
      <c r="G3104" s="252"/>
      <c r="H3104" s="252"/>
      <c r="I3104" s="252"/>
      <c r="J3104" s="252"/>
      <c r="K3104" s="253"/>
    </row>
    <row r="3105" spans="1:11" ht="22" customHeight="1" x14ac:dyDescent="0.35">
      <c r="A3105" s="251"/>
      <c r="B3105" s="252"/>
      <c r="C3105" s="252"/>
      <c r="D3105" s="252"/>
      <c r="E3105" s="252"/>
      <c r="F3105" s="252"/>
      <c r="G3105" s="252"/>
      <c r="H3105" s="252"/>
      <c r="I3105" s="252"/>
      <c r="J3105" s="252"/>
      <c r="K3105" s="253"/>
    </row>
    <row r="3106" spans="1:11" ht="22" customHeight="1" x14ac:dyDescent="0.35">
      <c r="A3106" s="251"/>
      <c r="B3106" s="252"/>
      <c r="C3106" s="252"/>
      <c r="D3106" s="252"/>
      <c r="E3106" s="252"/>
      <c r="F3106" s="252"/>
      <c r="G3106" s="252"/>
      <c r="H3106" s="252"/>
      <c r="I3106" s="252"/>
      <c r="J3106" s="252"/>
      <c r="K3106" s="253"/>
    </row>
    <row r="3107" spans="1:11" ht="22" customHeight="1" x14ac:dyDescent="0.35">
      <c r="A3107" s="251"/>
      <c r="B3107" s="252"/>
      <c r="C3107" s="252"/>
      <c r="D3107" s="252"/>
      <c r="E3107" s="252"/>
      <c r="F3107" s="252"/>
      <c r="G3107" s="252"/>
      <c r="H3107" s="252"/>
      <c r="I3107" s="252"/>
      <c r="J3107" s="252"/>
      <c r="K3107" s="253"/>
    </row>
    <row r="3108" spans="1:11" ht="22" customHeight="1" x14ac:dyDescent="0.35">
      <c r="A3108" s="251"/>
      <c r="B3108" s="252"/>
      <c r="C3108" s="252"/>
      <c r="D3108" s="252"/>
      <c r="E3108" s="252"/>
      <c r="F3108" s="252"/>
      <c r="G3108" s="252"/>
      <c r="H3108" s="252"/>
      <c r="I3108" s="252"/>
      <c r="J3108" s="252"/>
      <c r="K3108" s="253"/>
    </row>
    <row r="3109" spans="1:11" ht="22" customHeight="1" x14ac:dyDescent="0.35">
      <c r="A3109" s="251"/>
      <c r="B3109" s="252"/>
      <c r="C3109" s="252"/>
      <c r="D3109" s="252"/>
      <c r="E3109" s="252"/>
      <c r="F3109" s="252"/>
      <c r="G3109" s="252"/>
      <c r="H3109" s="252"/>
      <c r="I3109" s="252"/>
      <c r="J3109" s="252"/>
      <c r="K3109" s="253"/>
    </row>
    <row r="3110" spans="1:11" ht="22" customHeight="1" x14ac:dyDescent="0.35">
      <c r="A3110" s="251"/>
      <c r="B3110" s="252"/>
      <c r="C3110" s="252"/>
      <c r="D3110" s="252"/>
      <c r="E3110" s="252"/>
      <c r="F3110" s="252"/>
      <c r="G3110" s="252"/>
      <c r="H3110" s="252"/>
      <c r="I3110" s="252"/>
      <c r="J3110" s="252"/>
      <c r="K3110" s="253"/>
    </row>
    <row r="3111" spans="1:11" ht="22" customHeight="1" x14ac:dyDescent="0.35">
      <c r="A3111" s="251"/>
      <c r="B3111" s="252"/>
      <c r="C3111" s="252"/>
      <c r="D3111" s="252"/>
      <c r="E3111" s="252"/>
      <c r="F3111" s="252"/>
      <c r="G3111" s="252"/>
      <c r="H3111" s="252"/>
      <c r="I3111" s="252"/>
      <c r="J3111" s="252"/>
      <c r="K3111" s="253"/>
    </row>
    <row r="3112" spans="1:11" ht="22" customHeight="1" x14ac:dyDescent="0.35">
      <c r="A3112" s="251"/>
      <c r="B3112" s="252"/>
      <c r="C3112" s="252"/>
      <c r="D3112" s="252"/>
      <c r="E3112" s="252"/>
      <c r="F3112" s="252"/>
      <c r="G3112" s="252"/>
      <c r="H3112" s="252"/>
      <c r="I3112" s="252"/>
      <c r="J3112" s="252"/>
      <c r="K3112" s="253"/>
    </row>
    <row r="3113" spans="1:11" ht="22" customHeight="1" x14ac:dyDescent="0.35">
      <c r="A3113" s="251"/>
      <c r="B3113" s="252"/>
      <c r="C3113" s="252"/>
      <c r="D3113" s="252"/>
      <c r="E3113" s="252"/>
      <c r="F3113" s="252"/>
      <c r="G3113" s="252"/>
      <c r="H3113" s="252"/>
      <c r="I3113" s="252"/>
      <c r="J3113" s="252"/>
      <c r="K3113" s="253"/>
    </row>
    <row r="3114" spans="1:11" ht="22" customHeight="1" x14ac:dyDescent="0.35">
      <c r="A3114" s="251"/>
      <c r="B3114" s="252"/>
      <c r="C3114" s="252"/>
      <c r="D3114" s="252"/>
      <c r="E3114" s="252"/>
      <c r="F3114" s="252"/>
      <c r="G3114" s="252"/>
      <c r="H3114" s="252"/>
      <c r="I3114" s="252"/>
      <c r="J3114" s="252"/>
      <c r="K3114" s="253"/>
    </row>
    <row r="3115" spans="1:11" ht="22" customHeight="1" x14ac:dyDescent="0.35">
      <c r="A3115" s="251"/>
      <c r="B3115" s="252"/>
      <c r="C3115" s="252"/>
      <c r="D3115" s="252"/>
      <c r="E3115" s="252"/>
      <c r="F3115" s="252"/>
      <c r="G3115" s="252"/>
      <c r="H3115" s="252"/>
      <c r="I3115" s="252"/>
      <c r="J3115" s="252"/>
      <c r="K3115" s="253"/>
    </row>
    <row r="3116" spans="1:11" ht="22" customHeight="1" x14ac:dyDescent="0.35">
      <c r="A3116" s="251"/>
      <c r="B3116" s="252"/>
      <c r="C3116" s="252"/>
      <c r="D3116" s="252"/>
      <c r="E3116" s="252"/>
      <c r="F3116" s="252"/>
      <c r="G3116" s="252"/>
      <c r="H3116" s="252"/>
      <c r="I3116" s="252"/>
      <c r="J3116" s="252"/>
      <c r="K3116" s="253"/>
    </row>
    <row r="3117" spans="1:11" ht="22" customHeight="1" x14ac:dyDescent="0.35">
      <c r="A3117" s="251"/>
      <c r="B3117" s="252"/>
      <c r="C3117" s="252"/>
      <c r="D3117" s="252"/>
      <c r="E3117" s="252"/>
      <c r="F3117" s="252"/>
      <c r="G3117" s="252"/>
      <c r="H3117" s="252"/>
      <c r="I3117" s="252"/>
      <c r="J3117" s="252"/>
      <c r="K3117" s="253"/>
    </row>
    <row r="3118" spans="1:11" ht="22" customHeight="1" x14ac:dyDescent="0.35">
      <c r="A3118" s="251"/>
      <c r="B3118" s="252"/>
      <c r="C3118" s="252"/>
      <c r="D3118" s="252"/>
      <c r="E3118" s="252"/>
      <c r="F3118" s="252"/>
      <c r="G3118" s="252"/>
      <c r="H3118" s="252"/>
      <c r="I3118" s="252"/>
      <c r="J3118" s="252"/>
      <c r="K3118" s="253"/>
    </row>
    <row r="3119" spans="1:11" ht="22" customHeight="1" x14ac:dyDescent="0.35">
      <c r="A3119" s="251"/>
      <c r="B3119" s="252"/>
      <c r="C3119" s="252"/>
      <c r="D3119" s="252"/>
      <c r="E3119" s="252"/>
      <c r="F3119" s="252"/>
      <c r="G3119" s="252"/>
      <c r="H3119" s="252"/>
      <c r="I3119" s="252"/>
      <c r="J3119" s="252"/>
      <c r="K3119" s="253"/>
    </row>
    <row r="3120" spans="1:11" ht="22" customHeight="1" x14ac:dyDescent="0.35">
      <c r="A3120" s="251"/>
      <c r="B3120" s="252"/>
      <c r="C3120" s="252"/>
      <c r="D3120" s="252"/>
      <c r="E3120" s="252"/>
      <c r="F3120" s="252"/>
      <c r="G3120" s="252"/>
      <c r="H3120" s="252"/>
      <c r="I3120" s="252"/>
      <c r="J3120" s="252"/>
      <c r="K3120" s="253"/>
    </row>
    <row r="3121" spans="1:11" ht="22" customHeight="1" x14ac:dyDescent="0.35">
      <c r="A3121" s="251"/>
      <c r="B3121" s="252"/>
      <c r="C3121" s="252"/>
      <c r="D3121" s="252"/>
      <c r="E3121" s="252"/>
      <c r="F3121" s="252"/>
      <c r="G3121" s="252"/>
      <c r="H3121" s="252"/>
      <c r="I3121" s="252"/>
      <c r="J3121" s="252"/>
      <c r="K3121" s="253"/>
    </row>
    <row r="3122" spans="1:11" ht="22" customHeight="1" x14ac:dyDescent="0.35">
      <c r="A3122" s="251"/>
      <c r="B3122" s="252"/>
      <c r="C3122" s="252"/>
      <c r="D3122" s="252"/>
      <c r="E3122" s="252"/>
      <c r="F3122" s="252"/>
      <c r="G3122" s="252"/>
      <c r="H3122" s="252"/>
      <c r="I3122" s="252"/>
      <c r="J3122" s="252"/>
      <c r="K3122" s="253"/>
    </row>
    <row r="3123" spans="1:11" ht="22" customHeight="1" x14ac:dyDescent="0.35">
      <c r="A3123" s="251"/>
      <c r="B3123" s="252"/>
      <c r="C3123" s="252"/>
      <c r="D3123" s="252"/>
      <c r="E3123" s="252"/>
      <c r="F3123" s="252"/>
      <c r="G3123" s="252"/>
      <c r="H3123" s="252"/>
      <c r="I3123" s="252"/>
      <c r="J3123" s="252"/>
      <c r="K3123" s="253"/>
    </row>
    <row r="3124" spans="1:11" ht="22" customHeight="1" x14ac:dyDescent="0.35">
      <c r="A3124" s="251"/>
      <c r="B3124" s="252"/>
      <c r="C3124" s="252"/>
      <c r="D3124" s="252"/>
      <c r="E3124" s="252"/>
      <c r="F3124" s="252"/>
      <c r="G3124" s="252"/>
      <c r="H3124" s="252"/>
      <c r="I3124" s="252"/>
      <c r="J3124" s="252"/>
      <c r="K3124" s="253"/>
    </row>
    <row r="3125" spans="1:11" ht="22" customHeight="1" x14ac:dyDescent="0.35">
      <c r="A3125" s="251"/>
      <c r="B3125" s="252"/>
      <c r="C3125" s="252"/>
      <c r="D3125" s="252"/>
      <c r="E3125" s="252"/>
      <c r="F3125" s="252"/>
      <c r="G3125" s="252"/>
      <c r="H3125" s="252"/>
      <c r="I3125" s="252"/>
      <c r="J3125" s="252"/>
      <c r="K3125" s="253"/>
    </row>
    <row r="3126" spans="1:11" ht="22" customHeight="1" x14ac:dyDescent="0.35">
      <c r="A3126" s="251"/>
      <c r="B3126" s="252"/>
      <c r="C3126" s="252"/>
      <c r="D3126" s="252"/>
      <c r="E3126" s="252"/>
      <c r="F3126" s="252"/>
      <c r="G3126" s="252"/>
      <c r="H3126" s="252"/>
      <c r="I3126" s="252"/>
      <c r="J3126" s="252"/>
      <c r="K3126" s="253"/>
    </row>
    <row r="3127" spans="1:11" ht="22" customHeight="1" x14ac:dyDescent="0.35">
      <c r="A3127" s="251"/>
      <c r="B3127" s="252"/>
      <c r="C3127" s="252"/>
      <c r="D3127" s="252"/>
      <c r="E3127" s="252"/>
      <c r="F3127" s="252"/>
      <c r="G3127" s="252"/>
      <c r="H3127" s="252"/>
      <c r="I3127" s="252"/>
      <c r="J3127" s="252"/>
      <c r="K3127" s="253"/>
    </row>
    <row r="3128" spans="1:11" ht="22" customHeight="1" x14ac:dyDescent="0.35">
      <c r="A3128" s="251"/>
      <c r="B3128" s="252"/>
      <c r="C3128" s="252"/>
      <c r="D3128" s="252"/>
      <c r="E3128" s="252"/>
      <c r="F3128" s="252"/>
      <c r="G3128" s="252"/>
      <c r="H3128" s="252"/>
      <c r="I3128" s="252"/>
      <c r="J3128" s="252"/>
      <c r="K3128" s="253"/>
    </row>
    <row r="3129" spans="1:11" ht="22" customHeight="1" x14ac:dyDescent="0.35">
      <c r="A3129" s="251"/>
      <c r="B3129" s="252"/>
      <c r="C3129" s="252"/>
      <c r="D3129" s="252"/>
      <c r="E3129" s="252"/>
      <c r="F3129" s="252"/>
      <c r="G3129" s="252"/>
      <c r="H3129" s="252"/>
      <c r="I3129" s="252"/>
      <c r="J3129" s="252"/>
      <c r="K3129" s="253"/>
    </row>
    <row r="3130" spans="1:11" ht="22" customHeight="1" x14ac:dyDescent="0.35">
      <c r="A3130" s="251"/>
      <c r="B3130" s="252"/>
      <c r="C3130" s="252"/>
      <c r="D3130" s="252"/>
      <c r="E3130" s="252"/>
      <c r="F3130" s="252"/>
      <c r="G3130" s="252"/>
      <c r="H3130" s="252"/>
      <c r="I3130" s="252"/>
      <c r="J3130" s="252"/>
      <c r="K3130" s="253"/>
    </row>
    <row r="3131" spans="1:11" ht="22" customHeight="1" x14ac:dyDescent="0.35">
      <c r="A3131" s="251"/>
      <c r="B3131" s="252"/>
      <c r="C3131" s="252"/>
      <c r="D3131" s="252"/>
      <c r="E3131" s="252"/>
      <c r="F3131" s="252"/>
      <c r="G3131" s="252"/>
      <c r="H3131" s="252"/>
      <c r="I3131" s="252"/>
      <c r="J3131" s="252"/>
      <c r="K3131" s="253"/>
    </row>
    <row r="3132" spans="1:11" ht="22" customHeight="1" x14ac:dyDescent="0.35">
      <c r="A3132" s="251"/>
      <c r="B3132" s="252"/>
      <c r="C3132" s="252"/>
      <c r="D3132" s="252"/>
      <c r="E3132" s="252"/>
      <c r="F3132" s="252"/>
      <c r="G3132" s="252"/>
      <c r="H3132" s="252"/>
      <c r="I3132" s="252"/>
      <c r="J3132" s="252"/>
      <c r="K3132" s="253"/>
    </row>
    <row r="3133" spans="1:11" ht="22" customHeight="1" x14ac:dyDescent="0.35">
      <c r="A3133" s="251"/>
      <c r="B3133" s="252"/>
      <c r="C3133" s="252"/>
      <c r="D3133" s="252"/>
      <c r="E3133" s="252"/>
      <c r="F3133" s="252"/>
      <c r="G3133" s="252"/>
      <c r="H3133" s="252"/>
      <c r="I3133" s="252"/>
      <c r="J3133" s="252"/>
      <c r="K3133" s="253"/>
    </row>
    <row r="3134" spans="1:11" ht="22" customHeight="1" x14ac:dyDescent="0.35">
      <c r="A3134" s="251"/>
      <c r="B3134" s="252"/>
      <c r="C3134" s="252"/>
      <c r="D3134" s="252"/>
      <c r="E3134" s="252"/>
      <c r="F3134" s="252"/>
      <c r="G3134" s="252"/>
      <c r="H3134" s="252"/>
      <c r="I3134" s="252"/>
      <c r="J3134" s="252"/>
      <c r="K3134" s="253"/>
    </row>
    <row r="3135" spans="1:11" ht="22" customHeight="1" x14ac:dyDescent="0.35">
      <c r="A3135" s="251"/>
      <c r="B3135" s="252"/>
      <c r="C3135" s="252"/>
      <c r="D3135" s="252"/>
      <c r="E3135" s="252"/>
      <c r="F3135" s="252"/>
      <c r="G3135" s="252"/>
      <c r="H3135" s="252"/>
      <c r="I3135" s="252"/>
      <c r="J3135" s="252"/>
      <c r="K3135" s="253"/>
    </row>
    <row r="3136" spans="1:11" ht="22" customHeight="1" x14ac:dyDescent="0.35">
      <c r="A3136" s="251"/>
      <c r="B3136" s="252"/>
      <c r="C3136" s="252"/>
      <c r="D3136" s="252"/>
      <c r="E3136" s="252"/>
      <c r="F3136" s="252"/>
      <c r="G3136" s="252"/>
      <c r="H3136" s="252"/>
      <c r="I3136" s="252"/>
      <c r="J3136" s="252"/>
      <c r="K3136" s="253"/>
    </row>
    <row r="3137" spans="1:11" ht="22" customHeight="1" x14ac:dyDescent="0.35">
      <c r="A3137" s="251"/>
      <c r="B3137" s="252"/>
      <c r="C3137" s="252"/>
      <c r="D3137" s="252"/>
      <c r="E3137" s="252"/>
      <c r="F3137" s="252"/>
      <c r="G3137" s="252"/>
      <c r="H3137" s="252"/>
      <c r="I3137" s="252"/>
      <c r="J3137" s="252"/>
      <c r="K3137" s="253"/>
    </row>
    <row r="3138" spans="1:11" ht="22" customHeight="1" x14ac:dyDescent="0.35">
      <c r="A3138" s="251"/>
      <c r="B3138" s="252"/>
      <c r="C3138" s="252"/>
      <c r="D3138" s="252"/>
      <c r="E3138" s="252"/>
      <c r="F3138" s="252"/>
      <c r="G3138" s="252"/>
      <c r="H3138" s="252"/>
      <c r="I3138" s="252"/>
      <c r="J3138" s="252"/>
      <c r="K3138" s="253"/>
    </row>
    <row r="3139" spans="1:11" ht="22" customHeight="1" x14ac:dyDescent="0.35">
      <c r="A3139" s="251"/>
      <c r="B3139" s="252"/>
      <c r="C3139" s="252"/>
      <c r="D3139" s="252"/>
      <c r="E3139" s="252"/>
      <c r="F3139" s="252"/>
      <c r="G3139" s="252"/>
      <c r="H3139" s="252"/>
      <c r="I3139" s="252"/>
      <c r="J3139" s="252"/>
      <c r="K3139" s="253"/>
    </row>
    <row r="3140" spans="1:11" ht="22" customHeight="1" x14ac:dyDescent="0.35">
      <c r="A3140" s="251"/>
      <c r="B3140" s="252"/>
      <c r="C3140" s="252"/>
      <c r="D3140" s="252"/>
      <c r="E3140" s="252"/>
      <c r="F3140" s="252"/>
      <c r="G3140" s="252"/>
      <c r="H3140" s="252"/>
      <c r="I3140" s="252"/>
      <c r="J3140" s="252"/>
      <c r="K3140" s="253"/>
    </row>
    <row r="3141" spans="1:11" ht="22" customHeight="1" x14ac:dyDescent="0.35">
      <c r="A3141" s="251"/>
      <c r="B3141" s="252"/>
      <c r="C3141" s="252"/>
      <c r="D3141" s="252"/>
      <c r="E3141" s="252"/>
      <c r="F3141" s="252"/>
      <c r="G3141" s="252"/>
      <c r="H3141" s="252"/>
      <c r="I3141" s="252"/>
      <c r="J3141" s="252"/>
      <c r="K3141" s="253"/>
    </row>
    <row r="3142" spans="1:11" ht="22" customHeight="1" x14ac:dyDescent="0.35">
      <c r="A3142" s="251"/>
      <c r="B3142" s="252"/>
      <c r="C3142" s="252"/>
      <c r="D3142" s="252"/>
      <c r="E3142" s="252"/>
      <c r="F3142" s="252"/>
      <c r="G3142" s="252"/>
      <c r="H3142" s="252"/>
      <c r="I3142" s="252"/>
      <c r="J3142" s="252"/>
      <c r="K3142" s="253"/>
    </row>
    <row r="3143" spans="1:11" ht="22" customHeight="1" x14ac:dyDescent="0.35">
      <c r="A3143" s="251"/>
      <c r="B3143" s="252"/>
      <c r="C3143" s="252"/>
      <c r="D3143" s="252"/>
      <c r="E3143" s="252"/>
      <c r="F3143" s="252"/>
      <c r="G3143" s="252"/>
      <c r="H3143" s="252"/>
      <c r="I3143" s="252"/>
      <c r="J3143" s="252"/>
      <c r="K3143" s="253"/>
    </row>
    <row r="3144" spans="1:11" ht="22" customHeight="1" x14ac:dyDescent="0.35">
      <c r="A3144" s="251"/>
      <c r="B3144" s="252"/>
      <c r="C3144" s="252"/>
      <c r="D3144" s="252"/>
      <c r="E3144" s="252"/>
      <c r="F3144" s="252"/>
      <c r="G3144" s="252"/>
      <c r="H3144" s="252"/>
      <c r="I3144" s="252"/>
      <c r="J3144" s="252"/>
      <c r="K3144" s="253"/>
    </row>
    <row r="3145" spans="1:11" ht="22" customHeight="1" x14ac:dyDescent="0.35">
      <c r="A3145" s="251"/>
      <c r="B3145" s="252"/>
      <c r="C3145" s="252"/>
      <c r="D3145" s="252"/>
      <c r="E3145" s="252"/>
      <c r="F3145" s="252"/>
      <c r="G3145" s="252"/>
      <c r="H3145" s="252"/>
      <c r="I3145" s="252"/>
      <c r="J3145" s="252"/>
      <c r="K3145" s="253"/>
    </row>
    <row r="3146" spans="1:11" ht="22" customHeight="1" x14ac:dyDescent="0.35">
      <c r="A3146" s="251"/>
      <c r="B3146" s="252"/>
      <c r="C3146" s="252"/>
      <c r="D3146" s="252"/>
      <c r="E3146" s="252"/>
      <c r="F3146" s="252"/>
      <c r="G3146" s="252"/>
      <c r="H3146" s="252"/>
      <c r="I3146" s="252"/>
      <c r="J3146" s="252"/>
      <c r="K3146" s="253"/>
    </row>
    <row r="3147" spans="1:11" ht="22" customHeight="1" x14ac:dyDescent="0.35">
      <c r="A3147" s="251"/>
      <c r="B3147" s="252"/>
      <c r="C3147" s="252"/>
      <c r="D3147" s="252"/>
      <c r="E3147" s="252"/>
      <c r="F3147" s="252"/>
      <c r="G3147" s="252"/>
      <c r="H3147" s="252"/>
      <c r="I3147" s="252"/>
      <c r="J3147" s="252"/>
      <c r="K3147" s="253"/>
    </row>
    <row r="3148" spans="1:11" ht="22" customHeight="1" x14ac:dyDescent="0.35">
      <c r="A3148" s="251"/>
      <c r="B3148" s="252"/>
      <c r="C3148" s="252"/>
      <c r="D3148" s="252"/>
      <c r="E3148" s="252"/>
      <c r="F3148" s="252"/>
      <c r="G3148" s="252"/>
      <c r="H3148" s="252"/>
      <c r="I3148" s="252"/>
      <c r="J3148" s="252"/>
      <c r="K3148" s="253"/>
    </row>
    <row r="3149" spans="1:11" ht="22" customHeight="1" x14ac:dyDescent="0.35">
      <c r="A3149" s="251"/>
      <c r="B3149" s="252"/>
      <c r="C3149" s="252"/>
      <c r="D3149" s="252"/>
      <c r="E3149" s="252"/>
      <c r="F3149" s="252"/>
      <c r="G3149" s="252"/>
      <c r="H3149" s="252"/>
      <c r="I3149" s="252"/>
      <c r="J3149" s="252"/>
      <c r="K3149" s="253"/>
    </row>
    <row r="3150" spans="1:11" ht="22" customHeight="1" x14ac:dyDescent="0.35">
      <c r="A3150" s="251"/>
      <c r="B3150" s="252"/>
      <c r="C3150" s="252"/>
      <c r="D3150" s="252"/>
      <c r="E3150" s="252"/>
      <c r="F3150" s="252"/>
      <c r="G3150" s="252"/>
      <c r="H3150" s="252"/>
      <c r="I3150" s="252"/>
      <c r="J3150" s="252"/>
      <c r="K3150" s="253"/>
    </row>
    <row r="3151" spans="1:11" ht="22" customHeight="1" x14ac:dyDescent="0.35">
      <c r="A3151" s="251"/>
      <c r="B3151" s="252"/>
      <c r="C3151" s="252"/>
      <c r="D3151" s="252"/>
      <c r="E3151" s="252"/>
      <c r="F3151" s="252"/>
      <c r="G3151" s="252"/>
      <c r="H3151" s="252"/>
      <c r="I3151" s="252"/>
      <c r="J3151" s="252"/>
      <c r="K3151" s="253"/>
    </row>
    <row r="3152" spans="1:11" ht="22" customHeight="1" x14ac:dyDescent="0.35">
      <c r="A3152" s="251"/>
      <c r="B3152" s="252"/>
      <c r="C3152" s="252"/>
      <c r="D3152" s="252"/>
      <c r="E3152" s="252"/>
      <c r="F3152" s="252"/>
      <c r="G3152" s="252"/>
      <c r="H3152" s="252"/>
      <c r="I3152" s="252"/>
      <c r="J3152" s="252"/>
      <c r="K3152" s="253"/>
    </row>
    <row r="3153" spans="1:11" ht="22" customHeight="1" x14ac:dyDescent="0.35">
      <c r="A3153" s="251"/>
      <c r="B3153" s="252"/>
      <c r="C3153" s="252"/>
      <c r="D3153" s="252"/>
      <c r="E3153" s="252"/>
      <c r="F3153" s="252"/>
      <c r="G3153" s="252"/>
      <c r="H3153" s="252"/>
      <c r="I3153" s="252"/>
      <c r="J3153" s="252"/>
      <c r="K3153" s="253"/>
    </row>
    <row r="3154" spans="1:11" ht="22" customHeight="1" x14ac:dyDescent="0.35">
      <c r="A3154" s="251"/>
      <c r="B3154" s="252"/>
      <c r="C3154" s="252"/>
      <c r="D3154" s="252"/>
      <c r="E3154" s="252"/>
      <c r="F3154" s="252"/>
      <c r="G3154" s="252"/>
      <c r="H3154" s="252"/>
      <c r="I3154" s="252"/>
      <c r="J3154" s="252"/>
      <c r="K3154" s="253"/>
    </row>
    <row r="3155" spans="1:11" ht="22" customHeight="1" x14ac:dyDescent="0.35">
      <c r="A3155" s="251"/>
      <c r="B3155" s="252"/>
      <c r="C3155" s="252"/>
      <c r="D3155" s="252"/>
      <c r="E3155" s="252"/>
      <c r="F3155" s="252"/>
      <c r="G3155" s="252"/>
      <c r="H3155" s="252"/>
      <c r="I3155" s="252"/>
      <c r="J3155" s="252"/>
      <c r="K3155" s="253"/>
    </row>
    <row r="3156" spans="1:11" ht="22" customHeight="1" x14ac:dyDescent="0.35">
      <c r="A3156" s="251"/>
      <c r="B3156" s="252"/>
      <c r="C3156" s="252"/>
      <c r="D3156" s="252"/>
      <c r="E3156" s="252"/>
      <c r="F3156" s="252"/>
      <c r="G3156" s="252"/>
      <c r="H3156" s="252"/>
      <c r="I3156" s="252"/>
      <c r="J3156" s="252"/>
      <c r="K3156" s="253"/>
    </row>
    <row r="3157" spans="1:11" ht="22" customHeight="1" x14ac:dyDescent="0.35">
      <c r="A3157" s="251"/>
      <c r="B3157" s="252"/>
      <c r="C3157" s="252"/>
      <c r="D3157" s="252"/>
      <c r="E3157" s="252"/>
      <c r="F3157" s="252"/>
      <c r="G3157" s="252"/>
      <c r="H3157" s="252"/>
      <c r="I3157" s="252"/>
      <c r="J3157" s="252"/>
      <c r="K3157" s="253"/>
    </row>
    <row r="3158" spans="1:11" ht="22" customHeight="1" x14ac:dyDescent="0.35">
      <c r="A3158" s="251"/>
      <c r="B3158" s="252"/>
      <c r="C3158" s="252"/>
      <c r="D3158" s="252"/>
      <c r="E3158" s="252"/>
      <c r="F3158" s="252"/>
      <c r="G3158" s="252"/>
      <c r="H3158" s="252"/>
      <c r="I3158" s="252"/>
      <c r="J3158" s="252"/>
      <c r="K3158" s="253"/>
    </row>
    <row r="3159" spans="1:11" ht="22" customHeight="1" x14ac:dyDescent="0.35">
      <c r="A3159" s="251"/>
      <c r="B3159" s="252"/>
      <c r="C3159" s="252"/>
      <c r="D3159" s="252"/>
      <c r="E3159" s="252"/>
      <c r="F3159" s="252"/>
      <c r="G3159" s="252"/>
      <c r="H3159" s="252"/>
      <c r="I3159" s="252"/>
      <c r="J3159" s="252"/>
      <c r="K3159" s="253"/>
    </row>
    <row r="3160" spans="1:11" ht="22" customHeight="1" x14ac:dyDescent="0.35">
      <c r="A3160" s="251"/>
      <c r="B3160" s="252"/>
      <c r="C3160" s="252"/>
      <c r="D3160" s="252"/>
      <c r="E3160" s="252"/>
      <c r="F3160" s="252"/>
      <c r="G3160" s="252"/>
      <c r="H3160" s="252"/>
      <c r="I3160" s="252"/>
      <c r="J3160" s="252"/>
      <c r="K3160" s="253"/>
    </row>
    <row r="3161" spans="1:11" ht="22" customHeight="1" x14ac:dyDescent="0.35">
      <c r="A3161" s="251"/>
      <c r="B3161" s="252"/>
      <c r="C3161" s="252"/>
      <c r="D3161" s="252"/>
      <c r="E3161" s="252"/>
      <c r="F3161" s="252"/>
      <c r="G3161" s="252"/>
      <c r="H3161" s="252"/>
      <c r="I3161" s="252"/>
      <c r="J3161" s="252"/>
      <c r="K3161" s="253"/>
    </row>
    <row r="3162" spans="1:11" ht="22" customHeight="1" x14ac:dyDescent="0.35">
      <c r="A3162" s="251"/>
      <c r="B3162" s="252"/>
      <c r="C3162" s="252"/>
      <c r="D3162" s="252"/>
      <c r="E3162" s="252"/>
      <c r="F3162" s="252"/>
      <c r="G3162" s="252"/>
      <c r="H3162" s="252"/>
      <c r="I3162" s="252"/>
      <c r="J3162" s="252"/>
      <c r="K3162" s="253"/>
    </row>
    <row r="3163" spans="1:11" ht="22" customHeight="1" x14ac:dyDescent="0.35">
      <c r="A3163" s="251"/>
      <c r="B3163" s="252"/>
      <c r="C3163" s="252"/>
      <c r="D3163" s="252"/>
      <c r="E3163" s="252"/>
      <c r="F3163" s="252"/>
      <c r="G3163" s="252"/>
      <c r="H3163" s="252"/>
      <c r="I3163" s="252"/>
      <c r="J3163" s="252"/>
      <c r="K3163" s="253"/>
    </row>
    <row r="3164" spans="1:11" ht="22" customHeight="1" x14ac:dyDescent="0.35">
      <c r="A3164" s="251"/>
      <c r="B3164" s="252"/>
      <c r="C3164" s="252"/>
      <c r="D3164" s="252"/>
      <c r="E3164" s="252"/>
      <c r="F3164" s="252"/>
      <c r="G3164" s="252"/>
      <c r="H3164" s="252"/>
      <c r="I3164" s="252"/>
      <c r="J3164" s="252"/>
      <c r="K3164" s="253"/>
    </row>
    <row r="3165" spans="1:11" ht="22" customHeight="1" x14ac:dyDescent="0.35">
      <c r="A3165" s="251"/>
      <c r="B3165" s="252"/>
      <c r="C3165" s="252"/>
      <c r="D3165" s="252"/>
      <c r="E3165" s="252"/>
      <c r="F3165" s="252"/>
      <c r="G3165" s="252"/>
      <c r="H3165" s="252"/>
      <c r="I3165" s="252"/>
      <c r="J3165" s="252"/>
      <c r="K3165" s="253"/>
    </row>
    <row r="3166" spans="1:11" ht="22" customHeight="1" x14ac:dyDescent="0.35">
      <c r="A3166" s="251"/>
      <c r="B3166" s="252"/>
      <c r="C3166" s="252"/>
      <c r="D3166" s="252"/>
      <c r="E3166" s="252"/>
      <c r="F3166" s="252"/>
      <c r="G3166" s="252"/>
      <c r="H3166" s="252"/>
      <c r="I3166" s="252"/>
      <c r="J3166" s="252"/>
      <c r="K3166" s="253"/>
    </row>
    <row r="3167" spans="1:11" ht="22" customHeight="1" x14ac:dyDescent="0.35">
      <c r="A3167" s="251"/>
      <c r="B3167" s="252"/>
      <c r="C3167" s="252"/>
      <c r="D3167" s="252"/>
      <c r="E3167" s="252"/>
      <c r="F3167" s="252"/>
      <c r="G3167" s="252"/>
      <c r="H3167" s="252"/>
      <c r="I3167" s="252"/>
      <c r="J3167" s="252"/>
      <c r="K3167" s="253"/>
    </row>
    <row r="3168" spans="1:11" ht="22" customHeight="1" x14ac:dyDescent="0.35">
      <c r="A3168" s="251"/>
      <c r="B3168" s="252"/>
      <c r="C3168" s="252"/>
      <c r="D3168" s="252"/>
      <c r="E3168" s="252"/>
      <c r="F3168" s="252"/>
      <c r="G3168" s="252"/>
      <c r="H3168" s="252"/>
      <c r="I3168" s="252"/>
      <c r="J3168" s="252"/>
      <c r="K3168" s="253"/>
    </row>
    <row r="3169" spans="1:11" ht="22" customHeight="1" x14ac:dyDescent="0.35">
      <c r="A3169" s="251"/>
      <c r="B3169" s="252"/>
      <c r="C3169" s="252"/>
      <c r="D3169" s="252"/>
      <c r="E3169" s="252"/>
      <c r="F3169" s="252"/>
      <c r="G3169" s="252"/>
      <c r="H3169" s="252"/>
      <c r="I3169" s="252"/>
      <c r="J3169" s="252"/>
      <c r="K3169" s="253"/>
    </row>
    <row r="3170" spans="1:11" ht="22" customHeight="1" x14ac:dyDescent="0.35">
      <c r="A3170" s="251"/>
      <c r="B3170" s="252"/>
      <c r="C3170" s="252"/>
      <c r="D3170" s="252"/>
      <c r="E3170" s="252"/>
      <c r="F3170" s="252"/>
      <c r="G3170" s="252"/>
      <c r="H3170" s="252"/>
      <c r="I3170" s="252"/>
      <c r="J3170" s="252"/>
      <c r="K3170" s="253"/>
    </row>
    <row r="3171" spans="1:11" ht="22" customHeight="1" x14ac:dyDescent="0.35">
      <c r="A3171" s="251"/>
      <c r="B3171" s="252"/>
      <c r="C3171" s="252"/>
      <c r="D3171" s="252"/>
      <c r="E3171" s="252"/>
      <c r="F3171" s="252"/>
      <c r="G3171" s="252"/>
      <c r="H3171" s="252"/>
      <c r="I3171" s="252"/>
      <c r="J3171" s="252"/>
      <c r="K3171" s="253"/>
    </row>
    <row r="3172" spans="1:11" ht="22" customHeight="1" x14ac:dyDescent="0.35">
      <c r="A3172" s="251"/>
      <c r="B3172" s="252"/>
      <c r="C3172" s="252"/>
      <c r="D3172" s="252"/>
      <c r="E3172" s="252"/>
      <c r="F3172" s="252"/>
      <c r="G3172" s="252"/>
      <c r="H3172" s="252"/>
      <c r="I3172" s="252"/>
      <c r="J3172" s="252"/>
      <c r="K3172" s="253"/>
    </row>
    <row r="3173" spans="1:11" ht="22" customHeight="1" x14ac:dyDescent="0.35">
      <c r="A3173" s="251"/>
      <c r="B3173" s="252"/>
      <c r="C3173" s="252"/>
      <c r="D3173" s="252"/>
      <c r="E3173" s="252"/>
      <c r="F3173" s="252"/>
      <c r="G3173" s="252"/>
      <c r="H3173" s="252"/>
      <c r="I3173" s="252"/>
      <c r="J3173" s="252"/>
      <c r="K3173" s="253"/>
    </row>
    <row r="3174" spans="1:11" ht="22" customHeight="1" x14ac:dyDescent="0.35">
      <c r="A3174" s="251"/>
      <c r="B3174" s="252"/>
      <c r="C3174" s="252"/>
      <c r="D3174" s="252"/>
      <c r="E3174" s="252"/>
      <c r="F3174" s="252"/>
      <c r="G3174" s="252"/>
      <c r="H3174" s="252"/>
      <c r="I3174" s="252"/>
      <c r="J3174" s="252"/>
      <c r="K3174" s="253"/>
    </row>
    <row r="3175" spans="1:11" ht="22" customHeight="1" x14ac:dyDescent="0.35">
      <c r="A3175" s="251"/>
      <c r="B3175" s="252"/>
      <c r="C3175" s="252"/>
      <c r="D3175" s="252"/>
      <c r="E3175" s="252"/>
      <c r="F3175" s="252"/>
      <c r="G3175" s="252"/>
      <c r="H3175" s="252"/>
      <c r="I3175" s="252"/>
      <c r="J3175" s="252"/>
      <c r="K3175" s="253"/>
    </row>
    <row r="3176" spans="1:11" ht="22" customHeight="1" x14ac:dyDescent="0.35">
      <c r="A3176" s="251"/>
      <c r="B3176" s="252"/>
      <c r="C3176" s="252"/>
      <c r="D3176" s="252"/>
      <c r="E3176" s="252"/>
      <c r="F3176" s="252"/>
      <c r="G3176" s="252"/>
      <c r="H3176" s="252"/>
      <c r="I3176" s="252"/>
      <c r="J3176" s="252"/>
      <c r="K3176" s="253"/>
    </row>
    <row r="3177" spans="1:11" ht="22" customHeight="1" x14ac:dyDescent="0.35">
      <c r="A3177" s="251"/>
      <c r="B3177" s="252"/>
      <c r="C3177" s="252"/>
      <c r="D3177" s="252"/>
      <c r="E3177" s="252"/>
      <c r="F3177" s="252"/>
      <c r="G3177" s="252"/>
      <c r="H3177" s="252"/>
      <c r="I3177" s="252"/>
      <c r="J3177" s="252"/>
      <c r="K3177" s="253"/>
    </row>
    <row r="3178" spans="1:11" ht="22" customHeight="1" x14ac:dyDescent="0.35">
      <c r="A3178" s="251"/>
      <c r="B3178" s="252"/>
      <c r="C3178" s="252"/>
      <c r="D3178" s="252"/>
      <c r="E3178" s="252"/>
      <c r="F3178" s="252"/>
      <c r="G3178" s="252"/>
      <c r="H3178" s="252"/>
      <c r="I3178" s="252"/>
      <c r="J3178" s="252"/>
      <c r="K3178" s="253"/>
    </row>
    <row r="3179" spans="1:11" ht="22" customHeight="1" x14ac:dyDescent="0.35">
      <c r="A3179" s="251"/>
      <c r="B3179" s="252"/>
      <c r="C3179" s="252"/>
      <c r="D3179" s="252"/>
      <c r="E3179" s="252"/>
      <c r="F3179" s="252"/>
      <c r="G3179" s="252"/>
      <c r="H3179" s="252"/>
      <c r="I3179" s="252"/>
      <c r="J3179" s="252"/>
      <c r="K3179" s="253"/>
    </row>
    <row r="3180" spans="1:11" ht="22" customHeight="1" x14ac:dyDescent="0.35">
      <c r="A3180" s="251"/>
      <c r="B3180" s="252"/>
      <c r="C3180" s="252"/>
      <c r="D3180" s="252"/>
      <c r="E3180" s="252"/>
      <c r="F3180" s="252"/>
      <c r="G3180" s="252"/>
      <c r="H3180" s="252"/>
      <c r="I3180" s="252"/>
      <c r="J3180" s="252"/>
      <c r="K3180" s="253"/>
    </row>
    <row r="3181" spans="1:11" ht="22" customHeight="1" x14ac:dyDescent="0.35">
      <c r="A3181" s="251"/>
      <c r="B3181" s="252"/>
      <c r="C3181" s="252"/>
      <c r="D3181" s="252"/>
      <c r="E3181" s="252"/>
      <c r="F3181" s="252"/>
      <c r="G3181" s="252"/>
      <c r="H3181" s="252"/>
      <c r="I3181" s="252"/>
      <c r="J3181" s="252"/>
      <c r="K3181" s="253"/>
    </row>
    <row r="3182" spans="1:11" ht="22" customHeight="1" x14ac:dyDescent="0.35">
      <c r="A3182" s="251"/>
      <c r="B3182" s="252"/>
      <c r="C3182" s="252"/>
      <c r="D3182" s="252"/>
      <c r="E3182" s="252"/>
      <c r="F3182" s="252"/>
      <c r="G3182" s="252"/>
      <c r="H3182" s="252"/>
      <c r="I3182" s="252"/>
      <c r="J3182" s="252"/>
      <c r="K3182" s="253"/>
    </row>
    <row r="3183" spans="1:11" ht="22" customHeight="1" x14ac:dyDescent="0.35">
      <c r="A3183" s="251"/>
      <c r="B3183" s="252"/>
      <c r="C3183" s="252"/>
      <c r="D3183" s="252"/>
      <c r="E3183" s="252"/>
      <c r="F3183" s="252"/>
      <c r="G3183" s="252"/>
      <c r="H3183" s="252"/>
      <c r="I3183" s="252"/>
      <c r="J3183" s="252"/>
      <c r="K3183" s="253"/>
    </row>
    <row r="3184" spans="1:11" ht="22" customHeight="1" x14ac:dyDescent="0.35">
      <c r="A3184" s="251"/>
      <c r="B3184" s="252"/>
      <c r="C3184" s="252"/>
      <c r="D3184" s="252"/>
      <c r="E3184" s="252"/>
      <c r="F3184" s="252"/>
      <c r="G3184" s="252"/>
      <c r="H3184" s="252"/>
      <c r="I3184" s="252"/>
      <c r="J3184" s="252"/>
      <c r="K3184" s="253"/>
    </row>
    <row r="3185" spans="1:11" ht="22" customHeight="1" x14ac:dyDescent="0.35">
      <c r="A3185" s="251"/>
      <c r="B3185" s="252"/>
      <c r="C3185" s="252"/>
      <c r="D3185" s="252"/>
      <c r="E3185" s="252"/>
      <c r="F3185" s="252"/>
      <c r="G3185" s="252"/>
      <c r="H3185" s="252"/>
      <c r="I3185" s="252"/>
      <c r="J3185" s="252"/>
      <c r="K3185" s="253"/>
    </row>
    <row r="3186" spans="1:11" ht="22" customHeight="1" x14ac:dyDescent="0.35">
      <c r="A3186" s="251"/>
      <c r="B3186" s="252"/>
      <c r="C3186" s="252"/>
      <c r="D3186" s="252"/>
      <c r="E3186" s="252"/>
      <c r="F3186" s="252"/>
      <c r="G3186" s="252"/>
      <c r="H3186" s="252"/>
      <c r="I3186" s="252"/>
      <c r="J3186" s="252"/>
      <c r="K3186" s="253"/>
    </row>
    <row r="3187" spans="1:11" ht="22" customHeight="1" x14ac:dyDescent="0.35">
      <c r="A3187" s="251"/>
      <c r="B3187" s="252"/>
      <c r="C3187" s="252"/>
      <c r="D3187" s="252"/>
      <c r="E3187" s="252"/>
      <c r="F3187" s="252"/>
      <c r="G3187" s="252"/>
      <c r="H3187" s="252"/>
      <c r="I3187" s="252"/>
      <c r="J3187" s="252"/>
      <c r="K3187" s="253"/>
    </row>
    <row r="3188" spans="1:11" ht="22" customHeight="1" x14ac:dyDescent="0.35">
      <c r="A3188" s="251"/>
      <c r="B3188" s="252"/>
      <c r="C3188" s="252"/>
      <c r="D3188" s="252"/>
      <c r="E3188" s="252"/>
      <c r="F3188" s="252"/>
      <c r="G3188" s="252"/>
      <c r="H3188" s="252"/>
      <c r="I3188" s="252"/>
      <c r="J3188" s="252"/>
      <c r="K3188" s="253"/>
    </row>
    <row r="3189" spans="1:11" ht="22" customHeight="1" x14ac:dyDescent="0.35">
      <c r="A3189" s="251"/>
      <c r="B3189" s="252"/>
      <c r="C3189" s="252"/>
      <c r="D3189" s="252"/>
      <c r="E3189" s="252"/>
      <c r="F3189" s="252"/>
      <c r="G3189" s="252"/>
      <c r="H3189" s="252"/>
      <c r="I3189" s="252"/>
      <c r="J3189" s="252"/>
      <c r="K3189" s="253"/>
    </row>
    <row r="3190" spans="1:11" ht="22" customHeight="1" x14ac:dyDescent="0.35">
      <c r="A3190" s="251"/>
      <c r="B3190" s="252"/>
      <c r="C3190" s="252"/>
      <c r="D3190" s="252"/>
      <c r="E3190" s="252"/>
      <c r="F3190" s="252"/>
      <c r="G3190" s="252"/>
      <c r="H3190" s="252"/>
      <c r="I3190" s="252"/>
      <c r="J3190" s="252"/>
      <c r="K3190" s="253"/>
    </row>
    <row r="3191" spans="1:11" ht="22" customHeight="1" x14ac:dyDescent="0.35">
      <c r="A3191" s="251"/>
      <c r="B3191" s="252"/>
      <c r="C3191" s="252"/>
      <c r="D3191" s="252"/>
      <c r="E3191" s="252"/>
      <c r="F3191" s="252"/>
      <c r="G3191" s="252"/>
      <c r="H3191" s="252"/>
      <c r="I3191" s="252"/>
      <c r="J3191" s="252"/>
      <c r="K3191" s="253"/>
    </row>
    <row r="3192" spans="1:11" ht="22" customHeight="1" x14ac:dyDescent="0.35">
      <c r="A3192" s="251"/>
      <c r="B3192" s="252"/>
      <c r="C3192" s="252"/>
      <c r="D3192" s="252"/>
      <c r="E3192" s="252"/>
      <c r="F3192" s="252"/>
      <c r="G3192" s="252"/>
      <c r="H3192" s="252"/>
      <c r="I3192" s="252"/>
      <c r="J3192" s="252"/>
      <c r="K3192" s="253"/>
    </row>
    <row r="3193" spans="1:11" ht="22" customHeight="1" x14ac:dyDescent="0.35">
      <c r="A3193" s="251"/>
      <c r="B3193" s="252"/>
      <c r="C3193" s="252"/>
      <c r="D3193" s="252"/>
      <c r="E3193" s="252"/>
      <c r="F3193" s="252"/>
      <c r="G3193" s="252"/>
      <c r="H3193" s="252"/>
      <c r="I3193" s="252"/>
      <c r="J3193" s="252"/>
      <c r="K3193" s="253"/>
    </row>
    <row r="3194" spans="1:11" ht="22" customHeight="1" x14ac:dyDescent="0.35">
      <c r="A3194" s="251"/>
      <c r="B3194" s="252"/>
      <c r="C3194" s="252"/>
      <c r="D3194" s="252"/>
      <c r="E3194" s="252"/>
      <c r="F3194" s="252"/>
      <c r="G3194" s="252"/>
      <c r="H3194" s="252"/>
      <c r="I3194" s="252"/>
      <c r="J3194" s="252"/>
      <c r="K3194" s="253"/>
    </row>
    <row r="3195" spans="1:11" ht="22" customHeight="1" x14ac:dyDescent="0.35">
      <c r="A3195" s="251"/>
      <c r="B3195" s="252"/>
      <c r="C3195" s="252"/>
      <c r="D3195" s="252"/>
      <c r="E3195" s="252"/>
      <c r="F3195" s="252"/>
      <c r="G3195" s="252"/>
      <c r="H3195" s="252"/>
      <c r="I3195" s="252"/>
      <c r="J3195" s="252"/>
      <c r="K3195" s="253"/>
    </row>
    <row r="3196" spans="1:11" ht="22" customHeight="1" x14ac:dyDescent="0.35">
      <c r="A3196" s="251"/>
      <c r="B3196" s="252"/>
      <c r="C3196" s="252"/>
      <c r="D3196" s="252"/>
      <c r="E3196" s="252"/>
      <c r="F3196" s="252"/>
      <c r="G3196" s="252"/>
      <c r="H3196" s="252"/>
      <c r="I3196" s="252"/>
      <c r="J3196" s="252"/>
      <c r="K3196" s="253"/>
    </row>
    <row r="3197" spans="1:11" ht="22" customHeight="1" x14ac:dyDescent="0.35">
      <c r="A3197" s="251"/>
      <c r="B3197" s="252"/>
      <c r="C3197" s="252"/>
      <c r="D3197" s="252"/>
      <c r="E3197" s="252"/>
      <c r="F3197" s="252"/>
      <c r="G3197" s="252"/>
      <c r="H3197" s="252"/>
      <c r="I3197" s="252"/>
      <c r="J3197" s="252"/>
      <c r="K3197" s="253"/>
    </row>
    <row r="3198" spans="1:11" ht="22" customHeight="1" x14ac:dyDescent="0.35">
      <c r="A3198" s="251"/>
      <c r="B3198" s="252"/>
      <c r="C3198" s="252"/>
      <c r="D3198" s="252"/>
      <c r="E3198" s="252"/>
      <c r="F3198" s="252"/>
      <c r="G3198" s="252"/>
      <c r="H3198" s="252"/>
      <c r="I3198" s="252"/>
      <c r="J3198" s="252"/>
      <c r="K3198" s="253"/>
    </row>
    <row r="3199" spans="1:11" ht="22" customHeight="1" x14ac:dyDescent="0.35">
      <c r="A3199" s="251"/>
      <c r="B3199" s="252"/>
      <c r="C3199" s="252"/>
      <c r="D3199" s="252"/>
      <c r="E3199" s="252"/>
      <c r="F3199" s="252"/>
      <c r="G3199" s="252"/>
      <c r="H3199" s="252"/>
      <c r="I3199" s="252"/>
      <c r="J3199" s="252"/>
      <c r="K3199" s="253"/>
    </row>
    <row r="3200" spans="1:11" ht="22" customHeight="1" x14ac:dyDescent="0.35">
      <c r="A3200" s="251"/>
      <c r="B3200" s="252"/>
      <c r="C3200" s="252"/>
      <c r="D3200" s="252"/>
      <c r="E3200" s="252"/>
      <c r="F3200" s="252"/>
      <c r="G3200" s="252"/>
      <c r="H3200" s="252"/>
      <c r="I3200" s="252"/>
      <c r="J3200" s="252"/>
      <c r="K3200" s="253"/>
    </row>
    <row r="3201" spans="1:11" ht="22" customHeight="1" x14ac:dyDescent="0.35">
      <c r="A3201" s="251"/>
      <c r="B3201" s="252"/>
      <c r="C3201" s="252"/>
      <c r="D3201" s="252"/>
      <c r="E3201" s="252"/>
      <c r="F3201" s="252"/>
      <c r="G3201" s="252"/>
      <c r="H3201" s="252"/>
      <c r="I3201" s="252"/>
      <c r="J3201" s="252"/>
      <c r="K3201" s="253"/>
    </row>
    <row r="3202" spans="1:11" ht="22" customHeight="1" x14ac:dyDescent="0.35">
      <c r="A3202" s="251"/>
      <c r="B3202" s="252"/>
      <c r="C3202" s="252"/>
      <c r="D3202" s="252"/>
      <c r="E3202" s="252"/>
      <c r="F3202" s="252"/>
      <c r="G3202" s="252"/>
      <c r="H3202" s="252"/>
      <c r="I3202" s="252"/>
      <c r="J3202" s="252"/>
      <c r="K3202" s="253"/>
    </row>
    <row r="3203" spans="1:11" ht="22" customHeight="1" x14ac:dyDescent="0.35">
      <c r="A3203" s="251"/>
      <c r="B3203" s="252"/>
      <c r="C3203" s="252"/>
      <c r="D3203" s="252"/>
      <c r="E3203" s="252"/>
      <c r="F3203" s="252"/>
      <c r="G3203" s="252"/>
      <c r="H3203" s="252"/>
      <c r="I3203" s="252"/>
      <c r="J3203" s="252"/>
      <c r="K3203" s="253"/>
    </row>
    <row r="3204" spans="1:11" ht="22" customHeight="1" x14ac:dyDescent="0.35">
      <c r="A3204" s="251"/>
      <c r="B3204" s="252"/>
      <c r="C3204" s="252"/>
      <c r="D3204" s="252"/>
      <c r="E3204" s="252"/>
      <c r="F3204" s="252"/>
      <c r="G3204" s="252"/>
      <c r="H3204" s="252"/>
      <c r="I3204" s="252"/>
      <c r="J3204" s="252"/>
      <c r="K3204" s="253"/>
    </row>
    <row r="3205" spans="1:11" ht="22" customHeight="1" x14ac:dyDescent="0.35">
      <c r="A3205" s="251"/>
      <c r="B3205" s="252"/>
      <c r="C3205" s="252"/>
      <c r="D3205" s="252"/>
      <c r="E3205" s="252"/>
      <c r="F3205" s="252"/>
      <c r="G3205" s="252"/>
      <c r="H3205" s="252"/>
      <c r="I3205" s="252"/>
      <c r="J3205" s="252"/>
      <c r="K3205" s="253"/>
    </row>
    <row r="3206" spans="1:11" ht="22" customHeight="1" x14ac:dyDescent="0.35">
      <c r="A3206" s="251"/>
      <c r="B3206" s="252"/>
      <c r="C3206" s="252"/>
      <c r="D3206" s="252"/>
      <c r="E3206" s="252"/>
      <c r="F3206" s="252"/>
      <c r="G3206" s="252"/>
      <c r="H3206" s="252"/>
      <c r="I3206" s="252"/>
      <c r="J3206" s="252"/>
      <c r="K3206" s="253"/>
    </row>
    <row r="3207" spans="1:11" ht="22" customHeight="1" x14ac:dyDescent="0.35">
      <c r="A3207" s="251"/>
      <c r="B3207" s="252"/>
      <c r="C3207" s="252"/>
      <c r="D3207" s="252"/>
      <c r="E3207" s="252"/>
      <c r="F3207" s="252"/>
      <c r="G3207" s="252"/>
      <c r="H3207" s="252"/>
      <c r="I3207" s="252"/>
      <c r="J3207" s="252"/>
      <c r="K3207" s="253"/>
    </row>
    <row r="3208" spans="1:11" ht="22" customHeight="1" x14ac:dyDescent="0.35">
      <c r="A3208" s="251"/>
      <c r="B3208" s="252"/>
      <c r="C3208" s="252"/>
      <c r="D3208" s="252"/>
      <c r="E3208" s="252"/>
      <c r="F3208" s="252"/>
      <c r="G3208" s="252"/>
      <c r="H3208" s="252"/>
      <c r="I3208" s="252"/>
      <c r="J3208" s="252"/>
      <c r="K3208" s="253"/>
    </row>
    <row r="3209" spans="1:11" ht="22" customHeight="1" x14ac:dyDescent="0.35">
      <c r="A3209" s="251"/>
      <c r="B3209" s="252"/>
      <c r="C3209" s="252"/>
      <c r="D3209" s="252"/>
      <c r="E3209" s="252"/>
      <c r="F3209" s="252"/>
      <c r="G3209" s="252"/>
      <c r="H3209" s="252"/>
      <c r="I3209" s="252"/>
      <c r="J3209" s="252"/>
      <c r="K3209" s="253"/>
    </row>
    <row r="3210" spans="1:11" ht="22" customHeight="1" x14ac:dyDescent="0.35">
      <c r="A3210" s="251"/>
      <c r="B3210" s="252"/>
      <c r="C3210" s="252"/>
      <c r="D3210" s="252"/>
      <c r="E3210" s="252"/>
      <c r="F3210" s="252"/>
      <c r="G3210" s="252"/>
      <c r="H3210" s="252"/>
      <c r="I3210" s="252"/>
      <c r="J3210" s="252"/>
      <c r="K3210" s="253"/>
    </row>
    <row r="3211" spans="1:11" ht="22" customHeight="1" x14ac:dyDescent="0.35">
      <c r="A3211" s="251"/>
      <c r="B3211" s="252"/>
      <c r="C3211" s="252"/>
      <c r="D3211" s="252"/>
      <c r="E3211" s="252"/>
      <c r="F3211" s="252"/>
      <c r="G3211" s="252"/>
      <c r="H3211" s="252"/>
      <c r="I3211" s="252"/>
      <c r="J3211" s="252"/>
      <c r="K3211" s="253"/>
    </row>
    <row r="3212" spans="1:11" ht="22" customHeight="1" x14ac:dyDescent="0.35">
      <c r="A3212" s="251"/>
      <c r="B3212" s="252"/>
      <c r="C3212" s="252"/>
      <c r="D3212" s="252"/>
      <c r="E3212" s="252"/>
      <c r="F3212" s="252"/>
      <c r="G3212" s="252"/>
      <c r="H3212" s="252"/>
      <c r="I3212" s="252"/>
      <c r="J3212" s="252"/>
      <c r="K3212" s="253"/>
    </row>
    <row r="3213" spans="1:11" ht="22" customHeight="1" x14ac:dyDescent="0.35">
      <c r="A3213" s="251"/>
      <c r="B3213" s="252"/>
      <c r="C3213" s="252"/>
      <c r="D3213" s="252"/>
      <c r="E3213" s="252"/>
      <c r="F3213" s="252"/>
      <c r="G3213" s="252"/>
      <c r="H3213" s="252"/>
      <c r="I3213" s="252"/>
      <c r="J3213" s="252"/>
      <c r="K3213" s="253"/>
    </row>
    <row r="3214" spans="1:11" ht="22" customHeight="1" x14ac:dyDescent="0.35">
      <c r="A3214" s="251"/>
      <c r="B3214" s="252"/>
      <c r="C3214" s="252"/>
      <c r="D3214" s="252"/>
      <c r="E3214" s="252"/>
      <c r="F3214" s="252"/>
      <c r="G3214" s="252"/>
      <c r="H3214" s="252"/>
      <c r="I3214" s="252"/>
      <c r="J3214" s="252"/>
      <c r="K3214" s="253"/>
    </row>
    <row r="3215" spans="1:11" ht="22" customHeight="1" x14ac:dyDescent="0.35">
      <c r="A3215" s="251"/>
      <c r="B3215" s="252"/>
      <c r="C3215" s="252"/>
      <c r="D3215" s="252"/>
      <c r="E3215" s="252"/>
      <c r="F3215" s="252"/>
      <c r="G3215" s="252"/>
      <c r="H3215" s="252"/>
      <c r="I3215" s="252"/>
      <c r="J3215" s="252"/>
      <c r="K3215" s="253"/>
    </row>
    <row r="3216" spans="1:11" ht="22" customHeight="1" x14ac:dyDescent="0.35">
      <c r="A3216" s="251"/>
      <c r="B3216" s="252"/>
      <c r="C3216" s="252"/>
      <c r="D3216" s="252"/>
      <c r="E3216" s="252"/>
      <c r="F3216" s="252"/>
      <c r="G3216" s="252"/>
      <c r="H3216" s="252"/>
      <c r="I3216" s="252"/>
      <c r="J3216" s="252"/>
      <c r="K3216" s="253"/>
    </row>
    <row r="3217" spans="1:11" ht="22" customHeight="1" x14ac:dyDescent="0.35">
      <c r="A3217" s="251"/>
      <c r="B3217" s="252"/>
      <c r="C3217" s="252"/>
      <c r="D3217" s="252"/>
      <c r="E3217" s="252"/>
      <c r="F3217" s="252"/>
      <c r="G3217" s="252"/>
      <c r="H3217" s="252"/>
      <c r="I3217" s="252"/>
      <c r="J3217" s="252"/>
      <c r="K3217" s="253"/>
    </row>
    <row r="3218" spans="1:11" ht="22" customHeight="1" x14ac:dyDescent="0.35">
      <c r="A3218" s="251"/>
      <c r="B3218" s="252"/>
      <c r="C3218" s="252"/>
      <c r="D3218" s="252"/>
      <c r="E3218" s="252"/>
      <c r="F3218" s="252"/>
      <c r="G3218" s="252"/>
      <c r="H3218" s="252"/>
      <c r="I3218" s="252"/>
      <c r="J3218" s="252"/>
      <c r="K3218" s="253"/>
    </row>
    <row r="3219" spans="1:11" ht="22" customHeight="1" x14ac:dyDescent="0.35">
      <c r="A3219" s="251"/>
      <c r="B3219" s="252"/>
      <c r="C3219" s="252"/>
      <c r="D3219" s="252"/>
      <c r="E3219" s="252"/>
      <c r="F3219" s="252"/>
      <c r="G3219" s="252"/>
      <c r="H3219" s="252"/>
      <c r="I3219" s="252"/>
      <c r="J3219" s="252"/>
      <c r="K3219" s="253"/>
    </row>
    <row r="3220" spans="1:11" ht="22" customHeight="1" x14ac:dyDescent="0.35">
      <c r="A3220" s="251"/>
      <c r="B3220" s="252"/>
      <c r="C3220" s="252"/>
      <c r="D3220" s="252"/>
      <c r="E3220" s="252"/>
      <c r="F3220" s="252"/>
      <c r="G3220" s="252"/>
      <c r="H3220" s="252"/>
      <c r="I3220" s="252"/>
      <c r="J3220" s="252"/>
      <c r="K3220" s="253"/>
    </row>
    <row r="3221" spans="1:11" ht="22" customHeight="1" x14ac:dyDescent="0.35">
      <c r="A3221" s="251"/>
      <c r="B3221" s="252"/>
      <c r="C3221" s="252"/>
      <c r="D3221" s="252"/>
      <c r="E3221" s="252"/>
      <c r="F3221" s="252"/>
      <c r="G3221" s="252"/>
      <c r="H3221" s="252"/>
      <c r="I3221" s="252"/>
      <c r="J3221" s="252"/>
      <c r="K3221" s="253"/>
    </row>
    <row r="3222" spans="1:11" ht="22" customHeight="1" x14ac:dyDescent="0.35">
      <c r="A3222" s="251"/>
      <c r="B3222" s="252"/>
      <c r="C3222" s="252"/>
      <c r="D3222" s="252"/>
      <c r="E3222" s="252"/>
      <c r="F3222" s="252"/>
      <c r="G3222" s="252"/>
      <c r="H3222" s="252"/>
      <c r="I3222" s="252"/>
      <c r="J3222" s="252"/>
      <c r="K3222" s="253"/>
    </row>
    <row r="3223" spans="1:11" ht="22" customHeight="1" x14ac:dyDescent="0.35">
      <c r="A3223" s="251"/>
      <c r="B3223" s="252"/>
      <c r="C3223" s="252"/>
      <c r="D3223" s="252"/>
      <c r="E3223" s="252"/>
      <c r="F3223" s="252"/>
      <c r="G3223" s="252"/>
      <c r="H3223" s="252"/>
      <c r="I3223" s="252"/>
      <c r="J3223" s="252"/>
      <c r="K3223" s="253"/>
    </row>
    <row r="3224" spans="1:11" ht="22" customHeight="1" x14ac:dyDescent="0.35">
      <c r="A3224" s="251"/>
      <c r="B3224" s="252"/>
      <c r="C3224" s="252"/>
      <c r="D3224" s="252"/>
      <c r="E3224" s="252"/>
      <c r="F3224" s="252"/>
      <c r="G3224" s="252"/>
      <c r="H3224" s="252"/>
      <c r="I3224" s="252"/>
      <c r="J3224" s="252"/>
      <c r="K3224" s="253"/>
    </row>
    <row r="3225" spans="1:11" ht="22" customHeight="1" x14ac:dyDescent="0.35">
      <c r="A3225" s="251"/>
      <c r="B3225" s="252"/>
      <c r="C3225" s="252"/>
      <c r="D3225" s="252"/>
      <c r="E3225" s="252"/>
      <c r="F3225" s="252"/>
      <c r="G3225" s="252"/>
      <c r="H3225" s="252"/>
      <c r="I3225" s="252"/>
      <c r="J3225" s="252"/>
      <c r="K3225" s="253"/>
    </row>
    <row r="3226" spans="1:11" ht="22" customHeight="1" x14ac:dyDescent="0.35">
      <c r="A3226" s="251"/>
      <c r="B3226" s="252"/>
      <c r="C3226" s="252"/>
      <c r="D3226" s="252"/>
      <c r="E3226" s="252"/>
      <c r="F3226" s="252"/>
      <c r="G3226" s="252"/>
      <c r="H3226" s="252"/>
      <c r="I3226" s="252"/>
      <c r="J3226" s="252"/>
      <c r="K3226" s="253"/>
    </row>
    <row r="3227" spans="1:11" ht="22" customHeight="1" x14ac:dyDescent="0.35">
      <c r="A3227" s="251"/>
      <c r="B3227" s="252"/>
      <c r="C3227" s="252"/>
      <c r="D3227" s="252"/>
      <c r="E3227" s="252"/>
      <c r="F3227" s="252"/>
      <c r="G3227" s="252"/>
      <c r="H3227" s="252"/>
      <c r="I3227" s="252"/>
      <c r="J3227" s="252"/>
      <c r="K3227" s="253"/>
    </row>
    <row r="3228" spans="1:11" ht="22" customHeight="1" x14ac:dyDescent="0.35">
      <c r="A3228" s="251"/>
      <c r="B3228" s="252"/>
      <c r="C3228" s="252"/>
      <c r="D3228" s="252"/>
      <c r="E3228" s="252"/>
      <c r="F3228" s="252"/>
      <c r="G3228" s="252"/>
      <c r="H3228" s="252"/>
      <c r="I3228" s="252"/>
      <c r="J3228" s="252"/>
      <c r="K3228" s="253"/>
    </row>
    <row r="3229" spans="1:11" ht="22" customHeight="1" x14ac:dyDescent="0.35">
      <c r="A3229" s="251"/>
      <c r="B3229" s="252"/>
      <c r="C3229" s="252"/>
      <c r="D3229" s="252"/>
      <c r="E3229" s="252"/>
      <c r="F3229" s="252"/>
      <c r="G3229" s="252"/>
      <c r="H3229" s="252"/>
      <c r="I3229" s="252"/>
      <c r="J3229" s="252"/>
      <c r="K3229" s="253"/>
    </row>
    <row r="3230" spans="1:11" ht="22" customHeight="1" x14ac:dyDescent="0.35">
      <c r="A3230" s="251"/>
      <c r="B3230" s="252"/>
      <c r="C3230" s="252"/>
      <c r="D3230" s="252"/>
      <c r="E3230" s="252"/>
      <c r="F3230" s="252"/>
      <c r="G3230" s="252"/>
      <c r="H3230" s="252"/>
      <c r="I3230" s="252"/>
      <c r="J3230" s="252"/>
      <c r="K3230" s="253"/>
    </row>
    <row r="3231" spans="1:11" ht="22" customHeight="1" x14ac:dyDescent="0.35">
      <c r="A3231" s="251"/>
      <c r="B3231" s="252"/>
      <c r="C3231" s="252"/>
      <c r="D3231" s="252"/>
      <c r="E3231" s="252"/>
      <c r="F3231" s="252"/>
      <c r="G3231" s="252"/>
      <c r="H3231" s="252"/>
      <c r="I3231" s="252"/>
      <c r="J3231" s="252"/>
      <c r="K3231" s="253"/>
    </row>
    <row r="3232" spans="1:11" ht="22" customHeight="1" x14ac:dyDescent="0.35">
      <c r="A3232" s="251"/>
      <c r="B3232" s="252"/>
      <c r="C3232" s="252"/>
      <c r="D3232" s="252"/>
      <c r="E3232" s="252"/>
      <c r="F3232" s="252"/>
      <c r="G3232" s="252"/>
      <c r="H3232" s="252"/>
      <c r="I3232" s="252"/>
      <c r="J3232" s="252"/>
      <c r="K3232" s="253"/>
    </row>
    <row r="3233" spans="1:11" ht="22" customHeight="1" x14ac:dyDescent="0.35">
      <c r="A3233" s="251"/>
      <c r="B3233" s="252"/>
      <c r="C3233" s="252"/>
      <c r="D3233" s="252"/>
      <c r="E3233" s="252"/>
      <c r="F3233" s="252"/>
      <c r="G3233" s="252"/>
      <c r="H3233" s="252"/>
      <c r="I3233" s="252"/>
      <c r="J3233" s="252"/>
      <c r="K3233" s="253"/>
    </row>
    <row r="3234" spans="1:11" ht="22" customHeight="1" x14ac:dyDescent="0.35">
      <c r="A3234" s="251"/>
      <c r="B3234" s="252"/>
      <c r="C3234" s="252"/>
      <c r="D3234" s="252"/>
      <c r="E3234" s="252"/>
      <c r="F3234" s="252"/>
      <c r="G3234" s="252"/>
      <c r="H3234" s="252"/>
      <c r="I3234" s="252"/>
      <c r="J3234" s="252"/>
      <c r="K3234" s="253"/>
    </row>
    <row r="3235" spans="1:11" ht="22" customHeight="1" x14ac:dyDescent="0.35">
      <c r="A3235" s="251"/>
      <c r="B3235" s="252"/>
      <c r="C3235" s="252"/>
      <c r="D3235" s="252"/>
      <c r="E3235" s="252"/>
      <c r="F3235" s="252"/>
      <c r="G3235" s="252"/>
      <c r="H3235" s="252"/>
      <c r="I3235" s="252"/>
      <c r="J3235" s="252"/>
      <c r="K3235" s="253"/>
    </row>
    <row r="3236" spans="1:11" ht="22" customHeight="1" x14ac:dyDescent="0.35">
      <c r="A3236" s="251"/>
      <c r="B3236" s="252"/>
      <c r="C3236" s="252"/>
      <c r="D3236" s="252"/>
      <c r="E3236" s="252"/>
      <c r="F3236" s="252"/>
      <c r="G3236" s="252"/>
      <c r="H3236" s="252"/>
      <c r="I3236" s="252"/>
      <c r="J3236" s="252"/>
      <c r="K3236" s="253"/>
    </row>
    <row r="3237" spans="1:11" ht="22" customHeight="1" x14ac:dyDescent="0.35">
      <c r="A3237" s="251"/>
      <c r="B3237" s="252"/>
      <c r="C3237" s="252"/>
      <c r="D3237" s="252"/>
      <c r="E3237" s="252"/>
      <c r="F3237" s="252"/>
      <c r="G3237" s="252"/>
      <c r="H3237" s="252"/>
      <c r="I3237" s="252"/>
      <c r="J3237" s="252"/>
      <c r="K3237" s="253"/>
    </row>
    <row r="3238" spans="1:11" ht="22" customHeight="1" x14ac:dyDescent="0.35">
      <c r="A3238" s="251"/>
      <c r="B3238" s="252"/>
      <c r="C3238" s="252"/>
      <c r="D3238" s="252"/>
      <c r="E3238" s="252"/>
      <c r="F3238" s="252"/>
      <c r="G3238" s="252"/>
      <c r="H3238" s="252"/>
      <c r="I3238" s="252"/>
      <c r="J3238" s="252"/>
      <c r="K3238" s="253"/>
    </row>
    <row r="3239" spans="1:11" ht="22" customHeight="1" x14ac:dyDescent="0.35">
      <c r="A3239" s="251"/>
      <c r="B3239" s="252"/>
      <c r="C3239" s="252"/>
      <c r="D3239" s="252"/>
      <c r="E3239" s="252"/>
      <c r="F3239" s="252"/>
      <c r="G3239" s="252"/>
      <c r="H3239" s="252"/>
      <c r="I3239" s="252"/>
      <c r="J3239" s="252"/>
      <c r="K3239" s="253"/>
    </row>
    <row r="3240" spans="1:11" ht="22" customHeight="1" x14ac:dyDescent="0.35">
      <c r="A3240" s="251"/>
      <c r="B3240" s="252"/>
      <c r="C3240" s="252"/>
      <c r="D3240" s="252"/>
      <c r="E3240" s="252"/>
      <c r="F3240" s="252"/>
      <c r="G3240" s="252"/>
      <c r="H3240" s="252"/>
      <c r="I3240" s="252"/>
      <c r="J3240" s="252"/>
      <c r="K3240" s="253"/>
    </row>
    <row r="3241" spans="1:11" ht="22" customHeight="1" x14ac:dyDescent="0.35">
      <c r="A3241" s="251"/>
      <c r="B3241" s="252"/>
      <c r="C3241" s="252"/>
      <c r="D3241" s="252"/>
      <c r="E3241" s="252"/>
      <c r="F3241" s="252"/>
      <c r="G3241" s="252"/>
      <c r="H3241" s="252"/>
      <c r="I3241" s="252"/>
      <c r="J3241" s="252"/>
      <c r="K3241" s="253"/>
    </row>
    <row r="3242" spans="1:11" ht="22" customHeight="1" x14ac:dyDescent="0.35">
      <c r="A3242" s="251"/>
      <c r="B3242" s="252"/>
      <c r="C3242" s="252"/>
      <c r="D3242" s="252"/>
      <c r="E3242" s="252"/>
      <c r="F3242" s="252"/>
      <c r="G3242" s="252"/>
      <c r="H3242" s="252"/>
      <c r="I3242" s="252"/>
      <c r="J3242" s="252"/>
      <c r="K3242" s="253"/>
    </row>
    <row r="3243" spans="1:11" ht="22" customHeight="1" x14ac:dyDescent="0.35">
      <c r="A3243" s="251"/>
      <c r="B3243" s="252"/>
      <c r="C3243" s="252"/>
      <c r="D3243" s="252"/>
      <c r="E3243" s="252"/>
      <c r="F3243" s="252"/>
      <c r="G3243" s="252"/>
      <c r="H3243" s="252"/>
      <c r="I3243" s="252"/>
      <c r="J3243" s="252"/>
      <c r="K3243" s="253"/>
    </row>
    <row r="3244" spans="1:11" ht="22" customHeight="1" x14ac:dyDescent="0.35">
      <c r="A3244" s="251"/>
      <c r="B3244" s="252"/>
      <c r="C3244" s="252"/>
      <c r="D3244" s="252"/>
      <c r="E3244" s="252"/>
      <c r="F3244" s="252"/>
      <c r="G3244" s="252"/>
      <c r="H3244" s="252"/>
      <c r="I3244" s="252"/>
      <c r="J3244" s="252"/>
      <c r="K3244" s="253"/>
    </row>
    <row r="3245" spans="1:11" ht="22" customHeight="1" x14ac:dyDescent="0.35">
      <c r="A3245" s="251"/>
      <c r="B3245" s="252"/>
      <c r="C3245" s="252"/>
      <c r="D3245" s="252"/>
      <c r="E3245" s="252"/>
      <c r="F3245" s="252"/>
      <c r="G3245" s="252"/>
      <c r="H3245" s="252"/>
      <c r="I3245" s="252"/>
      <c r="J3245" s="252"/>
      <c r="K3245" s="253"/>
    </row>
    <row r="3246" spans="1:11" ht="22" customHeight="1" x14ac:dyDescent="0.35">
      <c r="A3246" s="251"/>
      <c r="B3246" s="252"/>
      <c r="C3246" s="252"/>
      <c r="D3246" s="252"/>
      <c r="E3246" s="252"/>
      <c r="F3246" s="252"/>
      <c r="G3246" s="252"/>
      <c r="H3246" s="252"/>
      <c r="I3246" s="252"/>
      <c r="J3246" s="252"/>
      <c r="K3246" s="253"/>
    </row>
    <row r="3247" spans="1:11" ht="22" customHeight="1" x14ac:dyDescent="0.35">
      <c r="A3247" s="251"/>
      <c r="B3247" s="252"/>
      <c r="C3247" s="252"/>
      <c r="D3247" s="252"/>
      <c r="E3247" s="252"/>
      <c r="F3247" s="252"/>
      <c r="G3247" s="252"/>
      <c r="H3247" s="252"/>
      <c r="I3247" s="252"/>
      <c r="J3247" s="252"/>
      <c r="K3247" s="253"/>
    </row>
    <row r="3248" spans="1:11" ht="22" customHeight="1" x14ac:dyDescent="0.35">
      <c r="A3248" s="251"/>
      <c r="B3248" s="252"/>
      <c r="C3248" s="252"/>
      <c r="D3248" s="252"/>
      <c r="E3248" s="252"/>
      <c r="F3248" s="252"/>
      <c r="G3248" s="252"/>
      <c r="H3248" s="252"/>
      <c r="I3248" s="252"/>
      <c r="J3248" s="252"/>
      <c r="K3248" s="253"/>
    </row>
    <row r="3249" spans="1:11" ht="22" customHeight="1" x14ac:dyDescent="0.35">
      <c r="A3249" s="251"/>
      <c r="B3249" s="252"/>
      <c r="C3249" s="252"/>
      <c r="D3249" s="252"/>
      <c r="E3249" s="252"/>
      <c r="F3249" s="252"/>
      <c r="G3249" s="252"/>
      <c r="H3249" s="252"/>
      <c r="I3249" s="252"/>
      <c r="J3249" s="252"/>
      <c r="K3249" s="253"/>
    </row>
    <row r="3250" spans="1:11" ht="22" customHeight="1" x14ac:dyDescent="0.35">
      <c r="A3250" s="251"/>
      <c r="B3250" s="252"/>
      <c r="C3250" s="252"/>
      <c r="D3250" s="252"/>
      <c r="E3250" s="252"/>
      <c r="F3250" s="252"/>
      <c r="G3250" s="252"/>
      <c r="H3250" s="252"/>
      <c r="I3250" s="252"/>
      <c r="J3250" s="252"/>
      <c r="K3250" s="253"/>
    </row>
    <row r="3251" spans="1:11" ht="22" customHeight="1" x14ac:dyDescent="0.35">
      <c r="A3251" s="251"/>
      <c r="B3251" s="252"/>
      <c r="C3251" s="252"/>
      <c r="D3251" s="252"/>
      <c r="E3251" s="252"/>
      <c r="F3251" s="252"/>
      <c r="G3251" s="252"/>
      <c r="H3251" s="252"/>
      <c r="I3251" s="252"/>
      <c r="J3251" s="252"/>
      <c r="K3251" s="253"/>
    </row>
    <row r="3252" spans="1:11" ht="22" customHeight="1" x14ac:dyDescent="0.35">
      <c r="A3252" s="251"/>
      <c r="B3252" s="252"/>
      <c r="C3252" s="252"/>
      <c r="D3252" s="252"/>
      <c r="E3252" s="252"/>
      <c r="F3252" s="252"/>
      <c r="G3252" s="252"/>
      <c r="H3252" s="252"/>
      <c r="I3252" s="252"/>
      <c r="J3252" s="252"/>
      <c r="K3252" s="253"/>
    </row>
    <row r="3253" spans="1:11" ht="22" customHeight="1" x14ac:dyDescent="0.35">
      <c r="A3253" s="251"/>
      <c r="B3253" s="252"/>
      <c r="C3253" s="252"/>
      <c r="D3253" s="252"/>
      <c r="E3253" s="252"/>
      <c r="F3253" s="252"/>
      <c r="G3253" s="252"/>
      <c r="H3253" s="252"/>
      <c r="I3253" s="252"/>
      <c r="J3253" s="252"/>
      <c r="K3253" s="253"/>
    </row>
    <row r="3254" spans="1:11" ht="22" customHeight="1" x14ac:dyDescent="0.35">
      <c r="A3254" s="251"/>
      <c r="B3254" s="252"/>
      <c r="C3254" s="252"/>
      <c r="D3254" s="252"/>
      <c r="E3254" s="252"/>
      <c r="F3254" s="252"/>
      <c r="G3254" s="252"/>
      <c r="H3254" s="252"/>
      <c r="I3254" s="252"/>
      <c r="J3254" s="252"/>
      <c r="K3254" s="253"/>
    </row>
    <row r="3255" spans="1:11" ht="22" customHeight="1" x14ac:dyDescent="0.35">
      <c r="A3255" s="251"/>
      <c r="B3255" s="252"/>
      <c r="C3255" s="252"/>
      <c r="D3255" s="252"/>
      <c r="E3255" s="252"/>
      <c r="F3255" s="252"/>
      <c r="G3255" s="252"/>
      <c r="H3255" s="252"/>
      <c r="I3255" s="252"/>
      <c r="J3255" s="252"/>
      <c r="K3255" s="253"/>
    </row>
    <row r="3256" spans="1:11" ht="22" customHeight="1" x14ac:dyDescent="0.35">
      <c r="A3256" s="251"/>
      <c r="B3256" s="252"/>
      <c r="C3256" s="252"/>
      <c r="D3256" s="252"/>
      <c r="E3256" s="252"/>
      <c r="F3256" s="252"/>
      <c r="G3256" s="252"/>
      <c r="H3256" s="252"/>
      <c r="I3256" s="252"/>
      <c r="J3256" s="252"/>
      <c r="K3256" s="253"/>
    </row>
    <row r="3257" spans="1:11" ht="22" customHeight="1" x14ac:dyDescent="0.35">
      <c r="A3257" s="251"/>
      <c r="B3257" s="252"/>
      <c r="C3257" s="252"/>
      <c r="D3257" s="252"/>
      <c r="E3257" s="252"/>
      <c r="F3257" s="252"/>
      <c r="G3257" s="252"/>
      <c r="H3257" s="252"/>
      <c r="I3257" s="252"/>
      <c r="J3257" s="252"/>
      <c r="K3257" s="253"/>
    </row>
    <row r="3258" spans="1:11" ht="22" customHeight="1" x14ac:dyDescent="0.35">
      <c r="A3258" s="251"/>
      <c r="B3258" s="252"/>
      <c r="C3258" s="252"/>
      <c r="D3258" s="252"/>
      <c r="E3258" s="252"/>
      <c r="F3258" s="252"/>
      <c r="G3258" s="252"/>
      <c r="H3258" s="252"/>
      <c r="I3258" s="252"/>
      <c r="J3258" s="252"/>
      <c r="K3258" s="253"/>
    </row>
    <row r="3259" spans="1:11" ht="22" customHeight="1" x14ac:dyDescent="0.35">
      <c r="A3259" s="251"/>
      <c r="B3259" s="252"/>
      <c r="C3259" s="252"/>
      <c r="D3259" s="252"/>
      <c r="E3259" s="252"/>
      <c r="F3259" s="252"/>
      <c r="G3259" s="252"/>
      <c r="H3259" s="252"/>
      <c r="I3259" s="252"/>
      <c r="J3259" s="252"/>
      <c r="K3259" s="253"/>
    </row>
    <row r="3260" spans="1:11" ht="22" customHeight="1" x14ac:dyDescent="0.35">
      <c r="A3260" s="251"/>
      <c r="B3260" s="252"/>
      <c r="C3260" s="252"/>
      <c r="D3260" s="252"/>
      <c r="E3260" s="252"/>
      <c r="F3260" s="252"/>
      <c r="G3260" s="252"/>
      <c r="H3260" s="252"/>
      <c r="I3260" s="252"/>
      <c r="J3260" s="252"/>
      <c r="K3260" s="253"/>
    </row>
    <row r="3261" spans="1:11" ht="22" customHeight="1" x14ac:dyDescent="0.35">
      <c r="A3261" s="251"/>
      <c r="B3261" s="252"/>
      <c r="C3261" s="252"/>
      <c r="D3261" s="252"/>
      <c r="E3261" s="252"/>
      <c r="F3261" s="252"/>
      <c r="G3261" s="252"/>
      <c r="H3261" s="252"/>
      <c r="I3261" s="252"/>
      <c r="J3261" s="252"/>
      <c r="K3261" s="253"/>
    </row>
    <row r="3262" spans="1:11" ht="22" customHeight="1" x14ac:dyDescent="0.35">
      <c r="A3262" s="251"/>
      <c r="B3262" s="252"/>
      <c r="C3262" s="252"/>
      <c r="D3262" s="252"/>
      <c r="E3262" s="252"/>
      <c r="F3262" s="252"/>
      <c r="G3262" s="252"/>
      <c r="H3262" s="252"/>
      <c r="I3262" s="252"/>
      <c r="J3262" s="252"/>
      <c r="K3262" s="253"/>
    </row>
    <row r="3263" spans="1:11" ht="22" customHeight="1" x14ac:dyDescent="0.35">
      <c r="A3263" s="251"/>
      <c r="B3263" s="252"/>
      <c r="C3263" s="252"/>
      <c r="D3263" s="252"/>
      <c r="E3263" s="252"/>
      <c r="F3263" s="252"/>
      <c r="G3263" s="252"/>
      <c r="H3263" s="252"/>
      <c r="I3263" s="252"/>
      <c r="J3263" s="252"/>
      <c r="K3263" s="253"/>
    </row>
    <row r="3264" spans="1:11" ht="22" customHeight="1" x14ac:dyDescent="0.35">
      <c r="A3264" s="251"/>
      <c r="B3264" s="252"/>
      <c r="C3264" s="252"/>
      <c r="D3264" s="252"/>
      <c r="E3264" s="252"/>
      <c r="F3264" s="252"/>
      <c r="G3264" s="252"/>
      <c r="H3264" s="252"/>
      <c r="I3264" s="252"/>
      <c r="J3264" s="252"/>
      <c r="K3264" s="253"/>
    </row>
    <row r="3265" spans="1:11" ht="22" customHeight="1" x14ac:dyDescent="0.35">
      <c r="A3265" s="251"/>
      <c r="B3265" s="252"/>
      <c r="C3265" s="252"/>
      <c r="D3265" s="252"/>
      <c r="E3265" s="252"/>
      <c r="F3265" s="252"/>
      <c r="G3265" s="252"/>
      <c r="H3265" s="252"/>
      <c r="I3265" s="252"/>
      <c r="J3265" s="252"/>
      <c r="K3265" s="253"/>
    </row>
    <row r="3266" spans="1:11" ht="22" customHeight="1" x14ac:dyDescent="0.35">
      <c r="A3266" s="251"/>
      <c r="B3266" s="252"/>
      <c r="C3266" s="252"/>
      <c r="D3266" s="252"/>
      <c r="E3266" s="252"/>
      <c r="F3266" s="252"/>
      <c r="G3266" s="252"/>
      <c r="H3266" s="252"/>
      <c r="I3266" s="252"/>
      <c r="J3266" s="252"/>
      <c r="K3266" s="253"/>
    </row>
    <row r="3267" spans="1:11" ht="22" customHeight="1" x14ac:dyDescent="0.35">
      <c r="A3267" s="251"/>
      <c r="B3267" s="252"/>
      <c r="C3267" s="252"/>
      <c r="D3267" s="252"/>
      <c r="E3267" s="252"/>
      <c r="F3267" s="252"/>
      <c r="G3267" s="252"/>
      <c r="H3267" s="252"/>
      <c r="I3267" s="252"/>
      <c r="J3267" s="252"/>
      <c r="K3267" s="253"/>
    </row>
    <row r="3268" spans="1:11" ht="22" customHeight="1" x14ac:dyDescent="0.35">
      <c r="A3268" s="251"/>
      <c r="B3268" s="252"/>
      <c r="C3268" s="252"/>
      <c r="D3268" s="252"/>
      <c r="E3268" s="252"/>
      <c r="F3268" s="252"/>
      <c r="G3268" s="252"/>
      <c r="H3268" s="252"/>
      <c r="I3268" s="252"/>
      <c r="J3268" s="252"/>
      <c r="K3268" s="253"/>
    </row>
    <row r="3269" spans="1:11" ht="22" customHeight="1" x14ac:dyDescent="0.35">
      <c r="A3269" s="251"/>
      <c r="B3269" s="252"/>
      <c r="C3269" s="252"/>
      <c r="D3269" s="252"/>
      <c r="E3269" s="252"/>
      <c r="F3269" s="252"/>
      <c r="G3269" s="252"/>
      <c r="H3269" s="252"/>
      <c r="I3269" s="252"/>
      <c r="J3269" s="252"/>
      <c r="K3269" s="253"/>
    </row>
    <row r="3270" spans="1:11" ht="22" customHeight="1" x14ac:dyDescent="0.35">
      <c r="A3270" s="251"/>
      <c r="B3270" s="252"/>
      <c r="C3270" s="252"/>
      <c r="D3270" s="252"/>
      <c r="E3270" s="252"/>
      <c r="F3270" s="252"/>
      <c r="G3270" s="252"/>
      <c r="H3270" s="252"/>
      <c r="I3270" s="252"/>
      <c r="J3270" s="252"/>
      <c r="K3270" s="253"/>
    </row>
    <row r="3271" spans="1:11" ht="22" customHeight="1" x14ac:dyDescent="0.35">
      <c r="A3271" s="251"/>
      <c r="B3271" s="252"/>
      <c r="C3271" s="252"/>
      <c r="D3271" s="252"/>
      <c r="E3271" s="252"/>
      <c r="F3271" s="252"/>
      <c r="G3271" s="252"/>
      <c r="H3271" s="252"/>
      <c r="I3271" s="252"/>
      <c r="J3271" s="252"/>
      <c r="K3271" s="253"/>
    </row>
    <row r="3272" spans="1:11" ht="22" customHeight="1" x14ac:dyDescent="0.35">
      <c r="A3272" s="251"/>
      <c r="B3272" s="252"/>
      <c r="C3272" s="252"/>
      <c r="D3272" s="252"/>
      <c r="E3272" s="252"/>
      <c r="F3272" s="252"/>
      <c r="G3272" s="252"/>
      <c r="H3272" s="252"/>
      <c r="I3272" s="252"/>
      <c r="J3272" s="252"/>
      <c r="K3272" s="253"/>
    </row>
    <row r="3273" spans="1:11" ht="22" customHeight="1" x14ac:dyDescent="0.35">
      <c r="A3273" s="251"/>
      <c r="B3273" s="252"/>
      <c r="C3273" s="252"/>
      <c r="D3273" s="252"/>
      <c r="E3273" s="252"/>
      <c r="F3273" s="252"/>
      <c r="G3273" s="252"/>
      <c r="H3273" s="252"/>
      <c r="I3273" s="252"/>
      <c r="J3273" s="252"/>
      <c r="K3273" s="253"/>
    </row>
    <row r="3274" spans="1:11" ht="22" customHeight="1" x14ac:dyDescent="0.35">
      <c r="A3274" s="251"/>
      <c r="B3274" s="252"/>
      <c r="C3274" s="252"/>
      <c r="D3274" s="252"/>
      <c r="E3274" s="252"/>
      <c r="F3274" s="252"/>
      <c r="G3274" s="252"/>
      <c r="H3274" s="252"/>
      <c r="I3274" s="252"/>
      <c r="J3274" s="252"/>
      <c r="K3274" s="253"/>
    </row>
    <row r="3275" spans="1:11" ht="22" customHeight="1" x14ac:dyDescent="0.35">
      <c r="A3275" s="251"/>
      <c r="B3275" s="252"/>
      <c r="C3275" s="252"/>
      <c r="D3275" s="252"/>
      <c r="E3275" s="252"/>
      <c r="F3275" s="252"/>
      <c r="G3275" s="252"/>
      <c r="H3275" s="252"/>
      <c r="I3275" s="252"/>
      <c r="J3275" s="252"/>
      <c r="K3275" s="253"/>
    </row>
    <row r="3276" spans="1:11" ht="22" customHeight="1" x14ac:dyDescent="0.35">
      <c r="A3276" s="251"/>
      <c r="B3276" s="252"/>
      <c r="C3276" s="252"/>
      <c r="D3276" s="252"/>
      <c r="E3276" s="252"/>
      <c r="F3276" s="252"/>
      <c r="G3276" s="252"/>
      <c r="H3276" s="252"/>
      <c r="I3276" s="252"/>
      <c r="J3276" s="252"/>
      <c r="K3276" s="253"/>
    </row>
    <row r="3277" spans="1:11" ht="22" customHeight="1" x14ac:dyDescent="0.35">
      <c r="A3277" s="251"/>
      <c r="B3277" s="252"/>
      <c r="C3277" s="252"/>
      <c r="D3277" s="252"/>
      <c r="E3277" s="252"/>
      <c r="F3277" s="252"/>
      <c r="G3277" s="252"/>
      <c r="H3277" s="252"/>
      <c r="I3277" s="252"/>
      <c r="J3277" s="252"/>
      <c r="K3277" s="253"/>
    </row>
    <row r="3278" spans="1:11" ht="22" customHeight="1" x14ac:dyDescent="0.35">
      <c r="A3278" s="251"/>
      <c r="B3278" s="252"/>
      <c r="C3278" s="252"/>
      <c r="D3278" s="252"/>
      <c r="E3278" s="252"/>
      <c r="F3278" s="252"/>
      <c r="G3278" s="252"/>
      <c r="H3278" s="252"/>
      <c r="I3278" s="252"/>
      <c r="J3278" s="252"/>
      <c r="K3278" s="253"/>
    </row>
    <row r="3279" spans="1:11" ht="22" customHeight="1" x14ac:dyDescent="0.35">
      <c r="A3279" s="251"/>
      <c r="B3279" s="252"/>
      <c r="C3279" s="252"/>
      <c r="D3279" s="252"/>
      <c r="E3279" s="252"/>
      <c r="F3279" s="252"/>
      <c r="G3279" s="252"/>
      <c r="H3279" s="252"/>
      <c r="I3279" s="252"/>
      <c r="J3279" s="252"/>
      <c r="K3279" s="253"/>
    </row>
    <row r="3280" spans="1:11" ht="22" customHeight="1" x14ac:dyDescent="0.35">
      <c r="A3280" s="251"/>
      <c r="B3280" s="252"/>
      <c r="C3280" s="252"/>
      <c r="D3280" s="252"/>
      <c r="E3280" s="252"/>
      <c r="F3280" s="252"/>
      <c r="G3280" s="252"/>
      <c r="H3280" s="252"/>
      <c r="I3280" s="252"/>
      <c r="J3280" s="252"/>
      <c r="K3280" s="253"/>
    </row>
    <row r="3281" spans="1:11" ht="22" customHeight="1" x14ac:dyDescent="0.35">
      <c r="A3281" s="251"/>
      <c r="B3281" s="252"/>
      <c r="C3281" s="252"/>
      <c r="D3281" s="252"/>
      <c r="E3281" s="252"/>
      <c r="F3281" s="252"/>
      <c r="G3281" s="252"/>
      <c r="H3281" s="252"/>
      <c r="I3281" s="252"/>
      <c r="J3281" s="252"/>
      <c r="K3281" s="253"/>
    </row>
    <row r="3282" spans="1:11" ht="22" customHeight="1" x14ac:dyDescent="0.35">
      <c r="A3282" s="251"/>
      <c r="B3282" s="252"/>
      <c r="C3282" s="252"/>
      <c r="D3282" s="252"/>
      <c r="E3282" s="252"/>
      <c r="F3282" s="252"/>
      <c r="G3282" s="252"/>
      <c r="H3282" s="252"/>
      <c r="I3282" s="252"/>
      <c r="J3282" s="252"/>
      <c r="K3282" s="253"/>
    </row>
    <row r="3283" spans="1:11" ht="22" customHeight="1" x14ac:dyDescent="0.35">
      <c r="A3283" s="251"/>
      <c r="B3283" s="252"/>
      <c r="C3283" s="252"/>
      <c r="D3283" s="252"/>
      <c r="E3283" s="252"/>
      <c r="F3283" s="252"/>
      <c r="G3283" s="252"/>
      <c r="H3283" s="252"/>
      <c r="I3283" s="252"/>
      <c r="J3283" s="252"/>
      <c r="K3283" s="253"/>
    </row>
    <row r="3284" spans="1:11" ht="22" customHeight="1" x14ac:dyDescent="0.35">
      <c r="A3284" s="251"/>
      <c r="B3284" s="252"/>
      <c r="C3284" s="252"/>
      <c r="D3284" s="252"/>
      <c r="E3284" s="252"/>
      <c r="F3284" s="252"/>
      <c r="G3284" s="252"/>
      <c r="H3284" s="252"/>
      <c r="I3284" s="252"/>
      <c r="J3284" s="252"/>
      <c r="K3284" s="253"/>
    </row>
    <row r="3285" spans="1:11" ht="22" customHeight="1" x14ac:dyDescent="0.35">
      <c r="A3285" s="251"/>
      <c r="B3285" s="252"/>
      <c r="C3285" s="252"/>
      <c r="D3285" s="252"/>
      <c r="E3285" s="252"/>
      <c r="F3285" s="252"/>
      <c r="G3285" s="252"/>
      <c r="H3285" s="252"/>
      <c r="I3285" s="252"/>
      <c r="J3285" s="252"/>
      <c r="K3285" s="253"/>
    </row>
    <row r="3286" spans="1:11" ht="22" customHeight="1" x14ac:dyDescent="0.35">
      <c r="A3286" s="251"/>
      <c r="B3286" s="252"/>
      <c r="C3286" s="252"/>
      <c r="D3286" s="252"/>
      <c r="E3286" s="252"/>
      <c r="F3286" s="252"/>
      <c r="G3286" s="252"/>
      <c r="H3286" s="252"/>
      <c r="I3286" s="252"/>
      <c r="J3286" s="252"/>
      <c r="K3286" s="253"/>
    </row>
    <row r="3287" spans="1:11" ht="22" customHeight="1" x14ac:dyDescent="0.35">
      <c r="A3287" s="251"/>
      <c r="B3287" s="252"/>
      <c r="C3287" s="252"/>
      <c r="D3287" s="252"/>
      <c r="E3287" s="252"/>
      <c r="F3287" s="252"/>
      <c r="G3287" s="252"/>
      <c r="H3287" s="252"/>
      <c r="I3287" s="252"/>
      <c r="J3287" s="252"/>
      <c r="K3287" s="253"/>
    </row>
    <row r="3288" spans="1:11" ht="22" customHeight="1" x14ac:dyDescent="0.35">
      <c r="A3288" s="251"/>
      <c r="B3288" s="252"/>
      <c r="C3288" s="252"/>
      <c r="D3288" s="252"/>
      <c r="E3288" s="252"/>
      <c r="F3288" s="252"/>
      <c r="G3288" s="252"/>
      <c r="H3288" s="252"/>
      <c r="I3288" s="252"/>
      <c r="J3288" s="252"/>
      <c r="K3288" s="253"/>
    </row>
    <row r="3289" spans="1:11" ht="22" customHeight="1" x14ac:dyDescent="0.35">
      <c r="A3289" s="251"/>
      <c r="B3289" s="252"/>
      <c r="C3289" s="252"/>
      <c r="D3289" s="252"/>
      <c r="E3289" s="252"/>
      <c r="F3289" s="252"/>
      <c r="G3289" s="252"/>
      <c r="H3289" s="252"/>
      <c r="I3289" s="252"/>
      <c r="J3289" s="252"/>
      <c r="K3289" s="253"/>
    </row>
    <row r="3290" spans="1:11" ht="22" customHeight="1" x14ac:dyDescent="0.35">
      <c r="A3290" s="251"/>
      <c r="B3290" s="252"/>
      <c r="C3290" s="252"/>
      <c r="D3290" s="252"/>
      <c r="E3290" s="252"/>
      <c r="F3290" s="252"/>
      <c r="G3290" s="252"/>
      <c r="H3290" s="252"/>
      <c r="I3290" s="252"/>
      <c r="J3290" s="252"/>
      <c r="K3290" s="253"/>
    </row>
    <row r="3291" spans="1:11" ht="22" customHeight="1" x14ac:dyDescent="0.35">
      <c r="A3291" s="251"/>
      <c r="B3291" s="252"/>
      <c r="C3291" s="252"/>
      <c r="D3291" s="252"/>
      <c r="E3291" s="252"/>
      <c r="F3291" s="252"/>
      <c r="G3291" s="252"/>
      <c r="H3291" s="252"/>
      <c r="I3291" s="252"/>
      <c r="J3291" s="252"/>
      <c r="K3291" s="253"/>
    </row>
    <row r="3292" spans="1:11" ht="22" customHeight="1" x14ac:dyDescent="0.35">
      <c r="A3292" s="251"/>
      <c r="B3292" s="252"/>
      <c r="C3292" s="252"/>
      <c r="D3292" s="252"/>
      <c r="E3292" s="252"/>
      <c r="F3292" s="252"/>
      <c r="G3292" s="252"/>
      <c r="H3292" s="252"/>
      <c r="I3292" s="252"/>
      <c r="J3292" s="252"/>
      <c r="K3292" s="253"/>
    </row>
    <row r="3293" spans="1:11" ht="22" customHeight="1" x14ac:dyDescent="0.35">
      <c r="A3293" s="251"/>
      <c r="B3293" s="252"/>
      <c r="C3293" s="252"/>
      <c r="D3293" s="252"/>
      <c r="E3293" s="252"/>
      <c r="F3293" s="252"/>
      <c r="G3293" s="252"/>
      <c r="H3293" s="252"/>
      <c r="I3293" s="252"/>
      <c r="J3293" s="252"/>
      <c r="K3293" s="253"/>
    </row>
    <row r="3294" spans="1:11" ht="22" customHeight="1" x14ac:dyDescent="0.35">
      <c r="A3294" s="251"/>
      <c r="B3294" s="252"/>
      <c r="C3294" s="252"/>
      <c r="D3294" s="252"/>
      <c r="E3294" s="252"/>
      <c r="F3294" s="252"/>
      <c r="G3294" s="252"/>
      <c r="H3294" s="252"/>
      <c r="I3294" s="252"/>
      <c r="J3294" s="252"/>
      <c r="K3294" s="253"/>
    </row>
    <row r="3295" spans="1:11" ht="22" customHeight="1" x14ac:dyDescent="0.35">
      <c r="A3295" s="251"/>
      <c r="B3295" s="252"/>
      <c r="C3295" s="252"/>
      <c r="D3295" s="252"/>
      <c r="E3295" s="252"/>
      <c r="F3295" s="252"/>
      <c r="G3295" s="252"/>
      <c r="H3295" s="252"/>
      <c r="I3295" s="252"/>
      <c r="J3295" s="252"/>
      <c r="K3295" s="253"/>
    </row>
    <row r="3296" spans="1:11" ht="22" customHeight="1" x14ac:dyDescent="0.35">
      <c r="A3296" s="251"/>
      <c r="B3296" s="252"/>
      <c r="C3296" s="252"/>
      <c r="D3296" s="252"/>
      <c r="E3296" s="252"/>
      <c r="F3296" s="252"/>
      <c r="G3296" s="252"/>
      <c r="H3296" s="252"/>
      <c r="I3296" s="252"/>
      <c r="J3296" s="252"/>
      <c r="K3296" s="253"/>
    </row>
    <row r="3297" spans="1:11" ht="22" customHeight="1" x14ac:dyDescent="0.35">
      <c r="A3297" s="251"/>
      <c r="B3297" s="252"/>
      <c r="C3297" s="252"/>
      <c r="D3297" s="252"/>
      <c r="E3297" s="252"/>
      <c r="F3297" s="252"/>
      <c r="G3297" s="252"/>
      <c r="H3297" s="252"/>
      <c r="I3297" s="252"/>
      <c r="J3297" s="252"/>
      <c r="K3297" s="253"/>
    </row>
    <row r="3298" spans="1:11" ht="22" customHeight="1" x14ac:dyDescent="0.35">
      <c r="A3298" s="251"/>
      <c r="B3298" s="252"/>
      <c r="C3298" s="252"/>
      <c r="D3298" s="252"/>
      <c r="E3298" s="252"/>
      <c r="F3298" s="252"/>
      <c r="G3298" s="252"/>
      <c r="H3298" s="252"/>
      <c r="I3298" s="252"/>
      <c r="J3298" s="252"/>
      <c r="K3298" s="253"/>
    </row>
    <row r="3299" spans="1:11" ht="22" customHeight="1" x14ac:dyDescent="0.35">
      <c r="A3299" s="251"/>
      <c r="B3299" s="252"/>
      <c r="C3299" s="252"/>
      <c r="D3299" s="252"/>
      <c r="E3299" s="252"/>
      <c r="F3299" s="252"/>
      <c r="G3299" s="252"/>
      <c r="H3299" s="252"/>
      <c r="I3299" s="252"/>
      <c r="J3299" s="252"/>
      <c r="K3299" s="253"/>
    </row>
    <row r="3300" spans="1:11" ht="22" customHeight="1" x14ac:dyDescent="0.35">
      <c r="A3300" s="251"/>
      <c r="B3300" s="252"/>
      <c r="C3300" s="252"/>
      <c r="D3300" s="252"/>
      <c r="E3300" s="252"/>
      <c r="F3300" s="252"/>
      <c r="G3300" s="252"/>
      <c r="H3300" s="252"/>
      <c r="I3300" s="252"/>
      <c r="J3300" s="252"/>
      <c r="K3300" s="253"/>
    </row>
    <row r="3301" spans="1:11" ht="22" customHeight="1" x14ac:dyDescent="0.35">
      <c r="A3301" s="251"/>
      <c r="B3301" s="252"/>
      <c r="C3301" s="252"/>
      <c r="D3301" s="252"/>
      <c r="E3301" s="252"/>
      <c r="F3301" s="252"/>
      <c r="G3301" s="252"/>
      <c r="H3301" s="252"/>
      <c r="I3301" s="252"/>
      <c r="J3301" s="252"/>
      <c r="K3301" s="253"/>
    </row>
    <row r="3302" spans="1:11" ht="22" customHeight="1" x14ac:dyDescent="0.35">
      <c r="A3302" s="251"/>
      <c r="B3302" s="252"/>
      <c r="C3302" s="252"/>
      <c r="D3302" s="252"/>
      <c r="E3302" s="252"/>
      <c r="F3302" s="252"/>
      <c r="G3302" s="252"/>
      <c r="H3302" s="252"/>
      <c r="I3302" s="252"/>
      <c r="J3302" s="252"/>
      <c r="K3302" s="253"/>
    </row>
    <row r="3303" spans="1:11" ht="22" customHeight="1" x14ac:dyDescent="0.35">
      <c r="A3303" s="251"/>
      <c r="B3303" s="252"/>
      <c r="C3303" s="252"/>
      <c r="D3303" s="252"/>
      <c r="E3303" s="252"/>
      <c r="F3303" s="252"/>
      <c r="G3303" s="252"/>
      <c r="H3303" s="252"/>
      <c r="I3303" s="252"/>
      <c r="J3303" s="252"/>
      <c r="K3303" s="253"/>
    </row>
    <row r="3304" spans="1:11" ht="22" customHeight="1" x14ac:dyDescent="0.35">
      <c r="A3304" s="251"/>
      <c r="B3304" s="252"/>
      <c r="C3304" s="252"/>
      <c r="D3304" s="252"/>
      <c r="E3304" s="252"/>
      <c r="F3304" s="252"/>
      <c r="G3304" s="252"/>
      <c r="H3304" s="252"/>
      <c r="I3304" s="252"/>
      <c r="J3304" s="252"/>
      <c r="K3304" s="253"/>
    </row>
    <row r="3305" spans="1:11" ht="22" customHeight="1" x14ac:dyDescent="0.35">
      <c r="A3305" s="251"/>
      <c r="B3305" s="252"/>
      <c r="C3305" s="252"/>
      <c r="D3305" s="252"/>
      <c r="E3305" s="252"/>
      <c r="F3305" s="252"/>
      <c r="G3305" s="252"/>
      <c r="H3305" s="252"/>
      <c r="I3305" s="252"/>
      <c r="J3305" s="252"/>
      <c r="K3305" s="253"/>
    </row>
    <row r="3306" spans="1:11" ht="22" customHeight="1" x14ac:dyDescent="0.35">
      <c r="A3306" s="251"/>
      <c r="B3306" s="252"/>
      <c r="C3306" s="252"/>
      <c r="D3306" s="252"/>
      <c r="E3306" s="252"/>
      <c r="F3306" s="252"/>
      <c r="G3306" s="252"/>
      <c r="H3306" s="252"/>
      <c r="I3306" s="252"/>
      <c r="J3306" s="252"/>
      <c r="K3306" s="253"/>
    </row>
    <row r="3307" spans="1:11" ht="22" customHeight="1" x14ac:dyDescent="0.35">
      <c r="A3307" s="251"/>
      <c r="B3307" s="252"/>
      <c r="C3307" s="252"/>
      <c r="D3307" s="252"/>
      <c r="E3307" s="252"/>
      <c r="F3307" s="252"/>
      <c r="G3307" s="252"/>
      <c r="H3307" s="252"/>
      <c r="I3307" s="252"/>
      <c r="J3307" s="252"/>
      <c r="K3307" s="253"/>
    </row>
    <row r="3308" spans="1:11" ht="22" customHeight="1" x14ac:dyDescent="0.35">
      <c r="A3308" s="251"/>
      <c r="B3308" s="252"/>
      <c r="C3308" s="252"/>
      <c r="D3308" s="252"/>
      <c r="E3308" s="252"/>
      <c r="F3308" s="252"/>
      <c r="G3308" s="252"/>
      <c r="H3308" s="252"/>
      <c r="I3308" s="252"/>
      <c r="J3308" s="252"/>
      <c r="K3308" s="253"/>
    </row>
    <row r="3309" spans="1:11" ht="22" customHeight="1" x14ac:dyDescent="0.35">
      <c r="A3309" s="251"/>
      <c r="B3309" s="252"/>
      <c r="C3309" s="252"/>
      <c r="D3309" s="252"/>
      <c r="E3309" s="252"/>
      <c r="F3309" s="252"/>
      <c r="G3309" s="252"/>
      <c r="H3309" s="252"/>
      <c r="I3309" s="252"/>
      <c r="J3309" s="252"/>
      <c r="K3309" s="253"/>
    </row>
    <row r="3310" spans="1:11" ht="22" customHeight="1" x14ac:dyDescent="0.35">
      <c r="A3310" s="251"/>
      <c r="B3310" s="252"/>
      <c r="C3310" s="252"/>
      <c r="D3310" s="252"/>
      <c r="E3310" s="252"/>
      <c r="F3310" s="252"/>
      <c r="G3310" s="252"/>
      <c r="H3310" s="252"/>
      <c r="I3310" s="252"/>
      <c r="J3310" s="252"/>
      <c r="K3310" s="253"/>
    </row>
    <row r="3311" spans="1:11" ht="22" customHeight="1" x14ac:dyDescent="0.35">
      <c r="A3311" s="251"/>
      <c r="B3311" s="252"/>
      <c r="C3311" s="252"/>
      <c r="D3311" s="252"/>
      <c r="E3311" s="252"/>
      <c r="F3311" s="252"/>
      <c r="G3311" s="252"/>
      <c r="H3311" s="252"/>
      <c r="I3311" s="252"/>
      <c r="J3311" s="252"/>
      <c r="K3311" s="253"/>
    </row>
    <row r="3312" spans="1:11" ht="22" customHeight="1" x14ac:dyDescent="0.35">
      <c r="A3312" s="251"/>
      <c r="B3312" s="252"/>
      <c r="C3312" s="252"/>
      <c r="D3312" s="252"/>
      <c r="E3312" s="252"/>
      <c r="F3312" s="252"/>
      <c r="G3312" s="252"/>
      <c r="H3312" s="252"/>
      <c r="I3312" s="252"/>
      <c r="J3312" s="252"/>
      <c r="K3312" s="253"/>
    </row>
    <row r="3313" spans="1:11" ht="22" customHeight="1" x14ac:dyDescent="0.35">
      <c r="A3313" s="251"/>
      <c r="B3313" s="252"/>
      <c r="C3313" s="252"/>
      <c r="D3313" s="252"/>
      <c r="E3313" s="252"/>
      <c r="F3313" s="252"/>
      <c r="G3313" s="252"/>
      <c r="H3313" s="252"/>
      <c r="I3313" s="252"/>
      <c r="J3313" s="252"/>
      <c r="K3313" s="253"/>
    </row>
    <row r="3314" spans="1:11" ht="22" customHeight="1" x14ac:dyDescent="0.35">
      <c r="A3314" s="251"/>
      <c r="B3314" s="252"/>
      <c r="C3314" s="252"/>
      <c r="D3314" s="252"/>
      <c r="E3314" s="252"/>
      <c r="F3314" s="252"/>
      <c r="G3314" s="252"/>
      <c r="H3314" s="252"/>
      <c r="I3314" s="252"/>
      <c r="J3314" s="252"/>
      <c r="K3314" s="253"/>
    </row>
    <row r="3315" spans="1:11" ht="22" customHeight="1" x14ac:dyDescent="0.35">
      <c r="A3315" s="251"/>
      <c r="B3315" s="252"/>
      <c r="C3315" s="252"/>
      <c r="D3315" s="252"/>
      <c r="E3315" s="252"/>
      <c r="F3315" s="252"/>
      <c r="G3315" s="252"/>
      <c r="H3315" s="252"/>
      <c r="I3315" s="252"/>
      <c r="J3315" s="252"/>
      <c r="K3315" s="253"/>
    </row>
    <row r="3316" spans="1:11" ht="22" customHeight="1" x14ac:dyDescent="0.35">
      <c r="A3316" s="251"/>
      <c r="B3316" s="252"/>
      <c r="C3316" s="252"/>
      <c r="D3316" s="252"/>
      <c r="E3316" s="252"/>
      <c r="F3316" s="252"/>
      <c r="G3316" s="252"/>
      <c r="H3316" s="252"/>
      <c r="I3316" s="252"/>
      <c r="J3316" s="252"/>
      <c r="K3316" s="253"/>
    </row>
    <row r="3317" spans="1:11" ht="22" customHeight="1" x14ac:dyDescent="0.35">
      <c r="A3317" s="251"/>
      <c r="B3317" s="252"/>
      <c r="C3317" s="252"/>
      <c r="D3317" s="252"/>
      <c r="E3317" s="252"/>
      <c r="F3317" s="252"/>
      <c r="G3317" s="252"/>
      <c r="H3317" s="252"/>
      <c r="I3317" s="252"/>
      <c r="J3317" s="252"/>
      <c r="K3317" s="253"/>
    </row>
    <row r="3318" spans="1:11" ht="22" customHeight="1" x14ac:dyDescent="0.35">
      <c r="A3318" s="251"/>
      <c r="B3318" s="252"/>
      <c r="C3318" s="252"/>
      <c r="D3318" s="252"/>
      <c r="E3318" s="252"/>
      <c r="F3318" s="252"/>
      <c r="G3318" s="252"/>
      <c r="H3318" s="252"/>
      <c r="I3318" s="252"/>
      <c r="J3318" s="252"/>
      <c r="K3318" s="253"/>
    </row>
    <row r="3319" spans="1:11" ht="22" customHeight="1" x14ac:dyDescent="0.35">
      <c r="A3319" s="251"/>
      <c r="B3319" s="252"/>
      <c r="C3319" s="252"/>
      <c r="D3319" s="252"/>
      <c r="E3319" s="252"/>
      <c r="F3319" s="252"/>
      <c r="G3319" s="252"/>
      <c r="H3319" s="252"/>
      <c r="I3319" s="252"/>
      <c r="J3319" s="252"/>
      <c r="K3319" s="253"/>
    </row>
    <row r="3320" spans="1:11" ht="22" customHeight="1" x14ac:dyDescent="0.35">
      <c r="A3320" s="251"/>
      <c r="B3320" s="252"/>
      <c r="C3320" s="252"/>
      <c r="D3320" s="252"/>
      <c r="E3320" s="252"/>
      <c r="F3320" s="252"/>
      <c r="G3320" s="252"/>
      <c r="H3320" s="252"/>
      <c r="I3320" s="252"/>
      <c r="J3320" s="252"/>
      <c r="K3320" s="253"/>
    </row>
    <row r="3321" spans="1:11" ht="22" customHeight="1" x14ac:dyDescent="0.35">
      <c r="A3321" s="251"/>
      <c r="B3321" s="252"/>
      <c r="C3321" s="252"/>
      <c r="D3321" s="252"/>
      <c r="E3321" s="252"/>
      <c r="F3321" s="252"/>
      <c r="G3321" s="252"/>
      <c r="H3321" s="252"/>
      <c r="I3321" s="252"/>
      <c r="J3321" s="252"/>
      <c r="K3321" s="253"/>
    </row>
    <row r="3322" spans="1:11" ht="22" customHeight="1" x14ac:dyDescent="0.35">
      <c r="A3322" s="251"/>
      <c r="B3322" s="252"/>
      <c r="C3322" s="252"/>
      <c r="D3322" s="252"/>
      <c r="E3322" s="252"/>
      <c r="F3322" s="252"/>
      <c r="G3322" s="252"/>
      <c r="H3322" s="252"/>
      <c r="I3322" s="252"/>
      <c r="J3322" s="252"/>
      <c r="K3322" s="253"/>
    </row>
    <row r="3323" spans="1:11" ht="22" customHeight="1" x14ac:dyDescent="0.35">
      <c r="A3323" s="251"/>
      <c r="B3323" s="252"/>
      <c r="C3323" s="252"/>
      <c r="D3323" s="252"/>
      <c r="E3323" s="252"/>
      <c r="F3323" s="252"/>
      <c r="G3323" s="252"/>
      <c r="H3323" s="252"/>
      <c r="I3323" s="252"/>
      <c r="J3323" s="252"/>
      <c r="K3323" s="253"/>
    </row>
    <row r="3324" spans="1:11" ht="22" customHeight="1" x14ac:dyDescent="0.35">
      <c r="A3324" s="251"/>
      <c r="B3324" s="252"/>
      <c r="C3324" s="252"/>
      <c r="D3324" s="252"/>
      <c r="E3324" s="252"/>
      <c r="F3324" s="252"/>
      <c r="G3324" s="252"/>
      <c r="H3324" s="252"/>
      <c r="I3324" s="252"/>
      <c r="J3324" s="252"/>
      <c r="K3324" s="253"/>
    </row>
    <row r="3325" spans="1:11" ht="22" customHeight="1" x14ac:dyDescent="0.35">
      <c r="A3325" s="251"/>
      <c r="B3325" s="252"/>
      <c r="C3325" s="252"/>
      <c r="D3325" s="252"/>
      <c r="E3325" s="252"/>
      <c r="F3325" s="252"/>
      <c r="G3325" s="252"/>
      <c r="H3325" s="252"/>
      <c r="I3325" s="252"/>
      <c r="J3325" s="252"/>
      <c r="K3325" s="253"/>
    </row>
    <row r="3326" spans="1:11" ht="22" customHeight="1" x14ac:dyDescent="0.35">
      <c r="A3326" s="251"/>
      <c r="B3326" s="252"/>
      <c r="C3326" s="252"/>
      <c r="D3326" s="252"/>
      <c r="E3326" s="252"/>
      <c r="F3326" s="252"/>
      <c r="G3326" s="252"/>
      <c r="H3326" s="252"/>
      <c r="I3326" s="252"/>
      <c r="J3326" s="252"/>
      <c r="K3326" s="253"/>
    </row>
    <row r="3327" spans="1:11" ht="22" customHeight="1" x14ac:dyDescent="0.35">
      <c r="A3327" s="251"/>
      <c r="B3327" s="252"/>
      <c r="C3327" s="252"/>
      <c r="D3327" s="252"/>
      <c r="E3327" s="252"/>
      <c r="F3327" s="252"/>
      <c r="G3327" s="252"/>
      <c r="H3327" s="252"/>
      <c r="I3327" s="252"/>
      <c r="J3327" s="252"/>
      <c r="K3327" s="253"/>
    </row>
    <row r="3328" spans="1:11" ht="22" customHeight="1" x14ac:dyDescent="0.35">
      <c r="A3328" s="251"/>
      <c r="B3328" s="252"/>
      <c r="C3328" s="252"/>
      <c r="D3328" s="252"/>
      <c r="E3328" s="252"/>
      <c r="F3328" s="252"/>
      <c r="G3328" s="252"/>
      <c r="H3328" s="252"/>
      <c r="I3328" s="252"/>
      <c r="J3328" s="252"/>
      <c r="K3328" s="253"/>
    </row>
    <row r="3329" spans="1:11" ht="22" customHeight="1" x14ac:dyDescent="0.35">
      <c r="A3329" s="251"/>
      <c r="B3329" s="252"/>
      <c r="C3329" s="252"/>
      <c r="D3329" s="252"/>
      <c r="E3329" s="252"/>
      <c r="F3329" s="252"/>
      <c r="G3329" s="252"/>
      <c r="H3329" s="252"/>
      <c r="I3329" s="252"/>
      <c r="J3329" s="252"/>
      <c r="K3329" s="253"/>
    </row>
    <row r="3330" spans="1:11" ht="22" customHeight="1" x14ac:dyDescent="0.35">
      <c r="A3330" s="251"/>
      <c r="B3330" s="252"/>
      <c r="C3330" s="252"/>
      <c r="D3330" s="252"/>
      <c r="E3330" s="252"/>
      <c r="F3330" s="252"/>
      <c r="G3330" s="252"/>
      <c r="H3330" s="252"/>
      <c r="I3330" s="252"/>
      <c r="J3330" s="252"/>
      <c r="K3330" s="253"/>
    </row>
    <row r="3331" spans="1:11" ht="22" customHeight="1" x14ac:dyDescent="0.35">
      <c r="A3331" s="251"/>
      <c r="B3331" s="252"/>
      <c r="C3331" s="252"/>
      <c r="D3331" s="252"/>
      <c r="E3331" s="252"/>
      <c r="F3331" s="252"/>
      <c r="G3331" s="252"/>
      <c r="H3331" s="252"/>
      <c r="I3331" s="252"/>
      <c r="J3331" s="252"/>
      <c r="K3331" s="253"/>
    </row>
    <row r="3332" spans="1:11" ht="22" customHeight="1" x14ac:dyDescent="0.35">
      <c r="A3332" s="251"/>
      <c r="B3332" s="252"/>
      <c r="C3332" s="252"/>
      <c r="D3332" s="252"/>
      <c r="E3332" s="252"/>
      <c r="F3332" s="252"/>
      <c r="G3332" s="252"/>
      <c r="H3332" s="252"/>
      <c r="I3332" s="252"/>
      <c r="J3332" s="252"/>
      <c r="K3332" s="253"/>
    </row>
    <row r="3333" spans="1:11" ht="22" customHeight="1" x14ac:dyDescent="0.35">
      <c r="A3333" s="251"/>
      <c r="B3333" s="252"/>
      <c r="C3333" s="252"/>
      <c r="D3333" s="252"/>
      <c r="E3333" s="252"/>
      <c r="F3333" s="252"/>
      <c r="G3333" s="252"/>
      <c r="H3333" s="252"/>
      <c r="I3333" s="252"/>
      <c r="J3333" s="252"/>
      <c r="K3333" s="253"/>
    </row>
    <row r="3334" spans="1:11" ht="22" customHeight="1" x14ac:dyDescent="0.35">
      <c r="A3334" s="251"/>
      <c r="B3334" s="252"/>
      <c r="C3334" s="252"/>
      <c r="D3334" s="252"/>
      <c r="E3334" s="252"/>
      <c r="F3334" s="252"/>
      <c r="G3334" s="252"/>
      <c r="H3334" s="252"/>
      <c r="I3334" s="252"/>
      <c r="J3334" s="252"/>
      <c r="K3334" s="253"/>
    </row>
    <row r="3335" spans="1:11" ht="22" customHeight="1" x14ac:dyDescent="0.35">
      <c r="A3335" s="251"/>
      <c r="B3335" s="252"/>
      <c r="C3335" s="252"/>
      <c r="D3335" s="252"/>
      <c r="E3335" s="252"/>
      <c r="F3335" s="252"/>
      <c r="G3335" s="252"/>
      <c r="H3335" s="252"/>
      <c r="I3335" s="252"/>
      <c r="J3335" s="252"/>
      <c r="K3335" s="253"/>
    </row>
    <row r="3336" spans="1:11" ht="22" customHeight="1" x14ac:dyDescent="0.35">
      <c r="A3336" s="251"/>
      <c r="B3336" s="252"/>
      <c r="C3336" s="252"/>
      <c r="D3336" s="252"/>
      <c r="E3336" s="252"/>
      <c r="F3336" s="252"/>
      <c r="G3336" s="252"/>
      <c r="H3336" s="252"/>
      <c r="I3336" s="252"/>
      <c r="J3336" s="252"/>
      <c r="K3336" s="253"/>
    </row>
    <row r="3337" spans="1:11" ht="22" customHeight="1" x14ac:dyDescent="0.35">
      <c r="A3337" s="251"/>
      <c r="B3337" s="252"/>
      <c r="C3337" s="252"/>
      <c r="D3337" s="252"/>
      <c r="E3337" s="252"/>
      <c r="F3337" s="252"/>
      <c r="G3337" s="252"/>
      <c r="H3337" s="252"/>
      <c r="I3337" s="252"/>
      <c r="J3337" s="252"/>
      <c r="K3337" s="253"/>
    </row>
    <row r="3338" spans="1:11" ht="22" customHeight="1" x14ac:dyDescent="0.35">
      <c r="A3338" s="251"/>
      <c r="B3338" s="252"/>
      <c r="C3338" s="252"/>
      <c r="D3338" s="252"/>
      <c r="E3338" s="252"/>
      <c r="F3338" s="252"/>
      <c r="G3338" s="252"/>
      <c r="H3338" s="252"/>
      <c r="I3338" s="252"/>
      <c r="J3338" s="252"/>
      <c r="K3338" s="253"/>
    </row>
    <row r="3339" spans="1:11" ht="22" customHeight="1" x14ac:dyDescent="0.35">
      <c r="A3339" s="251"/>
      <c r="B3339" s="252"/>
      <c r="C3339" s="252"/>
      <c r="D3339" s="252"/>
      <c r="E3339" s="252"/>
      <c r="F3339" s="252"/>
      <c r="G3339" s="252"/>
      <c r="H3339" s="252"/>
      <c r="I3339" s="252"/>
      <c r="J3339" s="252"/>
      <c r="K3339" s="253"/>
    </row>
    <row r="3340" spans="1:11" ht="22" customHeight="1" x14ac:dyDescent="0.35">
      <c r="A3340" s="251"/>
      <c r="B3340" s="252"/>
      <c r="C3340" s="252"/>
      <c r="D3340" s="252"/>
      <c r="E3340" s="252"/>
      <c r="F3340" s="252"/>
      <c r="G3340" s="252"/>
      <c r="H3340" s="252"/>
      <c r="I3340" s="252"/>
      <c r="J3340" s="252"/>
      <c r="K3340" s="253"/>
    </row>
    <row r="3341" spans="1:11" ht="22" customHeight="1" x14ac:dyDescent="0.35">
      <c r="A3341" s="251"/>
      <c r="B3341" s="252"/>
      <c r="C3341" s="252"/>
      <c r="D3341" s="252"/>
      <c r="E3341" s="252"/>
      <c r="F3341" s="252"/>
      <c r="G3341" s="252"/>
      <c r="H3341" s="252"/>
      <c r="I3341" s="252"/>
      <c r="J3341" s="252"/>
      <c r="K3341" s="253"/>
    </row>
    <row r="3342" spans="1:11" ht="22" customHeight="1" x14ac:dyDescent="0.35">
      <c r="A3342" s="251"/>
      <c r="B3342" s="252"/>
      <c r="C3342" s="252"/>
      <c r="D3342" s="252"/>
      <c r="E3342" s="252"/>
      <c r="F3342" s="252"/>
      <c r="G3342" s="252"/>
      <c r="H3342" s="252"/>
      <c r="I3342" s="252"/>
      <c r="J3342" s="252"/>
      <c r="K3342" s="253"/>
    </row>
    <row r="3343" spans="1:11" ht="22" customHeight="1" x14ac:dyDescent="0.35">
      <c r="A3343" s="251"/>
      <c r="B3343" s="252"/>
      <c r="C3343" s="252"/>
      <c r="D3343" s="252"/>
      <c r="E3343" s="252"/>
      <c r="F3343" s="252"/>
      <c r="G3343" s="252"/>
      <c r="H3343" s="252"/>
      <c r="I3343" s="252"/>
      <c r="J3343" s="252"/>
      <c r="K3343" s="253"/>
    </row>
    <row r="3344" spans="1:11" ht="22" customHeight="1" x14ac:dyDescent="0.35">
      <c r="A3344" s="251"/>
      <c r="B3344" s="252"/>
      <c r="C3344" s="252"/>
      <c r="D3344" s="252"/>
      <c r="E3344" s="252"/>
      <c r="F3344" s="252"/>
      <c r="G3344" s="252"/>
      <c r="H3344" s="252"/>
      <c r="I3344" s="252"/>
      <c r="J3344" s="252"/>
      <c r="K3344" s="253"/>
    </row>
    <row r="3345" spans="1:11" ht="22" customHeight="1" x14ac:dyDescent="0.35">
      <c r="A3345" s="251"/>
      <c r="B3345" s="252"/>
      <c r="C3345" s="252"/>
      <c r="D3345" s="252"/>
      <c r="E3345" s="252"/>
      <c r="F3345" s="252"/>
      <c r="G3345" s="252"/>
      <c r="H3345" s="252"/>
      <c r="I3345" s="252"/>
      <c r="J3345" s="252"/>
      <c r="K3345" s="253"/>
    </row>
    <row r="3346" spans="1:11" ht="22" customHeight="1" x14ac:dyDescent="0.35">
      <c r="A3346" s="251"/>
      <c r="B3346" s="252"/>
      <c r="C3346" s="252"/>
      <c r="D3346" s="252"/>
      <c r="E3346" s="252"/>
      <c r="F3346" s="252"/>
      <c r="G3346" s="252"/>
      <c r="H3346" s="252"/>
      <c r="I3346" s="252"/>
      <c r="J3346" s="252"/>
      <c r="K3346" s="253"/>
    </row>
    <row r="3347" spans="1:11" ht="22" customHeight="1" x14ac:dyDescent="0.35">
      <c r="A3347" s="251"/>
      <c r="B3347" s="252"/>
      <c r="C3347" s="252"/>
      <c r="D3347" s="252"/>
      <c r="E3347" s="252"/>
      <c r="F3347" s="252"/>
      <c r="G3347" s="252"/>
      <c r="H3347" s="252"/>
      <c r="I3347" s="252"/>
      <c r="J3347" s="252"/>
      <c r="K3347" s="253"/>
    </row>
    <row r="3348" spans="1:11" ht="22" customHeight="1" x14ac:dyDescent="0.35">
      <c r="A3348" s="251"/>
      <c r="B3348" s="252"/>
      <c r="C3348" s="252"/>
      <c r="D3348" s="252"/>
      <c r="E3348" s="252"/>
      <c r="F3348" s="252"/>
      <c r="G3348" s="252"/>
      <c r="H3348" s="252"/>
      <c r="I3348" s="252"/>
      <c r="J3348" s="252"/>
      <c r="K3348" s="253"/>
    </row>
    <row r="3349" spans="1:11" ht="22" customHeight="1" x14ac:dyDescent="0.35">
      <c r="A3349" s="251"/>
      <c r="B3349" s="252"/>
      <c r="C3349" s="252"/>
      <c r="D3349" s="252"/>
      <c r="E3349" s="252"/>
      <c r="F3349" s="252"/>
      <c r="G3349" s="252"/>
      <c r="H3349" s="252"/>
      <c r="I3349" s="252"/>
      <c r="J3349" s="252"/>
      <c r="K3349" s="253"/>
    </row>
    <row r="3350" spans="1:11" ht="22" customHeight="1" x14ac:dyDescent="0.35">
      <c r="A3350" s="251"/>
      <c r="B3350" s="252"/>
      <c r="C3350" s="252"/>
      <c r="D3350" s="252"/>
      <c r="E3350" s="252"/>
      <c r="F3350" s="252"/>
      <c r="G3350" s="252"/>
      <c r="H3350" s="252"/>
      <c r="I3350" s="252"/>
      <c r="J3350" s="252"/>
      <c r="K3350" s="253"/>
    </row>
    <row r="3351" spans="1:11" ht="22" customHeight="1" x14ac:dyDescent="0.35">
      <c r="A3351" s="251"/>
      <c r="B3351" s="252"/>
      <c r="C3351" s="252"/>
      <c r="D3351" s="252"/>
      <c r="E3351" s="252"/>
      <c r="F3351" s="252"/>
      <c r="G3351" s="252"/>
      <c r="H3351" s="252"/>
      <c r="I3351" s="252"/>
      <c r="J3351" s="252"/>
      <c r="K3351" s="253"/>
    </row>
    <row r="3352" spans="1:11" ht="22" customHeight="1" x14ac:dyDescent="0.35">
      <c r="A3352" s="251"/>
      <c r="B3352" s="252"/>
      <c r="C3352" s="252"/>
      <c r="D3352" s="252"/>
      <c r="E3352" s="252"/>
      <c r="F3352" s="252"/>
      <c r="G3352" s="252"/>
      <c r="H3352" s="252"/>
      <c r="I3352" s="252"/>
      <c r="J3352" s="252"/>
      <c r="K3352" s="253"/>
    </row>
    <row r="3353" spans="1:11" ht="22" customHeight="1" x14ac:dyDescent="0.35">
      <c r="A3353" s="251"/>
      <c r="B3353" s="252"/>
      <c r="C3353" s="252"/>
      <c r="D3353" s="252"/>
      <c r="E3353" s="252"/>
      <c r="F3353" s="252"/>
      <c r="G3353" s="252"/>
      <c r="H3353" s="252"/>
      <c r="I3353" s="252"/>
      <c r="J3353" s="252"/>
      <c r="K3353" s="253"/>
    </row>
    <row r="3354" spans="1:11" ht="22" customHeight="1" x14ac:dyDescent="0.35">
      <c r="A3354" s="251"/>
      <c r="B3354" s="252"/>
      <c r="C3354" s="252"/>
      <c r="D3354" s="252"/>
      <c r="E3354" s="252"/>
      <c r="F3354" s="252"/>
      <c r="G3354" s="252"/>
      <c r="H3354" s="252"/>
      <c r="I3354" s="252"/>
      <c r="J3354" s="252"/>
      <c r="K3354" s="253"/>
    </row>
    <row r="3355" spans="1:11" ht="22" customHeight="1" x14ac:dyDescent="0.35">
      <c r="A3355" s="251"/>
      <c r="B3355" s="252"/>
      <c r="C3355" s="252"/>
      <c r="D3355" s="252"/>
      <c r="E3355" s="252"/>
      <c r="F3355" s="252"/>
      <c r="G3355" s="252"/>
      <c r="H3355" s="252"/>
      <c r="I3355" s="252"/>
      <c r="J3355" s="252"/>
      <c r="K3355" s="253"/>
    </row>
    <row r="3356" spans="1:11" ht="22" customHeight="1" x14ac:dyDescent="0.35">
      <c r="A3356" s="251"/>
      <c r="B3356" s="252"/>
      <c r="C3356" s="252"/>
      <c r="D3356" s="252"/>
      <c r="E3356" s="252"/>
      <c r="F3356" s="252"/>
      <c r="G3356" s="252"/>
      <c r="H3356" s="252"/>
      <c r="I3356" s="252"/>
      <c r="J3356" s="252"/>
      <c r="K3356" s="253"/>
    </row>
    <row r="3357" spans="1:11" ht="22" customHeight="1" x14ac:dyDescent="0.35">
      <c r="A3357" s="251"/>
      <c r="B3357" s="252"/>
      <c r="C3357" s="252"/>
      <c r="D3357" s="252"/>
      <c r="E3357" s="252"/>
      <c r="F3357" s="252"/>
      <c r="G3357" s="252"/>
      <c r="H3357" s="252"/>
      <c r="I3357" s="252"/>
      <c r="J3357" s="252"/>
      <c r="K3357" s="253"/>
    </row>
    <row r="3358" spans="1:11" ht="22" customHeight="1" x14ac:dyDescent="0.35">
      <c r="A3358" s="251"/>
      <c r="B3358" s="252"/>
      <c r="C3358" s="252"/>
      <c r="D3358" s="252"/>
      <c r="E3358" s="252"/>
      <c r="F3358" s="252"/>
      <c r="G3358" s="252"/>
      <c r="H3358" s="252"/>
      <c r="I3358" s="252"/>
      <c r="J3358" s="252"/>
      <c r="K3358" s="253"/>
    </row>
    <row r="3359" spans="1:11" ht="22" customHeight="1" x14ac:dyDescent="0.35">
      <c r="A3359" s="251"/>
      <c r="B3359" s="252"/>
      <c r="C3359" s="252"/>
      <c r="D3359" s="252"/>
      <c r="E3359" s="252"/>
      <c r="F3359" s="252"/>
      <c r="G3359" s="252"/>
      <c r="H3359" s="252"/>
      <c r="I3359" s="252"/>
      <c r="J3359" s="252"/>
      <c r="K3359" s="253"/>
    </row>
    <row r="3360" spans="1:11" ht="22" customHeight="1" x14ac:dyDescent="0.35">
      <c r="A3360" s="251"/>
      <c r="B3360" s="252"/>
      <c r="C3360" s="252"/>
      <c r="D3360" s="252"/>
      <c r="E3360" s="252"/>
      <c r="F3360" s="252"/>
      <c r="G3360" s="252"/>
      <c r="H3360" s="252"/>
      <c r="I3360" s="252"/>
      <c r="J3360" s="252"/>
      <c r="K3360" s="253"/>
    </row>
    <row r="3361" spans="1:11" ht="22" customHeight="1" x14ac:dyDescent="0.35">
      <c r="A3361" s="251"/>
      <c r="B3361" s="252"/>
      <c r="C3361" s="252"/>
      <c r="D3361" s="252"/>
      <c r="E3361" s="252"/>
      <c r="F3361" s="252"/>
      <c r="G3361" s="252"/>
      <c r="H3361" s="252"/>
      <c r="I3361" s="252"/>
      <c r="J3361" s="252"/>
      <c r="K3361" s="253"/>
    </row>
    <row r="3362" spans="1:11" ht="22" customHeight="1" x14ac:dyDescent="0.35">
      <c r="A3362" s="251"/>
      <c r="B3362" s="252"/>
      <c r="C3362" s="252"/>
      <c r="D3362" s="252"/>
      <c r="E3362" s="252"/>
      <c r="F3362" s="252"/>
      <c r="G3362" s="252"/>
      <c r="H3362" s="252"/>
      <c r="I3362" s="252"/>
      <c r="J3362" s="252"/>
      <c r="K3362" s="253"/>
    </row>
    <row r="3363" spans="1:11" ht="22" customHeight="1" x14ac:dyDescent="0.35">
      <c r="A3363" s="251"/>
      <c r="B3363" s="252"/>
      <c r="C3363" s="252"/>
      <c r="D3363" s="252"/>
      <c r="E3363" s="252"/>
      <c r="F3363" s="252"/>
      <c r="G3363" s="252"/>
      <c r="H3363" s="252"/>
      <c r="I3363" s="252"/>
      <c r="J3363" s="252"/>
      <c r="K3363" s="253"/>
    </row>
    <row r="3364" spans="1:11" ht="22" customHeight="1" x14ac:dyDescent="0.35">
      <c r="A3364" s="251"/>
      <c r="B3364" s="252"/>
      <c r="C3364" s="252"/>
      <c r="D3364" s="252"/>
      <c r="E3364" s="252"/>
      <c r="F3364" s="252"/>
      <c r="G3364" s="252"/>
      <c r="H3364" s="252"/>
      <c r="I3364" s="252"/>
      <c r="J3364" s="252"/>
      <c r="K3364" s="253"/>
    </row>
    <row r="3365" spans="1:11" ht="22" customHeight="1" x14ac:dyDescent="0.35">
      <c r="A3365" s="251"/>
      <c r="B3365" s="252"/>
      <c r="C3365" s="252"/>
      <c r="D3365" s="252"/>
      <c r="E3365" s="252"/>
      <c r="F3365" s="252"/>
      <c r="G3365" s="252"/>
      <c r="H3365" s="252"/>
      <c r="I3365" s="252"/>
      <c r="J3365" s="252"/>
      <c r="K3365" s="253"/>
    </row>
    <row r="3366" spans="1:11" ht="22" customHeight="1" x14ac:dyDescent="0.35">
      <c r="A3366" s="251"/>
      <c r="B3366" s="252"/>
      <c r="C3366" s="252"/>
      <c r="D3366" s="252"/>
      <c r="E3366" s="252"/>
      <c r="F3366" s="252"/>
      <c r="G3366" s="252"/>
      <c r="H3366" s="252"/>
      <c r="I3366" s="252"/>
      <c r="J3366" s="252"/>
      <c r="K3366" s="253"/>
    </row>
    <row r="3367" spans="1:11" ht="22" customHeight="1" x14ac:dyDescent="0.35">
      <c r="A3367" s="251"/>
      <c r="B3367" s="252"/>
      <c r="C3367" s="252"/>
      <c r="D3367" s="252"/>
      <c r="E3367" s="252"/>
      <c r="F3367" s="252"/>
      <c r="G3367" s="252"/>
      <c r="H3367" s="252"/>
      <c r="I3367" s="252"/>
      <c r="J3367" s="252"/>
      <c r="K3367" s="253"/>
    </row>
    <row r="3368" spans="1:11" ht="22" customHeight="1" x14ac:dyDescent="0.35">
      <c r="A3368" s="251"/>
      <c r="B3368" s="252"/>
      <c r="C3368" s="252"/>
      <c r="D3368" s="252"/>
      <c r="E3368" s="252"/>
      <c r="F3368" s="252"/>
      <c r="G3368" s="252"/>
      <c r="H3368" s="252"/>
      <c r="I3368" s="252"/>
      <c r="J3368" s="252"/>
      <c r="K3368" s="253"/>
    </row>
    <row r="3369" spans="1:11" ht="22" customHeight="1" x14ac:dyDescent="0.35">
      <c r="A3369" s="251"/>
      <c r="B3369" s="252"/>
      <c r="C3369" s="252"/>
      <c r="D3369" s="252"/>
      <c r="E3369" s="252"/>
      <c r="F3369" s="252"/>
      <c r="G3369" s="252"/>
      <c r="H3369" s="252"/>
      <c r="I3369" s="252"/>
      <c r="J3369" s="252"/>
      <c r="K3369" s="253"/>
    </row>
    <row r="3370" spans="1:11" ht="22" customHeight="1" x14ac:dyDescent="0.35">
      <c r="A3370" s="251"/>
      <c r="B3370" s="252"/>
      <c r="C3370" s="252"/>
      <c r="D3370" s="252"/>
      <c r="E3370" s="252"/>
      <c r="F3370" s="252"/>
      <c r="G3370" s="252"/>
      <c r="H3370" s="252"/>
      <c r="I3370" s="252"/>
      <c r="J3370" s="252"/>
      <c r="K3370" s="253"/>
    </row>
    <row r="3371" spans="1:11" ht="22" customHeight="1" x14ac:dyDescent="0.35">
      <c r="A3371" s="251"/>
      <c r="B3371" s="252"/>
      <c r="C3371" s="252"/>
      <c r="D3371" s="252"/>
      <c r="E3371" s="252"/>
      <c r="F3371" s="252"/>
      <c r="G3371" s="252"/>
      <c r="H3371" s="252"/>
      <c r="I3371" s="252"/>
      <c r="J3371" s="252"/>
      <c r="K3371" s="253"/>
    </row>
    <row r="3372" spans="1:11" ht="22" customHeight="1" x14ac:dyDescent="0.35">
      <c r="A3372" s="251"/>
      <c r="B3372" s="252"/>
      <c r="C3372" s="252"/>
      <c r="D3372" s="252"/>
      <c r="E3372" s="252"/>
      <c r="F3372" s="252"/>
      <c r="G3372" s="252"/>
      <c r="H3372" s="252"/>
      <c r="I3372" s="252"/>
      <c r="J3372" s="252"/>
      <c r="K3372" s="253"/>
    </row>
    <row r="3373" spans="1:11" ht="22" customHeight="1" x14ac:dyDescent="0.35">
      <c r="A3373" s="251"/>
      <c r="B3373" s="252"/>
      <c r="C3373" s="252"/>
      <c r="D3373" s="252"/>
      <c r="E3373" s="252"/>
      <c r="F3373" s="252"/>
      <c r="G3373" s="252"/>
      <c r="H3373" s="252"/>
      <c r="I3373" s="252"/>
      <c r="J3373" s="252"/>
      <c r="K3373" s="253"/>
    </row>
    <row r="3374" spans="1:11" ht="22" customHeight="1" x14ac:dyDescent="0.35">
      <c r="A3374" s="251"/>
      <c r="B3374" s="252"/>
      <c r="C3374" s="252"/>
      <c r="D3374" s="252"/>
      <c r="E3374" s="252"/>
      <c r="F3374" s="252"/>
      <c r="G3374" s="252"/>
      <c r="H3374" s="252"/>
      <c r="I3374" s="252"/>
      <c r="J3374" s="252"/>
      <c r="K3374" s="253"/>
    </row>
    <row r="3375" spans="1:11" ht="22" customHeight="1" x14ac:dyDescent="0.35">
      <c r="A3375" s="251"/>
      <c r="B3375" s="252"/>
      <c r="C3375" s="252"/>
      <c r="D3375" s="252"/>
      <c r="E3375" s="252"/>
      <c r="F3375" s="252"/>
      <c r="G3375" s="252"/>
      <c r="H3375" s="252"/>
      <c r="I3375" s="252"/>
      <c r="J3375" s="252"/>
      <c r="K3375" s="253"/>
    </row>
    <row r="3376" spans="1:11" ht="22" customHeight="1" x14ac:dyDescent="0.35">
      <c r="A3376" s="251"/>
      <c r="B3376" s="252"/>
      <c r="C3376" s="252"/>
      <c r="D3376" s="252"/>
      <c r="E3376" s="252"/>
      <c r="F3376" s="252"/>
      <c r="G3376" s="252"/>
      <c r="H3376" s="252"/>
      <c r="I3376" s="252"/>
      <c r="J3376" s="252"/>
      <c r="K3376" s="253"/>
    </row>
    <row r="3377" spans="1:11" ht="22" customHeight="1" x14ac:dyDescent="0.35">
      <c r="A3377" s="251"/>
      <c r="B3377" s="252"/>
      <c r="C3377" s="252"/>
      <c r="D3377" s="252"/>
      <c r="E3377" s="252"/>
      <c r="F3377" s="252"/>
      <c r="G3377" s="252"/>
      <c r="H3377" s="252"/>
      <c r="I3377" s="252"/>
      <c r="J3377" s="252"/>
      <c r="K3377" s="253"/>
    </row>
    <row r="3378" spans="1:11" ht="22" customHeight="1" x14ac:dyDescent="0.35">
      <c r="A3378" s="251"/>
      <c r="B3378" s="252"/>
      <c r="C3378" s="252"/>
      <c r="D3378" s="252"/>
      <c r="E3378" s="252"/>
      <c r="F3378" s="252"/>
      <c r="G3378" s="252"/>
      <c r="H3378" s="252"/>
      <c r="I3378" s="252"/>
      <c r="J3378" s="252"/>
      <c r="K3378" s="253"/>
    </row>
    <row r="3379" spans="1:11" ht="22" customHeight="1" x14ac:dyDescent="0.35">
      <c r="A3379" s="251"/>
      <c r="B3379" s="252"/>
      <c r="C3379" s="252"/>
      <c r="D3379" s="252"/>
      <c r="E3379" s="252"/>
      <c r="F3379" s="252"/>
      <c r="G3379" s="252"/>
      <c r="H3379" s="252"/>
      <c r="I3379" s="252"/>
      <c r="J3379" s="252"/>
      <c r="K3379" s="253"/>
    </row>
    <row r="3380" spans="1:11" ht="22" customHeight="1" x14ac:dyDescent="0.35">
      <c r="A3380" s="251"/>
      <c r="B3380" s="252"/>
      <c r="C3380" s="252"/>
      <c r="D3380" s="252"/>
      <c r="E3380" s="252"/>
      <c r="F3380" s="252"/>
      <c r="G3380" s="252"/>
      <c r="H3380" s="252"/>
      <c r="I3380" s="252"/>
      <c r="J3380" s="252"/>
      <c r="K3380" s="253"/>
    </row>
    <row r="3381" spans="1:11" ht="22" customHeight="1" x14ac:dyDescent="0.35">
      <c r="A3381" s="251"/>
      <c r="B3381" s="252"/>
      <c r="C3381" s="252"/>
      <c r="D3381" s="252"/>
      <c r="E3381" s="252"/>
      <c r="F3381" s="252"/>
      <c r="G3381" s="252"/>
      <c r="H3381" s="252"/>
      <c r="I3381" s="252"/>
      <c r="J3381" s="252"/>
      <c r="K3381" s="253"/>
    </row>
    <row r="3382" spans="1:11" ht="22" customHeight="1" x14ac:dyDescent="0.35">
      <c r="A3382" s="251"/>
      <c r="B3382" s="252"/>
      <c r="C3382" s="252"/>
      <c r="D3382" s="252"/>
      <c r="E3382" s="252"/>
      <c r="F3382" s="252"/>
      <c r="G3382" s="252"/>
      <c r="H3382" s="252"/>
      <c r="I3382" s="252"/>
      <c r="J3382" s="252"/>
      <c r="K3382" s="253"/>
    </row>
    <row r="3383" spans="1:11" ht="22" customHeight="1" x14ac:dyDescent="0.35">
      <c r="A3383" s="251"/>
      <c r="B3383" s="252"/>
      <c r="C3383" s="252"/>
      <c r="D3383" s="252"/>
      <c r="E3383" s="252"/>
      <c r="F3383" s="252"/>
      <c r="G3383" s="252"/>
      <c r="H3383" s="252"/>
      <c r="I3383" s="252"/>
      <c r="J3383" s="252"/>
      <c r="K3383" s="253"/>
    </row>
    <row r="3384" spans="1:11" ht="22" customHeight="1" x14ac:dyDescent="0.35">
      <c r="A3384" s="251"/>
      <c r="B3384" s="252"/>
      <c r="C3384" s="252"/>
      <c r="D3384" s="252"/>
      <c r="E3384" s="252"/>
      <c r="F3384" s="252"/>
      <c r="G3384" s="252"/>
      <c r="H3384" s="252"/>
      <c r="I3384" s="252"/>
      <c r="J3384" s="252"/>
      <c r="K3384" s="253"/>
    </row>
    <row r="3385" spans="1:11" ht="22" customHeight="1" x14ac:dyDescent="0.35">
      <c r="A3385" s="251"/>
      <c r="B3385" s="252"/>
      <c r="C3385" s="252"/>
      <c r="D3385" s="252"/>
      <c r="E3385" s="252"/>
      <c r="F3385" s="252"/>
      <c r="G3385" s="252"/>
      <c r="H3385" s="252"/>
      <c r="I3385" s="252"/>
      <c r="J3385" s="252"/>
      <c r="K3385" s="253"/>
    </row>
    <row r="3386" spans="1:11" ht="22" customHeight="1" x14ac:dyDescent="0.35">
      <c r="A3386" s="251"/>
      <c r="B3386" s="252"/>
      <c r="C3386" s="252"/>
      <c r="D3386" s="252"/>
      <c r="E3386" s="252"/>
      <c r="F3386" s="252"/>
      <c r="G3386" s="252"/>
      <c r="H3386" s="252"/>
      <c r="I3386" s="252"/>
      <c r="J3386" s="252"/>
      <c r="K3386" s="253"/>
    </row>
    <row r="3387" spans="1:11" ht="22" customHeight="1" x14ac:dyDescent="0.35">
      <c r="A3387" s="251"/>
      <c r="B3387" s="252"/>
      <c r="C3387" s="252"/>
      <c r="D3387" s="252"/>
      <c r="E3387" s="252"/>
      <c r="F3387" s="252"/>
      <c r="G3387" s="252"/>
      <c r="H3387" s="252"/>
      <c r="I3387" s="252"/>
      <c r="J3387" s="252"/>
      <c r="K3387" s="253"/>
    </row>
    <row r="3388" spans="1:11" ht="22" customHeight="1" x14ac:dyDescent="0.35">
      <c r="A3388" s="251"/>
      <c r="B3388" s="252"/>
      <c r="C3388" s="252"/>
      <c r="D3388" s="252"/>
      <c r="E3388" s="252"/>
      <c r="F3388" s="252"/>
      <c r="G3388" s="252"/>
      <c r="H3388" s="252"/>
      <c r="I3388" s="252"/>
      <c r="J3388" s="252"/>
      <c r="K3388" s="253"/>
    </row>
    <row r="3389" spans="1:11" ht="22" customHeight="1" x14ac:dyDescent="0.35">
      <c r="A3389" s="251"/>
      <c r="B3389" s="252"/>
      <c r="C3389" s="252"/>
      <c r="D3389" s="252"/>
      <c r="E3389" s="252"/>
      <c r="F3389" s="252"/>
      <c r="G3389" s="252"/>
      <c r="H3389" s="252"/>
      <c r="I3389" s="252"/>
      <c r="J3389" s="252"/>
      <c r="K3389" s="253"/>
    </row>
    <row r="3390" spans="1:11" ht="22" customHeight="1" x14ac:dyDescent="0.35">
      <c r="A3390" s="251"/>
      <c r="B3390" s="252"/>
      <c r="C3390" s="252"/>
      <c r="D3390" s="252"/>
      <c r="E3390" s="252"/>
      <c r="F3390" s="252"/>
      <c r="G3390" s="252"/>
      <c r="H3390" s="252"/>
      <c r="I3390" s="252"/>
      <c r="J3390" s="252"/>
      <c r="K3390" s="253"/>
    </row>
    <row r="3391" spans="1:11" ht="22" customHeight="1" x14ac:dyDescent="0.35">
      <c r="A3391" s="251"/>
      <c r="B3391" s="252"/>
      <c r="C3391" s="252"/>
      <c r="D3391" s="252"/>
      <c r="E3391" s="252"/>
      <c r="F3391" s="252"/>
      <c r="G3391" s="252"/>
      <c r="H3391" s="252"/>
      <c r="I3391" s="252"/>
      <c r="J3391" s="252"/>
      <c r="K3391" s="253"/>
    </row>
    <row r="3392" spans="1:11" ht="22" customHeight="1" x14ac:dyDescent="0.35">
      <c r="A3392" s="251"/>
      <c r="B3392" s="252"/>
      <c r="C3392" s="252"/>
      <c r="D3392" s="252"/>
      <c r="E3392" s="252"/>
      <c r="F3392" s="252"/>
      <c r="G3392" s="252"/>
      <c r="H3392" s="252"/>
      <c r="I3392" s="252"/>
      <c r="J3392" s="252"/>
      <c r="K3392" s="253"/>
    </row>
    <row r="3393" spans="1:11" ht="22" customHeight="1" x14ac:dyDescent="0.35">
      <c r="A3393" s="251"/>
      <c r="B3393" s="252"/>
      <c r="C3393" s="252"/>
      <c r="D3393" s="252"/>
      <c r="E3393" s="252"/>
      <c r="F3393" s="252"/>
      <c r="G3393" s="252"/>
      <c r="H3393" s="252"/>
      <c r="I3393" s="252"/>
      <c r="J3393" s="252"/>
      <c r="K3393" s="253"/>
    </row>
    <row r="3394" spans="1:11" ht="22" customHeight="1" x14ac:dyDescent="0.35">
      <c r="A3394" s="251"/>
      <c r="B3394" s="252"/>
      <c r="C3394" s="252"/>
      <c r="D3394" s="252"/>
      <c r="E3394" s="252"/>
      <c r="F3394" s="252"/>
      <c r="G3394" s="252"/>
      <c r="H3394" s="252"/>
      <c r="I3394" s="252"/>
      <c r="J3394" s="252"/>
      <c r="K3394" s="253"/>
    </row>
    <row r="3395" spans="1:11" ht="22" customHeight="1" x14ac:dyDescent="0.35">
      <c r="A3395" s="251"/>
      <c r="B3395" s="252"/>
      <c r="C3395" s="252"/>
      <c r="D3395" s="252"/>
      <c r="E3395" s="252"/>
      <c r="F3395" s="252"/>
      <c r="G3395" s="252"/>
      <c r="H3395" s="252"/>
      <c r="I3395" s="252"/>
      <c r="J3395" s="252"/>
      <c r="K3395" s="253"/>
    </row>
    <row r="3396" spans="1:11" ht="22" customHeight="1" x14ac:dyDescent="0.35">
      <c r="A3396" s="251"/>
      <c r="B3396" s="252"/>
      <c r="C3396" s="252"/>
      <c r="D3396" s="252"/>
      <c r="E3396" s="252"/>
      <c r="F3396" s="252"/>
      <c r="G3396" s="252"/>
      <c r="H3396" s="252"/>
      <c r="I3396" s="252"/>
      <c r="J3396" s="252"/>
      <c r="K3396" s="253"/>
    </row>
    <row r="3397" spans="1:11" ht="22" customHeight="1" x14ac:dyDescent="0.35">
      <c r="A3397" s="251"/>
      <c r="B3397" s="252"/>
      <c r="C3397" s="252"/>
      <c r="D3397" s="252"/>
      <c r="E3397" s="252"/>
      <c r="F3397" s="252"/>
      <c r="G3397" s="252"/>
      <c r="H3397" s="252"/>
      <c r="I3397" s="252"/>
      <c r="J3397" s="252"/>
      <c r="K3397" s="253"/>
    </row>
    <row r="3398" spans="1:11" ht="22" customHeight="1" x14ac:dyDescent="0.35">
      <c r="A3398" s="251"/>
      <c r="B3398" s="252"/>
      <c r="C3398" s="252"/>
      <c r="D3398" s="252"/>
      <c r="E3398" s="252"/>
      <c r="F3398" s="252"/>
      <c r="G3398" s="252"/>
      <c r="H3398" s="252"/>
      <c r="I3398" s="252"/>
      <c r="J3398" s="252"/>
      <c r="K3398" s="253"/>
    </row>
    <row r="3399" spans="1:11" ht="22" customHeight="1" x14ac:dyDescent="0.35">
      <c r="A3399" s="251"/>
      <c r="B3399" s="252"/>
      <c r="C3399" s="252"/>
      <c r="D3399" s="252"/>
      <c r="E3399" s="252"/>
      <c r="F3399" s="252"/>
      <c r="G3399" s="252"/>
      <c r="H3399" s="252"/>
      <c r="I3399" s="252"/>
      <c r="J3399" s="252"/>
      <c r="K3399" s="253"/>
    </row>
    <row r="3400" spans="1:11" ht="22" customHeight="1" x14ac:dyDescent="0.35">
      <c r="A3400" s="251"/>
      <c r="B3400" s="252"/>
      <c r="C3400" s="252"/>
      <c r="D3400" s="252"/>
      <c r="E3400" s="252"/>
      <c r="F3400" s="252"/>
      <c r="G3400" s="252"/>
      <c r="H3400" s="252"/>
      <c r="I3400" s="252"/>
      <c r="J3400" s="252"/>
      <c r="K3400" s="253"/>
    </row>
    <row r="3401" spans="1:11" ht="22" customHeight="1" x14ac:dyDescent="0.35">
      <c r="A3401" s="251"/>
      <c r="B3401" s="252"/>
      <c r="C3401" s="252"/>
      <c r="D3401" s="252"/>
      <c r="E3401" s="252"/>
      <c r="F3401" s="252"/>
      <c r="G3401" s="252"/>
      <c r="H3401" s="252"/>
      <c r="I3401" s="252"/>
      <c r="J3401" s="252"/>
      <c r="K3401" s="253"/>
    </row>
    <row r="3402" spans="1:11" ht="22" customHeight="1" x14ac:dyDescent="0.35">
      <c r="A3402" s="251"/>
      <c r="B3402" s="252"/>
      <c r="C3402" s="252"/>
      <c r="D3402" s="252"/>
      <c r="E3402" s="252"/>
      <c r="F3402" s="252"/>
      <c r="G3402" s="252"/>
      <c r="H3402" s="252"/>
      <c r="I3402" s="252"/>
      <c r="J3402" s="252"/>
      <c r="K3402" s="253"/>
    </row>
    <row r="3403" spans="1:11" ht="22" customHeight="1" x14ac:dyDescent="0.35">
      <c r="A3403" s="251"/>
      <c r="B3403" s="252"/>
      <c r="C3403" s="252"/>
      <c r="D3403" s="252"/>
      <c r="E3403" s="252"/>
      <c r="F3403" s="252"/>
      <c r="G3403" s="252"/>
      <c r="H3403" s="252"/>
      <c r="I3403" s="252"/>
      <c r="J3403" s="252"/>
      <c r="K3403" s="253"/>
    </row>
    <row r="3404" spans="1:11" ht="22" customHeight="1" x14ac:dyDescent="0.35">
      <c r="A3404" s="251"/>
      <c r="B3404" s="252"/>
      <c r="C3404" s="252"/>
      <c r="D3404" s="252"/>
      <c r="E3404" s="252"/>
      <c r="F3404" s="252"/>
      <c r="G3404" s="252"/>
      <c r="H3404" s="252"/>
      <c r="I3404" s="252"/>
      <c r="J3404" s="252"/>
      <c r="K3404" s="253"/>
    </row>
    <row r="3405" spans="1:11" ht="22" customHeight="1" x14ac:dyDescent="0.35">
      <c r="A3405" s="251"/>
      <c r="B3405" s="252"/>
      <c r="C3405" s="252"/>
      <c r="D3405" s="252"/>
      <c r="E3405" s="252"/>
      <c r="F3405" s="252"/>
      <c r="G3405" s="252"/>
      <c r="H3405" s="252"/>
      <c r="I3405" s="252"/>
      <c r="J3405" s="252"/>
      <c r="K3405" s="253"/>
    </row>
    <row r="3406" spans="1:11" ht="22" customHeight="1" x14ac:dyDescent="0.35">
      <c r="A3406" s="251"/>
      <c r="B3406" s="252"/>
      <c r="C3406" s="252"/>
      <c r="D3406" s="252"/>
      <c r="E3406" s="252"/>
      <c r="F3406" s="252"/>
      <c r="G3406" s="252"/>
      <c r="H3406" s="252"/>
      <c r="I3406" s="252"/>
      <c r="J3406" s="252"/>
      <c r="K3406" s="253"/>
    </row>
    <row r="3407" spans="1:11" ht="22" customHeight="1" x14ac:dyDescent="0.35">
      <c r="A3407" s="251"/>
      <c r="B3407" s="252"/>
      <c r="C3407" s="252"/>
      <c r="D3407" s="252"/>
      <c r="E3407" s="252"/>
      <c r="F3407" s="252"/>
      <c r="G3407" s="252"/>
      <c r="H3407" s="252"/>
      <c r="I3407" s="252"/>
      <c r="J3407" s="252"/>
      <c r="K3407" s="253"/>
    </row>
    <row r="3408" spans="1:11" ht="22" customHeight="1" x14ac:dyDescent="0.35">
      <c r="A3408" s="251"/>
      <c r="B3408" s="252"/>
      <c r="C3408" s="252"/>
      <c r="D3408" s="252"/>
      <c r="E3408" s="252"/>
      <c r="F3408" s="252"/>
      <c r="G3408" s="252"/>
      <c r="H3408" s="252"/>
      <c r="I3408" s="252"/>
      <c r="J3408" s="252"/>
      <c r="K3408" s="253"/>
    </row>
    <row r="3409" spans="1:11" ht="22" customHeight="1" x14ac:dyDescent="0.35">
      <c r="A3409" s="251"/>
      <c r="B3409" s="252"/>
      <c r="C3409" s="252"/>
      <c r="D3409" s="252"/>
      <c r="E3409" s="252"/>
      <c r="F3409" s="252"/>
      <c r="G3409" s="252"/>
      <c r="H3409" s="252"/>
      <c r="I3409" s="252"/>
      <c r="J3409" s="252"/>
      <c r="K3409" s="253"/>
    </row>
    <row r="3410" spans="1:11" ht="22" customHeight="1" x14ac:dyDescent="0.35">
      <c r="A3410" s="251"/>
      <c r="B3410" s="252"/>
      <c r="C3410" s="252"/>
      <c r="D3410" s="252"/>
      <c r="E3410" s="252"/>
      <c r="F3410" s="252"/>
      <c r="G3410" s="252"/>
      <c r="H3410" s="252"/>
      <c r="I3410" s="252"/>
      <c r="J3410" s="252"/>
      <c r="K3410" s="253"/>
    </row>
    <row r="3411" spans="1:11" ht="22" customHeight="1" x14ac:dyDescent="0.35">
      <c r="A3411" s="251"/>
      <c r="B3411" s="252"/>
      <c r="C3411" s="252"/>
      <c r="D3411" s="252"/>
      <c r="E3411" s="252"/>
      <c r="F3411" s="252"/>
      <c r="G3411" s="252"/>
      <c r="H3411" s="252"/>
      <c r="I3411" s="252"/>
      <c r="J3411" s="252"/>
      <c r="K3411" s="253"/>
    </row>
    <row r="3412" spans="1:11" ht="22" customHeight="1" x14ac:dyDescent="0.35">
      <c r="A3412" s="251"/>
      <c r="B3412" s="252"/>
      <c r="C3412" s="252"/>
      <c r="D3412" s="252"/>
      <c r="E3412" s="252"/>
      <c r="F3412" s="252"/>
      <c r="G3412" s="252"/>
      <c r="H3412" s="252"/>
      <c r="I3412" s="252"/>
      <c r="J3412" s="252"/>
      <c r="K3412" s="253"/>
    </row>
    <row r="3413" spans="1:11" ht="22" customHeight="1" x14ac:dyDescent="0.35">
      <c r="A3413" s="251"/>
      <c r="B3413" s="252"/>
      <c r="C3413" s="252"/>
      <c r="D3413" s="252"/>
      <c r="E3413" s="252"/>
      <c r="F3413" s="252"/>
      <c r="G3413" s="252"/>
      <c r="H3413" s="252"/>
      <c r="I3413" s="252"/>
      <c r="J3413" s="252"/>
      <c r="K3413" s="253"/>
    </row>
    <row r="3414" spans="1:11" ht="22" customHeight="1" x14ac:dyDescent="0.35">
      <c r="A3414" s="251"/>
      <c r="B3414" s="252"/>
      <c r="C3414" s="252"/>
      <c r="D3414" s="252"/>
      <c r="E3414" s="252"/>
      <c r="F3414" s="252"/>
      <c r="G3414" s="252"/>
      <c r="H3414" s="252"/>
      <c r="I3414" s="252"/>
      <c r="J3414" s="252"/>
      <c r="K3414" s="253"/>
    </row>
    <row r="3415" spans="1:11" ht="22" customHeight="1" x14ac:dyDescent="0.35">
      <c r="A3415" s="251"/>
      <c r="B3415" s="252"/>
      <c r="C3415" s="252"/>
      <c r="D3415" s="252"/>
      <c r="E3415" s="252"/>
      <c r="F3415" s="252"/>
      <c r="G3415" s="252"/>
      <c r="H3415" s="252"/>
      <c r="I3415" s="252"/>
      <c r="J3415" s="252"/>
      <c r="K3415" s="253"/>
    </row>
    <row r="3416" spans="1:11" ht="22" customHeight="1" x14ac:dyDescent="0.35">
      <c r="A3416" s="251"/>
      <c r="B3416" s="252"/>
      <c r="C3416" s="252"/>
      <c r="D3416" s="252"/>
      <c r="E3416" s="252"/>
      <c r="F3416" s="252"/>
      <c r="G3416" s="252"/>
      <c r="H3416" s="252"/>
      <c r="I3416" s="252"/>
      <c r="J3416" s="252"/>
      <c r="K3416" s="253"/>
    </row>
    <row r="3417" spans="1:11" ht="22" customHeight="1" x14ac:dyDescent="0.35">
      <c r="A3417" s="251"/>
      <c r="B3417" s="252"/>
      <c r="C3417" s="252"/>
      <c r="D3417" s="252"/>
      <c r="E3417" s="252"/>
      <c r="F3417" s="252"/>
      <c r="G3417" s="252"/>
      <c r="H3417" s="252"/>
      <c r="I3417" s="252"/>
      <c r="J3417" s="252"/>
      <c r="K3417" s="253"/>
    </row>
    <row r="3418" spans="1:11" ht="22" customHeight="1" x14ac:dyDescent="0.35">
      <c r="A3418" s="251"/>
      <c r="B3418" s="252"/>
      <c r="C3418" s="252"/>
      <c r="D3418" s="252"/>
      <c r="E3418" s="252"/>
      <c r="F3418" s="252"/>
      <c r="G3418" s="252"/>
      <c r="H3418" s="252"/>
      <c r="I3418" s="252"/>
      <c r="J3418" s="252"/>
      <c r="K3418" s="253"/>
    </row>
    <row r="3419" spans="1:11" ht="22" customHeight="1" x14ac:dyDescent="0.35">
      <c r="A3419" s="251"/>
      <c r="B3419" s="252"/>
      <c r="C3419" s="252"/>
      <c r="D3419" s="252"/>
      <c r="E3419" s="252"/>
      <c r="F3419" s="252"/>
      <c r="G3419" s="252"/>
      <c r="H3419" s="252"/>
      <c r="I3419" s="252"/>
      <c r="J3419" s="252"/>
      <c r="K3419" s="253"/>
    </row>
    <row r="3420" spans="1:11" ht="22" customHeight="1" x14ac:dyDescent="0.35">
      <c r="A3420" s="251"/>
      <c r="B3420" s="252"/>
      <c r="C3420" s="252"/>
      <c r="D3420" s="252"/>
      <c r="E3420" s="252"/>
      <c r="F3420" s="252"/>
      <c r="G3420" s="252"/>
      <c r="H3420" s="252"/>
      <c r="I3420" s="252"/>
      <c r="J3420" s="252"/>
      <c r="K3420" s="253"/>
    </row>
    <row r="3421" spans="1:11" ht="22" customHeight="1" x14ac:dyDescent="0.35">
      <c r="A3421" s="251"/>
      <c r="B3421" s="252"/>
      <c r="C3421" s="252"/>
      <c r="D3421" s="252"/>
      <c r="E3421" s="252"/>
      <c r="F3421" s="252"/>
      <c r="G3421" s="252"/>
      <c r="H3421" s="252"/>
      <c r="I3421" s="252"/>
      <c r="J3421" s="252"/>
      <c r="K3421" s="253"/>
    </row>
    <row r="3422" spans="1:11" ht="22" customHeight="1" x14ac:dyDescent="0.35">
      <c r="A3422" s="251"/>
      <c r="B3422" s="252"/>
      <c r="C3422" s="252"/>
      <c r="D3422" s="252"/>
      <c r="E3422" s="252"/>
      <c r="F3422" s="252"/>
      <c r="G3422" s="252"/>
      <c r="H3422" s="252"/>
      <c r="I3422" s="252"/>
      <c r="J3422" s="252"/>
      <c r="K3422" s="253"/>
    </row>
    <row r="3423" spans="1:11" ht="22" customHeight="1" x14ac:dyDescent="0.35">
      <c r="A3423" s="251"/>
      <c r="B3423" s="252"/>
      <c r="C3423" s="252"/>
      <c r="D3423" s="252"/>
      <c r="E3423" s="252"/>
      <c r="F3423" s="252"/>
      <c r="G3423" s="252"/>
      <c r="H3423" s="252"/>
      <c r="I3423" s="252"/>
      <c r="J3423" s="252"/>
      <c r="K3423" s="253"/>
    </row>
    <row r="3424" spans="1:11" ht="22" customHeight="1" x14ac:dyDescent="0.35">
      <c r="A3424" s="251"/>
      <c r="B3424" s="252"/>
      <c r="C3424" s="252"/>
      <c r="D3424" s="252"/>
      <c r="E3424" s="252"/>
      <c r="F3424" s="252"/>
      <c r="G3424" s="252"/>
      <c r="H3424" s="252"/>
      <c r="I3424" s="252"/>
      <c r="J3424" s="252"/>
      <c r="K3424" s="253"/>
    </row>
    <row r="3425" spans="1:11" ht="22" customHeight="1" x14ac:dyDescent="0.35">
      <c r="A3425" s="251"/>
      <c r="B3425" s="252"/>
      <c r="C3425" s="252"/>
      <c r="D3425" s="252"/>
      <c r="E3425" s="252"/>
      <c r="F3425" s="252"/>
      <c r="G3425" s="252"/>
      <c r="H3425" s="252"/>
      <c r="I3425" s="252"/>
      <c r="J3425" s="252"/>
      <c r="K3425" s="253"/>
    </row>
    <row r="3426" spans="1:11" ht="22" customHeight="1" x14ac:dyDescent="0.35">
      <c r="A3426" s="251"/>
      <c r="B3426" s="252"/>
      <c r="C3426" s="252"/>
      <c r="D3426" s="252"/>
      <c r="E3426" s="252"/>
      <c r="F3426" s="252"/>
      <c r="G3426" s="252"/>
      <c r="H3426" s="252"/>
      <c r="I3426" s="252"/>
      <c r="J3426" s="252"/>
      <c r="K3426" s="253"/>
    </row>
    <row r="3427" spans="1:11" ht="22" customHeight="1" x14ac:dyDescent="0.35">
      <c r="A3427" s="251"/>
      <c r="B3427" s="252"/>
      <c r="C3427" s="252"/>
      <c r="D3427" s="252"/>
      <c r="E3427" s="252"/>
      <c r="F3427" s="252"/>
      <c r="G3427" s="252"/>
      <c r="H3427" s="252"/>
      <c r="I3427" s="252"/>
      <c r="J3427" s="252"/>
      <c r="K3427" s="253"/>
    </row>
    <row r="3428" spans="1:11" ht="22" customHeight="1" x14ac:dyDescent="0.35">
      <c r="A3428" s="251"/>
      <c r="B3428" s="252"/>
      <c r="C3428" s="252"/>
      <c r="D3428" s="252"/>
      <c r="E3428" s="252"/>
      <c r="F3428" s="252"/>
      <c r="G3428" s="252"/>
      <c r="H3428" s="252"/>
      <c r="I3428" s="252"/>
      <c r="J3428" s="252"/>
      <c r="K3428" s="253"/>
    </row>
    <row r="3429" spans="1:11" ht="22" customHeight="1" x14ac:dyDescent="0.35">
      <c r="A3429" s="251"/>
      <c r="B3429" s="252"/>
      <c r="C3429" s="252"/>
      <c r="D3429" s="252"/>
      <c r="E3429" s="252"/>
      <c r="F3429" s="252"/>
      <c r="G3429" s="252"/>
      <c r="H3429" s="252"/>
      <c r="I3429" s="252"/>
      <c r="J3429" s="252"/>
      <c r="K3429" s="253"/>
    </row>
    <row r="3430" spans="1:11" ht="22" customHeight="1" x14ac:dyDescent="0.35">
      <c r="A3430" s="251"/>
      <c r="B3430" s="252"/>
      <c r="C3430" s="252"/>
      <c r="D3430" s="252"/>
      <c r="E3430" s="252"/>
      <c r="F3430" s="252"/>
      <c r="G3430" s="252"/>
      <c r="H3430" s="252"/>
      <c r="I3430" s="252"/>
      <c r="J3430" s="252"/>
      <c r="K3430" s="253"/>
    </row>
    <row r="3431" spans="1:11" ht="22" customHeight="1" x14ac:dyDescent="0.35">
      <c r="A3431" s="251"/>
      <c r="B3431" s="252"/>
      <c r="C3431" s="252"/>
      <c r="D3431" s="252"/>
      <c r="E3431" s="252"/>
      <c r="F3431" s="252"/>
      <c r="G3431" s="252"/>
      <c r="H3431" s="252"/>
      <c r="I3431" s="252"/>
      <c r="J3431" s="252"/>
      <c r="K3431" s="253"/>
    </row>
    <row r="3432" spans="1:11" ht="22" customHeight="1" x14ac:dyDescent="0.35">
      <c r="A3432" s="251"/>
      <c r="B3432" s="252"/>
      <c r="C3432" s="252"/>
      <c r="D3432" s="252"/>
      <c r="E3432" s="252"/>
      <c r="F3432" s="252"/>
      <c r="G3432" s="252"/>
      <c r="H3432" s="252"/>
      <c r="I3432" s="252"/>
      <c r="J3432" s="252"/>
      <c r="K3432" s="253"/>
    </row>
    <row r="3433" spans="1:11" ht="22" customHeight="1" x14ac:dyDescent="0.35">
      <c r="A3433" s="251"/>
      <c r="B3433" s="252"/>
      <c r="C3433" s="252"/>
      <c r="D3433" s="252"/>
      <c r="E3433" s="252"/>
      <c r="F3433" s="252"/>
      <c r="G3433" s="252"/>
      <c r="H3433" s="252"/>
      <c r="I3433" s="252"/>
      <c r="J3433" s="252"/>
      <c r="K3433" s="253"/>
    </row>
    <row r="3434" spans="1:11" ht="22" customHeight="1" x14ac:dyDescent="0.35">
      <c r="A3434" s="251"/>
      <c r="B3434" s="252"/>
      <c r="C3434" s="252"/>
      <c r="D3434" s="252"/>
      <c r="E3434" s="252"/>
      <c r="F3434" s="252"/>
      <c r="G3434" s="252"/>
      <c r="H3434" s="252"/>
      <c r="I3434" s="252"/>
      <c r="J3434" s="252"/>
      <c r="K3434" s="253"/>
    </row>
    <row r="3435" spans="1:11" ht="22" customHeight="1" x14ac:dyDescent="0.35">
      <c r="A3435" s="251"/>
      <c r="B3435" s="252"/>
      <c r="C3435" s="252"/>
      <c r="D3435" s="252"/>
      <c r="E3435" s="252"/>
      <c r="F3435" s="252"/>
      <c r="G3435" s="252"/>
      <c r="H3435" s="252"/>
      <c r="I3435" s="252"/>
      <c r="J3435" s="252"/>
      <c r="K3435" s="253"/>
    </row>
    <row r="3436" spans="1:11" ht="22" customHeight="1" x14ac:dyDescent="0.35">
      <c r="A3436" s="251"/>
      <c r="B3436" s="252"/>
      <c r="C3436" s="252"/>
      <c r="D3436" s="252"/>
      <c r="E3436" s="252"/>
      <c r="F3436" s="252"/>
      <c r="G3436" s="252"/>
      <c r="H3436" s="252"/>
      <c r="I3436" s="252"/>
      <c r="J3436" s="252"/>
      <c r="K3436" s="253"/>
    </row>
    <row r="3437" spans="1:11" ht="22" customHeight="1" x14ac:dyDescent="0.35">
      <c r="A3437" s="251"/>
      <c r="B3437" s="252"/>
      <c r="C3437" s="252"/>
      <c r="D3437" s="252"/>
      <c r="E3437" s="252"/>
      <c r="F3437" s="252"/>
      <c r="G3437" s="252"/>
      <c r="H3437" s="252"/>
      <c r="I3437" s="252"/>
      <c r="J3437" s="252"/>
      <c r="K3437" s="253"/>
    </row>
    <row r="3438" spans="1:11" ht="22" customHeight="1" x14ac:dyDescent="0.35">
      <c r="A3438" s="251"/>
      <c r="B3438" s="252"/>
      <c r="C3438" s="252"/>
      <c r="D3438" s="252"/>
      <c r="E3438" s="252"/>
      <c r="F3438" s="252"/>
      <c r="G3438" s="252"/>
      <c r="H3438" s="252"/>
      <c r="I3438" s="252"/>
      <c r="J3438" s="252"/>
      <c r="K3438" s="253"/>
    </row>
    <row r="3439" spans="1:11" ht="22" customHeight="1" x14ac:dyDescent="0.35">
      <c r="A3439" s="251"/>
      <c r="B3439" s="252"/>
      <c r="C3439" s="252"/>
      <c r="D3439" s="252"/>
      <c r="E3439" s="252"/>
      <c r="F3439" s="252"/>
      <c r="G3439" s="252"/>
      <c r="H3439" s="252"/>
      <c r="I3439" s="252"/>
      <c r="J3439" s="252"/>
      <c r="K3439" s="253"/>
    </row>
    <row r="3440" spans="1:11" ht="22" customHeight="1" x14ac:dyDescent="0.35">
      <c r="A3440" s="251"/>
      <c r="B3440" s="252"/>
      <c r="C3440" s="252"/>
      <c r="D3440" s="252"/>
      <c r="E3440" s="252"/>
      <c r="F3440" s="252"/>
      <c r="G3440" s="252"/>
      <c r="H3440" s="252"/>
      <c r="I3440" s="252"/>
      <c r="J3440" s="252"/>
      <c r="K3440" s="253"/>
    </row>
    <row r="3441" spans="1:11" ht="22" customHeight="1" x14ac:dyDescent="0.35">
      <c r="A3441" s="251"/>
      <c r="B3441" s="252"/>
      <c r="C3441" s="252"/>
      <c r="D3441" s="252"/>
      <c r="E3441" s="252"/>
      <c r="F3441" s="252"/>
      <c r="G3441" s="252"/>
      <c r="H3441" s="252"/>
      <c r="I3441" s="252"/>
      <c r="J3441" s="252"/>
      <c r="K3441" s="253"/>
    </row>
    <row r="3442" spans="1:11" ht="22" customHeight="1" x14ac:dyDescent="0.35">
      <c r="A3442" s="251"/>
      <c r="B3442" s="252"/>
      <c r="C3442" s="252"/>
      <c r="D3442" s="252"/>
      <c r="E3442" s="252"/>
      <c r="F3442" s="252"/>
      <c r="G3442" s="252"/>
      <c r="H3442" s="252"/>
      <c r="I3442" s="252"/>
      <c r="J3442" s="252"/>
      <c r="K3442" s="253"/>
    </row>
    <row r="3443" spans="1:11" ht="22" customHeight="1" x14ac:dyDescent="0.35">
      <c r="A3443" s="251"/>
      <c r="B3443" s="252"/>
      <c r="C3443" s="252"/>
      <c r="D3443" s="252"/>
      <c r="E3443" s="252"/>
      <c r="F3443" s="252"/>
      <c r="G3443" s="252"/>
      <c r="H3443" s="252"/>
      <c r="I3443" s="252"/>
      <c r="J3443" s="252"/>
      <c r="K3443" s="253"/>
    </row>
    <row r="3444" spans="1:11" ht="22" customHeight="1" x14ac:dyDescent="0.35">
      <c r="A3444" s="251"/>
      <c r="B3444" s="252"/>
      <c r="C3444" s="252"/>
      <c r="D3444" s="252"/>
      <c r="E3444" s="252"/>
      <c r="F3444" s="252"/>
      <c r="G3444" s="252"/>
      <c r="H3444" s="252"/>
      <c r="I3444" s="252"/>
      <c r="J3444" s="252"/>
      <c r="K3444" s="253"/>
    </row>
    <row r="3445" spans="1:11" ht="22" customHeight="1" x14ac:dyDescent="0.35">
      <c r="A3445" s="251"/>
      <c r="B3445" s="252"/>
      <c r="C3445" s="252"/>
      <c r="D3445" s="252"/>
      <c r="E3445" s="252"/>
      <c r="F3445" s="252"/>
      <c r="G3445" s="252"/>
      <c r="H3445" s="252"/>
      <c r="I3445" s="252"/>
      <c r="J3445" s="252"/>
      <c r="K3445" s="253"/>
    </row>
    <row r="3446" spans="1:11" ht="22" customHeight="1" x14ac:dyDescent="0.35">
      <c r="A3446" s="251"/>
      <c r="B3446" s="252"/>
      <c r="C3446" s="252"/>
      <c r="D3446" s="252"/>
      <c r="E3446" s="252"/>
      <c r="F3446" s="252"/>
      <c r="G3446" s="252"/>
      <c r="H3446" s="252"/>
      <c r="I3446" s="252"/>
      <c r="J3446" s="252"/>
      <c r="K3446" s="253"/>
    </row>
    <row r="3447" spans="1:11" ht="22" customHeight="1" x14ac:dyDescent="0.35">
      <c r="A3447" s="251"/>
      <c r="B3447" s="252"/>
      <c r="C3447" s="252"/>
      <c r="D3447" s="252"/>
      <c r="E3447" s="252"/>
      <c r="F3447" s="252"/>
      <c r="G3447" s="252"/>
      <c r="H3447" s="252"/>
      <c r="I3447" s="252"/>
      <c r="J3447" s="252"/>
      <c r="K3447" s="253"/>
    </row>
    <row r="3448" spans="1:11" ht="22" customHeight="1" x14ac:dyDescent="0.35">
      <c r="A3448" s="251"/>
      <c r="B3448" s="252"/>
      <c r="C3448" s="252"/>
      <c r="D3448" s="252"/>
      <c r="E3448" s="252"/>
      <c r="F3448" s="252"/>
      <c r="G3448" s="252"/>
      <c r="H3448" s="252"/>
      <c r="I3448" s="252"/>
      <c r="J3448" s="252"/>
      <c r="K3448" s="253"/>
    </row>
    <row r="3449" spans="1:11" ht="22" customHeight="1" x14ac:dyDescent="0.35">
      <c r="A3449" s="251"/>
      <c r="B3449" s="252"/>
      <c r="C3449" s="252"/>
      <c r="D3449" s="252"/>
      <c r="E3449" s="252"/>
      <c r="F3449" s="252"/>
      <c r="G3449" s="252"/>
      <c r="H3449" s="252"/>
      <c r="I3449" s="252"/>
      <c r="J3449" s="252"/>
      <c r="K3449" s="253"/>
    </row>
    <row r="3450" spans="1:11" ht="22" customHeight="1" x14ac:dyDescent="0.35">
      <c r="A3450" s="251"/>
      <c r="B3450" s="252"/>
      <c r="C3450" s="252"/>
      <c r="D3450" s="252"/>
      <c r="E3450" s="252"/>
      <c r="F3450" s="252"/>
      <c r="G3450" s="252"/>
      <c r="H3450" s="252"/>
      <c r="I3450" s="252"/>
      <c r="J3450" s="252"/>
      <c r="K3450" s="253"/>
    </row>
    <row r="3451" spans="1:11" ht="22" customHeight="1" x14ac:dyDescent="0.35">
      <c r="A3451" s="251"/>
      <c r="B3451" s="252"/>
      <c r="C3451" s="252"/>
      <c r="D3451" s="252"/>
      <c r="E3451" s="252"/>
      <c r="F3451" s="252"/>
      <c r="G3451" s="252"/>
      <c r="H3451" s="252"/>
      <c r="I3451" s="252"/>
      <c r="J3451" s="252"/>
      <c r="K3451" s="253"/>
    </row>
    <row r="3452" spans="1:11" ht="22" customHeight="1" x14ac:dyDescent="0.35">
      <c r="A3452" s="251"/>
      <c r="B3452" s="252"/>
      <c r="C3452" s="252"/>
      <c r="D3452" s="252"/>
      <c r="E3452" s="252"/>
      <c r="F3452" s="252"/>
      <c r="G3452" s="252"/>
      <c r="H3452" s="252"/>
      <c r="I3452" s="252"/>
      <c r="J3452" s="252"/>
      <c r="K3452" s="253"/>
    </row>
    <row r="3453" spans="1:11" ht="22" customHeight="1" x14ac:dyDescent="0.35">
      <c r="A3453" s="251"/>
      <c r="B3453" s="252"/>
      <c r="C3453" s="252"/>
      <c r="D3453" s="252"/>
      <c r="E3453" s="252"/>
      <c r="F3453" s="252"/>
      <c r="G3453" s="252"/>
      <c r="H3453" s="252"/>
      <c r="I3453" s="252"/>
      <c r="J3453" s="252"/>
      <c r="K3453" s="253"/>
    </row>
    <row r="3454" spans="1:11" ht="22" customHeight="1" x14ac:dyDescent="0.35">
      <c r="A3454" s="251"/>
      <c r="B3454" s="252"/>
      <c r="C3454" s="252"/>
      <c r="D3454" s="252"/>
      <c r="E3454" s="252"/>
      <c r="F3454" s="252"/>
      <c r="G3454" s="252"/>
      <c r="H3454" s="252"/>
      <c r="I3454" s="252"/>
      <c r="J3454" s="252"/>
      <c r="K3454" s="253"/>
    </row>
    <row r="3455" spans="1:11" ht="22" customHeight="1" x14ac:dyDescent="0.35">
      <c r="A3455" s="251"/>
      <c r="B3455" s="252"/>
      <c r="C3455" s="252"/>
      <c r="D3455" s="252"/>
      <c r="E3455" s="252"/>
      <c r="F3455" s="252"/>
      <c r="G3455" s="252"/>
      <c r="H3455" s="252"/>
      <c r="I3455" s="252"/>
      <c r="J3455" s="252"/>
      <c r="K3455" s="253"/>
    </row>
    <row r="3456" spans="1:11" ht="22" customHeight="1" x14ac:dyDescent="0.35">
      <c r="A3456" s="251"/>
      <c r="B3456" s="252"/>
      <c r="C3456" s="252"/>
      <c r="D3456" s="252"/>
      <c r="E3456" s="252"/>
      <c r="F3456" s="252"/>
      <c r="G3456" s="252"/>
      <c r="H3456" s="252"/>
      <c r="I3456" s="252"/>
      <c r="J3456" s="252"/>
      <c r="K3456" s="253"/>
    </row>
    <row r="3457" spans="1:11" ht="22" customHeight="1" x14ac:dyDescent="0.35">
      <c r="A3457" s="251"/>
      <c r="B3457" s="252"/>
      <c r="C3457" s="252"/>
      <c r="D3457" s="252"/>
      <c r="E3457" s="252"/>
      <c r="F3457" s="252"/>
      <c r="G3457" s="252"/>
      <c r="H3457" s="252"/>
      <c r="I3457" s="252"/>
      <c r="J3457" s="252"/>
      <c r="K3457" s="253"/>
    </row>
    <row r="3458" spans="1:11" ht="22" customHeight="1" x14ac:dyDescent="0.35">
      <c r="A3458" s="251"/>
      <c r="B3458" s="252"/>
      <c r="C3458" s="252"/>
      <c r="D3458" s="252"/>
      <c r="E3458" s="252"/>
      <c r="F3458" s="252"/>
      <c r="G3458" s="252"/>
      <c r="H3458" s="252"/>
      <c r="I3458" s="252"/>
      <c r="J3458" s="252"/>
      <c r="K3458" s="253"/>
    </row>
    <row r="3459" spans="1:11" ht="22" customHeight="1" x14ac:dyDescent="0.35">
      <c r="A3459" s="251"/>
      <c r="B3459" s="252"/>
      <c r="C3459" s="252"/>
      <c r="D3459" s="252"/>
      <c r="E3459" s="252"/>
      <c r="F3459" s="252"/>
      <c r="G3459" s="252"/>
      <c r="H3459" s="252"/>
      <c r="I3459" s="252"/>
      <c r="J3459" s="252"/>
      <c r="K3459" s="253"/>
    </row>
    <row r="3460" spans="1:11" ht="22" customHeight="1" x14ac:dyDescent="0.35">
      <c r="A3460" s="251"/>
      <c r="B3460" s="252"/>
      <c r="C3460" s="252"/>
      <c r="D3460" s="252"/>
      <c r="E3460" s="252"/>
      <c r="F3460" s="252"/>
      <c r="G3460" s="252"/>
      <c r="H3460" s="252"/>
      <c r="I3460" s="252"/>
      <c r="J3460" s="252"/>
      <c r="K3460" s="253"/>
    </row>
    <row r="3461" spans="1:11" ht="22" customHeight="1" x14ac:dyDescent="0.35">
      <c r="A3461" s="251"/>
      <c r="B3461" s="252"/>
      <c r="C3461" s="252"/>
      <c r="D3461" s="252"/>
      <c r="E3461" s="252"/>
      <c r="F3461" s="252"/>
      <c r="G3461" s="252"/>
      <c r="H3461" s="252"/>
      <c r="I3461" s="252"/>
      <c r="J3461" s="252"/>
      <c r="K3461" s="253"/>
    </row>
    <row r="3462" spans="1:11" ht="22" customHeight="1" x14ac:dyDescent="0.35">
      <c r="A3462" s="251"/>
      <c r="B3462" s="252"/>
      <c r="C3462" s="252"/>
      <c r="D3462" s="252"/>
      <c r="E3462" s="252"/>
      <c r="F3462" s="252"/>
      <c r="G3462" s="252"/>
      <c r="H3462" s="252"/>
      <c r="I3462" s="252"/>
      <c r="J3462" s="252"/>
      <c r="K3462" s="253"/>
    </row>
    <row r="3463" spans="1:11" ht="22" customHeight="1" x14ac:dyDescent="0.35">
      <c r="A3463" s="251"/>
      <c r="B3463" s="252"/>
      <c r="C3463" s="252"/>
      <c r="D3463" s="252"/>
      <c r="E3463" s="252"/>
      <c r="F3463" s="252"/>
      <c r="G3463" s="252"/>
      <c r="H3463" s="252"/>
      <c r="I3463" s="252"/>
      <c r="J3463" s="252"/>
      <c r="K3463" s="253"/>
    </row>
    <row r="3464" spans="1:11" ht="22" customHeight="1" x14ac:dyDescent="0.35">
      <c r="A3464" s="251"/>
      <c r="B3464" s="252"/>
      <c r="C3464" s="252"/>
      <c r="D3464" s="252"/>
      <c r="E3464" s="252"/>
      <c r="F3464" s="252"/>
      <c r="G3464" s="252"/>
      <c r="H3464" s="252"/>
      <c r="I3464" s="252"/>
      <c r="J3464" s="252"/>
      <c r="K3464" s="253"/>
    </row>
    <row r="3465" spans="1:11" ht="22" customHeight="1" x14ac:dyDescent="0.35">
      <c r="A3465" s="251"/>
      <c r="B3465" s="252"/>
      <c r="C3465" s="252"/>
      <c r="D3465" s="252"/>
      <c r="E3465" s="252"/>
      <c r="F3465" s="252"/>
      <c r="G3465" s="252"/>
      <c r="H3465" s="252"/>
      <c r="I3465" s="252"/>
      <c r="J3465" s="252"/>
      <c r="K3465" s="253"/>
    </row>
    <row r="3466" spans="1:11" ht="22" customHeight="1" x14ac:dyDescent="0.35">
      <c r="A3466" s="251"/>
      <c r="B3466" s="252"/>
      <c r="C3466" s="252"/>
      <c r="D3466" s="252"/>
      <c r="E3466" s="252"/>
      <c r="F3466" s="252"/>
      <c r="G3466" s="252"/>
      <c r="H3466" s="252"/>
      <c r="I3466" s="252"/>
      <c r="J3466" s="252"/>
      <c r="K3466" s="253"/>
    </row>
    <row r="3467" spans="1:11" ht="22" customHeight="1" x14ac:dyDescent="0.35">
      <c r="A3467" s="251"/>
      <c r="B3467" s="252"/>
      <c r="C3467" s="252"/>
      <c r="D3467" s="252"/>
      <c r="E3467" s="252"/>
      <c r="F3467" s="252"/>
      <c r="G3467" s="252"/>
      <c r="H3467" s="252"/>
      <c r="I3467" s="252"/>
      <c r="J3467" s="252"/>
      <c r="K3467" s="253"/>
    </row>
    <row r="3468" spans="1:11" ht="22" customHeight="1" x14ac:dyDescent="0.35">
      <c r="A3468" s="251"/>
      <c r="B3468" s="252"/>
      <c r="C3468" s="252"/>
      <c r="D3468" s="252"/>
      <c r="E3468" s="252"/>
      <c r="F3468" s="252"/>
      <c r="G3468" s="252"/>
      <c r="H3468" s="252"/>
      <c r="I3468" s="252"/>
      <c r="J3468" s="252"/>
      <c r="K3468" s="253"/>
    </row>
    <row r="3469" spans="1:11" ht="22" customHeight="1" x14ac:dyDescent="0.35">
      <c r="A3469" s="251"/>
      <c r="B3469" s="252"/>
      <c r="C3469" s="252"/>
      <c r="D3469" s="252"/>
      <c r="E3469" s="252"/>
      <c r="F3469" s="252"/>
      <c r="G3469" s="252"/>
      <c r="H3469" s="252"/>
      <c r="I3469" s="252"/>
      <c r="J3469" s="252"/>
      <c r="K3469" s="253"/>
    </row>
    <row r="3470" spans="1:11" ht="22" customHeight="1" x14ac:dyDescent="0.35">
      <c r="A3470" s="251"/>
      <c r="B3470" s="252"/>
      <c r="C3470" s="252"/>
      <c r="D3470" s="252"/>
      <c r="E3470" s="252"/>
      <c r="F3470" s="252"/>
      <c r="G3470" s="252"/>
      <c r="H3470" s="252"/>
      <c r="I3470" s="252"/>
      <c r="J3470" s="252"/>
      <c r="K3470" s="253"/>
    </row>
    <row r="3471" spans="1:11" ht="22" customHeight="1" x14ac:dyDescent="0.35">
      <c r="A3471" s="251"/>
      <c r="B3471" s="252"/>
      <c r="C3471" s="252"/>
      <c r="D3471" s="252"/>
      <c r="E3471" s="252"/>
      <c r="F3471" s="252"/>
      <c r="G3471" s="252"/>
      <c r="H3471" s="252"/>
      <c r="I3471" s="252"/>
      <c r="J3471" s="252"/>
      <c r="K3471" s="253"/>
    </row>
    <row r="3472" spans="1:11" ht="22" customHeight="1" x14ac:dyDescent="0.35">
      <c r="A3472" s="251"/>
      <c r="B3472" s="252"/>
      <c r="C3472" s="252"/>
      <c r="D3472" s="252"/>
      <c r="E3472" s="252"/>
      <c r="F3472" s="252"/>
      <c r="G3472" s="252"/>
      <c r="H3472" s="252"/>
      <c r="I3472" s="252"/>
      <c r="J3472" s="252"/>
      <c r="K3472" s="253"/>
    </row>
    <row r="3473" spans="1:11" ht="22" customHeight="1" x14ac:dyDescent="0.35">
      <c r="A3473" s="251"/>
      <c r="B3473" s="252"/>
      <c r="C3473" s="252"/>
      <c r="D3473" s="252"/>
      <c r="E3473" s="252"/>
      <c r="F3473" s="252"/>
      <c r="G3473" s="252"/>
      <c r="H3473" s="252"/>
      <c r="I3473" s="252"/>
      <c r="J3473" s="252"/>
      <c r="K3473" s="253"/>
    </row>
    <row r="3474" spans="1:11" ht="22" customHeight="1" x14ac:dyDescent="0.35">
      <c r="A3474" s="251"/>
      <c r="B3474" s="252"/>
      <c r="C3474" s="252"/>
      <c r="D3474" s="252"/>
      <c r="E3474" s="252"/>
      <c r="F3474" s="252"/>
      <c r="G3474" s="252"/>
      <c r="H3474" s="252"/>
      <c r="I3474" s="252"/>
      <c r="J3474" s="252"/>
      <c r="K3474" s="253"/>
    </row>
    <row r="3475" spans="1:11" ht="22" customHeight="1" x14ac:dyDescent="0.35">
      <c r="A3475" s="251"/>
      <c r="B3475" s="252"/>
      <c r="C3475" s="252"/>
      <c r="D3475" s="252"/>
      <c r="E3475" s="252"/>
      <c r="F3475" s="252"/>
      <c r="G3475" s="252"/>
      <c r="H3475" s="252"/>
      <c r="I3475" s="252"/>
      <c r="J3475" s="252"/>
      <c r="K3475" s="253"/>
    </row>
    <row r="3476" spans="1:11" ht="22" customHeight="1" x14ac:dyDescent="0.35">
      <c r="A3476" s="251"/>
      <c r="B3476" s="252"/>
      <c r="C3476" s="252"/>
      <c r="D3476" s="252"/>
      <c r="E3476" s="252"/>
      <c r="F3476" s="252"/>
      <c r="G3476" s="252"/>
      <c r="H3476" s="252"/>
      <c r="I3476" s="252"/>
      <c r="J3476" s="252"/>
      <c r="K3476" s="253"/>
    </row>
    <row r="3477" spans="1:11" ht="22" customHeight="1" x14ac:dyDescent="0.35">
      <c r="A3477" s="251"/>
      <c r="B3477" s="252"/>
      <c r="C3477" s="252"/>
      <c r="D3477" s="252"/>
      <c r="E3477" s="252"/>
      <c r="F3477" s="252"/>
      <c r="G3477" s="252"/>
      <c r="H3477" s="252"/>
      <c r="I3477" s="252"/>
      <c r="J3477" s="252"/>
      <c r="K3477" s="253"/>
    </row>
    <row r="3478" spans="1:11" ht="22" customHeight="1" x14ac:dyDescent="0.35">
      <c r="A3478" s="251"/>
      <c r="B3478" s="252"/>
      <c r="C3478" s="252"/>
      <c r="D3478" s="252"/>
      <c r="E3478" s="252"/>
      <c r="F3478" s="252"/>
      <c r="G3478" s="252"/>
      <c r="H3478" s="252"/>
      <c r="I3478" s="252"/>
      <c r="J3478" s="252"/>
      <c r="K3478" s="253"/>
    </row>
    <row r="3479" spans="1:11" ht="22" customHeight="1" x14ac:dyDescent="0.35">
      <c r="A3479" s="251"/>
      <c r="B3479" s="252"/>
      <c r="C3479" s="252"/>
      <c r="D3479" s="252"/>
      <c r="E3479" s="252"/>
      <c r="F3479" s="252"/>
      <c r="G3479" s="252"/>
      <c r="H3479" s="252"/>
      <c r="I3479" s="252"/>
      <c r="J3479" s="252"/>
      <c r="K3479" s="253"/>
    </row>
    <row r="3480" spans="1:11" ht="22" customHeight="1" x14ac:dyDescent="0.35">
      <c r="A3480" s="251"/>
      <c r="B3480" s="252"/>
      <c r="C3480" s="252"/>
      <c r="D3480" s="252"/>
      <c r="E3480" s="252"/>
      <c r="F3480" s="252"/>
      <c r="G3480" s="252"/>
      <c r="H3480" s="252"/>
      <c r="I3480" s="252"/>
      <c r="J3480" s="252"/>
      <c r="K3480" s="253"/>
    </row>
    <row r="3481" spans="1:11" ht="22" customHeight="1" x14ac:dyDescent="0.35">
      <c r="A3481" s="251"/>
      <c r="B3481" s="252"/>
      <c r="C3481" s="252"/>
      <c r="D3481" s="252"/>
      <c r="E3481" s="252"/>
      <c r="F3481" s="252"/>
      <c r="G3481" s="252"/>
      <c r="H3481" s="252"/>
      <c r="I3481" s="252"/>
      <c r="J3481" s="252"/>
      <c r="K3481" s="253"/>
    </row>
    <row r="3482" spans="1:11" ht="22" customHeight="1" x14ac:dyDescent="0.35">
      <c r="A3482" s="251"/>
      <c r="B3482" s="252"/>
      <c r="C3482" s="252"/>
      <c r="D3482" s="252"/>
      <c r="E3482" s="252"/>
      <c r="F3482" s="252"/>
      <c r="G3482" s="252"/>
      <c r="H3482" s="252"/>
      <c r="I3482" s="252"/>
      <c r="J3482" s="252"/>
      <c r="K3482" s="253"/>
    </row>
    <row r="3483" spans="1:11" ht="22" customHeight="1" x14ac:dyDescent="0.35">
      <c r="A3483" s="251"/>
      <c r="B3483" s="252"/>
      <c r="C3483" s="252"/>
      <c r="D3483" s="252"/>
      <c r="E3483" s="252"/>
      <c r="F3483" s="252"/>
      <c r="G3483" s="252"/>
      <c r="H3483" s="252"/>
      <c r="I3483" s="252"/>
      <c r="J3483" s="252"/>
      <c r="K3483" s="253"/>
    </row>
    <row r="3484" spans="1:11" ht="22" customHeight="1" x14ac:dyDescent="0.35">
      <c r="A3484" s="251"/>
      <c r="B3484" s="252"/>
      <c r="C3484" s="252"/>
      <c r="D3484" s="252"/>
      <c r="E3484" s="252"/>
      <c r="F3484" s="252"/>
      <c r="G3484" s="252"/>
      <c r="H3484" s="252"/>
      <c r="I3484" s="252"/>
      <c r="J3484" s="252"/>
      <c r="K3484" s="253"/>
    </row>
    <row r="3485" spans="1:11" ht="22" customHeight="1" x14ac:dyDescent="0.35">
      <c r="A3485" s="251"/>
      <c r="B3485" s="252"/>
      <c r="C3485" s="252"/>
      <c r="D3485" s="252"/>
      <c r="E3485" s="252"/>
      <c r="F3485" s="252"/>
      <c r="G3485" s="252"/>
      <c r="H3485" s="252"/>
      <c r="I3485" s="252"/>
      <c r="J3485" s="252"/>
      <c r="K3485" s="253"/>
    </row>
    <row r="3486" spans="1:11" ht="22" customHeight="1" x14ac:dyDescent="0.35">
      <c r="A3486" s="251"/>
      <c r="B3486" s="252"/>
      <c r="C3486" s="252"/>
      <c r="D3486" s="252"/>
      <c r="E3486" s="252"/>
      <c r="F3486" s="252"/>
      <c r="G3486" s="252"/>
      <c r="H3486" s="252"/>
      <c r="I3486" s="252"/>
      <c r="J3486" s="252"/>
      <c r="K3486" s="253"/>
    </row>
    <row r="3487" spans="1:11" ht="22" customHeight="1" x14ac:dyDescent="0.35">
      <c r="A3487" s="251"/>
      <c r="B3487" s="252"/>
      <c r="C3487" s="252"/>
      <c r="D3487" s="252"/>
      <c r="E3487" s="252"/>
      <c r="F3487" s="252"/>
      <c r="G3487" s="252"/>
      <c r="H3487" s="252"/>
      <c r="I3487" s="252"/>
      <c r="J3487" s="252"/>
      <c r="K3487" s="253"/>
    </row>
    <row r="3488" spans="1:11" ht="22" customHeight="1" x14ac:dyDescent="0.35">
      <c r="A3488" s="251"/>
      <c r="B3488" s="252"/>
      <c r="C3488" s="252"/>
      <c r="D3488" s="252"/>
      <c r="E3488" s="252"/>
      <c r="F3488" s="252"/>
      <c r="G3488" s="252"/>
      <c r="H3488" s="252"/>
      <c r="I3488" s="252"/>
      <c r="J3488" s="252"/>
      <c r="K3488" s="253"/>
    </row>
    <row r="3489" spans="1:11" ht="22" customHeight="1" x14ac:dyDescent="0.35">
      <c r="A3489" s="251"/>
      <c r="B3489" s="252"/>
      <c r="C3489" s="252"/>
      <c r="D3489" s="252"/>
      <c r="E3489" s="252"/>
      <c r="F3489" s="252"/>
      <c r="G3489" s="252"/>
      <c r="H3489" s="252"/>
      <c r="I3489" s="252"/>
      <c r="J3489" s="252"/>
      <c r="K3489" s="253"/>
    </row>
    <row r="3490" spans="1:11" ht="22" customHeight="1" x14ac:dyDescent="0.35">
      <c r="A3490" s="251"/>
      <c r="B3490" s="252"/>
      <c r="C3490" s="252"/>
      <c r="D3490" s="252"/>
      <c r="E3490" s="252"/>
      <c r="F3490" s="252"/>
      <c r="G3490" s="252"/>
      <c r="H3490" s="252"/>
      <c r="I3490" s="252"/>
      <c r="J3490" s="252"/>
      <c r="K3490" s="253"/>
    </row>
    <row r="3491" spans="1:11" ht="22" customHeight="1" x14ac:dyDescent="0.35">
      <c r="A3491" s="251"/>
      <c r="B3491" s="252"/>
      <c r="C3491" s="252"/>
      <c r="D3491" s="252"/>
      <c r="E3491" s="252"/>
      <c r="F3491" s="252"/>
      <c r="G3491" s="252"/>
      <c r="H3491" s="252"/>
      <c r="I3491" s="252"/>
      <c r="J3491" s="252"/>
      <c r="K3491" s="253"/>
    </row>
    <row r="3492" spans="1:11" ht="22" customHeight="1" x14ac:dyDescent="0.35">
      <c r="A3492" s="251"/>
      <c r="B3492" s="252"/>
      <c r="C3492" s="252"/>
      <c r="D3492" s="252"/>
      <c r="E3492" s="252"/>
      <c r="F3492" s="252"/>
      <c r="G3492" s="252"/>
      <c r="H3492" s="252"/>
      <c r="I3492" s="252"/>
      <c r="J3492" s="252"/>
      <c r="K3492" s="253"/>
    </row>
    <row r="3493" spans="1:11" ht="22" customHeight="1" x14ac:dyDescent="0.35">
      <c r="A3493" s="251"/>
      <c r="B3493" s="252"/>
      <c r="C3493" s="252"/>
      <c r="D3493" s="252"/>
      <c r="E3493" s="252"/>
      <c r="F3493" s="252"/>
      <c r="G3493" s="252"/>
      <c r="H3493" s="252"/>
      <c r="I3493" s="252"/>
      <c r="J3493" s="252"/>
      <c r="K3493" s="253"/>
    </row>
    <row r="3494" spans="1:11" ht="22" customHeight="1" x14ac:dyDescent="0.35">
      <c r="A3494" s="251"/>
      <c r="B3494" s="252"/>
      <c r="C3494" s="252"/>
      <c r="D3494" s="252"/>
      <c r="E3494" s="252"/>
      <c r="F3494" s="252"/>
      <c r="G3494" s="252"/>
      <c r="H3494" s="252"/>
      <c r="I3494" s="252"/>
      <c r="J3494" s="252"/>
      <c r="K3494" s="253"/>
    </row>
    <row r="3495" spans="1:11" ht="22" customHeight="1" x14ac:dyDescent="0.35">
      <c r="A3495" s="251"/>
      <c r="B3495" s="252"/>
      <c r="C3495" s="252"/>
      <c r="D3495" s="252"/>
      <c r="E3495" s="252"/>
      <c r="F3495" s="252"/>
      <c r="G3495" s="252"/>
      <c r="H3495" s="252"/>
      <c r="I3495" s="252"/>
      <c r="J3495" s="252"/>
      <c r="K3495" s="253"/>
    </row>
    <row r="3496" spans="1:11" ht="22" customHeight="1" x14ac:dyDescent="0.35">
      <c r="A3496" s="251"/>
      <c r="B3496" s="252"/>
      <c r="C3496" s="252"/>
      <c r="D3496" s="252"/>
      <c r="E3496" s="252"/>
      <c r="F3496" s="252"/>
      <c r="G3496" s="252"/>
      <c r="H3496" s="252"/>
      <c r="I3496" s="252"/>
      <c r="J3496" s="252"/>
      <c r="K3496" s="253"/>
    </row>
    <row r="3497" spans="1:11" ht="22" customHeight="1" x14ac:dyDescent="0.35">
      <c r="A3497" s="251"/>
      <c r="B3497" s="252"/>
      <c r="C3497" s="252"/>
      <c r="D3497" s="252"/>
      <c r="E3497" s="252"/>
      <c r="F3497" s="252"/>
      <c r="G3497" s="252"/>
      <c r="H3497" s="252"/>
      <c r="I3497" s="252"/>
      <c r="J3497" s="252"/>
      <c r="K3497" s="253"/>
    </row>
    <row r="3498" spans="1:11" ht="22" customHeight="1" x14ac:dyDescent="0.35">
      <c r="A3498" s="251"/>
      <c r="B3498" s="252"/>
      <c r="C3498" s="252"/>
      <c r="D3498" s="252"/>
      <c r="E3498" s="252"/>
      <c r="F3498" s="252"/>
      <c r="G3498" s="252"/>
      <c r="H3498" s="252"/>
      <c r="I3498" s="252"/>
      <c r="J3498" s="252"/>
      <c r="K3498" s="253"/>
    </row>
    <row r="3499" spans="1:11" ht="22" customHeight="1" x14ac:dyDescent="0.35">
      <c r="A3499" s="251"/>
      <c r="B3499" s="252"/>
      <c r="C3499" s="252"/>
      <c r="D3499" s="252"/>
      <c r="E3499" s="252"/>
      <c r="F3499" s="252"/>
      <c r="G3499" s="252"/>
      <c r="H3499" s="252"/>
      <c r="I3499" s="252"/>
      <c r="J3499" s="252"/>
      <c r="K3499" s="253"/>
    </row>
    <row r="3500" spans="1:11" ht="22" customHeight="1" x14ac:dyDescent="0.35">
      <c r="A3500" s="251"/>
      <c r="B3500" s="252"/>
      <c r="C3500" s="252"/>
      <c r="D3500" s="252"/>
      <c r="E3500" s="252"/>
      <c r="F3500" s="252"/>
      <c r="G3500" s="252"/>
      <c r="H3500" s="252"/>
      <c r="I3500" s="252"/>
      <c r="J3500" s="252"/>
      <c r="K3500" s="253"/>
    </row>
    <row r="3501" spans="1:11" ht="22" customHeight="1" x14ac:dyDescent="0.35">
      <c r="A3501" s="251"/>
      <c r="B3501" s="252"/>
      <c r="C3501" s="252"/>
      <c r="D3501" s="252"/>
      <c r="E3501" s="252"/>
      <c r="F3501" s="252"/>
      <c r="G3501" s="252"/>
      <c r="H3501" s="252"/>
      <c r="I3501" s="252"/>
      <c r="J3501" s="252"/>
      <c r="K3501" s="253"/>
    </row>
    <row r="3502" spans="1:11" ht="22" customHeight="1" x14ac:dyDescent="0.35">
      <c r="A3502" s="251"/>
      <c r="B3502" s="252"/>
      <c r="C3502" s="252"/>
      <c r="D3502" s="252"/>
      <c r="E3502" s="252"/>
      <c r="F3502" s="252"/>
      <c r="G3502" s="252"/>
      <c r="H3502" s="252"/>
      <c r="I3502" s="252"/>
      <c r="J3502" s="252"/>
      <c r="K3502" s="253"/>
    </row>
    <row r="3503" spans="1:11" ht="22" customHeight="1" x14ac:dyDescent="0.35">
      <c r="A3503" s="251"/>
      <c r="B3503" s="252"/>
      <c r="C3503" s="252"/>
      <c r="D3503" s="252"/>
      <c r="E3503" s="252"/>
      <c r="F3503" s="252"/>
      <c r="G3503" s="252"/>
      <c r="H3503" s="252"/>
      <c r="I3503" s="252"/>
      <c r="J3503" s="252"/>
      <c r="K3503" s="253"/>
    </row>
    <row r="3504" spans="1:11" ht="22" customHeight="1" x14ac:dyDescent="0.35">
      <c r="A3504" s="251"/>
      <c r="B3504" s="252"/>
      <c r="C3504" s="252"/>
      <c r="D3504" s="252"/>
      <c r="E3504" s="252"/>
      <c r="F3504" s="252"/>
      <c r="G3504" s="252"/>
      <c r="H3504" s="252"/>
      <c r="I3504" s="252"/>
      <c r="J3504" s="252"/>
      <c r="K3504" s="253"/>
    </row>
    <row r="3505" spans="1:11" ht="22" customHeight="1" x14ac:dyDescent="0.35">
      <c r="A3505" s="251"/>
      <c r="B3505" s="252"/>
      <c r="C3505" s="252"/>
      <c r="D3505" s="252"/>
      <c r="E3505" s="252"/>
      <c r="F3505" s="252"/>
      <c r="G3505" s="252"/>
      <c r="H3505" s="252"/>
      <c r="I3505" s="252"/>
      <c r="J3505" s="252"/>
      <c r="K3505" s="253"/>
    </row>
    <row r="3506" spans="1:11" ht="22" customHeight="1" x14ac:dyDescent="0.35">
      <c r="A3506" s="251"/>
      <c r="B3506" s="252"/>
      <c r="C3506" s="252"/>
      <c r="D3506" s="252"/>
      <c r="E3506" s="252"/>
      <c r="F3506" s="252"/>
      <c r="G3506" s="252"/>
      <c r="H3506" s="252"/>
      <c r="I3506" s="252"/>
      <c r="J3506" s="252"/>
      <c r="K3506" s="253"/>
    </row>
    <row r="3507" spans="1:11" ht="22" customHeight="1" x14ac:dyDescent="0.35">
      <c r="A3507" s="251"/>
      <c r="B3507" s="252"/>
      <c r="C3507" s="252"/>
      <c r="D3507" s="252"/>
      <c r="E3507" s="252"/>
      <c r="F3507" s="252"/>
      <c r="G3507" s="252"/>
      <c r="H3507" s="252"/>
      <c r="I3507" s="252"/>
      <c r="J3507" s="252"/>
      <c r="K3507" s="253"/>
    </row>
    <row r="3508" spans="1:11" ht="22" customHeight="1" x14ac:dyDescent="0.35">
      <c r="A3508" s="251"/>
      <c r="B3508" s="252"/>
      <c r="C3508" s="252"/>
      <c r="D3508" s="252"/>
      <c r="E3508" s="252"/>
      <c r="F3508" s="252"/>
      <c r="G3508" s="252"/>
      <c r="H3508" s="252"/>
      <c r="I3508" s="252"/>
      <c r="J3508" s="252"/>
      <c r="K3508" s="253"/>
    </row>
    <row r="3509" spans="1:11" ht="22" customHeight="1" x14ac:dyDescent="0.35">
      <c r="A3509" s="251"/>
      <c r="B3509" s="252"/>
      <c r="C3509" s="252"/>
      <c r="D3509" s="252"/>
      <c r="E3509" s="252"/>
      <c r="F3509" s="252"/>
      <c r="G3509" s="252"/>
      <c r="H3509" s="252"/>
      <c r="I3509" s="252"/>
      <c r="J3509" s="252"/>
      <c r="K3509" s="253"/>
    </row>
    <row r="3510" spans="1:11" ht="22" customHeight="1" x14ac:dyDescent="0.35">
      <c r="A3510" s="251"/>
      <c r="B3510" s="252"/>
      <c r="C3510" s="252"/>
      <c r="D3510" s="252"/>
      <c r="E3510" s="252"/>
      <c r="F3510" s="252"/>
      <c r="G3510" s="252"/>
      <c r="H3510" s="252"/>
      <c r="I3510" s="252"/>
      <c r="J3510" s="252"/>
      <c r="K3510" s="253"/>
    </row>
    <row r="3511" spans="1:11" ht="22" customHeight="1" x14ac:dyDescent="0.35">
      <c r="A3511" s="251"/>
      <c r="B3511" s="252"/>
      <c r="C3511" s="252"/>
      <c r="D3511" s="252"/>
      <c r="E3511" s="252"/>
      <c r="F3511" s="252"/>
      <c r="G3511" s="252"/>
      <c r="H3511" s="252"/>
      <c r="I3511" s="252"/>
      <c r="J3511" s="252"/>
      <c r="K3511" s="253"/>
    </row>
    <row r="3512" spans="1:11" ht="22" customHeight="1" x14ac:dyDescent="0.35">
      <c r="A3512" s="251"/>
      <c r="B3512" s="252"/>
      <c r="C3512" s="252"/>
      <c r="D3512" s="252"/>
      <c r="E3512" s="252"/>
      <c r="F3512" s="252"/>
      <c r="G3512" s="252"/>
      <c r="H3512" s="252"/>
      <c r="I3512" s="252"/>
      <c r="J3512" s="252"/>
      <c r="K3512" s="253"/>
    </row>
    <row r="3513" spans="1:11" ht="22" customHeight="1" x14ac:dyDescent="0.35">
      <c r="A3513" s="251"/>
      <c r="B3513" s="252"/>
      <c r="C3513" s="252"/>
      <c r="D3513" s="252"/>
      <c r="E3513" s="252"/>
      <c r="F3513" s="252"/>
      <c r="G3513" s="252"/>
      <c r="H3513" s="252"/>
      <c r="I3513" s="252"/>
      <c r="J3513" s="252"/>
      <c r="K3513" s="253"/>
    </row>
    <row r="3514" spans="1:11" ht="22" customHeight="1" x14ac:dyDescent="0.35">
      <c r="A3514" s="251"/>
      <c r="B3514" s="252"/>
      <c r="C3514" s="252"/>
      <c r="D3514" s="252"/>
      <c r="E3514" s="252"/>
      <c r="F3514" s="252"/>
      <c r="G3514" s="252"/>
      <c r="H3514" s="252"/>
      <c r="I3514" s="252"/>
      <c r="J3514" s="252"/>
      <c r="K3514" s="253"/>
    </row>
    <row r="3515" spans="1:11" ht="22" customHeight="1" x14ac:dyDescent="0.35">
      <c r="A3515" s="251"/>
      <c r="B3515" s="252"/>
      <c r="C3515" s="252"/>
      <c r="D3515" s="252"/>
      <c r="E3515" s="252"/>
      <c r="F3515" s="252"/>
      <c r="G3515" s="252"/>
      <c r="H3515" s="252"/>
      <c r="I3515" s="252"/>
      <c r="J3515" s="252"/>
      <c r="K3515" s="253"/>
    </row>
    <row r="3516" spans="1:11" ht="22" customHeight="1" x14ac:dyDescent="0.35">
      <c r="A3516" s="251"/>
      <c r="B3516" s="252"/>
      <c r="C3516" s="252"/>
      <c r="D3516" s="252"/>
      <c r="E3516" s="252"/>
      <c r="F3516" s="252"/>
      <c r="G3516" s="252"/>
      <c r="H3516" s="252"/>
      <c r="I3516" s="252"/>
      <c r="J3516" s="252"/>
      <c r="K3516" s="253"/>
    </row>
    <row r="3517" spans="1:11" ht="22" customHeight="1" x14ac:dyDescent="0.35">
      <c r="A3517" s="251"/>
      <c r="B3517" s="252"/>
      <c r="C3517" s="252"/>
      <c r="D3517" s="252"/>
      <c r="E3517" s="252"/>
      <c r="F3517" s="252"/>
      <c r="G3517" s="252"/>
      <c r="H3517" s="252"/>
      <c r="I3517" s="252"/>
      <c r="J3517" s="252"/>
      <c r="K3517" s="253"/>
    </row>
    <row r="3518" spans="1:11" ht="22" customHeight="1" x14ac:dyDescent="0.35">
      <c r="A3518" s="251"/>
      <c r="B3518" s="252"/>
      <c r="C3518" s="252"/>
      <c r="D3518" s="252"/>
      <c r="E3518" s="252"/>
      <c r="F3518" s="252"/>
      <c r="G3518" s="252"/>
      <c r="H3518" s="252"/>
      <c r="I3518" s="252"/>
      <c r="J3518" s="252"/>
      <c r="K3518" s="253"/>
    </row>
    <row r="3519" spans="1:11" ht="22" customHeight="1" x14ac:dyDescent="0.35">
      <c r="A3519" s="251"/>
      <c r="B3519" s="252"/>
      <c r="C3519" s="252"/>
      <c r="D3519" s="252"/>
      <c r="E3519" s="252"/>
      <c r="F3519" s="252"/>
      <c r="G3519" s="252"/>
      <c r="H3519" s="252"/>
      <c r="I3519" s="252"/>
      <c r="J3519" s="252"/>
      <c r="K3519" s="253"/>
    </row>
    <row r="3520" spans="1:11" ht="22" customHeight="1" x14ac:dyDescent="0.35">
      <c r="A3520" s="251"/>
      <c r="B3520" s="252"/>
      <c r="C3520" s="252"/>
      <c r="D3520" s="252"/>
      <c r="E3520" s="252"/>
      <c r="F3520" s="252"/>
      <c r="G3520" s="252"/>
      <c r="H3520" s="252"/>
      <c r="I3520" s="252"/>
      <c r="J3520" s="252"/>
      <c r="K3520" s="253"/>
    </row>
    <row r="3521" spans="1:11" ht="22" customHeight="1" x14ac:dyDescent="0.35">
      <c r="A3521" s="251"/>
      <c r="B3521" s="252"/>
      <c r="C3521" s="252"/>
      <c r="D3521" s="252"/>
      <c r="E3521" s="252"/>
      <c r="F3521" s="252"/>
      <c r="G3521" s="252"/>
      <c r="H3521" s="252"/>
      <c r="I3521" s="252"/>
      <c r="J3521" s="252"/>
      <c r="K3521" s="253"/>
    </row>
    <row r="3522" spans="1:11" ht="22" customHeight="1" x14ac:dyDescent="0.35">
      <c r="A3522" s="251"/>
      <c r="B3522" s="252"/>
      <c r="C3522" s="252"/>
      <c r="D3522" s="252"/>
      <c r="E3522" s="252"/>
      <c r="F3522" s="252"/>
      <c r="G3522" s="252"/>
      <c r="H3522" s="252"/>
      <c r="I3522" s="252"/>
      <c r="J3522" s="252"/>
      <c r="K3522" s="253"/>
    </row>
    <row r="3523" spans="1:11" ht="22" customHeight="1" x14ac:dyDescent="0.35">
      <c r="A3523" s="251"/>
      <c r="B3523" s="252"/>
      <c r="C3523" s="252"/>
      <c r="D3523" s="252"/>
      <c r="E3523" s="252"/>
      <c r="F3523" s="252"/>
      <c r="G3523" s="252"/>
      <c r="H3523" s="252"/>
      <c r="I3523" s="252"/>
      <c r="J3523" s="252"/>
      <c r="K3523" s="253"/>
    </row>
    <row r="3524" spans="1:11" ht="22" customHeight="1" x14ac:dyDescent="0.35">
      <c r="A3524" s="251"/>
      <c r="B3524" s="252"/>
      <c r="C3524" s="252"/>
      <c r="D3524" s="252"/>
      <c r="E3524" s="252"/>
      <c r="F3524" s="252"/>
      <c r="G3524" s="252"/>
      <c r="H3524" s="252"/>
      <c r="I3524" s="252"/>
      <c r="J3524" s="252"/>
      <c r="K3524" s="253"/>
    </row>
    <row r="3525" spans="1:11" ht="22" customHeight="1" x14ac:dyDescent="0.35">
      <c r="A3525" s="251"/>
      <c r="B3525" s="252"/>
      <c r="C3525" s="252"/>
      <c r="D3525" s="252"/>
      <c r="E3525" s="252"/>
      <c r="F3525" s="252"/>
      <c r="G3525" s="252"/>
      <c r="H3525" s="252"/>
      <c r="I3525" s="252"/>
      <c r="J3525" s="252"/>
      <c r="K3525" s="253"/>
    </row>
    <row r="3526" spans="1:11" ht="22" customHeight="1" x14ac:dyDescent="0.35">
      <c r="A3526" s="251"/>
      <c r="B3526" s="252"/>
      <c r="C3526" s="252"/>
      <c r="D3526" s="252"/>
      <c r="E3526" s="252"/>
      <c r="F3526" s="252"/>
      <c r="G3526" s="252"/>
      <c r="H3526" s="252"/>
      <c r="I3526" s="252"/>
      <c r="J3526" s="252"/>
      <c r="K3526" s="253"/>
    </row>
    <row r="3527" spans="1:11" ht="22" customHeight="1" x14ac:dyDescent="0.35">
      <c r="A3527" s="251"/>
      <c r="B3527" s="252"/>
      <c r="C3527" s="252"/>
      <c r="D3527" s="252"/>
      <c r="E3527" s="252"/>
      <c r="F3527" s="252"/>
      <c r="G3527" s="252"/>
      <c r="H3527" s="252"/>
      <c r="I3527" s="252"/>
      <c r="J3527" s="252"/>
      <c r="K3527" s="253"/>
    </row>
    <row r="3528" spans="1:11" ht="22" customHeight="1" x14ac:dyDescent="0.35">
      <c r="A3528" s="251"/>
      <c r="B3528" s="252"/>
      <c r="C3528" s="252"/>
      <c r="D3528" s="252"/>
      <c r="E3528" s="252"/>
      <c r="F3528" s="252"/>
      <c r="G3528" s="252"/>
      <c r="H3528" s="252"/>
      <c r="I3528" s="252"/>
      <c r="J3528" s="252"/>
      <c r="K3528" s="253"/>
    </row>
    <row r="3529" spans="1:11" ht="22" customHeight="1" x14ac:dyDescent="0.35">
      <c r="A3529" s="251"/>
      <c r="B3529" s="252"/>
      <c r="C3529" s="252"/>
      <c r="D3529" s="252"/>
      <c r="E3529" s="252"/>
      <c r="F3529" s="252"/>
      <c r="G3529" s="252"/>
      <c r="H3529" s="252"/>
      <c r="I3529" s="252"/>
      <c r="J3529" s="252"/>
      <c r="K3529" s="253"/>
    </row>
    <row r="3530" spans="1:11" ht="22" customHeight="1" x14ac:dyDescent="0.35">
      <c r="A3530" s="251"/>
      <c r="B3530" s="252"/>
      <c r="C3530" s="252"/>
      <c r="D3530" s="252"/>
      <c r="E3530" s="252"/>
      <c r="F3530" s="252"/>
      <c r="G3530" s="252"/>
      <c r="H3530" s="252"/>
      <c r="I3530" s="252"/>
      <c r="J3530" s="252"/>
      <c r="K3530" s="253"/>
    </row>
    <row r="3531" spans="1:11" ht="22" customHeight="1" x14ac:dyDescent="0.35">
      <c r="A3531" s="251"/>
      <c r="B3531" s="252"/>
      <c r="C3531" s="252"/>
      <c r="D3531" s="252"/>
      <c r="E3531" s="252"/>
      <c r="F3531" s="252"/>
      <c r="G3531" s="252"/>
      <c r="H3531" s="252"/>
      <c r="I3531" s="252"/>
      <c r="J3531" s="252"/>
      <c r="K3531" s="253"/>
    </row>
    <row r="3532" spans="1:11" ht="22" customHeight="1" x14ac:dyDescent="0.35">
      <c r="A3532" s="251"/>
      <c r="B3532" s="252"/>
      <c r="C3532" s="252"/>
      <c r="D3532" s="252"/>
      <c r="E3532" s="252"/>
      <c r="F3532" s="252"/>
      <c r="G3532" s="252"/>
      <c r="H3532" s="252"/>
      <c r="I3532" s="252"/>
      <c r="J3532" s="252"/>
      <c r="K3532" s="253"/>
    </row>
    <row r="3533" spans="1:11" ht="22" customHeight="1" x14ac:dyDescent="0.35">
      <c r="A3533" s="251"/>
      <c r="B3533" s="252"/>
      <c r="C3533" s="252"/>
      <c r="D3533" s="252"/>
      <c r="E3533" s="252"/>
      <c r="F3533" s="252"/>
      <c r="G3533" s="252"/>
      <c r="H3533" s="252"/>
      <c r="I3533" s="252"/>
      <c r="J3533" s="252"/>
      <c r="K3533" s="253"/>
    </row>
    <row r="3534" spans="1:11" ht="22" customHeight="1" x14ac:dyDescent="0.35">
      <c r="A3534" s="251"/>
      <c r="B3534" s="252"/>
      <c r="C3534" s="252"/>
      <c r="D3534" s="252"/>
      <c r="E3534" s="252"/>
      <c r="F3534" s="252"/>
      <c r="G3534" s="252"/>
      <c r="H3534" s="252"/>
      <c r="I3534" s="252"/>
      <c r="J3534" s="252"/>
      <c r="K3534" s="253"/>
    </row>
    <row r="3535" spans="1:11" ht="22" customHeight="1" x14ac:dyDescent="0.35">
      <c r="A3535" s="251"/>
      <c r="B3535" s="252"/>
      <c r="C3535" s="252"/>
      <c r="D3535" s="252"/>
      <c r="E3535" s="252"/>
      <c r="F3535" s="252"/>
      <c r="G3535" s="252"/>
      <c r="H3535" s="252"/>
      <c r="I3535" s="252"/>
      <c r="J3535" s="252"/>
      <c r="K3535" s="253"/>
    </row>
    <row r="3536" spans="1:11" ht="22" customHeight="1" x14ac:dyDescent="0.35">
      <c r="A3536" s="251"/>
      <c r="B3536" s="252"/>
      <c r="C3536" s="252"/>
      <c r="D3536" s="252"/>
      <c r="E3536" s="252"/>
      <c r="F3536" s="252"/>
      <c r="G3536" s="252"/>
      <c r="H3536" s="252"/>
      <c r="I3536" s="252"/>
      <c r="J3536" s="252"/>
      <c r="K3536" s="253"/>
    </row>
    <row r="3537" spans="1:11" ht="22" customHeight="1" x14ac:dyDescent="0.35">
      <c r="A3537" s="251"/>
      <c r="B3537" s="252"/>
      <c r="C3537" s="252"/>
      <c r="D3537" s="252"/>
      <c r="E3537" s="252"/>
      <c r="F3537" s="252"/>
      <c r="G3537" s="252"/>
      <c r="H3537" s="252"/>
      <c r="I3537" s="252"/>
      <c r="J3537" s="252"/>
      <c r="K3537" s="253"/>
    </row>
    <row r="3538" spans="1:11" ht="22" customHeight="1" x14ac:dyDescent="0.35">
      <c r="A3538" s="251"/>
      <c r="B3538" s="252"/>
      <c r="C3538" s="252"/>
      <c r="D3538" s="252"/>
      <c r="E3538" s="252"/>
      <c r="F3538" s="252"/>
      <c r="G3538" s="252"/>
      <c r="H3538" s="252"/>
      <c r="I3538" s="252"/>
      <c r="J3538" s="252"/>
      <c r="K3538" s="253"/>
    </row>
    <row r="3539" spans="1:11" ht="22" customHeight="1" x14ac:dyDescent="0.35">
      <c r="A3539" s="251"/>
      <c r="B3539" s="252"/>
      <c r="C3539" s="252"/>
      <c r="D3539" s="252"/>
      <c r="E3539" s="252"/>
      <c r="F3539" s="252"/>
      <c r="G3539" s="252"/>
      <c r="H3539" s="252"/>
      <c r="I3539" s="252"/>
      <c r="J3539" s="252"/>
      <c r="K3539" s="253"/>
    </row>
    <row r="3540" spans="1:11" ht="22" customHeight="1" x14ac:dyDescent="0.35">
      <c r="A3540" s="251"/>
      <c r="B3540" s="252"/>
      <c r="C3540" s="252"/>
      <c r="D3540" s="252"/>
      <c r="E3540" s="252"/>
      <c r="F3540" s="252"/>
      <c r="G3540" s="252"/>
      <c r="H3540" s="252"/>
      <c r="I3540" s="252"/>
      <c r="J3540" s="252"/>
      <c r="K3540" s="253"/>
    </row>
    <row r="3541" spans="1:11" ht="22" customHeight="1" x14ac:dyDescent="0.35">
      <c r="A3541" s="251"/>
      <c r="B3541" s="252"/>
      <c r="C3541" s="252"/>
      <c r="D3541" s="252"/>
      <c r="E3541" s="252"/>
      <c r="F3541" s="252"/>
      <c r="G3541" s="252"/>
      <c r="H3541" s="252"/>
      <c r="I3541" s="252"/>
      <c r="J3541" s="252"/>
      <c r="K3541" s="253"/>
    </row>
    <row r="3542" spans="1:11" ht="22" customHeight="1" x14ac:dyDescent="0.35">
      <c r="A3542" s="251"/>
      <c r="B3542" s="252"/>
      <c r="C3542" s="252"/>
      <c r="D3542" s="252"/>
      <c r="E3542" s="252"/>
      <c r="F3542" s="252"/>
      <c r="G3542" s="252"/>
      <c r="H3542" s="252"/>
      <c r="I3542" s="252"/>
      <c r="J3542" s="252"/>
      <c r="K3542" s="253"/>
    </row>
    <row r="3543" spans="1:11" ht="22" customHeight="1" x14ac:dyDescent="0.35">
      <c r="A3543" s="251"/>
      <c r="B3543" s="252"/>
      <c r="C3543" s="252"/>
      <c r="D3543" s="252"/>
      <c r="E3543" s="252"/>
      <c r="F3543" s="252"/>
      <c r="G3543" s="252"/>
      <c r="H3543" s="252"/>
      <c r="I3543" s="252"/>
      <c r="J3543" s="252"/>
      <c r="K3543" s="253"/>
    </row>
    <row r="3544" spans="1:11" ht="22" customHeight="1" x14ac:dyDescent="0.35">
      <c r="A3544" s="251"/>
      <c r="B3544" s="252"/>
      <c r="C3544" s="252"/>
      <c r="D3544" s="252"/>
      <c r="E3544" s="252"/>
      <c r="F3544" s="252"/>
      <c r="G3544" s="252"/>
      <c r="H3544" s="252"/>
      <c r="I3544" s="252"/>
      <c r="J3544" s="252"/>
      <c r="K3544" s="253"/>
    </row>
    <row r="3545" spans="1:11" ht="22" customHeight="1" x14ac:dyDescent="0.35">
      <c r="A3545" s="251"/>
      <c r="B3545" s="252"/>
      <c r="C3545" s="252"/>
      <c r="D3545" s="252"/>
      <c r="E3545" s="252"/>
      <c r="F3545" s="252"/>
      <c r="G3545" s="252"/>
      <c r="H3545" s="252"/>
      <c r="I3545" s="252"/>
      <c r="J3545" s="252"/>
      <c r="K3545" s="253"/>
    </row>
    <row r="3546" spans="1:11" ht="22" customHeight="1" x14ac:dyDescent="0.35">
      <c r="A3546" s="251"/>
      <c r="B3546" s="252"/>
      <c r="C3546" s="252"/>
      <c r="D3546" s="252"/>
      <c r="E3546" s="252"/>
      <c r="F3546" s="252"/>
      <c r="G3546" s="252"/>
      <c r="H3546" s="252"/>
      <c r="I3546" s="252"/>
      <c r="J3546" s="252"/>
      <c r="K3546" s="253"/>
    </row>
    <row r="3547" spans="1:11" ht="22" customHeight="1" x14ac:dyDescent="0.35">
      <c r="A3547" s="251"/>
      <c r="B3547" s="252"/>
      <c r="C3547" s="252"/>
      <c r="D3547" s="252"/>
      <c r="E3547" s="252"/>
      <c r="F3547" s="252"/>
      <c r="G3547" s="252"/>
      <c r="H3547" s="252"/>
      <c r="I3547" s="252"/>
      <c r="J3547" s="252"/>
      <c r="K3547" s="253"/>
    </row>
    <row r="3548" spans="1:11" ht="22" customHeight="1" x14ac:dyDescent="0.35">
      <c r="A3548" s="251"/>
      <c r="B3548" s="252"/>
      <c r="C3548" s="252"/>
      <c r="D3548" s="252"/>
      <c r="E3548" s="252"/>
      <c r="F3548" s="252"/>
      <c r="G3548" s="252"/>
      <c r="H3548" s="252"/>
      <c r="I3548" s="252"/>
      <c r="J3548" s="252"/>
      <c r="K3548" s="253"/>
    </row>
    <row r="3549" spans="1:11" ht="22" customHeight="1" x14ac:dyDescent="0.35">
      <c r="A3549" s="251"/>
      <c r="B3549" s="252"/>
      <c r="C3549" s="252"/>
      <c r="D3549" s="252"/>
      <c r="E3549" s="252"/>
      <c r="F3549" s="252"/>
      <c r="G3549" s="252"/>
      <c r="H3549" s="252"/>
      <c r="I3549" s="252"/>
      <c r="J3549" s="252"/>
      <c r="K3549" s="253"/>
    </row>
    <row r="3550" spans="1:11" ht="22" customHeight="1" x14ac:dyDescent="0.35">
      <c r="A3550" s="251"/>
      <c r="B3550" s="252"/>
      <c r="C3550" s="252"/>
      <c r="D3550" s="252"/>
      <c r="E3550" s="252"/>
      <c r="F3550" s="252"/>
      <c r="G3550" s="252"/>
      <c r="H3550" s="252"/>
      <c r="I3550" s="252"/>
      <c r="J3550" s="252"/>
      <c r="K3550" s="253"/>
    </row>
    <row r="3551" spans="1:11" ht="22" customHeight="1" x14ac:dyDescent="0.35">
      <c r="A3551" s="251"/>
      <c r="B3551" s="252"/>
      <c r="C3551" s="252"/>
      <c r="D3551" s="252"/>
      <c r="E3551" s="252"/>
      <c r="F3551" s="252"/>
      <c r="G3551" s="252"/>
      <c r="H3551" s="252"/>
      <c r="I3551" s="252"/>
      <c r="J3551" s="252"/>
      <c r="K3551" s="253"/>
    </row>
    <row r="3552" spans="1:11" ht="22" customHeight="1" x14ac:dyDescent="0.35">
      <c r="A3552" s="251"/>
      <c r="B3552" s="252"/>
      <c r="C3552" s="252"/>
      <c r="D3552" s="252"/>
      <c r="E3552" s="252"/>
      <c r="F3552" s="252"/>
      <c r="G3552" s="252"/>
      <c r="H3552" s="252"/>
      <c r="I3552" s="252"/>
      <c r="J3552" s="252"/>
      <c r="K3552" s="253"/>
    </row>
    <row r="3553" spans="1:11" ht="22" customHeight="1" x14ac:dyDescent="0.35">
      <c r="A3553" s="251"/>
      <c r="B3553" s="252"/>
      <c r="C3553" s="252"/>
      <c r="D3553" s="252"/>
      <c r="E3553" s="252"/>
      <c r="F3553" s="252"/>
      <c r="G3553" s="252"/>
      <c r="H3553" s="252"/>
      <c r="I3553" s="252"/>
      <c r="J3553" s="252"/>
      <c r="K3553" s="253"/>
    </row>
    <row r="3554" spans="1:11" ht="22" customHeight="1" x14ac:dyDescent="0.35">
      <c r="A3554" s="251"/>
      <c r="B3554" s="252"/>
      <c r="C3554" s="252"/>
      <c r="D3554" s="252"/>
      <c r="E3554" s="252"/>
      <c r="F3554" s="252"/>
      <c r="G3554" s="252"/>
      <c r="H3554" s="252"/>
      <c r="I3554" s="252"/>
      <c r="J3554" s="252"/>
      <c r="K3554" s="253"/>
    </row>
    <row r="3555" spans="1:11" ht="22" customHeight="1" x14ac:dyDescent="0.35">
      <c r="A3555" s="251"/>
      <c r="B3555" s="252"/>
      <c r="C3555" s="252"/>
      <c r="D3555" s="252"/>
      <c r="E3555" s="252"/>
      <c r="F3555" s="252"/>
      <c r="G3555" s="252"/>
      <c r="H3555" s="252"/>
      <c r="I3555" s="252"/>
      <c r="J3555" s="252"/>
      <c r="K3555" s="253"/>
    </row>
    <row r="3556" spans="1:11" ht="22" customHeight="1" x14ac:dyDescent="0.35">
      <c r="A3556" s="251"/>
      <c r="B3556" s="252"/>
      <c r="C3556" s="252"/>
      <c r="D3556" s="252"/>
      <c r="E3556" s="252"/>
      <c r="F3556" s="252"/>
      <c r="G3556" s="252"/>
      <c r="H3556" s="252"/>
      <c r="I3556" s="252"/>
      <c r="J3556" s="252"/>
      <c r="K3556" s="253"/>
    </row>
    <row r="3557" spans="1:11" ht="22" customHeight="1" x14ac:dyDescent="0.35">
      <c r="A3557" s="251"/>
      <c r="B3557" s="252"/>
      <c r="C3557" s="252"/>
      <c r="D3557" s="252"/>
      <c r="E3557" s="252"/>
      <c r="F3557" s="252"/>
      <c r="G3557" s="252"/>
      <c r="H3557" s="252"/>
      <c r="I3557" s="252"/>
      <c r="J3557" s="252"/>
      <c r="K3557" s="253"/>
    </row>
    <row r="3558" spans="1:11" ht="22" customHeight="1" x14ac:dyDescent="0.35">
      <c r="A3558" s="251"/>
      <c r="B3558" s="252"/>
      <c r="C3558" s="252"/>
      <c r="D3558" s="252"/>
      <c r="E3558" s="252"/>
      <c r="F3558" s="252"/>
      <c r="G3558" s="252"/>
      <c r="H3558" s="252"/>
      <c r="I3558" s="252"/>
      <c r="J3558" s="252"/>
      <c r="K3558" s="253"/>
    </row>
    <row r="3559" spans="1:11" ht="22" customHeight="1" x14ac:dyDescent="0.35">
      <c r="A3559" s="251"/>
      <c r="B3559" s="252"/>
      <c r="C3559" s="252"/>
      <c r="D3559" s="252"/>
      <c r="E3559" s="252"/>
      <c r="F3559" s="252"/>
      <c r="G3559" s="252"/>
      <c r="H3559" s="252"/>
      <c r="I3559" s="252"/>
      <c r="J3559" s="252"/>
      <c r="K3559" s="253"/>
    </row>
    <row r="3560" spans="1:11" ht="22" customHeight="1" x14ac:dyDescent="0.35">
      <c r="A3560" s="251"/>
      <c r="B3560" s="252"/>
      <c r="C3560" s="252"/>
      <c r="D3560" s="252"/>
      <c r="E3560" s="252"/>
      <c r="F3560" s="252"/>
      <c r="G3560" s="252"/>
      <c r="H3560" s="252"/>
      <c r="I3560" s="252"/>
      <c r="J3560" s="252"/>
      <c r="K3560" s="253"/>
    </row>
    <row r="3561" spans="1:11" ht="22" customHeight="1" x14ac:dyDescent="0.35">
      <c r="A3561" s="251"/>
      <c r="B3561" s="252"/>
      <c r="C3561" s="252"/>
      <c r="D3561" s="252"/>
      <c r="E3561" s="252"/>
      <c r="F3561" s="252"/>
      <c r="G3561" s="252"/>
      <c r="H3561" s="252"/>
      <c r="I3561" s="252"/>
      <c r="J3561" s="252"/>
      <c r="K3561" s="253"/>
    </row>
    <row r="3562" spans="1:11" ht="22" customHeight="1" x14ac:dyDescent="0.35">
      <c r="A3562" s="251"/>
      <c r="B3562" s="252"/>
      <c r="C3562" s="252"/>
      <c r="D3562" s="252"/>
      <c r="E3562" s="252"/>
      <c r="F3562" s="252"/>
      <c r="G3562" s="252"/>
      <c r="H3562" s="252"/>
      <c r="I3562" s="252"/>
      <c r="J3562" s="252"/>
      <c r="K3562" s="253"/>
    </row>
    <row r="3563" spans="1:11" ht="22" customHeight="1" x14ac:dyDescent="0.35">
      <c r="A3563" s="251"/>
      <c r="B3563" s="252"/>
      <c r="C3563" s="252"/>
      <c r="D3563" s="252"/>
      <c r="E3563" s="252"/>
      <c r="F3563" s="252"/>
      <c r="G3563" s="252"/>
      <c r="H3563" s="252"/>
      <c r="I3563" s="252"/>
      <c r="J3563" s="252"/>
      <c r="K3563" s="253"/>
    </row>
    <row r="3564" spans="1:11" ht="22" customHeight="1" x14ac:dyDescent="0.35">
      <c r="A3564" s="251"/>
      <c r="B3564" s="252"/>
      <c r="C3564" s="252"/>
      <c r="D3564" s="252"/>
      <c r="E3564" s="252"/>
      <c r="F3564" s="252"/>
      <c r="G3564" s="252"/>
      <c r="H3564" s="252"/>
      <c r="I3564" s="252"/>
      <c r="J3564" s="252"/>
      <c r="K3564" s="253"/>
    </row>
    <row r="3565" spans="1:11" ht="22" customHeight="1" x14ac:dyDescent="0.35">
      <c r="A3565" s="251"/>
      <c r="B3565" s="252"/>
      <c r="C3565" s="252"/>
      <c r="D3565" s="252"/>
      <c r="E3565" s="252"/>
      <c r="F3565" s="252"/>
      <c r="G3565" s="252"/>
      <c r="H3565" s="252"/>
      <c r="I3565" s="252"/>
      <c r="J3565" s="252"/>
      <c r="K3565" s="253"/>
    </row>
    <row r="3566" spans="1:11" ht="22" customHeight="1" x14ac:dyDescent="0.35">
      <c r="A3566" s="251"/>
      <c r="B3566" s="252"/>
      <c r="C3566" s="252"/>
      <c r="D3566" s="252"/>
      <c r="E3566" s="252"/>
      <c r="F3566" s="252"/>
      <c r="G3566" s="252"/>
      <c r="H3566" s="252"/>
      <c r="I3566" s="252"/>
      <c r="J3566" s="252"/>
      <c r="K3566" s="253"/>
    </row>
    <row r="3567" spans="1:11" ht="22" customHeight="1" x14ac:dyDescent="0.35">
      <c r="A3567" s="251"/>
      <c r="B3567" s="252"/>
      <c r="C3567" s="252"/>
      <c r="D3567" s="252"/>
      <c r="E3567" s="252"/>
      <c r="F3567" s="252"/>
      <c r="G3567" s="252"/>
      <c r="H3567" s="252"/>
      <c r="I3567" s="252"/>
      <c r="J3567" s="252"/>
      <c r="K3567" s="253"/>
    </row>
    <row r="3568" spans="1:11" ht="22" customHeight="1" x14ac:dyDescent="0.35">
      <c r="A3568" s="251"/>
      <c r="B3568" s="252"/>
      <c r="C3568" s="252"/>
      <c r="D3568" s="252"/>
      <c r="E3568" s="252"/>
      <c r="F3568" s="252"/>
      <c r="G3568" s="252"/>
      <c r="H3568" s="252"/>
      <c r="I3568" s="252"/>
      <c r="J3568" s="252"/>
      <c r="K3568" s="253"/>
    </row>
    <row r="3569" spans="1:11" ht="22" customHeight="1" x14ac:dyDescent="0.35">
      <c r="A3569" s="251"/>
      <c r="B3569" s="252"/>
      <c r="C3569" s="252"/>
      <c r="D3569" s="252"/>
      <c r="E3569" s="252"/>
      <c r="F3569" s="252"/>
      <c r="G3569" s="252"/>
      <c r="H3569" s="252"/>
      <c r="I3569" s="252"/>
      <c r="J3569" s="252"/>
      <c r="K3569" s="253"/>
    </row>
    <row r="3570" spans="1:11" ht="22" customHeight="1" x14ac:dyDescent="0.35">
      <c r="A3570" s="251"/>
      <c r="B3570" s="252"/>
      <c r="C3570" s="252"/>
      <c r="D3570" s="252"/>
      <c r="E3570" s="252"/>
      <c r="F3570" s="252"/>
      <c r="G3570" s="252"/>
      <c r="H3570" s="252"/>
      <c r="I3570" s="252"/>
      <c r="J3570" s="252"/>
      <c r="K3570" s="253"/>
    </row>
    <row r="3571" spans="1:11" ht="22" customHeight="1" x14ac:dyDescent="0.35">
      <c r="A3571" s="251"/>
      <c r="B3571" s="252"/>
      <c r="C3571" s="252"/>
      <c r="D3571" s="252"/>
      <c r="E3571" s="252"/>
      <c r="F3571" s="252"/>
      <c r="G3571" s="252"/>
      <c r="H3571" s="252"/>
      <c r="I3571" s="252"/>
      <c r="J3571" s="252"/>
      <c r="K3571" s="253"/>
    </row>
    <row r="3572" spans="1:11" ht="22" customHeight="1" x14ac:dyDescent="0.35">
      <c r="A3572" s="251"/>
      <c r="B3572" s="252"/>
      <c r="C3572" s="252"/>
      <c r="D3572" s="252"/>
      <c r="E3572" s="252"/>
      <c r="F3572" s="252"/>
      <c r="G3572" s="252"/>
      <c r="H3572" s="252"/>
      <c r="I3572" s="252"/>
      <c r="J3572" s="252"/>
      <c r="K3572" s="253"/>
    </row>
    <row r="3573" spans="1:11" ht="22" customHeight="1" x14ac:dyDescent="0.35">
      <c r="A3573" s="251"/>
      <c r="B3573" s="252"/>
      <c r="C3573" s="252"/>
      <c r="D3573" s="252"/>
      <c r="E3573" s="252"/>
      <c r="F3573" s="252"/>
      <c r="G3573" s="252"/>
      <c r="H3573" s="252"/>
      <c r="I3573" s="252"/>
      <c r="J3573" s="252"/>
      <c r="K3573" s="253"/>
    </row>
    <row r="3574" spans="1:11" ht="22" customHeight="1" x14ac:dyDescent="0.35">
      <c r="A3574" s="251"/>
      <c r="B3574" s="252"/>
      <c r="C3574" s="252"/>
      <c r="D3574" s="252"/>
      <c r="E3574" s="252"/>
      <c r="F3574" s="252"/>
      <c r="G3574" s="252"/>
      <c r="H3574" s="252"/>
      <c r="I3574" s="252"/>
      <c r="J3574" s="252"/>
      <c r="K3574" s="253"/>
    </row>
    <row r="3575" spans="1:11" ht="22" customHeight="1" x14ac:dyDescent="0.35">
      <c r="A3575" s="251"/>
      <c r="B3575" s="252"/>
      <c r="C3575" s="252"/>
      <c r="D3575" s="252"/>
      <c r="E3575" s="252"/>
      <c r="F3575" s="252"/>
      <c r="G3575" s="252"/>
      <c r="H3575" s="252"/>
      <c r="I3575" s="252"/>
      <c r="J3575" s="252"/>
      <c r="K3575" s="253"/>
    </row>
    <row r="3576" spans="1:11" ht="22" customHeight="1" x14ac:dyDescent="0.35">
      <c r="A3576" s="251"/>
      <c r="B3576" s="252"/>
      <c r="C3576" s="252"/>
      <c r="D3576" s="252"/>
      <c r="E3576" s="252"/>
      <c r="F3576" s="252"/>
      <c r="G3576" s="252"/>
      <c r="H3576" s="252"/>
      <c r="I3576" s="252"/>
      <c r="J3576" s="252"/>
      <c r="K3576" s="253"/>
    </row>
    <row r="3577" spans="1:11" ht="22" customHeight="1" x14ac:dyDescent="0.35">
      <c r="A3577" s="251"/>
      <c r="B3577" s="252"/>
      <c r="C3577" s="252"/>
      <c r="D3577" s="252"/>
      <c r="E3577" s="252"/>
      <c r="F3577" s="252"/>
      <c r="G3577" s="252"/>
      <c r="H3577" s="252"/>
      <c r="I3577" s="252"/>
      <c r="J3577" s="252"/>
      <c r="K3577" s="253"/>
    </row>
    <row r="3578" spans="1:11" ht="22" customHeight="1" x14ac:dyDescent="0.35">
      <c r="A3578" s="251"/>
      <c r="B3578" s="252"/>
      <c r="C3578" s="252"/>
      <c r="D3578" s="252"/>
      <c r="E3578" s="252"/>
      <c r="F3578" s="252"/>
      <c r="G3578" s="252"/>
      <c r="H3578" s="252"/>
      <c r="I3578" s="252"/>
      <c r="J3578" s="252"/>
      <c r="K3578" s="253"/>
    </row>
    <row r="3579" spans="1:11" ht="22" customHeight="1" x14ac:dyDescent="0.35">
      <c r="A3579" s="251"/>
      <c r="B3579" s="252"/>
      <c r="C3579" s="252"/>
      <c r="D3579" s="252"/>
      <c r="E3579" s="252"/>
      <c r="F3579" s="252"/>
      <c r="G3579" s="252"/>
      <c r="H3579" s="252"/>
      <c r="I3579" s="252"/>
      <c r="J3579" s="252"/>
      <c r="K3579" s="253"/>
    </row>
    <row r="3580" spans="1:11" ht="22" customHeight="1" x14ac:dyDescent="0.35">
      <c r="A3580" s="251"/>
      <c r="B3580" s="252"/>
      <c r="C3580" s="252"/>
      <c r="D3580" s="252"/>
      <c r="E3580" s="252"/>
      <c r="F3580" s="252"/>
      <c r="G3580" s="252"/>
      <c r="H3580" s="252"/>
      <c r="I3580" s="252"/>
      <c r="J3580" s="252"/>
      <c r="K3580" s="253"/>
    </row>
    <row r="3581" spans="1:11" ht="22" customHeight="1" x14ac:dyDescent="0.35">
      <c r="A3581" s="251"/>
      <c r="B3581" s="252"/>
      <c r="C3581" s="252"/>
      <c r="D3581" s="252"/>
      <c r="E3581" s="252"/>
      <c r="F3581" s="252"/>
      <c r="G3581" s="252"/>
      <c r="H3581" s="252"/>
      <c r="I3581" s="252"/>
      <c r="J3581" s="252"/>
      <c r="K3581" s="253"/>
    </row>
    <row r="3582" spans="1:11" ht="22" customHeight="1" x14ac:dyDescent="0.35">
      <c r="A3582" s="251"/>
      <c r="B3582" s="252"/>
      <c r="C3582" s="252"/>
      <c r="D3582" s="252"/>
      <c r="E3582" s="252"/>
      <c r="F3582" s="252"/>
      <c r="G3582" s="252"/>
      <c r="H3582" s="252"/>
      <c r="I3582" s="252"/>
      <c r="J3582" s="252"/>
      <c r="K3582" s="253"/>
    </row>
    <row r="3583" spans="1:11" ht="22" customHeight="1" x14ac:dyDescent="0.35">
      <c r="A3583" s="251"/>
      <c r="B3583" s="252"/>
      <c r="C3583" s="252"/>
      <c r="D3583" s="252"/>
      <c r="E3583" s="252"/>
      <c r="F3583" s="252"/>
      <c r="G3583" s="252"/>
      <c r="H3583" s="252"/>
      <c r="I3583" s="252"/>
      <c r="J3583" s="252"/>
      <c r="K3583" s="253"/>
    </row>
    <row r="3584" spans="1:11" ht="22" customHeight="1" x14ac:dyDescent="0.35">
      <c r="A3584" s="251"/>
      <c r="B3584" s="252"/>
      <c r="C3584" s="252"/>
      <c r="D3584" s="252"/>
      <c r="E3584" s="252"/>
      <c r="F3584" s="252"/>
      <c r="G3584" s="252"/>
      <c r="H3584" s="252"/>
      <c r="I3584" s="252"/>
      <c r="J3584" s="252"/>
      <c r="K3584" s="253"/>
    </row>
    <row r="3585" spans="1:11" ht="22" customHeight="1" x14ac:dyDescent="0.35">
      <c r="A3585" s="251"/>
      <c r="B3585" s="252"/>
      <c r="C3585" s="252"/>
      <c r="D3585" s="252"/>
      <c r="E3585" s="252"/>
      <c r="F3585" s="252"/>
      <c r="G3585" s="252"/>
      <c r="H3585" s="252"/>
      <c r="I3585" s="252"/>
      <c r="J3585" s="252"/>
      <c r="K3585" s="253"/>
    </row>
    <row r="3586" spans="1:11" ht="22" customHeight="1" x14ac:dyDescent="0.35">
      <c r="A3586" s="251"/>
      <c r="B3586" s="252"/>
      <c r="C3586" s="252"/>
      <c r="D3586" s="252"/>
      <c r="E3586" s="252"/>
      <c r="F3586" s="252"/>
      <c r="G3586" s="252"/>
      <c r="H3586" s="252"/>
      <c r="I3586" s="252"/>
      <c r="J3586" s="252"/>
      <c r="K3586" s="253"/>
    </row>
    <row r="3587" spans="1:11" ht="22" customHeight="1" x14ac:dyDescent="0.35">
      <c r="A3587" s="251"/>
      <c r="B3587" s="252"/>
      <c r="C3587" s="252"/>
      <c r="D3587" s="252"/>
      <c r="E3587" s="252"/>
      <c r="F3587" s="252"/>
      <c r="G3587" s="252"/>
      <c r="H3587" s="252"/>
      <c r="I3587" s="252"/>
      <c r="J3587" s="252"/>
      <c r="K3587" s="253"/>
    </row>
    <row r="3588" spans="1:11" ht="22" customHeight="1" x14ac:dyDescent="0.35">
      <c r="A3588" s="251"/>
      <c r="B3588" s="252"/>
      <c r="C3588" s="252"/>
      <c r="D3588" s="252"/>
      <c r="E3588" s="252"/>
      <c r="F3588" s="252"/>
      <c r="G3588" s="252"/>
      <c r="H3588" s="252"/>
      <c r="I3588" s="252"/>
      <c r="J3588" s="252"/>
      <c r="K3588" s="253"/>
    </row>
    <row r="3589" spans="1:11" ht="22" customHeight="1" x14ac:dyDescent="0.35">
      <c r="A3589" s="251"/>
      <c r="B3589" s="252"/>
      <c r="C3589" s="252"/>
      <c r="D3589" s="252"/>
      <c r="E3589" s="252"/>
      <c r="F3589" s="252"/>
      <c r="G3589" s="252"/>
      <c r="H3589" s="252"/>
      <c r="I3589" s="252"/>
      <c r="J3589" s="252"/>
      <c r="K3589" s="253"/>
    </row>
    <row r="3590" spans="1:11" ht="22" customHeight="1" x14ac:dyDescent="0.35">
      <c r="A3590" s="251"/>
      <c r="B3590" s="252"/>
      <c r="C3590" s="252"/>
      <c r="D3590" s="252"/>
      <c r="E3590" s="252"/>
      <c r="F3590" s="252"/>
      <c r="G3590" s="252"/>
      <c r="H3590" s="252"/>
      <c r="I3590" s="252"/>
      <c r="J3590" s="252"/>
      <c r="K3590" s="253"/>
    </row>
    <row r="3591" spans="1:11" ht="22" customHeight="1" x14ac:dyDescent="0.35">
      <c r="A3591" s="251"/>
      <c r="B3591" s="252"/>
      <c r="C3591" s="252"/>
      <c r="D3591" s="252"/>
      <c r="E3591" s="252"/>
      <c r="F3591" s="252"/>
      <c r="G3591" s="252"/>
      <c r="H3591" s="252"/>
      <c r="I3591" s="252"/>
      <c r="J3591" s="252"/>
      <c r="K3591" s="253"/>
    </row>
    <row r="3592" spans="1:11" ht="22" customHeight="1" x14ac:dyDescent="0.35">
      <c r="A3592" s="251"/>
      <c r="B3592" s="252"/>
      <c r="C3592" s="252"/>
      <c r="D3592" s="252"/>
      <c r="E3592" s="252"/>
      <c r="F3592" s="252"/>
      <c r="G3592" s="252"/>
      <c r="H3592" s="252"/>
      <c r="I3592" s="252"/>
      <c r="J3592" s="252"/>
      <c r="K3592" s="253"/>
    </row>
    <row r="3593" spans="1:11" ht="22" customHeight="1" x14ac:dyDescent="0.35">
      <c r="A3593" s="251"/>
      <c r="B3593" s="252"/>
      <c r="C3593" s="252"/>
      <c r="D3593" s="252"/>
      <c r="E3593" s="252"/>
      <c r="F3593" s="252"/>
      <c r="G3593" s="252"/>
      <c r="H3593" s="252"/>
      <c r="I3593" s="252"/>
      <c r="J3593" s="252"/>
      <c r="K3593" s="253"/>
    </row>
    <row r="3594" spans="1:11" ht="22" customHeight="1" x14ac:dyDescent="0.35">
      <c r="A3594" s="251"/>
      <c r="B3594" s="252"/>
      <c r="C3594" s="252"/>
      <c r="D3594" s="252"/>
      <c r="E3594" s="252"/>
      <c r="F3594" s="252"/>
      <c r="G3594" s="252"/>
      <c r="H3594" s="252"/>
      <c r="I3594" s="252"/>
      <c r="J3594" s="252"/>
      <c r="K3594" s="253"/>
    </row>
    <row r="3595" spans="1:11" ht="22" customHeight="1" x14ac:dyDescent="0.35">
      <c r="A3595" s="251"/>
      <c r="B3595" s="252"/>
      <c r="C3595" s="252"/>
      <c r="D3595" s="252"/>
      <c r="E3595" s="252"/>
      <c r="F3595" s="252"/>
      <c r="G3595" s="252"/>
      <c r="H3595" s="252"/>
      <c r="I3595" s="252"/>
      <c r="J3595" s="252"/>
      <c r="K3595" s="253"/>
    </row>
    <row r="3596" spans="1:11" ht="22" customHeight="1" x14ac:dyDescent="0.35">
      <c r="A3596" s="251"/>
      <c r="B3596" s="252"/>
      <c r="C3596" s="252"/>
      <c r="D3596" s="252"/>
      <c r="E3596" s="252"/>
      <c r="F3596" s="252"/>
      <c r="G3596" s="252"/>
      <c r="H3596" s="252"/>
      <c r="I3596" s="252"/>
      <c r="J3596" s="252"/>
      <c r="K3596" s="253"/>
    </row>
    <row r="3597" spans="1:11" ht="22" customHeight="1" x14ac:dyDescent="0.35">
      <c r="A3597" s="251"/>
      <c r="B3597" s="252"/>
      <c r="C3597" s="252"/>
      <c r="D3597" s="252"/>
      <c r="E3597" s="252"/>
      <c r="F3597" s="252"/>
      <c r="G3597" s="252"/>
      <c r="H3597" s="252"/>
      <c r="I3597" s="252"/>
      <c r="J3597" s="252"/>
      <c r="K3597" s="253"/>
    </row>
    <row r="3598" spans="1:11" ht="22" customHeight="1" x14ac:dyDescent="0.35">
      <c r="A3598" s="251"/>
      <c r="B3598" s="252"/>
      <c r="C3598" s="252"/>
      <c r="D3598" s="252"/>
      <c r="E3598" s="252"/>
      <c r="F3598" s="252"/>
      <c r="G3598" s="252"/>
      <c r="H3598" s="252"/>
      <c r="I3598" s="252"/>
      <c r="J3598" s="252"/>
      <c r="K3598" s="253"/>
    </row>
    <row r="3599" spans="1:11" ht="22" customHeight="1" x14ac:dyDescent="0.35">
      <c r="A3599" s="251"/>
      <c r="B3599" s="252"/>
      <c r="C3599" s="252"/>
      <c r="D3599" s="252"/>
      <c r="E3599" s="252"/>
      <c r="F3599" s="252"/>
      <c r="G3599" s="252"/>
      <c r="H3599" s="252"/>
      <c r="I3599" s="252"/>
      <c r="J3599" s="252"/>
      <c r="K3599" s="253"/>
    </row>
    <row r="3600" spans="1:11" ht="22" customHeight="1" x14ac:dyDescent="0.35">
      <c r="A3600" s="251"/>
      <c r="B3600" s="252"/>
      <c r="C3600" s="252"/>
      <c r="D3600" s="252"/>
      <c r="E3600" s="252"/>
      <c r="F3600" s="252"/>
      <c r="G3600" s="252"/>
      <c r="H3600" s="252"/>
      <c r="I3600" s="252"/>
      <c r="J3600" s="252"/>
      <c r="K3600" s="253"/>
    </row>
    <row r="3601" spans="1:11" ht="22" customHeight="1" x14ac:dyDescent="0.35">
      <c r="A3601" s="251"/>
      <c r="B3601" s="252"/>
      <c r="C3601" s="252"/>
      <c r="D3601" s="252"/>
      <c r="E3601" s="252"/>
      <c r="F3601" s="252"/>
      <c r="G3601" s="252"/>
      <c r="H3601" s="252"/>
      <c r="I3601" s="252"/>
      <c r="J3601" s="252"/>
      <c r="K3601" s="253"/>
    </row>
    <row r="3602" spans="1:11" ht="22" customHeight="1" x14ac:dyDescent="0.35">
      <c r="A3602" s="251"/>
      <c r="B3602" s="252"/>
      <c r="C3602" s="252"/>
      <c r="D3602" s="252"/>
      <c r="E3602" s="252"/>
      <c r="F3602" s="252"/>
      <c r="G3602" s="252"/>
      <c r="H3602" s="252"/>
      <c r="I3602" s="252"/>
      <c r="J3602" s="252"/>
      <c r="K3602" s="253"/>
    </row>
    <row r="3603" spans="1:11" ht="22" customHeight="1" x14ac:dyDescent="0.35">
      <c r="A3603" s="251"/>
      <c r="B3603" s="252"/>
      <c r="C3603" s="252"/>
      <c r="D3603" s="252"/>
      <c r="E3603" s="252"/>
      <c r="F3603" s="252"/>
      <c r="G3603" s="252"/>
      <c r="H3603" s="252"/>
      <c r="I3603" s="252"/>
      <c r="J3603" s="252"/>
      <c r="K3603" s="253"/>
    </row>
    <row r="3604" spans="1:11" ht="22" customHeight="1" x14ac:dyDescent="0.35">
      <c r="A3604" s="251"/>
      <c r="B3604" s="252"/>
      <c r="C3604" s="252"/>
      <c r="D3604" s="252"/>
      <c r="E3604" s="252"/>
      <c r="F3604" s="252"/>
      <c r="G3604" s="252"/>
      <c r="H3604" s="252"/>
      <c r="I3604" s="252"/>
      <c r="J3604" s="252"/>
      <c r="K3604" s="253"/>
    </row>
    <row r="3605" spans="1:11" ht="22" customHeight="1" x14ac:dyDescent="0.35">
      <c r="A3605" s="251"/>
      <c r="B3605" s="252"/>
      <c r="C3605" s="252"/>
      <c r="D3605" s="252"/>
      <c r="E3605" s="252"/>
      <c r="F3605" s="252"/>
      <c r="G3605" s="252"/>
      <c r="H3605" s="252"/>
      <c r="I3605" s="252"/>
      <c r="J3605" s="252"/>
      <c r="K3605" s="253"/>
    </row>
    <row r="3606" spans="1:11" ht="22" customHeight="1" x14ac:dyDescent="0.35">
      <c r="A3606" s="251"/>
      <c r="B3606" s="252"/>
      <c r="C3606" s="252"/>
      <c r="D3606" s="252"/>
      <c r="E3606" s="252"/>
      <c r="F3606" s="252"/>
      <c r="G3606" s="252"/>
      <c r="H3606" s="252"/>
      <c r="I3606" s="252"/>
      <c r="J3606" s="252"/>
      <c r="K3606" s="253"/>
    </row>
    <row r="3607" spans="1:11" ht="22" customHeight="1" x14ac:dyDescent="0.35">
      <c r="A3607" s="251"/>
      <c r="B3607" s="252"/>
      <c r="C3607" s="252"/>
      <c r="D3607" s="252"/>
      <c r="E3607" s="252"/>
      <c r="F3607" s="252"/>
      <c r="G3607" s="252"/>
      <c r="H3607" s="252"/>
      <c r="I3607" s="252"/>
      <c r="J3607" s="252"/>
      <c r="K3607" s="253"/>
    </row>
    <row r="3608" spans="1:11" ht="22" customHeight="1" x14ac:dyDescent="0.35">
      <c r="A3608" s="251"/>
      <c r="B3608" s="252"/>
      <c r="C3608" s="252"/>
      <c r="D3608" s="252"/>
      <c r="E3608" s="252"/>
      <c r="F3608" s="252"/>
      <c r="G3608" s="252"/>
      <c r="H3608" s="252"/>
      <c r="I3608" s="252"/>
      <c r="J3608" s="252"/>
      <c r="K3608" s="253"/>
    </row>
    <row r="3609" spans="1:11" ht="22" customHeight="1" x14ac:dyDescent="0.35">
      <c r="A3609" s="251"/>
      <c r="B3609" s="252"/>
      <c r="C3609" s="252"/>
      <c r="D3609" s="252"/>
      <c r="E3609" s="252"/>
      <c r="F3609" s="252"/>
      <c r="G3609" s="252"/>
      <c r="H3609" s="252"/>
      <c r="I3609" s="252"/>
      <c r="J3609" s="252"/>
      <c r="K3609" s="253"/>
    </row>
    <row r="3610" spans="1:11" ht="22" customHeight="1" x14ac:dyDescent="0.35">
      <c r="A3610" s="251"/>
      <c r="B3610" s="252"/>
      <c r="C3610" s="252"/>
      <c r="D3610" s="252"/>
      <c r="E3610" s="252"/>
      <c r="F3610" s="252"/>
      <c r="G3610" s="252"/>
      <c r="H3610" s="252"/>
      <c r="I3610" s="252"/>
      <c r="J3610" s="252"/>
      <c r="K3610" s="253"/>
    </row>
    <row r="3611" spans="1:11" ht="22" customHeight="1" x14ac:dyDescent="0.35">
      <c r="A3611" s="251"/>
      <c r="B3611" s="252"/>
      <c r="C3611" s="252"/>
      <c r="D3611" s="252"/>
      <c r="E3611" s="252"/>
      <c r="F3611" s="252"/>
      <c r="G3611" s="252"/>
      <c r="H3611" s="252"/>
      <c r="I3611" s="252"/>
      <c r="J3611" s="252"/>
      <c r="K3611" s="253"/>
    </row>
    <row r="3612" spans="1:11" ht="22" customHeight="1" x14ac:dyDescent="0.35">
      <c r="A3612" s="251"/>
      <c r="B3612" s="252"/>
      <c r="C3612" s="252"/>
      <c r="D3612" s="252"/>
      <c r="E3612" s="252"/>
      <c r="F3612" s="252"/>
      <c r="G3612" s="252"/>
      <c r="H3612" s="252"/>
      <c r="I3612" s="252"/>
      <c r="J3612" s="252"/>
      <c r="K3612" s="253"/>
    </row>
    <row r="3613" spans="1:11" ht="22" customHeight="1" x14ac:dyDescent="0.35">
      <c r="A3613" s="251"/>
      <c r="B3613" s="252"/>
      <c r="C3613" s="252"/>
      <c r="D3613" s="252"/>
      <c r="E3613" s="252"/>
      <c r="F3613" s="252"/>
      <c r="G3613" s="252"/>
      <c r="H3613" s="252"/>
      <c r="I3613" s="252"/>
      <c r="J3613" s="252"/>
      <c r="K3613" s="253"/>
    </row>
    <row r="3614" spans="1:11" ht="22" customHeight="1" x14ac:dyDescent="0.35">
      <c r="A3614" s="251"/>
      <c r="B3614" s="252"/>
      <c r="C3614" s="252"/>
      <c r="D3614" s="252"/>
      <c r="E3614" s="252"/>
      <c r="F3614" s="252"/>
      <c r="G3614" s="252"/>
      <c r="H3614" s="252"/>
      <c r="I3614" s="252"/>
      <c r="J3614" s="252"/>
      <c r="K3614" s="253"/>
    </row>
    <row r="3615" spans="1:11" ht="22" customHeight="1" x14ac:dyDescent="0.35">
      <c r="A3615" s="251"/>
      <c r="B3615" s="252"/>
      <c r="C3615" s="252"/>
      <c r="D3615" s="252"/>
      <c r="E3615" s="252"/>
      <c r="F3615" s="252"/>
      <c r="G3615" s="252"/>
      <c r="H3615" s="252"/>
      <c r="I3615" s="252"/>
      <c r="J3615" s="252"/>
      <c r="K3615" s="253"/>
    </row>
    <row r="3616" spans="1:11" ht="22" customHeight="1" x14ac:dyDescent="0.35">
      <c r="A3616" s="251"/>
      <c r="B3616" s="252"/>
      <c r="C3616" s="252"/>
      <c r="D3616" s="252"/>
      <c r="E3616" s="252"/>
      <c r="F3616" s="252"/>
      <c r="G3616" s="252"/>
      <c r="H3616" s="252"/>
      <c r="I3616" s="252"/>
      <c r="J3616" s="252"/>
      <c r="K3616" s="253"/>
    </row>
    <row r="3617" spans="1:11" ht="22" customHeight="1" x14ac:dyDescent="0.35">
      <c r="A3617" s="251"/>
      <c r="B3617" s="252"/>
      <c r="C3617" s="252"/>
      <c r="D3617" s="252"/>
      <c r="E3617" s="252"/>
      <c r="F3617" s="252"/>
      <c r="G3617" s="252"/>
      <c r="H3617" s="252"/>
      <c r="I3617" s="252"/>
      <c r="J3617" s="252"/>
      <c r="K3617" s="253"/>
    </row>
    <row r="3618" spans="1:11" ht="22" customHeight="1" x14ac:dyDescent="0.35">
      <c r="A3618" s="251"/>
      <c r="B3618" s="252"/>
      <c r="C3618" s="252"/>
      <c r="D3618" s="252"/>
      <c r="E3618" s="252"/>
      <c r="F3618" s="252"/>
      <c r="G3618" s="252"/>
      <c r="H3618" s="252"/>
      <c r="I3618" s="252"/>
      <c r="J3618" s="252"/>
      <c r="K3618" s="253"/>
    </row>
    <row r="3619" spans="1:11" ht="22" customHeight="1" x14ac:dyDescent="0.35">
      <c r="A3619" s="251"/>
      <c r="B3619" s="252"/>
      <c r="C3619" s="252"/>
      <c r="D3619" s="252"/>
      <c r="E3619" s="252"/>
      <c r="F3619" s="252"/>
      <c r="G3619" s="252"/>
      <c r="H3619" s="252"/>
      <c r="I3619" s="252"/>
      <c r="J3619" s="252"/>
      <c r="K3619" s="253"/>
    </row>
    <row r="3620" spans="1:11" ht="22" customHeight="1" x14ac:dyDescent="0.35">
      <c r="A3620" s="251"/>
      <c r="B3620" s="252"/>
      <c r="C3620" s="252"/>
      <c r="D3620" s="252"/>
      <c r="E3620" s="252"/>
      <c r="F3620" s="252"/>
      <c r="G3620" s="252"/>
      <c r="H3620" s="252"/>
      <c r="I3620" s="252"/>
      <c r="J3620" s="252"/>
      <c r="K3620" s="253"/>
    </row>
    <row r="3621" spans="1:11" ht="22" customHeight="1" x14ac:dyDescent="0.35">
      <c r="A3621" s="251"/>
      <c r="B3621" s="252"/>
      <c r="C3621" s="252"/>
      <c r="D3621" s="252"/>
      <c r="E3621" s="252"/>
      <c r="F3621" s="252"/>
      <c r="G3621" s="252"/>
      <c r="H3621" s="252"/>
      <c r="I3621" s="252"/>
      <c r="J3621" s="252"/>
      <c r="K3621" s="253"/>
    </row>
    <row r="3622" spans="1:11" ht="22" customHeight="1" x14ac:dyDescent="0.35">
      <c r="A3622" s="251"/>
      <c r="B3622" s="252"/>
      <c r="C3622" s="252"/>
      <c r="D3622" s="252"/>
      <c r="E3622" s="252"/>
      <c r="F3622" s="252"/>
      <c r="G3622" s="252"/>
      <c r="H3622" s="252"/>
      <c r="I3622" s="252"/>
      <c r="J3622" s="252"/>
      <c r="K3622" s="253"/>
    </row>
    <row r="3623" spans="1:11" ht="22" customHeight="1" x14ac:dyDescent="0.35">
      <c r="A3623" s="251"/>
      <c r="B3623" s="252"/>
      <c r="C3623" s="252"/>
      <c r="D3623" s="252"/>
      <c r="E3623" s="252"/>
      <c r="F3623" s="252"/>
      <c r="G3623" s="252"/>
      <c r="H3623" s="252"/>
      <c r="I3623" s="252"/>
      <c r="J3623" s="252"/>
      <c r="K3623" s="253"/>
    </row>
    <row r="3624" spans="1:11" ht="22" customHeight="1" x14ac:dyDescent="0.35">
      <c r="A3624" s="251"/>
      <c r="B3624" s="252"/>
      <c r="C3624" s="252"/>
      <c r="D3624" s="252"/>
      <c r="E3624" s="252"/>
      <c r="F3624" s="252"/>
      <c r="G3624" s="252"/>
      <c r="H3624" s="252"/>
      <c r="I3624" s="252"/>
      <c r="J3624" s="252"/>
      <c r="K3624" s="253"/>
    </row>
    <row r="3625" spans="1:11" ht="22" customHeight="1" x14ac:dyDescent="0.35">
      <c r="A3625" s="251"/>
      <c r="B3625" s="252"/>
      <c r="C3625" s="252"/>
      <c r="D3625" s="252"/>
      <c r="E3625" s="252"/>
      <c r="F3625" s="252"/>
      <c r="G3625" s="252"/>
      <c r="H3625" s="252"/>
      <c r="I3625" s="252"/>
      <c r="J3625" s="252"/>
      <c r="K3625" s="253"/>
    </row>
    <row r="3626" spans="1:11" ht="22" customHeight="1" x14ac:dyDescent="0.35">
      <c r="A3626" s="251"/>
      <c r="B3626" s="252"/>
      <c r="C3626" s="252"/>
      <c r="D3626" s="252"/>
      <c r="E3626" s="252"/>
      <c r="F3626" s="252"/>
      <c r="G3626" s="252"/>
      <c r="H3626" s="252"/>
      <c r="I3626" s="252"/>
      <c r="J3626" s="252"/>
      <c r="K3626" s="253"/>
    </row>
    <row r="3627" spans="1:11" ht="22" customHeight="1" x14ac:dyDescent="0.35">
      <c r="A3627" s="251"/>
      <c r="B3627" s="252"/>
      <c r="C3627" s="252"/>
      <c r="D3627" s="252"/>
      <c r="E3627" s="252"/>
      <c r="F3627" s="252"/>
      <c r="G3627" s="252"/>
      <c r="H3627" s="252"/>
      <c r="I3627" s="252"/>
      <c r="J3627" s="252"/>
      <c r="K3627" s="253"/>
    </row>
    <row r="3628" spans="1:11" ht="22" customHeight="1" x14ac:dyDescent="0.35">
      <c r="A3628" s="251"/>
      <c r="B3628" s="252"/>
      <c r="C3628" s="252"/>
      <c r="D3628" s="252"/>
      <c r="E3628" s="252"/>
      <c r="F3628" s="252"/>
      <c r="G3628" s="252"/>
      <c r="H3628" s="252"/>
      <c r="I3628" s="252"/>
      <c r="J3628" s="252"/>
      <c r="K3628" s="253"/>
    </row>
    <row r="3629" spans="1:11" ht="22" customHeight="1" x14ac:dyDescent="0.35">
      <c r="A3629" s="251"/>
      <c r="B3629" s="252"/>
      <c r="C3629" s="252"/>
      <c r="D3629" s="252"/>
      <c r="E3629" s="252"/>
      <c r="F3629" s="252"/>
      <c r="G3629" s="252"/>
      <c r="H3629" s="252"/>
      <c r="I3629" s="252"/>
      <c r="J3629" s="252"/>
      <c r="K3629" s="253"/>
    </row>
    <row r="3630" spans="1:11" ht="22" customHeight="1" x14ac:dyDescent="0.35">
      <c r="A3630" s="251"/>
      <c r="B3630" s="252"/>
      <c r="C3630" s="252"/>
      <c r="D3630" s="252"/>
      <c r="E3630" s="252"/>
      <c r="F3630" s="252"/>
      <c r="G3630" s="252"/>
      <c r="H3630" s="252"/>
      <c r="I3630" s="252"/>
      <c r="J3630" s="252"/>
      <c r="K3630" s="253"/>
    </row>
    <row r="3631" spans="1:11" ht="22" customHeight="1" x14ac:dyDescent="0.35">
      <c r="A3631" s="251"/>
      <c r="B3631" s="252"/>
      <c r="C3631" s="252"/>
      <c r="D3631" s="252"/>
      <c r="E3631" s="252"/>
      <c r="F3631" s="252"/>
      <c r="G3631" s="252"/>
      <c r="H3631" s="252"/>
      <c r="I3631" s="252"/>
      <c r="J3631" s="252"/>
      <c r="K3631" s="253"/>
    </row>
    <row r="3632" spans="1:11" ht="22" customHeight="1" x14ac:dyDescent="0.35">
      <c r="A3632" s="251"/>
      <c r="B3632" s="252"/>
      <c r="C3632" s="252"/>
      <c r="D3632" s="252"/>
      <c r="E3632" s="252"/>
      <c r="F3632" s="252"/>
      <c r="G3632" s="252"/>
      <c r="H3632" s="252"/>
      <c r="I3632" s="252"/>
      <c r="J3632" s="252"/>
      <c r="K3632" s="253"/>
    </row>
    <row r="3633" spans="1:11" ht="22" customHeight="1" x14ac:dyDescent="0.35">
      <c r="A3633" s="251"/>
      <c r="B3633" s="252"/>
      <c r="C3633" s="252"/>
      <c r="D3633" s="252"/>
      <c r="E3633" s="252"/>
      <c r="F3633" s="252"/>
      <c r="G3633" s="252"/>
      <c r="H3633" s="252"/>
      <c r="I3633" s="252"/>
      <c r="J3633" s="252"/>
      <c r="K3633" s="253"/>
    </row>
    <row r="3634" spans="1:11" ht="22" customHeight="1" x14ac:dyDescent="0.35">
      <c r="A3634" s="251"/>
      <c r="B3634" s="252"/>
      <c r="C3634" s="252"/>
      <c r="D3634" s="252"/>
      <c r="E3634" s="252"/>
      <c r="F3634" s="252"/>
      <c r="G3634" s="252"/>
      <c r="H3634" s="252"/>
      <c r="I3634" s="252"/>
      <c r="J3634" s="252"/>
      <c r="K3634" s="253"/>
    </row>
    <row r="3635" spans="1:11" ht="22" customHeight="1" x14ac:dyDescent="0.35">
      <c r="A3635" s="251"/>
      <c r="B3635" s="252"/>
      <c r="C3635" s="252"/>
      <c r="D3635" s="252"/>
      <c r="E3635" s="252"/>
      <c r="F3635" s="252"/>
      <c r="G3635" s="252"/>
      <c r="H3635" s="252"/>
      <c r="I3635" s="252"/>
      <c r="J3635" s="252"/>
      <c r="K3635" s="253"/>
    </row>
    <row r="3636" spans="1:11" ht="22" customHeight="1" x14ac:dyDescent="0.35">
      <c r="A3636" s="251"/>
      <c r="B3636" s="252"/>
      <c r="C3636" s="252"/>
      <c r="D3636" s="252"/>
      <c r="E3636" s="252"/>
      <c r="F3636" s="252"/>
      <c r="G3636" s="252"/>
      <c r="H3636" s="252"/>
      <c r="I3636" s="252"/>
      <c r="J3636" s="252"/>
      <c r="K3636" s="253"/>
    </row>
    <row r="3637" spans="1:11" ht="22" customHeight="1" x14ac:dyDescent="0.35">
      <c r="A3637" s="251"/>
      <c r="B3637" s="252"/>
      <c r="C3637" s="252"/>
      <c r="D3637" s="252"/>
      <c r="E3637" s="252"/>
      <c r="F3637" s="252"/>
      <c r="G3637" s="252"/>
      <c r="H3637" s="252"/>
      <c r="I3637" s="252"/>
      <c r="J3637" s="252"/>
      <c r="K3637" s="253"/>
    </row>
    <row r="3638" spans="1:11" ht="22" customHeight="1" x14ac:dyDescent="0.35">
      <c r="A3638" s="251"/>
      <c r="B3638" s="252"/>
      <c r="C3638" s="252"/>
      <c r="D3638" s="252"/>
      <c r="E3638" s="252"/>
      <c r="F3638" s="252"/>
      <c r="G3638" s="252"/>
      <c r="H3638" s="252"/>
      <c r="I3638" s="252"/>
      <c r="J3638" s="252"/>
      <c r="K3638" s="253"/>
    </row>
    <row r="3639" spans="1:11" ht="22" customHeight="1" x14ac:dyDescent="0.35">
      <c r="A3639" s="251"/>
      <c r="B3639" s="252"/>
      <c r="C3639" s="252"/>
      <c r="D3639" s="252"/>
      <c r="E3639" s="252"/>
      <c r="F3639" s="252"/>
      <c r="G3639" s="252"/>
      <c r="H3639" s="252"/>
      <c r="I3639" s="252"/>
      <c r="J3639" s="252"/>
      <c r="K3639" s="253"/>
    </row>
    <row r="3640" spans="1:11" ht="22" customHeight="1" x14ac:dyDescent="0.35">
      <c r="A3640" s="251"/>
      <c r="B3640" s="252"/>
      <c r="C3640" s="252"/>
      <c r="D3640" s="252"/>
      <c r="E3640" s="252"/>
      <c r="F3640" s="252"/>
      <c r="G3640" s="252"/>
      <c r="H3640" s="252"/>
      <c r="I3640" s="252"/>
      <c r="J3640" s="252"/>
      <c r="K3640" s="253"/>
    </row>
    <row r="3641" spans="1:11" ht="22" customHeight="1" x14ac:dyDescent="0.35">
      <c r="A3641" s="251"/>
      <c r="B3641" s="252"/>
      <c r="C3641" s="252"/>
      <c r="D3641" s="252"/>
      <c r="E3641" s="252"/>
      <c r="F3641" s="252"/>
      <c r="G3641" s="252"/>
      <c r="H3641" s="252"/>
      <c r="I3641" s="252"/>
      <c r="J3641" s="252"/>
      <c r="K3641" s="253"/>
    </row>
    <row r="3642" spans="1:11" ht="22" customHeight="1" x14ac:dyDescent="0.35">
      <c r="A3642" s="251"/>
      <c r="B3642" s="252"/>
      <c r="C3642" s="252"/>
      <c r="D3642" s="252"/>
      <c r="E3642" s="252"/>
      <c r="F3642" s="252"/>
      <c r="G3642" s="252"/>
      <c r="H3642" s="252"/>
      <c r="I3642" s="252"/>
      <c r="J3642" s="252"/>
      <c r="K3642" s="253"/>
    </row>
    <row r="3643" spans="1:11" ht="22" customHeight="1" x14ac:dyDescent="0.35">
      <c r="A3643" s="251"/>
      <c r="B3643" s="252"/>
      <c r="C3643" s="252"/>
      <c r="D3643" s="252"/>
      <c r="E3643" s="252"/>
      <c r="F3643" s="252"/>
      <c r="G3643" s="252"/>
      <c r="H3643" s="252"/>
      <c r="I3643" s="252"/>
      <c r="J3643" s="252"/>
      <c r="K3643" s="253"/>
    </row>
    <row r="3644" spans="1:11" ht="22" customHeight="1" x14ac:dyDescent="0.35">
      <c r="A3644" s="251"/>
      <c r="B3644" s="252"/>
      <c r="C3644" s="252"/>
      <c r="D3644" s="252"/>
      <c r="E3644" s="252"/>
      <c r="F3644" s="252"/>
      <c r="G3644" s="252"/>
      <c r="H3644" s="252"/>
      <c r="I3644" s="252"/>
      <c r="J3644" s="252"/>
      <c r="K3644" s="253"/>
    </row>
    <row r="3645" spans="1:11" ht="22" customHeight="1" x14ac:dyDescent="0.35">
      <c r="A3645" s="251"/>
      <c r="B3645" s="252"/>
      <c r="C3645" s="252"/>
      <c r="D3645" s="252"/>
      <c r="E3645" s="252"/>
      <c r="F3645" s="252"/>
      <c r="G3645" s="252"/>
      <c r="H3645" s="252"/>
      <c r="I3645" s="252"/>
      <c r="J3645" s="252"/>
      <c r="K3645" s="253"/>
    </row>
    <row r="3646" spans="1:11" ht="22" customHeight="1" x14ac:dyDescent="0.35">
      <c r="A3646" s="251"/>
      <c r="B3646" s="252"/>
      <c r="C3646" s="252"/>
      <c r="D3646" s="252"/>
      <c r="E3646" s="252"/>
      <c r="F3646" s="252"/>
      <c r="G3646" s="252"/>
      <c r="H3646" s="252"/>
      <c r="I3646" s="252"/>
      <c r="J3646" s="252"/>
      <c r="K3646" s="253"/>
    </row>
    <row r="3647" spans="1:11" ht="22" customHeight="1" x14ac:dyDescent="0.35">
      <c r="A3647" s="251"/>
      <c r="B3647" s="252"/>
      <c r="C3647" s="252"/>
      <c r="D3647" s="252"/>
      <c r="E3647" s="252"/>
      <c r="F3647" s="252"/>
      <c r="G3647" s="252"/>
      <c r="H3647" s="252"/>
      <c r="I3647" s="252"/>
      <c r="J3647" s="252"/>
      <c r="K3647" s="253"/>
    </row>
    <row r="3648" spans="1:11" ht="22" customHeight="1" x14ac:dyDescent="0.35">
      <c r="A3648" s="251"/>
      <c r="B3648" s="252"/>
      <c r="C3648" s="252"/>
      <c r="D3648" s="252"/>
      <c r="E3648" s="252"/>
      <c r="F3648" s="252"/>
      <c r="G3648" s="252"/>
      <c r="H3648" s="252"/>
      <c r="I3648" s="252"/>
      <c r="J3648" s="252"/>
      <c r="K3648" s="253"/>
    </row>
    <row r="3649" spans="1:11" ht="22" customHeight="1" x14ac:dyDescent="0.35">
      <c r="A3649" s="251"/>
      <c r="B3649" s="252"/>
      <c r="C3649" s="252"/>
      <c r="D3649" s="252"/>
      <c r="E3649" s="252"/>
      <c r="F3649" s="252"/>
      <c r="G3649" s="252"/>
      <c r="H3649" s="252"/>
      <c r="I3649" s="252"/>
      <c r="J3649" s="252"/>
      <c r="K3649" s="253"/>
    </row>
    <row r="3650" spans="1:11" ht="22" customHeight="1" x14ac:dyDescent="0.35">
      <c r="A3650" s="251"/>
      <c r="B3650" s="252"/>
      <c r="C3650" s="252"/>
      <c r="D3650" s="252"/>
      <c r="E3650" s="252"/>
      <c r="F3650" s="252"/>
      <c r="G3650" s="252"/>
      <c r="H3650" s="252"/>
      <c r="I3650" s="252"/>
      <c r="J3650" s="252"/>
      <c r="K3650" s="253"/>
    </row>
    <row r="3651" spans="1:11" ht="22" customHeight="1" x14ac:dyDescent="0.35">
      <c r="A3651" s="251"/>
      <c r="B3651" s="252"/>
      <c r="C3651" s="252"/>
      <c r="D3651" s="252"/>
      <c r="E3651" s="252"/>
      <c r="F3651" s="252"/>
      <c r="G3651" s="252"/>
      <c r="H3651" s="252"/>
      <c r="I3651" s="252"/>
      <c r="J3651" s="252"/>
      <c r="K3651" s="253"/>
    </row>
    <row r="3652" spans="1:11" ht="22" customHeight="1" x14ac:dyDescent="0.35">
      <c r="A3652" s="251"/>
      <c r="B3652" s="252"/>
      <c r="C3652" s="252"/>
      <c r="D3652" s="252"/>
      <c r="E3652" s="252"/>
      <c r="F3652" s="252"/>
      <c r="G3652" s="252"/>
      <c r="H3652" s="252"/>
      <c r="I3652" s="252"/>
      <c r="J3652" s="252"/>
      <c r="K3652" s="253"/>
    </row>
    <row r="3653" spans="1:11" ht="22" customHeight="1" x14ac:dyDescent="0.35">
      <c r="A3653" s="251"/>
      <c r="B3653" s="252"/>
      <c r="C3653" s="252"/>
      <c r="D3653" s="252"/>
      <c r="E3653" s="252"/>
      <c r="F3653" s="252"/>
      <c r="G3653" s="252"/>
      <c r="H3653" s="252"/>
      <c r="I3653" s="252"/>
      <c r="J3653" s="252"/>
      <c r="K3653" s="253"/>
    </row>
    <row r="3654" spans="1:11" ht="22" customHeight="1" x14ac:dyDescent="0.35">
      <c r="A3654" s="251"/>
      <c r="B3654" s="252"/>
      <c r="C3654" s="252"/>
      <c r="D3654" s="252"/>
      <c r="E3654" s="252"/>
      <c r="F3654" s="252"/>
      <c r="G3654" s="252"/>
      <c r="H3654" s="252"/>
      <c r="I3654" s="252"/>
      <c r="J3654" s="252"/>
      <c r="K3654" s="253"/>
    </row>
    <row r="3655" spans="1:11" ht="22" customHeight="1" x14ac:dyDescent="0.35">
      <c r="A3655" s="251"/>
      <c r="B3655" s="252"/>
      <c r="C3655" s="252"/>
      <c r="D3655" s="252"/>
      <c r="E3655" s="252"/>
      <c r="F3655" s="252"/>
      <c r="G3655" s="252"/>
      <c r="H3655" s="252"/>
      <c r="I3655" s="252"/>
      <c r="J3655" s="252"/>
      <c r="K3655" s="253"/>
    </row>
    <row r="3656" spans="1:11" ht="22" customHeight="1" x14ac:dyDescent="0.35">
      <c r="A3656" s="251"/>
      <c r="B3656" s="252"/>
      <c r="C3656" s="252"/>
      <c r="D3656" s="252"/>
      <c r="E3656" s="252"/>
      <c r="F3656" s="252"/>
      <c r="G3656" s="252"/>
      <c r="H3656" s="252"/>
      <c r="I3656" s="252"/>
      <c r="J3656" s="252"/>
      <c r="K3656" s="253"/>
    </row>
    <row r="3657" spans="1:11" ht="22" customHeight="1" x14ac:dyDescent="0.35">
      <c r="A3657" s="251"/>
      <c r="B3657" s="252"/>
      <c r="C3657" s="252"/>
      <c r="D3657" s="252"/>
      <c r="E3657" s="252"/>
      <c r="F3657" s="252"/>
      <c r="G3657" s="252"/>
      <c r="H3657" s="252"/>
      <c r="I3657" s="252"/>
      <c r="J3657" s="252"/>
      <c r="K3657" s="253"/>
    </row>
    <row r="3658" spans="1:11" ht="22" customHeight="1" x14ac:dyDescent="0.35">
      <c r="A3658" s="251"/>
      <c r="B3658" s="252"/>
      <c r="C3658" s="252"/>
      <c r="D3658" s="252"/>
      <c r="E3658" s="252"/>
      <c r="F3658" s="252"/>
      <c r="G3658" s="252"/>
      <c r="H3658" s="252"/>
      <c r="I3658" s="252"/>
      <c r="J3658" s="252"/>
      <c r="K3658" s="253"/>
    </row>
    <row r="3659" spans="1:11" ht="22" customHeight="1" x14ac:dyDescent="0.35">
      <c r="A3659" s="251"/>
      <c r="B3659" s="252"/>
      <c r="C3659" s="252"/>
      <c r="D3659" s="252"/>
      <c r="E3659" s="252"/>
      <c r="F3659" s="252"/>
      <c r="G3659" s="252"/>
      <c r="H3659" s="252"/>
      <c r="I3659" s="252"/>
      <c r="J3659" s="252"/>
      <c r="K3659" s="253"/>
    </row>
    <row r="3660" spans="1:11" ht="22" customHeight="1" x14ac:dyDescent="0.35">
      <c r="A3660" s="251"/>
      <c r="B3660" s="252"/>
      <c r="C3660" s="252"/>
      <c r="D3660" s="252"/>
      <c r="E3660" s="252"/>
      <c r="F3660" s="252"/>
      <c r="G3660" s="252"/>
      <c r="H3660" s="252"/>
      <c r="I3660" s="252"/>
      <c r="J3660" s="252"/>
      <c r="K3660" s="253"/>
    </row>
    <row r="3661" spans="1:11" ht="22" customHeight="1" x14ac:dyDescent="0.35">
      <c r="A3661" s="251"/>
      <c r="B3661" s="252"/>
      <c r="C3661" s="252"/>
      <c r="D3661" s="252"/>
      <c r="E3661" s="252"/>
      <c r="F3661" s="252"/>
      <c r="G3661" s="252"/>
      <c r="H3661" s="252"/>
      <c r="I3661" s="252"/>
      <c r="J3661" s="252"/>
      <c r="K3661" s="253"/>
    </row>
    <row r="3662" spans="1:11" ht="22" customHeight="1" x14ac:dyDescent="0.35">
      <c r="A3662" s="251"/>
      <c r="B3662" s="252"/>
      <c r="C3662" s="252"/>
      <c r="D3662" s="252"/>
      <c r="E3662" s="252"/>
      <c r="F3662" s="252"/>
      <c r="G3662" s="252"/>
      <c r="H3662" s="252"/>
      <c r="I3662" s="252"/>
      <c r="J3662" s="252"/>
      <c r="K3662" s="253"/>
    </row>
    <row r="3663" spans="1:11" ht="22" customHeight="1" x14ac:dyDescent="0.35">
      <c r="A3663" s="251"/>
      <c r="B3663" s="252"/>
      <c r="C3663" s="252"/>
      <c r="D3663" s="252"/>
      <c r="E3663" s="252"/>
      <c r="F3663" s="252"/>
      <c r="G3663" s="252"/>
      <c r="H3663" s="252"/>
      <c r="I3663" s="252"/>
      <c r="J3663" s="252"/>
      <c r="K3663" s="253"/>
    </row>
    <row r="3664" spans="1:11" ht="22" customHeight="1" x14ac:dyDescent="0.35">
      <c r="A3664" s="251"/>
      <c r="B3664" s="252"/>
      <c r="C3664" s="252"/>
      <c r="D3664" s="252"/>
      <c r="E3664" s="252"/>
      <c r="F3664" s="252"/>
      <c r="G3664" s="252"/>
      <c r="H3664" s="252"/>
      <c r="I3664" s="252"/>
      <c r="J3664" s="252"/>
      <c r="K3664" s="253"/>
    </row>
    <row r="3665" spans="1:11" ht="22" customHeight="1" x14ac:dyDescent="0.35">
      <c r="A3665" s="251"/>
      <c r="B3665" s="252"/>
      <c r="C3665" s="252"/>
      <c r="D3665" s="252"/>
      <c r="E3665" s="252"/>
      <c r="F3665" s="252"/>
      <c r="G3665" s="252"/>
      <c r="H3665" s="252"/>
      <c r="I3665" s="252"/>
      <c r="J3665" s="252"/>
      <c r="K3665" s="253"/>
    </row>
    <row r="3666" spans="1:11" ht="22" customHeight="1" x14ac:dyDescent="0.35">
      <c r="A3666" s="251"/>
      <c r="B3666" s="252"/>
      <c r="C3666" s="252"/>
      <c r="D3666" s="252"/>
      <c r="E3666" s="252"/>
      <c r="F3666" s="252"/>
      <c r="G3666" s="252"/>
      <c r="H3666" s="252"/>
      <c r="I3666" s="252"/>
      <c r="J3666" s="252"/>
      <c r="K3666" s="253"/>
    </row>
    <row r="3667" spans="1:11" ht="22" customHeight="1" x14ac:dyDescent="0.35">
      <c r="A3667" s="251"/>
      <c r="B3667" s="252"/>
      <c r="C3667" s="252"/>
      <c r="D3667" s="252"/>
      <c r="E3667" s="252"/>
      <c r="F3667" s="252"/>
      <c r="G3667" s="252"/>
      <c r="H3667" s="252"/>
      <c r="I3667" s="252"/>
      <c r="J3667" s="252"/>
      <c r="K3667" s="253"/>
    </row>
    <row r="3668" spans="1:11" ht="22" customHeight="1" x14ac:dyDescent="0.35">
      <c r="A3668" s="251"/>
      <c r="B3668" s="252"/>
      <c r="C3668" s="252"/>
      <c r="D3668" s="252"/>
      <c r="E3668" s="252"/>
      <c r="F3668" s="252"/>
      <c r="G3668" s="252"/>
      <c r="H3668" s="252"/>
      <c r="I3668" s="252"/>
      <c r="J3668" s="252"/>
      <c r="K3668" s="253"/>
    </row>
    <row r="3669" spans="1:11" ht="22" customHeight="1" x14ac:dyDescent="0.35">
      <c r="A3669" s="251"/>
      <c r="B3669" s="252"/>
      <c r="C3669" s="252"/>
      <c r="D3669" s="252"/>
      <c r="E3669" s="252"/>
      <c r="F3669" s="252"/>
      <c r="G3669" s="252"/>
      <c r="H3669" s="252"/>
      <c r="I3669" s="252"/>
      <c r="J3669" s="252"/>
      <c r="K3669" s="253"/>
    </row>
    <row r="3670" spans="1:11" ht="22" customHeight="1" x14ac:dyDescent="0.35">
      <c r="A3670" s="251"/>
      <c r="B3670" s="252"/>
      <c r="C3670" s="252"/>
      <c r="D3670" s="252"/>
      <c r="E3670" s="252"/>
      <c r="F3670" s="252"/>
      <c r="G3670" s="252"/>
      <c r="H3670" s="252"/>
      <c r="I3670" s="252"/>
      <c r="J3670" s="252"/>
      <c r="K3670" s="253"/>
    </row>
    <row r="3671" spans="1:11" ht="22" customHeight="1" x14ac:dyDescent="0.35">
      <c r="A3671" s="251"/>
      <c r="B3671" s="252"/>
      <c r="C3671" s="252"/>
      <c r="D3671" s="252"/>
      <c r="E3671" s="252"/>
      <c r="F3671" s="252"/>
      <c r="G3671" s="252"/>
      <c r="H3671" s="252"/>
      <c r="I3671" s="252"/>
      <c r="J3671" s="252"/>
      <c r="K3671" s="253"/>
    </row>
    <row r="3672" spans="1:11" ht="22" customHeight="1" x14ac:dyDescent="0.35">
      <c r="A3672" s="251"/>
      <c r="B3672" s="252"/>
      <c r="C3672" s="252"/>
      <c r="D3672" s="252"/>
      <c r="E3672" s="252"/>
      <c r="F3672" s="252"/>
      <c r="G3672" s="252"/>
      <c r="H3672" s="252"/>
      <c r="I3672" s="252"/>
      <c r="J3672" s="252"/>
      <c r="K3672" s="253"/>
    </row>
    <row r="3673" spans="1:11" ht="22" customHeight="1" x14ac:dyDescent="0.35">
      <c r="A3673" s="251"/>
      <c r="B3673" s="252"/>
      <c r="C3673" s="252"/>
      <c r="D3673" s="252"/>
      <c r="E3673" s="252"/>
      <c r="F3673" s="252"/>
      <c r="G3673" s="252"/>
      <c r="H3673" s="252"/>
      <c r="I3673" s="252"/>
      <c r="J3673" s="252"/>
      <c r="K3673" s="253"/>
    </row>
    <row r="3674" spans="1:11" ht="22" customHeight="1" x14ac:dyDescent="0.35">
      <c r="A3674" s="251"/>
      <c r="B3674" s="252"/>
      <c r="C3674" s="252"/>
      <c r="D3674" s="252"/>
      <c r="E3674" s="252"/>
      <c r="F3674" s="252"/>
      <c r="G3674" s="252"/>
      <c r="H3674" s="252"/>
      <c r="I3674" s="252"/>
      <c r="J3674" s="252"/>
      <c r="K3674" s="253"/>
    </row>
    <row r="3675" spans="1:11" ht="22" customHeight="1" x14ac:dyDescent="0.35">
      <c r="A3675" s="251"/>
      <c r="B3675" s="252"/>
      <c r="C3675" s="252"/>
      <c r="D3675" s="252"/>
      <c r="E3675" s="252"/>
      <c r="F3675" s="252"/>
      <c r="G3675" s="252"/>
      <c r="H3675" s="252"/>
      <c r="I3675" s="252"/>
      <c r="J3675" s="252"/>
      <c r="K3675" s="253"/>
    </row>
    <row r="3676" spans="1:11" ht="22" customHeight="1" x14ac:dyDescent="0.35">
      <c r="A3676" s="251"/>
      <c r="B3676" s="252"/>
      <c r="C3676" s="252"/>
      <c r="D3676" s="252"/>
      <c r="E3676" s="252"/>
      <c r="F3676" s="252"/>
      <c r="G3676" s="252"/>
      <c r="H3676" s="252"/>
      <c r="I3676" s="252"/>
      <c r="J3676" s="252"/>
      <c r="K3676" s="253"/>
    </row>
    <row r="3677" spans="1:11" ht="22" customHeight="1" x14ac:dyDescent="0.35">
      <c r="A3677" s="251"/>
      <c r="B3677" s="252"/>
      <c r="C3677" s="252"/>
      <c r="D3677" s="252"/>
      <c r="E3677" s="252"/>
      <c r="F3677" s="252"/>
      <c r="G3677" s="252"/>
      <c r="H3677" s="252"/>
      <c r="I3677" s="252"/>
      <c r="J3677" s="252"/>
      <c r="K3677" s="253"/>
    </row>
    <row r="3678" spans="1:11" ht="22" customHeight="1" x14ac:dyDescent="0.35">
      <c r="A3678" s="251"/>
      <c r="B3678" s="252"/>
      <c r="C3678" s="252"/>
      <c r="D3678" s="252"/>
      <c r="E3678" s="252"/>
      <c r="F3678" s="252"/>
      <c r="G3678" s="252"/>
      <c r="H3678" s="252"/>
      <c r="I3678" s="252"/>
      <c r="J3678" s="252"/>
      <c r="K3678" s="253"/>
    </row>
    <row r="3679" spans="1:11" ht="22" customHeight="1" x14ac:dyDescent="0.35">
      <c r="A3679" s="251"/>
      <c r="B3679" s="252"/>
      <c r="C3679" s="252"/>
      <c r="D3679" s="252"/>
      <c r="E3679" s="252"/>
      <c r="F3679" s="252"/>
      <c r="G3679" s="252"/>
      <c r="H3679" s="252"/>
      <c r="I3679" s="252"/>
      <c r="J3679" s="252"/>
      <c r="K3679" s="253"/>
    </row>
    <row r="3680" spans="1:11" ht="22" customHeight="1" x14ac:dyDescent="0.35">
      <c r="A3680" s="251"/>
      <c r="B3680" s="252"/>
      <c r="C3680" s="252"/>
      <c r="D3680" s="252"/>
      <c r="E3680" s="252"/>
      <c r="F3680" s="252"/>
      <c r="G3680" s="252"/>
      <c r="H3680" s="252"/>
      <c r="I3680" s="252"/>
      <c r="J3680" s="252"/>
      <c r="K3680" s="253"/>
    </row>
    <row r="3681" spans="1:11" ht="22" customHeight="1" x14ac:dyDescent="0.35">
      <c r="A3681" s="251"/>
      <c r="B3681" s="252"/>
      <c r="C3681" s="252"/>
      <c r="D3681" s="252"/>
      <c r="E3681" s="252"/>
      <c r="F3681" s="252"/>
      <c r="G3681" s="252"/>
      <c r="H3681" s="252"/>
      <c r="I3681" s="252"/>
      <c r="J3681" s="252"/>
      <c r="K3681" s="253"/>
    </row>
    <row r="3682" spans="1:11" ht="22" customHeight="1" x14ac:dyDescent="0.35">
      <c r="A3682" s="251"/>
      <c r="B3682" s="252"/>
      <c r="C3682" s="252"/>
      <c r="D3682" s="252"/>
      <c r="E3682" s="252"/>
      <c r="F3682" s="252"/>
      <c r="G3682" s="252"/>
      <c r="H3682" s="252"/>
      <c r="I3682" s="252"/>
      <c r="J3682" s="252"/>
      <c r="K3682" s="253"/>
    </row>
    <row r="3683" spans="1:11" ht="22" customHeight="1" x14ac:dyDescent="0.35">
      <c r="A3683" s="251"/>
      <c r="B3683" s="252"/>
      <c r="C3683" s="252"/>
      <c r="D3683" s="252"/>
      <c r="E3683" s="252"/>
      <c r="F3683" s="252"/>
      <c r="G3683" s="252"/>
      <c r="H3683" s="252"/>
      <c r="I3683" s="252"/>
      <c r="J3683" s="252"/>
      <c r="K3683" s="253"/>
    </row>
    <row r="3684" spans="1:11" ht="22" customHeight="1" x14ac:dyDescent="0.35">
      <c r="A3684" s="251"/>
      <c r="B3684" s="252"/>
      <c r="C3684" s="252"/>
      <c r="D3684" s="252"/>
      <c r="E3684" s="252"/>
      <c r="F3684" s="252"/>
      <c r="G3684" s="252"/>
      <c r="H3684" s="252"/>
      <c r="I3684" s="252"/>
      <c r="J3684" s="252"/>
      <c r="K3684" s="253"/>
    </row>
    <row r="3685" spans="1:11" ht="22" customHeight="1" x14ac:dyDescent="0.35">
      <c r="A3685" s="251"/>
      <c r="B3685" s="252"/>
      <c r="C3685" s="252"/>
      <c r="D3685" s="252"/>
      <c r="E3685" s="252"/>
      <c r="F3685" s="252"/>
      <c r="G3685" s="252"/>
      <c r="H3685" s="252"/>
      <c r="I3685" s="252"/>
      <c r="J3685" s="252"/>
      <c r="K3685" s="253"/>
    </row>
    <row r="3686" spans="1:11" ht="22" customHeight="1" x14ac:dyDescent="0.35">
      <c r="A3686" s="251"/>
      <c r="B3686" s="252"/>
      <c r="C3686" s="252"/>
      <c r="D3686" s="252"/>
      <c r="E3686" s="252"/>
      <c r="F3686" s="252"/>
      <c r="G3686" s="252"/>
      <c r="H3686" s="252"/>
      <c r="I3686" s="252"/>
      <c r="J3686" s="252"/>
      <c r="K3686" s="253"/>
    </row>
    <row r="3687" spans="1:11" ht="22" customHeight="1" x14ac:dyDescent="0.35">
      <c r="A3687" s="251"/>
      <c r="B3687" s="252"/>
      <c r="C3687" s="252"/>
      <c r="D3687" s="252"/>
      <c r="E3687" s="252"/>
      <c r="F3687" s="252"/>
      <c r="G3687" s="252"/>
      <c r="H3687" s="252"/>
      <c r="I3687" s="252"/>
      <c r="J3687" s="252"/>
      <c r="K3687" s="253"/>
    </row>
    <row r="3688" spans="1:11" ht="22" customHeight="1" x14ac:dyDescent="0.35">
      <c r="A3688" s="251"/>
      <c r="B3688" s="252"/>
      <c r="C3688" s="252"/>
      <c r="D3688" s="252"/>
      <c r="E3688" s="252"/>
      <c r="F3688" s="252"/>
      <c r="G3688" s="252"/>
      <c r="H3688" s="252"/>
      <c r="I3688" s="252"/>
      <c r="J3688" s="252"/>
      <c r="K3688" s="253"/>
    </row>
    <row r="3689" spans="1:11" ht="22" customHeight="1" x14ac:dyDescent="0.35">
      <c r="A3689" s="251"/>
      <c r="B3689" s="252"/>
      <c r="C3689" s="252"/>
      <c r="D3689" s="252"/>
      <c r="E3689" s="252"/>
      <c r="F3689" s="252"/>
      <c r="G3689" s="252"/>
      <c r="H3689" s="252"/>
      <c r="I3689" s="252"/>
      <c r="J3689" s="252"/>
      <c r="K3689" s="253"/>
    </row>
    <row r="3690" spans="1:11" ht="22" customHeight="1" x14ac:dyDescent="0.35">
      <c r="A3690" s="251"/>
      <c r="B3690" s="252"/>
      <c r="C3690" s="252"/>
      <c r="D3690" s="252"/>
      <c r="E3690" s="252"/>
      <c r="F3690" s="252"/>
      <c r="G3690" s="252"/>
      <c r="H3690" s="252"/>
      <c r="I3690" s="252"/>
      <c r="J3690" s="252"/>
      <c r="K3690" s="253"/>
    </row>
    <row r="3691" spans="1:11" ht="22" customHeight="1" x14ac:dyDescent="0.35">
      <c r="A3691" s="251"/>
      <c r="B3691" s="252"/>
      <c r="C3691" s="252"/>
      <c r="D3691" s="252"/>
      <c r="E3691" s="252"/>
      <c r="F3691" s="252"/>
      <c r="G3691" s="252"/>
      <c r="H3691" s="252"/>
      <c r="I3691" s="252"/>
      <c r="J3691" s="252"/>
      <c r="K3691" s="253"/>
    </row>
    <row r="3692" spans="1:11" ht="22" customHeight="1" x14ac:dyDescent="0.35">
      <c r="A3692" s="251"/>
      <c r="B3692" s="252"/>
      <c r="C3692" s="252"/>
      <c r="D3692" s="252"/>
      <c r="E3692" s="252"/>
      <c r="F3692" s="252"/>
      <c r="G3692" s="252"/>
      <c r="H3692" s="252"/>
      <c r="I3692" s="252"/>
      <c r="J3692" s="252"/>
      <c r="K3692" s="253"/>
    </row>
    <row r="3693" spans="1:11" ht="22" customHeight="1" x14ac:dyDescent="0.35">
      <c r="A3693" s="251"/>
      <c r="B3693" s="252"/>
      <c r="C3693" s="252"/>
      <c r="D3693" s="252"/>
      <c r="E3693" s="252"/>
      <c r="F3693" s="252"/>
      <c r="G3693" s="252"/>
      <c r="H3693" s="252"/>
      <c r="I3693" s="252"/>
      <c r="J3693" s="252"/>
      <c r="K3693" s="253"/>
    </row>
    <row r="3694" spans="1:11" ht="22" customHeight="1" x14ac:dyDescent="0.35">
      <c r="A3694" s="251"/>
      <c r="B3694" s="252"/>
      <c r="C3694" s="252"/>
      <c r="D3694" s="252"/>
      <c r="E3694" s="252"/>
      <c r="F3694" s="252"/>
      <c r="G3694" s="252"/>
      <c r="H3694" s="252"/>
      <c r="I3694" s="252"/>
      <c r="J3694" s="252"/>
      <c r="K3694" s="253"/>
    </row>
    <row r="3695" spans="1:11" ht="22" customHeight="1" x14ac:dyDescent="0.35">
      <c r="A3695" s="251"/>
      <c r="B3695" s="252"/>
      <c r="C3695" s="252"/>
      <c r="D3695" s="252"/>
      <c r="E3695" s="252"/>
      <c r="F3695" s="252"/>
      <c r="G3695" s="252"/>
      <c r="H3695" s="252"/>
      <c r="I3695" s="252"/>
      <c r="J3695" s="252"/>
      <c r="K3695" s="253"/>
    </row>
    <row r="3696" spans="1:11" ht="22" customHeight="1" x14ac:dyDescent="0.35">
      <c r="A3696" s="251"/>
      <c r="B3696" s="252"/>
      <c r="C3696" s="252"/>
      <c r="D3696" s="252"/>
      <c r="E3696" s="252"/>
      <c r="F3696" s="252"/>
      <c r="G3696" s="252"/>
      <c r="H3696" s="252"/>
      <c r="I3696" s="252"/>
      <c r="J3696" s="252"/>
      <c r="K3696" s="253"/>
    </row>
    <row r="3697" spans="1:11" ht="22" customHeight="1" x14ac:dyDescent="0.35">
      <c r="A3697" s="251"/>
      <c r="B3697" s="252"/>
      <c r="C3697" s="252"/>
      <c r="D3697" s="252"/>
      <c r="E3697" s="252"/>
      <c r="F3697" s="252"/>
      <c r="G3697" s="252"/>
      <c r="H3697" s="252"/>
      <c r="I3697" s="252"/>
      <c r="J3697" s="252"/>
      <c r="K3697" s="253"/>
    </row>
    <row r="3698" spans="1:11" ht="22" customHeight="1" x14ac:dyDescent="0.35">
      <c r="A3698" s="251"/>
      <c r="B3698" s="252"/>
      <c r="C3698" s="252"/>
      <c r="D3698" s="252"/>
      <c r="E3698" s="252"/>
      <c r="F3698" s="252"/>
      <c r="G3698" s="252"/>
      <c r="H3698" s="252"/>
      <c r="I3698" s="252"/>
      <c r="J3698" s="252"/>
      <c r="K3698" s="253"/>
    </row>
    <row r="3699" spans="1:11" ht="22" customHeight="1" x14ac:dyDescent="0.35">
      <c r="A3699" s="251"/>
      <c r="B3699" s="252"/>
      <c r="C3699" s="252"/>
      <c r="D3699" s="252"/>
      <c r="E3699" s="252"/>
      <c r="F3699" s="252"/>
      <c r="G3699" s="252"/>
      <c r="H3699" s="252"/>
      <c r="I3699" s="252"/>
      <c r="J3699" s="252"/>
      <c r="K3699" s="253"/>
    </row>
    <row r="3700" spans="1:11" ht="22" customHeight="1" x14ac:dyDescent="0.35">
      <c r="A3700" s="251"/>
      <c r="B3700" s="252"/>
      <c r="C3700" s="252"/>
      <c r="D3700" s="252"/>
      <c r="E3700" s="252"/>
      <c r="F3700" s="252"/>
      <c r="G3700" s="252"/>
      <c r="H3700" s="252"/>
      <c r="I3700" s="252"/>
      <c r="J3700" s="252"/>
      <c r="K3700" s="253"/>
    </row>
    <row r="3701" spans="1:11" ht="22" customHeight="1" x14ac:dyDescent="0.35">
      <c r="A3701" s="251"/>
      <c r="B3701" s="252"/>
      <c r="C3701" s="252"/>
      <c r="D3701" s="252"/>
      <c r="E3701" s="252"/>
      <c r="F3701" s="252"/>
      <c r="G3701" s="252"/>
      <c r="H3701" s="252"/>
      <c r="I3701" s="252"/>
      <c r="J3701" s="252"/>
      <c r="K3701" s="253"/>
    </row>
    <row r="3702" spans="1:11" ht="22" customHeight="1" x14ac:dyDescent="0.35">
      <c r="A3702" s="251"/>
      <c r="B3702" s="252"/>
      <c r="C3702" s="252"/>
      <c r="D3702" s="252"/>
      <c r="E3702" s="252"/>
      <c r="F3702" s="252"/>
      <c r="G3702" s="252"/>
      <c r="H3702" s="252"/>
      <c r="I3702" s="252"/>
      <c r="J3702" s="252"/>
      <c r="K3702" s="253"/>
    </row>
    <row r="3703" spans="1:11" ht="22" customHeight="1" x14ac:dyDescent="0.35">
      <c r="A3703" s="251"/>
      <c r="B3703" s="252"/>
      <c r="C3703" s="252"/>
      <c r="D3703" s="252"/>
      <c r="E3703" s="252"/>
      <c r="F3703" s="252"/>
      <c r="G3703" s="252"/>
      <c r="H3703" s="252"/>
      <c r="I3703" s="252"/>
      <c r="J3703" s="252"/>
      <c r="K3703" s="253"/>
    </row>
    <row r="3704" spans="1:11" ht="22" customHeight="1" x14ac:dyDescent="0.35">
      <c r="A3704" s="251"/>
      <c r="B3704" s="252"/>
      <c r="C3704" s="252"/>
      <c r="D3704" s="252"/>
      <c r="E3704" s="252"/>
      <c r="F3704" s="252"/>
      <c r="G3704" s="252"/>
      <c r="H3704" s="252"/>
      <c r="I3704" s="252"/>
      <c r="J3704" s="252"/>
      <c r="K3704" s="253"/>
    </row>
    <row r="3705" spans="1:11" ht="22" customHeight="1" x14ac:dyDescent="0.35">
      <c r="A3705" s="251"/>
      <c r="B3705" s="252"/>
      <c r="C3705" s="252"/>
      <c r="D3705" s="252"/>
      <c r="E3705" s="252"/>
      <c r="F3705" s="252"/>
      <c r="G3705" s="252"/>
      <c r="H3705" s="252"/>
      <c r="I3705" s="252"/>
      <c r="J3705" s="252"/>
      <c r="K3705" s="253"/>
    </row>
    <row r="3706" spans="1:11" ht="22" customHeight="1" x14ac:dyDescent="0.35">
      <c r="A3706" s="251"/>
      <c r="B3706" s="252"/>
      <c r="C3706" s="252"/>
      <c r="D3706" s="252"/>
      <c r="E3706" s="252"/>
      <c r="F3706" s="252"/>
      <c r="G3706" s="252"/>
      <c r="H3706" s="252"/>
      <c r="I3706" s="252"/>
      <c r="J3706" s="252"/>
      <c r="K3706" s="253"/>
    </row>
    <row r="3707" spans="1:11" ht="22" customHeight="1" x14ac:dyDescent="0.35">
      <c r="A3707" s="251"/>
      <c r="B3707" s="252"/>
      <c r="C3707" s="252"/>
      <c r="D3707" s="252"/>
      <c r="E3707" s="252"/>
      <c r="F3707" s="252"/>
      <c r="G3707" s="252"/>
      <c r="H3707" s="252"/>
      <c r="I3707" s="252"/>
      <c r="J3707" s="252"/>
      <c r="K3707" s="253"/>
    </row>
    <row r="3708" spans="1:11" ht="22" customHeight="1" x14ac:dyDescent="0.35">
      <c r="A3708" s="251"/>
      <c r="B3708" s="252"/>
      <c r="C3708" s="252"/>
      <c r="D3708" s="252"/>
      <c r="E3708" s="252"/>
      <c r="F3708" s="252"/>
      <c r="G3708" s="252"/>
      <c r="H3708" s="252"/>
      <c r="I3708" s="252"/>
      <c r="J3708" s="252"/>
      <c r="K3708" s="253"/>
    </row>
    <row r="3709" spans="1:11" ht="22" customHeight="1" x14ac:dyDescent="0.35">
      <c r="A3709" s="251"/>
      <c r="B3709" s="252"/>
      <c r="C3709" s="252"/>
      <c r="D3709" s="252"/>
      <c r="E3709" s="252"/>
      <c r="F3709" s="252"/>
      <c r="G3709" s="252"/>
      <c r="H3709" s="252"/>
      <c r="I3709" s="252"/>
      <c r="J3709" s="252"/>
      <c r="K3709" s="253"/>
    </row>
    <row r="3710" spans="1:11" ht="22" customHeight="1" x14ac:dyDescent="0.35">
      <c r="A3710" s="251"/>
      <c r="B3710" s="252"/>
      <c r="C3710" s="252"/>
      <c r="D3710" s="252"/>
      <c r="E3710" s="252"/>
      <c r="F3710" s="252"/>
      <c r="G3710" s="252"/>
      <c r="H3710" s="252"/>
      <c r="I3710" s="252"/>
      <c r="J3710" s="252"/>
      <c r="K3710" s="253"/>
    </row>
    <row r="3711" spans="1:11" ht="22" customHeight="1" x14ac:dyDescent="0.35">
      <c r="A3711" s="251"/>
      <c r="B3711" s="252"/>
      <c r="C3711" s="252"/>
      <c r="D3711" s="252"/>
      <c r="E3711" s="252"/>
      <c r="F3711" s="252"/>
      <c r="G3711" s="252"/>
      <c r="H3711" s="252"/>
      <c r="I3711" s="252"/>
      <c r="J3711" s="252"/>
      <c r="K3711" s="253"/>
    </row>
    <row r="3712" spans="1:11" ht="22" customHeight="1" x14ac:dyDescent="0.35">
      <c r="A3712" s="251"/>
      <c r="B3712" s="252"/>
      <c r="C3712" s="252"/>
      <c r="D3712" s="252"/>
      <c r="E3712" s="252"/>
      <c r="F3712" s="252"/>
      <c r="G3712" s="252"/>
      <c r="H3712" s="252"/>
      <c r="I3712" s="252"/>
      <c r="J3712" s="252"/>
      <c r="K3712" s="253"/>
    </row>
    <row r="3713" spans="1:11" ht="22" customHeight="1" x14ac:dyDescent="0.35">
      <c r="A3713" s="251"/>
      <c r="B3713" s="252"/>
      <c r="C3713" s="252"/>
      <c r="D3713" s="252"/>
      <c r="E3713" s="252"/>
      <c r="F3713" s="252"/>
      <c r="G3713" s="252"/>
      <c r="H3713" s="252"/>
      <c r="I3713" s="252"/>
      <c r="J3713" s="252"/>
      <c r="K3713" s="253"/>
    </row>
    <row r="3714" spans="1:11" ht="22" customHeight="1" x14ac:dyDescent="0.35">
      <c r="A3714" s="251"/>
      <c r="B3714" s="252"/>
      <c r="C3714" s="252"/>
      <c r="D3714" s="252"/>
      <c r="E3714" s="252"/>
      <c r="F3714" s="252"/>
      <c r="G3714" s="252"/>
      <c r="H3714" s="252"/>
      <c r="I3714" s="252"/>
      <c r="J3714" s="252"/>
      <c r="K3714" s="253"/>
    </row>
    <row r="3715" spans="1:11" ht="22" customHeight="1" x14ac:dyDescent="0.35">
      <c r="A3715" s="251"/>
      <c r="B3715" s="252"/>
      <c r="C3715" s="252"/>
      <c r="D3715" s="252"/>
      <c r="E3715" s="252"/>
      <c r="F3715" s="252"/>
      <c r="G3715" s="252"/>
      <c r="H3715" s="252"/>
      <c r="I3715" s="252"/>
      <c r="J3715" s="252"/>
      <c r="K3715" s="253"/>
    </row>
    <row r="3716" spans="1:11" ht="22" customHeight="1" x14ac:dyDescent="0.35">
      <c r="A3716" s="251"/>
      <c r="B3716" s="252"/>
      <c r="C3716" s="252"/>
      <c r="D3716" s="252"/>
      <c r="E3716" s="252"/>
      <c r="F3716" s="252"/>
      <c r="G3716" s="252"/>
      <c r="H3716" s="252"/>
      <c r="I3716" s="252"/>
      <c r="J3716" s="252"/>
      <c r="K3716" s="253"/>
    </row>
    <row r="3717" spans="1:11" ht="22" customHeight="1" x14ac:dyDescent="0.35">
      <c r="A3717" s="251"/>
      <c r="B3717" s="252"/>
      <c r="C3717" s="252"/>
      <c r="D3717" s="252"/>
      <c r="E3717" s="252"/>
      <c r="F3717" s="252"/>
      <c r="G3717" s="252"/>
      <c r="H3717" s="252"/>
      <c r="I3717" s="252"/>
      <c r="J3717" s="252"/>
      <c r="K3717" s="253"/>
    </row>
    <row r="3718" spans="1:11" ht="22" customHeight="1" x14ac:dyDescent="0.35">
      <c r="A3718" s="251"/>
      <c r="B3718" s="252"/>
      <c r="C3718" s="252"/>
      <c r="D3718" s="252"/>
      <c r="E3718" s="252"/>
      <c r="F3718" s="252"/>
      <c r="G3718" s="252"/>
      <c r="H3718" s="252"/>
      <c r="I3718" s="252"/>
      <c r="J3718" s="252"/>
      <c r="K3718" s="253"/>
    </row>
    <row r="3719" spans="1:11" ht="22" customHeight="1" x14ac:dyDescent="0.35">
      <c r="A3719" s="251"/>
      <c r="B3719" s="252"/>
      <c r="C3719" s="252"/>
      <c r="D3719" s="252"/>
      <c r="E3719" s="252"/>
      <c r="F3719" s="252"/>
      <c r="G3719" s="252"/>
      <c r="H3719" s="252"/>
      <c r="I3719" s="252"/>
      <c r="J3719" s="252"/>
      <c r="K3719" s="253"/>
    </row>
    <row r="3720" spans="1:11" ht="22" customHeight="1" x14ac:dyDescent="0.35">
      <c r="A3720" s="251"/>
      <c r="B3720" s="252"/>
      <c r="C3720" s="252"/>
      <c r="D3720" s="252"/>
      <c r="E3720" s="252"/>
      <c r="F3720" s="252"/>
      <c r="G3720" s="252"/>
      <c r="H3720" s="252"/>
      <c r="I3720" s="252"/>
      <c r="J3720" s="252"/>
      <c r="K3720" s="253"/>
    </row>
    <row r="3721" spans="1:11" ht="22" customHeight="1" x14ac:dyDescent="0.35">
      <c r="A3721" s="251"/>
      <c r="B3721" s="252"/>
      <c r="C3721" s="252"/>
      <c r="D3721" s="252"/>
      <c r="E3721" s="252"/>
      <c r="F3721" s="252"/>
      <c r="G3721" s="252"/>
      <c r="H3721" s="252"/>
      <c r="I3721" s="252"/>
      <c r="J3721" s="252"/>
      <c r="K3721" s="253"/>
    </row>
    <row r="3722" spans="1:11" ht="22" customHeight="1" x14ac:dyDescent="0.35">
      <c r="A3722" s="251"/>
      <c r="B3722" s="252"/>
      <c r="C3722" s="252"/>
      <c r="D3722" s="252"/>
      <c r="E3722" s="252"/>
      <c r="F3722" s="252"/>
      <c r="G3722" s="252"/>
      <c r="H3722" s="252"/>
      <c r="I3722" s="252"/>
      <c r="J3722" s="252"/>
      <c r="K3722" s="253"/>
    </row>
    <row r="3723" spans="1:11" ht="22" customHeight="1" x14ac:dyDescent="0.35">
      <c r="A3723" s="251"/>
      <c r="B3723" s="252"/>
      <c r="C3723" s="252"/>
      <c r="D3723" s="252"/>
      <c r="E3723" s="252"/>
      <c r="F3723" s="252"/>
      <c r="G3723" s="252"/>
      <c r="H3723" s="252"/>
      <c r="I3723" s="252"/>
      <c r="J3723" s="252"/>
      <c r="K3723" s="253"/>
    </row>
    <row r="3724" spans="1:11" ht="22" customHeight="1" x14ac:dyDescent="0.35">
      <c r="A3724" s="251"/>
      <c r="B3724" s="252"/>
      <c r="C3724" s="252"/>
      <c r="D3724" s="252"/>
      <c r="E3724" s="252"/>
      <c r="F3724" s="252"/>
      <c r="G3724" s="252"/>
      <c r="H3724" s="252"/>
      <c r="I3724" s="252"/>
      <c r="J3724" s="252"/>
      <c r="K3724" s="253"/>
    </row>
    <row r="3725" spans="1:11" ht="22" customHeight="1" x14ac:dyDescent="0.35">
      <c r="A3725" s="251"/>
      <c r="B3725" s="252"/>
      <c r="C3725" s="252"/>
      <c r="D3725" s="252"/>
      <c r="E3725" s="252"/>
      <c r="F3725" s="252"/>
      <c r="G3725" s="252"/>
      <c r="H3725" s="252"/>
      <c r="I3725" s="252"/>
      <c r="J3725" s="252"/>
      <c r="K3725" s="253"/>
    </row>
    <row r="3726" spans="1:11" ht="22" customHeight="1" x14ac:dyDescent="0.35">
      <c r="A3726" s="251"/>
      <c r="B3726" s="252"/>
      <c r="C3726" s="252"/>
      <c r="D3726" s="252"/>
      <c r="E3726" s="252"/>
      <c r="F3726" s="252"/>
      <c r="G3726" s="252"/>
      <c r="H3726" s="252"/>
      <c r="I3726" s="252"/>
      <c r="J3726" s="252"/>
      <c r="K3726" s="253"/>
    </row>
    <row r="3727" spans="1:11" ht="22" customHeight="1" x14ac:dyDescent="0.35">
      <c r="A3727" s="251"/>
      <c r="B3727" s="252"/>
      <c r="C3727" s="252"/>
      <c r="D3727" s="252"/>
      <c r="E3727" s="252"/>
      <c r="F3727" s="252"/>
      <c r="G3727" s="252"/>
      <c r="H3727" s="252"/>
      <c r="I3727" s="252"/>
      <c r="J3727" s="252"/>
      <c r="K3727" s="253"/>
    </row>
    <row r="3728" spans="1:11" ht="22" customHeight="1" x14ac:dyDescent="0.35">
      <c r="A3728" s="251"/>
      <c r="B3728" s="252"/>
      <c r="C3728" s="252"/>
      <c r="D3728" s="252"/>
      <c r="E3728" s="252"/>
      <c r="F3728" s="252"/>
      <c r="G3728" s="252"/>
      <c r="H3728" s="252"/>
      <c r="I3728" s="252"/>
      <c r="J3728" s="252"/>
      <c r="K3728" s="253"/>
    </row>
    <row r="3729" spans="1:11" ht="22" customHeight="1" x14ac:dyDescent="0.35">
      <c r="A3729" s="251"/>
      <c r="B3729" s="252"/>
      <c r="C3729" s="252"/>
      <c r="D3729" s="252"/>
      <c r="E3729" s="252"/>
      <c r="F3729" s="252"/>
      <c r="G3729" s="252"/>
      <c r="H3729" s="252"/>
      <c r="I3729" s="252"/>
      <c r="J3729" s="252"/>
      <c r="K3729" s="253"/>
    </row>
    <row r="3730" spans="1:11" ht="22" customHeight="1" x14ac:dyDescent="0.35">
      <c r="A3730" s="251"/>
      <c r="B3730" s="252"/>
      <c r="C3730" s="252"/>
      <c r="D3730" s="252"/>
      <c r="E3730" s="252"/>
      <c r="F3730" s="252"/>
      <c r="G3730" s="252"/>
      <c r="H3730" s="252"/>
      <c r="I3730" s="252"/>
      <c r="J3730" s="252"/>
      <c r="K3730" s="253"/>
    </row>
    <row r="3731" spans="1:11" ht="22" customHeight="1" x14ac:dyDescent="0.35">
      <c r="A3731" s="251"/>
      <c r="B3731" s="252"/>
      <c r="C3731" s="252"/>
      <c r="D3731" s="252"/>
      <c r="E3731" s="252"/>
      <c r="F3731" s="252"/>
      <c r="G3731" s="252"/>
      <c r="H3731" s="252"/>
      <c r="I3731" s="252"/>
      <c r="J3731" s="252"/>
      <c r="K3731" s="253"/>
    </row>
    <row r="3732" spans="1:11" ht="22" customHeight="1" x14ac:dyDescent="0.35">
      <c r="A3732" s="251"/>
      <c r="B3732" s="252"/>
      <c r="C3732" s="252"/>
      <c r="D3732" s="252"/>
      <c r="E3732" s="252"/>
      <c r="F3732" s="252"/>
      <c r="G3732" s="252"/>
      <c r="H3732" s="252"/>
      <c r="I3732" s="252"/>
      <c r="J3732" s="252"/>
      <c r="K3732" s="253"/>
    </row>
    <row r="3733" spans="1:11" ht="22" customHeight="1" x14ac:dyDescent="0.35">
      <c r="A3733" s="251"/>
      <c r="B3733" s="252"/>
      <c r="C3733" s="252"/>
      <c r="D3733" s="252"/>
      <c r="E3733" s="252"/>
      <c r="F3733" s="252"/>
      <c r="G3733" s="252"/>
      <c r="H3733" s="252"/>
      <c r="I3733" s="252"/>
      <c r="J3733" s="252"/>
      <c r="K3733" s="253"/>
    </row>
    <row r="3734" spans="1:11" ht="22" customHeight="1" x14ac:dyDescent="0.35">
      <c r="A3734" s="251"/>
      <c r="B3734" s="252"/>
      <c r="C3734" s="252"/>
      <c r="D3734" s="252"/>
      <c r="E3734" s="252"/>
      <c r="F3734" s="252"/>
      <c r="G3734" s="252"/>
      <c r="H3734" s="252"/>
      <c r="I3734" s="252"/>
      <c r="J3734" s="252"/>
      <c r="K3734" s="253"/>
    </row>
    <row r="3735" spans="1:11" ht="22" customHeight="1" x14ac:dyDescent="0.35">
      <c r="A3735" s="251"/>
      <c r="B3735" s="252"/>
      <c r="C3735" s="252"/>
      <c r="D3735" s="252"/>
      <c r="E3735" s="252"/>
      <c r="F3735" s="252"/>
      <c r="G3735" s="252"/>
      <c r="H3735" s="252"/>
      <c r="I3735" s="252"/>
      <c r="J3735" s="252"/>
      <c r="K3735" s="253"/>
    </row>
    <row r="3736" spans="1:11" ht="22" customHeight="1" x14ac:dyDescent="0.35">
      <c r="A3736" s="251"/>
      <c r="B3736" s="252"/>
      <c r="C3736" s="252"/>
      <c r="D3736" s="252"/>
      <c r="E3736" s="252"/>
      <c r="F3736" s="252"/>
      <c r="G3736" s="252"/>
      <c r="H3736" s="252"/>
      <c r="I3736" s="252"/>
      <c r="J3736" s="252"/>
      <c r="K3736" s="253"/>
    </row>
    <row r="3737" spans="1:11" ht="22" customHeight="1" x14ac:dyDescent="0.35">
      <c r="A3737" s="251"/>
      <c r="B3737" s="252"/>
      <c r="C3737" s="252"/>
      <c r="D3737" s="252"/>
      <c r="E3737" s="252"/>
      <c r="F3737" s="252"/>
      <c r="G3737" s="252"/>
      <c r="H3737" s="252"/>
      <c r="I3737" s="252"/>
      <c r="J3737" s="252"/>
      <c r="K3737" s="253"/>
    </row>
    <row r="3738" spans="1:11" ht="22" customHeight="1" x14ac:dyDescent="0.35">
      <c r="A3738" s="251"/>
      <c r="B3738" s="252"/>
      <c r="C3738" s="252"/>
      <c r="D3738" s="252"/>
      <c r="E3738" s="252"/>
      <c r="F3738" s="252"/>
      <c r="G3738" s="252"/>
      <c r="H3738" s="252"/>
      <c r="I3738" s="252"/>
      <c r="J3738" s="252"/>
      <c r="K3738" s="253"/>
    </row>
    <row r="3739" spans="1:11" ht="22" customHeight="1" x14ac:dyDescent="0.35">
      <c r="A3739" s="251"/>
      <c r="B3739" s="252"/>
      <c r="C3739" s="252"/>
      <c r="D3739" s="252"/>
      <c r="E3739" s="252"/>
      <c r="F3739" s="252"/>
      <c r="G3739" s="252"/>
      <c r="H3739" s="252"/>
      <c r="I3739" s="252"/>
      <c r="J3739" s="252"/>
      <c r="K3739" s="253"/>
    </row>
    <row r="3740" spans="1:11" ht="22" customHeight="1" x14ac:dyDescent="0.35">
      <c r="A3740" s="251"/>
      <c r="B3740" s="252"/>
      <c r="C3740" s="252"/>
      <c r="D3740" s="252"/>
      <c r="E3740" s="252"/>
      <c r="F3740" s="252"/>
      <c r="G3740" s="252"/>
      <c r="H3740" s="252"/>
      <c r="I3740" s="252"/>
      <c r="J3740" s="252"/>
      <c r="K3740" s="253"/>
    </row>
    <row r="3741" spans="1:11" ht="22" customHeight="1" x14ac:dyDescent="0.35">
      <c r="A3741" s="251"/>
      <c r="B3741" s="252"/>
      <c r="C3741" s="252"/>
      <c r="D3741" s="252"/>
      <c r="E3741" s="252"/>
      <c r="F3741" s="252"/>
      <c r="G3741" s="252"/>
      <c r="H3741" s="252"/>
      <c r="I3741" s="252"/>
      <c r="J3741" s="252"/>
      <c r="K3741" s="253"/>
    </row>
    <row r="3742" spans="1:11" ht="22" customHeight="1" x14ac:dyDescent="0.35">
      <c r="A3742" s="251"/>
      <c r="B3742" s="252"/>
      <c r="C3742" s="252"/>
      <c r="D3742" s="252"/>
      <c r="E3742" s="252"/>
      <c r="F3742" s="252"/>
      <c r="G3742" s="252"/>
      <c r="H3742" s="252"/>
      <c r="I3742" s="252"/>
      <c r="J3742" s="252"/>
      <c r="K3742" s="253"/>
    </row>
    <row r="3743" spans="1:11" ht="22" customHeight="1" x14ac:dyDescent="0.35">
      <c r="A3743" s="251"/>
      <c r="B3743" s="252"/>
      <c r="C3743" s="252"/>
      <c r="D3743" s="252"/>
      <c r="E3743" s="252"/>
      <c r="F3743" s="252"/>
      <c r="G3743" s="252"/>
      <c r="H3743" s="252"/>
      <c r="I3743" s="252"/>
      <c r="J3743" s="252"/>
      <c r="K3743" s="253"/>
    </row>
    <row r="3744" spans="1:11" ht="22" customHeight="1" x14ac:dyDescent="0.35">
      <c r="A3744" s="251"/>
      <c r="B3744" s="252"/>
      <c r="C3744" s="252"/>
      <c r="D3744" s="252"/>
      <c r="E3744" s="252"/>
      <c r="F3744" s="252"/>
      <c r="G3744" s="252"/>
      <c r="H3744" s="252"/>
      <c r="I3744" s="252"/>
      <c r="J3744" s="252"/>
      <c r="K3744" s="253"/>
    </row>
    <row r="3745" spans="1:11" ht="22" customHeight="1" x14ac:dyDescent="0.35">
      <c r="A3745" s="251"/>
      <c r="B3745" s="252"/>
      <c r="C3745" s="252"/>
      <c r="D3745" s="252"/>
      <c r="E3745" s="252"/>
      <c r="F3745" s="252"/>
      <c r="G3745" s="252"/>
      <c r="H3745" s="252"/>
      <c r="I3745" s="252"/>
      <c r="J3745" s="252"/>
      <c r="K3745" s="253"/>
    </row>
    <row r="3746" spans="1:11" ht="22" customHeight="1" x14ac:dyDescent="0.35">
      <c r="A3746" s="251"/>
      <c r="B3746" s="252"/>
      <c r="C3746" s="252"/>
      <c r="D3746" s="252"/>
      <c r="E3746" s="252"/>
      <c r="F3746" s="252"/>
      <c r="G3746" s="252"/>
      <c r="H3746" s="252"/>
      <c r="I3746" s="252"/>
      <c r="J3746" s="252"/>
      <c r="K3746" s="253"/>
    </row>
    <row r="3747" spans="1:11" ht="22" customHeight="1" x14ac:dyDescent="0.35">
      <c r="A3747" s="251"/>
      <c r="B3747" s="252"/>
      <c r="C3747" s="252"/>
      <c r="D3747" s="252"/>
      <c r="E3747" s="252"/>
      <c r="F3747" s="252"/>
      <c r="G3747" s="252"/>
      <c r="H3747" s="252"/>
      <c r="I3747" s="252"/>
      <c r="J3747" s="252"/>
      <c r="K3747" s="253"/>
    </row>
    <row r="3748" spans="1:11" ht="22" customHeight="1" x14ac:dyDescent="0.35">
      <c r="A3748" s="251"/>
      <c r="B3748" s="252"/>
      <c r="C3748" s="252"/>
      <c r="D3748" s="252"/>
      <c r="E3748" s="252"/>
      <c r="F3748" s="252"/>
      <c r="G3748" s="252"/>
      <c r="H3748" s="252"/>
      <c r="I3748" s="252"/>
      <c r="J3748" s="252"/>
      <c r="K3748" s="253"/>
    </row>
    <row r="3749" spans="1:11" ht="22" customHeight="1" x14ac:dyDescent="0.35">
      <c r="A3749" s="251"/>
      <c r="B3749" s="252"/>
      <c r="C3749" s="252"/>
      <c r="D3749" s="252"/>
      <c r="E3749" s="252"/>
      <c r="F3749" s="252"/>
      <c r="G3749" s="252"/>
      <c r="H3749" s="252"/>
      <c r="I3749" s="252"/>
      <c r="J3749" s="252"/>
      <c r="K3749" s="253"/>
    </row>
    <row r="3750" spans="1:11" ht="22" customHeight="1" x14ac:dyDescent="0.35">
      <c r="A3750" s="251"/>
      <c r="B3750" s="252"/>
      <c r="C3750" s="252"/>
      <c r="D3750" s="252"/>
      <c r="E3750" s="252"/>
      <c r="F3750" s="252"/>
      <c r="G3750" s="252"/>
      <c r="H3750" s="252"/>
      <c r="I3750" s="252"/>
      <c r="J3750" s="252"/>
      <c r="K3750" s="253"/>
    </row>
    <row r="3751" spans="1:11" ht="22" customHeight="1" x14ac:dyDescent="0.35">
      <c r="A3751" s="251"/>
      <c r="B3751" s="252"/>
      <c r="C3751" s="252"/>
      <c r="D3751" s="252"/>
      <c r="E3751" s="252"/>
      <c r="F3751" s="252"/>
      <c r="G3751" s="252"/>
      <c r="H3751" s="252"/>
      <c r="I3751" s="252"/>
      <c r="J3751" s="252"/>
      <c r="K3751" s="253"/>
    </row>
    <row r="3752" spans="1:11" ht="22" customHeight="1" x14ac:dyDescent="0.35">
      <c r="A3752" s="251"/>
      <c r="B3752" s="252"/>
      <c r="C3752" s="252"/>
      <c r="D3752" s="252"/>
      <c r="E3752" s="252"/>
      <c r="F3752" s="252"/>
      <c r="G3752" s="252"/>
      <c r="H3752" s="252"/>
      <c r="I3752" s="252"/>
      <c r="J3752" s="252"/>
      <c r="K3752" s="253"/>
    </row>
    <row r="3753" spans="1:11" ht="22" customHeight="1" x14ac:dyDescent="0.35">
      <c r="A3753" s="251"/>
      <c r="B3753" s="252"/>
      <c r="C3753" s="252"/>
      <c r="D3753" s="252"/>
      <c r="E3753" s="252"/>
      <c r="F3753" s="252"/>
      <c r="G3753" s="252"/>
      <c r="H3753" s="252"/>
      <c r="I3753" s="252"/>
      <c r="J3753" s="252"/>
      <c r="K3753" s="253"/>
    </row>
    <row r="3754" spans="1:11" ht="22" customHeight="1" x14ac:dyDescent="0.35">
      <c r="A3754" s="251"/>
      <c r="B3754" s="252"/>
      <c r="C3754" s="252"/>
      <c r="D3754" s="252"/>
      <c r="E3754" s="252"/>
      <c r="F3754" s="252"/>
      <c r="G3754" s="252"/>
      <c r="H3754" s="252"/>
      <c r="I3754" s="252"/>
      <c r="J3754" s="252"/>
      <c r="K3754" s="253"/>
    </row>
    <row r="3755" spans="1:11" ht="22" customHeight="1" x14ac:dyDescent="0.35">
      <c r="A3755" s="251"/>
      <c r="B3755" s="252"/>
      <c r="C3755" s="252"/>
      <c r="D3755" s="252"/>
      <c r="E3755" s="252"/>
      <c r="F3755" s="252"/>
      <c r="G3755" s="252"/>
      <c r="H3755" s="252"/>
      <c r="I3755" s="252"/>
      <c r="J3755" s="252"/>
      <c r="K3755" s="253"/>
    </row>
    <row r="3756" spans="1:11" ht="22" customHeight="1" x14ac:dyDescent="0.35">
      <c r="A3756" s="251"/>
      <c r="B3756" s="252"/>
      <c r="C3756" s="252"/>
      <c r="D3756" s="252"/>
      <c r="E3756" s="252"/>
      <c r="F3756" s="252"/>
      <c r="G3756" s="252"/>
      <c r="H3756" s="252"/>
      <c r="I3756" s="252"/>
      <c r="J3756" s="252"/>
      <c r="K3756" s="253"/>
    </row>
    <row r="3757" spans="1:11" ht="22" customHeight="1" x14ac:dyDescent="0.35">
      <c r="A3757" s="251"/>
      <c r="B3757" s="252"/>
      <c r="C3757" s="252"/>
      <c r="D3757" s="252"/>
      <c r="E3757" s="252"/>
      <c r="F3757" s="252"/>
      <c r="G3757" s="252"/>
      <c r="H3757" s="252"/>
      <c r="I3757" s="252"/>
      <c r="J3757" s="252"/>
      <c r="K3757" s="253"/>
    </row>
    <row r="3758" spans="1:11" ht="22" customHeight="1" x14ac:dyDescent="0.35">
      <c r="A3758" s="251"/>
      <c r="B3758" s="252"/>
      <c r="C3758" s="252"/>
      <c r="D3758" s="252"/>
      <c r="E3758" s="252"/>
      <c r="F3758" s="252"/>
      <c r="G3758" s="252"/>
      <c r="H3758" s="252"/>
      <c r="I3758" s="252"/>
      <c r="J3758" s="252"/>
      <c r="K3758" s="253"/>
    </row>
    <row r="3759" spans="1:11" ht="22" customHeight="1" x14ac:dyDescent="0.35">
      <c r="A3759" s="251"/>
      <c r="B3759" s="252"/>
      <c r="C3759" s="252"/>
      <c r="D3759" s="252"/>
      <c r="E3759" s="252"/>
      <c r="F3759" s="252"/>
      <c r="G3759" s="252"/>
      <c r="H3759" s="252"/>
      <c r="I3759" s="252"/>
      <c r="J3759" s="252"/>
      <c r="K3759" s="253"/>
    </row>
    <row r="3760" spans="1:11" ht="22" customHeight="1" x14ac:dyDescent="0.35">
      <c r="A3760" s="251"/>
      <c r="B3760" s="252"/>
      <c r="C3760" s="252"/>
      <c r="D3760" s="252"/>
      <c r="E3760" s="252"/>
      <c r="F3760" s="252"/>
      <c r="G3760" s="252"/>
      <c r="H3760" s="252"/>
      <c r="I3760" s="252"/>
      <c r="J3760" s="252"/>
      <c r="K3760" s="253"/>
    </row>
    <row r="3761" spans="1:11" ht="22" customHeight="1" x14ac:dyDescent="0.35">
      <c r="A3761" s="251"/>
      <c r="B3761" s="252"/>
      <c r="C3761" s="252"/>
      <c r="D3761" s="252"/>
      <c r="E3761" s="252"/>
      <c r="F3761" s="252"/>
      <c r="G3761" s="252"/>
      <c r="H3761" s="252"/>
      <c r="I3761" s="252"/>
      <c r="J3761" s="252"/>
      <c r="K3761" s="253"/>
    </row>
    <row r="3762" spans="1:11" ht="22" customHeight="1" x14ac:dyDescent="0.35">
      <c r="A3762" s="251"/>
      <c r="B3762" s="252"/>
      <c r="C3762" s="252"/>
      <c r="D3762" s="252"/>
      <c r="E3762" s="252"/>
      <c r="F3762" s="252"/>
      <c r="G3762" s="252"/>
      <c r="H3762" s="252"/>
      <c r="I3762" s="252"/>
      <c r="J3762" s="252"/>
      <c r="K3762" s="253"/>
    </row>
    <row r="3763" spans="1:11" ht="22" customHeight="1" x14ac:dyDescent="0.35">
      <c r="A3763" s="251"/>
      <c r="B3763" s="252"/>
      <c r="C3763" s="252"/>
      <c r="D3763" s="252"/>
      <c r="E3763" s="252"/>
      <c r="F3763" s="252"/>
      <c r="G3763" s="252"/>
      <c r="H3763" s="252"/>
      <c r="I3763" s="252"/>
      <c r="J3763" s="252"/>
      <c r="K3763" s="253"/>
    </row>
    <row r="3764" spans="1:11" ht="22" customHeight="1" x14ac:dyDescent="0.35">
      <c r="A3764" s="251"/>
      <c r="B3764" s="252"/>
      <c r="C3764" s="252"/>
      <c r="D3764" s="252"/>
      <c r="E3764" s="252"/>
      <c r="F3764" s="252"/>
      <c r="G3764" s="252"/>
      <c r="H3764" s="252"/>
      <c r="I3764" s="252"/>
      <c r="J3764" s="252"/>
      <c r="K3764" s="253"/>
    </row>
    <row r="3765" spans="1:11" ht="22" customHeight="1" x14ac:dyDescent="0.35">
      <c r="A3765" s="251"/>
      <c r="B3765" s="252"/>
      <c r="C3765" s="252"/>
      <c r="D3765" s="252"/>
      <c r="E3765" s="252"/>
      <c r="F3765" s="252"/>
      <c r="G3765" s="252"/>
      <c r="H3765" s="252"/>
      <c r="I3765" s="252"/>
      <c r="J3765" s="252"/>
      <c r="K3765" s="253"/>
    </row>
    <row r="3766" spans="1:11" ht="22" customHeight="1" x14ac:dyDescent="0.35">
      <c r="A3766" s="251"/>
      <c r="B3766" s="252"/>
      <c r="C3766" s="252"/>
      <c r="D3766" s="252"/>
      <c r="E3766" s="252"/>
      <c r="F3766" s="252"/>
      <c r="G3766" s="252"/>
      <c r="H3766" s="252"/>
      <c r="I3766" s="252"/>
      <c r="J3766" s="252"/>
      <c r="K3766" s="253"/>
    </row>
    <row r="3767" spans="1:11" ht="22" customHeight="1" x14ac:dyDescent="0.35">
      <c r="A3767" s="251"/>
      <c r="B3767" s="252"/>
      <c r="C3767" s="252"/>
      <c r="D3767" s="252"/>
      <c r="E3767" s="252"/>
      <c r="F3767" s="252"/>
      <c r="G3767" s="252"/>
      <c r="H3767" s="252"/>
      <c r="I3767" s="252"/>
      <c r="J3767" s="252"/>
      <c r="K3767" s="253"/>
    </row>
    <row r="3768" spans="1:11" ht="22" customHeight="1" x14ac:dyDescent="0.35">
      <c r="A3768" s="251"/>
      <c r="B3768" s="252"/>
      <c r="C3768" s="252"/>
      <c r="D3768" s="252"/>
      <c r="E3768" s="252"/>
      <c r="F3768" s="252"/>
      <c r="G3768" s="252"/>
      <c r="H3768" s="252"/>
      <c r="I3768" s="252"/>
      <c r="J3768" s="252"/>
      <c r="K3768" s="253"/>
    </row>
    <row r="3769" spans="1:11" ht="22" customHeight="1" x14ac:dyDescent="0.35">
      <c r="A3769" s="251"/>
      <c r="B3769" s="252"/>
      <c r="C3769" s="252"/>
      <c r="D3769" s="252"/>
      <c r="E3769" s="252"/>
      <c r="F3769" s="252"/>
      <c r="G3769" s="252"/>
      <c r="H3769" s="252"/>
      <c r="I3769" s="252"/>
      <c r="J3769" s="252"/>
      <c r="K3769" s="253"/>
    </row>
    <row r="3770" spans="1:11" ht="22" customHeight="1" x14ac:dyDescent="0.35">
      <c r="A3770" s="251"/>
      <c r="B3770" s="252"/>
      <c r="C3770" s="252"/>
      <c r="D3770" s="252"/>
      <c r="E3770" s="252"/>
      <c r="F3770" s="252"/>
      <c r="G3770" s="252"/>
      <c r="H3770" s="252"/>
      <c r="I3770" s="252"/>
      <c r="J3770" s="252"/>
      <c r="K3770" s="253"/>
    </row>
    <row r="3771" spans="1:11" ht="22" customHeight="1" x14ac:dyDescent="0.35">
      <c r="A3771" s="251"/>
      <c r="B3771" s="252"/>
      <c r="C3771" s="252"/>
      <c r="D3771" s="252"/>
      <c r="E3771" s="252"/>
      <c r="F3771" s="252"/>
      <c r="G3771" s="252"/>
      <c r="H3771" s="252"/>
      <c r="I3771" s="252"/>
      <c r="J3771" s="252"/>
      <c r="K3771" s="253"/>
    </row>
    <row r="3772" spans="1:11" ht="22" customHeight="1" x14ac:dyDescent="0.35">
      <c r="A3772" s="251"/>
      <c r="B3772" s="252"/>
      <c r="C3772" s="252"/>
      <c r="D3772" s="252"/>
      <c r="E3772" s="252"/>
      <c r="F3772" s="252"/>
      <c r="G3772" s="252"/>
      <c r="H3772" s="252"/>
      <c r="I3772" s="252"/>
      <c r="J3772" s="252"/>
      <c r="K3772" s="253"/>
    </row>
    <row r="3773" spans="1:11" ht="22" customHeight="1" x14ac:dyDescent="0.35">
      <c r="A3773" s="251"/>
      <c r="B3773" s="252"/>
      <c r="C3773" s="252"/>
      <c r="D3773" s="252"/>
      <c r="E3773" s="252"/>
      <c r="F3773" s="252"/>
      <c r="G3773" s="252"/>
      <c r="H3773" s="252"/>
      <c r="I3773" s="252"/>
      <c r="J3773" s="252"/>
      <c r="K3773" s="253"/>
    </row>
    <row r="3774" spans="1:11" ht="22" customHeight="1" x14ac:dyDescent="0.35">
      <c r="A3774" s="251"/>
      <c r="B3774" s="252"/>
      <c r="C3774" s="252"/>
      <c r="D3774" s="252"/>
      <c r="E3774" s="252"/>
      <c r="F3774" s="252"/>
      <c r="G3774" s="252"/>
      <c r="H3774" s="252"/>
      <c r="I3774" s="252"/>
      <c r="J3774" s="252"/>
      <c r="K3774" s="253"/>
    </row>
    <row r="3775" spans="1:11" ht="22" customHeight="1" x14ac:dyDescent="0.35">
      <c r="A3775" s="251"/>
      <c r="B3775" s="252"/>
      <c r="C3775" s="252"/>
      <c r="D3775" s="252"/>
      <c r="E3775" s="252"/>
      <c r="F3775" s="252"/>
      <c r="G3775" s="252"/>
      <c r="H3775" s="252"/>
      <c r="I3775" s="252"/>
      <c r="J3775" s="252"/>
      <c r="K3775" s="253"/>
    </row>
    <row r="3776" spans="1:11" ht="22" customHeight="1" x14ac:dyDescent="0.35">
      <c r="A3776" s="251"/>
      <c r="B3776" s="252"/>
      <c r="C3776" s="252"/>
      <c r="D3776" s="252"/>
      <c r="E3776" s="252"/>
      <c r="F3776" s="252"/>
      <c r="G3776" s="252"/>
      <c r="H3776" s="252"/>
      <c r="I3776" s="252"/>
      <c r="J3776" s="252"/>
      <c r="K3776" s="253"/>
    </row>
    <row r="3777" spans="1:11" ht="22" customHeight="1" x14ac:dyDescent="0.35">
      <c r="A3777" s="251"/>
      <c r="B3777" s="252"/>
      <c r="C3777" s="252"/>
      <c r="D3777" s="252"/>
      <c r="E3777" s="252"/>
      <c r="F3777" s="252"/>
      <c r="G3777" s="252"/>
      <c r="H3777" s="252"/>
      <c r="I3777" s="252"/>
      <c r="J3777" s="252"/>
      <c r="K3777" s="253"/>
    </row>
    <row r="3778" spans="1:11" ht="22" customHeight="1" x14ac:dyDescent="0.35">
      <c r="A3778" s="251"/>
      <c r="B3778" s="252"/>
      <c r="C3778" s="252"/>
      <c r="D3778" s="252"/>
      <c r="E3778" s="252"/>
      <c r="F3778" s="252"/>
      <c r="G3778" s="252"/>
      <c r="H3778" s="252"/>
      <c r="I3778" s="252"/>
      <c r="J3778" s="252"/>
      <c r="K3778" s="253"/>
    </row>
    <row r="3779" spans="1:11" ht="22" customHeight="1" x14ac:dyDescent="0.35">
      <c r="A3779" s="251"/>
      <c r="B3779" s="252"/>
      <c r="C3779" s="252"/>
      <c r="D3779" s="252"/>
      <c r="E3779" s="252"/>
      <c r="F3779" s="252"/>
      <c r="G3779" s="252"/>
      <c r="H3779" s="252"/>
      <c r="I3779" s="252"/>
      <c r="J3779" s="252"/>
      <c r="K3779" s="253"/>
    </row>
    <row r="3780" spans="1:11" ht="22" customHeight="1" x14ac:dyDescent="0.35">
      <c r="A3780" s="251"/>
      <c r="B3780" s="252"/>
      <c r="C3780" s="252"/>
      <c r="D3780" s="252"/>
      <c r="E3780" s="252"/>
      <c r="F3780" s="252"/>
      <c r="G3780" s="252"/>
      <c r="H3780" s="252"/>
      <c r="I3780" s="252"/>
      <c r="J3780" s="252"/>
      <c r="K3780" s="253"/>
    </row>
    <row r="3781" spans="1:11" ht="22" customHeight="1" x14ac:dyDescent="0.35">
      <c r="A3781" s="251"/>
      <c r="B3781" s="252"/>
      <c r="C3781" s="252"/>
      <c r="D3781" s="252"/>
      <c r="E3781" s="252"/>
      <c r="F3781" s="252"/>
      <c r="G3781" s="252"/>
      <c r="H3781" s="252"/>
      <c r="I3781" s="252"/>
      <c r="J3781" s="252"/>
      <c r="K3781" s="253"/>
    </row>
    <row r="3782" spans="1:11" ht="22" customHeight="1" x14ac:dyDescent="0.35">
      <c r="A3782" s="251"/>
      <c r="B3782" s="252"/>
      <c r="C3782" s="252"/>
      <c r="D3782" s="252"/>
      <c r="E3782" s="252"/>
      <c r="F3782" s="252"/>
      <c r="G3782" s="252"/>
      <c r="H3782" s="252"/>
      <c r="I3782" s="252"/>
      <c r="J3782" s="252"/>
      <c r="K3782" s="253"/>
    </row>
    <row r="3783" spans="1:11" ht="22" customHeight="1" x14ac:dyDescent="0.35">
      <c r="A3783" s="251"/>
      <c r="B3783" s="252"/>
      <c r="C3783" s="252"/>
      <c r="D3783" s="252"/>
      <c r="E3783" s="252"/>
      <c r="F3783" s="252"/>
      <c r="G3783" s="252"/>
      <c r="H3783" s="252"/>
      <c r="I3783" s="252"/>
      <c r="J3783" s="252"/>
      <c r="K3783" s="253"/>
    </row>
    <row r="3784" spans="1:11" ht="22" customHeight="1" x14ac:dyDescent="0.35">
      <c r="A3784" s="251"/>
      <c r="B3784" s="252"/>
      <c r="C3784" s="252"/>
      <c r="D3784" s="252"/>
      <c r="E3784" s="252"/>
      <c r="F3784" s="252"/>
      <c r="G3784" s="252"/>
      <c r="H3784" s="252"/>
      <c r="I3784" s="252"/>
      <c r="J3784" s="252"/>
      <c r="K3784" s="253"/>
    </row>
    <row r="3785" spans="1:11" ht="22" customHeight="1" x14ac:dyDescent="0.35">
      <c r="A3785" s="251"/>
      <c r="B3785" s="252"/>
      <c r="C3785" s="252"/>
      <c r="D3785" s="252"/>
      <c r="E3785" s="252"/>
      <c r="F3785" s="252"/>
      <c r="G3785" s="252"/>
      <c r="H3785" s="252"/>
      <c r="I3785" s="252"/>
      <c r="J3785" s="252"/>
      <c r="K3785" s="253"/>
    </row>
    <row r="3786" spans="1:11" ht="22" customHeight="1" x14ac:dyDescent="0.35">
      <c r="A3786" s="251"/>
      <c r="B3786" s="252"/>
      <c r="C3786" s="252"/>
      <c r="D3786" s="252"/>
      <c r="E3786" s="252"/>
      <c r="F3786" s="252"/>
      <c r="G3786" s="252"/>
      <c r="H3786" s="252"/>
      <c r="I3786" s="252"/>
      <c r="J3786" s="252"/>
      <c r="K3786" s="253"/>
    </row>
    <row r="3787" spans="1:11" ht="22" customHeight="1" x14ac:dyDescent="0.35">
      <c r="A3787" s="251"/>
      <c r="B3787" s="252"/>
      <c r="C3787" s="252"/>
      <c r="D3787" s="252"/>
      <c r="E3787" s="252"/>
      <c r="F3787" s="252"/>
      <c r="G3787" s="252"/>
      <c r="H3787" s="252"/>
      <c r="I3787" s="252"/>
      <c r="J3787" s="252"/>
      <c r="K3787" s="253"/>
    </row>
    <row r="3788" spans="1:11" ht="22" customHeight="1" x14ac:dyDescent="0.35">
      <c r="A3788" s="251"/>
      <c r="B3788" s="252"/>
      <c r="C3788" s="252"/>
      <c r="D3788" s="252"/>
      <c r="E3788" s="252"/>
      <c r="F3788" s="252"/>
      <c r="G3788" s="252"/>
      <c r="H3788" s="252"/>
      <c r="I3788" s="252"/>
      <c r="J3788" s="252"/>
      <c r="K3788" s="253"/>
    </row>
    <row r="3789" spans="1:11" ht="22" customHeight="1" x14ac:dyDescent="0.35">
      <c r="A3789" s="251"/>
      <c r="B3789" s="252"/>
      <c r="C3789" s="252"/>
      <c r="D3789" s="252"/>
      <c r="E3789" s="252"/>
      <c r="F3789" s="252"/>
      <c r="G3789" s="252"/>
      <c r="H3789" s="252"/>
      <c r="I3789" s="252"/>
      <c r="J3789" s="252"/>
      <c r="K3789" s="253"/>
    </row>
    <row r="3790" spans="1:11" ht="22" customHeight="1" x14ac:dyDescent="0.35">
      <c r="A3790" s="251"/>
      <c r="B3790" s="252"/>
      <c r="C3790" s="252"/>
      <c r="D3790" s="252"/>
      <c r="E3790" s="252"/>
      <c r="F3790" s="252"/>
      <c r="G3790" s="252"/>
      <c r="H3790" s="252"/>
      <c r="I3790" s="252"/>
      <c r="J3790" s="252"/>
      <c r="K3790" s="253"/>
    </row>
    <row r="3791" spans="1:11" ht="22" customHeight="1" x14ac:dyDescent="0.35">
      <c r="A3791" s="251"/>
      <c r="B3791" s="252"/>
      <c r="C3791" s="252"/>
      <c r="D3791" s="252"/>
      <c r="E3791" s="252"/>
      <c r="F3791" s="252"/>
      <c r="G3791" s="252"/>
      <c r="H3791" s="252"/>
      <c r="I3791" s="252"/>
      <c r="J3791" s="252"/>
      <c r="K3791" s="253"/>
    </row>
    <row r="3792" spans="1:11" ht="22" customHeight="1" x14ac:dyDescent="0.35">
      <c r="A3792" s="251"/>
      <c r="B3792" s="252"/>
      <c r="C3792" s="252"/>
      <c r="D3792" s="252"/>
      <c r="E3792" s="252"/>
      <c r="F3792" s="252"/>
      <c r="G3792" s="252"/>
      <c r="H3792" s="252"/>
      <c r="I3792" s="252"/>
      <c r="J3792" s="252"/>
      <c r="K3792" s="253"/>
    </row>
    <row r="3793" spans="1:11" ht="22" customHeight="1" x14ac:dyDescent="0.35">
      <c r="A3793" s="251"/>
      <c r="B3793" s="252"/>
      <c r="C3793" s="252"/>
      <c r="D3793" s="252"/>
      <c r="E3793" s="252"/>
      <c r="F3793" s="252"/>
      <c r="G3793" s="252"/>
      <c r="H3793" s="252"/>
      <c r="I3793" s="252"/>
      <c r="J3793" s="252"/>
      <c r="K3793" s="253"/>
    </row>
    <row r="3794" spans="1:11" ht="22" customHeight="1" x14ac:dyDescent="0.35">
      <c r="A3794" s="251"/>
      <c r="B3794" s="252"/>
      <c r="C3794" s="252"/>
      <c r="D3794" s="252"/>
      <c r="E3794" s="252"/>
      <c r="F3794" s="252"/>
      <c r="G3794" s="252"/>
      <c r="H3794" s="252"/>
      <c r="I3794" s="252"/>
      <c r="J3794" s="252"/>
      <c r="K3794" s="253"/>
    </row>
    <row r="3795" spans="1:11" ht="22" customHeight="1" x14ac:dyDescent="0.35">
      <c r="A3795" s="251"/>
      <c r="B3795" s="252"/>
      <c r="C3795" s="252"/>
      <c r="D3795" s="252"/>
      <c r="E3795" s="252"/>
      <c r="F3795" s="252"/>
      <c r="G3795" s="252"/>
      <c r="H3795" s="252"/>
      <c r="I3795" s="252"/>
      <c r="J3795" s="252"/>
      <c r="K3795" s="253"/>
    </row>
    <row r="3796" spans="1:11" ht="22" customHeight="1" x14ac:dyDescent="0.35">
      <c r="A3796" s="251"/>
      <c r="B3796" s="252"/>
      <c r="C3796" s="252"/>
      <c r="D3796" s="252"/>
      <c r="E3796" s="252"/>
      <c r="F3796" s="252"/>
      <c r="G3796" s="252"/>
      <c r="H3796" s="252"/>
      <c r="I3796" s="252"/>
      <c r="J3796" s="252"/>
      <c r="K3796" s="253"/>
    </row>
    <row r="3797" spans="1:11" ht="22" customHeight="1" x14ac:dyDescent="0.35">
      <c r="A3797" s="251"/>
      <c r="B3797" s="252"/>
      <c r="C3797" s="252"/>
      <c r="D3797" s="252"/>
      <c r="E3797" s="252"/>
      <c r="F3797" s="252"/>
      <c r="G3797" s="252"/>
      <c r="H3797" s="252"/>
      <c r="I3797" s="252"/>
      <c r="J3797" s="252"/>
      <c r="K3797" s="253"/>
    </row>
    <row r="3798" spans="1:11" ht="22" customHeight="1" x14ac:dyDescent="0.35">
      <c r="A3798" s="251"/>
      <c r="B3798" s="252"/>
      <c r="C3798" s="252"/>
      <c r="D3798" s="252"/>
      <c r="E3798" s="252"/>
      <c r="F3798" s="252"/>
      <c r="G3798" s="252"/>
      <c r="H3798" s="252"/>
      <c r="I3798" s="252"/>
      <c r="J3798" s="252"/>
      <c r="K3798" s="253"/>
    </row>
    <row r="3799" spans="1:11" ht="22" customHeight="1" x14ac:dyDescent="0.35">
      <c r="A3799" s="251"/>
      <c r="B3799" s="252"/>
      <c r="C3799" s="252"/>
      <c r="D3799" s="252"/>
      <c r="E3799" s="252"/>
      <c r="F3799" s="252"/>
      <c r="G3799" s="252"/>
      <c r="H3799" s="252"/>
      <c r="I3799" s="252"/>
      <c r="J3799" s="252"/>
      <c r="K3799" s="253"/>
    </row>
    <row r="3800" spans="1:11" ht="22" customHeight="1" x14ac:dyDescent="0.35">
      <c r="A3800" s="251"/>
      <c r="B3800" s="252"/>
      <c r="C3800" s="252"/>
      <c r="D3800" s="252"/>
      <c r="E3800" s="252"/>
      <c r="F3800" s="252"/>
      <c r="G3800" s="252"/>
      <c r="H3800" s="252"/>
      <c r="I3800" s="252"/>
      <c r="J3800" s="252"/>
      <c r="K3800" s="253"/>
    </row>
    <row r="3801" spans="1:11" ht="22" customHeight="1" x14ac:dyDescent="0.35">
      <c r="A3801" s="251"/>
      <c r="B3801" s="252"/>
      <c r="C3801" s="252"/>
      <c r="D3801" s="252"/>
      <c r="E3801" s="252"/>
      <c r="F3801" s="252"/>
      <c r="G3801" s="252"/>
      <c r="H3801" s="252"/>
      <c r="I3801" s="252"/>
      <c r="J3801" s="252"/>
      <c r="K3801" s="253"/>
    </row>
    <row r="3802" spans="1:11" ht="22" customHeight="1" x14ac:dyDescent="0.35">
      <c r="A3802" s="251"/>
      <c r="B3802" s="252"/>
      <c r="C3802" s="252"/>
      <c r="D3802" s="252"/>
      <c r="E3802" s="252"/>
      <c r="F3802" s="252"/>
      <c r="G3802" s="252"/>
      <c r="H3802" s="252"/>
      <c r="I3802" s="252"/>
      <c r="J3802" s="252"/>
      <c r="K3802" s="253"/>
    </row>
    <row r="3803" spans="1:11" ht="22" customHeight="1" x14ac:dyDescent="0.35">
      <c r="A3803" s="251"/>
      <c r="B3803" s="252"/>
      <c r="C3803" s="252"/>
      <c r="D3803" s="252"/>
      <c r="E3803" s="252"/>
      <c r="F3803" s="252"/>
      <c r="G3803" s="252"/>
      <c r="H3803" s="252"/>
      <c r="I3803" s="252"/>
      <c r="J3803" s="252"/>
      <c r="K3803" s="253"/>
    </row>
    <row r="3804" spans="1:11" ht="22" customHeight="1" x14ac:dyDescent="0.35">
      <c r="A3804" s="251"/>
      <c r="B3804" s="252"/>
      <c r="C3804" s="252"/>
      <c r="D3804" s="252"/>
      <c r="E3804" s="252"/>
      <c r="F3804" s="252"/>
      <c r="G3804" s="252"/>
      <c r="H3804" s="252"/>
      <c r="I3804" s="252"/>
      <c r="J3804" s="252"/>
      <c r="K3804" s="253"/>
    </row>
    <row r="3805" spans="1:11" ht="22" customHeight="1" x14ac:dyDescent="0.35">
      <c r="A3805" s="251"/>
      <c r="B3805" s="252"/>
      <c r="C3805" s="252"/>
      <c r="D3805" s="252"/>
      <c r="E3805" s="252"/>
      <c r="F3805" s="252"/>
      <c r="G3805" s="252"/>
      <c r="H3805" s="252"/>
      <c r="I3805" s="252"/>
      <c r="J3805" s="252"/>
      <c r="K3805" s="253"/>
    </row>
    <row r="3806" spans="1:11" ht="22" customHeight="1" x14ac:dyDescent="0.35">
      <c r="A3806" s="251"/>
      <c r="B3806" s="252"/>
      <c r="C3806" s="252"/>
      <c r="D3806" s="252"/>
      <c r="E3806" s="252"/>
      <c r="F3806" s="252"/>
      <c r="G3806" s="252"/>
      <c r="H3806" s="252"/>
      <c r="I3806" s="252"/>
      <c r="J3806" s="252"/>
      <c r="K3806" s="253"/>
    </row>
    <row r="3807" spans="1:11" ht="22" customHeight="1" x14ac:dyDescent="0.35">
      <c r="A3807" s="251"/>
      <c r="B3807" s="252"/>
      <c r="C3807" s="252"/>
      <c r="D3807" s="252"/>
      <c r="E3807" s="252"/>
      <c r="F3807" s="252"/>
      <c r="G3807" s="252"/>
      <c r="H3807" s="252"/>
      <c r="I3807" s="252"/>
      <c r="J3807" s="252"/>
      <c r="K3807" s="253"/>
    </row>
    <row r="3808" spans="1:11" ht="22" customHeight="1" x14ac:dyDescent="0.35">
      <c r="A3808" s="251"/>
      <c r="B3808" s="252"/>
      <c r="C3808" s="252"/>
      <c r="D3808" s="252"/>
      <c r="E3808" s="252"/>
      <c r="F3808" s="252"/>
      <c r="G3808" s="252"/>
      <c r="H3808" s="252"/>
      <c r="I3808" s="252"/>
      <c r="J3808" s="252"/>
      <c r="K3808" s="253"/>
    </row>
    <row r="3809" spans="1:11" ht="22" customHeight="1" x14ac:dyDescent="0.35">
      <c r="A3809" s="251"/>
      <c r="B3809" s="252"/>
      <c r="C3809" s="252"/>
      <c r="D3809" s="252"/>
      <c r="E3809" s="252"/>
      <c r="F3809" s="252"/>
      <c r="G3809" s="252"/>
      <c r="H3809" s="252"/>
      <c r="I3809" s="252"/>
      <c r="J3809" s="252"/>
      <c r="K3809" s="253"/>
    </row>
    <row r="3810" spans="1:11" ht="22" customHeight="1" x14ac:dyDescent="0.35">
      <c r="A3810" s="251"/>
      <c r="B3810" s="252"/>
      <c r="C3810" s="252"/>
      <c r="D3810" s="252"/>
      <c r="E3810" s="252"/>
      <c r="F3810" s="252"/>
      <c r="G3810" s="252"/>
      <c r="H3810" s="252"/>
      <c r="I3810" s="252"/>
      <c r="J3810" s="252"/>
      <c r="K3810" s="253"/>
    </row>
    <row r="3811" spans="1:11" ht="22" customHeight="1" x14ac:dyDescent="0.35">
      <c r="A3811" s="251"/>
      <c r="B3811" s="252"/>
      <c r="C3811" s="252"/>
      <c r="D3811" s="252"/>
      <c r="E3811" s="252"/>
      <c r="F3811" s="252"/>
      <c r="G3811" s="252"/>
      <c r="H3811" s="252"/>
      <c r="I3811" s="252"/>
      <c r="J3811" s="252"/>
      <c r="K3811" s="253"/>
    </row>
    <row r="3812" spans="1:11" ht="22" customHeight="1" x14ac:dyDescent="0.35">
      <c r="A3812" s="251"/>
      <c r="B3812" s="252"/>
      <c r="C3812" s="252"/>
      <c r="D3812" s="252"/>
      <c r="E3812" s="252"/>
      <c r="F3812" s="252"/>
      <c r="G3812" s="252"/>
      <c r="H3812" s="252"/>
      <c r="I3812" s="252"/>
      <c r="J3812" s="252"/>
      <c r="K3812" s="253"/>
    </row>
    <row r="3813" spans="1:11" ht="22" customHeight="1" x14ac:dyDescent="0.35">
      <c r="A3813" s="251"/>
      <c r="B3813" s="252"/>
      <c r="C3813" s="252"/>
      <c r="D3813" s="252"/>
      <c r="E3813" s="252"/>
      <c r="F3813" s="252"/>
      <c r="G3813" s="252"/>
      <c r="H3813" s="252"/>
      <c r="I3813" s="252"/>
      <c r="J3813" s="252"/>
      <c r="K3813" s="253"/>
    </row>
    <row r="3814" spans="1:11" ht="22" customHeight="1" x14ac:dyDescent="0.35">
      <c r="A3814" s="251"/>
      <c r="B3814" s="252"/>
      <c r="C3814" s="252"/>
      <c r="D3814" s="252"/>
      <c r="E3814" s="252"/>
      <c r="F3814" s="252"/>
      <c r="G3814" s="252"/>
      <c r="H3814" s="252"/>
      <c r="I3814" s="252"/>
      <c r="J3814" s="252"/>
      <c r="K3814" s="253"/>
    </row>
    <row r="3815" spans="1:11" ht="22" customHeight="1" x14ac:dyDescent="0.35">
      <c r="A3815" s="251"/>
      <c r="B3815" s="252"/>
      <c r="C3815" s="252"/>
      <c r="D3815" s="252"/>
      <c r="E3815" s="252"/>
      <c r="F3815" s="252"/>
      <c r="G3815" s="252"/>
      <c r="H3815" s="252"/>
      <c r="I3815" s="252"/>
      <c r="J3815" s="252"/>
      <c r="K3815" s="253"/>
    </row>
    <row r="3816" spans="1:11" ht="22" customHeight="1" x14ac:dyDescent="0.35">
      <c r="A3816" s="251"/>
      <c r="B3816" s="252"/>
      <c r="C3816" s="252"/>
      <c r="D3816" s="252"/>
      <c r="E3816" s="252"/>
      <c r="F3816" s="252"/>
      <c r="G3816" s="252"/>
      <c r="H3816" s="252"/>
      <c r="I3816" s="252"/>
      <c r="J3816" s="252"/>
      <c r="K3816" s="253"/>
    </row>
    <row r="3817" spans="1:11" ht="22" customHeight="1" x14ac:dyDescent="0.35">
      <c r="A3817" s="251"/>
      <c r="B3817" s="252"/>
      <c r="C3817" s="252"/>
      <c r="D3817" s="252"/>
      <c r="E3817" s="252"/>
      <c r="F3817" s="252"/>
      <c r="G3817" s="252"/>
      <c r="H3817" s="252"/>
      <c r="I3817" s="252"/>
      <c r="J3817" s="252"/>
      <c r="K3817" s="253"/>
    </row>
    <row r="3818" spans="1:11" ht="22" customHeight="1" x14ac:dyDescent="0.35">
      <c r="A3818" s="251"/>
      <c r="B3818" s="252"/>
      <c r="C3818" s="252"/>
      <c r="D3818" s="252"/>
      <c r="E3818" s="252"/>
      <c r="F3818" s="252"/>
      <c r="G3818" s="252"/>
      <c r="H3818" s="252"/>
      <c r="I3818" s="252"/>
      <c r="J3818" s="252"/>
      <c r="K3818" s="253"/>
    </row>
    <row r="3819" spans="1:11" ht="22" customHeight="1" x14ac:dyDescent="0.35">
      <c r="A3819" s="251"/>
      <c r="B3819" s="252"/>
      <c r="C3819" s="252"/>
      <c r="D3819" s="252"/>
      <c r="E3819" s="252"/>
      <c r="F3819" s="252"/>
      <c r="G3819" s="252"/>
      <c r="H3819" s="252"/>
      <c r="I3819" s="252"/>
      <c r="J3819" s="252"/>
      <c r="K3819" s="253"/>
    </row>
    <row r="3820" spans="1:11" ht="22" customHeight="1" x14ac:dyDescent="0.35">
      <c r="A3820" s="251"/>
      <c r="B3820" s="252"/>
      <c r="C3820" s="252"/>
      <c r="D3820" s="252"/>
      <c r="E3820" s="252"/>
      <c r="F3820" s="252"/>
      <c r="G3820" s="252"/>
      <c r="H3820" s="252"/>
      <c r="I3820" s="252"/>
      <c r="J3820" s="252"/>
      <c r="K3820" s="253"/>
    </row>
    <row r="3821" spans="1:11" ht="22" customHeight="1" x14ac:dyDescent="0.35">
      <c r="A3821" s="251"/>
      <c r="B3821" s="252"/>
      <c r="C3821" s="252"/>
      <c r="D3821" s="252"/>
      <c r="E3821" s="252"/>
      <c r="F3821" s="252"/>
      <c r="G3821" s="252"/>
      <c r="H3821" s="252"/>
      <c r="I3821" s="252"/>
      <c r="J3821" s="252"/>
      <c r="K3821" s="253"/>
    </row>
    <row r="3822" spans="1:11" ht="22" customHeight="1" x14ac:dyDescent="0.35">
      <c r="A3822" s="251"/>
      <c r="B3822" s="252"/>
      <c r="C3822" s="252"/>
      <c r="D3822" s="252"/>
      <c r="E3822" s="252"/>
      <c r="F3822" s="252"/>
      <c r="G3822" s="252"/>
      <c r="H3822" s="252"/>
      <c r="I3822" s="252"/>
      <c r="J3822" s="252"/>
      <c r="K3822" s="253"/>
    </row>
    <row r="3823" spans="1:11" ht="22" customHeight="1" x14ac:dyDescent="0.35">
      <c r="A3823" s="251"/>
      <c r="B3823" s="252"/>
      <c r="C3823" s="252"/>
      <c r="D3823" s="252"/>
      <c r="E3823" s="252"/>
      <c r="F3823" s="252"/>
      <c r="G3823" s="252"/>
      <c r="H3823" s="252"/>
      <c r="I3823" s="252"/>
      <c r="J3823" s="252"/>
      <c r="K3823" s="253"/>
    </row>
    <row r="3824" spans="1:11" ht="22" customHeight="1" x14ac:dyDescent="0.35">
      <c r="A3824" s="251"/>
      <c r="B3824" s="252"/>
      <c r="C3824" s="252"/>
      <c r="D3824" s="252"/>
      <c r="E3824" s="252"/>
      <c r="F3824" s="252"/>
      <c r="G3824" s="252"/>
      <c r="H3824" s="252"/>
      <c r="I3824" s="252"/>
      <c r="J3824" s="252"/>
      <c r="K3824" s="253"/>
    </row>
    <row r="3825" spans="1:11" ht="22" customHeight="1" x14ac:dyDescent="0.35">
      <c r="A3825" s="251"/>
      <c r="B3825" s="252"/>
      <c r="C3825" s="252"/>
      <c r="D3825" s="252"/>
      <c r="E3825" s="252"/>
      <c r="F3825" s="252"/>
      <c r="G3825" s="252"/>
      <c r="H3825" s="252"/>
      <c r="I3825" s="252"/>
      <c r="J3825" s="252"/>
      <c r="K3825" s="253"/>
    </row>
    <row r="3826" spans="1:11" ht="22" customHeight="1" x14ac:dyDescent="0.35">
      <c r="A3826" s="251"/>
      <c r="B3826" s="252"/>
      <c r="C3826" s="252"/>
      <c r="D3826" s="252"/>
      <c r="E3826" s="252"/>
      <c r="F3826" s="252"/>
      <c r="G3826" s="252"/>
      <c r="H3826" s="252"/>
      <c r="I3826" s="252"/>
      <c r="J3826" s="252"/>
      <c r="K3826" s="253"/>
    </row>
    <row r="3827" spans="1:11" ht="22" customHeight="1" x14ac:dyDescent="0.35">
      <c r="A3827" s="251"/>
      <c r="B3827" s="252"/>
      <c r="C3827" s="252"/>
      <c r="D3827" s="252"/>
      <c r="E3827" s="252"/>
      <c r="F3827" s="252"/>
      <c r="G3827" s="252"/>
      <c r="H3827" s="252"/>
      <c r="I3827" s="252"/>
      <c r="J3827" s="252"/>
      <c r="K3827" s="253"/>
    </row>
    <row r="3828" spans="1:11" ht="22" customHeight="1" x14ac:dyDescent="0.35">
      <c r="A3828" s="251"/>
      <c r="B3828" s="252"/>
      <c r="C3828" s="252"/>
      <c r="D3828" s="252"/>
      <c r="E3828" s="252"/>
      <c r="F3828" s="252"/>
      <c r="G3828" s="252"/>
      <c r="H3828" s="252"/>
      <c r="I3828" s="252"/>
      <c r="J3828" s="252"/>
      <c r="K3828" s="253"/>
    </row>
    <row r="3829" spans="1:11" ht="22" customHeight="1" x14ac:dyDescent="0.35">
      <c r="A3829" s="251"/>
      <c r="B3829" s="252"/>
      <c r="C3829" s="252"/>
      <c r="D3829" s="252"/>
      <c r="E3829" s="252"/>
      <c r="F3829" s="252"/>
      <c r="G3829" s="252"/>
      <c r="H3829" s="252"/>
      <c r="I3829" s="252"/>
      <c r="J3829" s="252"/>
      <c r="K3829" s="253"/>
    </row>
    <row r="3830" spans="1:11" ht="22" customHeight="1" x14ac:dyDescent="0.35">
      <c r="A3830" s="251"/>
      <c r="B3830" s="252"/>
      <c r="C3830" s="252"/>
      <c r="D3830" s="252"/>
      <c r="E3830" s="252"/>
      <c r="F3830" s="252"/>
      <c r="G3830" s="252"/>
      <c r="H3830" s="252"/>
      <c r="I3830" s="252"/>
      <c r="J3830" s="252"/>
      <c r="K3830" s="253"/>
    </row>
    <row r="3831" spans="1:11" ht="22" customHeight="1" x14ac:dyDescent="0.35">
      <c r="A3831" s="251"/>
      <c r="B3831" s="252"/>
      <c r="C3831" s="252"/>
      <c r="D3831" s="252"/>
      <c r="E3831" s="252"/>
      <c r="F3831" s="252"/>
      <c r="G3831" s="252"/>
      <c r="H3831" s="252"/>
      <c r="I3831" s="252"/>
      <c r="J3831" s="252"/>
      <c r="K3831" s="253"/>
    </row>
    <row r="3832" spans="1:11" ht="22" customHeight="1" x14ac:dyDescent="0.35">
      <c r="A3832" s="251"/>
      <c r="B3832" s="252"/>
      <c r="C3832" s="252"/>
      <c r="D3832" s="252"/>
      <c r="E3832" s="252"/>
      <c r="F3832" s="252"/>
      <c r="G3832" s="252"/>
      <c r="H3832" s="252"/>
      <c r="I3832" s="252"/>
      <c r="J3832" s="252"/>
      <c r="K3832" s="253"/>
    </row>
    <row r="3833" spans="1:11" ht="22" customHeight="1" x14ac:dyDescent="0.35">
      <c r="A3833" s="251"/>
      <c r="B3833" s="252"/>
      <c r="C3833" s="252"/>
      <c r="D3833" s="252"/>
      <c r="E3833" s="252"/>
      <c r="F3833" s="252"/>
      <c r="G3833" s="252"/>
      <c r="H3833" s="252"/>
      <c r="I3833" s="252"/>
      <c r="J3833" s="252"/>
      <c r="K3833" s="253"/>
    </row>
    <row r="3834" spans="1:11" ht="22" customHeight="1" x14ac:dyDescent="0.35">
      <c r="A3834" s="251"/>
      <c r="B3834" s="252"/>
      <c r="C3834" s="252"/>
      <c r="D3834" s="252"/>
      <c r="E3834" s="252"/>
      <c r="F3834" s="252"/>
      <c r="G3834" s="252"/>
      <c r="H3834" s="252"/>
      <c r="I3834" s="252"/>
      <c r="J3834" s="252"/>
      <c r="K3834" s="253"/>
    </row>
    <row r="3835" spans="1:11" ht="22" customHeight="1" x14ac:dyDescent="0.35">
      <c r="A3835" s="251"/>
      <c r="B3835" s="252"/>
      <c r="C3835" s="252"/>
      <c r="D3835" s="252"/>
      <c r="E3835" s="252"/>
      <c r="F3835" s="252"/>
      <c r="G3835" s="252"/>
      <c r="H3835" s="252"/>
      <c r="I3835" s="252"/>
      <c r="J3835" s="252"/>
      <c r="K3835" s="253"/>
    </row>
    <row r="3836" spans="1:11" ht="22" customHeight="1" x14ac:dyDescent="0.35">
      <c r="A3836" s="251"/>
      <c r="B3836" s="252"/>
      <c r="C3836" s="252"/>
      <c r="D3836" s="252"/>
      <c r="E3836" s="252"/>
      <c r="F3836" s="252"/>
      <c r="G3836" s="252"/>
      <c r="H3836" s="252"/>
      <c r="I3836" s="252"/>
      <c r="J3836" s="252"/>
      <c r="K3836" s="253"/>
    </row>
    <row r="3837" spans="1:11" ht="22" customHeight="1" x14ac:dyDescent="0.35">
      <c r="A3837" s="251"/>
      <c r="B3837" s="252"/>
      <c r="C3837" s="252"/>
      <c r="D3837" s="252"/>
      <c r="E3837" s="252"/>
      <c r="F3837" s="252"/>
      <c r="G3837" s="252"/>
      <c r="H3837" s="252"/>
      <c r="I3837" s="252"/>
      <c r="J3837" s="252"/>
      <c r="K3837" s="253"/>
    </row>
    <row r="3838" spans="1:11" ht="22" customHeight="1" x14ac:dyDescent="0.35">
      <c r="A3838" s="251"/>
      <c r="B3838" s="252"/>
      <c r="C3838" s="252"/>
      <c r="D3838" s="252"/>
      <c r="E3838" s="252"/>
      <c r="F3838" s="252"/>
      <c r="G3838" s="252"/>
      <c r="H3838" s="252"/>
      <c r="I3838" s="252"/>
      <c r="J3838" s="252"/>
      <c r="K3838" s="253"/>
    </row>
    <row r="3839" spans="1:11" ht="22" customHeight="1" x14ac:dyDescent="0.35">
      <c r="A3839" s="251"/>
      <c r="B3839" s="252"/>
      <c r="C3839" s="252"/>
      <c r="D3839" s="252"/>
      <c r="E3839" s="252"/>
      <c r="F3839" s="252"/>
      <c r="G3839" s="252"/>
      <c r="H3839" s="252"/>
      <c r="I3839" s="252"/>
      <c r="J3839" s="252"/>
      <c r="K3839" s="253"/>
    </row>
    <row r="3840" spans="1:11" ht="22" customHeight="1" x14ac:dyDescent="0.35">
      <c r="A3840" s="251"/>
      <c r="B3840" s="252"/>
      <c r="C3840" s="252"/>
      <c r="D3840" s="252"/>
      <c r="E3840" s="252"/>
      <c r="F3840" s="252"/>
      <c r="G3840" s="252"/>
      <c r="H3840" s="252"/>
      <c r="I3840" s="252"/>
      <c r="J3840" s="252"/>
      <c r="K3840" s="253"/>
    </row>
    <row r="3841" spans="1:11" ht="22" customHeight="1" x14ac:dyDescent="0.35">
      <c r="A3841" s="251"/>
      <c r="B3841" s="252"/>
      <c r="C3841" s="252"/>
      <c r="D3841" s="252"/>
      <c r="E3841" s="252"/>
      <c r="F3841" s="252"/>
      <c r="G3841" s="252"/>
      <c r="H3841" s="252"/>
      <c r="I3841" s="252"/>
      <c r="J3841" s="252"/>
      <c r="K3841" s="253"/>
    </row>
    <row r="3842" spans="1:11" ht="22" customHeight="1" x14ac:dyDescent="0.35">
      <c r="A3842" s="251"/>
      <c r="B3842" s="252"/>
      <c r="C3842" s="252"/>
      <c r="D3842" s="252"/>
      <c r="E3842" s="252"/>
      <c r="F3842" s="252"/>
      <c r="G3842" s="252"/>
      <c r="H3842" s="252"/>
      <c r="I3842" s="252"/>
      <c r="J3842" s="252"/>
      <c r="K3842" s="253"/>
    </row>
    <row r="3843" spans="1:11" ht="22" customHeight="1" x14ac:dyDescent="0.35">
      <c r="A3843" s="251"/>
      <c r="B3843" s="252"/>
      <c r="C3843" s="252"/>
      <c r="D3843" s="252"/>
      <c r="E3843" s="252"/>
      <c r="F3843" s="252"/>
      <c r="G3843" s="252"/>
      <c r="H3843" s="252"/>
      <c r="I3843" s="252"/>
      <c r="J3843" s="252"/>
      <c r="K3843" s="253"/>
    </row>
    <row r="3844" spans="1:11" ht="22" customHeight="1" x14ac:dyDescent="0.35">
      <c r="A3844" s="251"/>
      <c r="B3844" s="252"/>
      <c r="C3844" s="252"/>
      <c r="D3844" s="252"/>
      <c r="E3844" s="252"/>
      <c r="F3844" s="252"/>
      <c r="G3844" s="252"/>
      <c r="H3844" s="252"/>
      <c r="I3844" s="252"/>
      <c r="J3844" s="252"/>
      <c r="K3844" s="253"/>
    </row>
    <row r="3845" spans="1:11" ht="22" customHeight="1" x14ac:dyDescent="0.35">
      <c r="A3845" s="251"/>
      <c r="B3845" s="252"/>
      <c r="C3845" s="252"/>
      <c r="D3845" s="252"/>
      <c r="E3845" s="252"/>
      <c r="F3845" s="252"/>
      <c r="G3845" s="252"/>
      <c r="H3845" s="252"/>
      <c r="I3845" s="252"/>
      <c r="J3845" s="252"/>
      <c r="K3845" s="253"/>
    </row>
    <row r="3846" spans="1:11" ht="22" customHeight="1" x14ac:dyDescent="0.35">
      <c r="A3846" s="251"/>
      <c r="B3846" s="252"/>
      <c r="C3846" s="252"/>
      <c r="D3846" s="252"/>
      <c r="E3846" s="252"/>
      <c r="F3846" s="252"/>
      <c r="G3846" s="252"/>
      <c r="H3846" s="252"/>
      <c r="I3846" s="252"/>
      <c r="J3846" s="252"/>
      <c r="K3846" s="253"/>
    </row>
    <row r="3847" spans="1:11" ht="22" customHeight="1" x14ac:dyDescent="0.35">
      <c r="A3847" s="251"/>
      <c r="B3847" s="252"/>
      <c r="C3847" s="252"/>
      <c r="D3847" s="252"/>
      <c r="E3847" s="252"/>
      <c r="F3847" s="252"/>
      <c r="G3847" s="252"/>
      <c r="H3847" s="252"/>
      <c r="I3847" s="252"/>
      <c r="J3847" s="252"/>
      <c r="K3847" s="253"/>
    </row>
    <row r="3848" spans="1:11" ht="22" customHeight="1" x14ac:dyDescent="0.35">
      <c r="A3848" s="251"/>
      <c r="B3848" s="252"/>
      <c r="C3848" s="252"/>
      <c r="D3848" s="252"/>
      <c r="E3848" s="252"/>
      <c r="F3848" s="252"/>
      <c r="G3848" s="252"/>
      <c r="H3848" s="252"/>
      <c r="I3848" s="252"/>
      <c r="J3848" s="252"/>
      <c r="K3848" s="253"/>
    </row>
    <row r="3849" spans="1:11" ht="22" customHeight="1" x14ac:dyDescent="0.35">
      <c r="A3849" s="251"/>
      <c r="B3849" s="252"/>
      <c r="C3849" s="252"/>
      <c r="D3849" s="252"/>
      <c r="E3849" s="252"/>
      <c r="F3849" s="252"/>
      <c r="G3849" s="252"/>
      <c r="H3849" s="252"/>
      <c r="I3849" s="252"/>
      <c r="J3849" s="252"/>
      <c r="K3849" s="253"/>
    </row>
    <row r="3850" spans="1:11" ht="22" customHeight="1" x14ac:dyDescent="0.35">
      <c r="A3850" s="251"/>
      <c r="B3850" s="252"/>
      <c r="C3850" s="252"/>
      <c r="D3850" s="252"/>
      <c r="E3850" s="252"/>
      <c r="F3850" s="252"/>
      <c r="G3850" s="252"/>
      <c r="H3850" s="252"/>
      <c r="I3850" s="252"/>
      <c r="J3850" s="252"/>
      <c r="K3850" s="253"/>
    </row>
    <row r="3851" spans="1:11" ht="22" customHeight="1" x14ac:dyDescent="0.35">
      <c r="A3851" s="251"/>
      <c r="B3851" s="252"/>
      <c r="C3851" s="252"/>
      <c r="D3851" s="252"/>
      <c r="E3851" s="252"/>
      <c r="F3851" s="252"/>
      <c r="G3851" s="252"/>
      <c r="H3851" s="252"/>
      <c r="I3851" s="252"/>
      <c r="J3851" s="252"/>
      <c r="K3851" s="253"/>
    </row>
    <row r="3852" spans="1:11" ht="22" customHeight="1" x14ac:dyDescent="0.35">
      <c r="A3852" s="251"/>
      <c r="B3852" s="252"/>
      <c r="C3852" s="252"/>
      <c r="D3852" s="252"/>
      <c r="E3852" s="252"/>
      <c r="F3852" s="252"/>
      <c r="G3852" s="252"/>
      <c r="H3852" s="252"/>
      <c r="I3852" s="252"/>
      <c r="J3852" s="252"/>
      <c r="K3852" s="253"/>
    </row>
    <row r="3853" spans="1:11" ht="22" customHeight="1" x14ac:dyDescent="0.35">
      <c r="A3853" s="251"/>
      <c r="B3853" s="252"/>
      <c r="C3853" s="252"/>
      <c r="D3853" s="252"/>
      <c r="E3853" s="252"/>
      <c r="F3853" s="252"/>
      <c r="G3853" s="252"/>
      <c r="H3853" s="252"/>
      <c r="I3853" s="252"/>
      <c r="J3853" s="252"/>
      <c r="K3853" s="253"/>
    </row>
    <row r="3854" spans="1:11" ht="22" customHeight="1" x14ac:dyDescent="0.35">
      <c r="A3854" s="251"/>
      <c r="B3854" s="252"/>
      <c r="C3854" s="252"/>
      <c r="D3854" s="252"/>
      <c r="E3854" s="252"/>
      <c r="F3854" s="252"/>
      <c r="G3854" s="252"/>
      <c r="H3854" s="252"/>
      <c r="I3854" s="252"/>
      <c r="J3854" s="252"/>
      <c r="K3854" s="253"/>
    </row>
    <row r="3855" spans="1:11" ht="22" customHeight="1" x14ac:dyDescent="0.35">
      <c r="A3855" s="251"/>
      <c r="B3855" s="252"/>
      <c r="C3855" s="252"/>
      <c r="D3855" s="252"/>
      <c r="E3855" s="252"/>
      <c r="F3855" s="252"/>
      <c r="G3855" s="252"/>
      <c r="H3855" s="252"/>
      <c r="I3855" s="252"/>
      <c r="J3855" s="252"/>
      <c r="K3855" s="253"/>
    </row>
    <row r="3856" spans="1:11" ht="22" customHeight="1" x14ac:dyDescent="0.35">
      <c r="A3856" s="251"/>
      <c r="B3856" s="252"/>
      <c r="C3856" s="252"/>
      <c r="D3856" s="252"/>
      <c r="E3856" s="252"/>
      <c r="F3856" s="252"/>
      <c r="G3856" s="252"/>
      <c r="H3856" s="252"/>
      <c r="I3856" s="252"/>
      <c r="J3856" s="252"/>
      <c r="K3856" s="253"/>
    </row>
    <row r="3857" spans="1:11" ht="22" customHeight="1" x14ac:dyDescent="0.35">
      <c r="A3857" s="251"/>
      <c r="B3857" s="252"/>
      <c r="C3857" s="252"/>
      <c r="D3857" s="252"/>
      <c r="E3857" s="252"/>
      <c r="F3857" s="252"/>
      <c r="G3857" s="252"/>
      <c r="H3857" s="252"/>
      <c r="I3857" s="252"/>
      <c r="J3857" s="252"/>
      <c r="K3857" s="253"/>
    </row>
    <row r="3858" spans="1:11" ht="22" customHeight="1" x14ac:dyDescent="0.35">
      <c r="A3858" s="251"/>
      <c r="B3858" s="252"/>
      <c r="C3858" s="252"/>
      <c r="D3858" s="252"/>
      <c r="E3858" s="252"/>
      <c r="F3858" s="252"/>
      <c r="G3858" s="252"/>
      <c r="H3858" s="252"/>
      <c r="I3858" s="252"/>
      <c r="J3858" s="252"/>
      <c r="K3858" s="253"/>
    </row>
    <row r="3859" spans="1:11" ht="22" customHeight="1" x14ac:dyDescent="0.35">
      <c r="A3859" s="251"/>
      <c r="B3859" s="252"/>
      <c r="C3859" s="252"/>
      <c r="D3859" s="252"/>
      <c r="E3859" s="252"/>
      <c r="F3859" s="252"/>
      <c r="G3859" s="252"/>
      <c r="H3859" s="252"/>
      <c r="I3859" s="252"/>
      <c r="J3859" s="252"/>
      <c r="K3859" s="253"/>
    </row>
    <row r="3860" spans="1:11" ht="22" customHeight="1" x14ac:dyDescent="0.35">
      <c r="A3860" s="251"/>
      <c r="B3860" s="252"/>
      <c r="C3860" s="252"/>
      <c r="D3860" s="252"/>
      <c r="E3860" s="252"/>
      <c r="F3860" s="252"/>
      <c r="G3860" s="252"/>
      <c r="H3860" s="252"/>
      <c r="I3860" s="252"/>
      <c r="J3860" s="252"/>
      <c r="K3860" s="253"/>
    </row>
    <row r="3861" spans="1:11" ht="22" customHeight="1" x14ac:dyDescent="0.35">
      <c r="A3861" s="251"/>
      <c r="B3861" s="252"/>
      <c r="C3861" s="252"/>
      <c r="D3861" s="252"/>
      <c r="E3861" s="252"/>
      <c r="F3861" s="252"/>
      <c r="G3861" s="252"/>
      <c r="H3861" s="252"/>
      <c r="I3861" s="252"/>
      <c r="J3861" s="252"/>
      <c r="K3861" s="253"/>
    </row>
    <row r="3862" spans="1:11" ht="22" customHeight="1" x14ac:dyDescent="0.35">
      <c r="A3862" s="251"/>
      <c r="B3862" s="252"/>
      <c r="C3862" s="252"/>
      <c r="D3862" s="252"/>
      <c r="E3862" s="252"/>
      <c r="F3862" s="252"/>
      <c r="G3862" s="252"/>
      <c r="H3862" s="252"/>
      <c r="I3862" s="252"/>
      <c r="J3862" s="252"/>
      <c r="K3862" s="253"/>
    </row>
    <row r="3863" spans="1:11" ht="22" customHeight="1" x14ac:dyDescent="0.35">
      <c r="A3863" s="251"/>
      <c r="B3863" s="252"/>
      <c r="C3863" s="252"/>
      <c r="D3863" s="252"/>
      <c r="E3863" s="252"/>
      <c r="F3863" s="252"/>
      <c r="G3863" s="252"/>
      <c r="H3863" s="252"/>
      <c r="I3863" s="252"/>
      <c r="J3863" s="252"/>
      <c r="K3863" s="253"/>
    </row>
    <row r="3864" spans="1:11" ht="22" customHeight="1" x14ac:dyDescent="0.35">
      <c r="A3864" s="251"/>
      <c r="B3864" s="252"/>
      <c r="C3864" s="252"/>
      <c r="D3864" s="252"/>
      <c r="E3864" s="252"/>
      <c r="F3864" s="252"/>
      <c r="G3864" s="252"/>
      <c r="H3864" s="252"/>
      <c r="I3864" s="252"/>
      <c r="J3864" s="252"/>
      <c r="K3864" s="253"/>
    </row>
    <row r="3865" spans="1:11" ht="22" customHeight="1" x14ac:dyDescent="0.35">
      <c r="A3865" s="251"/>
      <c r="B3865" s="252"/>
      <c r="C3865" s="252"/>
      <c r="D3865" s="252"/>
      <c r="E3865" s="252"/>
      <c r="F3865" s="252"/>
      <c r="G3865" s="252"/>
      <c r="H3865" s="252"/>
      <c r="I3865" s="252"/>
      <c r="J3865" s="252"/>
      <c r="K3865" s="253"/>
    </row>
    <row r="3866" spans="1:11" ht="22" customHeight="1" x14ac:dyDescent="0.35">
      <c r="A3866" s="251"/>
      <c r="B3866" s="252"/>
      <c r="C3866" s="252"/>
      <c r="D3866" s="252"/>
      <c r="E3866" s="252"/>
      <c r="F3866" s="252"/>
      <c r="G3866" s="252"/>
      <c r="H3866" s="252"/>
      <c r="I3866" s="252"/>
      <c r="J3866" s="252"/>
      <c r="K3866" s="253"/>
    </row>
    <row r="3867" spans="1:11" ht="22" customHeight="1" x14ac:dyDescent="0.35">
      <c r="A3867" s="251"/>
      <c r="B3867" s="252"/>
      <c r="C3867" s="252"/>
      <c r="D3867" s="252"/>
      <c r="E3867" s="252"/>
      <c r="F3867" s="252"/>
      <c r="G3867" s="252"/>
      <c r="H3867" s="252"/>
      <c r="I3867" s="252"/>
      <c r="J3867" s="252"/>
      <c r="K3867" s="253"/>
    </row>
    <row r="3868" spans="1:11" ht="22" customHeight="1" x14ac:dyDescent="0.35">
      <c r="A3868" s="251"/>
      <c r="B3868" s="252"/>
      <c r="C3868" s="252"/>
      <c r="D3868" s="252"/>
      <c r="E3868" s="252"/>
      <c r="F3868" s="252"/>
      <c r="G3868" s="252"/>
      <c r="H3868" s="252"/>
      <c r="I3868" s="252"/>
      <c r="J3868" s="252"/>
      <c r="K3868" s="253"/>
    </row>
    <row r="3869" spans="1:11" ht="22" customHeight="1" x14ac:dyDescent="0.35">
      <c r="A3869" s="251"/>
      <c r="B3869" s="252"/>
      <c r="C3869" s="252"/>
      <c r="D3869" s="252"/>
      <c r="E3869" s="252"/>
      <c r="F3869" s="252"/>
      <c r="G3869" s="252"/>
      <c r="H3869" s="252"/>
      <c r="I3869" s="252"/>
      <c r="J3869" s="252"/>
      <c r="K3869" s="253"/>
    </row>
    <row r="3870" spans="1:11" ht="22" customHeight="1" x14ac:dyDescent="0.35">
      <c r="A3870" s="251"/>
      <c r="B3870" s="252"/>
      <c r="C3870" s="252"/>
      <c r="D3870" s="252"/>
      <c r="E3870" s="252"/>
      <c r="F3870" s="252"/>
      <c r="G3870" s="252"/>
      <c r="H3870" s="252"/>
      <c r="I3870" s="252"/>
      <c r="J3870" s="252"/>
      <c r="K3870" s="253"/>
    </row>
    <row r="3871" spans="1:11" ht="22" customHeight="1" x14ac:dyDescent="0.35">
      <c r="A3871" s="251"/>
      <c r="B3871" s="252"/>
      <c r="C3871" s="252"/>
      <c r="D3871" s="252"/>
      <c r="E3871" s="252"/>
      <c r="F3871" s="252"/>
      <c r="G3871" s="252"/>
      <c r="H3871" s="252"/>
      <c r="I3871" s="252"/>
      <c r="J3871" s="252"/>
      <c r="K3871" s="253"/>
    </row>
    <row r="3872" spans="1:11" ht="22" customHeight="1" x14ac:dyDescent="0.35">
      <c r="A3872" s="251"/>
      <c r="B3872" s="252"/>
      <c r="C3872" s="252"/>
      <c r="D3872" s="252"/>
      <c r="E3872" s="252"/>
      <c r="F3872" s="252"/>
      <c r="G3872" s="252"/>
      <c r="H3872" s="252"/>
      <c r="I3872" s="252"/>
      <c r="J3872" s="252"/>
      <c r="K3872" s="253"/>
    </row>
    <row r="3873" spans="1:11" ht="22" customHeight="1" x14ac:dyDescent="0.35">
      <c r="A3873" s="251"/>
      <c r="B3873" s="252"/>
      <c r="C3873" s="252"/>
      <c r="D3873" s="252"/>
      <c r="E3873" s="252"/>
      <c r="F3873" s="252"/>
      <c r="G3873" s="252"/>
      <c r="H3873" s="252"/>
      <c r="I3873" s="252"/>
      <c r="J3873" s="252"/>
      <c r="K3873" s="253"/>
    </row>
    <row r="3874" spans="1:11" ht="22" customHeight="1" x14ac:dyDescent="0.35">
      <c r="A3874" s="251"/>
      <c r="B3874" s="252"/>
      <c r="C3874" s="252"/>
      <c r="D3874" s="252"/>
      <c r="E3874" s="252"/>
      <c r="F3874" s="252"/>
      <c r="G3874" s="252"/>
      <c r="H3874" s="252"/>
      <c r="I3874" s="252"/>
      <c r="J3874" s="252"/>
      <c r="K3874" s="253"/>
    </row>
    <row r="3875" spans="1:11" ht="22" customHeight="1" x14ac:dyDescent="0.35">
      <c r="A3875" s="251"/>
      <c r="B3875" s="252"/>
      <c r="C3875" s="252"/>
      <c r="D3875" s="252"/>
      <c r="E3875" s="252"/>
      <c r="F3875" s="252"/>
      <c r="G3875" s="252"/>
      <c r="H3875" s="252"/>
      <c r="I3875" s="252"/>
      <c r="J3875" s="252"/>
      <c r="K3875" s="253"/>
    </row>
    <row r="3876" spans="1:11" ht="22" customHeight="1" x14ac:dyDescent="0.35">
      <c r="A3876" s="251"/>
      <c r="B3876" s="252"/>
      <c r="C3876" s="252"/>
      <c r="D3876" s="252"/>
      <c r="E3876" s="252"/>
      <c r="F3876" s="252"/>
      <c r="G3876" s="252"/>
      <c r="H3876" s="252"/>
      <c r="I3876" s="252"/>
      <c r="J3876" s="252"/>
      <c r="K3876" s="253"/>
    </row>
    <row r="3877" spans="1:11" ht="22" customHeight="1" x14ac:dyDescent="0.35">
      <c r="A3877" s="251"/>
      <c r="B3877" s="252"/>
      <c r="C3877" s="252"/>
      <c r="D3877" s="252"/>
      <c r="E3877" s="252"/>
      <c r="F3877" s="252"/>
      <c r="G3877" s="252"/>
      <c r="H3877" s="252"/>
      <c r="I3877" s="252"/>
      <c r="J3877" s="252"/>
      <c r="K3877" s="253"/>
    </row>
    <row r="3878" spans="1:11" ht="22" customHeight="1" x14ac:dyDescent="0.35">
      <c r="A3878" s="251"/>
      <c r="B3878" s="252"/>
      <c r="C3878" s="252"/>
      <c r="D3878" s="252"/>
      <c r="E3878" s="252"/>
      <c r="F3878" s="252"/>
      <c r="G3878" s="252"/>
      <c r="H3878" s="252"/>
      <c r="I3878" s="252"/>
      <c r="J3878" s="252"/>
      <c r="K3878" s="253"/>
    </row>
    <row r="3879" spans="1:11" ht="22" customHeight="1" x14ac:dyDescent="0.35">
      <c r="A3879" s="251"/>
      <c r="B3879" s="252"/>
      <c r="C3879" s="252"/>
      <c r="D3879" s="252"/>
      <c r="E3879" s="252"/>
      <c r="F3879" s="252"/>
      <c r="G3879" s="252"/>
      <c r="H3879" s="252"/>
      <c r="I3879" s="252"/>
      <c r="J3879" s="252"/>
      <c r="K3879" s="253"/>
    </row>
    <row r="3880" spans="1:11" ht="22" customHeight="1" x14ac:dyDescent="0.35">
      <c r="A3880" s="251"/>
      <c r="B3880" s="252"/>
      <c r="C3880" s="252"/>
      <c r="D3880" s="252"/>
      <c r="E3880" s="252"/>
      <c r="F3880" s="252"/>
      <c r="G3880" s="252"/>
      <c r="H3880" s="252"/>
      <c r="I3880" s="252"/>
      <c r="J3880" s="252"/>
      <c r="K3880" s="253"/>
    </row>
    <row r="3881" spans="1:11" ht="22" customHeight="1" x14ac:dyDescent="0.35">
      <c r="A3881" s="251"/>
      <c r="B3881" s="252"/>
      <c r="C3881" s="252"/>
      <c r="D3881" s="252"/>
      <c r="E3881" s="252"/>
      <c r="F3881" s="252"/>
      <c r="G3881" s="252"/>
      <c r="H3881" s="252"/>
      <c r="I3881" s="252"/>
      <c r="J3881" s="252"/>
      <c r="K3881" s="253"/>
    </row>
    <row r="3882" spans="1:11" ht="22" customHeight="1" x14ac:dyDescent="0.35">
      <c r="A3882" s="251"/>
      <c r="B3882" s="252"/>
      <c r="C3882" s="252"/>
      <c r="D3882" s="252"/>
      <c r="E3882" s="252"/>
      <c r="F3882" s="252"/>
      <c r="G3882" s="252"/>
      <c r="H3882" s="252"/>
      <c r="I3882" s="252"/>
      <c r="J3882" s="252"/>
      <c r="K3882" s="253"/>
    </row>
    <row r="3883" spans="1:11" ht="22" customHeight="1" x14ac:dyDescent="0.35">
      <c r="A3883" s="251"/>
      <c r="B3883" s="252"/>
      <c r="C3883" s="252"/>
      <c r="D3883" s="252"/>
      <c r="E3883" s="252"/>
      <c r="F3883" s="252"/>
      <c r="G3883" s="252"/>
      <c r="H3883" s="252"/>
      <c r="I3883" s="252"/>
      <c r="J3883" s="252"/>
      <c r="K3883" s="253"/>
    </row>
    <row r="3884" spans="1:11" ht="22" customHeight="1" x14ac:dyDescent="0.35">
      <c r="A3884" s="251"/>
      <c r="B3884" s="252"/>
      <c r="C3884" s="252"/>
      <c r="D3884" s="252"/>
      <c r="E3884" s="252"/>
      <c r="F3884" s="252"/>
      <c r="G3884" s="252"/>
      <c r="H3884" s="252"/>
      <c r="I3884" s="252"/>
      <c r="J3884" s="252"/>
      <c r="K3884" s="253"/>
    </row>
    <row r="3885" spans="1:11" ht="22" customHeight="1" x14ac:dyDescent="0.35">
      <c r="A3885" s="251"/>
      <c r="B3885" s="252"/>
      <c r="C3885" s="252"/>
      <c r="D3885" s="252"/>
      <c r="E3885" s="252"/>
      <c r="F3885" s="252"/>
      <c r="G3885" s="252"/>
      <c r="H3885" s="252"/>
      <c r="I3885" s="252"/>
      <c r="J3885" s="252"/>
      <c r="K3885" s="253"/>
    </row>
    <row r="3886" spans="1:11" ht="22" customHeight="1" x14ac:dyDescent="0.35">
      <c r="A3886" s="251"/>
      <c r="B3886" s="252"/>
      <c r="C3886" s="252"/>
      <c r="D3886" s="252"/>
      <c r="E3886" s="252"/>
      <c r="F3886" s="252"/>
      <c r="G3886" s="252"/>
      <c r="H3886" s="252"/>
      <c r="I3886" s="252"/>
      <c r="J3886" s="252"/>
      <c r="K3886" s="253"/>
    </row>
    <row r="3887" spans="1:11" ht="22" customHeight="1" x14ac:dyDescent="0.35">
      <c r="A3887" s="251"/>
      <c r="B3887" s="252"/>
      <c r="C3887" s="252"/>
      <c r="D3887" s="252"/>
      <c r="E3887" s="252"/>
      <c r="F3887" s="252"/>
      <c r="G3887" s="252"/>
      <c r="H3887" s="252"/>
      <c r="I3887" s="252"/>
      <c r="J3887" s="252"/>
      <c r="K3887" s="253"/>
    </row>
    <row r="3888" spans="1:11" ht="22" customHeight="1" x14ac:dyDescent="0.35">
      <c r="A3888" s="251"/>
      <c r="B3888" s="252"/>
      <c r="C3888" s="252"/>
      <c r="D3888" s="252"/>
      <c r="E3888" s="252"/>
      <c r="F3888" s="252"/>
      <c r="G3888" s="252"/>
      <c r="H3888" s="252"/>
      <c r="I3888" s="252"/>
      <c r="J3888" s="252"/>
      <c r="K3888" s="253"/>
    </row>
    <row r="3889" spans="1:11" ht="22" customHeight="1" x14ac:dyDescent="0.35">
      <c r="A3889" s="251"/>
      <c r="B3889" s="252"/>
      <c r="C3889" s="252"/>
      <c r="D3889" s="252"/>
      <c r="E3889" s="252"/>
      <c r="F3889" s="252"/>
      <c r="G3889" s="252"/>
      <c r="H3889" s="252"/>
      <c r="I3889" s="252"/>
      <c r="J3889" s="252"/>
      <c r="K3889" s="253"/>
    </row>
    <row r="3890" spans="1:11" ht="22" customHeight="1" x14ac:dyDescent="0.35">
      <c r="A3890" s="251"/>
      <c r="B3890" s="252"/>
      <c r="C3890" s="252"/>
      <c r="D3890" s="252"/>
      <c r="E3890" s="252"/>
      <c r="F3890" s="252"/>
      <c r="G3890" s="252"/>
      <c r="H3890" s="252"/>
      <c r="I3890" s="252"/>
      <c r="J3890" s="252"/>
      <c r="K3890" s="253"/>
    </row>
    <row r="3891" spans="1:11" ht="22" customHeight="1" x14ac:dyDescent="0.35">
      <c r="A3891" s="251"/>
      <c r="B3891" s="252"/>
      <c r="C3891" s="252"/>
      <c r="D3891" s="252"/>
      <c r="E3891" s="252"/>
      <c r="F3891" s="252"/>
      <c r="G3891" s="252"/>
      <c r="H3891" s="252"/>
      <c r="I3891" s="252"/>
      <c r="J3891" s="252"/>
      <c r="K3891" s="253"/>
    </row>
    <row r="3892" spans="1:11" ht="22" customHeight="1" x14ac:dyDescent="0.35">
      <c r="A3892" s="251"/>
      <c r="B3892" s="252"/>
      <c r="C3892" s="252"/>
      <c r="D3892" s="252"/>
      <c r="E3892" s="252"/>
      <c r="F3892" s="252"/>
      <c r="G3892" s="252"/>
      <c r="H3892" s="252"/>
      <c r="I3892" s="252"/>
      <c r="J3892" s="252"/>
      <c r="K3892" s="253"/>
    </row>
    <row r="3893" spans="1:11" ht="22" customHeight="1" x14ac:dyDescent="0.35">
      <c r="A3893" s="251"/>
      <c r="B3893" s="252"/>
      <c r="C3893" s="252"/>
      <c r="D3893" s="252"/>
      <c r="E3893" s="252"/>
      <c r="F3893" s="252"/>
      <c r="G3893" s="252"/>
      <c r="H3893" s="252"/>
      <c r="I3893" s="252"/>
      <c r="J3893" s="252"/>
      <c r="K3893" s="253"/>
    </row>
    <row r="3894" spans="1:11" ht="22" customHeight="1" x14ac:dyDescent="0.35">
      <c r="A3894" s="251"/>
      <c r="B3894" s="252"/>
      <c r="C3894" s="252"/>
      <c r="D3894" s="252"/>
      <c r="E3894" s="252"/>
      <c r="F3894" s="252"/>
      <c r="G3894" s="252"/>
      <c r="H3894" s="252"/>
      <c r="I3894" s="252"/>
      <c r="J3894" s="252"/>
      <c r="K3894" s="253"/>
    </row>
    <row r="3895" spans="1:11" ht="22" customHeight="1" x14ac:dyDescent="0.35">
      <c r="A3895" s="251"/>
      <c r="B3895" s="252"/>
      <c r="C3895" s="252"/>
      <c r="D3895" s="252"/>
      <c r="E3895" s="252"/>
      <c r="F3895" s="252"/>
      <c r="G3895" s="252"/>
      <c r="H3895" s="252"/>
      <c r="I3895" s="252"/>
      <c r="J3895" s="252"/>
      <c r="K3895" s="253"/>
    </row>
    <row r="3896" spans="1:11" ht="22" customHeight="1" x14ac:dyDescent="0.35">
      <c r="A3896" s="251"/>
      <c r="B3896" s="252"/>
      <c r="C3896" s="252"/>
      <c r="D3896" s="252"/>
      <c r="E3896" s="252"/>
      <c r="F3896" s="252"/>
      <c r="G3896" s="252"/>
      <c r="H3896" s="252"/>
      <c r="I3896" s="252"/>
      <c r="J3896" s="252"/>
      <c r="K3896" s="253"/>
    </row>
    <row r="3897" spans="1:11" ht="22" customHeight="1" x14ac:dyDescent="0.35">
      <c r="A3897" s="251"/>
      <c r="B3897" s="252"/>
      <c r="C3897" s="252"/>
      <c r="D3897" s="252"/>
      <c r="E3897" s="252"/>
      <c r="F3897" s="252"/>
      <c r="G3897" s="252"/>
      <c r="H3897" s="252"/>
      <c r="I3897" s="252"/>
      <c r="J3897" s="252"/>
      <c r="K3897" s="253"/>
    </row>
    <row r="3898" spans="1:11" ht="22" customHeight="1" x14ac:dyDescent="0.35">
      <c r="A3898" s="251"/>
      <c r="B3898" s="252"/>
      <c r="C3898" s="252"/>
      <c r="D3898" s="252"/>
      <c r="E3898" s="252"/>
      <c r="F3898" s="252"/>
      <c r="G3898" s="252"/>
      <c r="H3898" s="252"/>
      <c r="I3898" s="252"/>
      <c r="J3898" s="252"/>
      <c r="K3898" s="253"/>
    </row>
    <row r="3899" spans="1:11" ht="22" customHeight="1" x14ac:dyDescent="0.35">
      <c r="A3899" s="251"/>
      <c r="B3899" s="252"/>
      <c r="C3899" s="252"/>
      <c r="D3899" s="252"/>
      <c r="E3899" s="252"/>
      <c r="F3899" s="252"/>
      <c r="G3899" s="252"/>
      <c r="H3899" s="252"/>
      <c r="I3899" s="252"/>
      <c r="J3899" s="252"/>
      <c r="K3899" s="253"/>
    </row>
    <row r="3900" spans="1:11" ht="22" customHeight="1" x14ac:dyDescent="0.35">
      <c r="A3900" s="251"/>
      <c r="B3900" s="252"/>
      <c r="C3900" s="252"/>
      <c r="D3900" s="252"/>
      <c r="E3900" s="252"/>
      <c r="F3900" s="252"/>
      <c r="G3900" s="252"/>
      <c r="H3900" s="252"/>
      <c r="I3900" s="252"/>
      <c r="J3900" s="252"/>
      <c r="K3900" s="253"/>
    </row>
    <row r="3901" spans="1:11" ht="22" customHeight="1" x14ac:dyDescent="0.35">
      <c r="A3901" s="251"/>
      <c r="B3901" s="252"/>
      <c r="C3901" s="252"/>
      <c r="D3901" s="252"/>
      <c r="E3901" s="252"/>
      <c r="F3901" s="252"/>
      <c r="G3901" s="252"/>
      <c r="H3901" s="252"/>
      <c r="I3901" s="252"/>
      <c r="J3901" s="252"/>
      <c r="K3901" s="253"/>
    </row>
    <row r="3902" spans="1:11" ht="22" customHeight="1" x14ac:dyDescent="0.35">
      <c r="A3902" s="251"/>
      <c r="B3902" s="252"/>
      <c r="C3902" s="252"/>
      <c r="D3902" s="252"/>
      <c r="E3902" s="252"/>
      <c r="F3902" s="252"/>
      <c r="G3902" s="252"/>
      <c r="H3902" s="252"/>
      <c r="I3902" s="252"/>
      <c r="J3902" s="252"/>
      <c r="K3902" s="253"/>
    </row>
    <row r="3903" spans="1:11" ht="22" customHeight="1" x14ac:dyDescent="0.35">
      <c r="A3903" s="251"/>
      <c r="B3903" s="252"/>
      <c r="C3903" s="252"/>
      <c r="D3903" s="252"/>
      <c r="E3903" s="252"/>
      <c r="F3903" s="252"/>
      <c r="G3903" s="252"/>
      <c r="H3903" s="252"/>
      <c r="I3903" s="252"/>
      <c r="J3903" s="252"/>
      <c r="K3903" s="253"/>
    </row>
    <row r="3904" spans="1:11" ht="22" customHeight="1" x14ac:dyDescent="0.35">
      <c r="A3904" s="251"/>
      <c r="B3904" s="252"/>
      <c r="C3904" s="252"/>
      <c r="D3904" s="252"/>
      <c r="E3904" s="252"/>
      <c r="F3904" s="252"/>
      <c r="G3904" s="252"/>
      <c r="H3904" s="252"/>
      <c r="I3904" s="252"/>
      <c r="J3904" s="252"/>
      <c r="K3904" s="253"/>
    </row>
    <row r="3905" spans="1:11" ht="22" customHeight="1" x14ac:dyDescent="0.35">
      <c r="A3905" s="251"/>
      <c r="B3905" s="252"/>
      <c r="C3905" s="252"/>
      <c r="D3905" s="252"/>
      <c r="E3905" s="252"/>
      <c r="F3905" s="252"/>
      <c r="G3905" s="252"/>
      <c r="H3905" s="252"/>
      <c r="I3905" s="252"/>
      <c r="J3905" s="252"/>
      <c r="K3905" s="253"/>
    </row>
    <row r="3906" spans="1:11" ht="22" customHeight="1" x14ac:dyDescent="0.35">
      <c r="A3906" s="251"/>
      <c r="B3906" s="252"/>
      <c r="C3906" s="252"/>
      <c r="D3906" s="252"/>
      <c r="E3906" s="252"/>
      <c r="F3906" s="252"/>
      <c r="G3906" s="252"/>
      <c r="H3906" s="252"/>
      <c r="I3906" s="252"/>
      <c r="J3906" s="252"/>
      <c r="K3906" s="253"/>
    </row>
    <row r="3907" spans="1:11" ht="22" customHeight="1" x14ac:dyDescent="0.35">
      <c r="A3907" s="251"/>
      <c r="B3907" s="252"/>
      <c r="C3907" s="252"/>
      <c r="D3907" s="252"/>
      <c r="E3907" s="252"/>
      <c r="F3907" s="252"/>
      <c r="G3907" s="252"/>
      <c r="H3907" s="252"/>
      <c r="I3907" s="252"/>
      <c r="J3907" s="252"/>
      <c r="K3907" s="253"/>
    </row>
    <row r="3908" spans="1:11" ht="22" customHeight="1" x14ac:dyDescent="0.35">
      <c r="A3908" s="251"/>
      <c r="B3908" s="252"/>
      <c r="C3908" s="252"/>
      <c r="D3908" s="252"/>
      <c r="E3908" s="252"/>
      <c r="F3908" s="252"/>
      <c r="G3908" s="252"/>
      <c r="H3908" s="252"/>
      <c r="I3908" s="252"/>
      <c r="J3908" s="252"/>
      <c r="K3908" s="253"/>
    </row>
    <row r="3909" spans="1:11" ht="22" customHeight="1" x14ac:dyDescent="0.35">
      <c r="A3909" s="251"/>
      <c r="B3909" s="252"/>
      <c r="C3909" s="252"/>
      <c r="D3909" s="252"/>
      <c r="E3909" s="252"/>
      <c r="F3909" s="252"/>
      <c r="G3909" s="252"/>
      <c r="H3909" s="252"/>
      <c r="I3909" s="252"/>
      <c r="J3909" s="252"/>
      <c r="K3909" s="253"/>
    </row>
    <row r="3910" spans="1:11" ht="22" customHeight="1" x14ac:dyDescent="0.35">
      <c r="A3910" s="251"/>
      <c r="B3910" s="252"/>
      <c r="C3910" s="252"/>
      <c r="D3910" s="252"/>
      <c r="E3910" s="252"/>
      <c r="F3910" s="252"/>
      <c r="G3910" s="252"/>
      <c r="H3910" s="252"/>
      <c r="I3910" s="252"/>
      <c r="J3910" s="252"/>
      <c r="K3910" s="253"/>
    </row>
    <row r="3911" spans="1:11" ht="22" customHeight="1" x14ac:dyDescent="0.35">
      <c r="A3911" s="251"/>
      <c r="B3911" s="252"/>
      <c r="C3911" s="252"/>
      <c r="D3911" s="252"/>
      <c r="E3911" s="252"/>
      <c r="F3911" s="252"/>
      <c r="G3911" s="252"/>
      <c r="H3911" s="252"/>
      <c r="I3911" s="252"/>
      <c r="J3911" s="252"/>
      <c r="K3911" s="253"/>
    </row>
    <row r="3912" spans="1:11" ht="22" customHeight="1" x14ac:dyDescent="0.35">
      <c r="A3912" s="251"/>
      <c r="B3912" s="252"/>
      <c r="C3912" s="252"/>
      <c r="D3912" s="252"/>
      <c r="E3912" s="252"/>
      <c r="F3912" s="252"/>
      <c r="G3912" s="252"/>
      <c r="H3912" s="252"/>
      <c r="I3912" s="252"/>
      <c r="J3912" s="252"/>
      <c r="K3912" s="253"/>
    </row>
    <row r="3913" spans="1:11" ht="22" customHeight="1" x14ac:dyDescent="0.35">
      <c r="A3913" s="251"/>
      <c r="B3913" s="252"/>
      <c r="C3913" s="252"/>
      <c r="D3913" s="252"/>
      <c r="E3913" s="252"/>
      <c r="F3913" s="252"/>
      <c r="G3913" s="252"/>
      <c r="H3913" s="252"/>
      <c r="I3913" s="252"/>
      <c r="J3913" s="252"/>
      <c r="K3913" s="253"/>
    </row>
    <row r="3914" spans="1:11" ht="22" customHeight="1" x14ac:dyDescent="0.35">
      <c r="A3914" s="251"/>
      <c r="B3914" s="252"/>
      <c r="C3914" s="252"/>
      <c r="D3914" s="252"/>
      <c r="E3914" s="252"/>
      <c r="F3914" s="252"/>
      <c r="G3914" s="252"/>
      <c r="H3914" s="252"/>
      <c r="I3914" s="252"/>
      <c r="J3914" s="252"/>
      <c r="K3914" s="253"/>
    </row>
    <row r="3915" spans="1:11" ht="22" customHeight="1" x14ac:dyDescent="0.35">
      <c r="A3915" s="251"/>
      <c r="B3915" s="252"/>
      <c r="C3915" s="252"/>
      <c r="D3915" s="252"/>
      <c r="E3915" s="252"/>
      <c r="F3915" s="252"/>
      <c r="G3915" s="252"/>
      <c r="H3915" s="252"/>
      <c r="I3915" s="252"/>
      <c r="J3915" s="252"/>
      <c r="K3915" s="253"/>
    </row>
    <row r="3916" spans="1:11" ht="22" customHeight="1" x14ac:dyDescent="0.35">
      <c r="A3916" s="251"/>
      <c r="B3916" s="252"/>
      <c r="C3916" s="252"/>
      <c r="D3916" s="252"/>
      <c r="E3916" s="252"/>
      <c r="F3916" s="252"/>
      <c r="G3916" s="252"/>
      <c r="H3916" s="252"/>
      <c r="I3916" s="252"/>
      <c r="J3916" s="252"/>
      <c r="K3916" s="253"/>
    </row>
    <row r="3917" spans="1:11" ht="22" customHeight="1" x14ac:dyDescent="0.35">
      <c r="A3917" s="251"/>
      <c r="B3917" s="252"/>
      <c r="C3917" s="252"/>
      <c r="D3917" s="252"/>
      <c r="E3917" s="252"/>
      <c r="F3917" s="252"/>
      <c r="G3917" s="252"/>
      <c r="H3917" s="252"/>
      <c r="I3917" s="252"/>
      <c r="J3917" s="252"/>
      <c r="K3917" s="253"/>
    </row>
    <row r="3918" spans="1:11" ht="22" customHeight="1" x14ac:dyDescent="0.35">
      <c r="A3918" s="251"/>
      <c r="B3918" s="252"/>
      <c r="C3918" s="252"/>
      <c r="D3918" s="252"/>
      <c r="E3918" s="252"/>
      <c r="F3918" s="252"/>
      <c r="G3918" s="252"/>
      <c r="H3918" s="252"/>
      <c r="I3918" s="252"/>
      <c r="J3918" s="252"/>
      <c r="K3918" s="253"/>
    </row>
    <row r="3919" spans="1:11" ht="22" customHeight="1" x14ac:dyDescent="0.35">
      <c r="A3919" s="251"/>
      <c r="B3919" s="252"/>
      <c r="C3919" s="252"/>
      <c r="D3919" s="252"/>
      <c r="E3919" s="252"/>
      <c r="F3919" s="252"/>
      <c r="G3919" s="252"/>
      <c r="H3919" s="252"/>
      <c r="I3919" s="252"/>
      <c r="J3919" s="252"/>
      <c r="K3919" s="253"/>
    </row>
    <row r="3920" spans="1:11" ht="22" customHeight="1" x14ac:dyDescent="0.35">
      <c r="A3920" s="251"/>
      <c r="B3920" s="252"/>
      <c r="C3920" s="252"/>
      <c r="D3920" s="252"/>
      <c r="E3920" s="252"/>
      <c r="F3920" s="252"/>
      <c r="G3920" s="252"/>
      <c r="H3920" s="252"/>
      <c r="I3920" s="252"/>
      <c r="J3920" s="252"/>
      <c r="K3920" s="253"/>
    </row>
    <row r="3921" spans="1:11" ht="22" customHeight="1" x14ac:dyDescent="0.35">
      <c r="A3921" s="251"/>
      <c r="B3921" s="252"/>
      <c r="C3921" s="252"/>
      <c r="D3921" s="252"/>
      <c r="E3921" s="252"/>
      <c r="F3921" s="252"/>
      <c r="G3921" s="252"/>
      <c r="H3921" s="252"/>
      <c r="I3921" s="252"/>
      <c r="J3921" s="252"/>
      <c r="K3921" s="253"/>
    </row>
    <row r="3922" spans="1:11" ht="22" customHeight="1" x14ac:dyDescent="0.35">
      <c r="A3922" s="251"/>
      <c r="B3922" s="252"/>
      <c r="C3922" s="252"/>
      <c r="D3922" s="252"/>
      <c r="E3922" s="252"/>
      <c r="F3922" s="252"/>
      <c r="G3922" s="252"/>
      <c r="H3922" s="252"/>
      <c r="I3922" s="252"/>
      <c r="J3922" s="252"/>
      <c r="K3922" s="253"/>
    </row>
    <row r="3923" spans="1:11" ht="22" customHeight="1" x14ac:dyDescent="0.35">
      <c r="A3923" s="251"/>
      <c r="B3923" s="252"/>
      <c r="C3923" s="252"/>
      <c r="D3923" s="252"/>
      <c r="E3923" s="252"/>
      <c r="F3923" s="252"/>
      <c r="G3923" s="252"/>
      <c r="H3923" s="252"/>
      <c r="I3923" s="252"/>
      <c r="J3923" s="252"/>
      <c r="K3923" s="253"/>
    </row>
    <row r="3924" spans="1:11" ht="22" customHeight="1" x14ac:dyDescent="0.35">
      <c r="A3924" s="251"/>
      <c r="B3924" s="252"/>
      <c r="C3924" s="252"/>
      <c r="D3924" s="252"/>
      <c r="E3924" s="252"/>
      <c r="F3924" s="252"/>
      <c r="G3924" s="252"/>
      <c r="H3924" s="252"/>
      <c r="I3924" s="252"/>
      <c r="J3924" s="252"/>
      <c r="K3924" s="253"/>
    </row>
    <row r="3925" spans="1:11" ht="22" customHeight="1" x14ac:dyDescent="0.35">
      <c r="A3925" s="251"/>
      <c r="B3925" s="252"/>
      <c r="C3925" s="252"/>
      <c r="D3925" s="252"/>
      <c r="E3925" s="252"/>
      <c r="F3925" s="252"/>
      <c r="G3925" s="252"/>
      <c r="H3925" s="252"/>
      <c r="I3925" s="252"/>
      <c r="J3925" s="252"/>
      <c r="K3925" s="253"/>
    </row>
    <row r="3926" spans="1:11" ht="22" customHeight="1" x14ac:dyDescent="0.35">
      <c r="A3926" s="251"/>
      <c r="B3926" s="252"/>
      <c r="C3926" s="252"/>
      <c r="D3926" s="252"/>
      <c r="E3926" s="252"/>
      <c r="F3926" s="252"/>
      <c r="G3926" s="252"/>
      <c r="H3926" s="252"/>
      <c r="I3926" s="252"/>
      <c r="J3926" s="252"/>
      <c r="K3926" s="253"/>
    </row>
    <row r="3927" spans="1:11" ht="22" customHeight="1" x14ac:dyDescent="0.35">
      <c r="A3927" s="251"/>
      <c r="B3927" s="252"/>
      <c r="C3927" s="252"/>
      <c r="D3927" s="252"/>
      <c r="E3927" s="252"/>
      <c r="F3927" s="252"/>
      <c r="G3927" s="252"/>
      <c r="H3927" s="252"/>
      <c r="I3927" s="252"/>
      <c r="J3927" s="252"/>
      <c r="K3927" s="253"/>
    </row>
    <row r="3928" spans="1:11" ht="22" customHeight="1" x14ac:dyDescent="0.35">
      <c r="A3928" s="251"/>
      <c r="B3928" s="252"/>
      <c r="C3928" s="252"/>
      <c r="D3928" s="252"/>
      <c r="E3928" s="252"/>
      <c r="F3928" s="252"/>
      <c r="G3928" s="252"/>
      <c r="H3928" s="252"/>
      <c r="I3928" s="252"/>
      <c r="J3928" s="252"/>
      <c r="K3928" s="253"/>
    </row>
    <row r="3929" spans="1:11" ht="22" customHeight="1" x14ac:dyDescent="0.35">
      <c r="A3929" s="251"/>
      <c r="B3929" s="252"/>
      <c r="C3929" s="252"/>
      <c r="D3929" s="252"/>
      <c r="E3929" s="252"/>
      <c r="F3929" s="252"/>
      <c r="G3929" s="252"/>
      <c r="H3929" s="252"/>
      <c r="I3929" s="252"/>
      <c r="J3929" s="252"/>
      <c r="K3929" s="253"/>
    </row>
    <row r="3930" spans="1:11" ht="22" customHeight="1" x14ac:dyDescent="0.35">
      <c r="A3930" s="251"/>
      <c r="B3930" s="252"/>
      <c r="C3930" s="252"/>
      <c r="D3930" s="252"/>
      <c r="E3930" s="252"/>
      <c r="F3930" s="252"/>
      <c r="G3930" s="252"/>
      <c r="H3930" s="252"/>
      <c r="I3930" s="252"/>
      <c r="J3930" s="252"/>
      <c r="K3930" s="253"/>
    </row>
    <row r="3931" spans="1:11" ht="22" customHeight="1" x14ac:dyDescent="0.35">
      <c r="A3931" s="251"/>
      <c r="B3931" s="252"/>
      <c r="C3931" s="252"/>
      <c r="D3931" s="252"/>
      <c r="E3931" s="252"/>
      <c r="F3931" s="252"/>
      <c r="G3931" s="252"/>
      <c r="H3931" s="252"/>
      <c r="I3931" s="252"/>
      <c r="J3931" s="252"/>
      <c r="K3931" s="253"/>
    </row>
    <row r="3932" spans="1:11" ht="22" customHeight="1" x14ac:dyDescent="0.35">
      <c r="A3932" s="251"/>
      <c r="B3932" s="252"/>
      <c r="C3932" s="252"/>
      <c r="D3932" s="252"/>
      <c r="E3932" s="252"/>
      <c r="F3932" s="252"/>
      <c r="G3932" s="252"/>
      <c r="H3932" s="252"/>
      <c r="I3932" s="252"/>
      <c r="J3932" s="252"/>
      <c r="K3932" s="253"/>
    </row>
    <row r="3933" spans="1:11" ht="22" customHeight="1" x14ac:dyDescent="0.35">
      <c r="A3933" s="251"/>
      <c r="B3933" s="252"/>
      <c r="C3933" s="252"/>
      <c r="D3933" s="252"/>
      <c r="E3933" s="252"/>
      <c r="F3933" s="252"/>
      <c r="G3933" s="252"/>
      <c r="H3933" s="252"/>
      <c r="I3933" s="252"/>
      <c r="J3933" s="252"/>
      <c r="K3933" s="253"/>
    </row>
    <row r="3934" spans="1:11" ht="22" customHeight="1" x14ac:dyDescent="0.35">
      <c r="A3934" s="251"/>
      <c r="B3934" s="252"/>
      <c r="C3934" s="252"/>
      <c r="D3934" s="252"/>
      <c r="E3934" s="252"/>
      <c r="F3934" s="252"/>
      <c r="G3934" s="252"/>
      <c r="H3934" s="252"/>
      <c r="I3934" s="252"/>
      <c r="J3934" s="252"/>
      <c r="K3934" s="253"/>
    </row>
    <row r="3935" spans="1:11" ht="22" customHeight="1" x14ac:dyDescent="0.35">
      <c r="A3935" s="251"/>
      <c r="B3935" s="252"/>
      <c r="C3935" s="252"/>
      <c r="D3935" s="252"/>
      <c r="E3935" s="252"/>
      <c r="F3935" s="252"/>
      <c r="G3935" s="252"/>
      <c r="H3935" s="252"/>
      <c r="I3935" s="252"/>
      <c r="J3935" s="252"/>
      <c r="K3935" s="253"/>
    </row>
    <row r="3936" spans="1:11" ht="22" customHeight="1" x14ac:dyDescent="0.35">
      <c r="A3936" s="251"/>
      <c r="B3936" s="252"/>
      <c r="C3936" s="252"/>
      <c r="D3936" s="252"/>
      <c r="E3936" s="252"/>
      <c r="F3936" s="252"/>
      <c r="G3936" s="252"/>
      <c r="H3936" s="252"/>
      <c r="I3936" s="252"/>
      <c r="J3936" s="252"/>
      <c r="K3936" s="253"/>
    </row>
    <row r="3937" spans="1:11" ht="22" customHeight="1" x14ac:dyDescent="0.35">
      <c r="A3937" s="251"/>
      <c r="B3937" s="252"/>
      <c r="C3937" s="252"/>
      <c r="D3937" s="252"/>
      <c r="E3937" s="252"/>
      <c r="F3937" s="252"/>
      <c r="G3937" s="252"/>
      <c r="H3937" s="252"/>
      <c r="I3937" s="252"/>
      <c r="J3937" s="252"/>
      <c r="K3937" s="253"/>
    </row>
    <row r="3938" spans="1:11" ht="22" customHeight="1" x14ac:dyDescent="0.35">
      <c r="A3938" s="251"/>
      <c r="B3938" s="252"/>
      <c r="C3938" s="252"/>
      <c r="D3938" s="252"/>
      <c r="E3938" s="252"/>
      <c r="F3938" s="252"/>
      <c r="G3938" s="252"/>
      <c r="H3938" s="252"/>
      <c r="I3938" s="252"/>
      <c r="J3938" s="252"/>
      <c r="K3938" s="253"/>
    </row>
    <row r="3939" spans="1:11" ht="22" customHeight="1" x14ac:dyDescent="0.35">
      <c r="A3939" s="251"/>
      <c r="B3939" s="252"/>
      <c r="C3939" s="252"/>
      <c r="D3939" s="252"/>
      <c r="E3939" s="252"/>
      <c r="F3939" s="252"/>
      <c r="G3939" s="252"/>
      <c r="H3939" s="252"/>
      <c r="I3939" s="252"/>
      <c r="J3939" s="252"/>
      <c r="K3939" s="253"/>
    </row>
    <row r="3940" spans="1:11" ht="22" customHeight="1" x14ac:dyDescent="0.35">
      <c r="A3940" s="251"/>
      <c r="B3940" s="252"/>
      <c r="C3940" s="252"/>
      <c r="D3940" s="252"/>
      <c r="E3940" s="252"/>
      <c r="F3940" s="252"/>
      <c r="G3940" s="252"/>
      <c r="H3940" s="252"/>
      <c r="I3940" s="252"/>
      <c r="J3940" s="252"/>
      <c r="K3940" s="253"/>
    </row>
    <row r="3941" spans="1:11" ht="22" customHeight="1" x14ac:dyDescent="0.35">
      <c r="A3941" s="251"/>
      <c r="B3941" s="252"/>
      <c r="C3941" s="252"/>
      <c r="D3941" s="252"/>
      <c r="E3941" s="252"/>
      <c r="F3941" s="252"/>
      <c r="G3941" s="252"/>
      <c r="H3941" s="252"/>
      <c r="I3941" s="252"/>
      <c r="J3941" s="252"/>
      <c r="K3941" s="253"/>
    </row>
    <row r="3942" spans="1:11" ht="22" customHeight="1" x14ac:dyDescent="0.35">
      <c r="A3942" s="251"/>
      <c r="B3942" s="252"/>
      <c r="C3942" s="252"/>
      <c r="D3942" s="252"/>
      <c r="E3942" s="252"/>
      <c r="F3942" s="252"/>
      <c r="G3942" s="252"/>
      <c r="H3942" s="252"/>
      <c r="I3942" s="252"/>
      <c r="J3942" s="252"/>
      <c r="K3942" s="253"/>
    </row>
    <row r="3943" spans="1:11" ht="22" customHeight="1" x14ac:dyDescent="0.35">
      <c r="A3943" s="251"/>
      <c r="B3943" s="252"/>
      <c r="C3943" s="252"/>
      <c r="D3943" s="252"/>
      <c r="E3943" s="252"/>
      <c r="F3943" s="252"/>
      <c r="G3943" s="252"/>
      <c r="H3943" s="252"/>
      <c r="I3943" s="252"/>
      <c r="J3943" s="252"/>
      <c r="K3943" s="253"/>
    </row>
    <row r="3944" spans="1:11" ht="22" customHeight="1" x14ac:dyDescent="0.35">
      <c r="A3944" s="251"/>
      <c r="B3944" s="252"/>
      <c r="C3944" s="252"/>
      <c r="D3944" s="252"/>
      <c r="E3944" s="252"/>
      <c r="F3944" s="252"/>
      <c r="G3944" s="252"/>
      <c r="H3944" s="252"/>
      <c r="I3944" s="252"/>
      <c r="J3944" s="252"/>
      <c r="K3944" s="253"/>
    </row>
    <row r="3945" spans="1:11" ht="22" customHeight="1" x14ac:dyDescent="0.35">
      <c r="A3945" s="251"/>
      <c r="B3945" s="252"/>
      <c r="C3945" s="252"/>
      <c r="D3945" s="252"/>
      <c r="E3945" s="252"/>
      <c r="F3945" s="252"/>
      <c r="G3945" s="252"/>
      <c r="H3945" s="252"/>
      <c r="I3945" s="252"/>
      <c r="J3945" s="252"/>
      <c r="K3945" s="253"/>
    </row>
    <row r="3946" spans="1:11" ht="22" customHeight="1" x14ac:dyDescent="0.35">
      <c r="A3946" s="251"/>
      <c r="B3946" s="252"/>
      <c r="C3946" s="252"/>
      <c r="D3946" s="252"/>
      <c r="E3946" s="252"/>
      <c r="F3946" s="252"/>
      <c r="G3946" s="252"/>
      <c r="H3946" s="252"/>
      <c r="I3946" s="252"/>
      <c r="J3946" s="252"/>
      <c r="K3946" s="253"/>
    </row>
    <row r="3947" spans="1:11" ht="22" customHeight="1" x14ac:dyDescent="0.35">
      <c r="A3947" s="251"/>
      <c r="B3947" s="252"/>
      <c r="C3947" s="252"/>
      <c r="D3947" s="252"/>
      <c r="E3947" s="252"/>
      <c r="F3947" s="252"/>
      <c r="G3947" s="252"/>
      <c r="H3947" s="252"/>
      <c r="I3947" s="252"/>
      <c r="J3947" s="252"/>
      <c r="K3947" s="253"/>
    </row>
    <row r="3948" spans="1:11" ht="22" customHeight="1" x14ac:dyDescent="0.35">
      <c r="A3948" s="251"/>
      <c r="B3948" s="252"/>
      <c r="C3948" s="252"/>
      <c r="D3948" s="252"/>
      <c r="E3948" s="252"/>
      <c r="F3948" s="252"/>
      <c r="G3948" s="252"/>
      <c r="H3948" s="252"/>
      <c r="I3948" s="252"/>
      <c r="J3948" s="252"/>
      <c r="K3948" s="253"/>
    </row>
    <row r="3949" spans="1:11" ht="22" customHeight="1" x14ac:dyDescent="0.35">
      <c r="A3949" s="251"/>
      <c r="B3949" s="252"/>
      <c r="C3949" s="252"/>
      <c r="D3949" s="252"/>
      <c r="E3949" s="252"/>
      <c r="F3949" s="252"/>
      <c r="G3949" s="252"/>
      <c r="H3949" s="252"/>
      <c r="I3949" s="252"/>
      <c r="J3949" s="252"/>
      <c r="K3949" s="253"/>
    </row>
    <row r="3950" spans="1:11" ht="22" customHeight="1" x14ac:dyDescent="0.35">
      <c r="A3950" s="251"/>
      <c r="B3950" s="252"/>
      <c r="C3950" s="252"/>
      <c r="D3950" s="252"/>
      <c r="E3950" s="252"/>
      <c r="F3950" s="252"/>
      <c r="G3950" s="252"/>
      <c r="H3950" s="252"/>
      <c r="I3950" s="252"/>
      <c r="J3950" s="252"/>
      <c r="K3950" s="253"/>
    </row>
    <row r="3951" spans="1:11" ht="22" customHeight="1" x14ac:dyDescent="0.35">
      <c r="A3951" s="251"/>
      <c r="B3951" s="252"/>
      <c r="C3951" s="252"/>
      <c r="D3951" s="252"/>
      <c r="E3951" s="252"/>
      <c r="F3951" s="252"/>
      <c r="G3951" s="252"/>
      <c r="H3951" s="252"/>
      <c r="I3951" s="252"/>
      <c r="J3951" s="252"/>
      <c r="K3951" s="253"/>
    </row>
    <row r="3952" spans="1:11" ht="22" customHeight="1" x14ac:dyDescent="0.35">
      <c r="A3952" s="251"/>
      <c r="B3952" s="252"/>
      <c r="C3952" s="252"/>
      <c r="D3952" s="252"/>
      <c r="E3952" s="252"/>
      <c r="F3952" s="252"/>
      <c r="G3952" s="252"/>
      <c r="H3952" s="252"/>
      <c r="I3952" s="252"/>
      <c r="J3952" s="252"/>
      <c r="K3952" s="253"/>
    </row>
    <row r="3953" spans="1:11" ht="22" customHeight="1" x14ac:dyDescent="0.35">
      <c r="A3953" s="251"/>
      <c r="B3953" s="252"/>
      <c r="C3953" s="252"/>
      <c r="D3953" s="252"/>
      <c r="E3953" s="252"/>
      <c r="F3953" s="252"/>
      <c r="G3953" s="252"/>
      <c r="H3953" s="252"/>
      <c r="I3953" s="252"/>
      <c r="J3953" s="252"/>
      <c r="K3953" s="253"/>
    </row>
    <row r="3954" spans="1:11" ht="22" customHeight="1" x14ac:dyDescent="0.35">
      <c r="A3954" s="251"/>
      <c r="B3954" s="252"/>
      <c r="C3954" s="252"/>
      <c r="D3954" s="252"/>
      <c r="E3954" s="252"/>
      <c r="F3954" s="252"/>
      <c r="G3954" s="252"/>
      <c r="H3954" s="252"/>
      <c r="I3954" s="252"/>
      <c r="J3954" s="252"/>
      <c r="K3954" s="253"/>
    </row>
    <row r="3955" spans="1:11" ht="22" customHeight="1" x14ac:dyDescent="0.35">
      <c r="A3955" s="251"/>
      <c r="B3955" s="252"/>
      <c r="C3955" s="252"/>
      <c r="D3955" s="252"/>
      <c r="E3955" s="252"/>
      <c r="F3955" s="252"/>
      <c r="G3955" s="252"/>
      <c r="H3955" s="252"/>
      <c r="I3955" s="252"/>
      <c r="J3955" s="252"/>
      <c r="K3955" s="253"/>
    </row>
    <row r="3956" spans="1:11" ht="22" customHeight="1" x14ac:dyDescent="0.35">
      <c r="A3956" s="251"/>
      <c r="B3956" s="252"/>
      <c r="C3956" s="252"/>
      <c r="D3956" s="252"/>
      <c r="E3956" s="252"/>
      <c r="F3956" s="252"/>
      <c r="G3956" s="252"/>
      <c r="H3956" s="252"/>
      <c r="I3956" s="252"/>
      <c r="J3956" s="252"/>
      <c r="K3956" s="253"/>
    </row>
    <row r="3957" spans="1:11" ht="22" customHeight="1" x14ac:dyDescent="0.35">
      <c r="A3957" s="251"/>
      <c r="B3957" s="252"/>
      <c r="C3957" s="252"/>
      <c r="D3957" s="252"/>
      <c r="E3957" s="252"/>
      <c r="F3957" s="252"/>
      <c r="G3957" s="252"/>
      <c r="H3957" s="252"/>
      <c r="I3957" s="252"/>
      <c r="J3957" s="252"/>
      <c r="K3957" s="253"/>
    </row>
    <row r="3958" spans="1:11" ht="22" customHeight="1" x14ac:dyDescent="0.35">
      <c r="A3958" s="251"/>
      <c r="B3958" s="252"/>
      <c r="C3958" s="252"/>
      <c r="D3958" s="252"/>
      <c r="E3958" s="252"/>
      <c r="F3958" s="252"/>
      <c r="G3958" s="252"/>
      <c r="H3958" s="252"/>
      <c r="I3958" s="252"/>
      <c r="J3958" s="252"/>
      <c r="K3958" s="253"/>
    </row>
    <row r="3959" spans="1:11" ht="22" customHeight="1" x14ac:dyDescent="0.35">
      <c r="A3959" s="251"/>
      <c r="B3959" s="252"/>
      <c r="C3959" s="252"/>
      <c r="D3959" s="252"/>
      <c r="E3959" s="252"/>
      <c r="F3959" s="252"/>
      <c r="G3959" s="252"/>
      <c r="H3959" s="252"/>
      <c r="I3959" s="252"/>
      <c r="J3959" s="252"/>
      <c r="K3959" s="253"/>
    </row>
    <row r="3960" spans="1:11" ht="22" customHeight="1" x14ac:dyDescent="0.35">
      <c r="A3960" s="251"/>
      <c r="B3960" s="252"/>
      <c r="C3960" s="252"/>
      <c r="D3960" s="252"/>
      <c r="E3960" s="252"/>
      <c r="F3960" s="252"/>
      <c r="G3960" s="252"/>
      <c r="H3960" s="252"/>
      <c r="I3960" s="252"/>
      <c r="J3960" s="252"/>
      <c r="K3960" s="253"/>
    </row>
    <row r="3961" spans="1:11" ht="22" customHeight="1" x14ac:dyDescent="0.35">
      <c r="A3961" s="251"/>
      <c r="B3961" s="252"/>
      <c r="C3961" s="252"/>
      <c r="D3961" s="252"/>
      <c r="E3961" s="252"/>
      <c r="F3961" s="252"/>
      <c r="G3961" s="252"/>
      <c r="H3961" s="252"/>
      <c r="I3961" s="252"/>
      <c r="J3961" s="252"/>
      <c r="K3961" s="253"/>
    </row>
    <row r="3962" spans="1:11" ht="22" customHeight="1" x14ac:dyDescent="0.35">
      <c r="A3962" s="251"/>
      <c r="B3962" s="252"/>
      <c r="C3962" s="252"/>
      <c r="D3962" s="252"/>
      <c r="E3962" s="252"/>
      <c r="F3962" s="252"/>
      <c r="G3962" s="252"/>
      <c r="H3962" s="252"/>
      <c r="I3962" s="252"/>
      <c r="J3962" s="252"/>
      <c r="K3962" s="253"/>
    </row>
    <row r="3963" spans="1:11" ht="22" customHeight="1" x14ac:dyDescent="0.35">
      <c r="A3963" s="251"/>
      <c r="B3963" s="252"/>
      <c r="C3963" s="252"/>
      <c r="D3963" s="252"/>
      <c r="E3963" s="252"/>
      <c r="F3963" s="252"/>
      <c r="G3963" s="252"/>
      <c r="H3963" s="252"/>
      <c r="I3963" s="252"/>
      <c r="J3963" s="252"/>
      <c r="K3963" s="253"/>
    </row>
    <row r="3964" spans="1:11" ht="22" customHeight="1" x14ac:dyDescent="0.35">
      <c r="A3964" s="251"/>
      <c r="B3964" s="252"/>
      <c r="C3964" s="252"/>
      <c r="D3964" s="252"/>
      <c r="E3964" s="252"/>
      <c r="F3964" s="252"/>
      <c r="G3964" s="252"/>
      <c r="H3964" s="252"/>
      <c r="I3964" s="252"/>
      <c r="J3964" s="252"/>
      <c r="K3964" s="253"/>
    </row>
    <row r="3965" spans="1:11" ht="22" customHeight="1" x14ac:dyDescent="0.35">
      <c r="A3965" s="251"/>
      <c r="B3965" s="252"/>
      <c r="C3965" s="252"/>
      <c r="D3965" s="252"/>
      <c r="E3965" s="252"/>
      <c r="F3965" s="252"/>
      <c r="G3965" s="252"/>
      <c r="H3965" s="252"/>
      <c r="I3965" s="252"/>
      <c r="J3965" s="252"/>
      <c r="K3965" s="253"/>
    </row>
    <row r="3966" spans="1:11" ht="22" customHeight="1" x14ac:dyDescent="0.35">
      <c r="A3966" s="251"/>
      <c r="B3966" s="252"/>
      <c r="C3966" s="252"/>
      <c r="D3966" s="252"/>
      <c r="E3966" s="252"/>
      <c r="F3966" s="252"/>
      <c r="G3966" s="252"/>
      <c r="H3966" s="252"/>
      <c r="I3966" s="252"/>
      <c r="J3966" s="252"/>
      <c r="K3966" s="253"/>
    </row>
    <row r="3967" spans="1:11" ht="22" customHeight="1" x14ac:dyDescent="0.35">
      <c r="A3967" s="251"/>
      <c r="B3967" s="252"/>
      <c r="C3967" s="252"/>
      <c r="D3967" s="252"/>
      <c r="E3967" s="252"/>
      <c r="F3967" s="252"/>
      <c r="G3967" s="252"/>
      <c r="H3967" s="252"/>
      <c r="I3967" s="252"/>
      <c r="J3967" s="252"/>
      <c r="K3967" s="253"/>
    </row>
    <row r="3968" spans="1:11" ht="22" customHeight="1" x14ac:dyDescent="0.35">
      <c r="A3968" s="251"/>
      <c r="B3968" s="252"/>
      <c r="C3968" s="252"/>
      <c r="D3968" s="252"/>
      <c r="E3968" s="252"/>
      <c r="F3968" s="252"/>
      <c r="G3968" s="252"/>
      <c r="H3968" s="252"/>
      <c r="I3968" s="252"/>
      <c r="J3968" s="252"/>
      <c r="K3968" s="253"/>
    </row>
    <row r="3969" spans="1:11" ht="22" customHeight="1" x14ac:dyDescent="0.35">
      <c r="A3969" s="251"/>
      <c r="B3969" s="252"/>
      <c r="C3969" s="252"/>
      <c r="D3969" s="252"/>
      <c r="E3969" s="252"/>
      <c r="F3969" s="252"/>
      <c r="G3969" s="252"/>
      <c r="H3969" s="252"/>
      <c r="I3969" s="252"/>
      <c r="J3969" s="252"/>
      <c r="K3969" s="253"/>
    </row>
    <row r="3970" spans="1:11" ht="22" customHeight="1" x14ac:dyDescent="0.35">
      <c r="A3970" s="251"/>
      <c r="B3970" s="252"/>
      <c r="C3970" s="252"/>
      <c r="D3970" s="252"/>
      <c r="E3970" s="252"/>
      <c r="F3970" s="252"/>
      <c r="G3970" s="252"/>
      <c r="H3970" s="252"/>
      <c r="I3970" s="252"/>
      <c r="J3970" s="252"/>
      <c r="K3970" s="253"/>
    </row>
    <row r="3971" spans="1:11" ht="22" customHeight="1" x14ac:dyDescent="0.35">
      <c r="A3971" s="251"/>
      <c r="B3971" s="252"/>
      <c r="C3971" s="252"/>
      <c r="D3971" s="252"/>
      <c r="E3971" s="252"/>
      <c r="F3971" s="252"/>
      <c r="G3971" s="252"/>
      <c r="H3971" s="252"/>
      <c r="I3971" s="252"/>
      <c r="J3971" s="252"/>
      <c r="K3971" s="253"/>
    </row>
    <row r="3972" spans="1:11" ht="22" customHeight="1" x14ac:dyDescent="0.35">
      <c r="A3972" s="251"/>
      <c r="B3972" s="252"/>
      <c r="C3972" s="252"/>
      <c r="D3972" s="252"/>
      <c r="E3972" s="252"/>
      <c r="F3972" s="252"/>
      <c r="G3972" s="252"/>
      <c r="H3972" s="252"/>
      <c r="I3972" s="252"/>
      <c r="J3972" s="252"/>
      <c r="K3972" s="253"/>
    </row>
    <row r="3973" spans="1:11" ht="22" customHeight="1" x14ac:dyDescent="0.35">
      <c r="A3973" s="251"/>
      <c r="B3973" s="252"/>
      <c r="C3973" s="252"/>
      <c r="D3973" s="252"/>
      <c r="E3973" s="252"/>
      <c r="F3973" s="252"/>
      <c r="G3973" s="252"/>
      <c r="H3973" s="252"/>
      <c r="I3973" s="252"/>
      <c r="J3973" s="252"/>
      <c r="K3973" s="253"/>
    </row>
    <row r="3974" spans="1:11" ht="22" customHeight="1" x14ac:dyDescent="0.35">
      <c r="A3974" s="251"/>
      <c r="B3974" s="252"/>
      <c r="C3974" s="252"/>
      <c r="D3974" s="252"/>
      <c r="E3974" s="252"/>
      <c r="F3974" s="252"/>
      <c r="G3974" s="252"/>
      <c r="H3974" s="252"/>
      <c r="I3974" s="252"/>
      <c r="J3974" s="252"/>
      <c r="K3974" s="253"/>
    </row>
    <row r="3975" spans="1:11" ht="22" customHeight="1" x14ac:dyDescent="0.35">
      <c r="A3975" s="251"/>
      <c r="B3975" s="252"/>
      <c r="C3975" s="252"/>
      <c r="D3975" s="252"/>
      <c r="E3975" s="252"/>
      <c r="F3975" s="252"/>
      <c r="G3975" s="252"/>
      <c r="H3975" s="252"/>
      <c r="I3975" s="252"/>
      <c r="J3975" s="252"/>
      <c r="K3975" s="253"/>
    </row>
    <row r="3976" spans="1:11" ht="22" customHeight="1" x14ac:dyDescent="0.35">
      <c r="A3976" s="251"/>
      <c r="B3976" s="252"/>
      <c r="C3976" s="252"/>
      <c r="D3976" s="252"/>
      <c r="E3976" s="252"/>
      <c r="F3976" s="252"/>
      <c r="G3976" s="252"/>
      <c r="H3976" s="252"/>
      <c r="I3976" s="252"/>
      <c r="J3976" s="252"/>
      <c r="K3976" s="253"/>
    </row>
    <row r="3977" spans="1:11" ht="22" customHeight="1" x14ac:dyDescent="0.35">
      <c r="A3977" s="251"/>
      <c r="B3977" s="252"/>
      <c r="C3977" s="252"/>
      <c r="D3977" s="252"/>
      <c r="E3977" s="252"/>
      <c r="F3977" s="252"/>
      <c r="G3977" s="252"/>
      <c r="H3977" s="252"/>
      <c r="I3977" s="252"/>
      <c r="J3977" s="252"/>
      <c r="K3977" s="253"/>
    </row>
    <row r="3978" spans="1:11" ht="22" customHeight="1" x14ac:dyDescent="0.35">
      <c r="A3978" s="251"/>
      <c r="B3978" s="252"/>
      <c r="C3978" s="252"/>
      <c r="D3978" s="252"/>
      <c r="E3978" s="252"/>
      <c r="F3978" s="252"/>
      <c r="G3978" s="252"/>
      <c r="H3978" s="252"/>
      <c r="I3978" s="252"/>
      <c r="J3978" s="252"/>
      <c r="K3978" s="253"/>
    </row>
    <row r="3979" spans="1:11" ht="22" customHeight="1" x14ac:dyDescent="0.35">
      <c r="A3979" s="251"/>
      <c r="B3979" s="252"/>
      <c r="C3979" s="252"/>
      <c r="D3979" s="252"/>
      <c r="E3979" s="252"/>
      <c r="F3979" s="252"/>
      <c r="G3979" s="252"/>
      <c r="H3979" s="252"/>
      <c r="I3979" s="252"/>
      <c r="J3979" s="252"/>
      <c r="K3979" s="253"/>
    </row>
    <row r="3980" spans="1:11" ht="22" customHeight="1" x14ac:dyDescent="0.35">
      <c r="A3980" s="251"/>
      <c r="B3980" s="252"/>
      <c r="C3980" s="252"/>
      <c r="D3980" s="252"/>
      <c r="E3980" s="252"/>
      <c r="F3980" s="252"/>
      <c r="G3980" s="252"/>
      <c r="H3980" s="252"/>
      <c r="I3980" s="252"/>
      <c r="J3980" s="252"/>
      <c r="K3980" s="253"/>
    </row>
    <row r="3981" spans="1:11" ht="22" customHeight="1" x14ac:dyDescent="0.35">
      <c r="A3981" s="251"/>
      <c r="B3981" s="252"/>
      <c r="C3981" s="252"/>
      <c r="D3981" s="252"/>
      <c r="E3981" s="252"/>
      <c r="F3981" s="252"/>
      <c r="G3981" s="252"/>
      <c r="H3981" s="252"/>
      <c r="I3981" s="252"/>
      <c r="J3981" s="252"/>
      <c r="K3981" s="253"/>
    </row>
    <row r="3982" spans="1:11" ht="22" customHeight="1" x14ac:dyDescent="0.35">
      <c r="A3982" s="251"/>
      <c r="B3982" s="252"/>
      <c r="C3982" s="252"/>
      <c r="D3982" s="252"/>
      <c r="E3982" s="252"/>
      <c r="F3982" s="252"/>
      <c r="G3982" s="252"/>
      <c r="H3982" s="252"/>
      <c r="I3982" s="252"/>
      <c r="J3982" s="252"/>
      <c r="K3982" s="253"/>
    </row>
    <row r="3983" spans="1:11" ht="22" customHeight="1" x14ac:dyDescent="0.35">
      <c r="A3983" s="251"/>
      <c r="B3983" s="252"/>
      <c r="C3983" s="252"/>
      <c r="D3983" s="252"/>
      <c r="E3983" s="252"/>
      <c r="F3983" s="252"/>
      <c r="G3983" s="252"/>
      <c r="H3983" s="252"/>
      <c r="I3983" s="252"/>
      <c r="J3983" s="252"/>
      <c r="K3983" s="253"/>
    </row>
    <row r="3984" spans="1:11" ht="22" customHeight="1" x14ac:dyDescent="0.35">
      <c r="A3984" s="251"/>
      <c r="B3984" s="252"/>
      <c r="C3984" s="252"/>
      <c r="D3984" s="252"/>
      <c r="E3984" s="252"/>
      <c r="F3984" s="252"/>
      <c r="G3984" s="252"/>
      <c r="H3984" s="252"/>
      <c r="I3984" s="252"/>
      <c r="J3984" s="252"/>
      <c r="K3984" s="253"/>
    </row>
    <row r="3985" spans="1:11" ht="22" customHeight="1" x14ac:dyDescent="0.35">
      <c r="A3985" s="251"/>
      <c r="B3985" s="252"/>
      <c r="C3985" s="252"/>
      <c r="D3985" s="252"/>
      <c r="E3985" s="252"/>
      <c r="F3985" s="252"/>
      <c r="G3985" s="252"/>
      <c r="H3985" s="252"/>
      <c r="I3985" s="252"/>
      <c r="J3985" s="252"/>
      <c r="K3985" s="253"/>
    </row>
    <row r="3986" spans="1:11" ht="22" customHeight="1" x14ac:dyDescent="0.35">
      <c r="A3986" s="251"/>
      <c r="B3986" s="252"/>
      <c r="C3986" s="252"/>
      <c r="D3986" s="252"/>
      <c r="E3986" s="252"/>
      <c r="F3986" s="252"/>
      <c r="G3986" s="252"/>
      <c r="H3986" s="252"/>
      <c r="I3986" s="252"/>
      <c r="J3986" s="252"/>
      <c r="K3986" s="253"/>
    </row>
    <row r="3987" spans="1:11" ht="22" customHeight="1" x14ac:dyDescent="0.35">
      <c r="A3987" s="251"/>
      <c r="B3987" s="252"/>
      <c r="C3987" s="252"/>
      <c r="D3987" s="252"/>
      <c r="E3987" s="252"/>
      <c r="F3987" s="252"/>
      <c r="G3987" s="252"/>
      <c r="H3987" s="252"/>
      <c r="I3987" s="252"/>
      <c r="J3987" s="252"/>
      <c r="K3987" s="253"/>
    </row>
    <row r="3988" spans="1:11" ht="22" customHeight="1" x14ac:dyDescent="0.35">
      <c r="A3988" s="251"/>
      <c r="B3988" s="252"/>
      <c r="C3988" s="252"/>
      <c r="D3988" s="252"/>
      <c r="E3988" s="252"/>
      <c r="F3988" s="252"/>
      <c r="G3988" s="252"/>
      <c r="H3988" s="252"/>
      <c r="I3988" s="252"/>
      <c r="J3988" s="252"/>
      <c r="K3988" s="253"/>
    </row>
    <row r="3989" spans="1:11" ht="22" customHeight="1" x14ac:dyDescent="0.35">
      <c r="A3989" s="251"/>
      <c r="B3989" s="252"/>
      <c r="C3989" s="252"/>
      <c r="D3989" s="252"/>
      <c r="E3989" s="252"/>
      <c r="F3989" s="252"/>
      <c r="G3989" s="252"/>
      <c r="H3989" s="252"/>
      <c r="I3989" s="252"/>
      <c r="J3989" s="252"/>
      <c r="K3989" s="253"/>
    </row>
    <row r="3990" spans="1:11" ht="22" customHeight="1" x14ac:dyDescent="0.35">
      <c r="A3990" s="251"/>
      <c r="B3990" s="252"/>
      <c r="C3990" s="252"/>
      <c r="D3990" s="252"/>
      <c r="E3990" s="252"/>
      <c r="F3990" s="252"/>
      <c r="G3990" s="252"/>
      <c r="H3990" s="252"/>
      <c r="I3990" s="252"/>
      <c r="J3990" s="252"/>
      <c r="K3990" s="253"/>
    </row>
    <row r="3991" spans="1:11" ht="22" customHeight="1" x14ac:dyDescent="0.35">
      <c r="A3991" s="251"/>
      <c r="B3991" s="252"/>
      <c r="C3991" s="252"/>
      <c r="D3991" s="252"/>
      <c r="E3991" s="252"/>
      <c r="F3991" s="252"/>
      <c r="G3991" s="252"/>
      <c r="H3991" s="252"/>
      <c r="I3991" s="252"/>
      <c r="J3991" s="252"/>
      <c r="K3991" s="253"/>
    </row>
    <row r="3992" spans="1:11" ht="22" customHeight="1" x14ac:dyDescent="0.35">
      <c r="A3992" s="251"/>
      <c r="B3992" s="252"/>
      <c r="C3992" s="252"/>
      <c r="D3992" s="252"/>
      <c r="E3992" s="252"/>
      <c r="F3992" s="252"/>
      <c r="G3992" s="252"/>
      <c r="H3992" s="252"/>
      <c r="I3992" s="252"/>
      <c r="J3992" s="252"/>
      <c r="K3992" s="253"/>
    </row>
    <row r="3993" spans="1:11" ht="22" customHeight="1" x14ac:dyDescent="0.35">
      <c r="A3993" s="251"/>
      <c r="B3993" s="252"/>
      <c r="C3993" s="252"/>
      <c r="D3993" s="252"/>
      <c r="E3993" s="252"/>
      <c r="F3993" s="252"/>
      <c r="G3993" s="252"/>
      <c r="H3993" s="252"/>
      <c r="I3993" s="252"/>
      <c r="J3993" s="252"/>
      <c r="K3993" s="253"/>
    </row>
    <row r="3994" spans="1:11" ht="22" customHeight="1" x14ac:dyDescent="0.35">
      <c r="A3994" s="251"/>
      <c r="B3994" s="252"/>
      <c r="C3994" s="252"/>
      <c r="D3994" s="252"/>
      <c r="E3994" s="252"/>
      <c r="F3994" s="252"/>
      <c r="G3994" s="252"/>
      <c r="H3994" s="252"/>
      <c r="I3994" s="252"/>
      <c r="J3994" s="252"/>
      <c r="K3994" s="253"/>
    </row>
    <row r="3995" spans="1:11" ht="22" customHeight="1" x14ac:dyDescent="0.35">
      <c r="A3995" s="251"/>
      <c r="B3995" s="252"/>
      <c r="C3995" s="252"/>
      <c r="D3995" s="252"/>
      <c r="E3995" s="252"/>
      <c r="F3995" s="252"/>
      <c r="G3995" s="252"/>
      <c r="H3995" s="252"/>
      <c r="I3995" s="252"/>
      <c r="J3995" s="252"/>
      <c r="K3995" s="253"/>
    </row>
    <row r="3996" spans="1:11" ht="22" customHeight="1" x14ac:dyDescent="0.35">
      <c r="A3996" s="251"/>
      <c r="B3996" s="252"/>
      <c r="C3996" s="252"/>
      <c r="D3996" s="252"/>
      <c r="E3996" s="252"/>
      <c r="F3996" s="252"/>
      <c r="G3996" s="252"/>
      <c r="H3996" s="252"/>
      <c r="I3996" s="252"/>
      <c r="J3996" s="252"/>
      <c r="K3996" s="253"/>
    </row>
    <row r="3997" spans="1:11" ht="22" customHeight="1" x14ac:dyDescent="0.35">
      <c r="A3997" s="251"/>
      <c r="B3997" s="252"/>
      <c r="C3997" s="252"/>
      <c r="D3997" s="252"/>
      <c r="E3997" s="252"/>
      <c r="F3997" s="252"/>
      <c r="G3997" s="252"/>
      <c r="H3997" s="252"/>
      <c r="I3997" s="252"/>
      <c r="J3997" s="252"/>
      <c r="K3997" s="253"/>
    </row>
    <row r="3998" spans="1:11" ht="22" customHeight="1" x14ac:dyDescent="0.35">
      <c r="A3998" s="251"/>
      <c r="B3998" s="252"/>
      <c r="C3998" s="252"/>
      <c r="D3998" s="252"/>
      <c r="E3998" s="252"/>
      <c r="F3998" s="252"/>
      <c r="G3998" s="252"/>
      <c r="H3998" s="252"/>
      <c r="I3998" s="252"/>
      <c r="J3998" s="252"/>
      <c r="K3998" s="253"/>
    </row>
    <row r="3999" spans="1:11" ht="22" customHeight="1" x14ac:dyDescent="0.35">
      <c r="A3999" s="251"/>
      <c r="B3999" s="252"/>
      <c r="C3999" s="252"/>
      <c r="D3999" s="252"/>
      <c r="E3999" s="252"/>
      <c r="F3999" s="252"/>
      <c r="G3999" s="252"/>
      <c r="H3999" s="252"/>
      <c r="I3999" s="252"/>
      <c r="J3999" s="252"/>
      <c r="K3999" s="253"/>
    </row>
    <row r="4000" spans="1:11" ht="22" customHeight="1" x14ac:dyDescent="0.35">
      <c r="A4000" s="251"/>
      <c r="B4000" s="252"/>
      <c r="C4000" s="252"/>
      <c r="D4000" s="252"/>
      <c r="E4000" s="252"/>
      <c r="F4000" s="252"/>
      <c r="G4000" s="252"/>
      <c r="H4000" s="252"/>
      <c r="I4000" s="252"/>
      <c r="J4000" s="252"/>
      <c r="K4000" s="253"/>
    </row>
    <row r="4001" spans="1:11" ht="22" customHeight="1" x14ac:dyDescent="0.35">
      <c r="A4001" s="251"/>
      <c r="B4001" s="252"/>
      <c r="C4001" s="252"/>
      <c r="D4001" s="252"/>
      <c r="E4001" s="252"/>
      <c r="F4001" s="252"/>
      <c r="G4001" s="252"/>
      <c r="H4001" s="252"/>
      <c r="I4001" s="252"/>
      <c r="J4001" s="252"/>
      <c r="K4001" s="253"/>
    </row>
    <row r="4002" spans="1:11" ht="22" customHeight="1" x14ac:dyDescent="0.35">
      <c r="A4002" s="251"/>
      <c r="B4002" s="252"/>
      <c r="C4002" s="252"/>
      <c r="D4002" s="252"/>
      <c r="E4002" s="252"/>
      <c r="F4002" s="252"/>
      <c r="G4002" s="252"/>
      <c r="H4002" s="252"/>
      <c r="I4002" s="252"/>
      <c r="J4002" s="252"/>
      <c r="K4002" s="253"/>
    </row>
    <row r="4003" spans="1:11" ht="22" customHeight="1" x14ac:dyDescent="0.35">
      <c r="A4003" s="251"/>
      <c r="B4003" s="252"/>
      <c r="C4003" s="252"/>
      <c r="D4003" s="252"/>
      <c r="E4003" s="252"/>
      <c r="F4003" s="252"/>
      <c r="G4003" s="252"/>
      <c r="H4003" s="252"/>
      <c r="I4003" s="252"/>
      <c r="J4003" s="252"/>
      <c r="K4003" s="253"/>
    </row>
    <row r="4004" spans="1:11" ht="22" customHeight="1" x14ac:dyDescent="0.35">
      <c r="A4004" s="251"/>
      <c r="B4004" s="252"/>
      <c r="C4004" s="252"/>
      <c r="D4004" s="252"/>
      <c r="E4004" s="252"/>
      <c r="F4004" s="252"/>
      <c r="G4004" s="252"/>
      <c r="H4004" s="252"/>
      <c r="I4004" s="252"/>
      <c r="J4004" s="252"/>
      <c r="K4004" s="253"/>
    </row>
    <row r="4005" spans="1:11" ht="22" customHeight="1" x14ac:dyDescent="0.35">
      <c r="A4005" s="251"/>
      <c r="B4005" s="252"/>
      <c r="C4005" s="252"/>
      <c r="D4005" s="252"/>
      <c r="E4005" s="252"/>
      <c r="F4005" s="252"/>
      <c r="G4005" s="252"/>
      <c r="H4005" s="252"/>
      <c r="I4005" s="252"/>
      <c r="J4005" s="252"/>
      <c r="K4005" s="253"/>
    </row>
    <row r="4006" spans="1:11" ht="22" customHeight="1" x14ac:dyDescent="0.35">
      <c r="A4006" s="251"/>
      <c r="B4006" s="252"/>
      <c r="C4006" s="252"/>
      <c r="D4006" s="252"/>
      <c r="E4006" s="252"/>
      <c r="F4006" s="252"/>
      <c r="G4006" s="252"/>
      <c r="H4006" s="252"/>
      <c r="I4006" s="252"/>
      <c r="J4006" s="252"/>
      <c r="K4006" s="253"/>
    </row>
    <row r="4007" spans="1:11" ht="22" customHeight="1" x14ac:dyDescent="0.35">
      <c r="A4007" s="251"/>
      <c r="B4007" s="252"/>
      <c r="C4007" s="252"/>
      <c r="D4007" s="252"/>
      <c r="E4007" s="252"/>
      <c r="F4007" s="252"/>
      <c r="G4007" s="252"/>
      <c r="H4007" s="252"/>
      <c r="I4007" s="252"/>
      <c r="J4007" s="252"/>
      <c r="K4007" s="253"/>
    </row>
    <row r="4008" spans="1:11" ht="22" customHeight="1" x14ac:dyDescent="0.35">
      <c r="A4008" s="251"/>
      <c r="B4008" s="252"/>
      <c r="C4008" s="252"/>
      <c r="D4008" s="252"/>
      <c r="E4008" s="252"/>
      <c r="F4008" s="252"/>
      <c r="G4008" s="252"/>
      <c r="H4008" s="252"/>
      <c r="I4008" s="252"/>
      <c r="J4008" s="252"/>
      <c r="K4008" s="253"/>
    </row>
    <row r="4009" spans="1:11" ht="22" customHeight="1" x14ac:dyDescent="0.35">
      <c r="A4009" s="251"/>
      <c r="B4009" s="252"/>
      <c r="C4009" s="252"/>
      <c r="D4009" s="252"/>
      <c r="E4009" s="252"/>
      <c r="F4009" s="252"/>
      <c r="G4009" s="252"/>
      <c r="H4009" s="252"/>
      <c r="I4009" s="252"/>
      <c r="J4009" s="252"/>
      <c r="K4009" s="253"/>
    </row>
    <row r="4010" spans="1:11" ht="22" customHeight="1" x14ac:dyDescent="0.35">
      <c r="A4010" s="251"/>
      <c r="B4010" s="252"/>
      <c r="C4010" s="252"/>
      <c r="D4010" s="252"/>
      <c r="E4010" s="252"/>
      <c r="F4010" s="252"/>
      <c r="G4010" s="252"/>
      <c r="H4010" s="252"/>
      <c r="I4010" s="252"/>
      <c r="J4010" s="252"/>
      <c r="K4010" s="253"/>
    </row>
    <row r="4011" spans="1:11" ht="22" customHeight="1" x14ac:dyDescent="0.35">
      <c r="A4011" s="251"/>
      <c r="B4011" s="252"/>
      <c r="C4011" s="252"/>
      <c r="D4011" s="252"/>
      <c r="E4011" s="252"/>
      <c r="F4011" s="252"/>
      <c r="G4011" s="252"/>
      <c r="H4011" s="252"/>
      <c r="I4011" s="252"/>
      <c r="J4011" s="252"/>
      <c r="K4011" s="253"/>
    </row>
    <row r="4012" spans="1:11" ht="22" customHeight="1" x14ac:dyDescent="0.35">
      <c r="A4012" s="251"/>
      <c r="B4012" s="252"/>
      <c r="C4012" s="252"/>
      <c r="D4012" s="252"/>
      <c r="E4012" s="252"/>
      <c r="F4012" s="252"/>
      <c r="G4012" s="252"/>
      <c r="H4012" s="252"/>
      <c r="I4012" s="252"/>
      <c r="J4012" s="252"/>
      <c r="K4012" s="253"/>
    </row>
    <row r="4013" spans="1:11" ht="22" customHeight="1" x14ac:dyDescent="0.35">
      <c r="A4013" s="251"/>
      <c r="B4013" s="252"/>
      <c r="C4013" s="252"/>
      <c r="D4013" s="252"/>
      <c r="E4013" s="252"/>
      <c r="F4013" s="252"/>
      <c r="G4013" s="252"/>
      <c r="H4013" s="252"/>
      <c r="I4013" s="252"/>
      <c r="J4013" s="252"/>
      <c r="K4013" s="253"/>
    </row>
    <row r="4014" spans="1:11" ht="22" customHeight="1" x14ac:dyDescent="0.35">
      <c r="A4014" s="251"/>
      <c r="B4014" s="252"/>
      <c r="C4014" s="252"/>
      <c r="D4014" s="252"/>
      <c r="E4014" s="252"/>
      <c r="F4014" s="252"/>
      <c r="G4014" s="252"/>
      <c r="H4014" s="252"/>
      <c r="I4014" s="252"/>
      <c r="J4014" s="252"/>
      <c r="K4014" s="253"/>
    </row>
    <row r="4015" spans="1:11" ht="22" customHeight="1" x14ac:dyDescent="0.35">
      <c r="A4015" s="251"/>
      <c r="B4015" s="252"/>
      <c r="C4015" s="252"/>
      <c r="D4015" s="252"/>
      <c r="E4015" s="252"/>
      <c r="F4015" s="252"/>
      <c r="G4015" s="252"/>
      <c r="H4015" s="252"/>
      <c r="I4015" s="252"/>
      <c r="J4015" s="252"/>
      <c r="K4015" s="253"/>
    </row>
    <row r="4016" spans="1:11" ht="22" customHeight="1" x14ac:dyDescent="0.35">
      <c r="A4016" s="251"/>
      <c r="B4016" s="252"/>
      <c r="C4016" s="252"/>
      <c r="D4016" s="252"/>
      <c r="E4016" s="252"/>
      <c r="F4016" s="252"/>
      <c r="G4016" s="252"/>
      <c r="H4016" s="252"/>
      <c r="I4016" s="252"/>
      <c r="J4016" s="252"/>
      <c r="K4016" s="253"/>
    </row>
    <row r="4017" spans="1:11" ht="22" customHeight="1" x14ac:dyDescent="0.35">
      <c r="A4017" s="251"/>
      <c r="B4017" s="252"/>
      <c r="C4017" s="252"/>
      <c r="D4017" s="252"/>
      <c r="E4017" s="252"/>
      <c r="F4017" s="252"/>
      <c r="G4017" s="252"/>
      <c r="H4017" s="252"/>
      <c r="I4017" s="252"/>
      <c r="J4017" s="252"/>
      <c r="K4017" s="253"/>
    </row>
    <row r="4018" spans="1:11" ht="22" customHeight="1" x14ac:dyDescent="0.35">
      <c r="A4018" s="251"/>
      <c r="B4018" s="252"/>
      <c r="C4018" s="252"/>
      <c r="D4018" s="252"/>
      <c r="E4018" s="252"/>
      <c r="F4018" s="252"/>
      <c r="G4018" s="252"/>
      <c r="H4018" s="252"/>
      <c r="I4018" s="252"/>
      <c r="J4018" s="252"/>
      <c r="K4018" s="253"/>
    </row>
    <row r="4019" spans="1:11" ht="22" customHeight="1" x14ac:dyDescent="0.35">
      <c r="A4019" s="251"/>
      <c r="B4019" s="252"/>
      <c r="C4019" s="252"/>
      <c r="D4019" s="252"/>
      <c r="E4019" s="252"/>
      <c r="F4019" s="252"/>
      <c r="G4019" s="252"/>
      <c r="H4019" s="252"/>
      <c r="I4019" s="252"/>
      <c r="J4019" s="252"/>
      <c r="K4019" s="253"/>
    </row>
    <row r="4020" spans="1:11" ht="22" customHeight="1" x14ac:dyDescent="0.35">
      <c r="A4020" s="251"/>
      <c r="B4020" s="252"/>
      <c r="C4020" s="252"/>
      <c r="D4020" s="252"/>
      <c r="E4020" s="252"/>
      <c r="F4020" s="252"/>
      <c r="G4020" s="252"/>
      <c r="H4020" s="252"/>
      <c r="I4020" s="252"/>
      <c r="J4020" s="252"/>
      <c r="K4020" s="253"/>
    </row>
    <row r="4021" spans="1:11" ht="22" customHeight="1" x14ac:dyDescent="0.35">
      <c r="A4021" s="251"/>
      <c r="B4021" s="252"/>
      <c r="C4021" s="252"/>
      <c r="D4021" s="252"/>
      <c r="E4021" s="252"/>
      <c r="F4021" s="252"/>
      <c r="G4021" s="252"/>
      <c r="H4021" s="252"/>
      <c r="I4021" s="252"/>
      <c r="J4021" s="252"/>
      <c r="K4021" s="253"/>
    </row>
    <row r="4022" spans="1:11" ht="22" customHeight="1" x14ac:dyDescent="0.35">
      <c r="A4022" s="251"/>
      <c r="B4022" s="252"/>
      <c r="C4022" s="252"/>
      <c r="D4022" s="252"/>
      <c r="E4022" s="252"/>
      <c r="F4022" s="252"/>
      <c r="G4022" s="252"/>
      <c r="H4022" s="252"/>
      <c r="I4022" s="252"/>
      <c r="J4022" s="252"/>
      <c r="K4022" s="253"/>
    </row>
    <row r="4023" spans="1:11" ht="22" customHeight="1" x14ac:dyDescent="0.35">
      <c r="A4023" s="251"/>
      <c r="B4023" s="252"/>
      <c r="C4023" s="252"/>
      <c r="D4023" s="252"/>
      <c r="E4023" s="252"/>
      <c r="F4023" s="252"/>
      <c r="G4023" s="252"/>
      <c r="H4023" s="252"/>
      <c r="I4023" s="252"/>
      <c r="J4023" s="252"/>
      <c r="K4023" s="253"/>
    </row>
    <row r="4024" spans="1:11" ht="22" customHeight="1" x14ac:dyDescent="0.35">
      <c r="A4024" s="251"/>
      <c r="B4024" s="252"/>
      <c r="C4024" s="252"/>
      <c r="D4024" s="252"/>
      <c r="E4024" s="252"/>
      <c r="F4024" s="252"/>
      <c r="G4024" s="252"/>
      <c r="H4024" s="252"/>
      <c r="I4024" s="252"/>
      <c r="J4024" s="252"/>
      <c r="K4024" s="253"/>
    </row>
    <row r="4025" spans="1:11" ht="22" customHeight="1" x14ac:dyDescent="0.35">
      <c r="A4025" s="251"/>
      <c r="B4025" s="252"/>
      <c r="C4025" s="252"/>
      <c r="D4025" s="252"/>
      <c r="E4025" s="252"/>
      <c r="F4025" s="252"/>
      <c r="G4025" s="252"/>
      <c r="H4025" s="252"/>
      <c r="I4025" s="252"/>
      <c r="J4025" s="252"/>
      <c r="K4025" s="253"/>
    </row>
    <row r="4026" spans="1:11" ht="22" customHeight="1" x14ac:dyDescent="0.35">
      <c r="A4026" s="251"/>
      <c r="B4026" s="252"/>
      <c r="C4026" s="252"/>
      <c r="D4026" s="252"/>
      <c r="E4026" s="252"/>
      <c r="F4026" s="252"/>
      <c r="G4026" s="252"/>
      <c r="H4026" s="252"/>
      <c r="I4026" s="252"/>
      <c r="J4026" s="252"/>
      <c r="K4026" s="253"/>
    </row>
    <row r="4027" spans="1:11" ht="22" customHeight="1" x14ac:dyDescent="0.35">
      <c r="A4027" s="251"/>
      <c r="B4027" s="252"/>
      <c r="C4027" s="252"/>
      <c r="D4027" s="252"/>
      <c r="E4027" s="252"/>
      <c r="F4027" s="252"/>
      <c r="G4027" s="252"/>
      <c r="H4027" s="252"/>
      <c r="I4027" s="252"/>
      <c r="J4027" s="252"/>
      <c r="K4027" s="253"/>
    </row>
    <row r="4028" spans="1:11" ht="22" customHeight="1" x14ac:dyDescent="0.35">
      <c r="A4028" s="251"/>
      <c r="B4028" s="252"/>
      <c r="C4028" s="252"/>
      <c r="D4028" s="252"/>
      <c r="E4028" s="252"/>
      <c r="F4028" s="252"/>
      <c r="G4028" s="252"/>
      <c r="H4028" s="252"/>
      <c r="I4028" s="252"/>
      <c r="J4028" s="252"/>
      <c r="K4028" s="253"/>
    </row>
    <row r="4029" spans="1:11" ht="22" customHeight="1" x14ac:dyDescent="0.35">
      <c r="A4029" s="251"/>
      <c r="B4029" s="252"/>
      <c r="C4029" s="252"/>
      <c r="D4029" s="252"/>
      <c r="E4029" s="252"/>
      <c r="F4029" s="252"/>
      <c r="G4029" s="252"/>
      <c r="H4029" s="252"/>
      <c r="I4029" s="252"/>
      <c r="J4029" s="252"/>
      <c r="K4029" s="253"/>
    </row>
    <row r="4030" spans="1:11" ht="22" customHeight="1" x14ac:dyDescent="0.35">
      <c r="A4030" s="251"/>
      <c r="B4030" s="252"/>
      <c r="C4030" s="252"/>
      <c r="D4030" s="252"/>
      <c r="E4030" s="252"/>
      <c r="F4030" s="252"/>
      <c r="G4030" s="252"/>
      <c r="H4030" s="252"/>
      <c r="I4030" s="252"/>
      <c r="J4030" s="252"/>
      <c r="K4030" s="253"/>
    </row>
    <row r="4031" spans="1:11" ht="22" customHeight="1" x14ac:dyDescent="0.35">
      <c r="A4031" s="251"/>
      <c r="B4031" s="252"/>
      <c r="C4031" s="252"/>
      <c r="D4031" s="252"/>
      <c r="E4031" s="252"/>
      <c r="F4031" s="252"/>
      <c r="G4031" s="252"/>
      <c r="H4031" s="252"/>
      <c r="I4031" s="252"/>
      <c r="J4031" s="252"/>
      <c r="K4031" s="253"/>
    </row>
    <row r="4032" spans="1:11" ht="22" customHeight="1" x14ac:dyDescent="0.35">
      <c r="A4032" s="251"/>
      <c r="B4032" s="252"/>
      <c r="C4032" s="252"/>
      <c r="D4032" s="252"/>
      <c r="E4032" s="252"/>
      <c r="F4032" s="252"/>
      <c r="G4032" s="252"/>
      <c r="H4032" s="252"/>
      <c r="I4032" s="252"/>
      <c r="J4032" s="252"/>
      <c r="K4032" s="253"/>
    </row>
    <row r="4033" spans="1:11" ht="22" customHeight="1" x14ac:dyDescent="0.35">
      <c r="A4033" s="251"/>
      <c r="B4033" s="252"/>
      <c r="C4033" s="252"/>
      <c r="D4033" s="252"/>
      <c r="E4033" s="252"/>
      <c r="F4033" s="252"/>
      <c r="G4033" s="252"/>
      <c r="H4033" s="252"/>
      <c r="I4033" s="252"/>
      <c r="J4033" s="252"/>
      <c r="K4033" s="253"/>
    </row>
    <row r="4034" spans="1:11" ht="22" customHeight="1" x14ac:dyDescent="0.35">
      <c r="A4034" s="251"/>
      <c r="B4034" s="252"/>
      <c r="C4034" s="252"/>
      <c r="D4034" s="252"/>
      <c r="E4034" s="252"/>
      <c r="F4034" s="252"/>
      <c r="G4034" s="252"/>
      <c r="H4034" s="252"/>
      <c r="I4034" s="252"/>
      <c r="J4034" s="252"/>
      <c r="K4034" s="253"/>
    </row>
    <row r="4035" spans="1:11" ht="22" customHeight="1" x14ac:dyDescent="0.35">
      <c r="A4035" s="251"/>
      <c r="B4035" s="252"/>
      <c r="C4035" s="252"/>
      <c r="D4035" s="252"/>
      <c r="E4035" s="252"/>
      <c r="F4035" s="252"/>
      <c r="G4035" s="252"/>
      <c r="H4035" s="252"/>
      <c r="I4035" s="252"/>
      <c r="J4035" s="252"/>
      <c r="K4035" s="253"/>
    </row>
    <row r="4036" spans="1:11" ht="22" customHeight="1" x14ac:dyDescent="0.35">
      <c r="A4036" s="251"/>
      <c r="B4036" s="252"/>
      <c r="C4036" s="252"/>
      <c r="D4036" s="252"/>
      <c r="E4036" s="252"/>
      <c r="F4036" s="252"/>
      <c r="G4036" s="252"/>
      <c r="H4036" s="252"/>
      <c r="I4036" s="252"/>
      <c r="J4036" s="252"/>
      <c r="K4036" s="253"/>
    </row>
    <row r="4037" spans="1:11" ht="22" customHeight="1" x14ac:dyDescent="0.35">
      <c r="A4037" s="251"/>
      <c r="B4037" s="252"/>
      <c r="C4037" s="252"/>
      <c r="D4037" s="252"/>
      <c r="E4037" s="252"/>
      <c r="F4037" s="252"/>
      <c r="G4037" s="252"/>
      <c r="H4037" s="252"/>
      <c r="I4037" s="252"/>
      <c r="J4037" s="252"/>
      <c r="K4037" s="253"/>
    </row>
    <row r="4038" spans="1:11" ht="22" customHeight="1" x14ac:dyDescent="0.35">
      <c r="A4038" s="251"/>
      <c r="B4038" s="252"/>
      <c r="C4038" s="252"/>
      <c r="D4038" s="252"/>
      <c r="E4038" s="252"/>
      <c r="F4038" s="252"/>
      <c r="G4038" s="252"/>
      <c r="H4038" s="252"/>
      <c r="I4038" s="252"/>
      <c r="J4038" s="252"/>
      <c r="K4038" s="253"/>
    </row>
    <row r="4039" spans="1:11" ht="22" customHeight="1" x14ac:dyDescent="0.35">
      <c r="A4039" s="251"/>
      <c r="B4039" s="252"/>
      <c r="C4039" s="252"/>
      <c r="D4039" s="252"/>
      <c r="E4039" s="252"/>
      <c r="F4039" s="252"/>
      <c r="G4039" s="252"/>
      <c r="H4039" s="252"/>
      <c r="I4039" s="252"/>
      <c r="J4039" s="252"/>
      <c r="K4039" s="253"/>
    </row>
    <row r="4040" spans="1:11" ht="22" customHeight="1" x14ac:dyDescent="0.35">
      <c r="A4040" s="251"/>
      <c r="B4040" s="252"/>
      <c r="C4040" s="252"/>
      <c r="D4040" s="252"/>
      <c r="E4040" s="252"/>
      <c r="F4040" s="252"/>
      <c r="G4040" s="252"/>
      <c r="H4040" s="252"/>
      <c r="I4040" s="252"/>
      <c r="J4040" s="252"/>
      <c r="K4040" s="253"/>
    </row>
    <row r="4041" spans="1:11" ht="22" customHeight="1" x14ac:dyDescent="0.35">
      <c r="A4041" s="251"/>
      <c r="B4041" s="252"/>
      <c r="C4041" s="252"/>
      <c r="D4041" s="252"/>
      <c r="E4041" s="252"/>
      <c r="F4041" s="252"/>
      <c r="G4041" s="252"/>
      <c r="H4041" s="252"/>
      <c r="I4041" s="252"/>
      <c r="J4041" s="252"/>
      <c r="K4041" s="253"/>
    </row>
    <row r="4042" spans="1:11" ht="22" customHeight="1" x14ac:dyDescent="0.35">
      <c r="A4042" s="251"/>
      <c r="B4042" s="252"/>
      <c r="C4042" s="252"/>
      <c r="D4042" s="252"/>
      <c r="E4042" s="252"/>
      <c r="F4042" s="252"/>
      <c r="G4042" s="252"/>
      <c r="H4042" s="252"/>
      <c r="I4042" s="252"/>
      <c r="J4042" s="252"/>
      <c r="K4042" s="253"/>
    </row>
    <row r="4043" spans="1:11" ht="22" customHeight="1" x14ac:dyDescent="0.35">
      <c r="A4043" s="251"/>
      <c r="B4043" s="252"/>
      <c r="C4043" s="252"/>
      <c r="D4043" s="252"/>
      <c r="E4043" s="252"/>
      <c r="F4043" s="252"/>
      <c r="G4043" s="252"/>
      <c r="H4043" s="252"/>
      <c r="I4043" s="252"/>
      <c r="J4043" s="252"/>
      <c r="K4043" s="253"/>
    </row>
    <row r="4044" spans="1:11" ht="22" customHeight="1" x14ac:dyDescent="0.35">
      <c r="A4044" s="251"/>
      <c r="B4044" s="252"/>
      <c r="C4044" s="252"/>
      <c r="D4044" s="252"/>
      <c r="E4044" s="252"/>
      <c r="F4044" s="252"/>
      <c r="G4044" s="252"/>
      <c r="H4044" s="252"/>
      <c r="I4044" s="252"/>
      <c r="J4044" s="252"/>
      <c r="K4044" s="253"/>
    </row>
    <row r="4045" spans="1:11" ht="22" customHeight="1" x14ac:dyDescent="0.35">
      <c r="A4045" s="251"/>
      <c r="B4045" s="252"/>
      <c r="C4045" s="252"/>
      <c r="D4045" s="252"/>
      <c r="E4045" s="252"/>
      <c r="F4045" s="252"/>
      <c r="G4045" s="252"/>
      <c r="H4045" s="252"/>
      <c r="I4045" s="252"/>
      <c r="J4045" s="252"/>
      <c r="K4045" s="253"/>
    </row>
    <row r="4046" spans="1:11" ht="22" customHeight="1" x14ac:dyDescent="0.35">
      <c r="A4046" s="251"/>
      <c r="B4046" s="252"/>
      <c r="C4046" s="252"/>
      <c r="D4046" s="252"/>
      <c r="E4046" s="252"/>
      <c r="F4046" s="252"/>
      <c r="G4046" s="252"/>
      <c r="H4046" s="252"/>
      <c r="I4046" s="252"/>
      <c r="J4046" s="252"/>
      <c r="K4046" s="253"/>
    </row>
    <row r="4047" spans="1:11" ht="22" customHeight="1" x14ac:dyDescent="0.35">
      <c r="A4047" s="251"/>
      <c r="B4047" s="252"/>
      <c r="C4047" s="252"/>
      <c r="D4047" s="252"/>
      <c r="E4047" s="252"/>
      <c r="F4047" s="252"/>
      <c r="G4047" s="252"/>
      <c r="H4047" s="252"/>
      <c r="I4047" s="252"/>
      <c r="J4047" s="252"/>
      <c r="K4047" s="253"/>
    </row>
    <row r="4048" spans="1:11" ht="22" customHeight="1" x14ac:dyDescent="0.35">
      <c r="A4048" s="251"/>
      <c r="B4048" s="252"/>
      <c r="C4048" s="252"/>
      <c r="D4048" s="252"/>
      <c r="E4048" s="252"/>
      <c r="F4048" s="252"/>
      <c r="G4048" s="252"/>
      <c r="H4048" s="252"/>
      <c r="I4048" s="252"/>
      <c r="J4048" s="252"/>
      <c r="K4048" s="253"/>
    </row>
    <row r="4049" spans="1:11" ht="22" customHeight="1" x14ac:dyDescent="0.35">
      <c r="A4049" s="251"/>
      <c r="B4049" s="252"/>
      <c r="C4049" s="252"/>
      <c r="D4049" s="252"/>
      <c r="E4049" s="252"/>
      <c r="F4049" s="252"/>
      <c r="G4049" s="252"/>
      <c r="H4049" s="252"/>
      <c r="I4049" s="252"/>
      <c r="J4049" s="252"/>
      <c r="K4049" s="253"/>
    </row>
    <row r="4050" spans="1:11" ht="22" customHeight="1" x14ac:dyDescent="0.35">
      <c r="A4050" s="251"/>
      <c r="B4050" s="252"/>
      <c r="C4050" s="252"/>
      <c r="D4050" s="252"/>
      <c r="E4050" s="252"/>
      <c r="F4050" s="252"/>
      <c r="G4050" s="252"/>
      <c r="H4050" s="252"/>
      <c r="I4050" s="252"/>
      <c r="J4050" s="252"/>
      <c r="K4050" s="253"/>
    </row>
    <row r="4051" spans="1:11" ht="22" customHeight="1" x14ac:dyDescent="0.35">
      <c r="A4051" s="251"/>
      <c r="B4051" s="252"/>
      <c r="C4051" s="252"/>
      <c r="D4051" s="252"/>
      <c r="E4051" s="252"/>
      <c r="F4051" s="252"/>
      <c r="G4051" s="252"/>
      <c r="H4051" s="252"/>
      <c r="I4051" s="252"/>
      <c r="J4051" s="252"/>
      <c r="K4051" s="253"/>
    </row>
    <row r="4052" spans="1:11" ht="22" customHeight="1" x14ac:dyDescent="0.35">
      <c r="A4052" s="251"/>
      <c r="B4052" s="252"/>
      <c r="C4052" s="252"/>
      <c r="D4052" s="252"/>
      <c r="E4052" s="252"/>
      <c r="F4052" s="252"/>
      <c r="G4052" s="252"/>
      <c r="H4052" s="252"/>
      <c r="I4052" s="252"/>
      <c r="J4052" s="252"/>
      <c r="K4052" s="253"/>
    </row>
    <row r="4053" spans="1:11" ht="22" customHeight="1" x14ac:dyDescent="0.35">
      <c r="A4053" s="251"/>
      <c r="B4053" s="252"/>
      <c r="C4053" s="252"/>
      <c r="D4053" s="252"/>
      <c r="E4053" s="252"/>
      <c r="F4053" s="252"/>
      <c r="G4053" s="252"/>
      <c r="H4053" s="252"/>
      <c r="I4053" s="252"/>
      <c r="J4053" s="252"/>
      <c r="K4053" s="253"/>
    </row>
    <row r="4054" spans="1:11" ht="22" customHeight="1" x14ac:dyDescent="0.35">
      <c r="A4054" s="251"/>
      <c r="B4054" s="252"/>
      <c r="C4054" s="252"/>
      <c r="D4054" s="252"/>
      <c r="E4054" s="252"/>
      <c r="F4054" s="252"/>
      <c r="G4054" s="252"/>
      <c r="H4054" s="252"/>
      <c r="I4054" s="252"/>
      <c r="J4054" s="252"/>
      <c r="K4054" s="253"/>
    </row>
    <row r="4055" spans="1:11" ht="22" customHeight="1" x14ac:dyDescent="0.35">
      <c r="A4055" s="251"/>
      <c r="B4055" s="252"/>
      <c r="C4055" s="252"/>
      <c r="D4055" s="252"/>
      <c r="E4055" s="252"/>
      <c r="F4055" s="252"/>
      <c r="G4055" s="252"/>
      <c r="H4055" s="252"/>
      <c r="I4055" s="252"/>
      <c r="J4055" s="252"/>
      <c r="K4055" s="253"/>
    </row>
    <row r="4056" spans="1:11" ht="22" customHeight="1" x14ac:dyDescent="0.35">
      <c r="A4056" s="251"/>
      <c r="B4056" s="252"/>
      <c r="C4056" s="252"/>
      <c r="D4056" s="252"/>
      <c r="E4056" s="252"/>
      <c r="F4056" s="252"/>
      <c r="G4056" s="252"/>
      <c r="H4056" s="252"/>
      <c r="I4056" s="252"/>
      <c r="J4056" s="252"/>
      <c r="K4056" s="253"/>
    </row>
    <row r="4057" spans="1:11" ht="22" customHeight="1" x14ac:dyDescent="0.35">
      <c r="A4057" s="251"/>
      <c r="B4057" s="252"/>
      <c r="C4057" s="252"/>
      <c r="D4057" s="252"/>
      <c r="E4057" s="252"/>
      <c r="F4057" s="252"/>
      <c r="G4057" s="252"/>
      <c r="H4057" s="252"/>
      <c r="I4057" s="252"/>
      <c r="J4057" s="252"/>
      <c r="K4057" s="253"/>
    </row>
    <row r="4058" spans="1:11" ht="22" customHeight="1" x14ac:dyDescent="0.35">
      <c r="A4058" s="251"/>
      <c r="B4058" s="252"/>
      <c r="C4058" s="252"/>
      <c r="D4058" s="252"/>
      <c r="E4058" s="252"/>
      <c r="F4058" s="252"/>
      <c r="G4058" s="252"/>
      <c r="H4058" s="252"/>
      <c r="I4058" s="252"/>
      <c r="J4058" s="252"/>
      <c r="K4058" s="253"/>
    </row>
    <row r="4059" spans="1:11" ht="22" customHeight="1" x14ac:dyDescent="0.35">
      <c r="A4059" s="251"/>
      <c r="B4059" s="252"/>
      <c r="C4059" s="252"/>
      <c r="D4059" s="252"/>
      <c r="E4059" s="252"/>
      <c r="F4059" s="252"/>
      <c r="G4059" s="252"/>
      <c r="H4059" s="252"/>
      <c r="I4059" s="252"/>
      <c r="J4059" s="252"/>
      <c r="K4059" s="253"/>
    </row>
    <row r="4060" spans="1:11" ht="22" customHeight="1" x14ac:dyDescent="0.35">
      <c r="A4060" s="251"/>
      <c r="B4060" s="252"/>
      <c r="C4060" s="252"/>
      <c r="D4060" s="252"/>
      <c r="E4060" s="252"/>
      <c r="F4060" s="252"/>
      <c r="G4060" s="252"/>
      <c r="H4060" s="252"/>
      <c r="I4060" s="252"/>
      <c r="J4060" s="252"/>
      <c r="K4060" s="253"/>
    </row>
    <row r="4061" spans="1:11" ht="22" customHeight="1" x14ac:dyDescent="0.35">
      <c r="A4061" s="251"/>
      <c r="B4061" s="252"/>
      <c r="C4061" s="252"/>
      <c r="D4061" s="252"/>
      <c r="E4061" s="252"/>
      <c r="F4061" s="252"/>
      <c r="G4061" s="252"/>
      <c r="H4061" s="252"/>
      <c r="I4061" s="252"/>
      <c r="J4061" s="252"/>
      <c r="K4061" s="253"/>
    </row>
    <row r="4062" spans="1:11" ht="22" customHeight="1" x14ac:dyDescent="0.35">
      <c r="A4062" s="251"/>
      <c r="B4062" s="252"/>
      <c r="C4062" s="252"/>
      <c r="D4062" s="252"/>
      <c r="E4062" s="252"/>
      <c r="F4062" s="252"/>
      <c r="G4062" s="252"/>
      <c r="H4062" s="252"/>
      <c r="I4062" s="252"/>
      <c r="J4062" s="252"/>
      <c r="K4062" s="253"/>
    </row>
    <row r="4063" spans="1:11" ht="22" customHeight="1" x14ac:dyDescent="0.35">
      <c r="A4063" s="251"/>
      <c r="B4063" s="252"/>
      <c r="C4063" s="252"/>
      <c r="D4063" s="252"/>
      <c r="E4063" s="252"/>
      <c r="F4063" s="252"/>
      <c r="G4063" s="252"/>
      <c r="H4063" s="252"/>
      <c r="I4063" s="252"/>
      <c r="J4063" s="252"/>
      <c r="K4063" s="253"/>
    </row>
    <row r="4064" spans="1:11" ht="22" customHeight="1" x14ac:dyDescent="0.35">
      <c r="A4064" s="251"/>
      <c r="B4064" s="252"/>
      <c r="C4064" s="252"/>
      <c r="D4064" s="252"/>
      <c r="E4064" s="252"/>
      <c r="F4064" s="252"/>
      <c r="G4064" s="252"/>
      <c r="H4064" s="252"/>
      <c r="I4064" s="252"/>
      <c r="J4064" s="252"/>
      <c r="K4064" s="253"/>
    </row>
    <row r="4065" spans="1:11" ht="22" customHeight="1" x14ac:dyDescent="0.35">
      <c r="A4065" s="251"/>
      <c r="B4065" s="252"/>
      <c r="C4065" s="252"/>
      <c r="D4065" s="252"/>
      <c r="E4065" s="252"/>
      <c r="F4065" s="252"/>
      <c r="G4065" s="252"/>
      <c r="H4065" s="252"/>
      <c r="I4065" s="252"/>
      <c r="J4065" s="252"/>
      <c r="K4065" s="253"/>
    </row>
    <row r="4066" spans="1:11" ht="22" customHeight="1" x14ac:dyDescent="0.35">
      <c r="A4066" s="251"/>
      <c r="B4066" s="252"/>
      <c r="C4066" s="252"/>
      <c r="D4066" s="252"/>
      <c r="E4066" s="252"/>
      <c r="F4066" s="252"/>
      <c r="G4066" s="252"/>
      <c r="H4066" s="252"/>
      <c r="I4066" s="252"/>
      <c r="J4066" s="252"/>
      <c r="K4066" s="253"/>
    </row>
    <row r="4067" spans="1:11" ht="22" customHeight="1" x14ac:dyDescent="0.35">
      <c r="A4067" s="251"/>
      <c r="B4067" s="252"/>
      <c r="C4067" s="252"/>
      <c r="D4067" s="252"/>
      <c r="E4067" s="252"/>
      <c r="F4067" s="252"/>
      <c r="G4067" s="252"/>
      <c r="H4067" s="252"/>
      <c r="I4067" s="252"/>
      <c r="J4067" s="252"/>
      <c r="K4067" s="253"/>
    </row>
    <row r="4068" spans="1:11" ht="22" customHeight="1" x14ac:dyDescent="0.35">
      <c r="A4068" s="251"/>
      <c r="B4068" s="252"/>
      <c r="C4068" s="252"/>
      <c r="D4068" s="252"/>
      <c r="E4068" s="252"/>
      <c r="F4068" s="252"/>
      <c r="G4068" s="252"/>
      <c r="H4068" s="252"/>
      <c r="I4068" s="252"/>
      <c r="J4068" s="252"/>
      <c r="K4068" s="253"/>
    </row>
    <row r="4069" spans="1:11" ht="22" customHeight="1" x14ac:dyDescent="0.35">
      <c r="A4069" s="251"/>
      <c r="B4069" s="252"/>
      <c r="C4069" s="252"/>
      <c r="D4069" s="252"/>
      <c r="E4069" s="252"/>
      <c r="F4069" s="252"/>
      <c r="G4069" s="252"/>
      <c r="H4069" s="252"/>
      <c r="I4069" s="252"/>
      <c r="J4069" s="252"/>
      <c r="K4069" s="253"/>
    </row>
    <row r="4070" spans="1:11" ht="22" customHeight="1" x14ac:dyDescent="0.35">
      <c r="A4070" s="251"/>
      <c r="B4070" s="252"/>
      <c r="C4070" s="252"/>
      <c r="D4070" s="252"/>
      <c r="E4070" s="252"/>
      <c r="F4070" s="252"/>
      <c r="G4070" s="252"/>
      <c r="H4070" s="252"/>
      <c r="I4070" s="252"/>
      <c r="J4070" s="252"/>
      <c r="K4070" s="253"/>
    </row>
    <row r="4071" spans="1:11" ht="22" customHeight="1" x14ac:dyDescent="0.35">
      <c r="A4071" s="251"/>
      <c r="B4071" s="252"/>
      <c r="C4071" s="252"/>
      <c r="D4071" s="252"/>
      <c r="E4071" s="252"/>
      <c r="F4071" s="252"/>
      <c r="G4071" s="252"/>
      <c r="H4071" s="252"/>
      <c r="I4071" s="252"/>
      <c r="J4071" s="252"/>
      <c r="K4071" s="253"/>
    </row>
    <row r="4072" spans="1:11" ht="22" customHeight="1" x14ac:dyDescent="0.35">
      <c r="A4072" s="251"/>
      <c r="B4072" s="252"/>
      <c r="C4072" s="252"/>
      <c r="D4072" s="252"/>
      <c r="E4072" s="252"/>
      <c r="F4072" s="252"/>
      <c r="G4072" s="252"/>
      <c r="H4072" s="252"/>
      <c r="I4072" s="252"/>
      <c r="J4072" s="252"/>
      <c r="K4072" s="253"/>
    </row>
    <row r="4073" spans="1:11" ht="22" customHeight="1" x14ac:dyDescent="0.35">
      <c r="A4073" s="251"/>
      <c r="B4073" s="252"/>
      <c r="C4073" s="252"/>
      <c r="D4073" s="252"/>
      <c r="E4073" s="252"/>
      <c r="F4073" s="252"/>
      <c r="G4073" s="252"/>
      <c r="H4073" s="252"/>
      <c r="I4073" s="252"/>
      <c r="J4073" s="252"/>
      <c r="K4073" s="253"/>
    </row>
    <row r="4074" spans="1:11" ht="22" customHeight="1" x14ac:dyDescent="0.35">
      <c r="A4074" s="251"/>
      <c r="B4074" s="252"/>
      <c r="C4074" s="252"/>
      <c r="D4074" s="252"/>
      <c r="E4074" s="252"/>
      <c r="F4074" s="252"/>
      <c r="G4074" s="252"/>
      <c r="H4074" s="252"/>
      <c r="I4074" s="252"/>
      <c r="J4074" s="252"/>
      <c r="K4074" s="253"/>
    </row>
    <row r="4075" spans="1:11" ht="22" customHeight="1" x14ac:dyDescent="0.35">
      <c r="A4075" s="251"/>
      <c r="B4075" s="252"/>
      <c r="C4075" s="252"/>
      <c r="D4075" s="252"/>
      <c r="E4075" s="252"/>
      <c r="F4075" s="252"/>
      <c r="G4075" s="252"/>
      <c r="H4075" s="252"/>
      <c r="I4075" s="252"/>
      <c r="J4075" s="252"/>
      <c r="K4075" s="253"/>
    </row>
    <row r="4076" spans="1:11" ht="22" customHeight="1" x14ac:dyDescent="0.35">
      <c r="A4076" s="251"/>
      <c r="B4076" s="252"/>
      <c r="C4076" s="252"/>
      <c r="D4076" s="252"/>
      <c r="E4076" s="252"/>
      <c r="F4076" s="252"/>
      <c r="G4076" s="252"/>
      <c r="H4076" s="252"/>
      <c r="I4076" s="252"/>
      <c r="J4076" s="252"/>
      <c r="K4076" s="253"/>
    </row>
    <row r="4077" spans="1:11" ht="22" customHeight="1" x14ac:dyDescent="0.35">
      <c r="A4077" s="251"/>
      <c r="B4077" s="252"/>
      <c r="C4077" s="252"/>
      <c r="D4077" s="252"/>
      <c r="E4077" s="252"/>
      <c r="F4077" s="252"/>
      <c r="G4077" s="252"/>
      <c r="H4077" s="252"/>
      <c r="I4077" s="252"/>
      <c r="J4077" s="252"/>
      <c r="K4077" s="253"/>
    </row>
    <row r="4078" spans="1:11" ht="22" customHeight="1" x14ac:dyDescent="0.35">
      <c r="A4078" s="251"/>
      <c r="B4078" s="252"/>
      <c r="C4078" s="252"/>
      <c r="D4078" s="252"/>
      <c r="E4078" s="252"/>
      <c r="F4078" s="252"/>
      <c r="G4078" s="252"/>
      <c r="H4078" s="252"/>
      <c r="I4078" s="252"/>
      <c r="J4078" s="252"/>
      <c r="K4078" s="253"/>
    </row>
    <row r="4079" spans="1:11" ht="22" customHeight="1" x14ac:dyDescent="0.35">
      <c r="A4079" s="251"/>
      <c r="B4079" s="252"/>
      <c r="C4079" s="252"/>
      <c r="D4079" s="252"/>
      <c r="E4079" s="252"/>
      <c r="F4079" s="252"/>
      <c r="G4079" s="252"/>
      <c r="H4079" s="252"/>
      <c r="I4079" s="252"/>
      <c r="J4079" s="252"/>
      <c r="K4079" s="253"/>
    </row>
    <row r="4080" spans="1:11" ht="22" customHeight="1" x14ac:dyDescent="0.35">
      <c r="A4080" s="251"/>
      <c r="B4080" s="252"/>
      <c r="C4080" s="252"/>
      <c r="D4080" s="252"/>
      <c r="E4080" s="252"/>
      <c r="F4080" s="252"/>
      <c r="G4080" s="252"/>
      <c r="H4080" s="252"/>
      <c r="I4080" s="252"/>
      <c r="J4080" s="252"/>
      <c r="K4080" s="253"/>
    </row>
    <row r="4081" spans="1:11" ht="22" customHeight="1" x14ac:dyDescent="0.35">
      <c r="A4081" s="251"/>
      <c r="B4081" s="252"/>
      <c r="C4081" s="252"/>
      <c r="D4081" s="252"/>
      <c r="E4081" s="252"/>
      <c r="F4081" s="252"/>
      <c r="G4081" s="252"/>
      <c r="H4081" s="252"/>
      <c r="I4081" s="252"/>
      <c r="J4081" s="252"/>
      <c r="K4081" s="253"/>
    </row>
    <row r="4082" spans="1:11" ht="22" customHeight="1" x14ac:dyDescent="0.35">
      <c r="A4082" s="251"/>
      <c r="B4082" s="252"/>
      <c r="C4082" s="252"/>
      <c r="D4082" s="252"/>
      <c r="E4082" s="252"/>
      <c r="F4082" s="252"/>
      <c r="G4082" s="252"/>
      <c r="H4082" s="252"/>
      <c r="I4082" s="252"/>
      <c r="J4082" s="252"/>
      <c r="K4082" s="253"/>
    </row>
    <row r="4083" spans="1:11" ht="22" customHeight="1" x14ac:dyDescent="0.35">
      <c r="A4083" s="251"/>
      <c r="B4083" s="252"/>
      <c r="C4083" s="252"/>
      <c r="D4083" s="252"/>
      <c r="E4083" s="252"/>
      <c r="F4083" s="252"/>
      <c r="G4083" s="252"/>
      <c r="H4083" s="252"/>
      <c r="I4083" s="252"/>
      <c r="J4083" s="252"/>
      <c r="K4083" s="253"/>
    </row>
    <row r="4084" spans="1:11" ht="22" customHeight="1" x14ac:dyDescent="0.35">
      <c r="A4084" s="251"/>
      <c r="B4084" s="252"/>
      <c r="C4084" s="252"/>
      <c r="D4084" s="252"/>
      <c r="E4084" s="252"/>
      <c r="F4084" s="252"/>
      <c r="G4084" s="252"/>
      <c r="H4084" s="252"/>
      <c r="I4084" s="252"/>
      <c r="J4084" s="252"/>
      <c r="K4084" s="253"/>
    </row>
    <row r="4085" spans="1:11" ht="22" customHeight="1" x14ac:dyDescent="0.35">
      <c r="A4085" s="251"/>
      <c r="B4085" s="252"/>
      <c r="C4085" s="252"/>
      <c r="D4085" s="252"/>
      <c r="E4085" s="252"/>
      <c r="F4085" s="252"/>
      <c r="G4085" s="252"/>
      <c r="H4085" s="252"/>
      <c r="I4085" s="252"/>
      <c r="J4085" s="252"/>
      <c r="K4085" s="253"/>
    </row>
    <row r="4086" spans="1:11" ht="22" customHeight="1" x14ac:dyDescent="0.35">
      <c r="A4086" s="251"/>
      <c r="B4086" s="252"/>
      <c r="C4086" s="252"/>
      <c r="D4086" s="252"/>
      <c r="E4086" s="252"/>
      <c r="F4086" s="252"/>
      <c r="G4086" s="252"/>
      <c r="H4086" s="252"/>
      <c r="I4086" s="252"/>
      <c r="J4086" s="252"/>
      <c r="K4086" s="253"/>
    </row>
    <row r="4087" spans="1:11" ht="22" customHeight="1" x14ac:dyDescent="0.35">
      <c r="A4087" s="251"/>
      <c r="B4087" s="252"/>
      <c r="C4087" s="252"/>
      <c r="D4087" s="252"/>
      <c r="E4087" s="252"/>
      <c r="F4087" s="252"/>
      <c r="G4087" s="252"/>
      <c r="H4087" s="252"/>
      <c r="I4087" s="252"/>
      <c r="J4087" s="252"/>
      <c r="K4087" s="253"/>
    </row>
    <row r="4088" spans="1:11" ht="22" customHeight="1" x14ac:dyDescent="0.35">
      <c r="A4088" s="251"/>
      <c r="B4088" s="252"/>
      <c r="C4088" s="252"/>
      <c r="D4088" s="252"/>
      <c r="E4088" s="252"/>
      <c r="F4088" s="252"/>
      <c r="G4088" s="252"/>
      <c r="H4088" s="252"/>
      <c r="I4088" s="252"/>
      <c r="J4088" s="252"/>
      <c r="K4088" s="253"/>
    </row>
    <row r="4089" spans="1:11" ht="22" customHeight="1" x14ac:dyDescent="0.35">
      <c r="A4089" s="251"/>
      <c r="B4089" s="252"/>
      <c r="C4089" s="252"/>
      <c r="D4089" s="252"/>
      <c r="E4089" s="252"/>
      <c r="F4089" s="252"/>
      <c r="G4089" s="252"/>
      <c r="H4089" s="252"/>
      <c r="I4089" s="252"/>
      <c r="J4089" s="252"/>
      <c r="K4089" s="253"/>
    </row>
    <row r="4090" spans="1:11" ht="22" customHeight="1" x14ac:dyDescent="0.35">
      <c r="A4090" s="251"/>
      <c r="B4090" s="252"/>
      <c r="C4090" s="252"/>
      <c r="D4090" s="252"/>
      <c r="E4090" s="252"/>
      <c r="F4090" s="252"/>
      <c r="G4090" s="252"/>
      <c r="H4090" s="252"/>
      <c r="I4090" s="252"/>
      <c r="J4090" s="252"/>
      <c r="K4090" s="253"/>
    </row>
    <row r="4091" spans="1:11" ht="22" customHeight="1" x14ac:dyDescent="0.35">
      <c r="A4091" s="251"/>
      <c r="B4091" s="252"/>
      <c r="C4091" s="252"/>
      <c r="D4091" s="252"/>
      <c r="E4091" s="252"/>
      <c r="F4091" s="252"/>
      <c r="G4091" s="252"/>
      <c r="H4091" s="252"/>
      <c r="I4091" s="252"/>
      <c r="J4091" s="252"/>
      <c r="K4091" s="253"/>
    </row>
    <row r="4092" spans="1:11" ht="22" customHeight="1" x14ac:dyDescent="0.35">
      <c r="A4092" s="251"/>
      <c r="B4092" s="252"/>
      <c r="C4092" s="252"/>
      <c r="D4092" s="252"/>
      <c r="E4092" s="252"/>
      <c r="F4092" s="252"/>
      <c r="G4092" s="252"/>
      <c r="H4092" s="252"/>
      <c r="I4092" s="252"/>
      <c r="J4092" s="252"/>
      <c r="K4092" s="253"/>
    </row>
    <row r="4093" spans="1:11" ht="22" customHeight="1" x14ac:dyDescent="0.35">
      <c r="A4093" s="251"/>
      <c r="B4093" s="252"/>
      <c r="C4093" s="252"/>
      <c r="D4093" s="252"/>
      <c r="E4093" s="252"/>
      <c r="F4093" s="252"/>
      <c r="G4093" s="252"/>
      <c r="H4093" s="252"/>
      <c r="I4093" s="252"/>
      <c r="J4093" s="252"/>
      <c r="K4093" s="253"/>
    </row>
    <row r="4094" spans="1:11" ht="22" customHeight="1" x14ac:dyDescent="0.35">
      <c r="A4094" s="251"/>
      <c r="B4094" s="252"/>
      <c r="C4094" s="252"/>
      <c r="D4094" s="252"/>
      <c r="E4094" s="252"/>
      <c r="F4094" s="252"/>
      <c r="G4094" s="252"/>
      <c r="H4094" s="252"/>
      <c r="I4094" s="252"/>
      <c r="J4094" s="252"/>
      <c r="K4094" s="253"/>
    </row>
    <row r="4095" spans="1:11" ht="22" customHeight="1" x14ac:dyDescent="0.35">
      <c r="A4095" s="251"/>
      <c r="B4095" s="252"/>
      <c r="C4095" s="252"/>
      <c r="D4095" s="252"/>
      <c r="E4095" s="252"/>
      <c r="F4095" s="252"/>
      <c r="G4095" s="252"/>
      <c r="H4095" s="252"/>
      <c r="I4095" s="252"/>
      <c r="J4095" s="252"/>
      <c r="K4095" s="253"/>
    </row>
    <row r="4096" spans="1:11" ht="22" customHeight="1" x14ac:dyDescent="0.35">
      <c r="A4096" s="251"/>
      <c r="B4096" s="252"/>
      <c r="C4096" s="252"/>
      <c r="D4096" s="252"/>
      <c r="E4096" s="252"/>
      <c r="F4096" s="252"/>
      <c r="G4096" s="252"/>
      <c r="H4096" s="252"/>
      <c r="I4096" s="252"/>
      <c r="J4096" s="252"/>
      <c r="K4096" s="253"/>
    </row>
    <row r="4097" spans="1:11" ht="22" customHeight="1" x14ac:dyDescent="0.35">
      <c r="A4097" s="251"/>
      <c r="B4097" s="252"/>
      <c r="C4097" s="252"/>
      <c r="D4097" s="252"/>
      <c r="E4097" s="252"/>
      <c r="F4097" s="252"/>
      <c r="G4097" s="252"/>
      <c r="H4097" s="252"/>
      <c r="I4097" s="252"/>
      <c r="J4097" s="252"/>
      <c r="K4097" s="253"/>
    </row>
    <row r="4098" spans="1:11" ht="22" customHeight="1" x14ac:dyDescent="0.35">
      <c r="A4098" s="251"/>
      <c r="B4098" s="252"/>
      <c r="C4098" s="252"/>
      <c r="D4098" s="252"/>
      <c r="E4098" s="252"/>
      <c r="F4098" s="252"/>
      <c r="G4098" s="252"/>
      <c r="H4098" s="252"/>
      <c r="I4098" s="252"/>
      <c r="J4098" s="252"/>
      <c r="K4098" s="253"/>
    </row>
    <row r="4099" spans="1:11" ht="22" customHeight="1" x14ac:dyDescent="0.35">
      <c r="A4099" s="251"/>
      <c r="B4099" s="252"/>
      <c r="C4099" s="252"/>
      <c r="D4099" s="252"/>
      <c r="E4099" s="252"/>
      <c r="F4099" s="252"/>
      <c r="G4099" s="252"/>
      <c r="H4099" s="252"/>
      <c r="I4099" s="252"/>
      <c r="J4099" s="252"/>
      <c r="K4099" s="253"/>
    </row>
    <row r="4100" spans="1:11" ht="22" customHeight="1" x14ac:dyDescent="0.35">
      <c r="A4100" s="251"/>
      <c r="B4100" s="252"/>
      <c r="C4100" s="252"/>
      <c r="D4100" s="252"/>
      <c r="E4100" s="252"/>
      <c r="F4100" s="252"/>
      <c r="G4100" s="252"/>
      <c r="H4100" s="252"/>
      <c r="I4100" s="252"/>
      <c r="J4100" s="252"/>
      <c r="K4100" s="253"/>
    </row>
    <row r="4101" spans="1:11" ht="22" customHeight="1" x14ac:dyDescent="0.35">
      <c r="A4101" s="251"/>
      <c r="B4101" s="252"/>
      <c r="C4101" s="252"/>
      <c r="D4101" s="252"/>
      <c r="E4101" s="252"/>
      <c r="F4101" s="252"/>
      <c r="G4101" s="252"/>
      <c r="H4101" s="252"/>
      <c r="I4101" s="252"/>
      <c r="J4101" s="252"/>
      <c r="K4101" s="253"/>
    </row>
    <row r="4102" spans="1:11" ht="22" customHeight="1" x14ac:dyDescent="0.35">
      <c r="A4102" s="251"/>
      <c r="B4102" s="252"/>
      <c r="C4102" s="252"/>
      <c r="D4102" s="252"/>
      <c r="E4102" s="252"/>
      <c r="F4102" s="252"/>
      <c r="G4102" s="252"/>
      <c r="H4102" s="252"/>
      <c r="I4102" s="252"/>
      <c r="J4102" s="252"/>
      <c r="K4102" s="253"/>
    </row>
    <row r="4103" spans="1:11" ht="22" customHeight="1" x14ac:dyDescent="0.35">
      <c r="A4103" s="251"/>
      <c r="B4103" s="252"/>
      <c r="C4103" s="252"/>
      <c r="D4103" s="252"/>
      <c r="E4103" s="252"/>
      <c r="F4103" s="252"/>
      <c r="G4103" s="252"/>
      <c r="H4103" s="252"/>
      <c r="I4103" s="252"/>
      <c r="J4103" s="252"/>
      <c r="K4103" s="253"/>
    </row>
    <row r="4104" spans="1:11" ht="22" customHeight="1" x14ac:dyDescent="0.35">
      <c r="A4104" s="251"/>
      <c r="B4104" s="252"/>
      <c r="C4104" s="252"/>
      <c r="D4104" s="252"/>
      <c r="E4104" s="252"/>
      <c r="F4104" s="252"/>
      <c r="G4104" s="252"/>
      <c r="H4104" s="252"/>
      <c r="I4104" s="252"/>
      <c r="J4104" s="252"/>
      <c r="K4104" s="253"/>
    </row>
    <row r="4105" spans="1:11" ht="22" customHeight="1" x14ac:dyDescent="0.35">
      <c r="A4105" s="251"/>
      <c r="B4105" s="252"/>
      <c r="C4105" s="252"/>
      <c r="D4105" s="252"/>
      <c r="E4105" s="252"/>
      <c r="F4105" s="252"/>
      <c r="G4105" s="252"/>
      <c r="H4105" s="252"/>
      <c r="I4105" s="252"/>
      <c r="J4105" s="252"/>
      <c r="K4105" s="253"/>
    </row>
    <row r="4106" spans="1:11" ht="22" customHeight="1" x14ac:dyDescent="0.35">
      <c r="A4106" s="251"/>
      <c r="B4106" s="252"/>
      <c r="C4106" s="252"/>
      <c r="D4106" s="252"/>
      <c r="E4106" s="252"/>
      <c r="F4106" s="252"/>
      <c r="G4106" s="252"/>
      <c r="H4106" s="252"/>
      <c r="I4106" s="252"/>
      <c r="J4106" s="252"/>
      <c r="K4106" s="253"/>
    </row>
    <row r="4107" spans="1:11" ht="22" customHeight="1" x14ac:dyDescent="0.35">
      <c r="A4107" s="251"/>
      <c r="B4107" s="252"/>
      <c r="C4107" s="252"/>
      <c r="D4107" s="252"/>
      <c r="E4107" s="252"/>
      <c r="F4107" s="252"/>
      <c r="G4107" s="252"/>
      <c r="H4107" s="252"/>
      <c r="I4107" s="252"/>
      <c r="J4107" s="252"/>
      <c r="K4107" s="253"/>
    </row>
    <row r="4108" spans="1:11" ht="22" customHeight="1" x14ac:dyDescent="0.35">
      <c r="A4108" s="251"/>
      <c r="B4108" s="252"/>
      <c r="C4108" s="252"/>
      <c r="D4108" s="252"/>
      <c r="E4108" s="252"/>
      <c r="F4108" s="252"/>
      <c r="G4108" s="252"/>
      <c r="H4108" s="252"/>
      <c r="I4108" s="252"/>
      <c r="J4108" s="252"/>
      <c r="K4108" s="253"/>
    </row>
    <row r="4109" spans="1:11" ht="22" customHeight="1" x14ac:dyDescent="0.35">
      <c r="A4109" s="251"/>
      <c r="B4109" s="252"/>
      <c r="C4109" s="252"/>
      <c r="D4109" s="252"/>
      <c r="E4109" s="252"/>
      <c r="F4109" s="252"/>
      <c r="G4109" s="252"/>
      <c r="H4109" s="252"/>
      <c r="I4109" s="252"/>
      <c r="J4109" s="252"/>
      <c r="K4109" s="253"/>
    </row>
    <row r="4110" spans="1:11" ht="22" customHeight="1" x14ac:dyDescent="0.35">
      <c r="A4110" s="251"/>
      <c r="B4110" s="252"/>
      <c r="C4110" s="252"/>
      <c r="D4110" s="252"/>
      <c r="E4110" s="252"/>
      <c r="F4110" s="252"/>
      <c r="G4110" s="252"/>
      <c r="H4110" s="252"/>
      <c r="I4110" s="252"/>
      <c r="J4110" s="252"/>
      <c r="K4110" s="253"/>
    </row>
    <row r="4111" spans="1:11" ht="22" customHeight="1" x14ac:dyDescent="0.35">
      <c r="A4111" s="251"/>
      <c r="B4111" s="252"/>
      <c r="C4111" s="252"/>
      <c r="D4111" s="252"/>
      <c r="E4111" s="252"/>
      <c r="F4111" s="252"/>
      <c r="G4111" s="252"/>
      <c r="H4111" s="252"/>
      <c r="I4111" s="252"/>
      <c r="J4111" s="252"/>
      <c r="K4111" s="253"/>
    </row>
    <row r="4112" spans="1:11" ht="22" customHeight="1" x14ac:dyDescent="0.35">
      <c r="A4112" s="251"/>
      <c r="B4112" s="252"/>
      <c r="C4112" s="252"/>
      <c r="D4112" s="252"/>
      <c r="E4112" s="252"/>
      <c r="F4112" s="252"/>
      <c r="G4112" s="252"/>
      <c r="H4112" s="252"/>
      <c r="I4112" s="252"/>
      <c r="J4112" s="252"/>
      <c r="K4112" s="253"/>
    </row>
    <row r="4113" spans="1:11" ht="22" customHeight="1" x14ac:dyDescent="0.35">
      <c r="A4113" s="251"/>
      <c r="B4113" s="252"/>
      <c r="C4113" s="252"/>
      <c r="D4113" s="252"/>
      <c r="E4113" s="252"/>
      <c r="F4113" s="252"/>
      <c r="G4113" s="252"/>
      <c r="H4113" s="252"/>
      <c r="I4113" s="252"/>
      <c r="J4113" s="252"/>
      <c r="K4113" s="253"/>
    </row>
    <row r="4114" spans="1:11" ht="22" customHeight="1" x14ac:dyDescent="0.35">
      <c r="A4114" s="251"/>
      <c r="B4114" s="252"/>
      <c r="C4114" s="252"/>
      <c r="D4114" s="252"/>
      <c r="E4114" s="252"/>
      <c r="F4114" s="252"/>
      <c r="G4114" s="252"/>
      <c r="H4114" s="252"/>
      <c r="I4114" s="252"/>
      <c r="J4114" s="252"/>
      <c r="K4114" s="253"/>
    </row>
    <row r="4115" spans="1:11" ht="22" customHeight="1" x14ac:dyDescent="0.35">
      <c r="A4115" s="251"/>
      <c r="B4115" s="252"/>
      <c r="C4115" s="252"/>
      <c r="D4115" s="252"/>
      <c r="E4115" s="252"/>
      <c r="F4115" s="252"/>
      <c r="G4115" s="252"/>
      <c r="H4115" s="252"/>
      <c r="I4115" s="252"/>
      <c r="J4115" s="252"/>
      <c r="K4115" s="253"/>
    </row>
    <row r="4116" spans="1:11" ht="22" customHeight="1" x14ac:dyDescent="0.35">
      <c r="A4116" s="251"/>
      <c r="B4116" s="252"/>
      <c r="C4116" s="252"/>
      <c r="D4116" s="252"/>
      <c r="E4116" s="252"/>
      <c r="F4116" s="252"/>
      <c r="G4116" s="252"/>
      <c r="H4116" s="252"/>
      <c r="I4116" s="252"/>
      <c r="J4116" s="252"/>
      <c r="K4116" s="253"/>
    </row>
    <row r="4117" spans="1:11" ht="22" customHeight="1" x14ac:dyDescent="0.35">
      <c r="A4117" s="251"/>
      <c r="B4117" s="252"/>
      <c r="C4117" s="252"/>
      <c r="D4117" s="252"/>
      <c r="E4117" s="252"/>
      <c r="F4117" s="252"/>
      <c r="G4117" s="252"/>
      <c r="H4117" s="252"/>
      <c r="I4117" s="252"/>
      <c r="J4117" s="252"/>
      <c r="K4117" s="253"/>
    </row>
    <row r="4118" spans="1:11" ht="22" customHeight="1" x14ac:dyDescent="0.35">
      <c r="A4118" s="251"/>
      <c r="B4118" s="252"/>
      <c r="C4118" s="252"/>
      <c r="D4118" s="252"/>
      <c r="E4118" s="252"/>
      <c r="F4118" s="252"/>
      <c r="G4118" s="252"/>
      <c r="H4118" s="252"/>
      <c r="I4118" s="252"/>
      <c r="J4118" s="252"/>
      <c r="K4118" s="253"/>
    </row>
    <row r="4119" spans="1:11" ht="22" customHeight="1" x14ac:dyDescent="0.35">
      <c r="A4119" s="251"/>
      <c r="B4119" s="252"/>
      <c r="C4119" s="252"/>
      <c r="D4119" s="252"/>
      <c r="E4119" s="252"/>
      <c r="F4119" s="252"/>
      <c r="G4119" s="252"/>
      <c r="H4119" s="252"/>
      <c r="I4119" s="252"/>
      <c r="J4119" s="252"/>
      <c r="K4119" s="253"/>
    </row>
    <row r="4120" spans="1:11" ht="22" customHeight="1" x14ac:dyDescent="0.35">
      <c r="A4120" s="251"/>
      <c r="B4120" s="252"/>
      <c r="C4120" s="252"/>
      <c r="D4120" s="252"/>
      <c r="E4120" s="252"/>
      <c r="F4120" s="252"/>
      <c r="G4120" s="252"/>
      <c r="H4120" s="252"/>
      <c r="I4120" s="252"/>
      <c r="J4120" s="252"/>
      <c r="K4120" s="253"/>
    </row>
    <row r="4121" spans="1:11" ht="22" customHeight="1" x14ac:dyDescent="0.35">
      <c r="A4121" s="251"/>
      <c r="B4121" s="252"/>
      <c r="C4121" s="252"/>
      <c r="D4121" s="252"/>
      <c r="E4121" s="252"/>
      <c r="F4121" s="252"/>
      <c r="G4121" s="252"/>
      <c r="H4121" s="252"/>
      <c r="I4121" s="252"/>
      <c r="J4121" s="252"/>
      <c r="K4121" s="253"/>
    </row>
    <row r="4122" spans="1:11" ht="22" customHeight="1" x14ac:dyDescent="0.35">
      <c r="A4122" s="251"/>
      <c r="B4122" s="252"/>
      <c r="C4122" s="252"/>
      <c r="D4122" s="252"/>
      <c r="E4122" s="252"/>
      <c r="F4122" s="252"/>
      <c r="G4122" s="252"/>
      <c r="H4122" s="252"/>
      <c r="I4122" s="252"/>
      <c r="J4122" s="252"/>
      <c r="K4122" s="253"/>
    </row>
    <row r="4123" spans="1:11" ht="22" customHeight="1" x14ac:dyDescent="0.35">
      <c r="A4123" s="251"/>
      <c r="B4123" s="252"/>
      <c r="C4123" s="252"/>
      <c r="D4123" s="252"/>
      <c r="E4123" s="252"/>
      <c r="F4123" s="252"/>
      <c r="G4123" s="252"/>
      <c r="H4123" s="252"/>
      <c r="I4123" s="252"/>
      <c r="J4123" s="252"/>
      <c r="K4123" s="253"/>
    </row>
    <row r="4124" spans="1:11" ht="22" customHeight="1" x14ac:dyDescent="0.35">
      <c r="A4124" s="251"/>
      <c r="B4124" s="252"/>
      <c r="C4124" s="252"/>
      <c r="D4124" s="252"/>
      <c r="E4124" s="252"/>
      <c r="F4124" s="252"/>
      <c r="G4124" s="252"/>
      <c r="H4124" s="252"/>
      <c r="I4124" s="252"/>
      <c r="J4124" s="252"/>
      <c r="K4124" s="253"/>
    </row>
    <row r="4125" spans="1:11" ht="22" customHeight="1" x14ac:dyDescent="0.35">
      <c r="A4125" s="251"/>
      <c r="B4125" s="252"/>
      <c r="C4125" s="252"/>
      <c r="D4125" s="252"/>
      <c r="E4125" s="252"/>
      <c r="F4125" s="252"/>
      <c r="G4125" s="252"/>
      <c r="H4125" s="252"/>
      <c r="I4125" s="252"/>
      <c r="J4125" s="252"/>
      <c r="K4125" s="253"/>
    </row>
    <row r="4126" spans="1:11" ht="22" customHeight="1" x14ac:dyDescent="0.35">
      <c r="A4126" s="251"/>
      <c r="B4126" s="252"/>
      <c r="C4126" s="252"/>
      <c r="D4126" s="252"/>
      <c r="E4126" s="252"/>
      <c r="F4126" s="252"/>
      <c r="G4126" s="252"/>
      <c r="H4126" s="252"/>
      <c r="I4126" s="252"/>
      <c r="J4126" s="252"/>
      <c r="K4126" s="253"/>
    </row>
    <row r="4127" spans="1:11" ht="22" customHeight="1" x14ac:dyDescent="0.35">
      <c r="A4127" s="251"/>
      <c r="B4127" s="252"/>
      <c r="C4127" s="252"/>
      <c r="D4127" s="252"/>
      <c r="E4127" s="252"/>
      <c r="F4127" s="252"/>
      <c r="G4127" s="252"/>
      <c r="H4127" s="252"/>
      <c r="I4127" s="252"/>
      <c r="J4127" s="252"/>
      <c r="K4127" s="253"/>
    </row>
    <row r="4128" spans="1:11" ht="22" customHeight="1" x14ac:dyDescent="0.35">
      <c r="A4128" s="251"/>
      <c r="B4128" s="252"/>
      <c r="C4128" s="252"/>
      <c r="D4128" s="252"/>
      <c r="E4128" s="252"/>
      <c r="F4128" s="252"/>
      <c r="G4128" s="252"/>
      <c r="H4128" s="252"/>
      <c r="I4128" s="252"/>
      <c r="J4128" s="252"/>
      <c r="K4128" s="253"/>
    </row>
    <row r="4129" spans="1:11" ht="22" customHeight="1" x14ac:dyDescent="0.35">
      <c r="A4129" s="251"/>
      <c r="B4129" s="252"/>
      <c r="C4129" s="252"/>
      <c r="D4129" s="252"/>
      <c r="E4129" s="252"/>
      <c r="F4129" s="252"/>
      <c r="G4129" s="252"/>
      <c r="H4129" s="252"/>
      <c r="I4129" s="252"/>
      <c r="J4129" s="252"/>
      <c r="K4129" s="253"/>
    </row>
    <row r="4130" spans="1:11" ht="22" customHeight="1" x14ac:dyDescent="0.35">
      <c r="A4130" s="251"/>
      <c r="B4130" s="252"/>
      <c r="C4130" s="252"/>
      <c r="D4130" s="252"/>
      <c r="E4130" s="252"/>
      <c r="F4130" s="252"/>
      <c r="G4130" s="252"/>
      <c r="H4130" s="252"/>
      <c r="I4130" s="252"/>
      <c r="J4130" s="252"/>
      <c r="K4130" s="253"/>
    </row>
    <row r="4131" spans="1:11" ht="22" customHeight="1" x14ac:dyDescent="0.35">
      <c r="A4131" s="251"/>
      <c r="B4131" s="252"/>
      <c r="C4131" s="252"/>
      <c r="D4131" s="252"/>
      <c r="E4131" s="252"/>
      <c r="F4131" s="252"/>
      <c r="G4131" s="252"/>
      <c r="H4131" s="252"/>
      <c r="I4131" s="252"/>
      <c r="J4131" s="252"/>
      <c r="K4131" s="253"/>
    </row>
    <row r="4132" spans="1:11" ht="22" customHeight="1" x14ac:dyDescent="0.35">
      <c r="A4132" s="251"/>
      <c r="B4132" s="252"/>
      <c r="C4132" s="252"/>
      <c r="D4132" s="252"/>
      <c r="E4132" s="252"/>
      <c r="F4132" s="252"/>
      <c r="G4132" s="252"/>
      <c r="H4132" s="252"/>
      <c r="I4132" s="252"/>
      <c r="J4132" s="252"/>
      <c r="K4132" s="253"/>
    </row>
    <row r="4133" spans="1:11" ht="22" customHeight="1" x14ac:dyDescent="0.35">
      <c r="A4133" s="251"/>
      <c r="B4133" s="252"/>
      <c r="C4133" s="252"/>
      <c r="D4133" s="252"/>
      <c r="E4133" s="252"/>
      <c r="F4133" s="252"/>
      <c r="G4133" s="252"/>
      <c r="H4133" s="252"/>
      <c r="I4133" s="252"/>
      <c r="J4133" s="252"/>
      <c r="K4133" s="253"/>
    </row>
    <row r="4134" spans="1:11" ht="22" customHeight="1" x14ac:dyDescent="0.35">
      <c r="A4134" s="251"/>
      <c r="B4134" s="252"/>
      <c r="C4134" s="252"/>
      <c r="D4134" s="252"/>
      <c r="E4134" s="252"/>
      <c r="F4134" s="252"/>
      <c r="G4134" s="252"/>
      <c r="H4134" s="252"/>
      <c r="I4134" s="252"/>
      <c r="J4134" s="252"/>
      <c r="K4134" s="253"/>
    </row>
    <row r="4135" spans="1:11" ht="22" customHeight="1" x14ac:dyDescent="0.35">
      <c r="A4135" s="251"/>
      <c r="B4135" s="252"/>
      <c r="C4135" s="252"/>
      <c r="D4135" s="252"/>
      <c r="E4135" s="252"/>
      <c r="F4135" s="252"/>
      <c r="G4135" s="252"/>
      <c r="H4135" s="252"/>
      <c r="I4135" s="252"/>
      <c r="J4135" s="252"/>
      <c r="K4135" s="253"/>
    </row>
    <row r="4136" spans="1:11" ht="22" customHeight="1" x14ac:dyDescent="0.35">
      <c r="A4136" s="251"/>
      <c r="B4136" s="252"/>
      <c r="C4136" s="252"/>
      <c r="D4136" s="252"/>
      <c r="E4136" s="252"/>
      <c r="F4136" s="252"/>
      <c r="G4136" s="252"/>
      <c r="H4136" s="252"/>
      <c r="I4136" s="252"/>
      <c r="J4136" s="252"/>
      <c r="K4136" s="253"/>
    </row>
    <row r="4137" spans="1:11" ht="22" customHeight="1" x14ac:dyDescent="0.35">
      <c r="A4137" s="251"/>
      <c r="B4137" s="252"/>
      <c r="C4137" s="252"/>
      <c r="D4137" s="252"/>
      <c r="E4137" s="252"/>
      <c r="F4137" s="252"/>
      <c r="G4137" s="252"/>
      <c r="H4137" s="252"/>
      <c r="I4137" s="252"/>
      <c r="J4137" s="252"/>
      <c r="K4137" s="253"/>
    </row>
    <row r="4138" spans="1:11" ht="22" customHeight="1" x14ac:dyDescent="0.35">
      <c r="A4138" s="251"/>
      <c r="B4138" s="252"/>
      <c r="C4138" s="252"/>
      <c r="D4138" s="252"/>
      <c r="E4138" s="252"/>
      <c r="F4138" s="252"/>
      <c r="G4138" s="252"/>
      <c r="H4138" s="252"/>
      <c r="I4138" s="252"/>
      <c r="J4138" s="252"/>
      <c r="K4138" s="253"/>
    </row>
    <row r="4139" spans="1:11" ht="22" customHeight="1" x14ac:dyDescent="0.35">
      <c r="A4139" s="251"/>
      <c r="B4139" s="252"/>
      <c r="C4139" s="252"/>
      <c r="D4139" s="252"/>
      <c r="E4139" s="252"/>
      <c r="F4139" s="252"/>
      <c r="G4139" s="252"/>
      <c r="H4139" s="252"/>
      <c r="I4139" s="252"/>
      <c r="J4139" s="252"/>
      <c r="K4139" s="253"/>
    </row>
    <row r="4140" spans="1:11" ht="22" customHeight="1" x14ac:dyDescent="0.35">
      <c r="A4140" s="251"/>
      <c r="B4140" s="252"/>
      <c r="C4140" s="252"/>
      <c r="D4140" s="252"/>
      <c r="E4140" s="252"/>
      <c r="F4140" s="252"/>
      <c r="G4140" s="252"/>
      <c r="H4140" s="252"/>
      <c r="I4140" s="252"/>
      <c r="J4140" s="252"/>
      <c r="K4140" s="253"/>
    </row>
    <row r="4141" spans="1:11" ht="22" customHeight="1" x14ac:dyDescent="0.35">
      <c r="A4141" s="251"/>
      <c r="B4141" s="252"/>
      <c r="C4141" s="252"/>
      <c r="D4141" s="252"/>
      <c r="E4141" s="252"/>
      <c r="F4141" s="252"/>
      <c r="G4141" s="252"/>
      <c r="H4141" s="252"/>
      <c r="I4141" s="252"/>
      <c r="J4141" s="252"/>
      <c r="K4141" s="253"/>
    </row>
    <row r="4142" spans="1:11" ht="22" customHeight="1" x14ac:dyDescent="0.35">
      <c r="A4142" s="251"/>
      <c r="B4142" s="252"/>
      <c r="C4142" s="252"/>
      <c r="D4142" s="252"/>
      <c r="E4142" s="252"/>
      <c r="F4142" s="252"/>
      <c r="G4142" s="252"/>
      <c r="H4142" s="252"/>
      <c r="I4142" s="252"/>
      <c r="J4142" s="252"/>
      <c r="K4142" s="253"/>
    </row>
    <row r="4143" spans="1:11" ht="22" customHeight="1" x14ac:dyDescent="0.35">
      <c r="A4143" s="251"/>
      <c r="B4143" s="252"/>
      <c r="C4143" s="252"/>
      <c r="D4143" s="252"/>
      <c r="E4143" s="252"/>
      <c r="F4143" s="252"/>
      <c r="G4143" s="252"/>
      <c r="H4143" s="252"/>
      <c r="I4143" s="252"/>
      <c r="J4143" s="252"/>
      <c r="K4143" s="253"/>
    </row>
    <row r="4144" spans="1:11" ht="22" customHeight="1" x14ac:dyDescent="0.35">
      <c r="A4144" s="251"/>
      <c r="B4144" s="252"/>
      <c r="C4144" s="252"/>
      <c r="D4144" s="252"/>
      <c r="E4144" s="252"/>
      <c r="F4144" s="252"/>
      <c r="G4144" s="252"/>
      <c r="H4144" s="252"/>
      <c r="I4144" s="252"/>
      <c r="J4144" s="252"/>
      <c r="K4144" s="253"/>
    </row>
    <row r="4145" spans="1:11" ht="22" customHeight="1" x14ac:dyDescent="0.35">
      <c r="A4145" s="251"/>
      <c r="B4145" s="252"/>
      <c r="C4145" s="252"/>
      <c r="D4145" s="252"/>
      <c r="E4145" s="252"/>
      <c r="F4145" s="252"/>
      <c r="G4145" s="252"/>
      <c r="H4145" s="252"/>
      <c r="I4145" s="252"/>
      <c r="J4145" s="252"/>
      <c r="K4145" s="253"/>
    </row>
    <row r="4146" spans="1:11" ht="22" customHeight="1" x14ac:dyDescent="0.35">
      <c r="A4146" s="251"/>
      <c r="B4146" s="252"/>
      <c r="C4146" s="252"/>
      <c r="D4146" s="252"/>
      <c r="E4146" s="252"/>
      <c r="F4146" s="252"/>
      <c r="G4146" s="252"/>
      <c r="H4146" s="252"/>
      <c r="I4146" s="252"/>
      <c r="J4146" s="252"/>
      <c r="K4146" s="253"/>
    </row>
    <row r="4147" spans="1:11" ht="22" customHeight="1" x14ac:dyDescent="0.35">
      <c r="A4147" s="251"/>
      <c r="B4147" s="252"/>
      <c r="C4147" s="252"/>
      <c r="D4147" s="252"/>
      <c r="E4147" s="252"/>
      <c r="F4147" s="252"/>
      <c r="G4147" s="252"/>
      <c r="H4147" s="252"/>
      <c r="I4147" s="252"/>
      <c r="J4147" s="252"/>
      <c r="K4147" s="253"/>
    </row>
    <row r="4148" spans="1:11" ht="22" customHeight="1" x14ac:dyDescent="0.35">
      <c r="A4148" s="251"/>
      <c r="B4148" s="252"/>
      <c r="C4148" s="252"/>
      <c r="D4148" s="252"/>
      <c r="E4148" s="252"/>
      <c r="F4148" s="252"/>
      <c r="G4148" s="252"/>
      <c r="H4148" s="252"/>
      <c r="I4148" s="252"/>
      <c r="J4148" s="252"/>
      <c r="K4148" s="253"/>
    </row>
    <row r="4149" spans="1:11" ht="22" customHeight="1" x14ac:dyDescent="0.35">
      <c r="A4149" s="251"/>
      <c r="B4149" s="252"/>
      <c r="C4149" s="252"/>
      <c r="D4149" s="252"/>
      <c r="E4149" s="252"/>
      <c r="F4149" s="252"/>
      <c r="G4149" s="252"/>
      <c r="H4149" s="252"/>
      <c r="I4149" s="252"/>
      <c r="J4149" s="252"/>
      <c r="K4149" s="253"/>
    </row>
    <row r="4150" spans="1:11" ht="22" customHeight="1" x14ac:dyDescent="0.35">
      <c r="A4150" s="251"/>
      <c r="B4150" s="252"/>
      <c r="C4150" s="252"/>
      <c r="D4150" s="252"/>
      <c r="E4150" s="252"/>
      <c r="F4150" s="252"/>
      <c r="G4150" s="252"/>
      <c r="H4150" s="252"/>
      <c r="I4150" s="252"/>
      <c r="J4150" s="252"/>
      <c r="K4150" s="253"/>
    </row>
    <row r="4151" spans="1:11" ht="22" customHeight="1" x14ac:dyDescent="0.35">
      <c r="A4151" s="251"/>
      <c r="B4151" s="252"/>
      <c r="C4151" s="252"/>
      <c r="D4151" s="252"/>
      <c r="E4151" s="252"/>
      <c r="F4151" s="252"/>
      <c r="G4151" s="252"/>
      <c r="H4151" s="252"/>
      <c r="I4151" s="252"/>
      <c r="J4151" s="252"/>
      <c r="K4151" s="253"/>
    </row>
    <row r="4152" spans="1:11" ht="22" customHeight="1" x14ac:dyDescent="0.35">
      <c r="A4152" s="251"/>
      <c r="B4152" s="252"/>
      <c r="C4152" s="252"/>
      <c r="D4152" s="252"/>
      <c r="E4152" s="252"/>
      <c r="F4152" s="252"/>
      <c r="G4152" s="252"/>
      <c r="H4152" s="252"/>
      <c r="I4152" s="252"/>
      <c r="J4152" s="252"/>
      <c r="K4152" s="253"/>
    </row>
    <row r="4153" spans="1:11" ht="22" customHeight="1" x14ac:dyDescent="0.35">
      <c r="A4153" s="251"/>
      <c r="B4153" s="252"/>
      <c r="C4153" s="252"/>
      <c r="D4153" s="252"/>
      <c r="E4153" s="252"/>
      <c r="F4153" s="252"/>
      <c r="G4153" s="252"/>
      <c r="H4153" s="252"/>
      <c r="I4153" s="252"/>
      <c r="J4153" s="252"/>
      <c r="K4153" s="253"/>
    </row>
    <row r="4154" spans="1:11" ht="22" customHeight="1" x14ac:dyDescent="0.35">
      <c r="A4154" s="251"/>
      <c r="B4154" s="252"/>
      <c r="C4154" s="252"/>
      <c r="D4154" s="252"/>
      <c r="E4154" s="252"/>
      <c r="F4154" s="252"/>
      <c r="G4154" s="252"/>
      <c r="H4154" s="252"/>
      <c r="I4154" s="252"/>
      <c r="J4154" s="252"/>
      <c r="K4154" s="253"/>
    </row>
    <row r="4155" spans="1:11" ht="22" customHeight="1" x14ac:dyDescent="0.35">
      <c r="A4155" s="251"/>
      <c r="B4155" s="252"/>
      <c r="C4155" s="252"/>
      <c r="D4155" s="252"/>
      <c r="E4155" s="252"/>
      <c r="F4155" s="252"/>
      <c r="G4155" s="252"/>
      <c r="H4155" s="252"/>
      <c r="I4155" s="252"/>
      <c r="J4155" s="252"/>
      <c r="K4155" s="253"/>
    </row>
    <row r="4156" spans="1:11" ht="22" customHeight="1" x14ac:dyDescent="0.35">
      <c r="A4156" s="251"/>
      <c r="B4156" s="252"/>
      <c r="C4156" s="252"/>
      <c r="D4156" s="252"/>
      <c r="E4156" s="252"/>
      <c r="F4156" s="252"/>
      <c r="G4156" s="252"/>
      <c r="H4156" s="252"/>
      <c r="I4156" s="252"/>
      <c r="J4156" s="252"/>
      <c r="K4156" s="253"/>
    </row>
    <row r="4157" spans="1:11" ht="22" customHeight="1" x14ac:dyDescent="0.35">
      <c r="A4157" s="251"/>
      <c r="B4157" s="252"/>
      <c r="C4157" s="252"/>
      <c r="D4157" s="252"/>
      <c r="E4157" s="252"/>
      <c r="F4157" s="252"/>
      <c r="G4157" s="252"/>
      <c r="H4157" s="252"/>
      <c r="I4157" s="252"/>
      <c r="J4157" s="252"/>
      <c r="K4157" s="253"/>
    </row>
    <row r="4158" spans="1:11" ht="22" customHeight="1" x14ac:dyDescent="0.35">
      <c r="A4158" s="251"/>
      <c r="B4158" s="252"/>
      <c r="C4158" s="252"/>
      <c r="D4158" s="252"/>
      <c r="E4158" s="252"/>
      <c r="F4158" s="252"/>
      <c r="G4158" s="252"/>
      <c r="H4158" s="252"/>
      <c r="I4158" s="252"/>
      <c r="J4158" s="252"/>
      <c r="K4158" s="253"/>
    </row>
    <row r="4159" spans="1:11" ht="22" customHeight="1" x14ac:dyDescent="0.35">
      <c r="A4159" s="251"/>
      <c r="B4159" s="252"/>
      <c r="C4159" s="252"/>
      <c r="D4159" s="252"/>
      <c r="E4159" s="252"/>
      <c r="F4159" s="252"/>
      <c r="G4159" s="252"/>
      <c r="H4159" s="252"/>
      <c r="I4159" s="252"/>
      <c r="J4159" s="252"/>
      <c r="K4159" s="253"/>
    </row>
    <row r="4160" spans="1:11" ht="22" customHeight="1" x14ac:dyDescent="0.35">
      <c r="A4160" s="251"/>
      <c r="B4160" s="252"/>
      <c r="C4160" s="252"/>
      <c r="D4160" s="252"/>
      <c r="E4160" s="252"/>
      <c r="F4160" s="252"/>
      <c r="G4160" s="252"/>
      <c r="H4160" s="252"/>
      <c r="I4160" s="252"/>
      <c r="J4160" s="252"/>
      <c r="K4160" s="253"/>
    </row>
    <row r="4161" spans="1:11" ht="22" customHeight="1" x14ac:dyDescent="0.35">
      <c r="A4161" s="251"/>
      <c r="B4161" s="252"/>
      <c r="C4161" s="252"/>
      <c r="D4161" s="252"/>
      <c r="E4161" s="252"/>
      <c r="F4161" s="252"/>
      <c r="G4161" s="252"/>
      <c r="H4161" s="252"/>
      <c r="I4161" s="252"/>
      <c r="J4161" s="252"/>
      <c r="K4161" s="253"/>
    </row>
    <row r="4162" spans="1:11" ht="22" customHeight="1" x14ac:dyDescent="0.35">
      <c r="A4162" s="251"/>
      <c r="B4162" s="252"/>
      <c r="C4162" s="252"/>
      <c r="D4162" s="252"/>
      <c r="E4162" s="252"/>
      <c r="F4162" s="252"/>
      <c r="G4162" s="252"/>
      <c r="H4162" s="252"/>
      <c r="I4162" s="252"/>
      <c r="J4162" s="252"/>
      <c r="K4162" s="253"/>
    </row>
    <row r="4163" spans="1:11" ht="22" customHeight="1" x14ac:dyDescent="0.35">
      <c r="A4163" s="251"/>
      <c r="B4163" s="252"/>
      <c r="C4163" s="252"/>
      <c r="D4163" s="252"/>
      <c r="E4163" s="252"/>
      <c r="F4163" s="252"/>
      <c r="G4163" s="252"/>
      <c r="H4163" s="252"/>
      <c r="I4163" s="252"/>
      <c r="J4163" s="252"/>
      <c r="K4163" s="253"/>
    </row>
    <row r="4164" spans="1:11" ht="22" customHeight="1" x14ac:dyDescent="0.35">
      <c r="A4164" s="251"/>
      <c r="B4164" s="252"/>
      <c r="C4164" s="252"/>
      <c r="D4164" s="252"/>
      <c r="E4164" s="252"/>
      <c r="F4164" s="252"/>
      <c r="G4164" s="252"/>
      <c r="H4164" s="252"/>
      <c r="I4164" s="252"/>
      <c r="J4164" s="252"/>
      <c r="K4164" s="253"/>
    </row>
    <row r="4165" spans="1:11" ht="22" customHeight="1" x14ac:dyDescent="0.35">
      <c r="A4165" s="251"/>
      <c r="B4165" s="252"/>
      <c r="C4165" s="252"/>
      <c r="D4165" s="252"/>
      <c r="E4165" s="252"/>
      <c r="F4165" s="252"/>
      <c r="G4165" s="252"/>
      <c r="H4165" s="252"/>
      <c r="I4165" s="252"/>
      <c r="J4165" s="252"/>
      <c r="K4165" s="253"/>
    </row>
    <row r="4166" spans="1:11" ht="22" customHeight="1" x14ac:dyDescent="0.35">
      <c r="A4166" s="251"/>
      <c r="B4166" s="252"/>
      <c r="C4166" s="252"/>
      <c r="D4166" s="252"/>
      <c r="E4166" s="252"/>
      <c r="F4166" s="252"/>
      <c r="G4166" s="252"/>
      <c r="H4166" s="252"/>
      <c r="I4166" s="252"/>
      <c r="J4166" s="252"/>
      <c r="K4166" s="253"/>
    </row>
    <row r="4167" spans="1:11" ht="22" customHeight="1" x14ac:dyDescent="0.35">
      <c r="A4167" s="251"/>
      <c r="B4167" s="252"/>
      <c r="C4167" s="252"/>
      <c r="D4167" s="252"/>
      <c r="E4167" s="252"/>
      <c r="F4167" s="252"/>
      <c r="G4167" s="252"/>
      <c r="H4167" s="252"/>
      <c r="I4167" s="252"/>
      <c r="J4167" s="252"/>
      <c r="K4167" s="253"/>
    </row>
    <row r="4168" spans="1:11" ht="22" customHeight="1" x14ac:dyDescent="0.35">
      <c r="A4168" s="251"/>
      <c r="B4168" s="252"/>
      <c r="C4168" s="252"/>
      <c r="D4168" s="252"/>
      <c r="E4168" s="252"/>
      <c r="F4168" s="252"/>
      <c r="G4168" s="252"/>
      <c r="H4168" s="252"/>
      <c r="I4168" s="252"/>
      <c r="J4168" s="252"/>
      <c r="K4168" s="253"/>
    </row>
    <row r="4169" spans="1:11" ht="22" customHeight="1" x14ac:dyDescent="0.35">
      <c r="A4169" s="251"/>
      <c r="B4169" s="252"/>
      <c r="C4169" s="252"/>
      <c r="D4169" s="252"/>
      <c r="E4169" s="252"/>
      <c r="F4169" s="252"/>
      <c r="G4169" s="252"/>
      <c r="H4169" s="252"/>
      <c r="I4169" s="252"/>
      <c r="J4169" s="252"/>
      <c r="K4169" s="253"/>
    </row>
    <row r="4170" spans="1:11" ht="22" customHeight="1" x14ac:dyDescent="0.35">
      <c r="A4170" s="251"/>
      <c r="B4170" s="252"/>
      <c r="C4170" s="252"/>
      <c r="D4170" s="252"/>
      <c r="E4170" s="252"/>
      <c r="F4170" s="252"/>
      <c r="G4170" s="252"/>
      <c r="H4170" s="252"/>
      <c r="I4170" s="252"/>
      <c r="J4170" s="252"/>
      <c r="K4170" s="253"/>
    </row>
    <row r="4171" spans="1:11" ht="22" customHeight="1" x14ac:dyDescent="0.35">
      <c r="A4171" s="251"/>
      <c r="B4171" s="252"/>
      <c r="C4171" s="252"/>
      <c r="D4171" s="252"/>
      <c r="E4171" s="252"/>
      <c r="F4171" s="252"/>
      <c r="G4171" s="252"/>
      <c r="H4171" s="252"/>
      <c r="I4171" s="252"/>
      <c r="J4171" s="252"/>
      <c r="K4171" s="253"/>
    </row>
    <row r="4172" spans="1:11" ht="22" customHeight="1" x14ac:dyDescent="0.35">
      <c r="A4172" s="251"/>
      <c r="B4172" s="252"/>
      <c r="C4172" s="252"/>
      <c r="D4172" s="252"/>
      <c r="E4172" s="252"/>
      <c r="F4172" s="252"/>
      <c r="G4172" s="252"/>
      <c r="H4172" s="252"/>
      <c r="I4172" s="252"/>
      <c r="J4172" s="252"/>
      <c r="K4172" s="253"/>
    </row>
    <row r="4173" spans="1:11" ht="22" customHeight="1" x14ac:dyDescent="0.35">
      <c r="A4173" s="251"/>
      <c r="B4173" s="252"/>
      <c r="C4173" s="252"/>
      <c r="D4173" s="252"/>
      <c r="E4173" s="252"/>
      <c r="F4173" s="252"/>
      <c r="G4173" s="252"/>
      <c r="H4173" s="252"/>
      <c r="I4173" s="252"/>
      <c r="J4173" s="252"/>
      <c r="K4173" s="253"/>
    </row>
    <row r="4174" spans="1:11" ht="22" customHeight="1" x14ac:dyDescent="0.35">
      <c r="A4174" s="251"/>
      <c r="B4174" s="252"/>
      <c r="C4174" s="252"/>
      <c r="D4174" s="252"/>
      <c r="E4174" s="252"/>
      <c r="F4174" s="252"/>
      <c r="G4174" s="252"/>
      <c r="H4174" s="252"/>
      <c r="I4174" s="252"/>
      <c r="J4174" s="252"/>
      <c r="K4174" s="253"/>
    </row>
    <row r="4175" spans="1:11" ht="22" customHeight="1" x14ac:dyDescent="0.35">
      <c r="A4175" s="251"/>
      <c r="B4175" s="252"/>
      <c r="C4175" s="252"/>
      <c r="D4175" s="252"/>
      <c r="E4175" s="252"/>
      <c r="F4175" s="252"/>
      <c r="G4175" s="252"/>
      <c r="H4175" s="252"/>
      <c r="I4175" s="252"/>
      <c r="J4175" s="252"/>
      <c r="K4175" s="253"/>
    </row>
    <row r="4176" spans="1:11" ht="22" customHeight="1" x14ac:dyDescent="0.35">
      <c r="A4176" s="251"/>
      <c r="B4176" s="252"/>
      <c r="C4176" s="252"/>
      <c r="D4176" s="252"/>
      <c r="E4176" s="252"/>
      <c r="F4176" s="252"/>
      <c r="G4176" s="252"/>
      <c r="H4176" s="252"/>
      <c r="I4176" s="252"/>
      <c r="J4176" s="252"/>
      <c r="K4176" s="253"/>
    </row>
    <row r="4177" spans="1:11" ht="22" customHeight="1" x14ac:dyDescent="0.35">
      <c r="A4177" s="251"/>
      <c r="B4177" s="252"/>
      <c r="C4177" s="252"/>
      <c r="D4177" s="252"/>
      <c r="E4177" s="252"/>
      <c r="F4177" s="252"/>
      <c r="G4177" s="252"/>
      <c r="H4177" s="252"/>
      <c r="I4177" s="252"/>
      <c r="J4177" s="252"/>
      <c r="K4177" s="253"/>
    </row>
    <row r="4178" spans="1:11" ht="22" customHeight="1" x14ac:dyDescent="0.35">
      <c r="A4178" s="251"/>
      <c r="B4178" s="252"/>
      <c r="C4178" s="252"/>
      <c r="D4178" s="252"/>
      <c r="E4178" s="252"/>
      <c r="F4178" s="252"/>
      <c r="G4178" s="252"/>
      <c r="H4178" s="252"/>
      <c r="I4178" s="252"/>
      <c r="J4178" s="252"/>
      <c r="K4178" s="253"/>
    </row>
    <row r="4179" spans="1:11" ht="22" customHeight="1" x14ac:dyDescent="0.35">
      <c r="A4179" s="251"/>
      <c r="B4179" s="252"/>
      <c r="C4179" s="252"/>
      <c r="D4179" s="252"/>
      <c r="E4179" s="252"/>
      <c r="F4179" s="252"/>
      <c r="G4179" s="252"/>
      <c r="H4179" s="252"/>
      <c r="I4179" s="252"/>
      <c r="J4179" s="252"/>
      <c r="K4179" s="253"/>
    </row>
    <row r="4180" spans="1:11" ht="22" customHeight="1" x14ac:dyDescent="0.35">
      <c r="A4180" s="251"/>
      <c r="B4180" s="252"/>
      <c r="C4180" s="252"/>
      <c r="D4180" s="252"/>
      <c r="E4180" s="252"/>
      <c r="F4180" s="252"/>
      <c r="G4180" s="252"/>
      <c r="H4180" s="252"/>
      <c r="I4180" s="252"/>
      <c r="J4180" s="252"/>
      <c r="K4180" s="253"/>
    </row>
    <row r="4181" spans="1:11" ht="22" customHeight="1" x14ac:dyDescent="0.35">
      <c r="A4181" s="251"/>
      <c r="B4181" s="252"/>
      <c r="C4181" s="252"/>
      <c r="D4181" s="252"/>
      <c r="E4181" s="252"/>
      <c r="F4181" s="252"/>
      <c r="G4181" s="252"/>
      <c r="H4181" s="252"/>
      <c r="I4181" s="252"/>
      <c r="J4181" s="252"/>
      <c r="K4181" s="253"/>
    </row>
    <row r="4182" spans="1:11" ht="22" customHeight="1" x14ac:dyDescent="0.35">
      <c r="A4182" s="251"/>
      <c r="B4182" s="252"/>
      <c r="C4182" s="252"/>
      <c r="D4182" s="252"/>
      <c r="E4182" s="252"/>
      <c r="F4182" s="252"/>
      <c r="G4182" s="252"/>
      <c r="H4182" s="252"/>
      <c r="I4182" s="252"/>
      <c r="J4182" s="252"/>
      <c r="K4182" s="253"/>
    </row>
    <row r="4183" spans="1:11" ht="22" customHeight="1" x14ac:dyDescent="0.35">
      <c r="A4183" s="251"/>
      <c r="B4183" s="252"/>
      <c r="C4183" s="252"/>
      <c r="D4183" s="252"/>
      <c r="E4183" s="252"/>
      <c r="F4183" s="252"/>
      <c r="G4183" s="252"/>
      <c r="H4183" s="252"/>
      <c r="I4183" s="252"/>
      <c r="J4183" s="252"/>
      <c r="K4183" s="253"/>
    </row>
    <row r="4184" spans="1:11" ht="22" customHeight="1" x14ac:dyDescent="0.35">
      <c r="A4184" s="251"/>
      <c r="B4184" s="252"/>
      <c r="C4184" s="252"/>
      <c r="D4184" s="252"/>
      <c r="E4184" s="252"/>
      <c r="F4184" s="252"/>
      <c r="G4184" s="252"/>
      <c r="H4184" s="252"/>
      <c r="I4184" s="252"/>
      <c r="J4184" s="252"/>
      <c r="K4184" s="253"/>
    </row>
    <row r="4185" spans="1:11" ht="22" customHeight="1" x14ac:dyDescent="0.35">
      <c r="A4185" s="251"/>
      <c r="B4185" s="252"/>
      <c r="C4185" s="252"/>
      <c r="D4185" s="252"/>
      <c r="E4185" s="252"/>
      <c r="F4185" s="252"/>
      <c r="G4185" s="252"/>
      <c r="H4185" s="252"/>
      <c r="I4185" s="252"/>
      <c r="J4185" s="252"/>
      <c r="K4185" s="253"/>
    </row>
    <row r="4186" spans="1:11" ht="22" customHeight="1" x14ac:dyDescent="0.35">
      <c r="A4186" s="251"/>
      <c r="B4186" s="252"/>
      <c r="C4186" s="252"/>
      <c r="D4186" s="252"/>
      <c r="E4186" s="252"/>
      <c r="F4186" s="252"/>
      <c r="G4186" s="252"/>
      <c r="H4186" s="252"/>
      <c r="I4186" s="252"/>
      <c r="J4186" s="252"/>
      <c r="K4186" s="253"/>
    </row>
    <row r="4187" spans="1:11" ht="22" customHeight="1" x14ac:dyDescent="0.35">
      <c r="A4187" s="251"/>
      <c r="B4187" s="252"/>
      <c r="C4187" s="252"/>
      <c r="D4187" s="252"/>
      <c r="E4187" s="252"/>
      <c r="F4187" s="252"/>
      <c r="G4187" s="252"/>
      <c r="H4187" s="252"/>
      <c r="I4187" s="252"/>
      <c r="J4187" s="252"/>
      <c r="K4187" s="253"/>
    </row>
    <row r="4188" spans="1:11" ht="22" customHeight="1" x14ac:dyDescent="0.35">
      <c r="A4188" s="251"/>
      <c r="B4188" s="252"/>
      <c r="C4188" s="252"/>
      <c r="D4188" s="252"/>
      <c r="E4188" s="252"/>
      <c r="F4188" s="252"/>
      <c r="G4188" s="252"/>
      <c r="H4188" s="252"/>
      <c r="I4188" s="252"/>
      <c r="J4188" s="252"/>
      <c r="K4188" s="253"/>
    </row>
    <row r="4189" spans="1:11" ht="22" customHeight="1" x14ac:dyDescent="0.35">
      <c r="A4189" s="251"/>
      <c r="B4189" s="252"/>
      <c r="C4189" s="252"/>
      <c r="D4189" s="252"/>
      <c r="E4189" s="252"/>
      <c r="F4189" s="252"/>
      <c r="G4189" s="252"/>
      <c r="H4189" s="252"/>
      <c r="I4189" s="252"/>
      <c r="J4189" s="252"/>
      <c r="K4189" s="253"/>
    </row>
    <row r="4190" spans="1:11" ht="22" customHeight="1" x14ac:dyDescent="0.35">
      <c r="A4190" s="251"/>
      <c r="B4190" s="252"/>
      <c r="C4190" s="252"/>
      <c r="D4190" s="252"/>
      <c r="E4190" s="252"/>
      <c r="F4190" s="252"/>
      <c r="G4190" s="252"/>
      <c r="H4190" s="252"/>
      <c r="I4190" s="252"/>
      <c r="J4190" s="252"/>
      <c r="K4190" s="253"/>
    </row>
    <row r="4191" spans="1:11" ht="22" customHeight="1" x14ac:dyDescent="0.35">
      <c r="A4191" s="251"/>
      <c r="B4191" s="252"/>
      <c r="C4191" s="252"/>
      <c r="D4191" s="252"/>
      <c r="E4191" s="252"/>
      <c r="F4191" s="252"/>
      <c r="G4191" s="252"/>
      <c r="H4191" s="252"/>
      <c r="I4191" s="252"/>
      <c r="J4191" s="252"/>
      <c r="K4191" s="253"/>
    </row>
    <row r="4192" spans="1:11" ht="22" customHeight="1" x14ac:dyDescent="0.35">
      <c r="A4192" s="251"/>
      <c r="B4192" s="252"/>
      <c r="C4192" s="252"/>
      <c r="D4192" s="252"/>
      <c r="E4192" s="252"/>
      <c r="F4192" s="252"/>
      <c r="G4192" s="252"/>
      <c r="H4192" s="252"/>
      <c r="I4192" s="252"/>
      <c r="J4192" s="252"/>
      <c r="K4192" s="253"/>
    </row>
    <row r="4193" spans="1:11" ht="22" customHeight="1" x14ac:dyDescent="0.35">
      <c r="A4193" s="251"/>
      <c r="B4193" s="252"/>
      <c r="C4193" s="252"/>
      <c r="D4193" s="252"/>
      <c r="E4193" s="252"/>
      <c r="F4193" s="252"/>
      <c r="G4193" s="252"/>
      <c r="H4193" s="252"/>
      <c r="I4193" s="252"/>
      <c r="J4193" s="252"/>
      <c r="K4193" s="253"/>
    </row>
    <row r="4194" spans="1:11" ht="22" customHeight="1" x14ac:dyDescent="0.35">
      <c r="A4194" s="251"/>
      <c r="B4194" s="252"/>
      <c r="C4194" s="252"/>
      <c r="D4194" s="252"/>
      <c r="E4194" s="252"/>
      <c r="F4194" s="252"/>
      <c r="G4194" s="252"/>
      <c r="H4194" s="252"/>
      <c r="I4194" s="252"/>
      <c r="J4194" s="252"/>
      <c r="K4194" s="253"/>
    </row>
    <row r="4195" spans="1:11" ht="22" customHeight="1" x14ac:dyDescent="0.35">
      <c r="A4195" s="251"/>
      <c r="B4195" s="252"/>
      <c r="C4195" s="252"/>
      <c r="D4195" s="252"/>
      <c r="E4195" s="252"/>
      <c r="F4195" s="252"/>
      <c r="G4195" s="252"/>
      <c r="H4195" s="252"/>
      <c r="I4195" s="252"/>
      <c r="J4195" s="252"/>
      <c r="K4195" s="253"/>
    </row>
    <row r="4196" spans="1:11" ht="22" customHeight="1" x14ac:dyDescent="0.35">
      <c r="A4196" s="251"/>
      <c r="B4196" s="252"/>
      <c r="C4196" s="252"/>
      <c r="D4196" s="252"/>
      <c r="E4196" s="252"/>
      <c r="F4196" s="252"/>
      <c r="G4196" s="252"/>
      <c r="H4196" s="252"/>
      <c r="I4196" s="252"/>
      <c r="J4196" s="252"/>
      <c r="K4196" s="253"/>
    </row>
    <row r="4197" spans="1:11" ht="22" customHeight="1" x14ac:dyDescent="0.35">
      <c r="A4197" s="251"/>
      <c r="B4197" s="252"/>
      <c r="C4197" s="252"/>
      <c r="D4197" s="252"/>
      <c r="E4197" s="252"/>
      <c r="F4197" s="252"/>
      <c r="G4197" s="252"/>
      <c r="H4197" s="252"/>
      <c r="I4197" s="252"/>
      <c r="J4197" s="252"/>
      <c r="K4197" s="253"/>
    </row>
    <row r="4198" spans="1:11" ht="22" customHeight="1" x14ac:dyDescent="0.35">
      <c r="A4198" s="251"/>
      <c r="B4198" s="252"/>
      <c r="C4198" s="252"/>
      <c r="D4198" s="252"/>
      <c r="E4198" s="252"/>
      <c r="F4198" s="252"/>
      <c r="G4198" s="252"/>
      <c r="H4198" s="252"/>
      <c r="I4198" s="252"/>
      <c r="J4198" s="252"/>
      <c r="K4198" s="253"/>
    </row>
    <row r="4199" spans="1:11" ht="22" customHeight="1" x14ac:dyDescent="0.35">
      <c r="A4199" s="251"/>
      <c r="B4199" s="252"/>
      <c r="C4199" s="252"/>
      <c r="D4199" s="252"/>
      <c r="E4199" s="252"/>
      <c r="F4199" s="252"/>
      <c r="G4199" s="252"/>
      <c r="H4199" s="252"/>
      <c r="I4199" s="252"/>
      <c r="J4199" s="252"/>
      <c r="K4199" s="253"/>
    </row>
    <row r="4200" spans="1:11" ht="22" customHeight="1" x14ac:dyDescent="0.35">
      <c r="A4200" s="251"/>
      <c r="B4200" s="252"/>
      <c r="C4200" s="252"/>
      <c r="D4200" s="252"/>
      <c r="E4200" s="252"/>
      <c r="F4200" s="252"/>
      <c r="G4200" s="252"/>
      <c r="H4200" s="252"/>
      <c r="I4200" s="252"/>
      <c r="J4200" s="252"/>
      <c r="K4200" s="253"/>
    </row>
    <row r="4201" spans="1:11" ht="22" customHeight="1" x14ac:dyDescent="0.35">
      <c r="A4201" s="251"/>
      <c r="B4201" s="252"/>
      <c r="C4201" s="252"/>
      <c r="D4201" s="252"/>
      <c r="E4201" s="252"/>
      <c r="F4201" s="252"/>
      <c r="G4201" s="252"/>
      <c r="H4201" s="252"/>
      <c r="I4201" s="252"/>
      <c r="J4201" s="252"/>
      <c r="K4201" s="253"/>
    </row>
    <row r="4202" spans="1:11" ht="22" customHeight="1" x14ac:dyDescent="0.35">
      <c r="A4202" s="251"/>
      <c r="B4202" s="252"/>
      <c r="C4202" s="252"/>
      <c r="D4202" s="252"/>
      <c r="E4202" s="252"/>
      <c r="F4202" s="252"/>
      <c r="G4202" s="252"/>
      <c r="H4202" s="252"/>
      <c r="I4202" s="252"/>
      <c r="J4202" s="252"/>
      <c r="K4202" s="253"/>
    </row>
    <row r="4203" spans="1:11" ht="22" customHeight="1" x14ac:dyDescent="0.35">
      <c r="A4203" s="251"/>
      <c r="B4203" s="252"/>
      <c r="C4203" s="252"/>
      <c r="D4203" s="252"/>
      <c r="E4203" s="252"/>
      <c r="F4203" s="252"/>
      <c r="G4203" s="252"/>
      <c r="H4203" s="252"/>
      <c r="I4203" s="252"/>
      <c r="J4203" s="252"/>
      <c r="K4203" s="253"/>
    </row>
    <row r="4204" spans="1:11" ht="22" customHeight="1" x14ac:dyDescent="0.35">
      <c r="A4204" s="251"/>
      <c r="B4204" s="252"/>
      <c r="C4204" s="252"/>
      <c r="D4204" s="252"/>
      <c r="E4204" s="252"/>
      <c r="F4204" s="252"/>
      <c r="G4204" s="252"/>
      <c r="H4204" s="252"/>
      <c r="I4204" s="252"/>
      <c r="J4204" s="252"/>
      <c r="K4204" s="253"/>
    </row>
    <row r="4205" spans="1:11" ht="22" customHeight="1" x14ac:dyDescent="0.35">
      <c r="A4205" s="251"/>
      <c r="B4205" s="252"/>
      <c r="C4205" s="252"/>
      <c r="D4205" s="252"/>
      <c r="E4205" s="252"/>
      <c r="F4205" s="252"/>
      <c r="G4205" s="252"/>
      <c r="H4205" s="252"/>
      <c r="I4205" s="252"/>
      <c r="J4205" s="252"/>
      <c r="K4205" s="253"/>
    </row>
    <row r="4206" spans="1:11" ht="22" customHeight="1" x14ac:dyDescent="0.35">
      <c r="A4206" s="251"/>
      <c r="B4206" s="252"/>
      <c r="C4206" s="252"/>
      <c r="D4206" s="252"/>
      <c r="E4206" s="252"/>
      <c r="F4206" s="252"/>
      <c r="G4206" s="252"/>
      <c r="H4206" s="252"/>
      <c r="I4206" s="252"/>
      <c r="J4206" s="252"/>
      <c r="K4206" s="253"/>
    </row>
    <row r="4207" spans="1:11" ht="22" customHeight="1" x14ac:dyDescent="0.35">
      <c r="A4207" s="251"/>
      <c r="B4207" s="252"/>
      <c r="C4207" s="252"/>
      <c r="D4207" s="252"/>
      <c r="E4207" s="252"/>
      <c r="F4207" s="252"/>
      <c r="G4207" s="252"/>
      <c r="H4207" s="252"/>
      <c r="I4207" s="252"/>
      <c r="J4207" s="252"/>
      <c r="K4207" s="253"/>
    </row>
    <row r="4208" spans="1:11" ht="22" customHeight="1" x14ac:dyDescent="0.35">
      <c r="A4208" s="251"/>
      <c r="B4208" s="252"/>
      <c r="C4208" s="252"/>
      <c r="D4208" s="252"/>
      <c r="E4208" s="252"/>
      <c r="F4208" s="252"/>
      <c r="G4208" s="252"/>
      <c r="H4208" s="252"/>
      <c r="I4208" s="252"/>
      <c r="J4208" s="252"/>
      <c r="K4208" s="253"/>
    </row>
    <row r="4209" spans="1:11" ht="22" customHeight="1" x14ac:dyDescent="0.35">
      <c r="A4209" s="251"/>
      <c r="B4209" s="252"/>
      <c r="C4209" s="252"/>
      <c r="D4209" s="252"/>
      <c r="E4209" s="252"/>
      <c r="F4209" s="252"/>
      <c r="G4209" s="252"/>
      <c r="H4209" s="252"/>
      <c r="I4209" s="252"/>
      <c r="J4209" s="252"/>
      <c r="K4209" s="253"/>
    </row>
    <row r="4210" spans="1:11" ht="22" customHeight="1" x14ac:dyDescent="0.35">
      <c r="A4210" s="251"/>
      <c r="B4210" s="252"/>
      <c r="C4210" s="252"/>
      <c r="D4210" s="252"/>
      <c r="E4210" s="252"/>
      <c r="F4210" s="252"/>
      <c r="G4210" s="252"/>
      <c r="H4210" s="252"/>
      <c r="I4210" s="252"/>
      <c r="J4210" s="252"/>
      <c r="K4210" s="253"/>
    </row>
    <row r="4211" spans="1:11" ht="22" customHeight="1" x14ac:dyDescent="0.35">
      <c r="A4211" s="251"/>
      <c r="B4211" s="252"/>
      <c r="C4211" s="252"/>
      <c r="D4211" s="252"/>
      <c r="E4211" s="252"/>
      <c r="F4211" s="252"/>
      <c r="G4211" s="252"/>
      <c r="H4211" s="252"/>
      <c r="I4211" s="252"/>
      <c r="J4211" s="252"/>
      <c r="K4211" s="253"/>
    </row>
    <row r="4212" spans="1:11" ht="22" customHeight="1" x14ac:dyDescent="0.35">
      <c r="A4212" s="251"/>
      <c r="B4212" s="252"/>
      <c r="C4212" s="252"/>
      <c r="D4212" s="252"/>
      <c r="E4212" s="252"/>
      <c r="F4212" s="252"/>
      <c r="G4212" s="252"/>
      <c r="H4212" s="252"/>
      <c r="I4212" s="252"/>
      <c r="J4212" s="252"/>
      <c r="K4212" s="253"/>
    </row>
    <row r="4213" spans="1:11" ht="22" customHeight="1" x14ac:dyDescent="0.35">
      <c r="A4213" s="251"/>
      <c r="B4213" s="252"/>
      <c r="C4213" s="252"/>
      <c r="D4213" s="252"/>
      <c r="E4213" s="252"/>
      <c r="F4213" s="252"/>
      <c r="G4213" s="252"/>
      <c r="H4213" s="252"/>
      <c r="I4213" s="252"/>
      <c r="J4213" s="252"/>
      <c r="K4213" s="253"/>
    </row>
    <row r="4214" spans="1:11" ht="22" customHeight="1" x14ac:dyDescent="0.35">
      <c r="A4214" s="251"/>
      <c r="B4214" s="252"/>
      <c r="C4214" s="252"/>
      <c r="D4214" s="252"/>
      <c r="E4214" s="252"/>
      <c r="F4214" s="252"/>
      <c r="G4214" s="252"/>
      <c r="H4214" s="252"/>
      <c r="I4214" s="252"/>
      <c r="J4214" s="252"/>
      <c r="K4214" s="253"/>
    </row>
    <row r="4215" spans="1:11" ht="22" customHeight="1" x14ac:dyDescent="0.35">
      <c r="A4215" s="251"/>
      <c r="B4215" s="252"/>
      <c r="C4215" s="252"/>
      <c r="D4215" s="252"/>
      <c r="E4215" s="252"/>
      <c r="F4215" s="252"/>
      <c r="G4215" s="252"/>
      <c r="H4215" s="252"/>
      <c r="I4215" s="252"/>
      <c r="J4215" s="252"/>
      <c r="K4215" s="253"/>
    </row>
    <row r="4216" spans="1:11" ht="22" customHeight="1" x14ac:dyDescent="0.35">
      <c r="A4216" s="251"/>
      <c r="B4216" s="252"/>
      <c r="C4216" s="252"/>
      <c r="D4216" s="252"/>
      <c r="E4216" s="252"/>
      <c r="F4216" s="252"/>
      <c r="G4216" s="252"/>
      <c r="H4216" s="252"/>
      <c r="I4216" s="252"/>
      <c r="J4216" s="252"/>
      <c r="K4216" s="253"/>
    </row>
    <row r="4217" spans="1:11" ht="22" customHeight="1" x14ac:dyDescent="0.35">
      <c r="A4217" s="251"/>
      <c r="B4217" s="252"/>
      <c r="C4217" s="252"/>
      <c r="D4217" s="252"/>
      <c r="E4217" s="252"/>
      <c r="F4217" s="252"/>
      <c r="G4217" s="252"/>
      <c r="H4217" s="252"/>
      <c r="I4217" s="252"/>
      <c r="J4217" s="252"/>
      <c r="K4217" s="253"/>
    </row>
    <row r="4218" spans="1:11" ht="22" customHeight="1" x14ac:dyDescent="0.35">
      <c r="A4218" s="251"/>
      <c r="B4218" s="252"/>
      <c r="C4218" s="252"/>
      <c r="D4218" s="252"/>
      <c r="E4218" s="252"/>
      <c r="F4218" s="252"/>
      <c r="G4218" s="252"/>
      <c r="H4218" s="252"/>
      <c r="I4218" s="252"/>
      <c r="J4218" s="252"/>
      <c r="K4218" s="253"/>
    </row>
    <row r="4219" spans="1:11" ht="22" customHeight="1" x14ac:dyDescent="0.35">
      <c r="A4219" s="251"/>
      <c r="B4219" s="252"/>
      <c r="C4219" s="252"/>
      <c r="D4219" s="252"/>
      <c r="E4219" s="252"/>
      <c r="F4219" s="252"/>
      <c r="G4219" s="252"/>
      <c r="H4219" s="252"/>
      <c r="I4219" s="252"/>
      <c r="J4219" s="252"/>
      <c r="K4219" s="253"/>
    </row>
    <row r="4220" spans="1:11" ht="22" customHeight="1" x14ac:dyDescent="0.35">
      <c r="A4220" s="251"/>
      <c r="B4220" s="252"/>
      <c r="C4220" s="252"/>
      <c r="D4220" s="252"/>
      <c r="E4220" s="252"/>
      <c r="F4220" s="252"/>
      <c r="G4220" s="252"/>
      <c r="H4220" s="252"/>
      <c r="I4220" s="252"/>
      <c r="J4220" s="252"/>
      <c r="K4220" s="253"/>
    </row>
    <row r="4221" spans="1:11" ht="22" customHeight="1" x14ac:dyDescent="0.35">
      <c r="A4221" s="251"/>
      <c r="B4221" s="252"/>
      <c r="C4221" s="252"/>
      <c r="D4221" s="252"/>
      <c r="E4221" s="252"/>
      <c r="F4221" s="252"/>
      <c r="G4221" s="252"/>
      <c r="H4221" s="252"/>
      <c r="I4221" s="252"/>
      <c r="J4221" s="252"/>
      <c r="K4221" s="253"/>
    </row>
    <row r="4222" spans="1:11" ht="22" customHeight="1" x14ac:dyDescent="0.35">
      <c r="A4222" s="251"/>
      <c r="B4222" s="252"/>
      <c r="C4222" s="252"/>
      <c r="D4222" s="252"/>
      <c r="E4222" s="252"/>
      <c r="F4222" s="252"/>
      <c r="G4222" s="252"/>
      <c r="H4222" s="252"/>
      <c r="I4222" s="252"/>
      <c r="J4222" s="252"/>
      <c r="K4222" s="253"/>
    </row>
    <row r="4223" spans="1:11" ht="22" customHeight="1" x14ac:dyDescent="0.35">
      <c r="A4223" s="251"/>
      <c r="B4223" s="252"/>
      <c r="C4223" s="252"/>
      <c r="D4223" s="252"/>
      <c r="E4223" s="252"/>
      <c r="F4223" s="252"/>
      <c r="G4223" s="252"/>
      <c r="H4223" s="252"/>
      <c r="I4223" s="252"/>
      <c r="J4223" s="252"/>
      <c r="K4223" s="253"/>
    </row>
    <row r="4224" spans="1:11" ht="22" customHeight="1" x14ac:dyDescent="0.35">
      <c r="A4224" s="251"/>
      <c r="B4224" s="252"/>
      <c r="C4224" s="252"/>
      <c r="D4224" s="252"/>
      <c r="E4224" s="252"/>
      <c r="F4224" s="252"/>
      <c r="G4224" s="252"/>
      <c r="H4224" s="252"/>
      <c r="I4224" s="252"/>
      <c r="J4224" s="252"/>
      <c r="K4224" s="253"/>
    </row>
    <row r="4225" spans="1:11" ht="22" customHeight="1" x14ac:dyDescent="0.35">
      <c r="A4225" s="251"/>
      <c r="B4225" s="252"/>
      <c r="C4225" s="252"/>
      <c r="D4225" s="252"/>
      <c r="E4225" s="252"/>
      <c r="F4225" s="252"/>
      <c r="G4225" s="252"/>
      <c r="H4225" s="252"/>
      <c r="I4225" s="252"/>
      <c r="J4225" s="252"/>
      <c r="K4225" s="253"/>
    </row>
    <row r="4226" spans="1:11" ht="22" customHeight="1" x14ac:dyDescent="0.35">
      <c r="A4226" s="251"/>
      <c r="B4226" s="252"/>
      <c r="C4226" s="252"/>
      <c r="D4226" s="252"/>
      <c r="E4226" s="252"/>
      <c r="F4226" s="252"/>
      <c r="G4226" s="252"/>
      <c r="H4226" s="252"/>
      <c r="I4226" s="252"/>
      <c r="J4226" s="252"/>
      <c r="K4226" s="253"/>
    </row>
    <row r="4227" spans="1:11" ht="22" customHeight="1" x14ac:dyDescent="0.35">
      <c r="A4227" s="251"/>
      <c r="B4227" s="252"/>
      <c r="C4227" s="252"/>
      <c r="D4227" s="252"/>
      <c r="E4227" s="252"/>
      <c r="F4227" s="252"/>
      <c r="G4227" s="252"/>
      <c r="H4227" s="252"/>
      <c r="I4227" s="252"/>
      <c r="J4227" s="252"/>
      <c r="K4227" s="253"/>
    </row>
    <row r="4228" spans="1:11" ht="22" customHeight="1" x14ac:dyDescent="0.35">
      <c r="A4228" s="251"/>
      <c r="B4228" s="252"/>
      <c r="C4228" s="252"/>
      <c r="D4228" s="252"/>
      <c r="E4228" s="252"/>
      <c r="F4228" s="252"/>
      <c r="G4228" s="252"/>
      <c r="H4228" s="252"/>
      <c r="I4228" s="252"/>
      <c r="J4228" s="252"/>
      <c r="K4228" s="253"/>
    </row>
    <row r="4229" spans="1:11" ht="22" customHeight="1" x14ac:dyDescent="0.35">
      <c r="A4229" s="251"/>
      <c r="B4229" s="252"/>
      <c r="C4229" s="252"/>
      <c r="D4229" s="252"/>
      <c r="E4229" s="252"/>
      <c r="F4229" s="252"/>
      <c r="G4229" s="252"/>
      <c r="H4229" s="252"/>
      <c r="I4229" s="252"/>
      <c r="J4229" s="252"/>
      <c r="K4229" s="253"/>
    </row>
    <row r="4230" spans="1:11" ht="22" customHeight="1" x14ac:dyDescent="0.35">
      <c r="A4230" s="251"/>
      <c r="B4230" s="252"/>
      <c r="C4230" s="252"/>
      <c r="D4230" s="252"/>
      <c r="E4230" s="252"/>
      <c r="F4230" s="252"/>
      <c r="G4230" s="252"/>
      <c r="H4230" s="252"/>
      <c r="I4230" s="252"/>
      <c r="J4230" s="252"/>
      <c r="K4230" s="253"/>
    </row>
    <row r="4231" spans="1:11" ht="22" customHeight="1" x14ac:dyDescent="0.35">
      <c r="A4231" s="251"/>
      <c r="B4231" s="252"/>
      <c r="C4231" s="252"/>
      <c r="D4231" s="252"/>
      <c r="E4231" s="252"/>
      <c r="F4231" s="252"/>
      <c r="G4231" s="252"/>
      <c r="H4231" s="252"/>
      <c r="I4231" s="252"/>
      <c r="J4231" s="252"/>
      <c r="K4231" s="253"/>
    </row>
    <row r="4232" spans="1:11" ht="22" customHeight="1" x14ac:dyDescent="0.35">
      <c r="A4232" s="251"/>
      <c r="B4232" s="252"/>
      <c r="C4232" s="252"/>
      <c r="D4232" s="252"/>
      <c r="E4232" s="252"/>
      <c r="F4232" s="252"/>
      <c r="G4232" s="252"/>
      <c r="H4232" s="252"/>
      <c r="I4232" s="252"/>
      <c r="J4232" s="252"/>
      <c r="K4232" s="253"/>
    </row>
    <row r="4233" spans="1:11" ht="22" customHeight="1" x14ac:dyDescent="0.35">
      <c r="A4233" s="251"/>
      <c r="B4233" s="252"/>
      <c r="C4233" s="252"/>
      <c r="D4233" s="252"/>
      <c r="E4233" s="252"/>
      <c r="F4233" s="252"/>
      <c r="G4233" s="252"/>
      <c r="H4233" s="252"/>
      <c r="I4233" s="252"/>
      <c r="J4233" s="252"/>
      <c r="K4233" s="253"/>
    </row>
    <row r="4234" spans="1:11" ht="22" customHeight="1" x14ac:dyDescent="0.35">
      <c r="A4234" s="251"/>
      <c r="B4234" s="252"/>
      <c r="C4234" s="252"/>
      <c r="D4234" s="252"/>
      <c r="E4234" s="252"/>
      <c r="F4234" s="252"/>
      <c r="G4234" s="252"/>
      <c r="H4234" s="252"/>
      <c r="I4234" s="252"/>
      <c r="J4234" s="252"/>
      <c r="K4234" s="253"/>
    </row>
    <row r="4235" spans="1:11" ht="22" customHeight="1" x14ac:dyDescent="0.35">
      <c r="A4235" s="251"/>
      <c r="B4235" s="252"/>
      <c r="C4235" s="252"/>
      <c r="D4235" s="252"/>
      <c r="E4235" s="252"/>
      <c r="F4235" s="252"/>
      <c r="G4235" s="252"/>
      <c r="H4235" s="252"/>
      <c r="I4235" s="252"/>
      <c r="J4235" s="252"/>
      <c r="K4235" s="253"/>
    </row>
    <row r="4236" spans="1:11" ht="22" customHeight="1" x14ac:dyDescent="0.35">
      <c r="A4236" s="251"/>
      <c r="B4236" s="252"/>
      <c r="C4236" s="252"/>
      <c r="D4236" s="252"/>
      <c r="E4236" s="252"/>
      <c r="F4236" s="252"/>
      <c r="G4236" s="252"/>
      <c r="H4236" s="252"/>
      <c r="I4236" s="252"/>
      <c r="J4236" s="252"/>
      <c r="K4236" s="253"/>
    </row>
    <row r="4237" spans="1:11" ht="22" customHeight="1" x14ac:dyDescent="0.35">
      <c r="A4237" s="251"/>
      <c r="B4237" s="252"/>
      <c r="C4237" s="252"/>
      <c r="D4237" s="252"/>
      <c r="E4237" s="252"/>
      <c r="F4237" s="252"/>
      <c r="G4237" s="252"/>
      <c r="H4237" s="252"/>
      <c r="I4237" s="252"/>
      <c r="J4237" s="252"/>
      <c r="K4237" s="253"/>
    </row>
    <row r="4238" spans="1:11" ht="22" customHeight="1" x14ac:dyDescent="0.35">
      <c r="A4238" s="251"/>
      <c r="B4238" s="252"/>
      <c r="C4238" s="252"/>
      <c r="D4238" s="252"/>
      <c r="E4238" s="252"/>
      <c r="F4238" s="252"/>
      <c r="G4238" s="252"/>
      <c r="H4238" s="252"/>
      <c r="I4238" s="252"/>
      <c r="J4238" s="252"/>
      <c r="K4238" s="253"/>
    </row>
    <row r="4239" spans="1:11" ht="22" customHeight="1" x14ac:dyDescent="0.35">
      <c r="A4239" s="251"/>
      <c r="B4239" s="252"/>
      <c r="C4239" s="252"/>
      <c r="D4239" s="252"/>
      <c r="E4239" s="252"/>
      <c r="F4239" s="252"/>
      <c r="G4239" s="252"/>
      <c r="H4239" s="252"/>
      <c r="I4239" s="252"/>
      <c r="J4239" s="252"/>
      <c r="K4239" s="253"/>
    </row>
    <row r="4240" spans="1:11" ht="22" customHeight="1" x14ac:dyDescent="0.35">
      <c r="A4240" s="251"/>
      <c r="B4240" s="252"/>
      <c r="C4240" s="252"/>
      <c r="D4240" s="252"/>
      <c r="E4240" s="252"/>
      <c r="F4240" s="252"/>
      <c r="G4240" s="252"/>
      <c r="H4240" s="252"/>
      <c r="I4240" s="252"/>
      <c r="J4240" s="252"/>
      <c r="K4240" s="253"/>
    </row>
    <row r="4241" spans="1:11" ht="22" customHeight="1" x14ac:dyDescent="0.35">
      <c r="A4241" s="251"/>
      <c r="B4241" s="252"/>
      <c r="C4241" s="252"/>
      <c r="D4241" s="252"/>
      <c r="E4241" s="252"/>
      <c r="F4241" s="252"/>
      <c r="G4241" s="252"/>
      <c r="H4241" s="252"/>
      <c r="I4241" s="252"/>
      <c r="J4241" s="252"/>
      <c r="K4241" s="253"/>
    </row>
    <row r="4242" spans="1:11" ht="22" customHeight="1" x14ac:dyDescent="0.35">
      <c r="A4242" s="251"/>
      <c r="B4242" s="252"/>
      <c r="C4242" s="252"/>
      <c r="D4242" s="252"/>
      <c r="E4242" s="252"/>
      <c r="F4242" s="252"/>
      <c r="G4242" s="252"/>
      <c r="H4242" s="252"/>
      <c r="I4242" s="252"/>
      <c r="J4242" s="252"/>
      <c r="K4242" s="253"/>
    </row>
    <row r="4243" spans="1:11" ht="22" customHeight="1" x14ac:dyDescent="0.35">
      <c r="A4243" s="251"/>
      <c r="B4243" s="252"/>
      <c r="C4243" s="252"/>
      <c r="D4243" s="252"/>
      <c r="E4243" s="252"/>
      <c r="F4243" s="252"/>
      <c r="G4243" s="252"/>
      <c r="H4243" s="252"/>
      <c r="I4243" s="252"/>
      <c r="J4243" s="252"/>
      <c r="K4243" s="253"/>
    </row>
    <row r="4244" spans="1:11" ht="22" customHeight="1" x14ac:dyDescent="0.35">
      <c r="A4244" s="251"/>
      <c r="B4244" s="252"/>
      <c r="C4244" s="252"/>
      <c r="D4244" s="252"/>
      <c r="E4244" s="252"/>
      <c r="F4244" s="252"/>
      <c r="G4244" s="252"/>
      <c r="H4244" s="252"/>
      <c r="I4244" s="252"/>
      <c r="J4244" s="252"/>
      <c r="K4244" s="253"/>
    </row>
    <row r="4245" spans="1:11" ht="22" customHeight="1" x14ac:dyDescent="0.35">
      <c r="A4245" s="251"/>
      <c r="B4245" s="252"/>
      <c r="C4245" s="252"/>
      <c r="D4245" s="252"/>
      <c r="E4245" s="252"/>
      <c r="F4245" s="252"/>
      <c r="G4245" s="252"/>
      <c r="H4245" s="252"/>
      <c r="I4245" s="252"/>
      <c r="J4245" s="252"/>
      <c r="K4245" s="253"/>
    </row>
    <row r="4246" spans="1:11" ht="22" customHeight="1" x14ac:dyDescent="0.35">
      <c r="A4246" s="251"/>
      <c r="B4246" s="252"/>
      <c r="C4246" s="252"/>
      <c r="D4246" s="252"/>
      <c r="E4246" s="252"/>
      <c r="F4246" s="252"/>
      <c r="G4246" s="252"/>
      <c r="H4246" s="252"/>
      <c r="I4246" s="252"/>
      <c r="J4246" s="252"/>
      <c r="K4246" s="253"/>
    </row>
    <row r="4247" spans="1:11" ht="22" customHeight="1" x14ac:dyDescent="0.35">
      <c r="A4247" s="251"/>
      <c r="B4247" s="252"/>
      <c r="C4247" s="252"/>
      <c r="D4247" s="252"/>
      <c r="E4247" s="252"/>
      <c r="F4247" s="252"/>
      <c r="G4247" s="252"/>
      <c r="H4247" s="252"/>
      <c r="I4247" s="252"/>
      <c r="J4247" s="252"/>
      <c r="K4247" s="253"/>
    </row>
    <row r="4248" spans="1:11" ht="22" customHeight="1" x14ac:dyDescent="0.35">
      <c r="A4248" s="251"/>
      <c r="B4248" s="252"/>
      <c r="C4248" s="252"/>
      <c r="D4248" s="252"/>
      <c r="E4248" s="252"/>
      <c r="F4248" s="252"/>
      <c r="G4248" s="252"/>
      <c r="H4248" s="252"/>
      <c r="I4248" s="252"/>
      <c r="J4248" s="252"/>
      <c r="K4248" s="253"/>
    </row>
    <row r="4249" spans="1:11" ht="22" customHeight="1" x14ac:dyDescent="0.35">
      <c r="A4249" s="251"/>
      <c r="B4249" s="252"/>
      <c r="C4249" s="252"/>
      <c r="D4249" s="252"/>
      <c r="E4249" s="252"/>
      <c r="F4249" s="252"/>
      <c r="G4249" s="252"/>
      <c r="H4249" s="252"/>
      <c r="I4249" s="252"/>
      <c r="J4249" s="252"/>
      <c r="K4249" s="253"/>
    </row>
    <row r="4250" spans="1:11" ht="22" customHeight="1" x14ac:dyDescent="0.35">
      <c r="A4250" s="251"/>
      <c r="B4250" s="252"/>
      <c r="C4250" s="252"/>
      <c r="D4250" s="252"/>
      <c r="E4250" s="252"/>
      <c r="F4250" s="252"/>
      <c r="G4250" s="252"/>
      <c r="H4250" s="252"/>
      <c r="I4250" s="252"/>
      <c r="J4250" s="252"/>
      <c r="K4250" s="253"/>
    </row>
    <row r="4251" spans="1:11" ht="22" customHeight="1" x14ac:dyDescent="0.35">
      <c r="A4251" s="251"/>
      <c r="B4251" s="252"/>
      <c r="C4251" s="252"/>
      <c r="D4251" s="252"/>
      <c r="E4251" s="252"/>
      <c r="F4251" s="252"/>
      <c r="G4251" s="252"/>
      <c r="H4251" s="252"/>
      <c r="I4251" s="252"/>
      <c r="J4251" s="252"/>
      <c r="K4251" s="253"/>
    </row>
    <row r="4252" spans="1:11" ht="22" customHeight="1" x14ac:dyDescent="0.35">
      <c r="A4252" s="251"/>
      <c r="B4252" s="252"/>
      <c r="C4252" s="252"/>
      <c r="D4252" s="252"/>
      <c r="E4252" s="252"/>
      <c r="F4252" s="252"/>
      <c r="G4252" s="252"/>
      <c r="H4252" s="252"/>
      <c r="I4252" s="252"/>
      <c r="J4252" s="252"/>
      <c r="K4252" s="253"/>
    </row>
    <row r="4253" spans="1:11" ht="22" customHeight="1" x14ac:dyDescent="0.35">
      <c r="A4253" s="251"/>
      <c r="B4253" s="252"/>
      <c r="C4253" s="252"/>
      <c r="D4253" s="252"/>
      <c r="E4253" s="252"/>
      <c r="F4253" s="252"/>
      <c r="G4253" s="252"/>
      <c r="H4253" s="252"/>
      <c r="I4253" s="252"/>
      <c r="J4253" s="252"/>
      <c r="K4253" s="253"/>
    </row>
    <row r="4254" spans="1:11" ht="22" customHeight="1" x14ac:dyDescent="0.35">
      <c r="A4254" s="251"/>
      <c r="B4254" s="252"/>
      <c r="C4254" s="252"/>
      <c r="D4254" s="252"/>
      <c r="E4254" s="252"/>
      <c r="F4254" s="252"/>
      <c r="G4254" s="252"/>
      <c r="H4254" s="252"/>
      <c r="I4254" s="252"/>
      <c r="J4254" s="252"/>
      <c r="K4254" s="253"/>
    </row>
    <row r="4255" spans="1:11" ht="22" customHeight="1" x14ac:dyDescent="0.35">
      <c r="A4255" s="251"/>
      <c r="B4255" s="252"/>
      <c r="C4255" s="252"/>
      <c r="D4255" s="252"/>
      <c r="E4255" s="252"/>
      <c r="F4255" s="252"/>
      <c r="G4255" s="252"/>
      <c r="H4255" s="252"/>
      <c r="I4255" s="252"/>
      <c r="J4255" s="252"/>
      <c r="K4255" s="253"/>
    </row>
    <row r="4256" spans="1:11" ht="22" customHeight="1" x14ac:dyDescent="0.35">
      <c r="A4256" s="251"/>
      <c r="B4256" s="252"/>
      <c r="C4256" s="252"/>
      <c r="D4256" s="252"/>
      <c r="E4256" s="252"/>
      <c r="F4256" s="252"/>
      <c r="G4256" s="252"/>
      <c r="H4256" s="252"/>
      <c r="I4256" s="252"/>
      <c r="J4256" s="252"/>
      <c r="K4256" s="253"/>
    </row>
    <row r="4257" spans="1:11" ht="22" customHeight="1" x14ac:dyDescent="0.35">
      <c r="A4257" s="251"/>
      <c r="B4257" s="252"/>
      <c r="C4257" s="252"/>
      <c r="D4257" s="252"/>
      <c r="E4257" s="252"/>
      <c r="F4257" s="252"/>
      <c r="G4257" s="252"/>
      <c r="H4257" s="252"/>
      <c r="I4257" s="252"/>
      <c r="J4257" s="252"/>
      <c r="K4257" s="253"/>
    </row>
    <row r="4258" spans="1:11" ht="22" customHeight="1" x14ac:dyDescent="0.35">
      <c r="A4258" s="251"/>
      <c r="B4258" s="252"/>
      <c r="C4258" s="252"/>
      <c r="D4258" s="252"/>
      <c r="E4258" s="252"/>
      <c r="F4258" s="252"/>
      <c r="G4258" s="252"/>
      <c r="H4258" s="252"/>
      <c r="I4258" s="252"/>
      <c r="J4258" s="252"/>
      <c r="K4258" s="253"/>
    </row>
    <row r="4259" spans="1:11" ht="22" customHeight="1" x14ac:dyDescent="0.35">
      <c r="A4259" s="251"/>
      <c r="B4259" s="252"/>
      <c r="C4259" s="252"/>
      <c r="D4259" s="252"/>
      <c r="E4259" s="252"/>
      <c r="F4259" s="252"/>
      <c r="G4259" s="252"/>
      <c r="H4259" s="252"/>
      <c r="I4259" s="252"/>
      <c r="J4259" s="252"/>
      <c r="K4259" s="253"/>
    </row>
    <row r="4260" spans="1:11" ht="22" customHeight="1" x14ac:dyDescent="0.35">
      <c r="A4260" s="251"/>
      <c r="B4260" s="252"/>
      <c r="C4260" s="252"/>
      <c r="D4260" s="252"/>
      <c r="E4260" s="252"/>
      <c r="F4260" s="252"/>
      <c r="G4260" s="252"/>
      <c r="H4260" s="252"/>
      <c r="I4260" s="252"/>
      <c r="J4260" s="252"/>
      <c r="K4260" s="253"/>
    </row>
    <row r="4261" spans="1:11" ht="22" customHeight="1" x14ac:dyDescent="0.35">
      <c r="A4261" s="251"/>
      <c r="B4261" s="252"/>
      <c r="C4261" s="252"/>
      <c r="D4261" s="252"/>
      <c r="E4261" s="252"/>
      <c r="F4261" s="252"/>
      <c r="G4261" s="252"/>
      <c r="H4261" s="252"/>
      <c r="I4261" s="252"/>
      <c r="J4261" s="252"/>
      <c r="K4261" s="253"/>
    </row>
    <row r="4262" spans="1:11" ht="22" customHeight="1" x14ac:dyDescent="0.35">
      <c r="A4262" s="251"/>
      <c r="B4262" s="252"/>
      <c r="C4262" s="252"/>
      <c r="D4262" s="252"/>
      <c r="E4262" s="252"/>
      <c r="F4262" s="252"/>
      <c r="G4262" s="252"/>
      <c r="H4262" s="252"/>
      <c r="I4262" s="252"/>
      <c r="J4262" s="252"/>
      <c r="K4262" s="253"/>
    </row>
    <row r="4263" spans="1:11" ht="22" customHeight="1" x14ac:dyDescent="0.35">
      <c r="A4263" s="251"/>
      <c r="B4263" s="252"/>
      <c r="C4263" s="252"/>
      <c r="D4263" s="252"/>
      <c r="E4263" s="252"/>
      <c r="F4263" s="252"/>
      <c r="G4263" s="252"/>
      <c r="H4263" s="252"/>
      <c r="I4263" s="252"/>
      <c r="J4263" s="252"/>
      <c r="K4263" s="253"/>
    </row>
    <row r="4264" spans="1:11" ht="22" customHeight="1" x14ac:dyDescent="0.35">
      <c r="A4264" s="251"/>
      <c r="B4264" s="252"/>
      <c r="C4264" s="252"/>
      <c r="D4264" s="252"/>
      <c r="E4264" s="252"/>
      <c r="F4264" s="252"/>
      <c r="G4264" s="252"/>
      <c r="H4264" s="252"/>
      <c r="I4264" s="252"/>
      <c r="J4264" s="252"/>
      <c r="K4264" s="253"/>
    </row>
    <row r="4265" spans="1:11" ht="22" customHeight="1" x14ac:dyDescent="0.35">
      <c r="A4265" s="251"/>
      <c r="B4265" s="252"/>
      <c r="C4265" s="252"/>
      <c r="D4265" s="252"/>
      <c r="E4265" s="252"/>
      <c r="F4265" s="252"/>
      <c r="G4265" s="252"/>
      <c r="H4265" s="252"/>
      <c r="I4265" s="252"/>
      <c r="J4265" s="252"/>
      <c r="K4265" s="253"/>
    </row>
    <row r="4266" spans="1:11" ht="22" customHeight="1" x14ac:dyDescent="0.35">
      <c r="A4266" s="251"/>
      <c r="B4266" s="252"/>
      <c r="C4266" s="252"/>
      <c r="D4266" s="252"/>
      <c r="E4266" s="252"/>
      <c r="F4266" s="252"/>
      <c r="G4266" s="252"/>
      <c r="H4266" s="252"/>
      <c r="I4266" s="252"/>
      <c r="J4266" s="252"/>
      <c r="K4266" s="253"/>
    </row>
    <row r="4267" spans="1:11" ht="22" customHeight="1" x14ac:dyDescent="0.35">
      <c r="A4267" s="251"/>
      <c r="B4267" s="252"/>
      <c r="C4267" s="252"/>
      <c r="D4267" s="252"/>
      <c r="E4267" s="252"/>
      <c r="F4267" s="252"/>
      <c r="G4267" s="252"/>
      <c r="H4267" s="252"/>
      <c r="I4267" s="252"/>
      <c r="J4267" s="252"/>
      <c r="K4267" s="253"/>
    </row>
    <row r="4268" spans="1:11" ht="22" customHeight="1" x14ac:dyDescent="0.35">
      <c r="A4268" s="251"/>
      <c r="B4268" s="252"/>
      <c r="C4268" s="252"/>
      <c r="D4268" s="252"/>
      <c r="E4268" s="252"/>
      <c r="F4268" s="252"/>
      <c r="G4268" s="252"/>
      <c r="H4268" s="252"/>
      <c r="I4268" s="252"/>
      <c r="J4268" s="252"/>
      <c r="K4268" s="253"/>
    </row>
    <row r="4269" spans="1:11" ht="22" customHeight="1" x14ac:dyDescent="0.35">
      <c r="A4269" s="251"/>
      <c r="B4269" s="252"/>
      <c r="C4269" s="252"/>
      <c r="D4269" s="252"/>
      <c r="E4269" s="252"/>
      <c r="F4269" s="252"/>
      <c r="G4269" s="252"/>
      <c r="H4269" s="252"/>
      <c r="I4269" s="252"/>
      <c r="J4269" s="252"/>
      <c r="K4269" s="253"/>
    </row>
    <row r="4270" spans="1:11" ht="22" customHeight="1" x14ac:dyDescent="0.35">
      <c r="A4270" s="251"/>
      <c r="B4270" s="252"/>
      <c r="C4270" s="252"/>
      <c r="D4270" s="252"/>
      <c r="E4270" s="252"/>
      <c r="F4270" s="252"/>
      <c r="G4270" s="252"/>
      <c r="H4270" s="252"/>
      <c r="I4270" s="252"/>
      <c r="J4270" s="252"/>
      <c r="K4270" s="253"/>
    </row>
    <row r="4271" spans="1:11" ht="22" customHeight="1" x14ac:dyDescent="0.35">
      <c r="A4271" s="251"/>
      <c r="B4271" s="252"/>
      <c r="C4271" s="252"/>
      <c r="D4271" s="252"/>
      <c r="E4271" s="252"/>
      <c r="F4271" s="252"/>
      <c r="G4271" s="252"/>
      <c r="H4271" s="252"/>
      <c r="I4271" s="252"/>
      <c r="J4271" s="252"/>
      <c r="K4271" s="253"/>
    </row>
    <row r="4272" spans="1:11" ht="22" customHeight="1" x14ac:dyDescent="0.35">
      <c r="A4272" s="251"/>
      <c r="B4272" s="252"/>
      <c r="C4272" s="252"/>
      <c r="D4272" s="252"/>
      <c r="E4272" s="252"/>
      <c r="F4272" s="252"/>
      <c r="G4272" s="252"/>
      <c r="H4272" s="252"/>
      <c r="I4272" s="252"/>
      <c r="J4272" s="252"/>
      <c r="K4272" s="253"/>
    </row>
    <row r="4273" spans="1:11" ht="22" customHeight="1" x14ac:dyDescent="0.35">
      <c r="A4273" s="251"/>
      <c r="B4273" s="252"/>
      <c r="C4273" s="252"/>
      <c r="D4273" s="252"/>
      <c r="E4273" s="252"/>
      <c r="F4273" s="252"/>
      <c r="G4273" s="252"/>
      <c r="H4273" s="252"/>
      <c r="I4273" s="252"/>
      <c r="J4273" s="252"/>
      <c r="K4273" s="253"/>
    </row>
    <row r="4274" spans="1:11" ht="22" customHeight="1" x14ac:dyDescent="0.35">
      <c r="A4274" s="251"/>
      <c r="B4274" s="252"/>
      <c r="C4274" s="252"/>
      <c r="D4274" s="252"/>
      <c r="E4274" s="252"/>
      <c r="F4274" s="252"/>
      <c r="G4274" s="252"/>
      <c r="H4274" s="252"/>
      <c r="I4274" s="252"/>
      <c r="J4274" s="252"/>
      <c r="K4274" s="253"/>
    </row>
    <row r="4275" spans="1:11" ht="22" customHeight="1" x14ac:dyDescent="0.35">
      <c r="A4275" s="251"/>
      <c r="B4275" s="252"/>
      <c r="C4275" s="252"/>
      <c r="D4275" s="252"/>
      <c r="E4275" s="252"/>
      <c r="F4275" s="252"/>
      <c r="G4275" s="252"/>
      <c r="H4275" s="252"/>
      <c r="I4275" s="252"/>
      <c r="J4275" s="252"/>
      <c r="K4275" s="253"/>
    </row>
    <row r="4276" spans="1:11" ht="22" customHeight="1" x14ac:dyDescent="0.35">
      <c r="A4276" s="251"/>
      <c r="B4276" s="252"/>
      <c r="C4276" s="252"/>
      <c r="D4276" s="252"/>
      <c r="E4276" s="252"/>
      <c r="F4276" s="252"/>
      <c r="G4276" s="252"/>
      <c r="H4276" s="252"/>
      <c r="I4276" s="252"/>
      <c r="J4276" s="252"/>
      <c r="K4276" s="253"/>
    </row>
    <row r="4277" spans="1:11" ht="22" customHeight="1" x14ac:dyDescent="0.35">
      <c r="A4277" s="251"/>
      <c r="B4277" s="252"/>
      <c r="C4277" s="252"/>
      <c r="D4277" s="252"/>
      <c r="E4277" s="252"/>
      <c r="F4277" s="252"/>
      <c r="G4277" s="252"/>
      <c r="H4277" s="252"/>
      <c r="I4277" s="252"/>
      <c r="J4277" s="252"/>
      <c r="K4277" s="253"/>
    </row>
    <row r="4278" spans="1:11" ht="22" customHeight="1" x14ac:dyDescent="0.35">
      <c r="A4278" s="251"/>
      <c r="B4278" s="252"/>
      <c r="C4278" s="252"/>
      <c r="D4278" s="252"/>
      <c r="E4278" s="252"/>
      <c r="F4278" s="252"/>
      <c r="G4278" s="252"/>
      <c r="H4278" s="252"/>
      <c r="I4278" s="252"/>
      <c r="J4278" s="252"/>
      <c r="K4278" s="253"/>
    </row>
    <row r="4279" spans="1:11" ht="22" customHeight="1" x14ac:dyDescent="0.35">
      <c r="A4279" s="251"/>
      <c r="B4279" s="252"/>
      <c r="C4279" s="252"/>
      <c r="D4279" s="252"/>
      <c r="E4279" s="252"/>
      <c r="F4279" s="252"/>
      <c r="G4279" s="252"/>
      <c r="H4279" s="252"/>
      <c r="I4279" s="252"/>
      <c r="J4279" s="252"/>
      <c r="K4279" s="253"/>
    </row>
    <row r="4280" spans="1:11" ht="22" customHeight="1" x14ac:dyDescent="0.35">
      <c r="A4280" s="251"/>
      <c r="B4280" s="252"/>
      <c r="C4280" s="252"/>
      <c r="D4280" s="252"/>
      <c r="E4280" s="252"/>
      <c r="F4280" s="252"/>
      <c r="G4280" s="252"/>
      <c r="H4280" s="252"/>
      <c r="I4280" s="252"/>
      <c r="J4280" s="252"/>
      <c r="K4280" s="253"/>
    </row>
    <row r="4281" spans="1:11" ht="22" customHeight="1" x14ac:dyDescent="0.35">
      <c r="A4281" s="251"/>
      <c r="B4281" s="252"/>
      <c r="C4281" s="252"/>
      <c r="D4281" s="252"/>
      <c r="E4281" s="252"/>
      <c r="F4281" s="252"/>
      <c r="G4281" s="252"/>
      <c r="H4281" s="252"/>
      <c r="I4281" s="252"/>
      <c r="J4281" s="252"/>
      <c r="K4281" s="253"/>
    </row>
    <row r="4282" spans="1:11" ht="22" customHeight="1" x14ac:dyDescent="0.35">
      <c r="A4282" s="251"/>
      <c r="B4282" s="252"/>
      <c r="C4282" s="252"/>
      <c r="D4282" s="252"/>
      <c r="E4282" s="252"/>
      <c r="F4282" s="252"/>
      <c r="G4282" s="252"/>
      <c r="H4282" s="252"/>
      <c r="I4282" s="252"/>
      <c r="J4282" s="252"/>
      <c r="K4282" s="253"/>
    </row>
    <row r="4283" spans="1:11" ht="22" customHeight="1" x14ac:dyDescent="0.35">
      <c r="A4283" s="251"/>
      <c r="B4283" s="252"/>
      <c r="C4283" s="252"/>
      <c r="D4283" s="252"/>
      <c r="E4283" s="252"/>
      <c r="F4283" s="252"/>
      <c r="G4283" s="252"/>
      <c r="H4283" s="252"/>
      <c r="I4283" s="252"/>
      <c r="J4283" s="252"/>
      <c r="K4283" s="253"/>
    </row>
    <row r="4284" spans="1:11" ht="22" customHeight="1" x14ac:dyDescent="0.35">
      <c r="A4284" s="251"/>
      <c r="B4284" s="252"/>
      <c r="C4284" s="252"/>
      <c r="D4284" s="252"/>
      <c r="E4284" s="252"/>
      <c r="F4284" s="252"/>
      <c r="G4284" s="252"/>
      <c r="H4284" s="252"/>
      <c r="I4284" s="252"/>
      <c r="J4284" s="252"/>
      <c r="K4284" s="253"/>
    </row>
    <row r="4285" spans="1:11" ht="22" customHeight="1" x14ac:dyDescent="0.35">
      <c r="A4285" s="251"/>
      <c r="B4285" s="252"/>
      <c r="C4285" s="252"/>
      <c r="D4285" s="252"/>
      <c r="E4285" s="252"/>
      <c r="F4285" s="252"/>
      <c r="G4285" s="252"/>
      <c r="H4285" s="252"/>
      <c r="I4285" s="252"/>
      <c r="J4285" s="252"/>
      <c r="K4285" s="253"/>
    </row>
    <row r="4286" spans="1:11" ht="22" customHeight="1" x14ac:dyDescent="0.35">
      <c r="A4286" s="251"/>
      <c r="B4286" s="252"/>
      <c r="C4286" s="252"/>
      <c r="D4286" s="252"/>
      <c r="E4286" s="252"/>
      <c r="F4286" s="252"/>
      <c r="G4286" s="252"/>
      <c r="H4286" s="252"/>
      <c r="I4286" s="252"/>
      <c r="J4286" s="252"/>
      <c r="K4286" s="253"/>
    </row>
    <row r="4287" spans="1:11" ht="22" customHeight="1" x14ac:dyDescent="0.35">
      <c r="A4287" s="251"/>
      <c r="B4287" s="252"/>
      <c r="C4287" s="252"/>
      <c r="D4287" s="252"/>
      <c r="E4287" s="252"/>
      <c r="F4287" s="252"/>
      <c r="G4287" s="252"/>
      <c r="H4287" s="252"/>
      <c r="I4287" s="252"/>
      <c r="J4287" s="252"/>
      <c r="K4287" s="253"/>
    </row>
    <row r="4288" spans="1:11" ht="22" customHeight="1" x14ac:dyDescent="0.35">
      <c r="A4288" s="251"/>
      <c r="B4288" s="252"/>
      <c r="C4288" s="252"/>
      <c r="D4288" s="252"/>
      <c r="E4288" s="252"/>
      <c r="F4288" s="252"/>
      <c r="G4288" s="252"/>
      <c r="H4288" s="252"/>
      <c r="I4288" s="252"/>
      <c r="J4288" s="252"/>
      <c r="K4288" s="253"/>
    </row>
    <row r="4289" spans="1:11" ht="22" customHeight="1" x14ac:dyDescent="0.35">
      <c r="A4289" s="251"/>
      <c r="B4289" s="252"/>
      <c r="C4289" s="252"/>
      <c r="D4289" s="252"/>
      <c r="E4289" s="252"/>
      <c r="F4289" s="252"/>
      <c r="G4289" s="252"/>
      <c r="H4289" s="252"/>
      <c r="I4289" s="252"/>
      <c r="J4289" s="252"/>
      <c r="K4289" s="253"/>
    </row>
    <row r="4290" spans="1:11" ht="22" customHeight="1" x14ac:dyDescent="0.35">
      <c r="A4290" s="251"/>
      <c r="B4290" s="252"/>
      <c r="C4290" s="252"/>
      <c r="D4290" s="252"/>
      <c r="E4290" s="252"/>
      <c r="F4290" s="252"/>
      <c r="G4290" s="252"/>
      <c r="H4290" s="252"/>
      <c r="I4290" s="252"/>
      <c r="J4290" s="252"/>
      <c r="K4290" s="253"/>
    </row>
    <row r="4291" spans="1:11" ht="22" customHeight="1" x14ac:dyDescent="0.35">
      <c r="A4291" s="251"/>
      <c r="B4291" s="252"/>
      <c r="C4291" s="252"/>
      <c r="D4291" s="252"/>
      <c r="E4291" s="252"/>
      <c r="F4291" s="252"/>
      <c r="G4291" s="252"/>
      <c r="H4291" s="252"/>
      <c r="I4291" s="252"/>
      <c r="J4291" s="252"/>
      <c r="K4291" s="253"/>
    </row>
    <row r="4292" spans="1:11" ht="22" customHeight="1" x14ac:dyDescent="0.35">
      <c r="A4292" s="251"/>
      <c r="B4292" s="252"/>
      <c r="C4292" s="252"/>
      <c r="D4292" s="252"/>
      <c r="E4292" s="252"/>
      <c r="F4292" s="252"/>
      <c r="G4292" s="252"/>
      <c r="H4292" s="252"/>
      <c r="I4292" s="252"/>
      <c r="J4292" s="252"/>
      <c r="K4292" s="253"/>
    </row>
    <row r="4293" spans="1:11" ht="22" customHeight="1" x14ac:dyDescent="0.35">
      <c r="A4293" s="251"/>
      <c r="B4293" s="252"/>
      <c r="C4293" s="252"/>
      <c r="D4293" s="252"/>
      <c r="E4293" s="252"/>
      <c r="F4293" s="252"/>
      <c r="G4293" s="252"/>
      <c r="H4293" s="252"/>
      <c r="I4293" s="252"/>
      <c r="J4293" s="252"/>
      <c r="K4293" s="253"/>
    </row>
    <row r="4294" spans="1:11" ht="22" customHeight="1" x14ac:dyDescent="0.35">
      <c r="A4294" s="251"/>
      <c r="B4294" s="252"/>
      <c r="C4294" s="252"/>
      <c r="D4294" s="252"/>
      <c r="E4294" s="252"/>
      <c r="F4294" s="252"/>
      <c r="G4294" s="252"/>
      <c r="H4294" s="252"/>
      <c r="I4294" s="252"/>
      <c r="J4294" s="252"/>
      <c r="K4294" s="253"/>
    </row>
    <row r="4295" spans="1:11" ht="22" customHeight="1" x14ac:dyDescent="0.35">
      <c r="A4295" s="251"/>
      <c r="B4295" s="252"/>
      <c r="C4295" s="252"/>
      <c r="D4295" s="252"/>
      <c r="E4295" s="252"/>
      <c r="F4295" s="252"/>
      <c r="G4295" s="252"/>
      <c r="H4295" s="252"/>
      <c r="I4295" s="252"/>
      <c r="J4295" s="252"/>
      <c r="K4295" s="253"/>
    </row>
    <row r="4296" spans="1:11" ht="22" customHeight="1" x14ac:dyDescent="0.35">
      <c r="A4296" s="251"/>
      <c r="B4296" s="252"/>
      <c r="C4296" s="252"/>
      <c r="D4296" s="252"/>
      <c r="E4296" s="252"/>
      <c r="F4296" s="252"/>
      <c r="G4296" s="252"/>
      <c r="H4296" s="252"/>
      <c r="I4296" s="252"/>
      <c r="J4296" s="252"/>
      <c r="K4296" s="253"/>
    </row>
    <row r="4297" spans="1:11" ht="22" customHeight="1" x14ac:dyDescent="0.35">
      <c r="A4297" s="251"/>
      <c r="B4297" s="252"/>
      <c r="C4297" s="252"/>
      <c r="D4297" s="252"/>
      <c r="E4297" s="252"/>
      <c r="F4297" s="252"/>
      <c r="G4297" s="252"/>
      <c r="H4297" s="252"/>
      <c r="I4297" s="252"/>
      <c r="J4297" s="252"/>
      <c r="K4297" s="253"/>
    </row>
    <row r="4298" spans="1:11" ht="22" customHeight="1" x14ac:dyDescent="0.35">
      <c r="A4298" s="251"/>
      <c r="B4298" s="252"/>
      <c r="C4298" s="252"/>
      <c r="D4298" s="252"/>
      <c r="E4298" s="252"/>
      <c r="F4298" s="252"/>
      <c r="G4298" s="252"/>
      <c r="H4298" s="252"/>
      <c r="I4298" s="252"/>
      <c r="J4298" s="252"/>
      <c r="K4298" s="253"/>
    </row>
    <row r="4299" spans="1:11" ht="22" customHeight="1" x14ac:dyDescent="0.35">
      <c r="A4299" s="251"/>
      <c r="B4299" s="252"/>
      <c r="C4299" s="252"/>
      <c r="D4299" s="252"/>
      <c r="E4299" s="252"/>
      <c r="F4299" s="252"/>
      <c r="G4299" s="252"/>
      <c r="H4299" s="252"/>
      <c r="I4299" s="252"/>
      <c r="J4299" s="252"/>
      <c r="K4299" s="253"/>
    </row>
    <row r="4300" spans="1:11" ht="22" customHeight="1" x14ac:dyDescent="0.35">
      <c r="A4300" s="251"/>
      <c r="B4300" s="252"/>
      <c r="C4300" s="252"/>
      <c r="D4300" s="252"/>
      <c r="E4300" s="252"/>
      <c r="F4300" s="252"/>
      <c r="G4300" s="252"/>
      <c r="H4300" s="252"/>
      <c r="I4300" s="252"/>
      <c r="J4300" s="252"/>
      <c r="K4300" s="253"/>
    </row>
    <row r="4301" spans="1:11" ht="22" customHeight="1" x14ac:dyDescent="0.35">
      <c r="A4301" s="251"/>
      <c r="B4301" s="252"/>
      <c r="C4301" s="252"/>
      <c r="D4301" s="252"/>
      <c r="E4301" s="252"/>
      <c r="F4301" s="252"/>
      <c r="G4301" s="252"/>
      <c r="H4301" s="252"/>
      <c r="I4301" s="252"/>
      <c r="J4301" s="252"/>
      <c r="K4301" s="253"/>
    </row>
    <row r="4302" spans="1:11" ht="22" customHeight="1" x14ac:dyDescent="0.35">
      <c r="A4302" s="251"/>
      <c r="B4302" s="252"/>
      <c r="C4302" s="252"/>
      <c r="D4302" s="252"/>
      <c r="E4302" s="252"/>
      <c r="F4302" s="252"/>
      <c r="G4302" s="252"/>
      <c r="H4302" s="252"/>
      <c r="I4302" s="252"/>
      <c r="J4302" s="252"/>
      <c r="K4302" s="253"/>
    </row>
    <row r="4303" spans="1:11" ht="22" customHeight="1" x14ac:dyDescent="0.35">
      <c r="A4303" s="251"/>
      <c r="B4303" s="252"/>
      <c r="C4303" s="252"/>
      <c r="D4303" s="252"/>
      <c r="E4303" s="252"/>
      <c r="F4303" s="252"/>
      <c r="G4303" s="252"/>
      <c r="H4303" s="252"/>
      <c r="I4303" s="252"/>
      <c r="J4303" s="252"/>
      <c r="K4303" s="253"/>
    </row>
    <row r="4304" spans="1:11" ht="22" customHeight="1" x14ac:dyDescent="0.35">
      <c r="A4304" s="251"/>
      <c r="B4304" s="252"/>
      <c r="C4304" s="252"/>
      <c r="D4304" s="252"/>
      <c r="E4304" s="252"/>
      <c r="F4304" s="252"/>
      <c r="G4304" s="252"/>
      <c r="H4304" s="252"/>
      <c r="I4304" s="252"/>
      <c r="J4304" s="252"/>
      <c r="K4304" s="253"/>
    </row>
    <row r="4305" spans="1:11" ht="22" customHeight="1" x14ac:dyDescent="0.35">
      <c r="A4305" s="251"/>
      <c r="B4305" s="252"/>
      <c r="C4305" s="252"/>
      <c r="D4305" s="252"/>
      <c r="E4305" s="252"/>
      <c r="F4305" s="252"/>
      <c r="G4305" s="252"/>
      <c r="H4305" s="252"/>
      <c r="I4305" s="252"/>
      <c r="J4305" s="252"/>
      <c r="K4305" s="253"/>
    </row>
    <row r="4306" spans="1:11" ht="22" customHeight="1" x14ac:dyDescent="0.35">
      <c r="A4306" s="251"/>
      <c r="B4306" s="252"/>
      <c r="C4306" s="252"/>
      <c r="D4306" s="252"/>
      <c r="E4306" s="252"/>
      <c r="F4306" s="252"/>
      <c r="G4306" s="252"/>
      <c r="H4306" s="252"/>
      <c r="I4306" s="252"/>
      <c r="J4306" s="252"/>
      <c r="K4306" s="253"/>
    </row>
    <row r="4307" spans="1:11" ht="22" customHeight="1" x14ac:dyDescent="0.35">
      <c r="A4307" s="251"/>
      <c r="B4307" s="252"/>
      <c r="C4307" s="252"/>
      <c r="D4307" s="252"/>
      <c r="E4307" s="252"/>
      <c r="F4307" s="252"/>
      <c r="G4307" s="252"/>
      <c r="H4307" s="252"/>
      <c r="I4307" s="252"/>
      <c r="J4307" s="252"/>
      <c r="K4307" s="253"/>
    </row>
    <row r="4308" spans="1:11" ht="22" customHeight="1" x14ac:dyDescent="0.35">
      <c r="A4308" s="251"/>
      <c r="B4308" s="252"/>
      <c r="C4308" s="252"/>
      <c r="D4308" s="252"/>
      <c r="E4308" s="252"/>
      <c r="F4308" s="252"/>
      <c r="G4308" s="252"/>
      <c r="H4308" s="252"/>
      <c r="I4308" s="252"/>
      <c r="J4308" s="252"/>
      <c r="K4308" s="253"/>
    </row>
    <row r="4309" spans="1:11" ht="22" customHeight="1" x14ac:dyDescent="0.35">
      <c r="A4309" s="251"/>
      <c r="B4309" s="252"/>
      <c r="C4309" s="252"/>
      <c r="D4309" s="252"/>
      <c r="E4309" s="252"/>
      <c r="F4309" s="252"/>
      <c r="G4309" s="252"/>
      <c r="H4309" s="252"/>
      <c r="I4309" s="252"/>
      <c r="J4309" s="252"/>
      <c r="K4309" s="253"/>
    </row>
    <row r="4310" spans="1:11" ht="22" customHeight="1" x14ac:dyDescent="0.35">
      <c r="A4310" s="251"/>
      <c r="B4310" s="252"/>
      <c r="C4310" s="252"/>
      <c r="D4310" s="252"/>
      <c r="E4310" s="252"/>
      <c r="F4310" s="252"/>
      <c r="G4310" s="252"/>
      <c r="H4310" s="252"/>
      <c r="I4310" s="252"/>
      <c r="J4310" s="252"/>
      <c r="K4310" s="253"/>
    </row>
    <row r="4311" spans="1:11" ht="22" customHeight="1" x14ac:dyDescent="0.35">
      <c r="A4311" s="251"/>
      <c r="B4311" s="252"/>
      <c r="C4311" s="252"/>
      <c r="D4311" s="252"/>
      <c r="E4311" s="252"/>
      <c r="F4311" s="252"/>
      <c r="G4311" s="252"/>
      <c r="H4311" s="252"/>
      <c r="I4311" s="252"/>
      <c r="J4311" s="252"/>
      <c r="K4311" s="253"/>
    </row>
    <row r="4312" spans="1:11" ht="22" customHeight="1" x14ac:dyDescent="0.35">
      <c r="A4312" s="251"/>
      <c r="B4312" s="252"/>
      <c r="C4312" s="252"/>
      <c r="D4312" s="252"/>
      <c r="E4312" s="252"/>
      <c r="F4312" s="252"/>
      <c r="G4312" s="252"/>
      <c r="H4312" s="252"/>
      <c r="I4312" s="252"/>
      <c r="J4312" s="252"/>
      <c r="K4312" s="253"/>
    </row>
    <row r="4313" spans="1:11" ht="22" customHeight="1" x14ac:dyDescent="0.35">
      <c r="A4313" s="251"/>
      <c r="B4313" s="252"/>
      <c r="C4313" s="252"/>
      <c r="D4313" s="252"/>
      <c r="E4313" s="252"/>
      <c r="F4313" s="252"/>
      <c r="G4313" s="252"/>
      <c r="H4313" s="252"/>
      <c r="I4313" s="252"/>
      <c r="J4313" s="252"/>
      <c r="K4313" s="253"/>
    </row>
    <row r="4314" spans="1:11" ht="22" customHeight="1" x14ac:dyDescent="0.35">
      <c r="A4314" s="251"/>
      <c r="B4314" s="252"/>
      <c r="C4314" s="252"/>
      <c r="D4314" s="252"/>
      <c r="E4314" s="252"/>
      <c r="F4314" s="252"/>
      <c r="G4314" s="252"/>
      <c r="H4314" s="252"/>
      <c r="I4314" s="252"/>
      <c r="J4314" s="252"/>
      <c r="K4314" s="253"/>
    </row>
    <row r="4315" spans="1:11" ht="22" customHeight="1" x14ac:dyDescent="0.35">
      <c r="A4315" s="251"/>
      <c r="B4315" s="252"/>
      <c r="C4315" s="252"/>
      <c r="D4315" s="252"/>
      <c r="E4315" s="252"/>
      <c r="F4315" s="252"/>
      <c r="G4315" s="252"/>
      <c r="H4315" s="252"/>
      <c r="I4315" s="252"/>
      <c r="J4315" s="252"/>
      <c r="K4315" s="253"/>
    </row>
    <row r="4316" spans="1:11" ht="22" customHeight="1" x14ac:dyDescent="0.35">
      <c r="A4316" s="251"/>
      <c r="B4316" s="252"/>
      <c r="C4316" s="252"/>
      <c r="D4316" s="252"/>
      <c r="E4316" s="252"/>
      <c r="F4316" s="252"/>
      <c r="G4316" s="252"/>
      <c r="H4316" s="252"/>
      <c r="I4316" s="252"/>
      <c r="J4316" s="252"/>
      <c r="K4316" s="253"/>
    </row>
    <row r="4317" spans="1:11" ht="22" customHeight="1" x14ac:dyDescent="0.35">
      <c r="A4317" s="251"/>
      <c r="B4317" s="252"/>
      <c r="C4317" s="252"/>
      <c r="D4317" s="252"/>
      <c r="E4317" s="252"/>
      <c r="F4317" s="252"/>
      <c r="G4317" s="252"/>
      <c r="H4317" s="252"/>
      <c r="I4317" s="252"/>
      <c r="J4317" s="252"/>
      <c r="K4317" s="253"/>
    </row>
    <row r="4318" spans="1:11" ht="22" customHeight="1" x14ac:dyDescent="0.35">
      <c r="A4318" s="251"/>
      <c r="B4318" s="252"/>
      <c r="C4318" s="252"/>
      <c r="D4318" s="252"/>
      <c r="E4318" s="252"/>
      <c r="F4318" s="252"/>
      <c r="G4318" s="252"/>
      <c r="H4318" s="252"/>
      <c r="I4318" s="252"/>
      <c r="J4318" s="252"/>
      <c r="K4318" s="253"/>
    </row>
    <row r="4319" spans="1:11" ht="22" customHeight="1" x14ac:dyDescent="0.35">
      <c r="A4319" s="251"/>
      <c r="B4319" s="252"/>
      <c r="C4319" s="252"/>
      <c r="D4319" s="252"/>
      <c r="E4319" s="252"/>
      <c r="F4319" s="252"/>
      <c r="G4319" s="252"/>
      <c r="H4319" s="252"/>
      <c r="I4319" s="252"/>
      <c r="J4319" s="252"/>
      <c r="K4319" s="253"/>
    </row>
    <row r="4320" spans="1:11" ht="22" customHeight="1" x14ac:dyDescent="0.35">
      <c r="A4320" s="251"/>
      <c r="B4320" s="252"/>
      <c r="C4320" s="252"/>
      <c r="D4320" s="252"/>
      <c r="E4320" s="252"/>
      <c r="F4320" s="252"/>
      <c r="G4320" s="252"/>
      <c r="H4320" s="252"/>
      <c r="I4320" s="252"/>
      <c r="J4320" s="252"/>
      <c r="K4320" s="253"/>
    </row>
    <row r="4321" spans="1:11" ht="22" customHeight="1" x14ac:dyDescent="0.35">
      <c r="A4321" s="251"/>
      <c r="B4321" s="252"/>
      <c r="C4321" s="252"/>
      <c r="D4321" s="252"/>
      <c r="E4321" s="252"/>
      <c r="F4321" s="252"/>
      <c r="G4321" s="252"/>
      <c r="H4321" s="252"/>
      <c r="I4321" s="252"/>
      <c r="J4321" s="252"/>
      <c r="K4321" s="253"/>
    </row>
    <row r="4322" spans="1:11" ht="22" customHeight="1" x14ac:dyDescent="0.35">
      <c r="A4322" s="251"/>
      <c r="B4322" s="252"/>
      <c r="C4322" s="252"/>
      <c r="D4322" s="252"/>
      <c r="E4322" s="252"/>
      <c r="F4322" s="252"/>
      <c r="G4322" s="252"/>
      <c r="H4322" s="252"/>
      <c r="I4322" s="252"/>
      <c r="J4322" s="252"/>
      <c r="K4322" s="253"/>
    </row>
    <row r="4323" spans="1:11" ht="22" customHeight="1" x14ac:dyDescent="0.35">
      <c r="A4323" s="251"/>
      <c r="B4323" s="252"/>
      <c r="C4323" s="252"/>
      <c r="D4323" s="252"/>
      <c r="E4323" s="252"/>
      <c r="F4323" s="252"/>
      <c r="G4323" s="252"/>
      <c r="H4323" s="252"/>
      <c r="I4323" s="252"/>
      <c r="J4323" s="252"/>
      <c r="K4323" s="253"/>
    </row>
    <row r="4324" spans="1:11" ht="22" customHeight="1" x14ac:dyDescent="0.35">
      <c r="A4324" s="251"/>
      <c r="B4324" s="252"/>
      <c r="C4324" s="252"/>
      <c r="D4324" s="252"/>
      <c r="E4324" s="252"/>
      <c r="F4324" s="252"/>
      <c r="G4324" s="252"/>
      <c r="H4324" s="252"/>
      <c r="I4324" s="252"/>
      <c r="J4324" s="252"/>
      <c r="K4324" s="253"/>
    </row>
    <row r="4325" spans="1:11" ht="22" customHeight="1" x14ac:dyDescent="0.35">
      <c r="A4325" s="251"/>
      <c r="B4325" s="252"/>
      <c r="C4325" s="252"/>
      <c r="D4325" s="252"/>
      <c r="E4325" s="252"/>
      <c r="F4325" s="252"/>
      <c r="G4325" s="252"/>
      <c r="H4325" s="252"/>
      <c r="I4325" s="252"/>
      <c r="J4325" s="252"/>
      <c r="K4325" s="253"/>
    </row>
    <row r="4326" spans="1:11" ht="22" customHeight="1" x14ac:dyDescent="0.35">
      <c r="A4326" s="251"/>
      <c r="B4326" s="252"/>
      <c r="C4326" s="252"/>
      <c r="D4326" s="252"/>
      <c r="E4326" s="252"/>
      <c r="F4326" s="252"/>
      <c r="G4326" s="252"/>
      <c r="H4326" s="252"/>
      <c r="I4326" s="252"/>
      <c r="J4326" s="252"/>
      <c r="K4326" s="253"/>
    </row>
    <row r="4327" spans="1:11" ht="22" customHeight="1" x14ac:dyDescent="0.35">
      <c r="A4327" s="251"/>
      <c r="B4327" s="252"/>
      <c r="C4327" s="252"/>
      <c r="D4327" s="252"/>
      <c r="E4327" s="252"/>
      <c r="F4327" s="252"/>
      <c r="G4327" s="252"/>
      <c r="H4327" s="252"/>
      <c r="I4327" s="252"/>
      <c r="J4327" s="252"/>
      <c r="K4327" s="253"/>
    </row>
    <row r="4328" spans="1:11" ht="22" customHeight="1" x14ac:dyDescent="0.35">
      <c r="A4328" s="251"/>
      <c r="B4328" s="252"/>
      <c r="C4328" s="252"/>
      <c r="D4328" s="252"/>
      <c r="E4328" s="252"/>
      <c r="F4328" s="252"/>
      <c r="G4328" s="252"/>
      <c r="H4328" s="252"/>
      <c r="I4328" s="252"/>
      <c r="J4328" s="252"/>
      <c r="K4328" s="253"/>
    </row>
    <row r="4329" spans="1:11" ht="22" customHeight="1" x14ac:dyDescent="0.35">
      <c r="A4329" s="251"/>
      <c r="B4329" s="252"/>
      <c r="C4329" s="252"/>
      <c r="D4329" s="252"/>
      <c r="E4329" s="252"/>
      <c r="F4329" s="252"/>
      <c r="G4329" s="252"/>
      <c r="H4329" s="252"/>
      <c r="I4329" s="252"/>
      <c r="J4329" s="252"/>
      <c r="K4329" s="253"/>
    </row>
    <row r="4330" spans="1:11" ht="22" customHeight="1" x14ac:dyDescent="0.35">
      <c r="A4330" s="251"/>
      <c r="B4330" s="252"/>
      <c r="C4330" s="252"/>
      <c r="D4330" s="252"/>
      <c r="E4330" s="252"/>
      <c r="F4330" s="252"/>
      <c r="G4330" s="252"/>
      <c r="H4330" s="252"/>
      <c r="I4330" s="252"/>
      <c r="J4330" s="252"/>
      <c r="K4330" s="253"/>
    </row>
    <row r="4331" spans="1:11" ht="22" customHeight="1" x14ac:dyDescent="0.35">
      <c r="A4331" s="251"/>
      <c r="B4331" s="252"/>
      <c r="C4331" s="252"/>
      <c r="D4331" s="252"/>
      <c r="E4331" s="252"/>
      <c r="F4331" s="252"/>
      <c r="G4331" s="252"/>
      <c r="H4331" s="252"/>
      <c r="I4331" s="252"/>
      <c r="J4331" s="252"/>
      <c r="K4331" s="253"/>
    </row>
    <row r="4332" spans="1:11" ht="22" customHeight="1" x14ac:dyDescent="0.35">
      <c r="A4332" s="251"/>
      <c r="B4332" s="252"/>
      <c r="C4332" s="252"/>
      <c r="D4332" s="252"/>
      <c r="E4332" s="252"/>
      <c r="F4332" s="252"/>
      <c r="G4332" s="252"/>
      <c r="H4332" s="252"/>
      <c r="I4332" s="252"/>
      <c r="J4332" s="252"/>
      <c r="K4332" s="253"/>
    </row>
    <row r="4333" spans="1:11" ht="22" customHeight="1" x14ac:dyDescent="0.35">
      <c r="A4333" s="251"/>
      <c r="B4333" s="252"/>
      <c r="C4333" s="252"/>
      <c r="D4333" s="252"/>
      <c r="E4333" s="252"/>
      <c r="F4333" s="252"/>
      <c r="G4333" s="252"/>
      <c r="H4333" s="252"/>
      <c r="I4333" s="252"/>
      <c r="J4333" s="252"/>
      <c r="K4333" s="253"/>
    </row>
    <row r="4334" spans="1:11" ht="22" customHeight="1" x14ac:dyDescent="0.35">
      <c r="A4334" s="251"/>
      <c r="B4334" s="252"/>
      <c r="C4334" s="252"/>
      <c r="D4334" s="252"/>
      <c r="E4334" s="252"/>
      <c r="F4334" s="252"/>
      <c r="G4334" s="252"/>
      <c r="H4334" s="252"/>
      <c r="I4334" s="252"/>
      <c r="J4334" s="252"/>
      <c r="K4334" s="253"/>
    </row>
    <row r="4335" spans="1:11" ht="22" customHeight="1" x14ac:dyDescent="0.35">
      <c r="A4335" s="251"/>
      <c r="B4335" s="252"/>
      <c r="C4335" s="252"/>
      <c r="D4335" s="252"/>
      <c r="E4335" s="252"/>
      <c r="F4335" s="252"/>
      <c r="G4335" s="252"/>
      <c r="H4335" s="252"/>
      <c r="I4335" s="252"/>
      <c r="J4335" s="252"/>
      <c r="K4335" s="253"/>
    </row>
    <row r="4336" spans="1:11" ht="22" customHeight="1" x14ac:dyDescent="0.35">
      <c r="A4336" s="251"/>
      <c r="B4336" s="252"/>
      <c r="C4336" s="252"/>
      <c r="D4336" s="252"/>
      <c r="E4336" s="252"/>
      <c r="F4336" s="252"/>
      <c r="G4336" s="252"/>
      <c r="H4336" s="252"/>
      <c r="I4336" s="252"/>
      <c r="J4336" s="252"/>
      <c r="K4336" s="253"/>
    </row>
    <row r="4337" spans="1:11" ht="22" customHeight="1" x14ac:dyDescent="0.35">
      <c r="A4337" s="251"/>
      <c r="B4337" s="252"/>
      <c r="C4337" s="252"/>
      <c r="D4337" s="252"/>
      <c r="E4337" s="252"/>
      <c r="F4337" s="252"/>
      <c r="G4337" s="252"/>
      <c r="H4337" s="252"/>
      <c r="I4337" s="252"/>
      <c r="J4337" s="252"/>
      <c r="K4337" s="253"/>
    </row>
    <row r="4338" spans="1:11" ht="22" customHeight="1" x14ac:dyDescent="0.35">
      <c r="A4338" s="251"/>
      <c r="B4338" s="252"/>
      <c r="C4338" s="252"/>
      <c r="D4338" s="252"/>
      <c r="E4338" s="252"/>
      <c r="F4338" s="252"/>
      <c r="G4338" s="252"/>
      <c r="H4338" s="252"/>
      <c r="I4338" s="252"/>
      <c r="J4338" s="252"/>
      <c r="K4338" s="253"/>
    </row>
    <row r="4339" spans="1:11" ht="22" customHeight="1" x14ac:dyDescent="0.35">
      <c r="A4339" s="251"/>
      <c r="B4339" s="252"/>
      <c r="C4339" s="252"/>
      <c r="D4339" s="252"/>
      <c r="E4339" s="252"/>
      <c r="F4339" s="252"/>
      <c r="G4339" s="252"/>
      <c r="H4339" s="252"/>
      <c r="I4339" s="252"/>
      <c r="J4339" s="252"/>
      <c r="K4339" s="253"/>
    </row>
    <row r="4340" spans="1:11" ht="22" customHeight="1" x14ac:dyDescent="0.35">
      <c r="A4340" s="251"/>
      <c r="B4340" s="252"/>
      <c r="C4340" s="252"/>
      <c r="D4340" s="252"/>
      <c r="E4340" s="252"/>
      <c r="F4340" s="252"/>
      <c r="G4340" s="252"/>
      <c r="H4340" s="252"/>
      <c r="I4340" s="252"/>
      <c r="J4340" s="252"/>
      <c r="K4340" s="253"/>
    </row>
    <row r="4341" spans="1:11" ht="22" customHeight="1" x14ac:dyDescent="0.35">
      <c r="A4341" s="251"/>
      <c r="B4341" s="252"/>
      <c r="C4341" s="252"/>
      <c r="D4341" s="252"/>
      <c r="E4341" s="252"/>
      <c r="F4341" s="252"/>
      <c r="G4341" s="252"/>
      <c r="H4341" s="252"/>
      <c r="I4341" s="252"/>
      <c r="J4341" s="252"/>
      <c r="K4341" s="253"/>
    </row>
    <row r="4342" spans="1:11" ht="22" customHeight="1" x14ac:dyDescent="0.35">
      <c r="A4342" s="251"/>
      <c r="B4342" s="252"/>
      <c r="C4342" s="252"/>
      <c r="D4342" s="252"/>
      <c r="E4342" s="252"/>
      <c r="F4342" s="252"/>
      <c r="G4342" s="252"/>
      <c r="H4342" s="252"/>
      <c r="I4342" s="252"/>
      <c r="J4342" s="252"/>
      <c r="K4342" s="253"/>
    </row>
    <row r="4343" spans="1:11" ht="22" customHeight="1" x14ac:dyDescent="0.35">
      <c r="A4343" s="251"/>
      <c r="B4343" s="252"/>
      <c r="C4343" s="252"/>
      <c r="D4343" s="252"/>
      <c r="E4343" s="252"/>
      <c r="F4343" s="252"/>
      <c r="G4343" s="252"/>
      <c r="H4343" s="252"/>
      <c r="I4343" s="252"/>
      <c r="J4343" s="252"/>
      <c r="K4343" s="253"/>
    </row>
    <row r="4344" spans="1:11" ht="22" customHeight="1" x14ac:dyDescent="0.35">
      <c r="A4344" s="251"/>
      <c r="B4344" s="252"/>
      <c r="C4344" s="252"/>
      <c r="D4344" s="252"/>
      <c r="E4344" s="252"/>
      <c r="F4344" s="252"/>
      <c r="G4344" s="252"/>
      <c r="H4344" s="252"/>
      <c r="I4344" s="252"/>
      <c r="J4344" s="252"/>
      <c r="K4344" s="253"/>
    </row>
    <row r="4345" spans="1:11" ht="22" customHeight="1" x14ac:dyDescent="0.35">
      <c r="A4345" s="251"/>
      <c r="B4345" s="252"/>
      <c r="C4345" s="252"/>
      <c r="D4345" s="252"/>
      <c r="E4345" s="252"/>
      <c r="F4345" s="252"/>
      <c r="G4345" s="252"/>
      <c r="H4345" s="252"/>
      <c r="I4345" s="252"/>
      <c r="J4345" s="252"/>
      <c r="K4345" s="253"/>
    </row>
    <row r="4346" spans="1:11" ht="22" customHeight="1" x14ac:dyDescent="0.35">
      <c r="A4346" s="251"/>
      <c r="B4346" s="252"/>
      <c r="C4346" s="252"/>
      <c r="D4346" s="252"/>
      <c r="E4346" s="252"/>
      <c r="F4346" s="252"/>
      <c r="G4346" s="252"/>
      <c r="H4346" s="252"/>
      <c r="I4346" s="252"/>
      <c r="J4346" s="252"/>
      <c r="K4346" s="253"/>
    </row>
    <row r="4347" spans="1:11" ht="22" customHeight="1" x14ac:dyDescent="0.35">
      <c r="A4347" s="251"/>
      <c r="B4347" s="252"/>
      <c r="C4347" s="252"/>
      <c r="D4347" s="252"/>
      <c r="E4347" s="252"/>
      <c r="F4347" s="252"/>
      <c r="G4347" s="252"/>
      <c r="H4347" s="252"/>
      <c r="I4347" s="252"/>
      <c r="J4347" s="252"/>
      <c r="K4347" s="253"/>
    </row>
    <row r="4348" spans="1:11" ht="22" customHeight="1" x14ac:dyDescent="0.35">
      <c r="A4348" s="251"/>
      <c r="B4348" s="252"/>
      <c r="C4348" s="252"/>
      <c r="D4348" s="252"/>
      <c r="E4348" s="252"/>
      <c r="F4348" s="252"/>
      <c r="G4348" s="252"/>
      <c r="H4348" s="252"/>
      <c r="I4348" s="252"/>
      <c r="J4348" s="252"/>
      <c r="K4348" s="253"/>
    </row>
    <row r="4349" spans="1:11" ht="22" customHeight="1" x14ac:dyDescent="0.35">
      <c r="A4349" s="251"/>
      <c r="B4349" s="252"/>
      <c r="C4349" s="252"/>
      <c r="D4349" s="252"/>
      <c r="E4349" s="252"/>
      <c r="F4349" s="252"/>
      <c r="G4349" s="252"/>
      <c r="H4349" s="252"/>
      <c r="I4349" s="252"/>
      <c r="J4349" s="252"/>
      <c r="K4349" s="253"/>
    </row>
    <row r="4350" spans="1:11" ht="22" customHeight="1" x14ac:dyDescent="0.35">
      <c r="A4350" s="251"/>
      <c r="B4350" s="252"/>
      <c r="C4350" s="252"/>
      <c r="D4350" s="252"/>
      <c r="E4350" s="252"/>
      <c r="F4350" s="252"/>
      <c r="G4350" s="252"/>
      <c r="H4350" s="252"/>
      <c r="I4350" s="252"/>
      <c r="J4350" s="252"/>
      <c r="K4350" s="253"/>
    </row>
    <row r="4351" spans="1:11" ht="22" customHeight="1" x14ac:dyDescent="0.35">
      <c r="A4351" s="251"/>
      <c r="B4351" s="252"/>
      <c r="C4351" s="252"/>
      <c r="D4351" s="252"/>
      <c r="E4351" s="252"/>
      <c r="F4351" s="252"/>
      <c r="G4351" s="252"/>
      <c r="H4351" s="252"/>
      <c r="I4351" s="252"/>
      <c r="J4351" s="252"/>
      <c r="K4351" s="253"/>
    </row>
    <row r="4352" spans="1:11" ht="22" customHeight="1" x14ac:dyDescent="0.35">
      <c r="A4352" s="251"/>
      <c r="B4352" s="252"/>
      <c r="C4352" s="252"/>
      <c r="D4352" s="252"/>
      <c r="E4352" s="252"/>
      <c r="F4352" s="252"/>
      <c r="G4352" s="252"/>
      <c r="H4352" s="252"/>
      <c r="I4352" s="252"/>
      <c r="J4352" s="252"/>
      <c r="K4352" s="253"/>
    </row>
    <row r="4353" spans="1:11" ht="22" customHeight="1" x14ac:dyDescent="0.35">
      <c r="A4353" s="251"/>
      <c r="B4353" s="252"/>
      <c r="C4353" s="252"/>
      <c r="D4353" s="252"/>
      <c r="E4353" s="252"/>
      <c r="F4353" s="252"/>
      <c r="G4353" s="252"/>
      <c r="H4353" s="252"/>
      <c r="I4353" s="252"/>
      <c r="J4353" s="252"/>
      <c r="K4353" s="253"/>
    </row>
    <row r="4354" spans="1:11" ht="22" customHeight="1" x14ac:dyDescent="0.35">
      <c r="A4354" s="251"/>
      <c r="B4354" s="252"/>
      <c r="C4354" s="252"/>
      <c r="D4354" s="252"/>
      <c r="E4354" s="252"/>
      <c r="F4354" s="252"/>
      <c r="G4354" s="252"/>
      <c r="H4354" s="252"/>
      <c r="I4354" s="252"/>
      <c r="J4354" s="252"/>
      <c r="K4354" s="253"/>
    </row>
    <row r="4355" spans="1:11" ht="22" customHeight="1" x14ac:dyDescent="0.35">
      <c r="A4355" s="251"/>
      <c r="B4355" s="252"/>
      <c r="C4355" s="252"/>
      <c r="D4355" s="252"/>
      <c r="E4355" s="252"/>
      <c r="F4355" s="252"/>
      <c r="G4355" s="252"/>
      <c r="H4355" s="252"/>
      <c r="I4355" s="252"/>
      <c r="J4355" s="252"/>
      <c r="K4355" s="253"/>
    </row>
    <row r="4356" spans="1:11" ht="22" customHeight="1" x14ac:dyDescent="0.35">
      <c r="A4356" s="251"/>
      <c r="B4356" s="252"/>
      <c r="C4356" s="252"/>
      <c r="D4356" s="252"/>
      <c r="E4356" s="252"/>
      <c r="F4356" s="252"/>
      <c r="G4356" s="252"/>
      <c r="H4356" s="252"/>
      <c r="I4356" s="252"/>
      <c r="J4356" s="252"/>
      <c r="K4356" s="253"/>
    </row>
    <row r="4357" spans="1:11" ht="22" customHeight="1" x14ac:dyDescent="0.35">
      <c r="A4357" s="251"/>
      <c r="B4357" s="252"/>
      <c r="C4357" s="252"/>
      <c r="D4357" s="252"/>
      <c r="E4357" s="252"/>
      <c r="F4357" s="252"/>
      <c r="G4357" s="252"/>
      <c r="H4357" s="252"/>
      <c r="I4357" s="252"/>
      <c r="J4357" s="252"/>
      <c r="K4357" s="253"/>
    </row>
    <row r="4358" spans="1:11" ht="22" customHeight="1" x14ac:dyDescent="0.35">
      <c r="A4358" s="251"/>
      <c r="B4358" s="252"/>
      <c r="C4358" s="252"/>
      <c r="D4358" s="252"/>
      <c r="E4358" s="252"/>
      <c r="F4358" s="252"/>
      <c r="G4358" s="252"/>
      <c r="H4358" s="252"/>
      <c r="I4358" s="252"/>
      <c r="J4358" s="252"/>
      <c r="K4358" s="253"/>
    </row>
    <row r="4359" spans="1:11" ht="22" customHeight="1" x14ac:dyDescent="0.35">
      <c r="A4359" s="251"/>
      <c r="B4359" s="252"/>
      <c r="C4359" s="252"/>
      <c r="D4359" s="252"/>
      <c r="E4359" s="252"/>
      <c r="F4359" s="252"/>
      <c r="G4359" s="252"/>
      <c r="H4359" s="252"/>
      <c r="I4359" s="252"/>
      <c r="J4359" s="252"/>
      <c r="K4359" s="253"/>
    </row>
    <row r="4360" spans="1:11" ht="22" customHeight="1" x14ac:dyDescent="0.35">
      <c r="A4360" s="251"/>
      <c r="B4360" s="252"/>
      <c r="C4360" s="252"/>
      <c r="D4360" s="252"/>
      <c r="E4360" s="252"/>
      <c r="F4360" s="252"/>
      <c r="G4360" s="252"/>
      <c r="H4360" s="252"/>
      <c r="I4360" s="252"/>
      <c r="J4360" s="252"/>
      <c r="K4360" s="253"/>
    </row>
    <row r="4361" spans="1:11" ht="22" customHeight="1" x14ac:dyDescent="0.35">
      <c r="A4361" s="251"/>
      <c r="B4361" s="252"/>
      <c r="C4361" s="252"/>
      <c r="D4361" s="252"/>
      <c r="E4361" s="252"/>
      <c r="F4361" s="252"/>
      <c r="G4361" s="252"/>
      <c r="H4361" s="252"/>
      <c r="I4361" s="252"/>
      <c r="J4361" s="252"/>
      <c r="K4361" s="253"/>
    </row>
    <row r="4362" spans="1:11" ht="22" customHeight="1" x14ac:dyDescent="0.35">
      <c r="A4362" s="251"/>
      <c r="B4362" s="252"/>
      <c r="C4362" s="252"/>
      <c r="D4362" s="252"/>
      <c r="E4362" s="252"/>
      <c r="F4362" s="252"/>
      <c r="G4362" s="252"/>
      <c r="H4362" s="252"/>
      <c r="I4362" s="252"/>
      <c r="J4362" s="252"/>
      <c r="K4362" s="253"/>
    </row>
    <row r="4363" spans="1:11" ht="22" customHeight="1" x14ac:dyDescent="0.35">
      <c r="A4363" s="251"/>
      <c r="B4363" s="252"/>
      <c r="C4363" s="252"/>
      <c r="D4363" s="252"/>
      <c r="E4363" s="252"/>
      <c r="F4363" s="252"/>
      <c r="G4363" s="252"/>
      <c r="H4363" s="252"/>
      <c r="I4363" s="252"/>
      <c r="J4363" s="252"/>
      <c r="K4363" s="253"/>
    </row>
    <row r="4364" spans="1:11" ht="22" customHeight="1" x14ac:dyDescent="0.35">
      <c r="A4364" s="251"/>
      <c r="B4364" s="252"/>
      <c r="C4364" s="252"/>
      <c r="D4364" s="252"/>
      <c r="E4364" s="252"/>
      <c r="F4364" s="252"/>
      <c r="G4364" s="252"/>
      <c r="H4364" s="252"/>
      <c r="I4364" s="252"/>
      <c r="J4364" s="252"/>
      <c r="K4364" s="253"/>
    </row>
    <row r="4365" spans="1:11" ht="22" customHeight="1" x14ac:dyDescent="0.35">
      <c r="A4365" s="251"/>
      <c r="B4365" s="252"/>
      <c r="C4365" s="252"/>
      <c r="D4365" s="252"/>
      <c r="E4365" s="252"/>
      <c r="F4365" s="252"/>
      <c r="G4365" s="252"/>
      <c r="H4365" s="252"/>
      <c r="I4365" s="252"/>
      <c r="J4365" s="252"/>
      <c r="K4365" s="253"/>
    </row>
    <row r="4366" spans="1:11" ht="22" customHeight="1" x14ac:dyDescent="0.35">
      <c r="A4366" s="251"/>
      <c r="B4366" s="252"/>
      <c r="C4366" s="252"/>
      <c r="D4366" s="252"/>
      <c r="E4366" s="252"/>
      <c r="F4366" s="252"/>
      <c r="G4366" s="252"/>
      <c r="H4366" s="252"/>
      <c r="I4366" s="252"/>
      <c r="J4366" s="252"/>
      <c r="K4366" s="253"/>
    </row>
    <row r="4367" spans="1:11" ht="22" customHeight="1" x14ac:dyDescent="0.35">
      <c r="A4367" s="251"/>
      <c r="B4367" s="252"/>
      <c r="C4367" s="252"/>
      <c r="D4367" s="252"/>
      <c r="E4367" s="252"/>
      <c r="F4367" s="252"/>
      <c r="G4367" s="252"/>
      <c r="H4367" s="252"/>
      <c r="I4367" s="252"/>
      <c r="J4367" s="252"/>
      <c r="K4367" s="253"/>
    </row>
    <row r="4368" spans="1:11" ht="22" customHeight="1" x14ac:dyDescent="0.35">
      <c r="A4368" s="251"/>
      <c r="B4368" s="252"/>
      <c r="C4368" s="252"/>
      <c r="D4368" s="252"/>
      <c r="E4368" s="252"/>
      <c r="F4368" s="252"/>
      <c r="G4368" s="252"/>
      <c r="H4368" s="252"/>
      <c r="I4368" s="252"/>
      <c r="J4368" s="252"/>
      <c r="K4368" s="253"/>
    </row>
    <row r="4369" spans="1:11" ht="22" customHeight="1" x14ac:dyDescent="0.35">
      <c r="A4369" s="251"/>
      <c r="B4369" s="252"/>
      <c r="C4369" s="252"/>
      <c r="D4369" s="252"/>
      <c r="E4369" s="252"/>
      <c r="F4369" s="252"/>
      <c r="G4369" s="252"/>
      <c r="H4369" s="252"/>
      <c r="I4369" s="252"/>
      <c r="J4369" s="252"/>
      <c r="K4369" s="253"/>
    </row>
    <row r="4370" spans="1:11" ht="22" customHeight="1" x14ac:dyDescent="0.35">
      <c r="A4370" s="251"/>
      <c r="B4370" s="252"/>
      <c r="C4370" s="252"/>
      <c r="D4370" s="252"/>
      <c r="E4370" s="252"/>
      <c r="F4370" s="252"/>
      <c r="G4370" s="252"/>
      <c r="H4370" s="252"/>
      <c r="I4370" s="252"/>
      <c r="J4370" s="252"/>
      <c r="K4370" s="253"/>
    </row>
    <row r="4371" spans="1:11" ht="22" customHeight="1" x14ac:dyDescent="0.35">
      <c r="A4371" s="251"/>
      <c r="B4371" s="252"/>
      <c r="C4371" s="252"/>
      <c r="D4371" s="252"/>
      <c r="E4371" s="252"/>
      <c r="F4371" s="252"/>
      <c r="G4371" s="252"/>
      <c r="H4371" s="252"/>
      <c r="I4371" s="252"/>
      <c r="J4371" s="252"/>
      <c r="K4371" s="253"/>
    </row>
    <row r="4372" spans="1:11" ht="22" customHeight="1" x14ac:dyDescent="0.35">
      <c r="A4372" s="251"/>
      <c r="B4372" s="252"/>
      <c r="C4372" s="252"/>
      <c r="D4372" s="252"/>
      <c r="E4372" s="252"/>
      <c r="F4372" s="252"/>
      <c r="G4372" s="252"/>
      <c r="H4372" s="252"/>
      <c r="I4372" s="252"/>
      <c r="J4372" s="252"/>
      <c r="K4372" s="253"/>
    </row>
    <row r="4373" spans="1:11" ht="22" customHeight="1" x14ac:dyDescent="0.35">
      <c r="A4373" s="251"/>
      <c r="B4373" s="252"/>
      <c r="C4373" s="252"/>
      <c r="D4373" s="252"/>
      <c r="E4373" s="252"/>
      <c r="F4373" s="252"/>
      <c r="G4373" s="252"/>
      <c r="H4373" s="252"/>
      <c r="I4373" s="252"/>
      <c r="J4373" s="252"/>
      <c r="K4373" s="253"/>
    </row>
    <row r="4374" spans="1:11" ht="22" customHeight="1" x14ac:dyDescent="0.35">
      <c r="A4374" s="251"/>
      <c r="B4374" s="252"/>
      <c r="C4374" s="252"/>
      <c r="D4374" s="252"/>
      <c r="E4374" s="252"/>
      <c r="F4374" s="252"/>
      <c r="G4374" s="252"/>
      <c r="H4374" s="252"/>
      <c r="I4374" s="252"/>
      <c r="J4374" s="252"/>
      <c r="K4374" s="253"/>
    </row>
    <row r="4375" spans="1:11" ht="22" customHeight="1" x14ac:dyDescent="0.35">
      <c r="A4375" s="251"/>
      <c r="B4375" s="252"/>
      <c r="C4375" s="252"/>
      <c r="D4375" s="252"/>
      <c r="E4375" s="252"/>
      <c r="F4375" s="252"/>
      <c r="G4375" s="252"/>
      <c r="H4375" s="252"/>
      <c r="I4375" s="252"/>
      <c r="J4375" s="252"/>
      <c r="K4375" s="253"/>
    </row>
    <row r="4376" spans="1:11" ht="22" customHeight="1" x14ac:dyDescent="0.35">
      <c r="A4376" s="251"/>
      <c r="B4376" s="252"/>
      <c r="C4376" s="252"/>
      <c r="D4376" s="252"/>
      <c r="E4376" s="252"/>
      <c r="F4376" s="252"/>
      <c r="G4376" s="252"/>
      <c r="H4376" s="252"/>
      <c r="I4376" s="252"/>
      <c r="J4376" s="252"/>
      <c r="K4376" s="253"/>
    </row>
    <row r="4377" spans="1:11" ht="22" customHeight="1" x14ac:dyDescent="0.35">
      <c r="A4377" s="251"/>
      <c r="B4377" s="252"/>
      <c r="C4377" s="252"/>
      <c r="D4377" s="252"/>
      <c r="E4377" s="252"/>
      <c r="F4377" s="252"/>
      <c r="G4377" s="252"/>
      <c r="H4377" s="252"/>
      <c r="I4377" s="252"/>
      <c r="J4377" s="252"/>
      <c r="K4377" s="253"/>
    </row>
    <row r="4378" spans="1:11" ht="22" customHeight="1" x14ac:dyDescent="0.35">
      <c r="A4378" s="251"/>
      <c r="B4378" s="252"/>
      <c r="C4378" s="252"/>
      <c r="D4378" s="252"/>
      <c r="E4378" s="252"/>
      <c r="F4378" s="252"/>
      <c r="G4378" s="252"/>
      <c r="H4378" s="252"/>
      <c r="I4378" s="252"/>
      <c r="J4378" s="252"/>
      <c r="K4378" s="253"/>
    </row>
    <row r="4379" spans="1:11" ht="22" customHeight="1" x14ac:dyDescent="0.35">
      <c r="A4379" s="251"/>
      <c r="B4379" s="252"/>
      <c r="C4379" s="252"/>
      <c r="D4379" s="252"/>
      <c r="E4379" s="252"/>
      <c r="F4379" s="252"/>
      <c r="G4379" s="252"/>
      <c r="H4379" s="252"/>
      <c r="I4379" s="252"/>
      <c r="J4379" s="252"/>
      <c r="K4379" s="253"/>
    </row>
    <row r="4380" spans="1:11" ht="22" customHeight="1" x14ac:dyDescent="0.35">
      <c r="A4380" s="251"/>
      <c r="B4380" s="252"/>
      <c r="C4380" s="252"/>
      <c r="D4380" s="252"/>
      <c r="E4380" s="252"/>
      <c r="F4380" s="252"/>
      <c r="G4380" s="252"/>
      <c r="H4380" s="252"/>
      <c r="I4380" s="252"/>
      <c r="J4380" s="252"/>
      <c r="K4380" s="253"/>
    </row>
    <row r="4381" spans="1:11" ht="22" customHeight="1" x14ac:dyDescent="0.35">
      <c r="A4381" s="251"/>
      <c r="B4381" s="252"/>
      <c r="C4381" s="252"/>
      <c r="D4381" s="252"/>
      <c r="E4381" s="252"/>
      <c r="F4381" s="252"/>
      <c r="G4381" s="252"/>
      <c r="H4381" s="252"/>
      <c r="I4381" s="252"/>
      <c r="J4381" s="252"/>
      <c r="K4381" s="253"/>
    </row>
    <row r="4382" spans="1:11" ht="22" customHeight="1" x14ac:dyDescent="0.35">
      <c r="A4382" s="251"/>
      <c r="B4382" s="252"/>
      <c r="C4382" s="252"/>
      <c r="D4382" s="252"/>
      <c r="E4382" s="252"/>
      <c r="F4382" s="252"/>
      <c r="G4382" s="252"/>
      <c r="H4382" s="252"/>
      <c r="I4382" s="252"/>
      <c r="J4382" s="252"/>
      <c r="K4382" s="253"/>
    </row>
    <row r="4383" spans="1:11" ht="22" customHeight="1" x14ac:dyDescent="0.35">
      <c r="A4383" s="251"/>
      <c r="B4383" s="252"/>
      <c r="C4383" s="252"/>
      <c r="D4383" s="252"/>
      <c r="E4383" s="252"/>
      <c r="F4383" s="252"/>
      <c r="G4383" s="252"/>
      <c r="H4383" s="252"/>
      <c r="I4383" s="252"/>
      <c r="J4383" s="252"/>
      <c r="K4383" s="253"/>
    </row>
    <row r="4384" spans="1:11" ht="22" customHeight="1" x14ac:dyDescent="0.35">
      <c r="A4384" s="251"/>
      <c r="B4384" s="252"/>
      <c r="C4384" s="252"/>
      <c r="D4384" s="252"/>
      <c r="E4384" s="252"/>
      <c r="F4384" s="252"/>
      <c r="G4384" s="252"/>
      <c r="H4384" s="252"/>
      <c r="I4384" s="252"/>
      <c r="J4384" s="252"/>
      <c r="K4384" s="253"/>
    </row>
    <row r="4385" spans="1:11" ht="22" customHeight="1" x14ac:dyDescent="0.35">
      <c r="A4385" s="251"/>
      <c r="B4385" s="252"/>
      <c r="C4385" s="252"/>
      <c r="D4385" s="252"/>
      <c r="E4385" s="252"/>
      <c r="F4385" s="252"/>
      <c r="G4385" s="252"/>
      <c r="H4385" s="252"/>
      <c r="I4385" s="252"/>
      <c r="J4385" s="252"/>
      <c r="K4385" s="253"/>
    </row>
    <row r="4386" spans="1:11" ht="22" customHeight="1" x14ac:dyDescent="0.35">
      <c r="A4386" s="251"/>
      <c r="B4386" s="252"/>
      <c r="C4386" s="252"/>
      <c r="D4386" s="252"/>
      <c r="E4386" s="252"/>
      <c r="F4386" s="252"/>
      <c r="G4386" s="252"/>
      <c r="H4386" s="252"/>
      <c r="I4386" s="252"/>
      <c r="J4386" s="252"/>
      <c r="K4386" s="253"/>
    </row>
    <row r="4387" spans="1:11" ht="22" customHeight="1" x14ac:dyDescent="0.35">
      <c r="A4387" s="251"/>
      <c r="B4387" s="252"/>
      <c r="C4387" s="252"/>
      <c r="D4387" s="252"/>
      <c r="E4387" s="252"/>
      <c r="F4387" s="252"/>
      <c r="G4387" s="252"/>
      <c r="H4387" s="252"/>
      <c r="I4387" s="252"/>
      <c r="J4387" s="252"/>
      <c r="K4387" s="253"/>
    </row>
    <row r="4388" spans="1:11" ht="22" customHeight="1" x14ac:dyDescent="0.35">
      <c r="A4388" s="251"/>
      <c r="B4388" s="252"/>
      <c r="C4388" s="252"/>
      <c r="D4388" s="252"/>
      <c r="E4388" s="252"/>
      <c r="F4388" s="252"/>
      <c r="G4388" s="252"/>
      <c r="H4388" s="252"/>
      <c r="I4388" s="252"/>
      <c r="J4388" s="252"/>
      <c r="K4388" s="253"/>
    </row>
    <row r="4389" spans="1:11" ht="22" customHeight="1" x14ac:dyDescent="0.35">
      <c r="A4389" s="251"/>
      <c r="B4389" s="252"/>
      <c r="C4389" s="252"/>
      <c r="D4389" s="252"/>
      <c r="E4389" s="252"/>
      <c r="F4389" s="252"/>
      <c r="G4389" s="252"/>
      <c r="H4389" s="252"/>
      <c r="I4389" s="252"/>
      <c r="J4389" s="252"/>
      <c r="K4389" s="253"/>
    </row>
    <row r="4390" spans="1:11" ht="22" customHeight="1" x14ac:dyDescent="0.35">
      <c r="A4390" s="251"/>
      <c r="B4390" s="252"/>
      <c r="C4390" s="252"/>
      <c r="D4390" s="252"/>
      <c r="E4390" s="252"/>
      <c r="F4390" s="252"/>
      <c r="G4390" s="252"/>
      <c r="H4390" s="252"/>
      <c r="I4390" s="252"/>
      <c r="J4390" s="252"/>
      <c r="K4390" s="253"/>
    </row>
    <row r="4391" spans="1:11" ht="22" customHeight="1" x14ac:dyDescent="0.35">
      <c r="A4391" s="251"/>
      <c r="B4391" s="252"/>
      <c r="C4391" s="252"/>
      <c r="D4391" s="252"/>
      <c r="E4391" s="252"/>
      <c r="F4391" s="252"/>
      <c r="G4391" s="252"/>
      <c r="H4391" s="252"/>
      <c r="I4391" s="252"/>
      <c r="J4391" s="252"/>
      <c r="K4391" s="253"/>
    </row>
    <row r="4392" spans="1:11" ht="22" customHeight="1" x14ac:dyDescent="0.35">
      <c r="A4392" s="251"/>
      <c r="B4392" s="252"/>
      <c r="C4392" s="252"/>
      <c r="D4392" s="252"/>
      <c r="E4392" s="252"/>
      <c r="F4392" s="252"/>
      <c r="G4392" s="252"/>
      <c r="H4392" s="252"/>
      <c r="I4392" s="252"/>
      <c r="J4392" s="252"/>
      <c r="K4392" s="253"/>
    </row>
    <row r="4393" spans="1:11" ht="22" customHeight="1" x14ac:dyDescent="0.35">
      <c r="A4393" s="251"/>
      <c r="B4393" s="252"/>
      <c r="C4393" s="252"/>
      <c r="D4393" s="252"/>
      <c r="E4393" s="252"/>
      <c r="F4393" s="252"/>
      <c r="G4393" s="252"/>
      <c r="H4393" s="252"/>
      <c r="I4393" s="252"/>
      <c r="J4393" s="252"/>
      <c r="K4393" s="253"/>
    </row>
    <row r="4394" spans="1:11" ht="22" customHeight="1" x14ac:dyDescent="0.35">
      <c r="A4394" s="251"/>
      <c r="B4394" s="252"/>
      <c r="C4394" s="252"/>
      <c r="D4394" s="252"/>
      <c r="E4394" s="252"/>
      <c r="F4394" s="252"/>
      <c r="G4394" s="252"/>
      <c r="H4394" s="252"/>
      <c r="I4394" s="252"/>
      <c r="J4394" s="252"/>
      <c r="K4394" s="253"/>
    </row>
    <row r="4395" spans="1:11" ht="22" customHeight="1" x14ac:dyDescent="0.35">
      <c r="A4395" s="251"/>
      <c r="B4395" s="252"/>
      <c r="C4395" s="252"/>
      <c r="D4395" s="252"/>
      <c r="E4395" s="252"/>
      <c r="F4395" s="252"/>
      <c r="G4395" s="252"/>
      <c r="H4395" s="252"/>
      <c r="I4395" s="252"/>
      <c r="J4395" s="252"/>
      <c r="K4395" s="253"/>
    </row>
    <row r="4396" spans="1:11" ht="22" customHeight="1" x14ac:dyDescent="0.35">
      <c r="A4396" s="251"/>
      <c r="B4396" s="252"/>
      <c r="C4396" s="252"/>
      <c r="D4396" s="252"/>
      <c r="E4396" s="252"/>
      <c r="F4396" s="252"/>
      <c r="G4396" s="252"/>
      <c r="H4396" s="252"/>
      <c r="I4396" s="252"/>
      <c r="J4396" s="252"/>
      <c r="K4396" s="253"/>
    </row>
    <row r="4397" spans="1:11" ht="22" customHeight="1" x14ac:dyDescent="0.35">
      <c r="A4397" s="251"/>
      <c r="B4397" s="252"/>
      <c r="C4397" s="252"/>
      <c r="D4397" s="252"/>
      <c r="E4397" s="252"/>
      <c r="F4397" s="252"/>
      <c r="G4397" s="252"/>
      <c r="H4397" s="252"/>
      <c r="I4397" s="252"/>
      <c r="J4397" s="252"/>
      <c r="K4397" s="253"/>
    </row>
    <row r="4398" spans="1:11" ht="22" customHeight="1" x14ac:dyDescent="0.35">
      <c r="A4398" s="251"/>
      <c r="B4398" s="252"/>
      <c r="C4398" s="252"/>
      <c r="D4398" s="252"/>
      <c r="E4398" s="252"/>
      <c r="F4398" s="252"/>
      <c r="G4398" s="252"/>
      <c r="H4398" s="252"/>
      <c r="I4398" s="252"/>
      <c r="J4398" s="252"/>
      <c r="K4398" s="253"/>
    </row>
    <row r="4399" spans="1:11" ht="22" customHeight="1" x14ac:dyDescent="0.35">
      <c r="A4399" s="251"/>
      <c r="B4399" s="252"/>
      <c r="C4399" s="252"/>
      <c r="D4399" s="252"/>
      <c r="E4399" s="252"/>
      <c r="F4399" s="252"/>
      <c r="G4399" s="252"/>
      <c r="H4399" s="252"/>
      <c r="I4399" s="252"/>
      <c r="J4399" s="252"/>
      <c r="K4399" s="253"/>
    </row>
    <row r="4400" spans="1:11" ht="22" customHeight="1" x14ac:dyDescent="0.35">
      <c r="A4400" s="251"/>
      <c r="B4400" s="252"/>
      <c r="C4400" s="252"/>
      <c r="D4400" s="252"/>
      <c r="E4400" s="252"/>
      <c r="F4400" s="252"/>
      <c r="G4400" s="252"/>
      <c r="H4400" s="252"/>
      <c r="I4400" s="252"/>
      <c r="J4400" s="252"/>
      <c r="K4400" s="253"/>
    </row>
    <row r="4401" spans="1:11" ht="22" customHeight="1" x14ac:dyDescent="0.35">
      <c r="A4401" s="251"/>
      <c r="B4401" s="252"/>
      <c r="C4401" s="252"/>
      <c r="D4401" s="252"/>
      <c r="E4401" s="252"/>
      <c r="F4401" s="252"/>
      <c r="G4401" s="252"/>
      <c r="H4401" s="252"/>
      <c r="I4401" s="252"/>
      <c r="J4401" s="252"/>
      <c r="K4401" s="253"/>
    </row>
    <row r="4402" spans="1:11" ht="22" customHeight="1" x14ac:dyDescent="0.35">
      <c r="A4402" s="251"/>
      <c r="B4402" s="252"/>
      <c r="C4402" s="252"/>
      <c r="D4402" s="252"/>
      <c r="E4402" s="252"/>
      <c r="F4402" s="252"/>
      <c r="G4402" s="252"/>
      <c r="H4402" s="252"/>
      <c r="I4402" s="252"/>
      <c r="J4402" s="252"/>
      <c r="K4402" s="253"/>
    </row>
    <row r="4403" spans="1:11" ht="22" customHeight="1" x14ac:dyDescent="0.35">
      <c r="A4403" s="251"/>
      <c r="B4403" s="252"/>
      <c r="C4403" s="252"/>
      <c r="D4403" s="252"/>
      <c r="E4403" s="252"/>
      <c r="F4403" s="252"/>
      <c r="G4403" s="252"/>
      <c r="H4403" s="252"/>
      <c r="I4403" s="252"/>
      <c r="J4403" s="252"/>
      <c r="K4403" s="253"/>
    </row>
    <row r="4404" spans="1:11" ht="22" customHeight="1" x14ac:dyDescent="0.35">
      <c r="A4404" s="251"/>
      <c r="B4404" s="252"/>
      <c r="C4404" s="252"/>
      <c r="D4404" s="252"/>
      <c r="E4404" s="252"/>
      <c r="F4404" s="252"/>
      <c r="G4404" s="252"/>
      <c r="H4404" s="252"/>
      <c r="I4404" s="252"/>
      <c r="J4404" s="252"/>
      <c r="K4404" s="253"/>
    </row>
    <row r="4405" spans="1:11" ht="22" customHeight="1" x14ac:dyDescent="0.35">
      <c r="A4405" s="251"/>
      <c r="B4405" s="252"/>
      <c r="C4405" s="252"/>
      <c r="D4405" s="252"/>
      <c r="E4405" s="252"/>
      <c r="F4405" s="252"/>
      <c r="G4405" s="252"/>
      <c r="H4405" s="252"/>
      <c r="I4405" s="252"/>
      <c r="J4405" s="252"/>
      <c r="K4405" s="253"/>
    </row>
    <row r="4406" spans="1:11" ht="22" customHeight="1" x14ac:dyDescent="0.35">
      <c r="A4406" s="251"/>
      <c r="B4406" s="252"/>
      <c r="C4406" s="252"/>
      <c r="D4406" s="252"/>
      <c r="E4406" s="252"/>
      <c r="F4406" s="252"/>
      <c r="G4406" s="252"/>
      <c r="H4406" s="252"/>
      <c r="I4406" s="252"/>
      <c r="J4406" s="252"/>
      <c r="K4406" s="253"/>
    </row>
    <row r="4407" spans="1:11" ht="22" customHeight="1" x14ac:dyDescent="0.35">
      <c r="A4407" s="251"/>
      <c r="B4407" s="252"/>
      <c r="C4407" s="252"/>
      <c r="D4407" s="252"/>
      <c r="E4407" s="252"/>
      <c r="F4407" s="252"/>
      <c r="G4407" s="252"/>
      <c r="H4407" s="252"/>
      <c r="I4407" s="252"/>
      <c r="J4407" s="252"/>
      <c r="K4407" s="253"/>
    </row>
    <row r="4408" spans="1:11" ht="22" customHeight="1" x14ac:dyDescent="0.35">
      <c r="A4408" s="251"/>
      <c r="B4408" s="252"/>
      <c r="C4408" s="252"/>
      <c r="D4408" s="252"/>
      <c r="E4408" s="252"/>
      <c r="F4408" s="252"/>
      <c r="G4408" s="252"/>
      <c r="H4408" s="252"/>
      <c r="I4408" s="252"/>
      <c r="J4408" s="252"/>
      <c r="K4408" s="253"/>
    </row>
    <row r="4409" spans="1:11" ht="22" customHeight="1" x14ac:dyDescent="0.35">
      <c r="A4409" s="251"/>
      <c r="B4409" s="252"/>
      <c r="C4409" s="252"/>
      <c r="D4409" s="252"/>
      <c r="E4409" s="252"/>
      <c r="F4409" s="252"/>
      <c r="G4409" s="252"/>
      <c r="H4409" s="252"/>
      <c r="I4409" s="252"/>
      <c r="J4409" s="252"/>
      <c r="K4409" s="253"/>
    </row>
    <row r="4410" spans="1:11" ht="22" customHeight="1" x14ac:dyDescent="0.35">
      <c r="A4410" s="251"/>
      <c r="B4410" s="252"/>
      <c r="C4410" s="252"/>
      <c r="D4410" s="252"/>
      <c r="E4410" s="252"/>
      <c r="F4410" s="252"/>
      <c r="G4410" s="252"/>
      <c r="H4410" s="252"/>
      <c r="I4410" s="252"/>
      <c r="J4410" s="252"/>
      <c r="K4410" s="253"/>
    </row>
    <row r="4411" spans="1:11" ht="22" customHeight="1" x14ac:dyDescent="0.35">
      <c r="A4411" s="251"/>
      <c r="B4411" s="252"/>
      <c r="C4411" s="252"/>
      <c r="D4411" s="252"/>
      <c r="E4411" s="252"/>
      <c r="F4411" s="252"/>
      <c r="G4411" s="252"/>
      <c r="H4411" s="252"/>
      <c r="I4411" s="252"/>
      <c r="J4411" s="252"/>
      <c r="K4411" s="253"/>
    </row>
    <row r="4412" spans="1:11" ht="22" customHeight="1" x14ac:dyDescent="0.35">
      <c r="A4412" s="251"/>
      <c r="B4412" s="252"/>
      <c r="C4412" s="252"/>
      <c r="D4412" s="252"/>
      <c r="E4412" s="252"/>
      <c r="F4412" s="252"/>
      <c r="G4412" s="252"/>
      <c r="H4412" s="252"/>
      <c r="I4412" s="252"/>
      <c r="J4412" s="252"/>
      <c r="K4412" s="253"/>
    </row>
    <row r="4413" spans="1:11" ht="22" customHeight="1" x14ac:dyDescent="0.35">
      <c r="A4413" s="251"/>
      <c r="B4413" s="252"/>
      <c r="C4413" s="252"/>
      <c r="D4413" s="252"/>
      <c r="E4413" s="252"/>
      <c r="F4413" s="252"/>
      <c r="G4413" s="252"/>
      <c r="H4413" s="252"/>
      <c r="I4413" s="252"/>
      <c r="J4413" s="252"/>
      <c r="K4413" s="253"/>
    </row>
    <row r="4414" spans="1:11" ht="22" customHeight="1" x14ac:dyDescent="0.35">
      <c r="A4414" s="251"/>
      <c r="B4414" s="252"/>
      <c r="C4414" s="252"/>
      <c r="D4414" s="252"/>
      <c r="E4414" s="252"/>
      <c r="F4414" s="252"/>
      <c r="G4414" s="252"/>
      <c r="H4414" s="252"/>
      <c r="I4414" s="252"/>
      <c r="J4414" s="252"/>
      <c r="K4414" s="253"/>
    </row>
    <row r="4415" spans="1:11" ht="22" customHeight="1" x14ac:dyDescent="0.35">
      <c r="A4415" s="251"/>
      <c r="B4415" s="252"/>
      <c r="C4415" s="252"/>
      <c r="D4415" s="252"/>
      <c r="E4415" s="252"/>
      <c r="F4415" s="252"/>
      <c r="G4415" s="252"/>
      <c r="H4415" s="252"/>
      <c r="I4415" s="252"/>
      <c r="J4415" s="252"/>
      <c r="K4415" s="253"/>
    </row>
    <row r="4416" spans="1:11" ht="22" customHeight="1" x14ac:dyDescent="0.35">
      <c r="A4416" s="251"/>
      <c r="B4416" s="252"/>
      <c r="C4416" s="252"/>
      <c r="D4416" s="252"/>
      <c r="E4416" s="252"/>
      <c r="F4416" s="252"/>
      <c r="G4416" s="252"/>
      <c r="H4416" s="252"/>
      <c r="I4416" s="252"/>
      <c r="J4416" s="252"/>
      <c r="K4416" s="253"/>
    </row>
    <row r="4417" spans="1:11" ht="22" customHeight="1" x14ac:dyDescent="0.35">
      <c r="A4417" s="251"/>
      <c r="B4417" s="252"/>
      <c r="C4417" s="252"/>
      <c r="D4417" s="252"/>
      <c r="E4417" s="252"/>
      <c r="F4417" s="252"/>
      <c r="G4417" s="252"/>
      <c r="H4417" s="252"/>
      <c r="I4417" s="252"/>
      <c r="J4417" s="252"/>
      <c r="K4417" s="253"/>
    </row>
    <row r="4418" spans="1:11" ht="22" customHeight="1" x14ac:dyDescent="0.35">
      <c r="A4418" s="251"/>
      <c r="B4418" s="252"/>
      <c r="C4418" s="252"/>
      <c r="D4418" s="252"/>
      <c r="E4418" s="252"/>
      <c r="F4418" s="252"/>
      <c r="G4418" s="252"/>
      <c r="H4418" s="252"/>
      <c r="I4418" s="252"/>
      <c r="J4418" s="252"/>
      <c r="K4418" s="253"/>
    </row>
    <row r="4419" spans="1:11" ht="22" customHeight="1" x14ac:dyDescent="0.35">
      <c r="A4419" s="251"/>
      <c r="B4419" s="252"/>
      <c r="C4419" s="252"/>
      <c r="D4419" s="252"/>
      <c r="E4419" s="252"/>
      <c r="F4419" s="252"/>
      <c r="G4419" s="252"/>
      <c r="H4419" s="252"/>
      <c r="I4419" s="252"/>
      <c r="J4419" s="252"/>
      <c r="K4419" s="253"/>
    </row>
    <row r="4420" spans="1:11" ht="22" customHeight="1" x14ac:dyDescent="0.35">
      <c r="A4420" s="251"/>
      <c r="B4420" s="252"/>
      <c r="C4420" s="252"/>
      <c r="D4420" s="252"/>
      <c r="E4420" s="252"/>
      <c r="F4420" s="252"/>
      <c r="G4420" s="252"/>
      <c r="H4420" s="252"/>
      <c r="I4420" s="252"/>
      <c r="J4420" s="252"/>
      <c r="K4420" s="253"/>
    </row>
    <row r="4421" spans="1:11" ht="22" customHeight="1" x14ac:dyDescent="0.35">
      <c r="A4421" s="251"/>
      <c r="B4421" s="252"/>
      <c r="C4421" s="252"/>
      <c r="D4421" s="252"/>
      <c r="E4421" s="252"/>
      <c r="F4421" s="252"/>
      <c r="G4421" s="252"/>
      <c r="H4421" s="252"/>
      <c r="I4421" s="252"/>
      <c r="J4421" s="252"/>
      <c r="K4421" s="253"/>
    </row>
    <row r="4422" spans="1:11" ht="22" customHeight="1" x14ac:dyDescent="0.35">
      <c r="A4422" s="251"/>
      <c r="B4422" s="252"/>
      <c r="C4422" s="252"/>
      <c r="D4422" s="252"/>
      <c r="E4422" s="252"/>
      <c r="F4422" s="252"/>
      <c r="G4422" s="252"/>
      <c r="H4422" s="252"/>
      <c r="I4422" s="252"/>
      <c r="J4422" s="252"/>
      <c r="K4422" s="253"/>
    </row>
    <row r="4423" spans="1:11" ht="22" customHeight="1" x14ac:dyDescent="0.35">
      <c r="A4423" s="251"/>
      <c r="B4423" s="252"/>
      <c r="C4423" s="252"/>
      <c r="D4423" s="252"/>
      <c r="E4423" s="252"/>
      <c r="F4423" s="252"/>
      <c r="G4423" s="252"/>
      <c r="H4423" s="252"/>
      <c r="I4423" s="252"/>
      <c r="J4423" s="252"/>
      <c r="K4423" s="253"/>
    </row>
    <row r="4424" spans="1:11" ht="22" customHeight="1" x14ac:dyDescent="0.35">
      <c r="A4424" s="251"/>
      <c r="B4424" s="252"/>
      <c r="C4424" s="252"/>
      <c r="D4424" s="252"/>
      <c r="E4424" s="252"/>
      <c r="F4424" s="252"/>
      <c r="G4424" s="252"/>
      <c r="H4424" s="252"/>
      <c r="I4424" s="252"/>
      <c r="J4424" s="252"/>
      <c r="K4424" s="253"/>
    </row>
    <row r="4425" spans="1:11" ht="22" customHeight="1" x14ac:dyDescent="0.35">
      <c r="A4425" s="251"/>
      <c r="B4425" s="252"/>
      <c r="C4425" s="252"/>
      <c r="D4425" s="252"/>
      <c r="E4425" s="252"/>
      <c r="F4425" s="252"/>
      <c r="G4425" s="252"/>
      <c r="H4425" s="252"/>
      <c r="I4425" s="252"/>
      <c r="J4425" s="252"/>
      <c r="K4425" s="253"/>
    </row>
    <row r="4426" spans="1:11" ht="22" customHeight="1" x14ac:dyDescent="0.35">
      <c r="A4426" s="251"/>
      <c r="B4426" s="252"/>
      <c r="C4426" s="252"/>
      <c r="D4426" s="252"/>
      <c r="E4426" s="252"/>
      <c r="F4426" s="252"/>
      <c r="G4426" s="252"/>
      <c r="H4426" s="252"/>
      <c r="I4426" s="252"/>
      <c r="J4426" s="252"/>
      <c r="K4426" s="253"/>
    </row>
    <row r="4427" spans="1:11" ht="22" customHeight="1" x14ac:dyDescent="0.35">
      <c r="A4427" s="251"/>
      <c r="B4427" s="252"/>
      <c r="C4427" s="252"/>
      <c r="D4427" s="252"/>
      <c r="E4427" s="252"/>
      <c r="F4427" s="252"/>
      <c r="G4427" s="252"/>
      <c r="H4427" s="252"/>
      <c r="I4427" s="252"/>
      <c r="J4427" s="252"/>
      <c r="K4427" s="253"/>
    </row>
    <row r="4428" spans="1:11" ht="22" customHeight="1" x14ac:dyDescent="0.35">
      <c r="A4428" s="251"/>
      <c r="B4428" s="252"/>
      <c r="C4428" s="252"/>
      <c r="D4428" s="252"/>
      <c r="E4428" s="252"/>
      <c r="F4428" s="252"/>
      <c r="G4428" s="252"/>
      <c r="H4428" s="252"/>
      <c r="I4428" s="252"/>
      <c r="J4428" s="252"/>
      <c r="K4428" s="253"/>
    </row>
    <row r="4429" spans="1:11" ht="22" customHeight="1" x14ac:dyDescent="0.35">
      <c r="A4429" s="251"/>
      <c r="B4429" s="252"/>
      <c r="C4429" s="252"/>
      <c r="D4429" s="252"/>
      <c r="E4429" s="252"/>
      <c r="F4429" s="252"/>
      <c r="G4429" s="252"/>
      <c r="H4429" s="252"/>
      <c r="I4429" s="252"/>
      <c r="J4429" s="252"/>
      <c r="K4429" s="253"/>
    </row>
    <row r="4430" spans="1:11" ht="22" customHeight="1" x14ac:dyDescent="0.35">
      <c r="A4430" s="251"/>
      <c r="B4430" s="252"/>
      <c r="C4430" s="252"/>
      <c r="D4430" s="252"/>
      <c r="E4430" s="252"/>
      <c r="F4430" s="252"/>
      <c r="G4430" s="252"/>
      <c r="H4430" s="252"/>
      <c r="I4430" s="252"/>
      <c r="J4430" s="252"/>
      <c r="K4430" s="253"/>
    </row>
    <row r="4431" spans="1:11" ht="22" customHeight="1" x14ac:dyDescent="0.35">
      <c r="A4431" s="251"/>
      <c r="B4431" s="252"/>
      <c r="C4431" s="252"/>
      <c r="D4431" s="252"/>
      <c r="E4431" s="252"/>
      <c r="F4431" s="252"/>
      <c r="G4431" s="252"/>
      <c r="H4431" s="252"/>
      <c r="I4431" s="252"/>
      <c r="J4431" s="252"/>
      <c r="K4431" s="253"/>
    </row>
    <row r="4432" spans="1:11" ht="22" customHeight="1" x14ac:dyDescent="0.35">
      <c r="A4432" s="251"/>
      <c r="B4432" s="252"/>
      <c r="C4432" s="252"/>
      <c r="D4432" s="252"/>
      <c r="E4432" s="252"/>
      <c r="F4432" s="252"/>
      <c r="G4432" s="252"/>
      <c r="H4432" s="252"/>
      <c r="I4432" s="252"/>
      <c r="J4432" s="252"/>
      <c r="K4432" s="253"/>
    </row>
    <row r="4433" spans="1:11" ht="22" customHeight="1" x14ac:dyDescent="0.35">
      <c r="A4433" s="251"/>
      <c r="B4433" s="252"/>
      <c r="C4433" s="252"/>
      <c r="D4433" s="252"/>
      <c r="E4433" s="252"/>
      <c r="F4433" s="252"/>
      <c r="G4433" s="252"/>
      <c r="H4433" s="252"/>
      <c r="I4433" s="252"/>
      <c r="J4433" s="252"/>
      <c r="K4433" s="253"/>
    </row>
    <row r="4434" spans="1:11" ht="22" customHeight="1" x14ac:dyDescent="0.35">
      <c r="A4434" s="251"/>
      <c r="B4434" s="252"/>
      <c r="C4434" s="252"/>
      <c r="D4434" s="252"/>
      <c r="E4434" s="252"/>
      <c r="F4434" s="252"/>
      <c r="G4434" s="252"/>
      <c r="H4434" s="252"/>
      <c r="I4434" s="252"/>
      <c r="J4434" s="252"/>
      <c r="K4434" s="253"/>
    </row>
    <row r="4435" spans="1:11" ht="22" customHeight="1" x14ac:dyDescent="0.35">
      <c r="A4435" s="251"/>
      <c r="B4435" s="252"/>
      <c r="C4435" s="252"/>
      <c r="D4435" s="252"/>
      <c r="E4435" s="252"/>
      <c r="F4435" s="252"/>
      <c r="G4435" s="252"/>
      <c r="H4435" s="252"/>
      <c r="I4435" s="252"/>
      <c r="J4435" s="252"/>
      <c r="K4435" s="253"/>
    </row>
    <row r="4436" spans="1:11" ht="22" customHeight="1" x14ac:dyDescent="0.35">
      <c r="A4436" s="251"/>
      <c r="B4436" s="252"/>
      <c r="C4436" s="252"/>
      <c r="D4436" s="252"/>
      <c r="E4436" s="252"/>
      <c r="F4436" s="252"/>
      <c r="G4436" s="252"/>
      <c r="H4436" s="252"/>
      <c r="I4436" s="252"/>
      <c r="J4436" s="252"/>
      <c r="K4436" s="253"/>
    </row>
    <row r="4437" spans="1:11" ht="22" customHeight="1" x14ac:dyDescent="0.35">
      <c r="A4437" s="251"/>
      <c r="B4437" s="252"/>
      <c r="C4437" s="252"/>
      <c r="D4437" s="252"/>
      <c r="E4437" s="252"/>
      <c r="F4437" s="252"/>
      <c r="G4437" s="252"/>
      <c r="H4437" s="252"/>
      <c r="I4437" s="252"/>
      <c r="J4437" s="252"/>
      <c r="K4437" s="253"/>
    </row>
    <row r="4438" spans="1:11" ht="22" customHeight="1" x14ac:dyDescent="0.35">
      <c r="A4438" s="251"/>
      <c r="B4438" s="252"/>
      <c r="C4438" s="252"/>
      <c r="D4438" s="252"/>
      <c r="E4438" s="252"/>
      <c r="F4438" s="252"/>
      <c r="G4438" s="252"/>
      <c r="H4438" s="252"/>
      <c r="I4438" s="252"/>
      <c r="J4438" s="252"/>
      <c r="K4438" s="253"/>
    </row>
    <row r="4439" spans="1:11" ht="22" customHeight="1" x14ac:dyDescent="0.35">
      <c r="A4439" s="251"/>
      <c r="B4439" s="252"/>
      <c r="C4439" s="252"/>
      <c r="D4439" s="252"/>
      <c r="E4439" s="252"/>
      <c r="F4439" s="252"/>
      <c r="G4439" s="252"/>
      <c r="H4439" s="252"/>
      <c r="I4439" s="252"/>
      <c r="J4439" s="252"/>
      <c r="K4439" s="253"/>
    </row>
    <row r="4440" spans="1:11" ht="22" customHeight="1" x14ac:dyDescent="0.35">
      <c r="A4440" s="251"/>
      <c r="B4440" s="252"/>
      <c r="C4440" s="252"/>
      <c r="D4440" s="252"/>
      <c r="E4440" s="252"/>
      <c r="F4440" s="252"/>
      <c r="G4440" s="252"/>
      <c r="H4440" s="252"/>
      <c r="I4440" s="252"/>
      <c r="J4440" s="252"/>
      <c r="K4440" s="253"/>
    </row>
    <row r="4441" spans="1:11" ht="22" customHeight="1" x14ac:dyDescent="0.35">
      <c r="A4441" s="251"/>
      <c r="B4441" s="252"/>
      <c r="C4441" s="252"/>
      <c r="D4441" s="252"/>
      <c r="E4441" s="252"/>
      <c r="F4441" s="252"/>
      <c r="G4441" s="252"/>
      <c r="H4441" s="252"/>
      <c r="I4441" s="252"/>
      <c r="J4441" s="252"/>
      <c r="K4441" s="253"/>
    </row>
    <row r="4442" spans="1:11" ht="22" customHeight="1" x14ac:dyDescent="0.35">
      <c r="A4442" s="251"/>
      <c r="B4442" s="252"/>
      <c r="C4442" s="252"/>
      <c r="D4442" s="252"/>
      <c r="E4442" s="252"/>
      <c r="F4442" s="252"/>
      <c r="G4442" s="252"/>
      <c r="H4442" s="252"/>
      <c r="I4442" s="252"/>
      <c r="J4442" s="252"/>
      <c r="K4442" s="253"/>
    </row>
    <row r="4443" spans="1:11" ht="22" customHeight="1" x14ac:dyDescent="0.35">
      <c r="A4443" s="251"/>
      <c r="B4443" s="252"/>
      <c r="C4443" s="252"/>
      <c r="D4443" s="252"/>
      <c r="E4443" s="252"/>
      <c r="F4443" s="252"/>
      <c r="G4443" s="252"/>
      <c r="H4443" s="252"/>
      <c r="I4443" s="252"/>
      <c r="J4443" s="252"/>
      <c r="K4443" s="253"/>
    </row>
    <row r="4444" spans="1:11" ht="22" customHeight="1" x14ac:dyDescent="0.35">
      <c r="A4444" s="251"/>
      <c r="B4444" s="252"/>
      <c r="C4444" s="252"/>
      <c r="D4444" s="252"/>
      <c r="E4444" s="252"/>
      <c r="F4444" s="252"/>
      <c r="G4444" s="252"/>
      <c r="H4444" s="252"/>
      <c r="I4444" s="252"/>
      <c r="J4444" s="252"/>
      <c r="K4444" s="253"/>
    </row>
    <row r="4445" spans="1:11" ht="22" customHeight="1" x14ac:dyDescent="0.35">
      <c r="A4445" s="251"/>
      <c r="B4445" s="252"/>
      <c r="C4445" s="252"/>
      <c r="D4445" s="252"/>
      <c r="E4445" s="252"/>
      <c r="F4445" s="252"/>
      <c r="G4445" s="252"/>
      <c r="H4445" s="252"/>
      <c r="I4445" s="252"/>
      <c r="J4445" s="252"/>
      <c r="K4445" s="253"/>
    </row>
    <row r="4446" spans="1:11" ht="22" customHeight="1" x14ac:dyDescent="0.35">
      <c r="A4446" s="251"/>
      <c r="B4446" s="252"/>
      <c r="C4446" s="252"/>
      <c r="D4446" s="252"/>
      <c r="E4446" s="252"/>
      <c r="F4446" s="252"/>
      <c r="G4446" s="252"/>
      <c r="H4446" s="252"/>
      <c r="I4446" s="252"/>
      <c r="J4446" s="252"/>
      <c r="K4446" s="253"/>
    </row>
    <row r="4447" spans="1:11" ht="22" customHeight="1" x14ac:dyDescent="0.35">
      <c r="A4447" s="251"/>
      <c r="B4447" s="252"/>
      <c r="C4447" s="252"/>
      <c r="D4447" s="252"/>
      <c r="E4447" s="252"/>
      <c r="F4447" s="252"/>
      <c r="G4447" s="252"/>
      <c r="H4447" s="252"/>
      <c r="I4447" s="252"/>
      <c r="J4447" s="252"/>
      <c r="K4447" s="253"/>
    </row>
    <row r="4448" spans="1:11" ht="22" customHeight="1" x14ac:dyDescent="0.35">
      <c r="A4448" s="251"/>
      <c r="B4448" s="252"/>
      <c r="C4448" s="252"/>
      <c r="D4448" s="252"/>
      <c r="E4448" s="252"/>
      <c r="F4448" s="252"/>
      <c r="G4448" s="252"/>
      <c r="H4448" s="252"/>
      <c r="I4448" s="252"/>
      <c r="J4448" s="252"/>
      <c r="K4448" s="253"/>
    </row>
    <row r="4449" spans="1:11" ht="22" customHeight="1" x14ac:dyDescent="0.35">
      <c r="A4449" s="251"/>
      <c r="B4449" s="252"/>
      <c r="C4449" s="252"/>
      <c r="D4449" s="252"/>
      <c r="E4449" s="252"/>
      <c r="F4449" s="252"/>
      <c r="G4449" s="252"/>
      <c r="H4449" s="252"/>
      <c r="I4449" s="252"/>
      <c r="J4449" s="252"/>
      <c r="K4449" s="253"/>
    </row>
    <row r="4450" spans="1:11" ht="22" customHeight="1" x14ac:dyDescent="0.35">
      <c r="A4450" s="251"/>
      <c r="B4450" s="252"/>
      <c r="C4450" s="252"/>
      <c r="D4450" s="252"/>
      <c r="E4450" s="252"/>
      <c r="F4450" s="252"/>
      <c r="G4450" s="252"/>
      <c r="H4450" s="252"/>
      <c r="I4450" s="252"/>
      <c r="J4450" s="252"/>
      <c r="K4450" s="253"/>
    </row>
    <row r="4451" spans="1:11" ht="22" customHeight="1" x14ac:dyDescent="0.35">
      <c r="A4451" s="251"/>
      <c r="B4451" s="252"/>
      <c r="C4451" s="252"/>
      <c r="D4451" s="252"/>
      <c r="E4451" s="252"/>
      <c r="F4451" s="252"/>
      <c r="G4451" s="252"/>
      <c r="H4451" s="252"/>
      <c r="I4451" s="252"/>
      <c r="J4451" s="252"/>
      <c r="K4451" s="253"/>
    </row>
    <row r="4452" spans="1:11" ht="22" customHeight="1" x14ac:dyDescent="0.35">
      <c r="A4452" s="251"/>
      <c r="B4452" s="252"/>
      <c r="C4452" s="252"/>
      <c r="D4452" s="252"/>
      <c r="E4452" s="252"/>
      <c r="F4452" s="252"/>
      <c r="G4452" s="252"/>
      <c r="H4452" s="252"/>
      <c r="I4452" s="252"/>
      <c r="J4452" s="252"/>
      <c r="K4452" s="253"/>
    </row>
    <row r="4453" spans="1:11" ht="22" customHeight="1" x14ac:dyDescent="0.35">
      <c r="A4453" s="251"/>
      <c r="B4453" s="252"/>
      <c r="C4453" s="252"/>
      <c r="D4453" s="252"/>
      <c r="E4453" s="252"/>
      <c r="F4453" s="252"/>
      <c r="G4453" s="252"/>
      <c r="H4453" s="252"/>
      <c r="I4453" s="252"/>
      <c r="J4453" s="252"/>
      <c r="K4453" s="253"/>
    </row>
    <row r="4454" spans="1:11" ht="22" customHeight="1" x14ac:dyDescent="0.35">
      <c r="A4454" s="251"/>
      <c r="B4454" s="252"/>
      <c r="C4454" s="252"/>
      <c r="D4454" s="252"/>
      <c r="E4454" s="252"/>
      <c r="F4454" s="252"/>
      <c r="G4454" s="252"/>
      <c r="H4454" s="252"/>
      <c r="I4454" s="252"/>
      <c r="J4454" s="252"/>
      <c r="K4454" s="253"/>
    </row>
    <row r="4455" spans="1:11" ht="22" customHeight="1" x14ac:dyDescent="0.35">
      <c r="A4455" s="251"/>
      <c r="B4455" s="252"/>
      <c r="C4455" s="252"/>
      <c r="D4455" s="252"/>
      <c r="E4455" s="252"/>
      <c r="F4455" s="252"/>
      <c r="G4455" s="252"/>
      <c r="H4455" s="252"/>
      <c r="I4455" s="252"/>
      <c r="J4455" s="252"/>
      <c r="K4455" s="253"/>
    </row>
    <row r="4456" spans="1:11" ht="22" customHeight="1" x14ac:dyDescent="0.35">
      <c r="A4456" s="251"/>
      <c r="B4456" s="252"/>
      <c r="C4456" s="252"/>
      <c r="D4456" s="252"/>
      <c r="E4456" s="252"/>
      <c r="F4456" s="252"/>
      <c r="G4456" s="252"/>
      <c r="H4456" s="252"/>
      <c r="I4456" s="252"/>
      <c r="J4456" s="252"/>
      <c r="K4456" s="253"/>
    </row>
    <row r="4457" spans="1:11" ht="22" customHeight="1" x14ac:dyDescent="0.35">
      <c r="A4457" s="251"/>
      <c r="B4457" s="252"/>
      <c r="C4457" s="252"/>
      <c r="D4457" s="252"/>
      <c r="E4457" s="252"/>
      <c r="F4457" s="252"/>
      <c r="G4457" s="252"/>
      <c r="H4457" s="252"/>
      <c r="I4457" s="252"/>
      <c r="J4457" s="252"/>
      <c r="K4457" s="253"/>
    </row>
    <row r="4458" spans="1:11" ht="22" customHeight="1" x14ac:dyDescent="0.35">
      <c r="A4458" s="251"/>
      <c r="B4458" s="252"/>
      <c r="C4458" s="252"/>
      <c r="D4458" s="252"/>
      <c r="E4458" s="252"/>
      <c r="F4458" s="252"/>
      <c r="G4458" s="252"/>
      <c r="H4458" s="252"/>
      <c r="I4458" s="252"/>
      <c r="J4458" s="252"/>
      <c r="K4458" s="253"/>
    </row>
    <row r="4459" spans="1:11" ht="22" customHeight="1" x14ac:dyDescent="0.35">
      <c r="A4459" s="251"/>
      <c r="B4459" s="252"/>
      <c r="C4459" s="252"/>
      <c r="D4459" s="252"/>
      <c r="E4459" s="252"/>
      <c r="F4459" s="252"/>
      <c r="G4459" s="252"/>
      <c r="H4459" s="252"/>
      <c r="I4459" s="252"/>
      <c r="J4459" s="252"/>
      <c r="K4459" s="253"/>
    </row>
    <row r="4460" spans="1:11" ht="22" customHeight="1" x14ac:dyDescent="0.35">
      <c r="A4460" s="251"/>
      <c r="B4460" s="252"/>
      <c r="C4460" s="252"/>
      <c r="D4460" s="252"/>
      <c r="E4460" s="252"/>
      <c r="F4460" s="252"/>
      <c r="G4460" s="252"/>
      <c r="H4460" s="252"/>
      <c r="I4460" s="252"/>
      <c r="J4460" s="252"/>
      <c r="K4460" s="253"/>
    </row>
    <row r="4461" spans="1:11" ht="22" customHeight="1" x14ac:dyDescent="0.35">
      <c r="A4461" s="251"/>
      <c r="B4461" s="252"/>
      <c r="C4461" s="252"/>
      <c r="D4461" s="252"/>
      <c r="E4461" s="252"/>
      <c r="F4461" s="252"/>
      <c r="G4461" s="252"/>
      <c r="H4461" s="252"/>
      <c r="I4461" s="252"/>
      <c r="J4461" s="252"/>
      <c r="K4461" s="253"/>
    </row>
    <row r="4462" spans="1:11" ht="22" customHeight="1" x14ac:dyDescent="0.35">
      <c r="A4462" s="251"/>
      <c r="B4462" s="252"/>
      <c r="C4462" s="252"/>
      <c r="D4462" s="252"/>
      <c r="E4462" s="252"/>
      <c r="F4462" s="252"/>
      <c r="G4462" s="252"/>
      <c r="H4462" s="252"/>
      <c r="I4462" s="252"/>
      <c r="J4462" s="252"/>
      <c r="K4462" s="253"/>
    </row>
    <row r="4463" spans="1:11" ht="22" customHeight="1" x14ac:dyDescent="0.35">
      <c r="A4463" s="251"/>
      <c r="B4463" s="252"/>
      <c r="C4463" s="252"/>
      <c r="D4463" s="252"/>
      <c r="E4463" s="252"/>
      <c r="F4463" s="252"/>
      <c r="G4463" s="252"/>
      <c r="H4463" s="252"/>
      <c r="I4463" s="252"/>
      <c r="J4463" s="252"/>
      <c r="K4463" s="253"/>
    </row>
    <row r="4464" spans="1:11" ht="22" customHeight="1" x14ac:dyDescent="0.35">
      <c r="A4464" s="251"/>
      <c r="B4464" s="252"/>
      <c r="C4464" s="252"/>
      <c r="D4464" s="252"/>
      <c r="E4464" s="252"/>
      <c r="F4464" s="252"/>
      <c r="G4464" s="252"/>
      <c r="H4464" s="252"/>
      <c r="I4464" s="252"/>
      <c r="J4464" s="252"/>
      <c r="K4464" s="253"/>
    </row>
    <row r="4465" spans="1:11" ht="22" customHeight="1" x14ac:dyDescent="0.35">
      <c r="A4465" s="251"/>
      <c r="B4465" s="252"/>
      <c r="C4465" s="252"/>
      <c r="D4465" s="252"/>
      <c r="E4465" s="252"/>
      <c r="F4465" s="252"/>
      <c r="G4465" s="252"/>
      <c r="H4465" s="252"/>
      <c r="I4465" s="252"/>
      <c r="J4465" s="252"/>
      <c r="K4465" s="253"/>
    </row>
    <row r="4466" spans="1:11" ht="22" customHeight="1" x14ac:dyDescent="0.35">
      <c r="A4466" s="251"/>
      <c r="B4466" s="252"/>
      <c r="C4466" s="252"/>
      <c r="D4466" s="252"/>
      <c r="E4466" s="252"/>
      <c r="F4466" s="252"/>
      <c r="G4466" s="252"/>
      <c r="H4466" s="252"/>
      <c r="I4466" s="252"/>
      <c r="J4466" s="252"/>
      <c r="K4466" s="253"/>
    </row>
    <row r="4467" spans="1:11" ht="22" customHeight="1" x14ac:dyDescent="0.35">
      <c r="A4467" s="251"/>
      <c r="B4467" s="252"/>
      <c r="C4467" s="252"/>
      <c r="D4467" s="252"/>
      <c r="E4467" s="252"/>
      <c r="F4467" s="252"/>
      <c r="G4467" s="252"/>
      <c r="H4467" s="252"/>
      <c r="I4467" s="252"/>
      <c r="J4467" s="252"/>
      <c r="K4467" s="253"/>
    </row>
    <row r="4468" spans="1:11" ht="22" customHeight="1" x14ac:dyDescent="0.35">
      <c r="A4468" s="251"/>
      <c r="B4468" s="252"/>
      <c r="C4468" s="252"/>
      <c r="D4468" s="252"/>
      <c r="E4468" s="252"/>
      <c r="F4468" s="252"/>
      <c r="G4468" s="252"/>
      <c r="H4468" s="252"/>
      <c r="I4468" s="252"/>
      <c r="J4468" s="252"/>
      <c r="K4468" s="253"/>
    </row>
    <row r="4469" spans="1:11" ht="22" customHeight="1" x14ac:dyDescent="0.35">
      <c r="A4469" s="251"/>
      <c r="B4469" s="252"/>
      <c r="C4469" s="252"/>
      <c r="D4469" s="252"/>
      <c r="E4469" s="252"/>
      <c r="F4469" s="252"/>
      <c r="G4469" s="252"/>
      <c r="H4469" s="252"/>
      <c r="I4469" s="252"/>
      <c r="J4469" s="252"/>
      <c r="K4469" s="253"/>
    </row>
    <row r="4470" spans="1:11" ht="22" customHeight="1" x14ac:dyDescent="0.35">
      <c r="A4470" s="251"/>
      <c r="B4470" s="252"/>
      <c r="C4470" s="252"/>
      <c r="D4470" s="252"/>
      <c r="E4470" s="252"/>
      <c r="F4470" s="252"/>
      <c r="G4470" s="252"/>
      <c r="H4470" s="252"/>
      <c r="I4470" s="252"/>
      <c r="J4470" s="252"/>
      <c r="K4470" s="253"/>
    </row>
    <row r="4471" spans="1:11" ht="22" customHeight="1" x14ac:dyDescent="0.35">
      <c r="A4471" s="251"/>
      <c r="B4471" s="252"/>
      <c r="C4471" s="252"/>
      <c r="D4471" s="252"/>
      <c r="E4471" s="252"/>
      <c r="F4471" s="252"/>
      <c r="G4471" s="252"/>
      <c r="H4471" s="252"/>
      <c r="I4471" s="252"/>
      <c r="J4471" s="252"/>
      <c r="K4471" s="253"/>
    </row>
    <row r="4472" spans="1:11" ht="22" customHeight="1" x14ac:dyDescent="0.35">
      <c r="A4472" s="251"/>
      <c r="B4472" s="252"/>
      <c r="C4472" s="252"/>
      <c r="D4472" s="252"/>
      <c r="E4472" s="252"/>
      <c r="F4472" s="252"/>
      <c r="G4472" s="252"/>
      <c r="H4472" s="252"/>
      <c r="I4472" s="252"/>
      <c r="J4472" s="252"/>
      <c r="K4472" s="253"/>
    </row>
    <row r="4473" spans="1:11" ht="22" customHeight="1" x14ac:dyDescent="0.35">
      <c r="A4473" s="251"/>
      <c r="B4473" s="252"/>
      <c r="C4473" s="252"/>
      <c r="D4473" s="252"/>
      <c r="E4473" s="252"/>
      <c r="F4473" s="252"/>
      <c r="G4473" s="252"/>
      <c r="H4473" s="252"/>
      <c r="I4473" s="252"/>
      <c r="J4473" s="252"/>
      <c r="K4473" s="253"/>
    </row>
    <row r="4474" spans="1:11" ht="22" customHeight="1" x14ac:dyDescent="0.35">
      <c r="A4474" s="251"/>
      <c r="B4474" s="252"/>
      <c r="C4474" s="252"/>
      <c r="D4474" s="252"/>
      <c r="E4474" s="252"/>
      <c r="F4474" s="252"/>
      <c r="G4474" s="252"/>
      <c r="H4474" s="252"/>
      <c r="I4474" s="252"/>
      <c r="J4474" s="252"/>
      <c r="K4474" s="253"/>
    </row>
    <row r="4475" spans="1:11" ht="22" customHeight="1" x14ac:dyDescent="0.35">
      <c r="A4475" s="251"/>
      <c r="B4475" s="252"/>
      <c r="C4475" s="252"/>
      <c r="D4475" s="252"/>
      <c r="E4475" s="252"/>
      <c r="F4475" s="252"/>
      <c r="G4475" s="252"/>
      <c r="H4475" s="252"/>
      <c r="I4475" s="252"/>
      <c r="J4475" s="252"/>
      <c r="K4475" s="253"/>
    </row>
    <row r="4476" spans="1:11" ht="22" customHeight="1" x14ac:dyDescent="0.35">
      <c r="A4476" s="251"/>
      <c r="B4476" s="252"/>
      <c r="C4476" s="252"/>
      <c r="D4476" s="252"/>
      <c r="E4476" s="252"/>
      <c r="F4476" s="252"/>
      <c r="G4476" s="252"/>
      <c r="H4476" s="252"/>
      <c r="I4476" s="252"/>
      <c r="J4476" s="252"/>
      <c r="K4476" s="253"/>
    </row>
    <row r="4477" spans="1:11" ht="22" customHeight="1" x14ac:dyDescent="0.35">
      <c r="A4477" s="251"/>
      <c r="B4477" s="252"/>
      <c r="C4477" s="252"/>
      <c r="D4477" s="252"/>
      <c r="E4477" s="252"/>
      <c r="F4477" s="252"/>
      <c r="G4477" s="252"/>
      <c r="H4477" s="252"/>
      <c r="I4477" s="252"/>
      <c r="J4477" s="252"/>
      <c r="K4477" s="253"/>
    </row>
    <row r="4478" spans="1:11" ht="22" customHeight="1" x14ac:dyDescent="0.35">
      <c r="A4478" s="251"/>
      <c r="B4478" s="252"/>
      <c r="C4478" s="252"/>
      <c r="D4478" s="252"/>
      <c r="E4478" s="252"/>
      <c r="F4478" s="252"/>
      <c r="G4478" s="252"/>
      <c r="H4478" s="252"/>
      <c r="I4478" s="252"/>
      <c r="J4478" s="252"/>
      <c r="K4478" s="253"/>
    </row>
    <row r="4479" spans="1:11" ht="22" customHeight="1" x14ac:dyDescent="0.35">
      <c r="A4479" s="251"/>
      <c r="B4479" s="252"/>
      <c r="C4479" s="252"/>
      <c r="D4479" s="252"/>
      <c r="E4479" s="252"/>
      <c r="F4479" s="252"/>
      <c r="G4479" s="252"/>
      <c r="H4479" s="252"/>
      <c r="I4479" s="252"/>
      <c r="J4479" s="252"/>
      <c r="K4479" s="253"/>
    </row>
    <row r="4480" spans="1:11" ht="22" customHeight="1" x14ac:dyDescent="0.35">
      <c r="A4480" s="251"/>
      <c r="B4480" s="252"/>
      <c r="C4480" s="252"/>
      <c r="D4480" s="252"/>
      <c r="E4480" s="252"/>
      <c r="F4480" s="252"/>
      <c r="G4480" s="252"/>
      <c r="H4480" s="252"/>
      <c r="I4480" s="252"/>
      <c r="J4480" s="252"/>
      <c r="K4480" s="253"/>
    </row>
    <row r="4481" spans="1:11" ht="22" customHeight="1" x14ac:dyDescent="0.35">
      <c r="A4481" s="251"/>
      <c r="B4481" s="252"/>
      <c r="C4481" s="252"/>
      <c r="D4481" s="252"/>
      <c r="E4481" s="252"/>
      <c r="F4481" s="252"/>
      <c r="G4481" s="252"/>
      <c r="H4481" s="252"/>
      <c r="I4481" s="252"/>
      <c r="J4481" s="252"/>
      <c r="K4481" s="253"/>
    </row>
    <row r="4482" spans="1:11" ht="22" customHeight="1" x14ac:dyDescent="0.35">
      <c r="A4482" s="251"/>
      <c r="B4482" s="252"/>
      <c r="C4482" s="252"/>
      <c r="D4482" s="252"/>
      <c r="E4482" s="252"/>
      <c r="F4482" s="252"/>
      <c r="G4482" s="252"/>
      <c r="H4482" s="252"/>
      <c r="I4482" s="252"/>
      <c r="J4482" s="252"/>
      <c r="K4482" s="253"/>
    </row>
    <row r="4483" spans="1:11" ht="22" customHeight="1" x14ac:dyDescent="0.35">
      <c r="A4483" s="251"/>
      <c r="B4483" s="252"/>
      <c r="C4483" s="252"/>
      <c r="D4483" s="252"/>
      <c r="E4483" s="252"/>
      <c r="F4483" s="252"/>
      <c r="G4483" s="252"/>
      <c r="H4483" s="252"/>
      <c r="I4483" s="252"/>
      <c r="J4483" s="252"/>
      <c r="K4483" s="253"/>
    </row>
    <row r="4484" spans="1:11" ht="22" customHeight="1" x14ac:dyDescent="0.35">
      <c r="A4484" s="251"/>
      <c r="B4484" s="252"/>
      <c r="C4484" s="252"/>
      <c r="D4484" s="252"/>
      <c r="E4484" s="252"/>
      <c r="F4484" s="252"/>
      <c r="G4484" s="252"/>
      <c r="H4484" s="252"/>
      <c r="I4484" s="252"/>
      <c r="J4484" s="252"/>
      <c r="K4484" s="253"/>
    </row>
    <row r="4485" spans="1:11" ht="22" customHeight="1" x14ac:dyDescent="0.35">
      <c r="A4485" s="251"/>
      <c r="B4485" s="252"/>
      <c r="C4485" s="252"/>
      <c r="D4485" s="252"/>
      <c r="E4485" s="252"/>
      <c r="F4485" s="252"/>
      <c r="G4485" s="252"/>
      <c r="H4485" s="252"/>
      <c r="I4485" s="252"/>
      <c r="J4485" s="252"/>
      <c r="K4485" s="253"/>
    </row>
    <row r="4486" spans="1:11" ht="22" customHeight="1" x14ac:dyDescent="0.35">
      <c r="A4486" s="251"/>
      <c r="B4486" s="252"/>
      <c r="C4486" s="252"/>
      <c r="D4486" s="252"/>
      <c r="E4486" s="252"/>
      <c r="F4486" s="252"/>
      <c r="G4486" s="252"/>
      <c r="H4486" s="252"/>
      <c r="I4486" s="252"/>
      <c r="J4486" s="252"/>
      <c r="K4486" s="253"/>
    </row>
    <row r="4487" spans="1:11" ht="22" customHeight="1" x14ac:dyDescent="0.35">
      <c r="A4487" s="251"/>
      <c r="B4487" s="252"/>
      <c r="C4487" s="252"/>
      <c r="D4487" s="252"/>
      <c r="E4487" s="252"/>
      <c r="F4487" s="252"/>
      <c r="G4487" s="252"/>
      <c r="H4487" s="252"/>
      <c r="I4487" s="252"/>
      <c r="J4487" s="252"/>
      <c r="K4487" s="253"/>
    </row>
    <row r="4488" spans="1:11" ht="22" customHeight="1" x14ac:dyDescent="0.35">
      <c r="A4488" s="251"/>
      <c r="B4488" s="252"/>
      <c r="C4488" s="252"/>
      <c r="D4488" s="252"/>
      <c r="E4488" s="252"/>
      <c r="F4488" s="252"/>
      <c r="G4488" s="252"/>
      <c r="H4488" s="252"/>
      <c r="I4488" s="252"/>
      <c r="J4488" s="252"/>
      <c r="K4488" s="253"/>
    </row>
    <row r="4489" spans="1:11" ht="22" customHeight="1" x14ac:dyDescent="0.35">
      <c r="A4489" s="251"/>
      <c r="B4489" s="252"/>
      <c r="C4489" s="252"/>
      <c r="D4489" s="252"/>
      <c r="E4489" s="252"/>
      <c r="F4489" s="252"/>
      <c r="G4489" s="252"/>
      <c r="H4489" s="252"/>
      <c r="I4489" s="252"/>
      <c r="J4489" s="252"/>
      <c r="K4489" s="253"/>
    </row>
    <row r="4490" spans="1:11" ht="22" customHeight="1" x14ac:dyDescent="0.35">
      <c r="A4490" s="251"/>
      <c r="B4490" s="252"/>
      <c r="C4490" s="252"/>
      <c r="D4490" s="252"/>
      <c r="E4490" s="252"/>
      <c r="F4490" s="252"/>
      <c r="G4490" s="252"/>
      <c r="H4490" s="252"/>
      <c r="I4490" s="252"/>
      <c r="J4490" s="252"/>
      <c r="K4490" s="253"/>
    </row>
    <row r="4491" spans="1:11" ht="22" customHeight="1" x14ac:dyDescent="0.35">
      <c r="A4491" s="251"/>
      <c r="B4491" s="252"/>
      <c r="C4491" s="252"/>
      <c r="D4491" s="252"/>
      <c r="E4491" s="252"/>
      <c r="F4491" s="252"/>
      <c r="G4491" s="252"/>
      <c r="H4491" s="252"/>
      <c r="I4491" s="252"/>
      <c r="J4491" s="252"/>
      <c r="K4491" s="253"/>
    </row>
    <row r="4492" spans="1:11" ht="22" customHeight="1" x14ac:dyDescent="0.35">
      <c r="A4492" s="251"/>
      <c r="B4492" s="252"/>
      <c r="C4492" s="252"/>
      <c r="D4492" s="252"/>
      <c r="E4492" s="252"/>
      <c r="F4492" s="252"/>
      <c r="G4492" s="252"/>
      <c r="H4492" s="252"/>
      <c r="I4492" s="252"/>
      <c r="J4492" s="252"/>
      <c r="K4492" s="253"/>
    </row>
    <row r="4493" spans="1:11" ht="22" customHeight="1" x14ac:dyDescent="0.35">
      <c r="A4493" s="251"/>
      <c r="B4493" s="252"/>
      <c r="C4493" s="252"/>
      <c r="D4493" s="252"/>
      <c r="E4493" s="252"/>
      <c r="F4493" s="252"/>
      <c r="G4493" s="252"/>
      <c r="H4493" s="252"/>
      <c r="I4493" s="252"/>
      <c r="J4493" s="252"/>
      <c r="K4493" s="253"/>
    </row>
    <row r="4494" spans="1:11" ht="22" customHeight="1" x14ac:dyDescent="0.35">
      <c r="A4494" s="251"/>
      <c r="B4494" s="252"/>
      <c r="C4494" s="252"/>
      <c r="D4494" s="252"/>
      <c r="E4494" s="252"/>
      <c r="F4494" s="252"/>
      <c r="G4494" s="252"/>
      <c r="H4494" s="252"/>
      <c r="I4494" s="252"/>
      <c r="J4494" s="252"/>
      <c r="K4494" s="253"/>
    </row>
    <row r="4495" spans="1:11" ht="22" customHeight="1" x14ac:dyDescent="0.35">
      <c r="A4495" s="251"/>
      <c r="B4495" s="252"/>
      <c r="C4495" s="252"/>
      <c r="D4495" s="252"/>
      <c r="E4495" s="252"/>
      <c r="F4495" s="252"/>
      <c r="G4495" s="252"/>
      <c r="H4495" s="252"/>
      <c r="I4495" s="252"/>
      <c r="J4495" s="252"/>
      <c r="K4495" s="253"/>
    </row>
    <row r="4496" spans="1:11" ht="22" customHeight="1" x14ac:dyDescent="0.35">
      <c r="A4496" s="251"/>
      <c r="B4496" s="252"/>
      <c r="C4496" s="252"/>
      <c r="D4496" s="252"/>
      <c r="E4496" s="252"/>
      <c r="F4496" s="252"/>
      <c r="G4496" s="252"/>
      <c r="H4496" s="252"/>
      <c r="I4496" s="252"/>
      <c r="J4496" s="252"/>
      <c r="K4496" s="253"/>
    </row>
    <row r="4497" spans="1:11" ht="22" customHeight="1" x14ac:dyDescent="0.35">
      <c r="A4497" s="251"/>
      <c r="B4497" s="252"/>
      <c r="C4497" s="252"/>
      <c r="D4497" s="252"/>
      <c r="E4497" s="252"/>
      <c r="F4497" s="252"/>
      <c r="G4497" s="252"/>
      <c r="H4497" s="252"/>
      <c r="I4497" s="252"/>
      <c r="J4497" s="252"/>
      <c r="K4497" s="253"/>
    </row>
    <row r="4498" spans="1:11" ht="22" customHeight="1" x14ac:dyDescent="0.35">
      <c r="A4498" s="251"/>
      <c r="B4498" s="252"/>
      <c r="C4498" s="252"/>
      <c r="D4498" s="252"/>
      <c r="E4498" s="252"/>
      <c r="F4498" s="252"/>
      <c r="G4498" s="252"/>
      <c r="H4498" s="252"/>
      <c r="I4498" s="252"/>
      <c r="J4498" s="252"/>
      <c r="K4498" s="253"/>
    </row>
    <row r="4499" spans="1:11" ht="22" customHeight="1" x14ac:dyDescent="0.35">
      <c r="A4499" s="251"/>
      <c r="B4499" s="252"/>
      <c r="C4499" s="252"/>
      <c r="D4499" s="252"/>
      <c r="E4499" s="252"/>
      <c r="F4499" s="252"/>
      <c r="G4499" s="252"/>
      <c r="H4499" s="252"/>
      <c r="I4499" s="252"/>
      <c r="J4499" s="252"/>
      <c r="K4499" s="253"/>
    </row>
    <row r="4500" spans="1:11" ht="22" customHeight="1" x14ac:dyDescent="0.35">
      <c r="A4500" s="251"/>
      <c r="B4500" s="252"/>
      <c r="C4500" s="252"/>
      <c r="D4500" s="252"/>
      <c r="E4500" s="252"/>
      <c r="F4500" s="252"/>
      <c r="G4500" s="252"/>
      <c r="H4500" s="252"/>
      <c r="I4500" s="252"/>
      <c r="J4500" s="252"/>
      <c r="K4500" s="253"/>
    </row>
    <row r="4501" spans="1:11" ht="22" customHeight="1" x14ac:dyDescent="0.35">
      <c r="A4501" s="251"/>
      <c r="B4501" s="252"/>
      <c r="C4501" s="252"/>
      <c r="D4501" s="252"/>
      <c r="E4501" s="252"/>
      <c r="F4501" s="252"/>
      <c r="G4501" s="252"/>
      <c r="H4501" s="252"/>
      <c r="I4501" s="252"/>
      <c r="J4501" s="252"/>
      <c r="K4501" s="253"/>
    </row>
    <row r="4502" spans="1:11" ht="22" customHeight="1" x14ac:dyDescent="0.35">
      <c r="A4502" s="251"/>
      <c r="B4502" s="252"/>
      <c r="C4502" s="252"/>
      <c r="D4502" s="252"/>
      <c r="E4502" s="252"/>
      <c r="F4502" s="252"/>
      <c r="G4502" s="252"/>
      <c r="H4502" s="252"/>
      <c r="I4502" s="252"/>
      <c r="J4502" s="252"/>
      <c r="K4502" s="253"/>
    </row>
    <row r="4503" spans="1:11" ht="22" customHeight="1" x14ac:dyDescent="0.35">
      <c r="A4503" s="251"/>
      <c r="B4503" s="252"/>
      <c r="C4503" s="252"/>
      <c r="D4503" s="252"/>
      <c r="E4503" s="252"/>
      <c r="F4503" s="252"/>
      <c r="G4503" s="252"/>
      <c r="H4503" s="252"/>
      <c r="I4503" s="252"/>
      <c r="J4503" s="252"/>
      <c r="K4503" s="253"/>
    </row>
    <row r="4504" spans="1:11" ht="22" customHeight="1" x14ac:dyDescent="0.35">
      <c r="A4504" s="251"/>
      <c r="B4504" s="252"/>
      <c r="C4504" s="252"/>
      <c r="D4504" s="252"/>
      <c r="E4504" s="252"/>
      <c r="F4504" s="252"/>
      <c r="G4504" s="252"/>
      <c r="H4504" s="252"/>
      <c r="I4504" s="252"/>
      <c r="J4504" s="252"/>
      <c r="K4504" s="253"/>
    </row>
    <row r="4505" spans="1:11" ht="22" customHeight="1" x14ac:dyDescent="0.35">
      <c r="A4505" s="251"/>
      <c r="B4505" s="252"/>
      <c r="C4505" s="252"/>
      <c r="D4505" s="252"/>
      <c r="E4505" s="252"/>
      <c r="F4505" s="252"/>
      <c r="G4505" s="252"/>
      <c r="H4505" s="252"/>
      <c r="I4505" s="252"/>
      <c r="J4505" s="252"/>
      <c r="K4505" s="253"/>
    </row>
    <row r="4506" spans="1:11" ht="22" customHeight="1" x14ac:dyDescent="0.35">
      <c r="A4506" s="251"/>
      <c r="B4506" s="252"/>
      <c r="C4506" s="252"/>
      <c r="D4506" s="252"/>
      <c r="E4506" s="252"/>
      <c r="F4506" s="252"/>
      <c r="G4506" s="252"/>
      <c r="H4506" s="252"/>
      <c r="I4506" s="252"/>
      <c r="J4506" s="252"/>
      <c r="K4506" s="253"/>
    </row>
    <row r="4507" spans="1:11" ht="22" customHeight="1" x14ac:dyDescent="0.35">
      <c r="A4507" s="251"/>
      <c r="B4507" s="252"/>
      <c r="C4507" s="252"/>
      <c r="D4507" s="252"/>
      <c r="E4507" s="252"/>
      <c r="F4507" s="252"/>
      <c r="G4507" s="252"/>
      <c r="H4507" s="252"/>
      <c r="I4507" s="252"/>
      <c r="J4507" s="252"/>
      <c r="K4507" s="253"/>
    </row>
    <row r="4508" spans="1:11" ht="22" customHeight="1" x14ac:dyDescent="0.35">
      <c r="A4508" s="251"/>
      <c r="B4508" s="252"/>
      <c r="C4508" s="252"/>
      <c r="D4508" s="252"/>
      <c r="E4508" s="252"/>
      <c r="F4508" s="252"/>
      <c r="G4508" s="252"/>
      <c r="H4508" s="252"/>
      <c r="I4508" s="252"/>
      <c r="J4508" s="252"/>
      <c r="K4508" s="253"/>
    </row>
    <row r="4509" spans="1:11" ht="22" customHeight="1" x14ac:dyDescent="0.35">
      <c r="A4509" s="251"/>
      <c r="B4509" s="252"/>
      <c r="C4509" s="252"/>
      <c r="D4509" s="252"/>
      <c r="E4509" s="252"/>
      <c r="F4509" s="252"/>
      <c r="G4509" s="252"/>
      <c r="H4509" s="252"/>
      <c r="I4509" s="252"/>
      <c r="J4509" s="252"/>
      <c r="K4509" s="253"/>
    </row>
    <row r="4510" spans="1:11" ht="22" customHeight="1" x14ac:dyDescent="0.35">
      <c r="A4510" s="251"/>
      <c r="B4510" s="252"/>
      <c r="C4510" s="252"/>
      <c r="D4510" s="252"/>
      <c r="E4510" s="252"/>
      <c r="F4510" s="252"/>
      <c r="G4510" s="252"/>
      <c r="H4510" s="252"/>
      <c r="I4510" s="252"/>
      <c r="J4510" s="252"/>
      <c r="K4510" s="253"/>
    </row>
    <row r="4511" spans="1:11" ht="22" customHeight="1" x14ac:dyDescent="0.35">
      <c r="A4511" s="251"/>
      <c r="B4511" s="252"/>
      <c r="C4511" s="252"/>
      <c r="D4511" s="252"/>
      <c r="E4511" s="252"/>
      <c r="F4511" s="252"/>
      <c r="G4511" s="252"/>
      <c r="H4511" s="252"/>
      <c r="I4511" s="252"/>
      <c r="J4511" s="252"/>
      <c r="K4511" s="253"/>
    </row>
    <row r="4512" spans="1:11" ht="22" customHeight="1" x14ac:dyDescent="0.35">
      <c r="A4512" s="251"/>
      <c r="B4512" s="252"/>
      <c r="C4512" s="252"/>
      <c r="D4512" s="252"/>
      <c r="E4512" s="252"/>
      <c r="F4512" s="252"/>
      <c r="G4512" s="252"/>
      <c r="H4512" s="252"/>
      <c r="I4512" s="252"/>
      <c r="J4512" s="252"/>
      <c r="K4512" s="253"/>
    </row>
    <row r="4513" spans="1:11" ht="22" customHeight="1" x14ac:dyDescent="0.35">
      <c r="A4513" s="251"/>
      <c r="B4513" s="252"/>
      <c r="C4513" s="252"/>
      <c r="D4513" s="252"/>
      <c r="E4513" s="252"/>
      <c r="F4513" s="252"/>
      <c r="G4513" s="252"/>
      <c r="H4513" s="252"/>
      <c r="I4513" s="252"/>
      <c r="J4513" s="252"/>
      <c r="K4513" s="253"/>
    </row>
    <row r="4514" spans="1:11" ht="22" customHeight="1" x14ac:dyDescent="0.35">
      <c r="A4514" s="251"/>
      <c r="B4514" s="252"/>
      <c r="C4514" s="252"/>
      <c r="D4514" s="252"/>
      <c r="E4514" s="252"/>
      <c r="F4514" s="252"/>
      <c r="G4514" s="252"/>
      <c r="H4514" s="252"/>
      <c r="I4514" s="252"/>
      <c r="J4514" s="252"/>
      <c r="K4514" s="253"/>
    </row>
    <row r="4515" spans="1:11" ht="22" customHeight="1" x14ac:dyDescent="0.35">
      <c r="A4515" s="251"/>
      <c r="B4515" s="252"/>
      <c r="C4515" s="252"/>
      <c r="D4515" s="252"/>
      <c r="E4515" s="252"/>
      <c r="F4515" s="252"/>
      <c r="G4515" s="252"/>
      <c r="H4515" s="252"/>
      <c r="I4515" s="252"/>
      <c r="J4515" s="252"/>
      <c r="K4515" s="253"/>
    </row>
    <row r="4516" spans="1:11" ht="22" customHeight="1" x14ac:dyDescent="0.35">
      <c r="A4516" s="251"/>
      <c r="B4516" s="252"/>
      <c r="C4516" s="252"/>
      <c r="D4516" s="252"/>
      <c r="E4516" s="252"/>
      <c r="F4516" s="252"/>
      <c r="G4516" s="252"/>
      <c r="H4516" s="252"/>
      <c r="I4516" s="252"/>
      <c r="J4516" s="252"/>
      <c r="K4516" s="253"/>
    </row>
    <row r="4517" spans="1:11" ht="22" customHeight="1" x14ac:dyDescent="0.35">
      <c r="A4517" s="251"/>
      <c r="B4517" s="252"/>
      <c r="C4517" s="252"/>
      <c r="D4517" s="252"/>
      <c r="E4517" s="252"/>
      <c r="F4517" s="252"/>
      <c r="G4517" s="252"/>
      <c r="H4517" s="252"/>
      <c r="I4517" s="252"/>
      <c r="J4517" s="252"/>
      <c r="K4517" s="253"/>
    </row>
    <row r="4518" spans="1:11" ht="22" customHeight="1" x14ac:dyDescent="0.35">
      <c r="A4518" s="251"/>
      <c r="B4518" s="252"/>
      <c r="C4518" s="252"/>
      <c r="D4518" s="252"/>
      <c r="E4518" s="252"/>
      <c r="F4518" s="252"/>
      <c r="G4518" s="252"/>
      <c r="H4518" s="252"/>
      <c r="I4518" s="252"/>
      <c r="J4518" s="252"/>
      <c r="K4518" s="253"/>
    </row>
    <row r="4519" spans="1:11" ht="22" customHeight="1" x14ac:dyDescent="0.35">
      <c r="A4519" s="251"/>
      <c r="B4519" s="252"/>
      <c r="C4519" s="252"/>
      <c r="D4519" s="252"/>
      <c r="E4519" s="252"/>
      <c r="F4519" s="252"/>
      <c r="G4519" s="252"/>
      <c r="H4519" s="252"/>
      <c r="I4519" s="252"/>
      <c r="J4519" s="252"/>
      <c r="K4519" s="253"/>
    </row>
    <row r="4520" spans="1:11" ht="22" customHeight="1" x14ac:dyDescent="0.35">
      <c r="A4520" s="251"/>
      <c r="B4520" s="252"/>
      <c r="C4520" s="252"/>
      <c r="D4520" s="252"/>
      <c r="E4520" s="252"/>
      <c r="F4520" s="252"/>
      <c r="G4520" s="252"/>
      <c r="H4520" s="252"/>
      <c r="I4520" s="252"/>
      <c r="J4520" s="252"/>
      <c r="K4520" s="253"/>
    </row>
    <row r="4521" spans="1:11" ht="22" customHeight="1" x14ac:dyDescent="0.35">
      <c r="A4521" s="251"/>
      <c r="B4521" s="252"/>
      <c r="C4521" s="252"/>
      <c r="D4521" s="252"/>
      <c r="E4521" s="252"/>
      <c r="F4521" s="252"/>
      <c r="G4521" s="252"/>
      <c r="H4521" s="252"/>
      <c r="I4521" s="252"/>
      <c r="J4521" s="252"/>
      <c r="K4521" s="253"/>
    </row>
    <row r="4522" spans="1:11" ht="22" customHeight="1" x14ac:dyDescent="0.35">
      <c r="A4522" s="251"/>
      <c r="B4522" s="252"/>
      <c r="C4522" s="252"/>
      <c r="D4522" s="252"/>
      <c r="E4522" s="252"/>
      <c r="F4522" s="252"/>
      <c r="G4522" s="252"/>
      <c r="H4522" s="252"/>
      <c r="I4522" s="252"/>
      <c r="J4522" s="252"/>
      <c r="K4522" s="253"/>
    </row>
    <row r="4523" spans="1:11" ht="22" customHeight="1" x14ac:dyDescent="0.35">
      <c r="A4523" s="251"/>
      <c r="B4523" s="252"/>
      <c r="C4523" s="252"/>
      <c r="D4523" s="252"/>
      <c r="E4523" s="252"/>
      <c r="F4523" s="252"/>
      <c r="G4523" s="252"/>
      <c r="H4523" s="252"/>
      <c r="I4523" s="252"/>
      <c r="J4523" s="252"/>
      <c r="K4523" s="253"/>
    </row>
    <row r="4524" spans="1:11" ht="22" customHeight="1" x14ac:dyDescent="0.35">
      <c r="A4524" s="251"/>
      <c r="B4524" s="252"/>
      <c r="C4524" s="252"/>
      <c r="D4524" s="252"/>
      <c r="E4524" s="252"/>
      <c r="F4524" s="252"/>
      <c r="G4524" s="252"/>
      <c r="H4524" s="252"/>
      <c r="I4524" s="252"/>
      <c r="J4524" s="252"/>
      <c r="K4524" s="253"/>
    </row>
    <row r="4525" spans="1:11" ht="22" customHeight="1" x14ac:dyDescent="0.35">
      <c r="A4525" s="251"/>
      <c r="B4525" s="252"/>
      <c r="C4525" s="252"/>
      <c r="D4525" s="252"/>
      <c r="E4525" s="252"/>
      <c r="F4525" s="252"/>
      <c r="G4525" s="252"/>
      <c r="H4525" s="252"/>
      <c r="I4525" s="252"/>
      <c r="J4525" s="252"/>
      <c r="K4525" s="253"/>
    </row>
    <row r="4526" spans="1:11" ht="22" customHeight="1" x14ac:dyDescent="0.35">
      <c r="A4526" s="251"/>
      <c r="B4526" s="252"/>
      <c r="C4526" s="252"/>
      <c r="D4526" s="252"/>
      <c r="E4526" s="252"/>
      <c r="F4526" s="252"/>
      <c r="G4526" s="252"/>
      <c r="H4526" s="252"/>
      <c r="I4526" s="252"/>
      <c r="J4526" s="252"/>
      <c r="K4526" s="253"/>
    </row>
    <row r="4527" spans="1:11" ht="22" customHeight="1" x14ac:dyDescent="0.35">
      <c r="A4527" s="251"/>
      <c r="B4527" s="252"/>
      <c r="C4527" s="252"/>
      <c r="D4527" s="252"/>
      <c r="E4527" s="252"/>
      <c r="F4527" s="252"/>
      <c r="G4527" s="252"/>
      <c r="H4527" s="252"/>
      <c r="I4527" s="252"/>
      <c r="J4527" s="252"/>
      <c r="K4527" s="253"/>
    </row>
    <row r="4528" spans="1:11" ht="22" customHeight="1" x14ac:dyDescent="0.35">
      <c r="A4528" s="251"/>
      <c r="B4528" s="252"/>
      <c r="C4528" s="252"/>
      <c r="D4528" s="252"/>
      <c r="E4528" s="252"/>
      <c r="F4528" s="252"/>
      <c r="G4528" s="252"/>
      <c r="H4528" s="252"/>
      <c r="I4528" s="252"/>
      <c r="J4528" s="252"/>
      <c r="K4528" s="253"/>
    </row>
    <row r="4529" spans="1:11" ht="22" customHeight="1" x14ac:dyDescent="0.35">
      <c r="A4529" s="251"/>
      <c r="B4529" s="252"/>
      <c r="C4529" s="252"/>
      <c r="D4529" s="252"/>
      <c r="E4529" s="252"/>
      <c r="F4529" s="252"/>
      <c r="G4529" s="252"/>
      <c r="H4529" s="252"/>
      <c r="I4529" s="252"/>
      <c r="J4529" s="252"/>
      <c r="K4529" s="253"/>
    </row>
    <row r="4530" spans="1:11" ht="22" customHeight="1" x14ac:dyDescent="0.35">
      <c r="A4530" s="251"/>
      <c r="B4530" s="252"/>
      <c r="C4530" s="252"/>
      <c r="D4530" s="252"/>
      <c r="E4530" s="252"/>
      <c r="F4530" s="252"/>
      <c r="G4530" s="252"/>
      <c r="H4530" s="252"/>
      <c r="I4530" s="252"/>
      <c r="J4530" s="252"/>
      <c r="K4530" s="253"/>
    </row>
    <row r="4531" spans="1:11" ht="22" customHeight="1" x14ac:dyDescent="0.35">
      <c r="A4531" s="251"/>
      <c r="B4531" s="252"/>
      <c r="C4531" s="252"/>
      <c r="D4531" s="252"/>
      <c r="E4531" s="252"/>
      <c r="F4531" s="252"/>
      <c r="G4531" s="252"/>
      <c r="H4531" s="252"/>
      <c r="I4531" s="252"/>
      <c r="J4531" s="252"/>
      <c r="K4531" s="253"/>
    </row>
    <row r="4532" spans="1:11" ht="22" customHeight="1" x14ac:dyDescent="0.35">
      <c r="A4532" s="251"/>
      <c r="B4532" s="252"/>
      <c r="C4532" s="252"/>
      <c r="D4532" s="252"/>
      <c r="E4532" s="252"/>
      <c r="F4532" s="252"/>
      <c r="G4532" s="252"/>
      <c r="H4532" s="252"/>
      <c r="I4532" s="252"/>
      <c r="J4532" s="252"/>
      <c r="K4532" s="253"/>
    </row>
    <row r="4533" spans="1:11" ht="22" customHeight="1" x14ac:dyDescent="0.35">
      <c r="A4533" s="251"/>
      <c r="B4533" s="252"/>
      <c r="C4533" s="252"/>
      <c r="D4533" s="252"/>
      <c r="E4533" s="252"/>
      <c r="F4533" s="252"/>
      <c r="G4533" s="252"/>
      <c r="H4533" s="252"/>
      <c r="I4533" s="252"/>
      <c r="J4533" s="252"/>
      <c r="K4533" s="253"/>
    </row>
    <row r="4534" spans="1:11" ht="22" customHeight="1" x14ac:dyDescent="0.35">
      <c r="A4534" s="251"/>
      <c r="B4534" s="252"/>
      <c r="C4534" s="252"/>
      <c r="D4534" s="252"/>
      <c r="E4534" s="252"/>
      <c r="F4534" s="252"/>
      <c r="G4534" s="252"/>
      <c r="H4534" s="252"/>
      <c r="I4534" s="252"/>
      <c r="J4534" s="252"/>
      <c r="K4534" s="253"/>
    </row>
    <row r="4535" spans="1:11" ht="22" customHeight="1" x14ac:dyDescent="0.35">
      <c r="A4535" s="251"/>
      <c r="B4535" s="252"/>
      <c r="C4535" s="252"/>
      <c r="D4535" s="252"/>
      <c r="E4535" s="252"/>
      <c r="F4535" s="252"/>
      <c r="G4535" s="252"/>
      <c r="H4535" s="252"/>
      <c r="I4535" s="252"/>
      <c r="J4535" s="252"/>
      <c r="K4535" s="253"/>
    </row>
    <row r="4536" spans="1:11" ht="22" customHeight="1" x14ac:dyDescent="0.35">
      <c r="A4536" s="251"/>
      <c r="B4536" s="252"/>
      <c r="C4536" s="252"/>
      <c r="D4536" s="252"/>
      <c r="E4536" s="252"/>
      <c r="F4536" s="252"/>
      <c r="G4536" s="252"/>
      <c r="H4536" s="252"/>
      <c r="I4536" s="252"/>
      <c r="J4536" s="252"/>
      <c r="K4536" s="253"/>
    </row>
    <row r="4537" spans="1:11" ht="22" customHeight="1" x14ac:dyDescent="0.35">
      <c r="A4537" s="251"/>
      <c r="B4537" s="252"/>
      <c r="C4537" s="252"/>
      <c r="D4537" s="252"/>
      <c r="E4537" s="252"/>
      <c r="F4537" s="252"/>
      <c r="G4537" s="252"/>
      <c r="H4537" s="252"/>
      <c r="I4537" s="252"/>
      <c r="J4537" s="252"/>
      <c r="K4537" s="253"/>
    </row>
    <row r="4538" spans="1:11" ht="22" customHeight="1" x14ac:dyDescent="0.35">
      <c r="A4538" s="251"/>
      <c r="B4538" s="252"/>
      <c r="C4538" s="252"/>
      <c r="D4538" s="252"/>
      <c r="E4538" s="252"/>
      <c r="F4538" s="252"/>
      <c r="G4538" s="252"/>
      <c r="H4538" s="252"/>
      <c r="I4538" s="252"/>
      <c r="J4538" s="252"/>
      <c r="K4538" s="253"/>
    </row>
    <row r="4539" spans="1:11" ht="22" customHeight="1" x14ac:dyDescent="0.35">
      <c r="A4539" s="251"/>
      <c r="B4539" s="252"/>
      <c r="C4539" s="252"/>
      <c r="D4539" s="252"/>
      <c r="E4539" s="252"/>
      <c r="F4539" s="252"/>
      <c r="G4539" s="252"/>
      <c r="H4539" s="252"/>
      <c r="I4539" s="252"/>
      <c r="J4539" s="252"/>
      <c r="K4539" s="253"/>
    </row>
    <row r="4540" spans="1:11" ht="22" customHeight="1" x14ac:dyDescent="0.35">
      <c r="A4540" s="251"/>
      <c r="B4540" s="252"/>
      <c r="C4540" s="252"/>
      <c r="D4540" s="252"/>
      <c r="E4540" s="252"/>
      <c r="F4540" s="252"/>
      <c r="G4540" s="252"/>
      <c r="H4540" s="252"/>
      <c r="I4540" s="252"/>
      <c r="J4540" s="252"/>
      <c r="K4540" s="253"/>
    </row>
    <row r="4541" spans="1:11" ht="22" customHeight="1" x14ac:dyDescent="0.35">
      <c r="A4541" s="251"/>
      <c r="B4541" s="252"/>
      <c r="C4541" s="252"/>
      <c r="D4541" s="252"/>
      <c r="E4541" s="252"/>
      <c r="F4541" s="252"/>
      <c r="G4541" s="252"/>
      <c r="H4541" s="252"/>
      <c r="I4541" s="252"/>
      <c r="J4541" s="252"/>
      <c r="K4541" s="253"/>
    </row>
    <row r="4542" spans="1:11" ht="22" customHeight="1" x14ac:dyDescent="0.35">
      <c r="A4542" s="251"/>
      <c r="B4542" s="252"/>
      <c r="C4542" s="252"/>
      <c r="D4542" s="252"/>
      <c r="E4542" s="252"/>
      <c r="F4542" s="252"/>
      <c r="G4542" s="252"/>
      <c r="H4542" s="252"/>
      <c r="I4542" s="252"/>
      <c r="J4542" s="252"/>
      <c r="K4542" s="253"/>
    </row>
    <row r="4543" spans="1:11" ht="22" customHeight="1" x14ac:dyDescent="0.35">
      <c r="A4543" s="251"/>
      <c r="B4543" s="252"/>
      <c r="C4543" s="252"/>
      <c r="D4543" s="252"/>
      <c r="E4543" s="252"/>
      <c r="F4543" s="252"/>
      <c r="G4543" s="252"/>
      <c r="H4543" s="252"/>
      <c r="I4543" s="252"/>
      <c r="J4543" s="252"/>
      <c r="K4543" s="253"/>
    </row>
    <row r="4544" spans="1:11" ht="22" customHeight="1" x14ac:dyDescent="0.35">
      <c r="A4544" s="251"/>
      <c r="B4544" s="252"/>
      <c r="C4544" s="252"/>
      <c r="D4544" s="252"/>
      <c r="E4544" s="252"/>
      <c r="F4544" s="252"/>
      <c r="G4544" s="252"/>
      <c r="H4544" s="252"/>
      <c r="I4544" s="252"/>
      <c r="J4544" s="252"/>
      <c r="K4544" s="253"/>
    </row>
    <row r="4545" spans="1:11" ht="22" customHeight="1" x14ac:dyDescent="0.35">
      <c r="A4545" s="251"/>
      <c r="B4545" s="252"/>
      <c r="C4545" s="252"/>
      <c r="D4545" s="252"/>
      <c r="E4545" s="252"/>
      <c r="F4545" s="252"/>
      <c r="G4545" s="252"/>
      <c r="H4545" s="252"/>
      <c r="I4545" s="252"/>
      <c r="J4545" s="252"/>
      <c r="K4545" s="253"/>
    </row>
    <row r="4546" spans="1:11" ht="22" customHeight="1" x14ac:dyDescent="0.35">
      <c r="A4546" s="251"/>
      <c r="B4546" s="252"/>
      <c r="C4546" s="252"/>
      <c r="D4546" s="252"/>
      <c r="E4546" s="252"/>
      <c r="F4546" s="252"/>
      <c r="G4546" s="252"/>
      <c r="H4546" s="252"/>
      <c r="I4546" s="252"/>
      <c r="J4546" s="252"/>
      <c r="K4546" s="253"/>
    </row>
    <row r="4547" spans="1:11" ht="22" customHeight="1" x14ac:dyDescent="0.35">
      <c r="A4547" s="251"/>
      <c r="B4547" s="252"/>
      <c r="C4547" s="252"/>
      <c r="D4547" s="252"/>
      <c r="E4547" s="252"/>
      <c r="F4547" s="252"/>
      <c r="G4547" s="252"/>
      <c r="H4547" s="252"/>
      <c r="I4547" s="252"/>
      <c r="J4547" s="252"/>
      <c r="K4547" s="253"/>
    </row>
    <row r="4548" spans="1:11" ht="22" customHeight="1" x14ac:dyDescent="0.35">
      <c r="A4548" s="251"/>
      <c r="B4548" s="252"/>
      <c r="C4548" s="252"/>
      <c r="D4548" s="252"/>
      <c r="E4548" s="252"/>
      <c r="F4548" s="252"/>
      <c r="G4548" s="252"/>
      <c r="H4548" s="252"/>
      <c r="I4548" s="252"/>
      <c r="J4548" s="252"/>
      <c r="K4548" s="253"/>
    </row>
    <row r="4549" spans="1:11" ht="22" customHeight="1" x14ac:dyDescent="0.35">
      <c r="A4549" s="251"/>
      <c r="B4549" s="252"/>
      <c r="C4549" s="252"/>
      <c r="D4549" s="252"/>
      <c r="E4549" s="252"/>
      <c r="F4549" s="252"/>
      <c r="G4549" s="252"/>
      <c r="H4549" s="252"/>
      <c r="I4549" s="252"/>
      <c r="J4549" s="252"/>
      <c r="K4549" s="253"/>
    </row>
    <row r="4550" spans="1:11" ht="22" customHeight="1" x14ac:dyDescent="0.35">
      <c r="A4550" s="251"/>
      <c r="B4550" s="252"/>
      <c r="C4550" s="252"/>
      <c r="D4550" s="252"/>
      <c r="E4550" s="252"/>
      <c r="F4550" s="252"/>
      <c r="G4550" s="252"/>
      <c r="H4550" s="252"/>
      <c r="I4550" s="252"/>
      <c r="J4550" s="252"/>
      <c r="K4550" s="253"/>
    </row>
    <row r="4551" spans="1:11" ht="22" customHeight="1" x14ac:dyDescent="0.35">
      <c r="A4551" s="251"/>
      <c r="B4551" s="252"/>
      <c r="C4551" s="252"/>
      <c r="D4551" s="252"/>
      <c r="E4551" s="252"/>
      <c r="F4551" s="252"/>
      <c r="G4551" s="252"/>
      <c r="H4551" s="252"/>
      <c r="I4551" s="252"/>
      <c r="J4551" s="252"/>
      <c r="K4551" s="253"/>
    </row>
    <row r="4552" spans="1:11" ht="22" customHeight="1" x14ac:dyDescent="0.35">
      <c r="A4552" s="251"/>
      <c r="B4552" s="252"/>
      <c r="C4552" s="252"/>
      <c r="D4552" s="252"/>
      <c r="E4552" s="252"/>
      <c r="F4552" s="252"/>
      <c r="G4552" s="252"/>
      <c r="H4552" s="252"/>
      <c r="I4552" s="252"/>
      <c r="J4552" s="252"/>
      <c r="K4552" s="253"/>
    </row>
    <row r="4553" spans="1:11" ht="22" customHeight="1" x14ac:dyDescent="0.35">
      <c r="A4553" s="251"/>
      <c r="B4553" s="252"/>
      <c r="C4553" s="252"/>
      <c r="D4553" s="252"/>
      <c r="E4553" s="252"/>
      <c r="F4553" s="252"/>
      <c r="G4553" s="252"/>
      <c r="H4553" s="252"/>
      <c r="I4553" s="252"/>
      <c r="J4553" s="252"/>
      <c r="K4553" s="253"/>
    </row>
    <row r="4554" spans="1:11" ht="22" customHeight="1" x14ac:dyDescent="0.35">
      <c r="A4554" s="251"/>
      <c r="B4554" s="252"/>
      <c r="C4554" s="252"/>
      <c r="D4554" s="252"/>
      <c r="E4554" s="252"/>
      <c r="F4554" s="252"/>
      <c r="G4554" s="252"/>
      <c r="H4554" s="252"/>
      <c r="I4554" s="252"/>
      <c r="J4554" s="252"/>
      <c r="K4554" s="253"/>
    </row>
    <row r="4555" spans="1:11" ht="22" customHeight="1" x14ac:dyDescent="0.35">
      <c r="A4555" s="251"/>
      <c r="B4555" s="252"/>
      <c r="C4555" s="252"/>
      <c r="D4555" s="252"/>
      <c r="E4555" s="252"/>
      <c r="F4555" s="252"/>
      <c r="G4555" s="252"/>
      <c r="H4555" s="252"/>
      <c r="I4555" s="252"/>
      <c r="J4555" s="252"/>
      <c r="K4555" s="253"/>
    </row>
    <row r="4556" spans="1:11" ht="22" customHeight="1" x14ac:dyDescent="0.35">
      <c r="A4556" s="251"/>
      <c r="B4556" s="252"/>
      <c r="C4556" s="252"/>
      <c r="D4556" s="252"/>
      <c r="E4556" s="252"/>
      <c r="F4556" s="252"/>
      <c r="G4556" s="252"/>
      <c r="H4556" s="252"/>
      <c r="I4556" s="252"/>
      <c r="J4556" s="252"/>
      <c r="K4556" s="253"/>
    </row>
    <row r="4557" spans="1:11" ht="22" customHeight="1" x14ac:dyDescent="0.35">
      <c r="A4557" s="251"/>
      <c r="B4557" s="252"/>
      <c r="C4557" s="252"/>
      <c r="D4557" s="252"/>
      <c r="E4557" s="252"/>
      <c r="F4557" s="252"/>
      <c r="G4557" s="252"/>
      <c r="H4557" s="252"/>
      <c r="I4557" s="252"/>
      <c r="J4557" s="252"/>
      <c r="K4557" s="253"/>
    </row>
    <row r="4558" spans="1:11" ht="22" customHeight="1" x14ac:dyDescent="0.35">
      <c r="A4558" s="251"/>
      <c r="B4558" s="252"/>
      <c r="C4558" s="252"/>
      <c r="D4558" s="252"/>
      <c r="E4558" s="252"/>
      <c r="F4558" s="252"/>
      <c r="G4558" s="252"/>
      <c r="H4558" s="252"/>
      <c r="I4558" s="252"/>
      <c r="J4558" s="252"/>
      <c r="K4558" s="253"/>
    </row>
    <row r="4559" spans="1:11" ht="22" customHeight="1" x14ac:dyDescent="0.35">
      <c r="A4559" s="251"/>
      <c r="B4559" s="252"/>
      <c r="C4559" s="252"/>
      <c r="D4559" s="252"/>
      <c r="E4559" s="252"/>
      <c r="F4559" s="252"/>
      <c r="G4559" s="252"/>
      <c r="H4559" s="252"/>
      <c r="I4559" s="252"/>
      <c r="J4559" s="252"/>
      <c r="K4559" s="253"/>
    </row>
    <row r="4560" spans="1:11" ht="22" customHeight="1" x14ac:dyDescent="0.35">
      <c r="A4560" s="251"/>
      <c r="B4560" s="252"/>
      <c r="C4560" s="252"/>
      <c r="D4560" s="252"/>
      <c r="E4560" s="252"/>
      <c r="F4560" s="252"/>
      <c r="G4560" s="252"/>
      <c r="H4560" s="252"/>
      <c r="I4560" s="252"/>
      <c r="J4560" s="252"/>
      <c r="K4560" s="253"/>
    </row>
    <row r="4561" spans="1:11" ht="22" customHeight="1" x14ac:dyDescent="0.35">
      <c r="A4561" s="251"/>
      <c r="B4561" s="252"/>
      <c r="C4561" s="252"/>
      <c r="D4561" s="252"/>
      <c r="E4561" s="252"/>
      <c r="F4561" s="252"/>
      <c r="G4561" s="252"/>
      <c r="H4561" s="252"/>
      <c r="I4561" s="252"/>
      <c r="J4561" s="252"/>
      <c r="K4561" s="253"/>
    </row>
    <row r="4562" spans="1:11" ht="22" customHeight="1" x14ac:dyDescent="0.35">
      <c r="A4562" s="251"/>
      <c r="B4562" s="252"/>
      <c r="C4562" s="252"/>
      <c r="D4562" s="252"/>
      <c r="E4562" s="252"/>
      <c r="F4562" s="252"/>
      <c r="G4562" s="252"/>
      <c r="H4562" s="252"/>
      <c r="I4562" s="252"/>
      <c r="J4562" s="252"/>
      <c r="K4562" s="253"/>
    </row>
    <row r="4563" spans="1:11" ht="22" customHeight="1" x14ac:dyDescent="0.35">
      <c r="A4563" s="251"/>
      <c r="B4563" s="252"/>
      <c r="C4563" s="252"/>
      <c r="D4563" s="252"/>
      <c r="E4563" s="252"/>
      <c r="F4563" s="252"/>
      <c r="G4563" s="252"/>
      <c r="H4563" s="252"/>
      <c r="I4563" s="252"/>
      <c r="J4563" s="252"/>
      <c r="K4563" s="253"/>
    </row>
    <row r="4564" spans="1:11" ht="22" customHeight="1" x14ac:dyDescent="0.35">
      <c r="A4564" s="251"/>
      <c r="B4564" s="252"/>
      <c r="C4564" s="252"/>
      <c r="D4564" s="252"/>
      <c r="E4564" s="252"/>
      <c r="F4564" s="252"/>
      <c r="G4564" s="252"/>
      <c r="H4564" s="252"/>
      <c r="I4564" s="252"/>
      <c r="J4564" s="252"/>
      <c r="K4564" s="253"/>
    </row>
    <row r="4565" spans="1:11" ht="22" customHeight="1" x14ac:dyDescent="0.35">
      <c r="A4565" s="251"/>
      <c r="B4565" s="252"/>
      <c r="C4565" s="252"/>
      <c r="D4565" s="252"/>
      <c r="E4565" s="252"/>
      <c r="F4565" s="252"/>
      <c r="G4565" s="252"/>
      <c r="H4565" s="252"/>
      <c r="I4565" s="252"/>
      <c r="J4565" s="252"/>
      <c r="K4565" s="253"/>
    </row>
    <row r="4566" spans="1:11" ht="22" customHeight="1" x14ac:dyDescent="0.35">
      <c r="A4566" s="251"/>
      <c r="B4566" s="252"/>
      <c r="C4566" s="252"/>
      <c r="D4566" s="252"/>
      <c r="E4566" s="252"/>
      <c r="F4566" s="252"/>
      <c r="G4566" s="252"/>
      <c r="H4566" s="252"/>
      <c r="I4566" s="252"/>
      <c r="J4566" s="252"/>
      <c r="K4566" s="253"/>
    </row>
    <row r="4567" spans="1:11" ht="22" customHeight="1" x14ac:dyDescent="0.35">
      <c r="A4567" s="251"/>
      <c r="B4567" s="252"/>
      <c r="C4567" s="252"/>
      <c r="D4567" s="252"/>
      <c r="E4567" s="252"/>
      <c r="F4567" s="252"/>
      <c r="G4567" s="252"/>
      <c r="H4567" s="252"/>
      <c r="I4567" s="252"/>
      <c r="J4567" s="252"/>
      <c r="K4567" s="253"/>
    </row>
    <row r="4568" spans="1:11" ht="22" customHeight="1" x14ac:dyDescent="0.35">
      <c r="A4568" s="251"/>
      <c r="B4568" s="252"/>
      <c r="C4568" s="252"/>
      <c r="D4568" s="252"/>
      <c r="E4568" s="252"/>
      <c r="F4568" s="252"/>
      <c r="G4568" s="252"/>
      <c r="H4568" s="252"/>
      <c r="I4568" s="252"/>
      <c r="J4568" s="252"/>
      <c r="K4568" s="253"/>
    </row>
    <row r="4569" spans="1:11" ht="22" customHeight="1" x14ac:dyDescent="0.35">
      <c r="A4569" s="251"/>
      <c r="B4569" s="252"/>
      <c r="C4569" s="252"/>
      <c r="D4569" s="252"/>
      <c r="E4569" s="252"/>
      <c r="F4569" s="252"/>
      <c r="G4569" s="252"/>
      <c r="H4569" s="252"/>
      <c r="I4569" s="252"/>
      <c r="J4569" s="252"/>
      <c r="K4569" s="253"/>
    </row>
    <row r="4570" spans="1:11" ht="22" customHeight="1" x14ac:dyDescent="0.35">
      <c r="A4570" s="251"/>
      <c r="B4570" s="252"/>
      <c r="C4570" s="252"/>
      <c r="D4570" s="252"/>
      <c r="E4570" s="252"/>
      <c r="F4570" s="252"/>
      <c r="G4570" s="252"/>
      <c r="H4570" s="252"/>
      <c r="I4570" s="252"/>
      <c r="J4570" s="252"/>
      <c r="K4570" s="253"/>
    </row>
    <row r="4571" spans="1:11" ht="22" customHeight="1" x14ac:dyDescent="0.35">
      <c r="A4571" s="251"/>
      <c r="B4571" s="252"/>
      <c r="C4571" s="252"/>
      <c r="D4571" s="252"/>
      <c r="E4571" s="252"/>
      <c r="F4571" s="252"/>
      <c r="G4571" s="252"/>
      <c r="H4571" s="252"/>
      <c r="I4571" s="252"/>
      <c r="J4571" s="252"/>
      <c r="K4571" s="253"/>
    </row>
    <row r="4572" spans="1:11" ht="22" customHeight="1" x14ac:dyDescent="0.35">
      <c r="A4572" s="251"/>
      <c r="B4572" s="252"/>
      <c r="C4572" s="252"/>
      <c r="D4572" s="252"/>
      <c r="E4572" s="252"/>
      <c r="F4572" s="252"/>
      <c r="G4572" s="252"/>
      <c r="H4572" s="252"/>
      <c r="I4572" s="252"/>
      <c r="J4572" s="252"/>
      <c r="K4572" s="253"/>
    </row>
    <row r="4573" spans="1:11" ht="22" customHeight="1" x14ac:dyDescent="0.35">
      <c r="A4573" s="251"/>
      <c r="B4573" s="252"/>
      <c r="C4573" s="252"/>
      <c r="D4573" s="252"/>
      <c r="E4573" s="252"/>
      <c r="F4573" s="252"/>
      <c r="G4573" s="252"/>
      <c r="H4573" s="252"/>
      <c r="I4573" s="252"/>
      <c r="J4573" s="252"/>
      <c r="K4573" s="253"/>
    </row>
    <row r="4574" spans="1:11" ht="22" customHeight="1" x14ac:dyDescent="0.35">
      <c r="A4574" s="251"/>
      <c r="B4574" s="252"/>
      <c r="C4574" s="252"/>
      <c r="D4574" s="252"/>
      <c r="E4574" s="252"/>
      <c r="F4574" s="252"/>
      <c r="G4574" s="252"/>
      <c r="H4574" s="252"/>
      <c r="I4574" s="252"/>
      <c r="J4574" s="252"/>
      <c r="K4574" s="253"/>
    </row>
    <row r="4575" spans="1:11" ht="22" customHeight="1" x14ac:dyDescent="0.35">
      <c r="A4575" s="251"/>
      <c r="B4575" s="252"/>
      <c r="C4575" s="252"/>
      <c r="D4575" s="252"/>
      <c r="E4575" s="252"/>
      <c r="F4575" s="252"/>
      <c r="G4575" s="252"/>
      <c r="H4575" s="252"/>
      <c r="I4575" s="252"/>
      <c r="J4575" s="252"/>
      <c r="K4575" s="253"/>
    </row>
    <row r="4576" spans="1:11" ht="22" customHeight="1" x14ac:dyDescent="0.35">
      <c r="A4576" s="251"/>
      <c r="B4576" s="252"/>
      <c r="C4576" s="252"/>
      <c r="D4576" s="252"/>
      <c r="E4576" s="252"/>
      <c r="F4576" s="252"/>
      <c r="G4576" s="252"/>
      <c r="H4576" s="252"/>
      <c r="I4576" s="252"/>
      <c r="J4576" s="252"/>
      <c r="K4576" s="253"/>
    </row>
    <row r="4577" spans="1:11" ht="22" customHeight="1" x14ac:dyDescent="0.35">
      <c r="A4577" s="251"/>
      <c r="B4577" s="252"/>
      <c r="C4577" s="252"/>
      <c r="D4577" s="252"/>
      <c r="E4577" s="252"/>
      <c r="F4577" s="252"/>
      <c r="G4577" s="252"/>
      <c r="H4577" s="252"/>
      <c r="I4577" s="252"/>
      <c r="J4577" s="252"/>
      <c r="K4577" s="253"/>
    </row>
    <row r="4578" spans="1:11" ht="22" customHeight="1" x14ac:dyDescent="0.35">
      <c r="A4578" s="251"/>
      <c r="B4578" s="252"/>
      <c r="C4578" s="252"/>
      <c r="D4578" s="252"/>
      <c r="E4578" s="252"/>
      <c r="F4578" s="252"/>
      <c r="G4578" s="252"/>
      <c r="H4578" s="252"/>
      <c r="I4578" s="252"/>
      <c r="J4578" s="252"/>
      <c r="K4578" s="253"/>
    </row>
    <row r="4579" spans="1:11" ht="22" customHeight="1" x14ac:dyDescent="0.35">
      <c r="A4579" s="251"/>
      <c r="B4579" s="252"/>
      <c r="C4579" s="252"/>
      <c r="D4579" s="252"/>
      <c r="E4579" s="252"/>
      <c r="F4579" s="252"/>
      <c r="G4579" s="252"/>
      <c r="H4579" s="252"/>
      <c r="I4579" s="252"/>
      <c r="J4579" s="252"/>
      <c r="K4579" s="253"/>
    </row>
    <row r="4580" spans="1:11" ht="22" customHeight="1" x14ac:dyDescent="0.35">
      <c r="A4580" s="251"/>
      <c r="B4580" s="252"/>
      <c r="C4580" s="252"/>
      <c r="D4580" s="252"/>
      <c r="E4580" s="252"/>
      <c r="F4580" s="252"/>
      <c r="G4580" s="252"/>
      <c r="H4580" s="252"/>
      <c r="I4580" s="252"/>
      <c r="J4580" s="252"/>
      <c r="K4580" s="253"/>
    </row>
    <row r="4581" spans="1:11" ht="22" customHeight="1" x14ac:dyDescent="0.35">
      <c r="A4581" s="251"/>
      <c r="B4581" s="252"/>
      <c r="C4581" s="252"/>
      <c r="D4581" s="252"/>
      <c r="E4581" s="252"/>
      <c r="F4581" s="252"/>
      <c r="G4581" s="252"/>
      <c r="H4581" s="252"/>
      <c r="I4581" s="252"/>
      <c r="J4581" s="252"/>
      <c r="K4581" s="253"/>
    </row>
    <row r="4582" spans="1:11" ht="22" customHeight="1" x14ac:dyDescent="0.35">
      <c r="A4582" s="251"/>
      <c r="B4582" s="252"/>
      <c r="C4582" s="252"/>
      <c r="D4582" s="252"/>
      <c r="E4582" s="252"/>
      <c r="F4582" s="252"/>
      <c r="G4582" s="252"/>
      <c r="H4582" s="252"/>
      <c r="I4582" s="252"/>
      <c r="J4582" s="252"/>
      <c r="K4582" s="253"/>
    </row>
    <row r="4583" spans="1:11" ht="22" customHeight="1" x14ac:dyDescent="0.35">
      <c r="A4583" s="251"/>
      <c r="B4583" s="252"/>
      <c r="C4583" s="252"/>
      <c r="D4583" s="252"/>
      <c r="E4583" s="252"/>
      <c r="F4583" s="252"/>
      <c r="G4583" s="252"/>
      <c r="H4583" s="252"/>
      <c r="I4583" s="252"/>
      <c r="J4583" s="252"/>
      <c r="K4583" s="253"/>
    </row>
    <row r="4584" spans="1:11" ht="22" customHeight="1" x14ac:dyDescent="0.35">
      <c r="A4584" s="251"/>
      <c r="B4584" s="252"/>
      <c r="C4584" s="252"/>
      <c r="D4584" s="252"/>
      <c r="E4584" s="252"/>
      <c r="F4584" s="252"/>
      <c r="G4584" s="252"/>
      <c r="H4584" s="252"/>
      <c r="I4584" s="252"/>
      <c r="J4584" s="252"/>
      <c r="K4584" s="253"/>
    </row>
    <row r="4585" spans="1:11" ht="22" customHeight="1" x14ac:dyDescent="0.35">
      <c r="A4585" s="251"/>
      <c r="B4585" s="252"/>
      <c r="C4585" s="252"/>
      <c r="D4585" s="252"/>
      <c r="E4585" s="252"/>
      <c r="F4585" s="252"/>
      <c r="G4585" s="252"/>
      <c r="H4585" s="252"/>
      <c r="I4585" s="252"/>
      <c r="J4585" s="252"/>
      <c r="K4585" s="253"/>
    </row>
    <row r="4586" spans="1:11" ht="22" customHeight="1" x14ac:dyDescent="0.35">
      <c r="A4586" s="251"/>
      <c r="B4586" s="252"/>
      <c r="C4586" s="252"/>
      <c r="D4586" s="252"/>
      <c r="E4586" s="252"/>
      <c r="F4586" s="252"/>
      <c r="G4586" s="252"/>
      <c r="H4586" s="252"/>
      <c r="I4586" s="252"/>
      <c r="J4586" s="252"/>
      <c r="K4586" s="253"/>
    </row>
    <row r="4587" spans="1:11" ht="22" customHeight="1" x14ac:dyDescent="0.35">
      <c r="A4587" s="251"/>
      <c r="B4587" s="252"/>
      <c r="C4587" s="252"/>
      <c r="D4587" s="252"/>
      <c r="E4587" s="252"/>
      <c r="F4587" s="252"/>
      <c r="G4587" s="252"/>
      <c r="H4587" s="252"/>
      <c r="I4587" s="252"/>
      <c r="J4587" s="252"/>
      <c r="K4587" s="253"/>
    </row>
    <row r="4588" spans="1:11" ht="22" customHeight="1" x14ac:dyDescent="0.35">
      <c r="A4588" s="251"/>
      <c r="B4588" s="252"/>
      <c r="C4588" s="252"/>
      <c r="D4588" s="252"/>
      <c r="E4588" s="252"/>
      <c r="F4588" s="252"/>
      <c r="G4588" s="252"/>
      <c r="H4588" s="252"/>
      <c r="I4588" s="252"/>
      <c r="J4588" s="252"/>
      <c r="K4588" s="253"/>
    </row>
    <row r="4589" spans="1:11" ht="22" customHeight="1" x14ac:dyDescent="0.35">
      <c r="A4589" s="251"/>
      <c r="B4589" s="252"/>
      <c r="C4589" s="252"/>
      <c r="D4589" s="252"/>
      <c r="E4589" s="252"/>
      <c r="F4589" s="252"/>
      <c r="G4589" s="252"/>
      <c r="H4589" s="252"/>
      <c r="I4589" s="252"/>
      <c r="J4589" s="252"/>
      <c r="K4589" s="253"/>
    </row>
    <row r="4590" spans="1:11" ht="22" customHeight="1" x14ac:dyDescent="0.35">
      <c r="A4590" s="251"/>
      <c r="B4590" s="252"/>
      <c r="C4590" s="252"/>
      <c r="D4590" s="252"/>
      <c r="E4590" s="252"/>
      <c r="F4590" s="252"/>
      <c r="G4590" s="252"/>
      <c r="H4590" s="252"/>
      <c r="I4590" s="252"/>
      <c r="J4590" s="252"/>
      <c r="K4590" s="253"/>
    </row>
    <row r="4591" spans="1:11" ht="22" customHeight="1" x14ac:dyDescent="0.35">
      <c r="A4591" s="251"/>
      <c r="B4591" s="252"/>
      <c r="C4591" s="252"/>
      <c r="D4591" s="252"/>
      <c r="E4591" s="252"/>
      <c r="F4591" s="252"/>
      <c r="G4591" s="252"/>
      <c r="H4591" s="252"/>
      <c r="I4591" s="252"/>
      <c r="J4591" s="252"/>
      <c r="K4591" s="253"/>
    </row>
    <row r="4592" spans="1:11" ht="22" customHeight="1" x14ac:dyDescent="0.35">
      <c r="A4592" s="251"/>
      <c r="B4592" s="252"/>
      <c r="C4592" s="252"/>
      <c r="D4592" s="252"/>
      <c r="E4592" s="252"/>
      <c r="F4592" s="252"/>
      <c r="G4592" s="252"/>
      <c r="H4592" s="252"/>
      <c r="I4592" s="252"/>
      <c r="J4592" s="252"/>
      <c r="K4592" s="253"/>
    </row>
    <row r="4593" spans="1:11" ht="22" customHeight="1" x14ac:dyDescent="0.35">
      <c r="A4593" s="251"/>
      <c r="B4593" s="252"/>
      <c r="C4593" s="252"/>
      <c r="D4593" s="252"/>
      <c r="E4593" s="252"/>
      <c r="F4593" s="252"/>
      <c r="G4593" s="252"/>
      <c r="H4593" s="252"/>
      <c r="I4593" s="252"/>
      <c r="J4593" s="252"/>
      <c r="K4593" s="253"/>
    </row>
    <row r="4594" spans="1:11" ht="22" customHeight="1" x14ac:dyDescent="0.35">
      <c r="A4594" s="251"/>
      <c r="B4594" s="252"/>
      <c r="C4594" s="252"/>
      <c r="D4594" s="252"/>
      <c r="E4594" s="252"/>
      <c r="F4594" s="252"/>
      <c r="G4594" s="252"/>
      <c r="H4594" s="252"/>
      <c r="I4594" s="252"/>
      <c r="J4594" s="252"/>
      <c r="K4594" s="253"/>
    </row>
    <row r="4595" spans="1:11" ht="22" customHeight="1" x14ac:dyDescent="0.35">
      <c r="A4595" s="251"/>
      <c r="B4595" s="252"/>
      <c r="C4595" s="252"/>
      <c r="D4595" s="252"/>
      <c r="E4595" s="252"/>
      <c r="F4595" s="252"/>
      <c r="G4595" s="252"/>
      <c r="H4595" s="252"/>
      <c r="I4595" s="252"/>
      <c r="J4595" s="252"/>
      <c r="K4595" s="253"/>
    </row>
    <row r="4596" spans="1:11" ht="22" customHeight="1" x14ac:dyDescent="0.35">
      <c r="A4596" s="251"/>
      <c r="B4596" s="252"/>
      <c r="C4596" s="252"/>
      <c r="D4596" s="252"/>
      <c r="E4596" s="252"/>
      <c r="F4596" s="252"/>
      <c r="G4596" s="252"/>
      <c r="H4596" s="252"/>
      <c r="I4596" s="252"/>
      <c r="J4596" s="252"/>
      <c r="K4596" s="253"/>
    </row>
    <row r="4597" spans="1:11" ht="22" customHeight="1" x14ac:dyDescent="0.35">
      <c r="A4597" s="251"/>
      <c r="B4597" s="252"/>
      <c r="C4597" s="252"/>
      <c r="D4597" s="252"/>
      <c r="E4597" s="252"/>
      <c r="F4597" s="252"/>
      <c r="G4597" s="252"/>
      <c r="H4597" s="252"/>
      <c r="I4597" s="252"/>
      <c r="J4597" s="252"/>
      <c r="K4597" s="253"/>
    </row>
    <row r="4598" spans="1:11" ht="22" customHeight="1" x14ac:dyDescent="0.35">
      <c r="A4598" s="251"/>
      <c r="B4598" s="252"/>
      <c r="C4598" s="252"/>
      <c r="D4598" s="252"/>
      <c r="E4598" s="252"/>
      <c r="F4598" s="252"/>
      <c r="G4598" s="252"/>
      <c r="H4598" s="252"/>
      <c r="I4598" s="252"/>
      <c r="J4598" s="252"/>
      <c r="K4598" s="253"/>
    </row>
    <row r="4599" spans="1:11" ht="22" customHeight="1" x14ac:dyDescent="0.35">
      <c r="A4599" s="251"/>
      <c r="B4599" s="252"/>
      <c r="C4599" s="252"/>
      <c r="D4599" s="252"/>
      <c r="E4599" s="252"/>
      <c r="F4599" s="252"/>
      <c r="G4599" s="252"/>
      <c r="H4599" s="252"/>
      <c r="I4599" s="252"/>
      <c r="J4599" s="252"/>
      <c r="K4599" s="253"/>
    </row>
    <row r="4600" spans="1:11" ht="22" customHeight="1" x14ac:dyDescent="0.35">
      <c r="A4600" s="251"/>
      <c r="B4600" s="252"/>
      <c r="C4600" s="252"/>
      <c r="D4600" s="252"/>
      <c r="E4600" s="252"/>
      <c r="F4600" s="252"/>
      <c r="G4600" s="252"/>
      <c r="H4600" s="252"/>
      <c r="I4600" s="252"/>
      <c r="J4600" s="252"/>
      <c r="K4600" s="253"/>
    </row>
    <row r="4601" spans="1:11" ht="22" customHeight="1" x14ac:dyDescent="0.35">
      <c r="A4601" s="251"/>
      <c r="B4601" s="252"/>
      <c r="C4601" s="252"/>
      <c r="D4601" s="252"/>
      <c r="E4601" s="252"/>
      <c r="F4601" s="252"/>
      <c r="G4601" s="252"/>
      <c r="H4601" s="252"/>
      <c r="I4601" s="252"/>
      <c r="J4601" s="252"/>
      <c r="K4601" s="253"/>
    </row>
    <row r="4602" spans="1:11" ht="22" customHeight="1" x14ac:dyDescent="0.35">
      <c r="A4602" s="251"/>
      <c r="B4602" s="252"/>
      <c r="C4602" s="252"/>
      <c r="D4602" s="252"/>
      <c r="E4602" s="252"/>
      <c r="F4602" s="252"/>
      <c r="G4602" s="252"/>
      <c r="H4602" s="252"/>
      <c r="I4602" s="252"/>
      <c r="J4602" s="252"/>
      <c r="K4602" s="253"/>
    </row>
    <row r="4603" spans="1:11" ht="22" customHeight="1" x14ac:dyDescent="0.35">
      <c r="A4603" s="251"/>
      <c r="B4603" s="252"/>
      <c r="C4603" s="252"/>
      <c r="D4603" s="252"/>
      <c r="E4603" s="252"/>
      <c r="F4603" s="252"/>
      <c r="G4603" s="252"/>
      <c r="H4603" s="252"/>
      <c r="I4603" s="252"/>
      <c r="J4603" s="252"/>
      <c r="K4603" s="253"/>
    </row>
    <row r="4604" spans="1:11" ht="22" customHeight="1" x14ac:dyDescent="0.35">
      <c r="A4604" s="251"/>
      <c r="B4604" s="252"/>
      <c r="C4604" s="252"/>
      <c r="D4604" s="252"/>
      <c r="E4604" s="252"/>
      <c r="F4604" s="252"/>
      <c r="G4604" s="252"/>
      <c r="H4604" s="252"/>
      <c r="I4604" s="252"/>
      <c r="J4604" s="252"/>
      <c r="K4604" s="253"/>
    </row>
    <row r="4605" spans="1:11" ht="22" customHeight="1" x14ac:dyDescent="0.35">
      <c r="A4605" s="251"/>
      <c r="B4605" s="252"/>
      <c r="C4605" s="252"/>
      <c r="D4605" s="252"/>
      <c r="E4605" s="252"/>
      <c r="F4605" s="252"/>
      <c r="G4605" s="252"/>
      <c r="H4605" s="252"/>
      <c r="I4605" s="252"/>
      <c r="J4605" s="252"/>
      <c r="K4605" s="253"/>
    </row>
    <row r="4606" spans="1:11" ht="22" customHeight="1" x14ac:dyDescent="0.35">
      <c r="A4606" s="251"/>
      <c r="B4606" s="252"/>
      <c r="C4606" s="252"/>
      <c r="D4606" s="252"/>
      <c r="E4606" s="252"/>
      <c r="F4606" s="252"/>
      <c r="G4606" s="252"/>
      <c r="H4606" s="252"/>
      <c r="I4606" s="252"/>
      <c r="J4606" s="252"/>
      <c r="K4606" s="253"/>
    </row>
    <row r="4607" spans="1:11" ht="22" customHeight="1" x14ac:dyDescent="0.35">
      <c r="A4607" s="251"/>
      <c r="B4607" s="252"/>
      <c r="C4607" s="252"/>
      <c r="D4607" s="252"/>
      <c r="E4607" s="252"/>
      <c r="F4607" s="252"/>
      <c r="G4607" s="252"/>
      <c r="H4607" s="252"/>
      <c r="I4607" s="252"/>
      <c r="J4607" s="252"/>
      <c r="K4607" s="253"/>
    </row>
    <row r="4608" spans="1:11" ht="22" customHeight="1" x14ac:dyDescent="0.35">
      <c r="A4608" s="251"/>
      <c r="B4608" s="252"/>
      <c r="C4608" s="252"/>
      <c r="D4608" s="252"/>
      <c r="E4608" s="252"/>
      <c r="F4608" s="252"/>
      <c r="G4608" s="252"/>
      <c r="H4608" s="252"/>
      <c r="I4608" s="252"/>
      <c r="J4608" s="252"/>
      <c r="K4608" s="253"/>
    </row>
    <row r="4609" spans="1:11" ht="22" customHeight="1" x14ac:dyDescent="0.35">
      <c r="A4609" s="251"/>
      <c r="B4609" s="252"/>
      <c r="C4609" s="252"/>
      <c r="D4609" s="252"/>
      <c r="E4609" s="252"/>
      <c r="F4609" s="252"/>
      <c r="G4609" s="252"/>
      <c r="H4609" s="252"/>
      <c r="I4609" s="252"/>
      <c r="J4609" s="252"/>
      <c r="K4609" s="253"/>
    </row>
    <row r="4610" spans="1:11" ht="22" customHeight="1" x14ac:dyDescent="0.35">
      <c r="A4610" s="251"/>
      <c r="B4610" s="252"/>
      <c r="C4610" s="252"/>
      <c r="D4610" s="252"/>
      <c r="E4610" s="252"/>
      <c r="F4610" s="252"/>
      <c r="G4610" s="252"/>
      <c r="H4610" s="252"/>
      <c r="I4610" s="252"/>
      <c r="J4610" s="252"/>
      <c r="K4610" s="253"/>
    </row>
    <row r="4611" spans="1:11" ht="22" customHeight="1" x14ac:dyDescent="0.35">
      <c r="A4611" s="251"/>
      <c r="B4611" s="252"/>
      <c r="C4611" s="252"/>
      <c r="D4611" s="252"/>
      <c r="E4611" s="252"/>
      <c r="F4611" s="252"/>
      <c r="G4611" s="252"/>
      <c r="H4611" s="252"/>
      <c r="I4611" s="252"/>
      <c r="J4611" s="252"/>
      <c r="K4611" s="253"/>
    </row>
    <row r="4612" spans="1:11" ht="22" customHeight="1" x14ac:dyDescent="0.35">
      <c r="A4612" s="251"/>
      <c r="B4612" s="252"/>
      <c r="C4612" s="252"/>
      <c r="D4612" s="252"/>
      <c r="E4612" s="252"/>
      <c r="F4612" s="252"/>
      <c r="G4612" s="252"/>
      <c r="H4612" s="252"/>
      <c r="I4612" s="252"/>
      <c r="J4612" s="252"/>
      <c r="K4612" s="253"/>
    </row>
    <row r="4613" spans="1:11" ht="22" customHeight="1" x14ac:dyDescent="0.35">
      <c r="A4613" s="251"/>
      <c r="B4613" s="252"/>
      <c r="C4613" s="252"/>
      <c r="D4613" s="252"/>
      <c r="E4613" s="252"/>
      <c r="F4613" s="252"/>
      <c r="G4613" s="252"/>
      <c r="H4613" s="252"/>
      <c r="I4613" s="252"/>
      <c r="J4613" s="252"/>
      <c r="K4613" s="253"/>
    </row>
    <row r="4614" spans="1:11" ht="22" customHeight="1" x14ac:dyDescent="0.35">
      <c r="A4614" s="251"/>
      <c r="B4614" s="252"/>
      <c r="C4614" s="252"/>
      <c r="D4614" s="252"/>
      <c r="E4614" s="252"/>
      <c r="F4614" s="252"/>
      <c r="G4614" s="252"/>
      <c r="H4614" s="252"/>
      <c r="I4614" s="252"/>
      <c r="J4614" s="252"/>
      <c r="K4614" s="253"/>
    </row>
    <row r="4615" spans="1:11" ht="22" customHeight="1" x14ac:dyDescent="0.35">
      <c r="A4615" s="251"/>
      <c r="B4615" s="252"/>
      <c r="C4615" s="252"/>
      <c r="D4615" s="252"/>
      <c r="E4615" s="252"/>
      <c r="F4615" s="252"/>
      <c r="G4615" s="252"/>
      <c r="H4615" s="252"/>
      <c r="I4615" s="252"/>
      <c r="J4615" s="252"/>
      <c r="K4615" s="253"/>
    </row>
    <row r="4616" spans="1:11" ht="22" customHeight="1" x14ac:dyDescent="0.35">
      <c r="A4616" s="251"/>
      <c r="B4616" s="252"/>
      <c r="C4616" s="252"/>
      <c r="D4616" s="252"/>
      <c r="E4616" s="252"/>
      <c r="F4616" s="252"/>
      <c r="G4616" s="252"/>
      <c r="H4616" s="252"/>
      <c r="I4616" s="252"/>
      <c r="J4616" s="252"/>
      <c r="K4616" s="253"/>
    </row>
    <row r="4617" spans="1:11" ht="22" customHeight="1" x14ac:dyDescent="0.35">
      <c r="A4617" s="251"/>
      <c r="B4617" s="252"/>
      <c r="C4617" s="252"/>
      <c r="D4617" s="252"/>
      <c r="E4617" s="252"/>
      <c r="F4617" s="252"/>
      <c r="G4617" s="252"/>
      <c r="H4617" s="252"/>
      <c r="I4617" s="252"/>
      <c r="J4617" s="252"/>
      <c r="K4617" s="253"/>
    </row>
    <row r="4618" spans="1:11" ht="22" customHeight="1" x14ac:dyDescent="0.35">
      <c r="A4618" s="251"/>
      <c r="B4618" s="252"/>
      <c r="C4618" s="252"/>
      <c r="D4618" s="252"/>
      <c r="E4618" s="252"/>
      <c r="F4618" s="252"/>
      <c r="G4618" s="252"/>
      <c r="H4618" s="252"/>
      <c r="I4618" s="252"/>
      <c r="J4618" s="252"/>
      <c r="K4618" s="253"/>
    </row>
    <row r="4619" spans="1:11" ht="22" customHeight="1" x14ac:dyDescent="0.35">
      <c r="A4619" s="251"/>
      <c r="B4619" s="252"/>
      <c r="C4619" s="252"/>
      <c r="D4619" s="252"/>
      <c r="E4619" s="252"/>
      <c r="F4619" s="252"/>
      <c r="G4619" s="252"/>
      <c r="H4619" s="252"/>
      <c r="I4619" s="252"/>
      <c r="J4619" s="252"/>
      <c r="K4619" s="253"/>
    </row>
    <row r="4620" spans="1:11" ht="22" customHeight="1" x14ac:dyDescent="0.35">
      <c r="A4620" s="251"/>
      <c r="B4620" s="252"/>
      <c r="C4620" s="252"/>
      <c r="D4620" s="252"/>
      <c r="E4620" s="252"/>
      <c r="F4620" s="252"/>
      <c r="G4620" s="252"/>
      <c r="H4620" s="252"/>
      <c r="I4620" s="252"/>
      <c r="J4620" s="252"/>
      <c r="K4620" s="253"/>
    </row>
    <row r="4621" spans="1:11" ht="22" customHeight="1" x14ac:dyDescent="0.35">
      <c r="A4621" s="251"/>
      <c r="B4621" s="252"/>
      <c r="C4621" s="252"/>
      <c r="D4621" s="252"/>
      <c r="E4621" s="252"/>
      <c r="F4621" s="252"/>
      <c r="G4621" s="252"/>
      <c r="H4621" s="252"/>
      <c r="I4621" s="252"/>
      <c r="J4621" s="252"/>
      <c r="K4621" s="253"/>
    </row>
    <row r="4622" spans="1:11" ht="22" customHeight="1" x14ac:dyDescent="0.35">
      <c r="A4622" s="251"/>
      <c r="B4622" s="252"/>
      <c r="C4622" s="252"/>
      <c r="D4622" s="252"/>
      <c r="E4622" s="252"/>
      <c r="F4622" s="252"/>
      <c r="G4622" s="252"/>
      <c r="H4622" s="252"/>
      <c r="I4622" s="252"/>
      <c r="J4622" s="252"/>
      <c r="K4622" s="253"/>
    </row>
    <row r="4623" spans="1:11" ht="22" customHeight="1" x14ac:dyDescent="0.35">
      <c r="A4623" s="251"/>
      <c r="B4623" s="252"/>
      <c r="C4623" s="252"/>
      <c r="D4623" s="252"/>
      <c r="E4623" s="252"/>
      <c r="F4623" s="252"/>
      <c r="G4623" s="252"/>
      <c r="H4623" s="252"/>
      <c r="I4623" s="252"/>
      <c r="J4623" s="252"/>
      <c r="K4623" s="253"/>
    </row>
    <row r="4624" spans="1:11" ht="22" customHeight="1" x14ac:dyDescent="0.35">
      <c r="A4624" s="251"/>
      <c r="B4624" s="252"/>
      <c r="C4624" s="252"/>
      <c r="D4624" s="252"/>
      <c r="E4624" s="252"/>
      <c r="F4624" s="252"/>
      <c r="G4624" s="252"/>
      <c r="H4624" s="252"/>
      <c r="I4624" s="252"/>
      <c r="J4624" s="252"/>
      <c r="K4624" s="253"/>
    </row>
    <row r="4625" spans="1:11" ht="22" customHeight="1" x14ac:dyDescent="0.35">
      <c r="A4625" s="251"/>
      <c r="B4625" s="252"/>
      <c r="C4625" s="252"/>
      <c r="D4625" s="252"/>
      <c r="E4625" s="252"/>
      <c r="F4625" s="252"/>
      <c r="G4625" s="252"/>
      <c r="H4625" s="252"/>
      <c r="I4625" s="252"/>
      <c r="J4625" s="252"/>
      <c r="K4625" s="253"/>
    </row>
    <row r="4626" spans="1:11" ht="22" customHeight="1" x14ac:dyDescent="0.35">
      <c r="A4626" s="251"/>
      <c r="B4626" s="252"/>
      <c r="C4626" s="252"/>
      <c r="D4626" s="252"/>
      <c r="E4626" s="252"/>
      <c r="F4626" s="252"/>
      <c r="G4626" s="252"/>
      <c r="H4626" s="252"/>
      <c r="I4626" s="252"/>
      <c r="J4626" s="252"/>
      <c r="K4626" s="253"/>
    </row>
    <row r="4627" spans="1:11" ht="22" customHeight="1" x14ac:dyDescent="0.35">
      <c r="A4627" s="251"/>
      <c r="B4627" s="252"/>
      <c r="C4627" s="252"/>
      <c r="D4627" s="252"/>
      <c r="E4627" s="252"/>
      <c r="F4627" s="252"/>
      <c r="G4627" s="252"/>
      <c r="H4627" s="252"/>
      <c r="I4627" s="252"/>
      <c r="J4627" s="252"/>
      <c r="K4627" s="253"/>
    </row>
    <row r="4628" spans="1:11" ht="22" customHeight="1" x14ac:dyDescent="0.35">
      <c r="A4628" s="251"/>
      <c r="B4628" s="252"/>
      <c r="C4628" s="252"/>
      <c r="D4628" s="252"/>
      <c r="E4628" s="252"/>
      <c r="F4628" s="252"/>
      <c r="G4628" s="252"/>
      <c r="H4628" s="252"/>
      <c r="I4628" s="252"/>
      <c r="J4628" s="252"/>
      <c r="K4628" s="253"/>
    </row>
    <row r="4629" spans="1:11" ht="22" customHeight="1" x14ac:dyDescent="0.35">
      <c r="A4629" s="251"/>
      <c r="B4629" s="252"/>
      <c r="C4629" s="252"/>
      <c r="D4629" s="252"/>
      <c r="E4629" s="252"/>
      <c r="F4629" s="252"/>
      <c r="G4629" s="252"/>
      <c r="H4629" s="252"/>
      <c r="I4629" s="252"/>
      <c r="J4629" s="252"/>
      <c r="K4629" s="253"/>
    </row>
    <row r="4630" spans="1:11" ht="22" customHeight="1" x14ac:dyDescent="0.35">
      <c r="A4630" s="251"/>
      <c r="B4630" s="252"/>
      <c r="C4630" s="252"/>
      <c r="D4630" s="252"/>
      <c r="E4630" s="252"/>
      <c r="F4630" s="252"/>
      <c r="G4630" s="252"/>
      <c r="H4630" s="252"/>
      <c r="I4630" s="252"/>
      <c r="J4630" s="252"/>
      <c r="K4630" s="253"/>
    </row>
    <row r="4631" spans="1:11" ht="22" customHeight="1" x14ac:dyDescent="0.35">
      <c r="A4631" s="251"/>
      <c r="B4631" s="252"/>
      <c r="C4631" s="252"/>
      <c r="D4631" s="252"/>
      <c r="E4631" s="252"/>
      <c r="F4631" s="252"/>
      <c r="G4631" s="252"/>
      <c r="H4631" s="252"/>
      <c r="I4631" s="252"/>
      <c r="J4631" s="252"/>
      <c r="K4631" s="253"/>
    </row>
    <row r="4632" spans="1:11" ht="22" customHeight="1" x14ac:dyDescent="0.35">
      <c r="A4632" s="251"/>
      <c r="B4632" s="252"/>
      <c r="C4632" s="252"/>
      <c r="D4632" s="252"/>
      <c r="E4632" s="252"/>
      <c r="F4632" s="252"/>
      <c r="G4632" s="252"/>
      <c r="H4632" s="252"/>
      <c r="I4632" s="252"/>
      <c r="J4632" s="252"/>
      <c r="K4632" s="253"/>
    </row>
    <row r="4633" spans="1:11" ht="22" customHeight="1" x14ac:dyDescent="0.35">
      <c r="A4633" s="251"/>
      <c r="B4633" s="252"/>
      <c r="C4633" s="252"/>
      <c r="D4633" s="252"/>
      <c r="E4633" s="252"/>
      <c r="F4633" s="252"/>
      <c r="G4633" s="252"/>
      <c r="H4633" s="252"/>
      <c r="I4633" s="252"/>
      <c r="J4633" s="252"/>
      <c r="K4633" s="253"/>
    </row>
    <row r="4634" spans="1:11" ht="22" customHeight="1" x14ac:dyDescent="0.35">
      <c r="A4634" s="251"/>
      <c r="B4634" s="252"/>
      <c r="C4634" s="252"/>
      <c r="D4634" s="252"/>
      <c r="E4634" s="252"/>
      <c r="F4634" s="252"/>
      <c r="G4634" s="252"/>
      <c r="H4634" s="252"/>
      <c r="I4634" s="252"/>
      <c r="J4634" s="252"/>
      <c r="K4634" s="253"/>
    </row>
    <row r="4635" spans="1:11" ht="22" customHeight="1" x14ac:dyDescent="0.35">
      <c r="A4635" s="251"/>
      <c r="B4635" s="252"/>
      <c r="C4635" s="252"/>
      <c r="D4635" s="252"/>
      <c r="E4635" s="252"/>
      <c r="F4635" s="252"/>
      <c r="G4635" s="252"/>
      <c r="H4635" s="252"/>
      <c r="I4635" s="252"/>
      <c r="J4635" s="252"/>
      <c r="K4635" s="253"/>
    </row>
    <row r="4636" spans="1:11" ht="22" customHeight="1" x14ac:dyDescent="0.35">
      <c r="A4636" s="251"/>
      <c r="B4636" s="252"/>
      <c r="C4636" s="252"/>
      <c r="D4636" s="252"/>
      <c r="E4636" s="252"/>
      <c r="F4636" s="252"/>
      <c r="G4636" s="252"/>
      <c r="H4636" s="252"/>
      <c r="I4636" s="252"/>
      <c r="J4636" s="252"/>
      <c r="K4636" s="253"/>
    </row>
    <row r="4637" spans="1:11" ht="22" customHeight="1" x14ac:dyDescent="0.35">
      <c r="A4637" s="251"/>
      <c r="B4637" s="252"/>
      <c r="C4637" s="252"/>
      <c r="D4637" s="252"/>
      <c r="E4637" s="252"/>
      <c r="F4637" s="252"/>
      <c r="G4637" s="252"/>
      <c r="H4637" s="252"/>
      <c r="I4637" s="252"/>
      <c r="J4637" s="252"/>
      <c r="K4637" s="253"/>
    </row>
    <row r="4638" spans="1:11" ht="22" customHeight="1" x14ac:dyDescent="0.35">
      <c r="A4638" s="251"/>
      <c r="B4638" s="252"/>
      <c r="C4638" s="252"/>
      <c r="D4638" s="252"/>
      <c r="E4638" s="252"/>
      <c r="F4638" s="252"/>
      <c r="G4638" s="252"/>
      <c r="H4638" s="252"/>
      <c r="I4638" s="252"/>
      <c r="J4638" s="252"/>
      <c r="K4638" s="253"/>
    </row>
    <row r="4639" spans="1:11" ht="22" customHeight="1" x14ac:dyDescent="0.35">
      <c r="A4639" s="251"/>
      <c r="B4639" s="252"/>
      <c r="C4639" s="252"/>
      <c r="D4639" s="252"/>
      <c r="E4639" s="252"/>
      <c r="F4639" s="252"/>
      <c r="G4639" s="252"/>
      <c r="H4639" s="252"/>
      <c r="I4639" s="252"/>
      <c r="J4639" s="252"/>
      <c r="K4639" s="253"/>
    </row>
    <row r="4640" spans="1:11" ht="22" customHeight="1" x14ac:dyDescent="0.35">
      <c r="A4640" s="251"/>
      <c r="B4640" s="252"/>
      <c r="C4640" s="252"/>
      <c r="D4640" s="252"/>
      <c r="E4640" s="252"/>
      <c r="F4640" s="252"/>
      <c r="G4640" s="252"/>
      <c r="H4640" s="252"/>
      <c r="I4640" s="252"/>
      <c r="J4640" s="252"/>
      <c r="K4640" s="253"/>
    </row>
    <row r="4641" spans="1:11" ht="22" customHeight="1" x14ac:dyDescent="0.35">
      <c r="A4641" s="251"/>
      <c r="B4641" s="252"/>
      <c r="C4641" s="252"/>
      <c r="D4641" s="252"/>
      <c r="E4641" s="252"/>
      <c r="F4641" s="252"/>
      <c r="G4641" s="252"/>
      <c r="H4641" s="252"/>
      <c r="I4641" s="252"/>
      <c r="J4641" s="252"/>
      <c r="K4641" s="253"/>
    </row>
    <row r="4642" spans="1:11" ht="22" customHeight="1" x14ac:dyDescent="0.35">
      <c r="A4642" s="251"/>
      <c r="B4642" s="252"/>
      <c r="C4642" s="252"/>
      <c r="D4642" s="252"/>
      <c r="E4642" s="252"/>
      <c r="F4642" s="252"/>
      <c r="G4642" s="252"/>
      <c r="H4642" s="252"/>
      <c r="I4642" s="252"/>
      <c r="J4642" s="252"/>
      <c r="K4642" s="253"/>
    </row>
    <row r="4643" spans="1:11" ht="22" customHeight="1" x14ac:dyDescent="0.35">
      <c r="A4643" s="251"/>
      <c r="B4643" s="252"/>
      <c r="C4643" s="252"/>
      <c r="D4643" s="252"/>
      <c r="E4643" s="252"/>
      <c r="F4643" s="252"/>
      <c r="G4643" s="252"/>
      <c r="H4643" s="252"/>
      <c r="I4643" s="252"/>
      <c r="J4643" s="252"/>
      <c r="K4643" s="253"/>
    </row>
    <row r="4644" spans="1:11" ht="22" customHeight="1" x14ac:dyDescent="0.35">
      <c r="A4644" s="251"/>
      <c r="B4644" s="252"/>
      <c r="C4644" s="252"/>
      <c r="D4644" s="252"/>
      <c r="E4644" s="252"/>
      <c r="F4644" s="252"/>
      <c r="G4644" s="252"/>
      <c r="H4644" s="252"/>
      <c r="I4644" s="252"/>
      <c r="J4644" s="252"/>
      <c r="K4644" s="253"/>
    </row>
    <row r="4645" spans="1:11" ht="22" customHeight="1" x14ac:dyDescent="0.35">
      <c r="A4645" s="251"/>
      <c r="B4645" s="252"/>
      <c r="C4645" s="252"/>
      <c r="D4645" s="252"/>
      <c r="E4645" s="252"/>
      <c r="F4645" s="252"/>
      <c r="G4645" s="252"/>
      <c r="H4645" s="252"/>
      <c r="I4645" s="252"/>
      <c r="J4645" s="252"/>
      <c r="K4645" s="253"/>
    </row>
    <row r="4646" spans="1:11" ht="22" customHeight="1" x14ac:dyDescent="0.35">
      <c r="A4646" s="251"/>
      <c r="B4646" s="252"/>
      <c r="C4646" s="252"/>
      <c r="D4646" s="252"/>
      <c r="E4646" s="252"/>
      <c r="F4646" s="252"/>
      <c r="G4646" s="252"/>
      <c r="H4646" s="252"/>
      <c r="I4646" s="252"/>
      <c r="J4646" s="252"/>
      <c r="K4646" s="253"/>
    </row>
    <row r="4647" spans="1:11" ht="22" customHeight="1" x14ac:dyDescent="0.35">
      <c r="A4647" s="251"/>
      <c r="B4647" s="252"/>
      <c r="C4647" s="252"/>
      <c r="D4647" s="252"/>
      <c r="E4647" s="252"/>
      <c r="F4647" s="252"/>
      <c r="G4647" s="252"/>
      <c r="H4647" s="252"/>
      <c r="I4647" s="252"/>
      <c r="J4647" s="252"/>
      <c r="K4647" s="253"/>
    </row>
    <row r="4648" spans="1:11" ht="22" customHeight="1" x14ac:dyDescent="0.35">
      <c r="A4648" s="251"/>
      <c r="B4648" s="252"/>
      <c r="C4648" s="252"/>
      <c r="D4648" s="252"/>
      <c r="E4648" s="252"/>
      <c r="F4648" s="252"/>
      <c r="G4648" s="252"/>
      <c r="H4648" s="252"/>
      <c r="I4648" s="252"/>
      <c r="J4648" s="252"/>
      <c r="K4648" s="253"/>
    </row>
    <row r="4649" spans="1:11" ht="22" customHeight="1" x14ac:dyDescent="0.35">
      <c r="A4649" s="251"/>
      <c r="B4649" s="252"/>
      <c r="C4649" s="252"/>
      <c r="D4649" s="252"/>
      <c r="E4649" s="252"/>
      <c r="F4649" s="252"/>
      <c r="G4649" s="252"/>
      <c r="H4649" s="252"/>
      <c r="I4649" s="252"/>
      <c r="J4649" s="252"/>
      <c r="K4649" s="253"/>
    </row>
    <row r="4650" spans="1:11" ht="22" customHeight="1" x14ac:dyDescent="0.35">
      <c r="A4650" s="251"/>
      <c r="B4650" s="252"/>
      <c r="C4650" s="252"/>
      <c r="D4650" s="252"/>
      <c r="E4650" s="252"/>
      <c r="F4650" s="252"/>
      <c r="G4650" s="252"/>
      <c r="H4650" s="252"/>
      <c r="I4650" s="252"/>
      <c r="J4650" s="252"/>
      <c r="K4650" s="253"/>
    </row>
    <row r="4651" spans="1:11" ht="22" customHeight="1" x14ac:dyDescent="0.35">
      <c r="A4651" s="251"/>
      <c r="B4651" s="252"/>
      <c r="C4651" s="252"/>
      <c r="D4651" s="252"/>
      <c r="E4651" s="252"/>
      <c r="F4651" s="252"/>
      <c r="G4651" s="252"/>
      <c r="H4651" s="252"/>
      <c r="I4651" s="252"/>
      <c r="J4651" s="252"/>
      <c r="K4651" s="253"/>
    </row>
    <row r="4652" spans="1:11" ht="22" customHeight="1" x14ac:dyDescent="0.35">
      <c r="A4652" s="251"/>
      <c r="B4652" s="252"/>
      <c r="C4652" s="252"/>
      <c r="D4652" s="252"/>
      <c r="E4652" s="252"/>
      <c r="F4652" s="252"/>
      <c r="G4652" s="252"/>
      <c r="H4652" s="252"/>
      <c r="I4652" s="252"/>
      <c r="J4652" s="252"/>
      <c r="K4652" s="253"/>
    </row>
    <row r="4653" spans="1:11" ht="22" customHeight="1" x14ac:dyDescent="0.35">
      <c r="A4653" s="251"/>
      <c r="B4653" s="252"/>
      <c r="C4653" s="252"/>
      <c r="D4653" s="252"/>
      <c r="E4653" s="252"/>
      <c r="F4653" s="252"/>
      <c r="G4653" s="252"/>
      <c r="H4653" s="252"/>
      <c r="I4653" s="252"/>
      <c r="J4653" s="252"/>
      <c r="K4653" s="253"/>
    </row>
    <row r="4654" spans="1:11" ht="22" customHeight="1" x14ac:dyDescent="0.35">
      <c r="A4654" s="251"/>
      <c r="B4654" s="252"/>
      <c r="C4654" s="252"/>
      <c r="D4654" s="252"/>
      <c r="E4654" s="252"/>
      <c r="F4654" s="252"/>
      <c r="G4654" s="252"/>
      <c r="H4654" s="252"/>
      <c r="I4654" s="252"/>
      <c r="J4654" s="252"/>
      <c r="K4654" s="253"/>
    </row>
    <row r="4655" spans="1:11" ht="22" customHeight="1" x14ac:dyDescent="0.35">
      <c r="A4655" s="251"/>
      <c r="B4655" s="252"/>
      <c r="C4655" s="252"/>
      <c r="D4655" s="252"/>
      <c r="E4655" s="252"/>
      <c r="F4655" s="252"/>
      <c r="G4655" s="252"/>
      <c r="H4655" s="252"/>
      <c r="I4655" s="252"/>
      <c r="J4655" s="252"/>
      <c r="K4655" s="253"/>
    </row>
    <row r="4656" spans="1:11" ht="22" customHeight="1" x14ac:dyDescent="0.35">
      <c r="A4656" s="251"/>
      <c r="B4656" s="252"/>
      <c r="C4656" s="252"/>
      <c r="D4656" s="252"/>
      <c r="E4656" s="252"/>
      <c r="F4656" s="252"/>
      <c r="G4656" s="252"/>
      <c r="H4656" s="252"/>
      <c r="I4656" s="252"/>
      <c r="J4656" s="252"/>
      <c r="K4656" s="253"/>
    </row>
    <row r="4657" spans="1:11" ht="22" customHeight="1" x14ac:dyDescent="0.35">
      <c r="A4657" s="251"/>
      <c r="B4657" s="252"/>
      <c r="C4657" s="252"/>
      <c r="D4657" s="252"/>
      <c r="E4657" s="252"/>
      <c r="F4657" s="252"/>
      <c r="G4657" s="252"/>
      <c r="H4657" s="252"/>
      <c r="I4657" s="252"/>
      <c r="J4657" s="252"/>
      <c r="K4657" s="253"/>
    </row>
    <row r="4658" spans="1:11" ht="22" customHeight="1" x14ac:dyDescent="0.35">
      <c r="A4658" s="251"/>
      <c r="B4658" s="252"/>
      <c r="C4658" s="252"/>
      <c r="D4658" s="252"/>
      <c r="E4658" s="252"/>
      <c r="F4658" s="252"/>
      <c r="G4658" s="252"/>
      <c r="H4658" s="252"/>
      <c r="I4658" s="252"/>
      <c r="J4658" s="252"/>
      <c r="K4658" s="253"/>
    </row>
    <row r="4659" spans="1:11" ht="22" customHeight="1" x14ac:dyDescent="0.35">
      <c r="A4659" s="251"/>
      <c r="B4659" s="252"/>
      <c r="C4659" s="252"/>
      <c r="D4659" s="252"/>
      <c r="E4659" s="252"/>
      <c r="F4659" s="252"/>
      <c r="G4659" s="252"/>
      <c r="H4659" s="252"/>
      <c r="I4659" s="252"/>
      <c r="J4659" s="252"/>
      <c r="K4659" s="253"/>
    </row>
    <row r="4660" spans="1:11" ht="22" customHeight="1" x14ac:dyDescent="0.35">
      <c r="A4660" s="251"/>
      <c r="B4660" s="252"/>
      <c r="C4660" s="252"/>
      <c r="D4660" s="252"/>
      <c r="E4660" s="252"/>
      <c r="F4660" s="252"/>
      <c r="G4660" s="252"/>
      <c r="H4660" s="252"/>
      <c r="I4660" s="252"/>
      <c r="J4660" s="252"/>
      <c r="K4660" s="253"/>
    </row>
    <row r="4661" spans="1:11" ht="22" customHeight="1" x14ac:dyDescent="0.35">
      <c r="A4661" s="251"/>
      <c r="B4661" s="252"/>
      <c r="C4661" s="252"/>
      <c r="D4661" s="252"/>
      <c r="E4661" s="252"/>
      <c r="F4661" s="252"/>
      <c r="G4661" s="252"/>
      <c r="H4661" s="252"/>
      <c r="I4661" s="252"/>
      <c r="J4661" s="252"/>
      <c r="K4661" s="253"/>
    </row>
    <row r="4662" spans="1:11" ht="22" customHeight="1" x14ac:dyDescent="0.35">
      <c r="A4662" s="251"/>
      <c r="B4662" s="252"/>
      <c r="C4662" s="252"/>
      <c r="D4662" s="252"/>
      <c r="E4662" s="252"/>
      <c r="F4662" s="252"/>
      <c r="G4662" s="252"/>
      <c r="H4662" s="252"/>
      <c r="I4662" s="252"/>
      <c r="J4662" s="252"/>
      <c r="K4662" s="253"/>
    </row>
    <row r="4663" spans="1:11" ht="22" customHeight="1" x14ac:dyDescent="0.35">
      <c r="A4663" s="251"/>
      <c r="B4663" s="252"/>
      <c r="C4663" s="252"/>
      <c r="D4663" s="252"/>
      <c r="E4663" s="252"/>
      <c r="F4663" s="252"/>
      <c r="G4663" s="252"/>
      <c r="H4663" s="252"/>
      <c r="I4663" s="252"/>
      <c r="J4663" s="252"/>
      <c r="K4663" s="253"/>
    </row>
    <row r="4664" spans="1:11" ht="22" customHeight="1" x14ac:dyDescent="0.35">
      <c r="A4664" s="251"/>
      <c r="B4664" s="252"/>
      <c r="C4664" s="252"/>
      <c r="D4664" s="252"/>
      <c r="E4664" s="252"/>
      <c r="F4664" s="252"/>
      <c r="G4664" s="252"/>
      <c r="H4664" s="252"/>
      <c r="I4664" s="252"/>
      <c r="J4664" s="252"/>
      <c r="K4664" s="253"/>
    </row>
    <row r="4665" spans="1:11" ht="22" customHeight="1" x14ac:dyDescent="0.35">
      <c r="A4665" s="251"/>
      <c r="B4665" s="252"/>
      <c r="C4665" s="252"/>
      <c r="D4665" s="252"/>
      <c r="E4665" s="252"/>
      <c r="F4665" s="252"/>
      <c r="G4665" s="252"/>
      <c r="H4665" s="252"/>
      <c r="I4665" s="252"/>
      <c r="J4665" s="252"/>
      <c r="K4665" s="253"/>
    </row>
    <row r="4666" spans="1:11" ht="22" customHeight="1" x14ac:dyDescent="0.35">
      <c r="A4666" s="251"/>
      <c r="B4666" s="252"/>
      <c r="C4666" s="252"/>
      <c r="D4666" s="252"/>
      <c r="E4666" s="252"/>
      <c r="F4666" s="252"/>
      <c r="G4666" s="252"/>
      <c r="H4666" s="252"/>
      <c r="I4666" s="252"/>
      <c r="J4666" s="252"/>
      <c r="K4666" s="253"/>
    </row>
    <row r="4667" spans="1:11" ht="22" customHeight="1" x14ac:dyDescent="0.35">
      <c r="A4667" s="251"/>
      <c r="B4667" s="252"/>
      <c r="C4667" s="252"/>
      <c r="D4667" s="252"/>
      <c r="E4667" s="252"/>
      <c r="F4667" s="252"/>
      <c r="G4667" s="252"/>
      <c r="H4667" s="252"/>
      <c r="I4667" s="252"/>
      <c r="J4667" s="252"/>
      <c r="K4667" s="253"/>
    </row>
    <row r="4668" spans="1:11" ht="22" customHeight="1" x14ac:dyDescent="0.35">
      <c r="A4668" s="251"/>
      <c r="B4668" s="252"/>
      <c r="C4668" s="252"/>
      <c r="D4668" s="252"/>
      <c r="E4668" s="252"/>
      <c r="F4668" s="252"/>
      <c r="G4668" s="252"/>
      <c r="H4668" s="252"/>
      <c r="I4668" s="252"/>
      <c r="J4668" s="252"/>
      <c r="K4668" s="253"/>
    </row>
    <row r="4669" spans="1:11" ht="22" customHeight="1" x14ac:dyDescent="0.35">
      <c r="A4669" s="251"/>
      <c r="B4669" s="252"/>
      <c r="C4669" s="252"/>
      <c r="D4669" s="252"/>
      <c r="E4669" s="252"/>
      <c r="F4669" s="252"/>
      <c r="G4669" s="252"/>
      <c r="H4669" s="252"/>
      <c r="I4669" s="252"/>
      <c r="J4669" s="252"/>
      <c r="K4669" s="253"/>
    </row>
    <row r="4670" spans="1:11" ht="22" customHeight="1" x14ac:dyDescent="0.35">
      <c r="A4670" s="251"/>
      <c r="B4670" s="252"/>
      <c r="C4670" s="252"/>
      <c r="D4670" s="252"/>
      <c r="E4670" s="252"/>
      <c r="F4670" s="252"/>
      <c r="G4670" s="252"/>
      <c r="H4670" s="252"/>
      <c r="I4670" s="252"/>
      <c r="J4670" s="252"/>
      <c r="K4670" s="253"/>
    </row>
    <row r="4671" spans="1:11" ht="22" customHeight="1" x14ac:dyDescent="0.35">
      <c r="A4671" s="251"/>
      <c r="B4671" s="252"/>
      <c r="C4671" s="252"/>
      <c r="D4671" s="252"/>
      <c r="E4671" s="252"/>
      <c r="F4671" s="252"/>
      <c r="G4671" s="252"/>
      <c r="H4671" s="252"/>
      <c r="I4671" s="252"/>
      <c r="J4671" s="252"/>
      <c r="K4671" s="253"/>
    </row>
    <row r="4672" spans="1:11" ht="22" customHeight="1" x14ac:dyDescent="0.35">
      <c r="A4672" s="251"/>
      <c r="B4672" s="252"/>
      <c r="C4672" s="252"/>
      <c r="D4672" s="252"/>
      <c r="E4672" s="252"/>
      <c r="F4672" s="252"/>
      <c r="G4672" s="252"/>
      <c r="H4672" s="252"/>
      <c r="I4672" s="252"/>
      <c r="J4672" s="252"/>
      <c r="K4672" s="253"/>
    </row>
    <row r="4673" spans="1:11" ht="22" customHeight="1" x14ac:dyDescent="0.35">
      <c r="A4673" s="251"/>
      <c r="B4673" s="252"/>
      <c r="C4673" s="252"/>
      <c r="D4673" s="252"/>
      <c r="E4673" s="252"/>
      <c r="F4673" s="252"/>
      <c r="G4673" s="252"/>
      <c r="H4673" s="252"/>
      <c r="I4673" s="252"/>
      <c r="J4673" s="252"/>
      <c r="K4673" s="253"/>
    </row>
    <row r="4674" spans="1:11" ht="22" customHeight="1" x14ac:dyDescent="0.35">
      <c r="A4674" s="251"/>
      <c r="B4674" s="252"/>
      <c r="C4674" s="252"/>
      <c r="D4674" s="252"/>
      <c r="E4674" s="252"/>
      <c r="F4674" s="252"/>
      <c r="G4674" s="252"/>
      <c r="H4674" s="252"/>
      <c r="I4674" s="252"/>
      <c r="J4674" s="252"/>
      <c r="K4674" s="253"/>
    </row>
    <row r="4675" spans="1:11" ht="22" customHeight="1" x14ac:dyDescent="0.35">
      <c r="A4675" s="251"/>
      <c r="B4675" s="252"/>
      <c r="C4675" s="252"/>
      <c r="D4675" s="252"/>
      <c r="E4675" s="252"/>
      <c r="F4675" s="252"/>
      <c r="G4675" s="252"/>
      <c r="H4675" s="252"/>
      <c r="I4675" s="252"/>
      <c r="J4675" s="252"/>
      <c r="K4675" s="253"/>
    </row>
    <row r="4676" spans="1:11" ht="22" customHeight="1" x14ac:dyDescent="0.35">
      <c r="A4676" s="251"/>
      <c r="B4676" s="252"/>
      <c r="C4676" s="252"/>
      <c r="D4676" s="252"/>
      <c r="E4676" s="252"/>
      <c r="F4676" s="252"/>
      <c r="G4676" s="252"/>
      <c r="H4676" s="252"/>
      <c r="I4676" s="252"/>
      <c r="J4676" s="252"/>
      <c r="K4676" s="253"/>
    </row>
    <row r="4677" spans="1:11" ht="22" customHeight="1" x14ac:dyDescent="0.35">
      <c r="A4677" s="251"/>
      <c r="B4677" s="252"/>
      <c r="C4677" s="252"/>
      <c r="D4677" s="252"/>
      <c r="E4677" s="252"/>
      <c r="F4677" s="252"/>
      <c r="G4677" s="252"/>
      <c r="H4677" s="252"/>
      <c r="I4677" s="252"/>
      <c r="J4677" s="252"/>
      <c r="K4677" s="253"/>
    </row>
    <row r="4678" spans="1:11" ht="22" customHeight="1" x14ac:dyDescent="0.35">
      <c r="A4678" s="251"/>
      <c r="B4678" s="252"/>
      <c r="C4678" s="252"/>
      <c r="D4678" s="252"/>
      <c r="E4678" s="252"/>
      <c r="F4678" s="252"/>
      <c r="G4678" s="252"/>
      <c r="H4678" s="252"/>
      <c r="I4678" s="252"/>
      <c r="J4678" s="252"/>
      <c r="K4678" s="253"/>
    </row>
    <row r="4679" spans="1:11" ht="22" customHeight="1" x14ac:dyDescent="0.35">
      <c r="A4679" s="251"/>
      <c r="B4679" s="252"/>
      <c r="C4679" s="252"/>
      <c r="D4679" s="252"/>
      <c r="E4679" s="252"/>
      <c r="F4679" s="252"/>
      <c r="G4679" s="252"/>
      <c r="H4679" s="252"/>
      <c r="I4679" s="252"/>
      <c r="J4679" s="252"/>
      <c r="K4679" s="253"/>
    </row>
    <row r="4680" spans="1:11" ht="22" customHeight="1" x14ac:dyDescent="0.35">
      <c r="A4680" s="251"/>
      <c r="B4680" s="252"/>
      <c r="C4680" s="252"/>
      <c r="D4680" s="252"/>
      <c r="E4680" s="252"/>
      <c r="F4680" s="252"/>
      <c r="G4680" s="252"/>
      <c r="H4680" s="252"/>
      <c r="I4680" s="252"/>
      <c r="J4680" s="252"/>
      <c r="K4680" s="253"/>
    </row>
    <row r="4681" spans="1:11" ht="22" customHeight="1" x14ac:dyDescent="0.35">
      <c r="A4681" s="251"/>
      <c r="B4681" s="252"/>
      <c r="C4681" s="252"/>
      <c r="D4681" s="252"/>
      <c r="E4681" s="252"/>
      <c r="F4681" s="252"/>
      <c r="G4681" s="252"/>
      <c r="H4681" s="252"/>
      <c r="I4681" s="252"/>
      <c r="J4681" s="252"/>
      <c r="K4681" s="253"/>
    </row>
    <row r="4682" spans="1:11" ht="22" customHeight="1" x14ac:dyDescent="0.35">
      <c r="A4682" s="251"/>
      <c r="B4682" s="252"/>
      <c r="C4682" s="252"/>
      <c r="D4682" s="252"/>
      <c r="E4682" s="252"/>
      <c r="F4682" s="252"/>
      <c r="G4682" s="252"/>
      <c r="H4682" s="252"/>
      <c r="I4682" s="252"/>
      <c r="J4682" s="252"/>
      <c r="K4682" s="253"/>
    </row>
    <row r="4683" spans="1:11" ht="22" customHeight="1" x14ac:dyDescent="0.35">
      <c r="A4683" s="251"/>
      <c r="B4683" s="252"/>
      <c r="C4683" s="252"/>
      <c r="D4683" s="252"/>
      <c r="E4683" s="252"/>
      <c r="F4683" s="252"/>
      <c r="G4683" s="252"/>
      <c r="H4683" s="252"/>
      <c r="I4683" s="252"/>
      <c r="J4683" s="252"/>
      <c r="K4683" s="253"/>
    </row>
    <row r="4684" spans="1:11" ht="22" customHeight="1" x14ac:dyDescent="0.35">
      <c r="A4684" s="251"/>
      <c r="B4684" s="252"/>
      <c r="C4684" s="252"/>
      <c r="D4684" s="252"/>
      <c r="E4684" s="252"/>
      <c r="F4684" s="252"/>
      <c r="G4684" s="252"/>
      <c r="H4684" s="252"/>
      <c r="I4684" s="252"/>
      <c r="J4684" s="252"/>
      <c r="K4684" s="253"/>
    </row>
    <row r="4685" spans="1:11" ht="22" customHeight="1" x14ac:dyDescent="0.35">
      <c r="A4685" s="251"/>
      <c r="B4685" s="252"/>
      <c r="C4685" s="252"/>
      <c r="D4685" s="252"/>
      <c r="E4685" s="252"/>
      <c r="F4685" s="252"/>
      <c r="G4685" s="252"/>
      <c r="H4685" s="252"/>
      <c r="I4685" s="252"/>
      <c r="J4685" s="252"/>
      <c r="K4685" s="253"/>
    </row>
    <row r="4686" spans="1:11" ht="22" customHeight="1" x14ac:dyDescent="0.35">
      <c r="A4686" s="251"/>
      <c r="B4686" s="252"/>
      <c r="C4686" s="252"/>
      <c r="D4686" s="252"/>
      <c r="E4686" s="252"/>
      <c r="F4686" s="252"/>
      <c r="G4686" s="252"/>
      <c r="H4686" s="252"/>
      <c r="I4686" s="252"/>
      <c r="J4686" s="252"/>
      <c r="K4686" s="253"/>
    </row>
    <row r="4687" spans="1:11" ht="22" customHeight="1" x14ac:dyDescent="0.35">
      <c r="A4687" s="251"/>
      <c r="B4687" s="252"/>
      <c r="C4687" s="252"/>
      <c r="D4687" s="252"/>
      <c r="E4687" s="252"/>
      <c r="F4687" s="252"/>
      <c r="G4687" s="252"/>
      <c r="H4687" s="252"/>
      <c r="I4687" s="252"/>
      <c r="J4687" s="252"/>
      <c r="K4687" s="253"/>
    </row>
    <row r="4688" spans="1:11" ht="22" customHeight="1" x14ac:dyDescent="0.35">
      <c r="A4688" s="251"/>
      <c r="B4688" s="252"/>
      <c r="C4688" s="252"/>
      <c r="D4688" s="252"/>
      <c r="E4688" s="252"/>
      <c r="F4688" s="252"/>
      <c r="G4688" s="252"/>
      <c r="H4688" s="252"/>
      <c r="I4688" s="252"/>
      <c r="J4688" s="252"/>
      <c r="K4688" s="253"/>
    </row>
    <row r="4689" spans="1:11" ht="22" customHeight="1" x14ac:dyDescent="0.35">
      <c r="A4689" s="251"/>
      <c r="B4689" s="252"/>
      <c r="C4689" s="252"/>
      <c r="D4689" s="252"/>
      <c r="E4689" s="252"/>
      <c r="F4689" s="252"/>
      <c r="G4689" s="252"/>
      <c r="H4689" s="252"/>
      <c r="I4689" s="252"/>
      <c r="J4689" s="252"/>
      <c r="K4689" s="253"/>
    </row>
    <row r="4690" spans="1:11" ht="22" customHeight="1" x14ac:dyDescent="0.35">
      <c r="A4690" s="251"/>
      <c r="B4690" s="252"/>
      <c r="C4690" s="252"/>
      <c r="D4690" s="252"/>
      <c r="E4690" s="252"/>
      <c r="F4690" s="252"/>
      <c r="G4690" s="252"/>
      <c r="H4690" s="252"/>
      <c r="I4690" s="252"/>
      <c r="J4690" s="252"/>
      <c r="K4690" s="253"/>
    </row>
    <row r="4691" spans="1:11" ht="22" customHeight="1" x14ac:dyDescent="0.35">
      <c r="A4691" s="251"/>
      <c r="B4691" s="252"/>
      <c r="C4691" s="252"/>
      <c r="D4691" s="252"/>
      <c r="E4691" s="252"/>
      <c r="F4691" s="252"/>
      <c r="G4691" s="252"/>
      <c r="H4691" s="252"/>
      <c r="I4691" s="252"/>
      <c r="J4691" s="252"/>
      <c r="K4691" s="253"/>
    </row>
    <row r="4692" spans="1:11" ht="22" customHeight="1" x14ac:dyDescent="0.35">
      <c r="A4692" s="251"/>
      <c r="B4692" s="252"/>
      <c r="C4692" s="252"/>
      <c r="D4692" s="252"/>
      <c r="E4692" s="252"/>
      <c r="F4692" s="252"/>
      <c r="G4692" s="252"/>
      <c r="H4692" s="252"/>
      <c r="I4692" s="252"/>
      <c r="J4692" s="252"/>
      <c r="K4692" s="253"/>
    </row>
    <row r="4693" spans="1:11" ht="22" customHeight="1" x14ac:dyDescent="0.35">
      <c r="A4693" s="251"/>
      <c r="B4693" s="252"/>
      <c r="C4693" s="252"/>
      <c r="D4693" s="252"/>
      <c r="E4693" s="252"/>
      <c r="F4693" s="252"/>
      <c r="G4693" s="252"/>
      <c r="H4693" s="252"/>
      <c r="I4693" s="252"/>
      <c r="J4693" s="252"/>
      <c r="K4693" s="253"/>
    </row>
    <row r="4694" spans="1:11" ht="22" customHeight="1" x14ac:dyDescent="0.35">
      <c r="A4694" s="251"/>
      <c r="B4694" s="252"/>
      <c r="C4694" s="252"/>
      <c r="D4694" s="252"/>
      <c r="E4694" s="252"/>
      <c r="F4694" s="252"/>
      <c r="G4694" s="252"/>
      <c r="H4694" s="252"/>
      <c r="I4694" s="252"/>
      <c r="J4694" s="252"/>
      <c r="K4694" s="253"/>
    </row>
    <row r="4695" spans="1:11" ht="22" customHeight="1" x14ac:dyDescent="0.35">
      <c r="A4695" s="251"/>
      <c r="B4695" s="252"/>
      <c r="C4695" s="252"/>
      <c r="D4695" s="252"/>
      <c r="E4695" s="252"/>
      <c r="F4695" s="252"/>
      <c r="G4695" s="252"/>
      <c r="H4695" s="252"/>
      <c r="I4695" s="252"/>
      <c r="J4695" s="252"/>
      <c r="K4695" s="253"/>
    </row>
    <row r="4696" spans="1:11" ht="22" customHeight="1" x14ac:dyDescent="0.35">
      <c r="A4696" s="251"/>
      <c r="B4696" s="252"/>
      <c r="C4696" s="252"/>
      <c r="D4696" s="252"/>
      <c r="E4696" s="252"/>
      <c r="F4696" s="252"/>
      <c r="G4696" s="252"/>
      <c r="H4696" s="252"/>
      <c r="I4696" s="252"/>
      <c r="J4696" s="252"/>
      <c r="K4696" s="253"/>
    </row>
    <row r="4697" spans="1:11" ht="22" customHeight="1" x14ac:dyDescent="0.35">
      <c r="A4697" s="251"/>
      <c r="B4697" s="252"/>
      <c r="C4697" s="252"/>
      <c r="D4697" s="252"/>
      <c r="E4697" s="252"/>
      <c r="F4697" s="252"/>
      <c r="G4697" s="252"/>
      <c r="H4697" s="252"/>
      <c r="I4697" s="252"/>
      <c r="J4697" s="252"/>
      <c r="K4697" s="253"/>
    </row>
    <row r="4698" spans="1:11" ht="22" customHeight="1" x14ac:dyDescent="0.35">
      <c r="A4698" s="251"/>
      <c r="B4698" s="252"/>
      <c r="C4698" s="252"/>
      <c r="D4698" s="252"/>
      <c r="E4698" s="252"/>
      <c r="F4698" s="252"/>
      <c r="G4698" s="252"/>
      <c r="H4698" s="252"/>
      <c r="I4698" s="252"/>
      <c r="J4698" s="252"/>
      <c r="K4698" s="253"/>
    </row>
    <row r="4699" spans="1:11" ht="22" customHeight="1" x14ac:dyDescent="0.35">
      <c r="A4699" s="251"/>
      <c r="B4699" s="252"/>
      <c r="C4699" s="252"/>
      <c r="D4699" s="252"/>
      <c r="E4699" s="252"/>
      <c r="F4699" s="252"/>
      <c r="G4699" s="252"/>
      <c r="H4699" s="252"/>
      <c r="I4699" s="252"/>
      <c r="J4699" s="252"/>
      <c r="K4699" s="253"/>
    </row>
    <row r="4700" spans="1:11" ht="22" customHeight="1" x14ac:dyDescent="0.35">
      <c r="A4700" s="251"/>
      <c r="B4700" s="252"/>
      <c r="C4700" s="252"/>
      <c r="D4700" s="252"/>
      <c r="E4700" s="252"/>
      <c r="F4700" s="252"/>
      <c r="G4700" s="252"/>
      <c r="H4700" s="252"/>
      <c r="I4700" s="252"/>
      <c r="J4700" s="252"/>
      <c r="K4700" s="253"/>
    </row>
    <row r="4701" spans="1:11" ht="22" customHeight="1" x14ac:dyDescent="0.35">
      <c r="A4701" s="251"/>
      <c r="B4701" s="252"/>
      <c r="C4701" s="252"/>
      <c r="D4701" s="252"/>
      <c r="E4701" s="252"/>
      <c r="F4701" s="252"/>
      <c r="G4701" s="252"/>
      <c r="H4701" s="252"/>
      <c r="I4701" s="252"/>
      <c r="J4701" s="252"/>
      <c r="K4701" s="253"/>
    </row>
    <row r="4702" spans="1:11" ht="22" customHeight="1" x14ac:dyDescent="0.35">
      <c r="A4702" s="251"/>
      <c r="B4702" s="252"/>
      <c r="C4702" s="252"/>
      <c r="D4702" s="252"/>
      <c r="E4702" s="252"/>
      <c r="F4702" s="252"/>
      <c r="G4702" s="252"/>
      <c r="H4702" s="252"/>
      <c r="I4702" s="252"/>
      <c r="J4702" s="252"/>
      <c r="K4702" s="253"/>
    </row>
    <row r="4703" spans="1:11" ht="22" customHeight="1" x14ac:dyDescent="0.35">
      <c r="A4703" s="251"/>
      <c r="B4703" s="252"/>
      <c r="C4703" s="252"/>
      <c r="D4703" s="252"/>
      <c r="E4703" s="252"/>
      <c r="F4703" s="252"/>
      <c r="G4703" s="252"/>
      <c r="H4703" s="252"/>
      <c r="I4703" s="252"/>
      <c r="J4703" s="252"/>
      <c r="K4703" s="253"/>
    </row>
    <row r="4704" spans="1:11" ht="22" customHeight="1" x14ac:dyDescent="0.35">
      <c r="A4704" s="251"/>
      <c r="B4704" s="252"/>
      <c r="C4704" s="252"/>
      <c r="D4704" s="252"/>
      <c r="E4704" s="252"/>
      <c r="F4704" s="252"/>
      <c r="G4704" s="252"/>
      <c r="H4704" s="252"/>
      <c r="I4704" s="252"/>
      <c r="J4704" s="252"/>
      <c r="K4704" s="253"/>
    </row>
    <row r="4705" spans="1:11" ht="22" customHeight="1" x14ac:dyDescent="0.35">
      <c r="A4705" s="251"/>
      <c r="B4705" s="252"/>
      <c r="C4705" s="252"/>
      <c r="D4705" s="252"/>
      <c r="E4705" s="252"/>
      <c r="F4705" s="252"/>
      <c r="G4705" s="252"/>
      <c r="H4705" s="252"/>
      <c r="I4705" s="252"/>
      <c r="J4705" s="252"/>
      <c r="K4705" s="253"/>
    </row>
    <row r="4706" spans="1:11" ht="22" customHeight="1" x14ac:dyDescent="0.35">
      <c r="A4706" s="251"/>
      <c r="B4706" s="252"/>
      <c r="C4706" s="252"/>
      <c r="D4706" s="252"/>
      <c r="E4706" s="252"/>
      <c r="F4706" s="252"/>
      <c r="G4706" s="252"/>
      <c r="H4706" s="252"/>
      <c r="I4706" s="252"/>
      <c r="J4706" s="252"/>
      <c r="K4706" s="253"/>
    </row>
    <row r="4707" spans="1:11" ht="22" customHeight="1" x14ac:dyDescent="0.35">
      <c r="A4707" s="251"/>
      <c r="B4707" s="252"/>
      <c r="C4707" s="252"/>
      <c r="D4707" s="252"/>
      <c r="E4707" s="252"/>
      <c r="F4707" s="252"/>
      <c r="G4707" s="252"/>
      <c r="H4707" s="252"/>
      <c r="I4707" s="252"/>
      <c r="J4707" s="252"/>
      <c r="K4707" s="253"/>
    </row>
    <row r="4708" spans="1:11" ht="22" customHeight="1" x14ac:dyDescent="0.35">
      <c r="A4708" s="251"/>
      <c r="B4708" s="252"/>
      <c r="C4708" s="252"/>
      <c r="D4708" s="252"/>
      <c r="E4708" s="252"/>
      <c r="F4708" s="252"/>
      <c r="G4708" s="252"/>
      <c r="H4708" s="252"/>
      <c r="I4708" s="252"/>
      <c r="J4708" s="252"/>
      <c r="K4708" s="253"/>
    </row>
    <row r="4709" spans="1:11" ht="22" customHeight="1" x14ac:dyDescent="0.35">
      <c r="A4709" s="251"/>
      <c r="B4709" s="252"/>
      <c r="C4709" s="252"/>
      <c r="D4709" s="252"/>
      <c r="E4709" s="252"/>
      <c r="F4709" s="252"/>
      <c r="G4709" s="252"/>
      <c r="H4709" s="252"/>
      <c r="I4709" s="252"/>
      <c r="J4709" s="252"/>
      <c r="K4709" s="253"/>
    </row>
    <row r="4710" spans="1:11" ht="22" customHeight="1" x14ac:dyDescent="0.35">
      <c r="A4710" s="251"/>
      <c r="B4710" s="252"/>
      <c r="C4710" s="252"/>
      <c r="D4710" s="252"/>
      <c r="E4710" s="252"/>
      <c r="F4710" s="252"/>
      <c r="G4710" s="252"/>
      <c r="H4710" s="252"/>
      <c r="I4710" s="252"/>
      <c r="J4710" s="252"/>
      <c r="K4710" s="253"/>
    </row>
    <row r="4711" spans="1:11" ht="22" customHeight="1" x14ac:dyDescent="0.35">
      <c r="A4711" s="251"/>
      <c r="B4711" s="252"/>
      <c r="C4711" s="252"/>
      <c r="D4711" s="252"/>
      <c r="E4711" s="252"/>
      <c r="F4711" s="252"/>
      <c r="G4711" s="252"/>
      <c r="H4711" s="252"/>
      <c r="I4711" s="252"/>
      <c r="J4711" s="252"/>
      <c r="K4711" s="253"/>
    </row>
    <row r="4712" spans="1:11" ht="22" customHeight="1" x14ac:dyDescent="0.35">
      <c r="A4712" s="251"/>
      <c r="B4712" s="252"/>
      <c r="C4712" s="252"/>
      <c r="D4712" s="252"/>
      <c r="E4712" s="252"/>
      <c r="F4712" s="252"/>
      <c r="G4712" s="252"/>
      <c r="H4712" s="252"/>
      <c r="I4712" s="252"/>
      <c r="J4712" s="252"/>
      <c r="K4712" s="253"/>
    </row>
    <row r="4713" spans="1:11" ht="22" customHeight="1" x14ac:dyDescent="0.35">
      <c r="A4713" s="251"/>
      <c r="B4713" s="252"/>
      <c r="C4713" s="252"/>
      <c r="D4713" s="252"/>
      <c r="E4713" s="252"/>
      <c r="F4713" s="252"/>
      <c r="G4713" s="252"/>
      <c r="H4713" s="252"/>
      <c r="I4713" s="252"/>
      <c r="J4713" s="252"/>
      <c r="K4713" s="253"/>
    </row>
    <row r="4714" spans="1:11" ht="22" customHeight="1" x14ac:dyDescent="0.35">
      <c r="A4714" s="251"/>
      <c r="B4714" s="252"/>
      <c r="C4714" s="252"/>
      <c r="D4714" s="252"/>
      <c r="E4714" s="252"/>
      <c r="F4714" s="252"/>
      <c r="G4714" s="252"/>
      <c r="H4714" s="252"/>
      <c r="I4714" s="252"/>
      <c r="J4714" s="252"/>
      <c r="K4714" s="253"/>
    </row>
    <row r="4715" spans="1:11" ht="22" customHeight="1" x14ac:dyDescent="0.35">
      <c r="A4715" s="251"/>
      <c r="B4715" s="252"/>
      <c r="C4715" s="252"/>
      <c r="D4715" s="252"/>
      <c r="E4715" s="252"/>
      <c r="F4715" s="252"/>
      <c r="G4715" s="252"/>
      <c r="H4715" s="252"/>
      <c r="I4715" s="252"/>
      <c r="J4715" s="252"/>
      <c r="K4715" s="253"/>
    </row>
    <row r="4716" spans="1:11" ht="22" customHeight="1" x14ac:dyDescent="0.35">
      <c r="A4716" s="251"/>
      <c r="B4716" s="252"/>
      <c r="C4716" s="252"/>
      <c r="D4716" s="252"/>
      <c r="E4716" s="252"/>
      <c r="F4716" s="252"/>
      <c r="G4716" s="252"/>
      <c r="H4716" s="252"/>
      <c r="I4716" s="252"/>
      <c r="J4716" s="252"/>
      <c r="K4716" s="253"/>
    </row>
    <row r="4717" spans="1:11" ht="22" customHeight="1" x14ac:dyDescent="0.35">
      <c r="A4717" s="251"/>
      <c r="B4717" s="252"/>
      <c r="C4717" s="252"/>
      <c r="D4717" s="252"/>
      <c r="E4717" s="252"/>
      <c r="F4717" s="252"/>
      <c r="G4717" s="252"/>
      <c r="H4717" s="252"/>
      <c r="I4717" s="252"/>
      <c r="J4717" s="252"/>
      <c r="K4717" s="253"/>
    </row>
    <row r="4718" spans="1:11" ht="22" customHeight="1" x14ac:dyDescent="0.35">
      <c r="A4718" s="251"/>
      <c r="B4718" s="252"/>
      <c r="C4718" s="252"/>
      <c r="D4718" s="252"/>
      <c r="E4718" s="252"/>
      <c r="F4718" s="252"/>
      <c r="G4718" s="252"/>
      <c r="H4718" s="252"/>
      <c r="I4718" s="252"/>
      <c r="J4718" s="252"/>
      <c r="K4718" s="253"/>
    </row>
    <row r="4719" spans="1:11" ht="22" customHeight="1" x14ac:dyDescent="0.35">
      <c r="A4719" s="251"/>
      <c r="B4719" s="252"/>
      <c r="C4719" s="252"/>
      <c r="D4719" s="252"/>
      <c r="E4719" s="252"/>
      <c r="F4719" s="252"/>
      <c r="G4719" s="252"/>
      <c r="H4719" s="252"/>
      <c r="I4719" s="252"/>
      <c r="J4719" s="252"/>
      <c r="K4719" s="253"/>
    </row>
    <row r="4720" spans="1:11" ht="22" customHeight="1" x14ac:dyDescent="0.35">
      <c r="A4720" s="251"/>
      <c r="B4720" s="252"/>
      <c r="C4720" s="252"/>
      <c r="D4720" s="252"/>
      <c r="E4720" s="252"/>
      <c r="F4720" s="252"/>
      <c r="G4720" s="252"/>
      <c r="H4720" s="252"/>
      <c r="I4720" s="252"/>
      <c r="J4720" s="252"/>
      <c r="K4720" s="253"/>
    </row>
    <row r="4721" spans="1:11" ht="22" customHeight="1" x14ac:dyDescent="0.35">
      <c r="A4721" s="251"/>
      <c r="B4721" s="252"/>
      <c r="C4721" s="252"/>
      <c r="D4721" s="252"/>
      <c r="E4721" s="252"/>
      <c r="F4721" s="252"/>
      <c r="G4721" s="252"/>
      <c r="H4721" s="252"/>
      <c r="I4721" s="252"/>
      <c r="J4721" s="252"/>
      <c r="K4721" s="253"/>
    </row>
    <row r="4722" spans="1:11" ht="22" customHeight="1" x14ac:dyDescent="0.35">
      <c r="A4722" s="251"/>
      <c r="B4722" s="252"/>
      <c r="C4722" s="252"/>
      <c r="D4722" s="252"/>
      <c r="E4722" s="252"/>
      <c r="F4722" s="252"/>
      <c r="G4722" s="252"/>
      <c r="H4722" s="252"/>
      <c r="I4722" s="252"/>
      <c r="J4722" s="252"/>
      <c r="K4722" s="253"/>
    </row>
    <row r="4723" spans="1:11" ht="22" customHeight="1" x14ac:dyDescent="0.35">
      <c r="A4723" s="251"/>
      <c r="B4723" s="252"/>
      <c r="C4723" s="252"/>
      <c r="D4723" s="252"/>
      <c r="E4723" s="252"/>
      <c r="F4723" s="252"/>
      <c r="G4723" s="252"/>
      <c r="H4723" s="252"/>
      <c r="I4723" s="252"/>
      <c r="J4723" s="252"/>
      <c r="K4723" s="253"/>
    </row>
    <row r="4724" spans="1:11" ht="22" customHeight="1" x14ac:dyDescent="0.35">
      <c r="A4724" s="251"/>
      <c r="B4724" s="252"/>
      <c r="C4724" s="252"/>
      <c r="D4724" s="252"/>
      <c r="E4724" s="252"/>
      <c r="F4724" s="252"/>
      <c r="G4724" s="252"/>
      <c r="H4724" s="252"/>
      <c r="I4724" s="252"/>
      <c r="J4724" s="252"/>
      <c r="K4724" s="253"/>
    </row>
    <row r="4725" spans="1:11" ht="22" customHeight="1" x14ac:dyDescent="0.35">
      <c r="A4725" s="251"/>
      <c r="B4725" s="252"/>
      <c r="C4725" s="252"/>
      <c r="D4725" s="252"/>
      <c r="E4725" s="252"/>
      <c r="F4725" s="252"/>
      <c r="G4725" s="252"/>
      <c r="H4725" s="252"/>
      <c r="I4725" s="252"/>
      <c r="J4725" s="252"/>
      <c r="K4725" s="253"/>
    </row>
    <row r="4726" spans="1:11" ht="22" customHeight="1" x14ac:dyDescent="0.35">
      <c r="A4726" s="251"/>
      <c r="B4726" s="252"/>
      <c r="C4726" s="252"/>
      <c r="D4726" s="252"/>
      <c r="E4726" s="252"/>
      <c r="F4726" s="252"/>
      <c r="G4726" s="252"/>
      <c r="H4726" s="252"/>
      <c r="I4726" s="252"/>
      <c r="J4726" s="252"/>
      <c r="K4726" s="253"/>
    </row>
    <row r="4727" spans="1:11" ht="22" customHeight="1" x14ac:dyDescent="0.35">
      <c r="A4727" s="251"/>
      <c r="B4727" s="252"/>
      <c r="C4727" s="252"/>
      <c r="D4727" s="252"/>
      <c r="E4727" s="252"/>
      <c r="F4727" s="252"/>
      <c r="G4727" s="252"/>
      <c r="H4727" s="252"/>
      <c r="I4727" s="252"/>
      <c r="J4727" s="252"/>
      <c r="K4727" s="253"/>
    </row>
    <row r="4728" spans="1:11" ht="22" customHeight="1" x14ac:dyDescent="0.35">
      <c r="A4728" s="251"/>
      <c r="B4728" s="252"/>
      <c r="C4728" s="252"/>
      <c r="D4728" s="252"/>
      <c r="E4728" s="252"/>
      <c r="F4728" s="252"/>
      <c r="G4728" s="252"/>
      <c r="H4728" s="252"/>
      <c r="I4728" s="252"/>
      <c r="J4728" s="252"/>
      <c r="K4728" s="253"/>
    </row>
    <row r="4729" spans="1:11" ht="22" customHeight="1" x14ac:dyDescent="0.35">
      <c r="A4729" s="251"/>
      <c r="B4729" s="252"/>
      <c r="C4729" s="252"/>
      <c r="D4729" s="252"/>
      <c r="E4729" s="252"/>
      <c r="F4729" s="252"/>
      <c r="G4729" s="252"/>
      <c r="H4729" s="252"/>
      <c r="I4729" s="252"/>
      <c r="J4729" s="252"/>
      <c r="K4729" s="253"/>
    </row>
    <row r="4730" spans="1:11" ht="22" customHeight="1" x14ac:dyDescent="0.35">
      <c r="A4730" s="251"/>
      <c r="B4730" s="252"/>
      <c r="C4730" s="252"/>
      <c r="D4730" s="252"/>
      <c r="E4730" s="252"/>
      <c r="F4730" s="252"/>
      <c r="G4730" s="252"/>
      <c r="H4730" s="252"/>
      <c r="I4730" s="252"/>
      <c r="J4730" s="252"/>
      <c r="K4730" s="253"/>
    </row>
    <row r="4731" spans="1:11" ht="22" customHeight="1" x14ac:dyDescent="0.35">
      <c r="A4731" s="251"/>
      <c r="B4731" s="252"/>
      <c r="C4731" s="252"/>
      <c r="D4731" s="252"/>
      <c r="E4731" s="252"/>
      <c r="F4731" s="252"/>
      <c r="G4731" s="252"/>
      <c r="H4731" s="252"/>
      <c r="I4731" s="252"/>
      <c r="J4731" s="252"/>
      <c r="K4731" s="253"/>
    </row>
    <row r="4732" spans="1:11" ht="22" customHeight="1" x14ac:dyDescent="0.35">
      <c r="A4732" s="251"/>
      <c r="B4732" s="252"/>
      <c r="C4732" s="252"/>
      <c r="D4732" s="252"/>
      <c r="E4732" s="252"/>
      <c r="F4732" s="252"/>
      <c r="G4732" s="252"/>
      <c r="H4732" s="252"/>
      <c r="I4732" s="252"/>
      <c r="J4732" s="252"/>
      <c r="K4732" s="253"/>
    </row>
    <row r="4733" spans="1:11" ht="22" customHeight="1" x14ac:dyDescent="0.35">
      <c r="A4733" s="251"/>
      <c r="B4733" s="252"/>
      <c r="C4733" s="252"/>
      <c r="D4733" s="252"/>
      <c r="E4733" s="252"/>
      <c r="F4733" s="252"/>
      <c r="G4733" s="252"/>
      <c r="H4733" s="252"/>
      <c r="I4733" s="252"/>
      <c r="J4733" s="252"/>
      <c r="K4733" s="253"/>
    </row>
    <row r="4734" spans="1:11" ht="22" customHeight="1" x14ac:dyDescent="0.35">
      <c r="A4734" s="251"/>
      <c r="B4734" s="252"/>
      <c r="C4734" s="252"/>
      <c r="D4734" s="252"/>
      <c r="E4734" s="252"/>
      <c r="F4734" s="252"/>
      <c r="G4734" s="252"/>
      <c r="H4734" s="252"/>
      <c r="I4734" s="252"/>
      <c r="J4734" s="252"/>
      <c r="K4734" s="253"/>
    </row>
    <row r="4735" spans="1:11" ht="22" customHeight="1" x14ac:dyDescent="0.35">
      <c r="A4735" s="251"/>
      <c r="B4735" s="252"/>
      <c r="C4735" s="252"/>
      <c r="D4735" s="252"/>
      <c r="E4735" s="252"/>
      <c r="F4735" s="252"/>
      <c r="G4735" s="252"/>
      <c r="H4735" s="252"/>
      <c r="I4735" s="252"/>
      <c r="J4735" s="252"/>
      <c r="K4735" s="253"/>
    </row>
    <row r="4736" spans="1:11" ht="22" customHeight="1" x14ac:dyDescent="0.35">
      <c r="A4736" s="251"/>
      <c r="B4736" s="252"/>
      <c r="C4736" s="252"/>
      <c r="D4736" s="252"/>
      <c r="E4736" s="252"/>
      <c r="F4736" s="252"/>
      <c r="G4736" s="252"/>
      <c r="H4736" s="252"/>
      <c r="I4736" s="252"/>
      <c r="J4736" s="252"/>
      <c r="K4736" s="253"/>
    </row>
    <row r="4737" spans="1:11" ht="22" customHeight="1" x14ac:dyDescent="0.35">
      <c r="A4737" s="251"/>
      <c r="B4737" s="252"/>
      <c r="C4737" s="252"/>
      <c r="D4737" s="252"/>
      <c r="E4737" s="252"/>
      <c r="F4737" s="252"/>
      <c r="G4737" s="252"/>
      <c r="H4737" s="252"/>
      <c r="I4737" s="252"/>
      <c r="J4737" s="252"/>
      <c r="K4737" s="253"/>
    </row>
    <row r="4738" spans="1:11" ht="22" customHeight="1" x14ac:dyDescent="0.35">
      <c r="A4738" s="251"/>
      <c r="B4738" s="252"/>
      <c r="C4738" s="252"/>
      <c r="D4738" s="252"/>
      <c r="E4738" s="252"/>
      <c r="F4738" s="252"/>
      <c r="G4738" s="252"/>
      <c r="H4738" s="252"/>
      <c r="I4738" s="252"/>
      <c r="J4738" s="252"/>
      <c r="K4738" s="253"/>
    </row>
    <row r="4739" spans="1:11" ht="22" customHeight="1" x14ac:dyDescent="0.35">
      <c r="A4739" s="251"/>
      <c r="B4739" s="252"/>
      <c r="C4739" s="252"/>
      <c r="D4739" s="252"/>
      <c r="E4739" s="252"/>
      <c r="F4739" s="252"/>
      <c r="G4739" s="252"/>
      <c r="H4739" s="252"/>
      <c r="I4739" s="252"/>
      <c r="J4739" s="252"/>
      <c r="K4739" s="253"/>
    </row>
    <row r="4740" spans="1:11" ht="22" customHeight="1" x14ac:dyDescent="0.35">
      <c r="A4740" s="251"/>
      <c r="B4740" s="252"/>
      <c r="C4740" s="252"/>
      <c r="D4740" s="252"/>
      <c r="E4740" s="252"/>
      <c r="F4740" s="252"/>
      <c r="G4740" s="252"/>
      <c r="H4740" s="252"/>
      <c r="I4740" s="252"/>
      <c r="J4740" s="252"/>
      <c r="K4740" s="253"/>
    </row>
    <row r="4741" spans="1:11" ht="22" customHeight="1" x14ac:dyDescent="0.35">
      <c r="A4741" s="251"/>
      <c r="B4741" s="252"/>
      <c r="C4741" s="252"/>
      <c r="D4741" s="252"/>
      <c r="E4741" s="252"/>
      <c r="F4741" s="252"/>
      <c r="G4741" s="252"/>
      <c r="H4741" s="252"/>
      <c r="I4741" s="252"/>
      <c r="J4741" s="252"/>
      <c r="K4741" s="253"/>
    </row>
    <row r="4742" spans="1:11" ht="22" customHeight="1" x14ac:dyDescent="0.35">
      <c r="A4742" s="251"/>
      <c r="B4742" s="252"/>
      <c r="C4742" s="252"/>
      <c r="D4742" s="252"/>
      <c r="E4742" s="252"/>
      <c r="F4742" s="252"/>
      <c r="G4742" s="252"/>
      <c r="H4742" s="252"/>
      <c r="I4742" s="252"/>
      <c r="J4742" s="252"/>
      <c r="K4742" s="253"/>
    </row>
    <row r="4743" spans="1:11" ht="22" customHeight="1" x14ac:dyDescent="0.35">
      <c r="A4743" s="251"/>
      <c r="B4743" s="252"/>
      <c r="C4743" s="252"/>
      <c r="D4743" s="252"/>
      <c r="E4743" s="252"/>
      <c r="F4743" s="252"/>
      <c r="G4743" s="252"/>
      <c r="H4743" s="252"/>
      <c r="I4743" s="252"/>
      <c r="J4743" s="252"/>
      <c r="K4743" s="253"/>
    </row>
    <row r="4744" spans="1:11" ht="22" customHeight="1" x14ac:dyDescent="0.35">
      <c r="A4744" s="251"/>
      <c r="B4744" s="252"/>
      <c r="C4744" s="252"/>
      <c r="D4744" s="252"/>
      <c r="E4744" s="252"/>
      <c r="F4744" s="252"/>
      <c r="G4744" s="252"/>
      <c r="H4744" s="252"/>
      <c r="I4744" s="252"/>
      <c r="J4744" s="252"/>
      <c r="K4744" s="253"/>
    </row>
    <row r="4745" spans="1:11" ht="22" customHeight="1" x14ac:dyDescent="0.35">
      <c r="A4745" s="251"/>
      <c r="B4745" s="252"/>
      <c r="C4745" s="252"/>
      <c r="D4745" s="252"/>
      <c r="E4745" s="252"/>
      <c r="F4745" s="252"/>
      <c r="G4745" s="252"/>
      <c r="H4745" s="252"/>
      <c r="I4745" s="252"/>
      <c r="J4745" s="252"/>
      <c r="K4745" s="253"/>
    </row>
    <row r="4746" spans="1:11" ht="22" customHeight="1" x14ac:dyDescent="0.35">
      <c r="A4746" s="251"/>
      <c r="B4746" s="252"/>
      <c r="C4746" s="252"/>
      <c r="D4746" s="252"/>
      <c r="E4746" s="252"/>
      <c r="F4746" s="252"/>
      <c r="G4746" s="252"/>
      <c r="H4746" s="252"/>
      <c r="I4746" s="252"/>
      <c r="J4746" s="252"/>
      <c r="K4746" s="253"/>
    </row>
    <row r="4747" spans="1:11" ht="22" customHeight="1" x14ac:dyDescent="0.35">
      <c r="A4747" s="251"/>
      <c r="B4747" s="252"/>
      <c r="C4747" s="252"/>
      <c r="D4747" s="252"/>
      <c r="E4747" s="252"/>
      <c r="F4747" s="252"/>
      <c r="G4747" s="252"/>
      <c r="H4747" s="252"/>
      <c r="I4747" s="252"/>
      <c r="J4747" s="252"/>
      <c r="K4747" s="253"/>
    </row>
    <row r="4748" spans="1:11" ht="22" customHeight="1" x14ac:dyDescent="0.35">
      <c r="A4748" s="251"/>
      <c r="B4748" s="252"/>
      <c r="C4748" s="252"/>
      <c r="D4748" s="252"/>
      <c r="E4748" s="252"/>
      <c r="F4748" s="252"/>
      <c r="G4748" s="252"/>
      <c r="H4748" s="252"/>
      <c r="I4748" s="252"/>
      <c r="J4748" s="252"/>
      <c r="K4748" s="253"/>
    </row>
    <row r="4749" spans="1:11" ht="22" customHeight="1" x14ac:dyDescent="0.35">
      <c r="A4749" s="251"/>
      <c r="B4749" s="252"/>
      <c r="C4749" s="252"/>
      <c r="D4749" s="252"/>
      <c r="E4749" s="252"/>
      <c r="F4749" s="252"/>
      <c r="G4749" s="252"/>
      <c r="H4749" s="252"/>
      <c r="I4749" s="252"/>
      <c r="J4749" s="252"/>
      <c r="K4749" s="253"/>
    </row>
    <row r="4750" spans="1:11" ht="22" customHeight="1" x14ac:dyDescent="0.35">
      <c r="A4750" s="251"/>
      <c r="B4750" s="252"/>
      <c r="C4750" s="252"/>
      <c r="D4750" s="252"/>
      <c r="E4750" s="252"/>
      <c r="F4750" s="252"/>
      <c r="G4750" s="252"/>
      <c r="H4750" s="252"/>
      <c r="I4750" s="252"/>
      <c r="J4750" s="252"/>
      <c r="K4750" s="253"/>
    </row>
    <row r="4751" spans="1:11" ht="22" customHeight="1" x14ac:dyDescent="0.35">
      <c r="A4751" s="251"/>
      <c r="B4751" s="252"/>
      <c r="C4751" s="252"/>
      <c r="D4751" s="252"/>
      <c r="E4751" s="252"/>
      <c r="F4751" s="252"/>
      <c r="G4751" s="252"/>
      <c r="H4751" s="252"/>
      <c r="I4751" s="252"/>
      <c r="J4751" s="252"/>
      <c r="K4751" s="253"/>
    </row>
    <row r="4752" spans="1:11" ht="22" customHeight="1" x14ac:dyDescent="0.35">
      <c r="A4752" s="251"/>
      <c r="B4752" s="252"/>
      <c r="C4752" s="252"/>
      <c r="D4752" s="252"/>
      <c r="E4752" s="252"/>
      <c r="F4752" s="252"/>
      <c r="G4752" s="252"/>
      <c r="H4752" s="252"/>
      <c r="I4752" s="252"/>
      <c r="J4752" s="252"/>
      <c r="K4752" s="253"/>
    </row>
    <row r="4753" spans="1:11" ht="22" customHeight="1" x14ac:dyDescent="0.35">
      <c r="A4753" s="251"/>
      <c r="B4753" s="252"/>
      <c r="C4753" s="252"/>
      <c r="D4753" s="252"/>
      <c r="E4753" s="252"/>
      <c r="F4753" s="252"/>
      <c r="G4753" s="252"/>
      <c r="H4753" s="252"/>
      <c r="I4753" s="252"/>
      <c r="J4753" s="252"/>
      <c r="K4753" s="253"/>
    </row>
    <row r="4754" spans="1:11" ht="22" customHeight="1" x14ac:dyDescent="0.35">
      <c r="A4754" s="251"/>
      <c r="B4754" s="252"/>
      <c r="C4754" s="252"/>
      <c r="D4754" s="252"/>
      <c r="E4754" s="252"/>
      <c r="F4754" s="252"/>
      <c r="G4754" s="252"/>
      <c r="H4754" s="252"/>
      <c r="I4754" s="252"/>
      <c r="J4754" s="252"/>
      <c r="K4754" s="253"/>
    </row>
    <row r="4755" spans="1:11" ht="22" customHeight="1" x14ac:dyDescent="0.35">
      <c r="A4755" s="251"/>
      <c r="B4755" s="252"/>
      <c r="C4755" s="252"/>
      <c r="D4755" s="252"/>
      <c r="E4755" s="252"/>
      <c r="F4755" s="252"/>
      <c r="G4755" s="252"/>
      <c r="H4755" s="252"/>
      <c r="I4755" s="252"/>
      <c r="J4755" s="252"/>
      <c r="K4755" s="253"/>
    </row>
    <row r="4756" spans="1:11" ht="22" customHeight="1" x14ac:dyDescent="0.35">
      <c r="A4756" s="251"/>
      <c r="B4756" s="252"/>
      <c r="C4756" s="252"/>
      <c r="D4756" s="252"/>
      <c r="E4756" s="252"/>
      <c r="F4756" s="252"/>
      <c r="G4756" s="252"/>
      <c r="H4756" s="252"/>
      <c r="I4756" s="252"/>
      <c r="J4756" s="252"/>
      <c r="K4756" s="253"/>
    </row>
    <row r="4757" spans="1:11" ht="22" customHeight="1" x14ac:dyDescent="0.35">
      <c r="A4757" s="251"/>
      <c r="B4757" s="252"/>
      <c r="C4757" s="252"/>
      <c r="D4757" s="252"/>
      <c r="E4757" s="252"/>
      <c r="F4757" s="252"/>
      <c r="G4757" s="252"/>
      <c r="H4757" s="252"/>
      <c r="I4757" s="252"/>
      <c r="J4757" s="252"/>
      <c r="K4757" s="253"/>
    </row>
    <row r="4758" spans="1:11" ht="22" customHeight="1" x14ac:dyDescent="0.35">
      <c r="A4758" s="251"/>
      <c r="B4758" s="252"/>
      <c r="C4758" s="252"/>
      <c r="D4758" s="252"/>
      <c r="E4758" s="252"/>
      <c r="F4758" s="252"/>
      <c r="G4758" s="252"/>
      <c r="H4758" s="252"/>
      <c r="I4758" s="252"/>
      <c r="J4758" s="252"/>
      <c r="K4758" s="253"/>
    </row>
    <row r="4759" spans="1:11" ht="22" customHeight="1" x14ac:dyDescent="0.35">
      <c r="A4759" s="251"/>
      <c r="B4759" s="252"/>
      <c r="C4759" s="252"/>
      <c r="D4759" s="252"/>
      <c r="E4759" s="252"/>
      <c r="F4759" s="252"/>
      <c r="G4759" s="252"/>
      <c r="H4759" s="252"/>
      <c r="I4759" s="252"/>
      <c r="J4759" s="252"/>
      <c r="K4759" s="253"/>
    </row>
    <row r="4760" spans="1:11" ht="22" customHeight="1" x14ac:dyDescent="0.35">
      <c r="A4760" s="251"/>
      <c r="B4760" s="252"/>
      <c r="C4760" s="252"/>
      <c r="D4760" s="252"/>
      <c r="E4760" s="252"/>
      <c r="F4760" s="252"/>
      <c r="G4760" s="252"/>
      <c r="H4760" s="252"/>
      <c r="I4760" s="252"/>
      <c r="J4760" s="252"/>
      <c r="K4760" s="253"/>
    </row>
    <row r="4761" spans="1:11" ht="22" customHeight="1" x14ac:dyDescent="0.35">
      <c r="A4761" s="251"/>
      <c r="B4761" s="252"/>
      <c r="C4761" s="252"/>
      <c r="D4761" s="252"/>
      <c r="E4761" s="252"/>
      <c r="F4761" s="252"/>
      <c r="G4761" s="252"/>
      <c r="H4761" s="252"/>
      <c r="I4761" s="252"/>
      <c r="J4761" s="252"/>
      <c r="K4761" s="253"/>
    </row>
    <row r="4762" spans="1:11" ht="22" customHeight="1" x14ac:dyDescent="0.35">
      <c r="A4762" s="251"/>
      <c r="B4762" s="252"/>
      <c r="C4762" s="252"/>
      <c r="D4762" s="252"/>
      <c r="E4762" s="252"/>
      <c r="F4762" s="252"/>
      <c r="G4762" s="252"/>
      <c r="H4762" s="252"/>
      <c r="I4762" s="252"/>
      <c r="J4762" s="252"/>
      <c r="K4762" s="253"/>
    </row>
    <row r="4763" spans="1:11" ht="22" customHeight="1" x14ac:dyDescent="0.35">
      <c r="A4763" s="251"/>
      <c r="B4763" s="252"/>
      <c r="C4763" s="252"/>
      <c r="D4763" s="252"/>
      <c r="E4763" s="252"/>
      <c r="F4763" s="252"/>
      <c r="G4763" s="252"/>
      <c r="H4763" s="252"/>
      <c r="I4763" s="252"/>
      <c r="J4763" s="252"/>
      <c r="K4763" s="253"/>
    </row>
    <row r="4764" spans="1:11" ht="22" customHeight="1" x14ac:dyDescent="0.35">
      <c r="A4764" s="251"/>
      <c r="B4764" s="252"/>
      <c r="C4764" s="252"/>
      <c r="D4764" s="252"/>
      <c r="E4764" s="252"/>
      <c r="F4764" s="252"/>
      <c r="G4764" s="252"/>
      <c r="H4764" s="252"/>
      <c r="I4764" s="252"/>
      <c r="J4764" s="252"/>
      <c r="K4764" s="253"/>
    </row>
    <row r="4765" spans="1:11" ht="22" customHeight="1" x14ac:dyDescent="0.35">
      <c r="A4765" s="251"/>
      <c r="B4765" s="252"/>
      <c r="C4765" s="252"/>
      <c r="D4765" s="252"/>
      <c r="E4765" s="252"/>
      <c r="F4765" s="252"/>
      <c r="G4765" s="252"/>
      <c r="H4765" s="252"/>
      <c r="I4765" s="252"/>
      <c r="J4765" s="252"/>
      <c r="K4765" s="253"/>
    </row>
    <row r="4766" spans="1:11" ht="22" customHeight="1" x14ac:dyDescent="0.35">
      <c r="A4766" s="251"/>
      <c r="B4766" s="252"/>
      <c r="C4766" s="252"/>
      <c r="D4766" s="252"/>
      <c r="E4766" s="252"/>
      <c r="F4766" s="252"/>
      <c r="G4766" s="252"/>
      <c r="H4766" s="252"/>
      <c r="I4766" s="252"/>
      <c r="J4766" s="252"/>
      <c r="K4766" s="253"/>
    </row>
    <row r="4767" spans="1:11" ht="22" customHeight="1" x14ac:dyDescent="0.35">
      <c r="A4767" s="251"/>
      <c r="B4767" s="252"/>
      <c r="C4767" s="252"/>
      <c r="D4767" s="252"/>
      <c r="E4767" s="252"/>
      <c r="F4767" s="252"/>
      <c r="G4767" s="252"/>
      <c r="H4767" s="252"/>
      <c r="I4767" s="252"/>
      <c r="J4767" s="252"/>
      <c r="K4767" s="253"/>
    </row>
    <row r="4768" spans="1:11" ht="22" customHeight="1" x14ac:dyDescent="0.35">
      <c r="A4768" s="251"/>
      <c r="B4768" s="252"/>
      <c r="C4768" s="252"/>
      <c r="D4768" s="252"/>
      <c r="E4768" s="252"/>
      <c r="F4768" s="252"/>
      <c r="G4768" s="252"/>
      <c r="H4768" s="252"/>
      <c r="I4768" s="252"/>
      <c r="J4768" s="252"/>
      <c r="K4768" s="253"/>
    </row>
    <row r="4769" spans="1:11" ht="22" customHeight="1" x14ac:dyDescent="0.35">
      <c r="A4769" s="251"/>
      <c r="B4769" s="252"/>
      <c r="C4769" s="252"/>
      <c r="D4769" s="252"/>
      <c r="E4769" s="252"/>
      <c r="F4769" s="252"/>
      <c r="G4769" s="252"/>
      <c r="H4769" s="252"/>
      <c r="I4769" s="252"/>
      <c r="J4769" s="252"/>
      <c r="K4769" s="253"/>
    </row>
    <row r="4770" spans="1:11" ht="22" customHeight="1" x14ac:dyDescent="0.35">
      <c r="A4770" s="251"/>
      <c r="B4770" s="252"/>
      <c r="C4770" s="252"/>
      <c r="D4770" s="252"/>
      <c r="E4770" s="252"/>
      <c r="F4770" s="252"/>
      <c r="G4770" s="252"/>
      <c r="H4770" s="252"/>
      <c r="I4770" s="252"/>
      <c r="J4770" s="252"/>
      <c r="K4770" s="253"/>
    </row>
    <row r="4771" spans="1:11" ht="22" customHeight="1" x14ac:dyDescent="0.35">
      <c r="A4771" s="251"/>
      <c r="B4771" s="252"/>
      <c r="C4771" s="252"/>
      <c r="D4771" s="252"/>
      <c r="E4771" s="252"/>
      <c r="F4771" s="252"/>
      <c r="G4771" s="252"/>
      <c r="H4771" s="252"/>
      <c r="I4771" s="252"/>
      <c r="J4771" s="252"/>
      <c r="K4771" s="253"/>
    </row>
    <row r="4772" spans="1:11" ht="22" customHeight="1" x14ac:dyDescent="0.35">
      <c r="A4772" s="251"/>
      <c r="B4772" s="252"/>
      <c r="C4772" s="252"/>
      <c r="D4772" s="252"/>
      <c r="E4772" s="252"/>
      <c r="F4772" s="252"/>
      <c r="G4772" s="252"/>
      <c r="H4772" s="252"/>
      <c r="I4772" s="252"/>
      <c r="J4772" s="252"/>
      <c r="K4772" s="253"/>
    </row>
    <row r="4773" spans="1:11" ht="22" customHeight="1" x14ac:dyDescent="0.35">
      <c r="A4773" s="251"/>
      <c r="B4773" s="252"/>
      <c r="C4773" s="252"/>
      <c r="D4773" s="252"/>
      <c r="E4773" s="252"/>
      <c r="F4773" s="252"/>
      <c r="G4773" s="252"/>
      <c r="H4773" s="252"/>
      <c r="I4773" s="252"/>
      <c r="J4773" s="252"/>
      <c r="K4773" s="253"/>
    </row>
    <row r="4774" spans="1:11" ht="22" customHeight="1" x14ac:dyDescent="0.35">
      <c r="A4774" s="251"/>
      <c r="B4774" s="252"/>
      <c r="C4774" s="252"/>
      <c r="D4774" s="252"/>
      <c r="E4774" s="252"/>
      <c r="F4774" s="252"/>
      <c r="G4774" s="252"/>
      <c r="H4774" s="252"/>
      <c r="I4774" s="252"/>
      <c r="J4774" s="252"/>
      <c r="K4774" s="253"/>
    </row>
    <row r="4775" spans="1:11" ht="22" customHeight="1" x14ac:dyDescent="0.35">
      <c r="A4775" s="251"/>
      <c r="B4775" s="252"/>
      <c r="C4775" s="252"/>
      <c r="D4775" s="252"/>
      <c r="E4775" s="252"/>
      <c r="F4775" s="252"/>
      <c r="G4775" s="252"/>
      <c r="H4775" s="252"/>
      <c r="I4775" s="252"/>
      <c r="J4775" s="252"/>
      <c r="K4775" s="253"/>
    </row>
    <row r="4776" spans="1:11" ht="22" customHeight="1" x14ac:dyDescent="0.35">
      <c r="A4776" s="251"/>
      <c r="B4776" s="252"/>
      <c r="C4776" s="252"/>
      <c r="D4776" s="252"/>
      <c r="E4776" s="252"/>
      <c r="F4776" s="252"/>
      <c r="G4776" s="252"/>
      <c r="H4776" s="252"/>
      <c r="I4776" s="252"/>
      <c r="J4776" s="252"/>
      <c r="K4776" s="253"/>
    </row>
    <row r="4777" spans="1:11" ht="22" customHeight="1" x14ac:dyDescent="0.35">
      <c r="A4777" s="251"/>
      <c r="B4777" s="252"/>
      <c r="C4777" s="252"/>
      <c r="D4777" s="252"/>
      <c r="E4777" s="252"/>
      <c r="F4777" s="252"/>
      <c r="G4777" s="252"/>
      <c r="H4777" s="252"/>
      <c r="I4777" s="252"/>
      <c r="J4777" s="252"/>
      <c r="K4777" s="253"/>
    </row>
    <row r="4778" spans="1:11" ht="22" customHeight="1" x14ac:dyDescent="0.35">
      <c r="A4778" s="251"/>
      <c r="B4778" s="252"/>
      <c r="C4778" s="252"/>
      <c r="D4778" s="252"/>
      <c r="E4778" s="252"/>
      <c r="F4778" s="252"/>
      <c r="G4778" s="252"/>
      <c r="H4778" s="252"/>
      <c r="I4778" s="252"/>
      <c r="J4778" s="252"/>
      <c r="K4778" s="253"/>
    </row>
    <row r="4779" spans="1:11" ht="22" customHeight="1" x14ac:dyDescent="0.35">
      <c r="A4779" s="251"/>
      <c r="B4779" s="252"/>
      <c r="C4779" s="252"/>
      <c r="D4779" s="252"/>
      <c r="E4779" s="252"/>
      <c r="F4779" s="252"/>
      <c r="G4779" s="252"/>
      <c r="H4779" s="252"/>
      <c r="I4779" s="252"/>
      <c r="J4779" s="252"/>
      <c r="K4779" s="253"/>
    </row>
    <row r="4780" spans="1:11" ht="22" customHeight="1" x14ac:dyDescent="0.35">
      <c r="A4780" s="251"/>
      <c r="B4780" s="252"/>
      <c r="C4780" s="252"/>
      <c r="D4780" s="252"/>
      <c r="E4780" s="252"/>
      <c r="F4780" s="252"/>
      <c r="G4780" s="252"/>
      <c r="H4780" s="252"/>
      <c r="I4780" s="252"/>
      <c r="J4780" s="252"/>
      <c r="K4780" s="253"/>
    </row>
    <row r="4781" spans="1:11" ht="22" customHeight="1" x14ac:dyDescent="0.35">
      <c r="A4781" s="251"/>
      <c r="B4781" s="252"/>
      <c r="C4781" s="252"/>
      <c r="D4781" s="252"/>
      <c r="E4781" s="252"/>
      <c r="F4781" s="252"/>
      <c r="G4781" s="252"/>
      <c r="H4781" s="252"/>
      <c r="I4781" s="252"/>
      <c r="J4781" s="252"/>
      <c r="K4781" s="253"/>
    </row>
    <row r="4782" spans="1:11" ht="22" customHeight="1" x14ac:dyDescent="0.35">
      <c r="A4782" s="251"/>
      <c r="B4782" s="252"/>
      <c r="C4782" s="252"/>
      <c r="D4782" s="252"/>
      <c r="E4782" s="252"/>
      <c r="F4782" s="252"/>
      <c r="G4782" s="252"/>
      <c r="H4782" s="252"/>
      <c r="I4782" s="252"/>
      <c r="J4782" s="252"/>
      <c r="K4782" s="253"/>
    </row>
    <row r="4783" spans="1:11" ht="22" customHeight="1" x14ac:dyDescent="0.35">
      <c r="A4783" s="251"/>
      <c r="B4783" s="252"/>
      <c r="C4783" s="252"/>
      <c r="D4783" s="252"/>
      <c r="E4783" s="252"/>
      <c r="F4783" s="252"/>
      <c r="G4783" s="252"/>
      <c r="H4783" s="252"/>
      <c r="I4783" s="252"/>
      <c r="J4783" s="252"/>
      <c r="K4783" s="253"/>
    </row>
    <row r="4784" spans="1:11" ht="22" customHeight="1" x14ac:dyDescent="0.35">
      <c r="A4784" s="251"/>
      <c r="B4784" s="252"/>
      <c r="C4784" s="252"/>
      <c r="D4784" s="252"/>
      <c r="E4784" s="252"/>
      <c r="F4784" s="252"/>
      <c r="G4784" s="252"/>
      <c r="H4784" s="252"/>
      <c r="I4784" s="252"/>
      <c r="J4784" s="252"/>
      <c r="K4784" s="253"/>
    </row>
    <row r="4785" spans="1:11" ht="22" customHeight="1" x14ac:dyDescent="0.35">
      <c r="A4785" s="251"/>
      <c r="B4785" s="252"/>
      <c r="C4785" s="252"/>
      <c r="D4785" s="252"/>
      <c r="E4785" s="252"/>
      <c r="F4785" s="252"/>
      <c r="G4785" s="252"/>
      <c r="H4785" s="252"/>
      <c r="I4785" s="252"/>
      <c r="J4785" s="252"/>
      <c r="K4785" s="253"/>
    </row>
    <row r="4786" spans="1:11" ht="22" customHeight="1" x14ac:dyDescent="0.35">
      <c r="A4786" s="251"/>
      <c r="B4786" s="252"/>
      <c r="C4786" s="252"/>
      <c r="D4786" s="252"/>
      <c r="E4786" s="252"/>
      <c r="F4786" s="252"/>
      <c r="G4786" s="252"/>
      <c r="H4786" s="252"/>
      <c r="I4786" s="252"/>
      <c r="J4786" s="252"/>
      <c r="K4786" s="253"/>
    </row>
    <row r="4787" spans="1:11" ht="22" customHeight="1" x14ac:dyDescent="0.35">
      <c r="A4787" s="251"/>
      <c r="B4787" s="252"/>
      <c r="C4787" s="252"/>
      <c r="D4787" s="252"/>
      <c r="E4787" s="252"/>
      <c r="F4787" s="252"/>
      <c r="G4787" s="252"/>
      <c r="H4787" s="252"/>
      <c r="I4787" s="252"/>
      <c r="J4787" s="252"/>
      <c r="K4787" s="253"/>
    </row>
    <row r="4788" spans="1:11" ht="22" customHeight="1" x14ac:dyDescent="0.35">
      <c r="A4788" s="251"/>
      <c r="B4788" s="252"/>
      <c r="C4788" s="252"/>
      <c r="D4788" s="252"/>
      <c r="E4788" s="252"/>
      <c r="F4788" s="252"/>
      <c r="G4788" s="252"/>
      <c r="H4788" s="252"/>
      <c r="I4788" s="252"/>
      <c r="J4788" s="252"/>
      <c r="K4788" s="253"/>
    </row>
    <row r="4789" spans="1:11" ht="22" customHeight="1" x14ac:dyDescent="0.35">
      <c r="A4789" s="251"/>
      <c r="B4789" s="252"/>
      <c r="C4789" s="252"/>
      <c r="D4789" s="252"/>
      <c r="E4789" s="252"/>
      <c r="F4789" s="252"/>
      <c r="G4789" s="252"/>
      <c r="H4789" s="252"/>
      <c r="I4789" s="252"/>
      <c r="J4789" s="252"/>
      <c r="K4789" s="253"/>
    </row>
    <row r="4790" spans="1:11" ht="22" customHeight="1" x14ac:dyDescent="0.35">
      <c r="A4790" s="251"/>
      <c r="B4790" s="252"/>
      <c r="C4790" s="252"/>
      <c r="D4790" s="252"/>
      <c r="E4790" s="252"/>
      <c r="F4790" s="252"/>
      <c r="G4790" s="252"/>
      <c r="H4790" s="252"/>
      <c r="I4790" s="252"/>
      <c r="J4790" s="252"/>
      <c r="K4790" s="253"/>
    </row>
    <row r="4791" spans="1:11" ht="22" customHeight="1" x14ac:dyDescent="0.35">
      <c r="A4791" s="251"/>
      <c r="B4791" s="252"/>
      <c r="C4791" s="252"/>
      <c r="D4791" s="252"/>
      <c r="E4791" s="252"/>
      <c r="F4791" s="252"/>
      <c r="G4791" s="252"/>
      <c r="H4791" s="252"/>
      <c r="I4791" s="252"/>
      <c r="J4791" s="252"/>
      <c r="K4791" s="253"/>
    </row>
    <row r="4792" spans="1:11" ht="22" customHeight="1" x14ac:dyDescent="0.35">
      <c r="A4792" s="251"/>
      <c r="B4792" s="252"/>
      <c r="C4792" s="252"/>
      <c r="D4792" s="252"/>
      <c r="E4792" s="252"/>
      <c r="F4792" s="252"/>
      <c r="G4792" s="252"/>
      <c r="H4792" s="252"/>
      <c r="I4792" s="252"/>
      <c r="J4792" s="252"/>
      <c r="K4792" s="253"/>
    </row>
    <row r="4793" spans="1:11" ht="22" customHeight="1" x14ac:dyDescent="0.35">
      <c r="A4793" s="251"/>
      <c r="B4793" s="252"/>
      <c r="C4793" s="252"/>
      <c r="D4793" s="252"/>
      <c r="E4793" s="252"/>
      <c r="F4793" s="252"/>
      <c r="G4793" s="252"/>
      <c r="H4793" s="252"/>
      <c r="I4793" s="252"/>
      <c r="J4793" s="252"/>
      <c r="K4793" s="253"/>
    </row>
    <row r="4794" spans="1:11" ht="22" customHeight="1" x14ac:dyDescent="0.35">
      <c r="A4794" s="251"/>
      <c r="B4794" s="252"/>
      <c r="C4794" s="252"/>
      <c r="D4794" s="252"/>
      <c r="E4794" s="252"/>
      <c r="F4794" s="252"/>
      <c r="G4794" s="252"/>
      <c r="H4794" s="252"/>
      <c r="I4794" s="252"/>
      <c r="J4794" s="252"/>
      <c r="K4794" s="253"/>
    </row>
    <row r="4795" spans="1:11" ht="22" customHeight="1" x14ac:dyDescent="0.35">
      <c r="A4795" s="251"/>
      <c r="B4795" s="252"/>
      <c r="C4795" s="252"/>
      <c r="D4795" s="252"/>
      <c r="E4795" s="252"/>
      <c r="F4795" s="252"/>
      <c r="G4795" s="252"/>
      <c r="H4795" s="252"/>
      <c r="I4795" s="252"/>
      <c r="J4795" s="252"/>
      <c r="K4795" s="253"/>
    </row>
    <row r="4796" spans="1:11" ht="22" customHeight="1" x14ac:dyDescent="0.35">
      <c r="A4796" s="251"/>
      <c r="B4796" s="252"/>
      <c r="C4796" s="252"/>
      <c r="D4796" s="252"/>
      <c r="E4796" s="252"/>
      <c r="F4796" s="252"/>
      <c r="G4796" s="252"/>
      <c r="H4796" s="252"/>
      <c r="I4796" s="252"/>
      <c r="J4796" s="252"/>
      <c r="K4796" s="253"/>
    </row>
    <row r="4797" spans="1:11" ht="22" customHeight="1" x14ac:dyDescent="0.35">
      <c r="A4797" s="251"/>
      <c r="B4797" s="252"/>
      <c r="C4797" s="252"/>
      <c r="D4797" s="252"/>
      <c r="E4797" s="252"/>
      <c r="F4797" s="252"/>
      <c r="G4797" s="252"/>
      <c r="H4797" s="252"/>
      <c r="I4797" s="252"/>
      <c r="J4797" s="252"/>
      <c r="K4797" s="253"/>
    </row>
    <row r="4798" spans="1:11" ht="22" customHeight="1" x14ac:dyDescent="0.35">
      <c r="A4798" s="251"/>
      <c r="B4798" s="252"/>
      <c r="C4798" s="252"/>
      <c r="D4798" s="252"/>
      <c r="E4798" s="252"/>
      <c r="F4798" s="252"/>
      <c r="G4798" s="252"/>
      <c r="H4798" s="252"/>
      <c r="I4798" s="252"/>
      <c r="J4798" s="252"/>
      <c r="K4798" s="253"/>
    </row>
    <row r="4799" spans="1:11" ht="22" customHeight="1" x14ac:dyDescent="0.35">
      <c r="A4799" s="251"/>
      <c r="B4799" s="252"/>
      <c r="C4799" s="252"/>
      <c r="D4799" s="252"/>
      <c r="E4799" s="252"/>
      <c r="F4799" s="252"/>
      <c r="G4799" s="252"/>
      <c r="H4799" s="252"/>
      <c r="I4799" s="252"/>
      <c r="J4799" s="252"/>
      <c r="K4799" s="253"/>
    </row>
    <row r="4800" spans="1:11" ht="22" customHeight="1" x14ac:dyDescent="0.35">
      <c r="A4800" s="251"/>
      <c r="B4800" s="252"/>
      <c r="C4800" s="252"/>
      <c r="D4800" s="252"/>
      <c r="E4800" s="252"/>
      <c r="F4800" s="252"/>
      <c r="G4800" s="252"/>
      <c r="H4800" s="252"/>
      <c r="I4800" s="252"/>
      <c r="J4800" s="252"/>
      <c r="K4800" s="253"/>
    </row>
    <row r="4801" spans="1:11" ht="22" customHeight="1" x14ac:dyDescent="0.35">
      <c r="A4801" s="251"/>
      <c r="B4801" s="252"/>
      <c r="C4801" s="252"/>
      <c r="D4801" s="252"/>
      <c r="E4801" s="252"/>
      <c r="F4801" s="252"/>
      <c r="G4801" s="252"/>
      <c r="H4801" s="252"/>
      <c r="I4801" s="252"/>
      <c r="J4801" s="252"/>
      <c r="K4801" s="253"/>
    </row>
    <row r="4802" spans="1:11" ht="22" customHeight="1" x14ac:dyDescent="0.35">
      <c r="A4802" s="251"/>
      <c r="B4802" s="252"/>
      <c r="C4802" s="252"/>
      <c r="D4802" s="252"/>
      <c r="E4802" s="252"/>
      <c r="F4802" s="252"/>
      <c r="G4802" s="252"/>
      <c r="H4802" s="252"/>
      <c r="I4802" s="252"/>
      <c r="J4802" s="252"/>
      <c r="K4802" s="253"/>
    </row>
    <row r="4803" spans="1:11" ht="22" customHeight="1" x14ac:dyDescent="0.35">
      <c r="A4803" s="251"/>
      <c r="B4803" s="252"/>
      <c r="C4803" s="252"/>
      <c r="D4803" s="252"/>
      <c r="E4803" s="252"/>
      <c r="F4803" s="252"/>
      <c r="G4803" s="252"/>
      <c r="H4803" s="252"/>
      <c r="I4803" s="252"/>
      <c r="J4803" s="252"/>
      <c r="K4803" s="253"/>
    </row>
    <row r="4804" spans="1:11" ht="22" customHeight="1" x14ac:dyDescent="0.35">
      <c r="A4804" s="251"/>
      <c r="B4804" s="252"/>
      <c r="C4804" s="252"/>
      <c r="D4804" s="252"/>
      <c r="E4804" s="252"/>
      <c r="F4804" s="252"/>
      <c r="G4804" s="252"/>
      <c r="H4804" s="252"/>
      <c r="I4804" s="252"/>
      <c r="J4804" s="252"/>
      <c r="K4804" s="253"/>
    </row>
    <row r="4805" spans="1:11" ht="22" customHeight="1" x14ac:dyDescent="0.35">
      <c r="A4805" s="251"/>
      <c r="B4805" s="252"/>
      <c r="C4805" s="252"/>
      <c r="D4805" s="252"/>
      <c r="E4805" s="252"/>
      <c r="F4805" s="252"/>
      <c r="G4805" s="252"/>
      <c r="H4805" s="252"/>
      <c r="I4805" s="252"/>
      <c r="J4805" s="252"/>
      <c r="K4805" s="253"/>
    </row>
    <row r="4806" spans="1:11" ht="22" customHeight="1" x14ac:dyDescent="0.35">
      <c r="A4806" s="251"/>
      <c r="B4806" s="252"/>
      <c r="C4806" s="252"/>
      <c r="D4806" s="252"/>
      <c r="E4806" s="252"/>
      <c r="F4806" s="252"/>
      <c r="G4806" s="252"/>
      <c r="H4806" s="252"/>
      <c r="I4806" s="252"/>
      <c r="J4806" s="252"/>
      <c r="K4806" s="253"/>
    </row>
    <row r="4807" spans="1:11" ht="22" customHeight="1" x14ac:dyDescent="0.35">
      <c r="A4807" s="251"/>
      <c r="B4807" s="252"/>
      <c r="C4807" s="252"/>
      <c r="D4807" s="252"/>
      <c r="E4807" s="252"/>
      <c r="F4807" s="252"/>
      <c r="G4807" s="252"/>
      <c r="H4807" s="252"/>
      <c r="I4807" s="252"/>
      <c r="J4807" s="252"/>
      <c r="K4807" s="253"/>
    </row>
    <row r="4808" spans="1:11" ht="22" customHeight="1" x14ac:dyDescent="0.35">
      <c r="A4808" s="251"/>
      <c r="B4808" s="252"/>
      <c r="C4808" s="252"/>
      <c r="D4808" s="252"/>
      <c r="E4808" s="252"/>
      <c r="F4808" s="252"/>
      <c r="G4808" s="252"/>
      <c r="H4808" s="252"/>
      <c r="I4808" s="252"/>
      <c r="J4808" s="252"/>
      <c r="K4808" s="253"/>
    </row>
    <row r="4809" spans="1:11" ht="22" customHeight="1" x14ac:dyDescent="0.35">
      <c r="A4809" s="251"/>
      <c r="B4809" s="252"/>
      <c r="C4809" s="252"/>
      <c r="D4809" s="252"/>
      <c r="E4809" s="252"/>
      <c r="F4809" s="252"/>
      <c r="G4809" s="252"/>
      <c r="H4809" s="252"/>
      <c r="I4809" s="252"/>
      <c r="J4809" s="252"/>
      <c r="K4809" s="253"/>
    </row>
    <row r="4810" spans="1:11" ht="22" customHeight="1" x14ac:dyDescent="0.35">
      <c r="A4810" s="251"/>
      <c r="B4810" s="252"/>
      <c r="C4810" s="252"/>
      <c r="D4810" s="252"/>
      <c r="E4810" s="252"/>
      <c r="F4810" s="252"/>
      <c r="G4810" s="252"/>
      <c r="H4810" s="252"/>
      <c r="I4810" s="252"/>
      <c r="J4810" s="252"/>
      <c r="K4810" s="253"/>
    </row>
    <row r="4811" spans="1:11" ht="22" customHeight="1" x14ac:dyDescent="0.35">
      <c r="A4811" s="251"/>
      <c r="B4811" s="252"/>
      <c r="C4811" s="252"/>
      <c r="D4811" s="252"/>
      <c r="E4811" s="252"/>
      <c r="F4811" s="252"/>
      <c r="G4811" s="252"/>
      <c r="H4811" s="252"/>
      <c r="I4811" s="252"/>
      <c r="J4811" s="252"/>
      <c r="K4811" s="253"/>
    </row>
    <row r="4812" spans="1:11" ht="22" customHeight="1" x14ac:dyDescent="0.35">
      <c r="A4812" s="251"/>
      <c r="B4812" s="252"/>
      <c r="C4812" s="252"/>
      <c r="D4812" s="252"/>
      <c r="E4812" s="252"/>
      <c r="F4812" s="252"/>
      <c r="G4812" s="252"/>
      <c r="H4812" s="252"/>
      <c r="I4812" s="252"/>
      <c r="J4812" s="252"/>
      <c r="K4812" s="253"/>
    </row>
    <row r="4813" spans="1:11" ht="22" customHeight="1" x14ac:dyDescent="0.35">
      <c r="A4813" s="251"/>
      <c r="B4813" s="252"/>
      <c r="C4813" s="252"/>
      <c r="D4813" s="252"/>
      <c r="E4813" s="252"/>
      <c r="F4813" s="252"/>
      <c r="G4813" s="252"/>
      <c r="H4813" s="252"/>
      <c r="I4813" s="252"/>
      <c r="J4813" s="252"/>
      <c r="K4813" s="253"/>
    </row>
    <row r="4814" spans="1:11" ht="22" customHeight="1" x14ac:dyDescent="0.35">
      <c r="A4814" s="251"/>
      <c r="B4814" s="252"/>
      <c r="C4814" s="252"/>
      <c r="D4814" s="252"/>
      <c r="E4814" s="252"/>
      <c r="F4814" s="252"/>
      <c r="G4814" s="252"/>
      <c r="H4814" s="252"/>
      <c r="I4814" s="252"/>
      <c r="J4814" s="252"/>
      <c r="K4814" s="253"/>
    </row>
    <row r="4815" spans="1:11" ht="22" customHeight="1" x14ac:dyDescent="0.35">
      <c r="A4815" s="251"/>
      <c r="B4815" s="252"/>
      <c r="C4815" s="252"/>
      <c r="D4815" s="252"/>
      <c r="E4815" s="252"/>
      <c r="F4815" s="252"/>
      <c r="G4815" s="252"/>
      <c r="H4815" s="252"/>
      <c r="I4815" s="252"/>
      <c r="J4815" s="252"/>
      <c r="K4815" s="253"/>
    </row>
    <row r="4816" spans="1:11" ht="22" customHeight="1" x14ac:dyDescent="0.35">
      <c r="A4816" s="251"/>
      <c r="B4816" s="252"/>
      <c r="C4816" s="252"/>
      <c r="D4816" s="252"/>
      <c r="E4816" s="252"/>
      <c r="F4816" s="252"/>
      <c r="G4816" s="252"/>
      <c r="H4816" s="252"/>
      <c r="I4816" s="252"/>
      <c r="J4816" s="252"/>
      <c r="K4816" s="253"/>
    </row>
    <row r="4817" spans="1:11" ht="22" customHeight="1" x14ac:dyDescent="0.35">
      <c r="A4817" s="251"/>
      <c r="B4817" s="252"/>
      <c r="C4817" s="252"/>
      <c r="D4817" s="252"/>
      <c r="E4817" s="252"/>
      <c r="F4817" s="252"/>
      <c r="G4817" s="252"/>
      <c r="H4817" s="252"/>
      <c r="I4817" s="252"/>
      <c r="J4817" s="252"/>
      <c r="K4817" s="253"/>
    </row>
    <row r="4818" spans="1:11" ht="22" customHeight="1" x14ac:dyDescent="0.35">
      <c r="A4818" s="251"/>
      <c r="B4818" s="252"/>
      <c r="C4818" s="252"/>
      <c r="D4818" s="252"/>
      <c r="E4818" s="252"/>
      <c r="F4818" s="252"/>
      <c r="G4818" s="252"/>
      <c r="H4818" s="252"/>
      <c r="I4818" s="252"/>
      <c r="J4818" s="252"/>
      <c r="K4818" s="253"/>
    </row>
    <row r="4819" spans="1:11" ht="22" customHeight="1" x14ac:dyDescent="0.35">
      <c r="A4819" s="251"/>
      <c r="B4819" s="252"/>
      <c r="C4819" s="252"/>
      <c r="D4819" s="252"/>
      <c r="E4819" s="252"/>
      <c r="F4819" s="252"/>
      <c r="G4819" s="252"/>
      <c r="H4819" s="252"/>
      <c r="I4819" s="252"/>
      <c r="J4819" s="252"/>
      <c r="K4819" s="253"/>
    </row>
    <row r="4820" spans="1:11" ht="22" customHeight="1" x14ac:dyDescent="0.35">
      <c r="A4820" s="251"/>
      <c r="B4820" s="252"/>
      <c r="C4820" s="252"/>
      <c r="D4820" s="252"/>
      <c r="E4820" s="252"/>
      <c r="F4820" s="252"/>
      <c r="G4820" s="252"/>
      <c r="H4820" s="252"/>
      <c r="I4820" s="252"/>
      <c r="J4820" s="252"/>
      <c r="K4820" s="253"/>
    </row>
    <row r="4821" spans="1:11" ht="22" customHeight="1" x14ac:dyDescent="0.35">
      <c r="A4821" s="251"/>
      <c r="B4821" s="252"/>
      <c r="C4821" s="252"/>
      <c r="D4821" s="252"/>
      <c r="E4821" s="252"/>
      <c r="F4821" s="252"/>
      <c r="G4821" s="252"/>
      <c r="H4821" s="252"/>
      <c r="I4821" s="252"/>
      <c r="J4821" s="252"/>
      <c r="K4821" s="253"/>
    </row>
    <row r="4822" spans="1:11" ht="22" customHeight="1" x14ac:dyDescent="0.35">
      <c r="A4822" s="251"/>
      <c r="B4822" s="252"/>
      <c r="C4822" s="252"/>
      <c r="D4822" s="252"/>
      <c r="E4822" s="252"/>
      <c r="F4822" s="252"/>
      <c r="G4822" s="252"/>
      <c r="H4822" s="252"/>
      <c r="I4822" s="252"/>
      <c r="J4822" s="252"/>
      <c r="K4822" s="253"/>
    </row>
    <row r="4823" spans="1:11" ht="22" customHeight="1" x14ac:dyDescent="0.35">
      <c r="A4823" s="251"/>
      <c r="B4823" s="252"/>
      <c r="C4823" s="252"/>
      <c r="D4823" s="252"/>
      <c r="E4823" s="252"/>
      <c r="F4823" s="252"/>
      <c r="G4823" s="252"/>
      <c r="H4823" s="252"/>
      <c r="I4823" s="252"/>
      <c r="J4823" s="252"/>
      <c r="K4823" s="253"/>
    </row>
    <row r="4824" spans="1:11" ht="22" customHeight="1" x14ac:dyDescent="0.35">
      <c r="A4824" s="251"/>
      <c r="B4824" s="252"/>
      <c r="C4824" s="252"/>
      <c r="D4824" s="252"/>
      <c r="E4824" s="252"/>
      <c r="F4824" s="252"/>
      <c r="G4824" s="252"/>
      <c r="H4824" s="252"/>
      <c r="I4824" s="252"/>
      <c r="J4824" s="252"/>
      <c r="K4824" s="253"/>
    </row>
    <row r="4825" spans="1:11" ht="22" customHeight="1" x14ac:dyDescent="0.35">
      <c r="A4825" s="251"/>
      <c r="B4825" s="252"/>
      <c r="C4825" s="252"/>
      <c r="D4825" s="252"/>
      <c r="E4825" s="252"/>
      <c r="F4825" s="252"/>
      <c r="G4825" s="252"/>
      <c r="H4825" s="252"/>
      <c r="I4825" s="252"/>
      <c r="J4825" s="252"/>
      <c r="K4825" s="253"/>
    </row>
    <row r="4826" spans="1:11" ht="22" customHeight="1" x14ac:dyDescent="0.35">
      <c r="A4826" s="251"/>
      <c r="B4826" s="252"/>
      <c r="C4826" s="252"/>
      <c r="D4826" s="252"/>
      <c r="E4826" s="252"/>
      <c r="F4826" s="252"/>
      <c r="G4826" s="252"/>
      <c r="H4826" s="252"/>
      <c r="I4826" s="252"/>
      <c r="J4826" s="252"/>
      <c r="K4826" s="253"/>
    </row>
    <row r="4827" spans="1:11" ht="22" customHeight="1" x14ac:dyDescent="0.35">
      <c r="A4827" s="251"/>
      <c r="B4827" s="252"/>
      <c r="C4827" s="252"/>
      <c r="D4827" s="252"/>
      <c r="E4827" s="252"/>
      <c r="F4827" s="252"/>
      <c r="G4827" s="252"/>
      <c r="H4827" s="252"/>
      <c r="I4827" s="252"/>
      <c r="J4827" s="252"/>
      <c r="K4827" s="253"/>
    </row>
    <row r="4828" spans="1:11" ht="22" customHeight="1" x14ac:dyDescent="0.35">
      <c r="A4828" s="251"/>
      <c r="B4828" s="252"/>
      <c r="C4828" s="252"/>
      <c r="D4828" s="252"/>
      <c r="E4828" s="252"/>
      <c r="F4828" s="252"/>
      <c r="G4828" s="252"/>
      <c r="H4828" s="252"/>
      <c r="I4828" s="252"/>
      <c r="J4828" s="252"/>
      <c r="K4828" s="253"/>
    </row>
    <row r="4829" spans="1:11" ht="22" customHeight="1" x14ac:dyDescent="0.35">
      <c r="A4829" s="251"/>
      <c r="B4829" s="252"/>
      <c r="C4829" s="252"/>
      <c r="D4829" s="252"/>
      <c r="E4829" s="252"/>
      <c r="F4829" s="252"/>
      <c r="G4829" s="252"/>
      <c r="H4829" s="252"/>
      <c r="I4829" s="252"/>
      <c r="J4829" s="252"/>
      <c r="K4829" s="253"/>
    </row>
    <row r="4830" spans="1:11" ht="22" customHeight="1" x14ac:dyDescent="0.35">
      <c r="A4830" s="251"/>
      <c r="B4830" s="252"/>
      <c r="C4830" s="252"/>
      <c r="D4830" s="252"/>
      <c r="E4830" s="252"/>
      <c r="F4830" s="252"/>
      <c r="G4830" s="252"/>
      <c r="H4830" s="252"/>
      <c r="I4830" s="252"/>
      <c r="J4830" s="252"/>
      <c r="K4830" s="253"/>
    </row>
    <row r="4831" spans="1:11" ht="22" customHeight="1" x14ac:dyDescent="0.35">
      <c r="A4831" s="251"/>
      <c r="B4831" s="252"/>
      <c r="C4831" s="252"/>
      <c r="D4831" s="252"/>
      <c r="E4831" s="252"/>
      <c r="F4831" s="252"/>
      <c r="G4831" s="252"/>
      <c r="H4831" s="252"/>
      <c r="I4831" s="252"/>
      <c r="J4831" s="252"/>
      <c r="K4831" s="253"/>
    </row>
    <row r="4832" spans="1:11" ht="22" customHeight="1" x14ac:dyDescent="0.35">
      <c r="A4832" s="251"/>
      <c r="B4832" s="252"/>
      <c r="C4832" s="252"/>
      <c r="D4832" s="252"/>
      <c r="E4832" s="252"/>
      <c r="F4832" s="252"/>
      <c r="G4832" s="252"/>
      <c r="H4832" s="252"/>
      <c r="I4832" s="252"/>
      <c r="J4832" s="252"/>
      <c r="K4832" s="253"/>
    </row>
    <row r="4833" spans="1:11" ht="22" customHeight="1" x14ac:dyDescent="0.35">
      <c r="A4833" s="251"/>
      <c r="B4833" s="252"/>
      <c r="C4833" s="252"/>
      <c r="D4833" s="252"/>
      <c r="E4833" s="252"/>
      <c r="F4833" s="252"/>
      <c r="G4833" s="252"/>
      <c r="H4833" s="252"/>
      <c r="I4833" s="252"/>
      <c r="J4833" s="252"/>
      <c r="K4833" s="253"/>
    </row>
    <row r="4834" spans="1:11" ht="22" customHeight="1" x14ac:dyDescent="0.35">
      <c r="A4834" s="251"/>
      <c r="B4834" s="252"/>
      <c r="C4834" s="252"/>
      <c r="D4834" s="252"/>
      <c r="E4834" s="252"/>
      <c r="F4834" s="252"/>
      <c r="G4834" s="252"/>
      <c r="H4834" s="252"/>
      <c r="I4834" s="252"/>
      <c r="J4834" s="252"/>
      <c r="K4834" s="253"/>
    </row>
    <row r="4835" spans="1:11" ht="22" customHeight="1" x14ac:dyDescent="0.35">
      <c r="A4835" s="251"/>
      <c r="B4835" s="252"/>
      <c r="C4835" s="252"/>
      <c r="D4835" s="252"/>
      <c r="E4835" s="252"/>
      <c r="F4835" s="252"/>
      <c r="G4835" s="252"/>
      <c r="H4835" s="252"/>
      <c r="I4835" s="252"/>
      <c r="J4835" s="252"/>
      <c r="K4835" s="253"/>
    </row>
    <row r="4836" spans="1:11" ht="22" customHeight="1" x14ac:dyDescent="0.35">
      <c r="A4836" s="251"/>
      <c r="B4836" s="252"/>
      <c r="C4836" s="252"/>
      <c r="D4836" s="252"/>
      <c r="E4836" s="252"/>
      <c r="F4836" s="252"/>
      <c r="G4836" s="252"/>
      <c r="H4836" s="252"/>
      <c r="I4836" s="252"/>
      <c r="J4836" s="252"/>
      <c r="K4836" s="253"/>
    </row>
    <row r="4837" spans="1:11" ht="22" customHeight="1" x14ac:dyDescent="0.35">
      <c r="A4837" s="251"/>
      <c r="B4837" s="252"/>
      <c r="C4837" s="252"/>
      <c r="D4837" s="252"/>
      <c r="E4837" s="252"/>
      <c r="F4837" s="252"/>
      <c r="G4837" s="252"/>
      <c r="H4837" s="252"/>
      <c r="I4837" s="252"/>
      <c r="J4837" s="252"/>
      <c r="K4837" s="253"/>
    </row>
    <row r="4838" spans="1:11" ht="22" customHeight="1" x14ac:dyDescent="0.35">
      <c r="A4838" s="251"/>
      <c r="B4838" s="252"/>
      <c r="C4838" s="252"/>
      <c r="D4838" s="252"/>
      <c r="E4838" s="252"/>
      <c r="F4838" s="252"/>
      <c r="G4838" s="252"/>
      <c r="H4838" s="252"/>
      <c r="I4838" s="252"/>
      <c r="J4838" s="252"/>
      <c r="K4838" s="253"/>
    </row>
    <row r="4839" spans="1:11" ht="22" customHeight="1" x14ac:dyDescent="0.35">
      <c r="A4839" s="251"/>
      <c r="B4839" s="252"/>
      <c r="C4839" s="252"/>
      <c r="D4839" s="252"/>
      <c r="E4839" s="252"/>
      <c r="F4839" s="252"/>
      <c r="G4839" s="252"/>
      <c r="H4839" s="252"/>
      <c r="I4839" s="252"/>
      <c r="J4839" s="252"/>
      <c r="K4839" s="253"/>
    </row>
    <row r="4840" spans="1:11" ht="22" customHeight="1" x14ac:dyDescent="0.35">
      <c r="A4840" s="251"/>
      <c r="B4840" s="252"/>
      <c r="C4840" s="252"/>
      <c r="D4840" s="252"/>
      <c r="E4840" s="252"/>
      <c r="F4840" s="252"/>
      <c r="G4840" s="252"/>
      <c r="H4840" s="252"/>
      <c r="I4840" s="252"/>
      <c r="J4840" s="252"/>
      <c r="K4840" s="253"/>
    </row>
    <row r="4841" spans="1:11" ht="22" customHeight="1" x14ac:dyDescent="0.35">
      <c r="A4841" s="251"/>
      <c r="B4841" s="252"/>
      <c r="C4841" s="252"/>
      <c r="D4841" s="252"/>
      <c r="E4841" s="252"/>
      <c r="F4841" s="252"/>
      <c r="G4841" s="252"/>
      <c r="H4841" s="252"/>
      <c r="I4841" s="252"/>
      <c r="J4841" s="252"/>
      <c r="K4841" s="253"/>
    </row>
    <row r="4842" spans="1:11" ht="22" customHeight="1" x14ac:dyDescent="0.35">
      <c r="A4842" s="251"/>
      <c r="B4842" s="252"/>
      <c r="C4842" s="252"/>
      <c r="D4842" s="252"/>
      <c r="E4842" s="252"/>
      <c r="F4842" s="252"/>
      <c r="G4842" s="252"/>
      <c r="H4842" s="252"/>
      <c r="I4842" s="252"/>
      <c r="J4842" s="252"/>
      <c r="K4842" s="253"/>
    </row>
    <row r="4843" spans="1:11" ht="22" customHeight="1" x14ac:dyDescent="0.35">
      <c r="A4843" s="251"/>
      <c r="B4843" s="252"/>
      <c r="C4843" s="252"/>
      <c r="D4843" s="252"/>
      <c r="E4843" s="252"/>
      <c r="F4843" s="252"/>
      <c r="G4843" s="252"/>
      <c r="H4843" s="252"/>
      <c r="I4843" s="252"/>
      <c r="J4843" s="252"/>
      <c r="K4843" s="253"/>
    </row>
    <row r="4844" spans="1:11" ht="22" customHeight="1" x14ac:dyDescent="0.35">
      <c r="A4844" s="251"/>
      <c r="B4844" s="252"/>
      <c r="C4844" s="252"/>
      <c r="D4844" s="252"/>
      <c r="E4844" s="252"/>
      <c r="F4844" s="252"/>
      <c r="G4844" s="252"/>
      <c r="H4844" s="252"/>
      <c r="I4844" s="252"/>
      <c r="J4844" s="252"/>
      <c r="K4844" s="253"/>
    </row>
    <row r="4845" spans="1:11" ht="22" customHeight="1" x14ac:dyDescent="0.35">
      <c r="A4845" s="251"/>
      <c r="B4845" s="252"/>
      <c r="C4845" s="252"/>
      <c r="D4845" s="252"/>
      <c r="E4845" s="252"/>
      <c r="F4845" s="252"/>
      <c r="G4845" s="252"/>
      <c r="H4845" s="252"/>
      <c r="I4845" s="252"/>
      <c r="J4845" s="252"/>
      <c r="K4845" s="253"/>
    </row>
    <row r="4846" spans="1:11" ht="22" customHeight="1" x14ac:dyDescent="0.35">
      <c r="A4846" s="251"/>
      <c r="B4846" s="252"/>
      <c r="C4846" s="252"/>
      <c r="D4846" s="252"/>
      <c r="E4846" s="252"/>
      <c r="F4846" s="252"/>
      <c r="G4846" s="252"/>
      <c r="H4846" s="252"/>
      <c r="I4846" s="252"/>
      <c r="J4846" s="252"/>
      <c r="K4846" s="253"/>
    </row>
    <row r="4847" spans="1:11" ht="22" customHeight="1" x14ac:dyDescent="0.35">
      <c r="A4847" s="251"/>
      <c r="B4847" s="252"/>
      <c r="C4847" s="252"/>
      <c r="D4847" s="252"/>
      <c r="E4847" s="252"/>
      <c r="F4847" s="252"/>
      <c r="G4847" s="252"/>
      <c r="H4847" s="252"/>
      <c r="I4847" s="252"/>
      <c r="J4847" s="252"/>
      <c r="K4847" s="253"/>
    </row>
    <row r="4848" spans="1:11" ht="22" customHeight="1" x14ac:dyDescent="0.35">
      <c r="A4848" s="251"/>
      <c r="B4848" s="252"/>
      <c r="C4848" s="252"/>
      <c r="D4848" s="252"/>
      <c r="E4848" s="252"/>
      <c r="F4848" s="252"/>
      <c r="G4848" s="252"/>
      <c r="H4848" s="252"/>
      <c r="I4848" s="252"/>
      <c r="J4848" s="252"/>
      <c r="K4848" s="253"/>
    </row>
    <row r="4849" spans="1:11" ht="22" customHeight="1" x14ac:dyDescent="0.35">
      <c r="A4849" s="251"/>
      <c r="B4849" s="252"/>
      <c r="C4849" s="252"/>
      <c r="D4849" s="252"/>
      <c r="E4849" s="252"/>
      <c r="F4849" s="252"/>
      <c r="G4849" s="252"/>
      <c r="H4849" s="252"/>
      <c r="I4849" s="252"/>
      <c r="J4849" s="252"/>
      <c r="K4849" s="253"/>
    </row>
    <row r="4850" spans="1:11" ht="22" customHeight="1" x14ac:dyDescent="0.35">
      <c r="A4850" s="251"/>
      <c r="B4850" s="252"/>
      <c r="C4850" s="252"/>
      <c r="D4850" s="252"/>
      <c r="E4850" s="252"/>
      <c r="F4850" s="252"/>
      <c r="G4850" s="252"/>
      <c r="H4850" s="252"/>
      <c r="I4850" s="252"/>
      <c r="J4850" s="252"/>
      <c r="K4850" s="253"/>
    </row>
    <row r="4851" spans="1:11" ht="22" customHeight="1" x14ac:dyDescent="0.35">
      <c r="A4851" s="251"/>
      <c r="B4851" s="252"/>
      <c r="C4851" s="252"/>
      <c r="D4851" s="252"/>
      <c r="E4851" s="252"/>
      <c r="F4851" s="252"/>
      <c r="G4851" s="252"/>
      <c r="H4851" s="252"/>
      <c r="I4851" s="252"/>
      <c r="J4851" s="252"/>
      <c r="K4851" s="253"/>
    </row>
    <row r="4852" spans="1:11" ht="22" customHeight="1" x14ac:dyDescent="0.35">
      <c r="A4852" s="251"/>
      <c r="B4852" s="252"/>
      <c r="C4852" s="252"/>
      <c r="D4852" s="252"/>
      <c r="E4852" s="252"/>
      <c r="F4852" s="252"/>
      <c r="G4852" s="252"/>
      <c r="H4852" s="252"/>
      <c r="I4852" s="252"/>
      <c r="J4852" s="252"/>
      <c r="K4852" s="253"/>
    </row>
    <row r="4853" spans="1:11" ht="22" customHeight="1" x14ac:dyDescent="0.35">
      <c r="A4853" s="251"/>
      <c r="B4853" s="252"/>
      <c r="C4853" s="252"/>
      <c r="D4853" s="252"/>
      <c r="E4853" s="252"/>
      <c r="F4853" s="252"/>
      <c r="G4853" s="252"/>
      <c r="H4853" s="252"/>
      <c r="I4853" s="252"/>
      <c r="J4853" s="252"/>
      <c r="K4853" s="253"/>
    </row>
    <row r="4854" spans="1:11" ht="22" customHeight="1" x14ac:dyDescent="0.35">
      <c r="A4854" s="251"/>
      <c r="B4854" s="252"/>
      <c r="C4854" s="252"/>
      <c r="D4854" s="252"/>
      <c r="E4854" s="252"/>
      <c r="F4854" s="252"/>
      <c r="G4854" s="252"/>
      <c r="H4854" s="252"/>
      <c r="I4854" s="252"/>
      <c r="J4854" s="252"/>
      <c r="K4854" s="253"/>
    </row>
    <row r="4855" spans="1:11" ht="22" customHeight="1" x14ac:dyDescent="0.35">
      <c r="A4855" s="251"/>
      <c r="B4855" s="252"/>
      <c r="C4855" s="252"/>
      <c r="D4855" s="252"/>
      <c r="E4855" s="252"/>
      <c r="F4855" s="252"/>
      <c r="G4855" s="252"/>
      <c r="H4855" s="252"/>
      <c r="I4855" s="252"/>
      <c r="J4855" s="252"/>
      <c r="K4855" s="253"/>
    </row>
    <row r="4856" spans="1:11" ht="22" customHeight="1" x14ac:dyDescent="0.35">
      <c r="A4856" s="251"/>
      <c r="B4856" s="252"/>
      <c r="C4856" s="252"/>
      <c r="D4856" s="252"/>
      <c r="E4856" s="252"/>
      <c r="F4856" s="252"/>
      <c r="G4856" s="252"/>
      <c r="H4856" s="252"/>
      <c r="I4856" s="252"/>
      <c r="J4856" s="252"/>
      <c r="K4856" s="253"/>
    </row>
    <row r="4857" spans="1:11" ht="22" customHeight="1" x14ac:dyDescent="0.35">
      <c r="A4857" s="251"/>
      <c r="B4857" s="252"/>
      <c r="C4857" s="252"/>
      <c r="D4857" s="252"/>
      <c r="E4857" s="252"/>
      <c r="F4857" s="252"/>
      <c r="G4857" s="252"/>
      <c r="H4857" s="252"/>
      <c r="I4857" s="252"/>
      <c r="J4857" s="252"/>
      <c r="K4857" s="253"/>
    </row>
    <row r="4858" spans="1:11" ht="22" customHeight="1" x14ac:dyDescent="0.35">
      <c r="A4858" s="251"/>
      <c r="B4858" s="252"/>
      <c r="C4858" s="252"/>
      <c r="D4858" s="252"/>
      <c r="E4858" s="252"/>
      <c r="F4858" s="252"/>
      <c r="G4858" s="252"/>
      <c r="H4858" s="252"/>
      <c r="I4858" s="252"/>
      <c r="J4858" s="252"/>
      <c r="K4858" s="253"/>
    </row>
    <row r="4859" spans="1:11" ht="22" customHeight="1" x14ac:dyDescent="0.35">
      <c r="A4859" s="251"/>
      <c r="B4859" s="252"/>
      <c r="C4859" s="252"/>
      <c r="D4859" s="252"/>
      <c r="E4859" s="252"/>
      <c r="F4859" s="252"/>
      <c r="G4859" s="252"/>
      <c r="H4859" s="252"/>
      <c r="I4859" s="252"/>
      <c r="J4859" s="252"/>
      <c r="K4859" s="253"/>
    </row>
    <row r="4860" spans="1:11" ht="22" customHeight="1" x14ac:dyDescent="0.35">
      <c r="A4860" s="251"/>
      <c r="B4860" s="252"/>
      <c r="C4860" s="252"/>
      <c r="D4860" s="252"/>
      <c r="E4860" s="252"/>
      <c r="F4860" s="252"/>
      <c r="G4860" s="252"/>
      <c r="H4860" s="252"/>
      <c r="I4860" s="252"/>
      <c r="J4860" s="252"/>
      <c r="K4860" s="253"/>
    </row>
    <row r="4861" spans="1:11" ht="22" customHeight="1" x14ac:dyDescent="0.35">
      <c r="A4861" s="251"/>
      <c r="B4861" s="252"/>
      <c r="C4861" s="252"/>
      <c r="D4861" s="252"/>
      <c r="E4861" s="252"/>
      <c r="F4861" s="252"/>
      <c r="G4861" s="252"/>
      <c r="H4861" s="252"/>
      <c r="I4861" s="252"/>
      <c r="J4861" s="252"/>
      <c r="K4861" s="253"/>
    </row>
    <row r="4862" spans="1:11" ht="22" customHeight="1" x14ac:dyDescent="0.35">
      <c r="A4862" s="251"/>
      <c r="B4862" s="252"/>
      <c r="C4862" s="252"/>
      <c r="D4862" s="252"/>
      <c r="E4862" s="252"/>
      <c r="F4862" s="252"/>
      <c r="G4862" s="252"/>
      <c r="H4862" s="252"/>
      <c r="I4862" s="252"/>
      <c r="J4862" s="252"/>
      <c r="K4862" s="253"/>
    </row>
    <row r="4863" spans="1:11" ht="22" customHeight="1" x14ac:dyDescent="0.35">
      <c r="A4863" s="251"/>
      <c r="B4863" s="252"/>
      <c r="C4863" s="252"/>
      <c r="D4863" s="252"/>
      <c r="E4863" s="252"/>
      <c r="F4863" s="252"/>
      <c r="G4863" s="252"/>
      <c r="H4863" s="252"/>
      <c r="I4863" s="252"/>
      <c r="J4863" s="252"/>
      <c r="K4863" s="253"/>
    </row>
    <row r="4864" spans="1:11" ht="22" customHeight="1" x14ac:dyDescent="0.35">
      <c r="A4864" s="251"/>
      <c r="B4864" s="252"/>
      <c r="C4864" s="252"/>
      <c r="D4864" s="252"/>
      <c r="E4864" s="252"/>
      <c r="F4864" s="252"/>
      <c r="G4864" s="252"/>
      <c r="H4864" s="252"/>
      <c r="I4864" s="252"/>
      <c r="J4864" s="252"/>
      <c r="K4864" s="253"/>
    </row>
    <row r="4865" spans="1:11" ht="22" customHeight="1" x14ac:dyDescent="0.35">
      <c r="A4865" s="251"/>
      <c r="B4865" s="252"/>
      <c r="C4865" s="252"/>
      <c r="D4865" s="252"/>
      <c r="E4865" s="252"/>
      <c r="F4865" s="252"/>
      <c r="G4865" s="252"/>
      <c r="H4865" s="252"/>
      <c r="I4865" s="252"/>
      <c r="J4865" s="252"/>
      <c r="K4865" s="253"/>
    </row>
    <row r="4866" spans="1:11" ht="22" customHeight="1" x14ac:dyDescent="0.35">
      <c r="A4866" s="251"/>
      <c r="B4866" s="252"/>
      <c r="C4866" s="252"/>
      <c r="D4866" s="252"/>
      <c r="E4866" s="252"/>
      <c r="F4866" s="252"/>
      <c r="G4866" s="252"/>
      <c r="H4866" s="252"/>
      <c r="I4866" s="252"/>
      <c r="J4866" s="252"/>
      <c r="K4866" s="253"/>
    </row>
    <row r="4867" spans="1:11" ht="22" customHeight="1" x14ac:dyDescent="0.35">
      <c r="A4867" s="251"/>
      <c r="B4867" s="252"/>
      <c r="C4867" s="252"/>
      <c r="D4867" s="252"/>
      <c r="E4867" s="252"/>
      <c r="F4867" s="252"/>
      <c r="G4867" s="252"/>
      <c r="H4867" s="252"/>
      <c r="I4867" s="252"/>
      <c r="J4867" s="252"/>
      <c r="K4867" s="253"/>
    </row>
    <row r="4868" spans="1:11" ht="22" customHeight="1" x14ac:dyDescent="0.35">
      <c r="A4868" s="251"/>
      <c r="B4868" s="252"/>
      <c r="C4868" s="252"/>
      <c r="D4868" s="252"/>
      <c r="E4868" s="252"/>
      <c r="F4868" s="252"/>
      <c r="G4868" s="252"/>
      <c r="H4868" s="252"/>
      <c r="I4868" s="252"/>
      <c r="J4868" s="252"/>
      <c r="K4868" s="253"/>
    </row>
    <row r="4869" spans="1:11" ht="22" customHeight="1" x14ac:dyDescent="0.35">
      <c r="A4869" s="251"/>
      <c r="B4869" s="252"/>
      <c r="C4869" s="252"/>
      <c r="D4869" s="252"/>
      <c r="E4869" s="252"/>
      <c r="F4869" s="252"/>
      <c r="G4869" s="252"/>
      <c r="H4869" s="252"/>
      <c r="I4869" s="252"/>
      <c r="J4869" s="252"/>
      <c r="K4869" s="253"/>
    </row>
    <row r="4870" spans="1:11" ht="22" customHeight="1" x14ac:dyDescent="0.35">
      <c r="A4870" s="251"/>
      <c r="B4870" s="252"/>
      <c r="C4870" s="252"/>
      <c r="D4870" s="252"/>
      <c r="E4870" s="252"/>
      <c r="F4870" s="252"/>
      <c r="G4870" s="252"/>
      <c r="H4870" s="252"/>
      <c r="I4870" s="252"/>
      <c r="J4870" s="252"/>
      <c r="K4870" s="253"/>
    </row>
    <row r="4871" spans="1:11" ht="22" customHeight="1" x14ac:dyDescent="0.35">
      <c r="A4871" s="251"/>
      <c r="B4871" s="252"/>
      <c r="C4871" s="252"/>
      <c r="D4871" s="252"/>
      <c r="E4871" s="252"/>
      <c r="F4871" s="252"/>
      <c r="G4871" s="252"/>
      <c r="H4871" s="252"/>
      <c r="I4871" s="252"/>
      <c r="J4871" s="252"/>
      <c r="K4871" s="253"/>
    </row>
    <row r="4872" spans="1:11" ht="22" customHeight="1" x14ac:dyDescent="0.35">
      <c r="A4872" s="251"/>
      <c r="B4872" s="252"/>
      <c r="C4872" s="252"/>
      <c r="D4872" s="252"/>
      <c r="E4872" s="252"/>
      <c r="F4872" s="252"/>
      <c r="G4872" s="252"/>
      <c r="H4872" s="252"/>
      <c r="I4872" s="252"/>
      <c r="J4872" s="252"/>
      <c r="K4872" s="253"/>
    </row>
    <row r="4873" spans="1:11" ht="22" customHeight="1" x14ac:dyDescent="0.35">
      <c r="A4873" s="251"/>
      <c r="B4873" s="252"/>
      <c r="C4873" s="252"/>
      <c r="D4873" s="252"/>
      <c r="E4873" s="252"/>
      <c r="F4873" s="252"/>
      <c r="G4873" s="252"/>
      <c r="H4873" s="252"/>
      <c r="I4873" s="252"/>
      <c r="J4873" s="252"/>
      <c r="K4873" s="253"/>
    </row>
    <row r="4874" spans="1:11" ht="22" customHeight="1" x14ac:dyDescent="0.35">
      <c r="A4874" s="251"/>
      <c r="B4874" s="252"/>
      <c r="C4874" s="252"/>
      <c r="D4874" s="252"/>
      <c r="E4874" s="252"/>
      <c r="F4874" s="252"/>
      <c r="G4874" s="252"/>
      <c r="H4874" s="252"/>
      <c r="I4874" s="252"/>
      <c r="J4874" s="252"/>
      <c r="K4874" s="253"/>
    </row>
    <row r="4875" spans="1:11" ht="22" customHeight="1" x14ac:dyDescent="0.35">
      <c r="A4875" s="251"/>
      <c r="B4875" s="252"/>
      <c r="C4875" s="252"/>
      <c r="D4875" s="252"/>
      <c r="E4875" s="252"/>
      <c r="F4875" s="252"/>
      <c r="G4875" s="252"/>
      <c r="H4875" s="252"/>
      <c r="I4875" s="252"/>
      <c r="J4875" s="252"/>
      <c r="K4875" s="253"/>
    </row>
    <row r="4876" spans="1:11" ht="22" customHeight="1" x14ac:dyDescent="0.35">
      <c r="A4876" s="251"/>
      <c r="B4876" s="252"/>
      <c r="C4876" s="252"/>
      <c r="D4876" s="252"/>
      <c r="E4876" s="252"/>
      <c r="F4876" s="252"/>
      <c r="G4876" s="252"/>
      <c r="H4876" s="252"/>
      <c r="I4876" s="252"/>
      <c r="J4876" s="252"/>
      <c r="K4876" s="253"/>
    </row>
    <row r="4877" spans="1:11" ht="22" customHeight="1" x14ac:dyDescent="0.35">
      <c r="A4877" s="251"/>
      <c r="B4877" s="252"/>
      <c r="C4877" s="252"/>
      <c r="D4877" s="252"/>
      <c r="E4877" s="252"/>
      <c r="F4877" s="252"/>
      <c r="G4877" s="252"/>
      <c r="H4877" s="252"/>
      <c r="I4877" s="252"/>
      <c r="J4877" s="252"/>
      <c r="K4877" s="253"/>
    </row>
    <row r="4878" spans="1:11" ht="22" customHeight="1" x14ac:dyDescent="0.35">
      <c r="A4878" s="251"/>
      <c r="B4878" s="252"/>
      <c r="C4878" s="252"/>
      <c r="D4878" s="252"/>
      <c r="E4878" s="252"/>
      <c r="F4878" s="252"/>
      <c r="G4878" s="252"/>
      <c r="H4878" s="252"/>
      <c r="I4878" s="252"/>
      <c r="J4878" s="252"/>
      <c r="K4878" s="253"/>
    </row>
    <row r="4879" spans="1:11" ht="22" customHeight="1" x14ac:dyDescent="0.35">
      <c r="A4879" s="251"/>
      <c r="B4879" s="252"/>
      <c r="C4879" s="252"/>
      <c r="D4879" s="252"/>
      <c r="E4879" s="252"/>
      <c r="F4879" s="252"/>
      <c r="G4879" s="252"/>
      <c r="H4879" s="252"/>
      <c r="I4879" s="252"/>
      <c r="J4879" s="252"/>
      <c r="K4879" s="253"/>
    </row>
    <row r="4880" spans="1:11" ht="22" customHeight="1" x14ac:dyDescent="0.35">
      <c r="A4880" s="251"/>
      <c r="B4880" s="252"/>
      <c r="C4880" s="252"/>
      <c r="D4880" s="252"/>
      <c r="E4880" s="252"/>
      <c r="F4880" s="252"/>
      <c r="G4880" s="252"/>
      <c r="H4880" s="252"/>
      <c r="I4880" s="252"/>
      <c r="J4880" s="252"/>
      <c r="K4880" s="253"/>
    </row>
    <row r="4881" spans="1:11" ht="22" customHeight="1" x14ac:dyDescent="0.35">
      <c r="A4881" s="251"/>
      <c r="B4881" s="252"/>
      <c r="C4881" s="252"/>
      <c r="D4881" s="252"/>
      <c r="E4881" s="252"/>
      <c r="F4881" s="252"/>
      <c r="G4881" s="252"/>
      <c r="H4881" s="252"/>
      <c r="I4881" s="252"/>
      <c r="J4881" s="252"/>
      <c r="K4881" s="253"/>
    </row>
    <row r="4882" spans="1:11" ht="22" customHeight="1" x14ac:dyDescent="0.35">
      <c r="A4882" s="251"/>
      <c r="B4882" s="252"/>
      <c r="C4882" s="252"/>
      <c r="D4882" s="252"/>
      <c r="E4882" s="252"/>
      <c r="F4882" s="252"/>
      <c r="G4882" s="252"/>
      <c r="H4882" s="252"/>
      <c r="I4882" s="252"/>
      <c r="J4882" s="252"/>
      <c r="K4882" s="253"/>
    </row>
    <row r="4883" spans="1:11" ht="22" customHeight="1" x14ac:dyDescent="0.35">
      <c r="A4883" s="251"/>
      <c r="B4883" s="252"/>
      <c r="C4883" s="252"/>
      <c r="D4883" s="252"/>
      <c r="E4883" s="252"/>
      <c r="F4883" s="252"/>
      <c r="G4883" s="252"/>
      <c r="H4883" s="252"/>
      <c r="I4883" s="252"/>
      <c r="J4883" s="252"/>
      <c r="K4883" s="253"/>
    </row>
    <row r="4884" spans="1:11" ht="22" customHeight="1" x14ac:dyDescent="0.35">
      <c r="A4884" s="251"/>
      <c r="B4884" s="252"/>
      <c r="C4884" s="252"/>
      <c r="D4884" s="252"/>
      <c r="E4884" s="252"/>
      <c r="F4884" s="252"/>
      <c r="G4884" s="252"/>
      <c r="H4884" s="252"/>
      <c r="I4884" s="252"/>
      <c r="J4884" s="252"/>
      <c r="K4884" s="253"/>
    </row>
    <row r="4885" spans="1:11" ht="22" customHeight="1" x14ac:dyDescent="0.35">
      <c r="A4885" s="251"/>
      <c r="B4885" s="252"/>
      <c r="C4885" s="252"/>
      <c r="D4885" s="252"/>
      <c r="E4885" s="252"/>
      <c r="F4885" s="252"/>
      <c r="G4885" s="252"/>
      <c r="H4885" s="252"/>
      <c r="I4885" s="252"/>
      <c r="J4885" s="252"/>
      <c r="K4885" s="253"/>
    </row>
    <row r="4886" spans="1:11" ht="22" customHeight="1" x14ac:dyDescent="0.35">
      <c r="A4886" s="251"/>
      <c r="B4886" s="252"/>
      <c r="C4886" s="252"/>
      <c r="D4886" s="252"/>
      <c r="E4886" s="252"/>
      <c r="F4886" s="252"/>
      <c r="G4886" s="252"/>
      <c r="H4886" s="252"/>
      <c r="I4886" s="252"/>
      <c r="J4886" s="252"/>
      <c r="K4886" s="253"/>
    </row>
    <row r="4887" spans="1:11" ht="22" customHeight="1" x14ac:dyDescent="0.35">
      <c r="A4887" s="251"/>
      <c r="B4887" s="252"/>
      <c r="C4887" s="252"/>
      <c r="D4887" s="252"/>
      <c r="E4887" s="252"/>
      <c r="F4887" s="252"/>
      <c r="G4887" s="252"/>
      <c r="H4887" s="252"/>
      <c r="I4887" s="252"/>
      <c r="J4887" s="252"/>
      <c r="K4887" s="253"/>
    </row>
    <row r="4888" spans="1:11" ht="22" customHeight="1" x14ac:dyDescent="0.35">
      <c r="A4888" s="251"/>
      <c r="B4888" s="252"/>
      <c r="C4888" s="252"/>
      <c r="D4888" s="252"/>
      <c r="E4888" s="252"/>
      <c r="F4888" s="252"/>
      <c r="G4888" s="252"/>
      <c r="H4888" s="252"/>
      <c r="I4888" s="252"/>
      <c r="J4888" s="252"/>
      <c r="K4888" s="253"/>
    </row>
    <row r="4889" spans="1:11" ht="22" customHeight="1" x14ac:dyDescent="0.35">
      <c r="A4889" s="251"/>
      <c r="B4889" s="252"/>
      <c r="C4889" s="252"/>
      <c r="D4889" s="252"/>
      <c r="E4889" s="252"/>
      <c r="F4889" s="252"/>
      <c r="G4889" s="252"/>
      <c r="H4889" s="252"/>
      <c r="I4889" s="252"/>
      <c r="J4889" s="252"/>
      <c r="K4889" s="253"/>
    </row>
    <row r="4890" spans="1:11" ht="22" customHeight="1" x14ac:dyDescent="0.35">
      <c r="A4890" s="251"/>
      <c r="B4890" s="252"/>
      <c r="C4890" s="252"/>
      <c r="D4890" s="252"/>
      <c r="E4890" s="252"/>
      <c r="F4890" s="252"/>
      <c r="G4890" s="252"/>
      <c r="H4890" s="252"/>
      <c r="I4890" s="252"/>
      <c r="J4890" s="252"/>
      <c r="K4890" s="253"/>
    </row>
    <row r="4891" spans="1:11" ht="22" customHeight="1" x14ac:dyDescent="0.35">
      <c r="A4891" s="251"/>
      <c r="B4891" s="252"/>
      <c r="C4891" s="252"/>
      <c r="D4891" s="252"/>
      <c r="E4891" s="252"/>
      <c r="F4891" s="252"/>
      <c r="G4891" s="252"/>
      <c r="H4891" s="252"/>
      <c r="I4891" s="252"/>
      <c r="J4891" s="252"/>
      <c r="K4891" s="253"/>
    </row>
    <row r="4892" spans="1:11" ht="22" customHeight="1" x14ac:dyDescent="0.35">
      <c r="A4892" s="251"/>
      <c r="B4892" s="252"/>
      <c r="C4892" s="252"/>
      <c r="D4892" s="252"/>
      <c r="E4892" s="252"/>
      <c r="F4892" s="252"/>
      <c r="G4892" s="252"/>
      <c r="H4892" s="252"/>
      <c r="I4892" s="252"/>
      <c r="J4892" s="252"/>
      <c r="K4892" s="253"/>
    </row>
    <row r="4893" spans="1:11" ht="22" customHeight="1" x14ac:dyDescent="0.35">
      <c r="A4893" s="251"/>
      <c r="B4893" s="252"/>
      <c r="C4893" s="252"/>
      <c r="D4893" s="252"/>
      <c r="E4893" s="252"/>
      <c r="F4893" s="252"/>
      <c r="G4893" s="252"/>
      <c r="H4893" s="252"/>
      <c r="I4893" s="252"/>
      <c r="J4893" s="252"/>
      <c r="K4893" s="253"/>
    </row>
    <row r="4894" spans="1:11" ht="22" customHeight="1" x14ac:dyDescent="0.35">
      <c r="A4894" s="251"/>
      <c r="B4894" s="252"/>
      <c r="C4894" s="252"/>
      <c r="D4894" s="252"/>
      <c r="E4894" s="252"/>
      <c r="F4894" s="252"/>
      <c r="G4894" s="252"/>
      <c r="H4894" s="252"/>
      <c r="I4894" s="252"/>
      <c r="J4894" s="252"/>
      <c r="K4894" s="253"/>
    </row>
    <row r="4895" spans="1:11" ht="22" customHeight="1" x14ac:dyDescent="0.35">
      <c r="A4895" s="251"/>
      <c r="B4895" s="252"/>
      <c r="C4895" s="252"/>
      <c r="D4895" s="252"/>
      <c r="E4895" s="252"/>
      <c r="F4895" s="252"/>
      <c r="G4895" s="252"/>
      <c r="H4895" s="252"/>
      <c r="I4895" s="252"/>
      <c r="J4895" s="252"/>
      <c r="K4895" s="253"/>
    </row>
    <row r="4896" spans="1:11" ht="22" customHeight="1" x14ac:dyDescent="0.35">
      <c r="A4896" s="251"/>
      <c r="B4896" s="252"/>
      <c r="C4896" s="252"/>
      <c r="D4896" s="252"/>
      <c r="E4896" s="252"/>
      <c r="F4896" s="252"/>
      <c r="G4896" s="252"/>
      <c r="H4896" s="252"/>
      <c r="I4896" s="252"/>
      <c r="J4896" s="252"/>
      <c r="K4896" s="253"/>
    </row>
    <row r="4897" spans="1:11" ht="22" customHeight="1" x14ac:dyDescent="0.35">
      <c r="A4897" s="251"/>
      <c r="B4897" s="252"/>
      <c r="C4897" s="252"/>
      <c r="D4897" s="252"/>
      <c r="E4897" s="252"/>
      <c r="F4897" s="252"/>
      <c r="G4897" s="252"/>
      <c r="H4897" s="252"/>
      <c r="I4897" s="252"/>
      <c r="J4897" s="252"/>
      <c r="K4897" s="253"/>
    </row>
    <row r="4898" spans="1:11" ht="22" customHeight="1" x14ac:dyDescent="0.35">
      <c r="A4898" s="251"/>
      <c r="B4898" s="252"/>
      <c r="C4898" s="252"/>
      <c r="D4898" s="252"/>
      <c r="E4898" s="252"/>
      <c r="F4898" s="252"/>
      <c r="G4898" s="252"/>
      <c r="H4898" s="252"/>
      <c r="I4898" s="252"/>
      <c r="J4898" s="252"/>
      <c r="K4898" s="253"/>
    </row>
    <row r="4899" spans="1:11" ht="22" customHeight="1" x14ac:dyDescent="0.35">
      <c r="A4899" s="251"/>
      <c r="B4899" s="252"/>
      <c r="C4899" s="252"/>
      <c r="D4899" s="252"/>
      <c r="E4899" s="252"/>
      <c r="F4899" s="252"/>
      <c r="G4899" s="252"/>
      <c r="H4899" s="252"/>
      <c r="I4899" s="252"/>
      <c r="J4899" s="252"/>
      <c r="K4899" s="253"/>
    </row>
    <row r="4900" spans="1:11" ht="22" customHeight="1" x14ac:dyDescent="0.35">
      <c r="A4900" s="251"/>
      <c r="B4900" s="252"/>
      <c r="C4900" s="252"/>
      <c r="D4900" s="252"/>
      <c r="E4900" s="252"/>
      <c r="F4900" s="252"/>
      <c r="G4900" s="252"/>
      <c r="H4900" s="252"/>
      <c r="I4900" s="252"/>
      <c r="J4900" s="252"/>
      <c r="K4900" s="253"/>
    </row>
    <row r="4901" spans="1:11" ht="22" customHeight="1" x14ac:dyDescent="0.35">
      <c r="A4901" s="251"/>
      <c r="B4901" s="252"/>
      <c r="C4901" s="252"/>
      <c r="D4901" s="252"/>
      <c r="E4901" s="252"/>
      <c r="F4901" s="252"/>
      <c r="G4901" s="252"/>
      <c r="H4901" s="252"/>
      <c r="I4901" s="252"/>
      <c r="J4901" s="252"/>
      <c r="K4901" s="253"/>
    </row>
    <row r="4902" spans="1:11" ht="22" customHeight="1" x14ac:dyDescent="0.35">
      <c r="A4902" s="251"/>
      <c r="B4902" s="252"/>
      <c r="C4902" s="252"/>
      <c r="D4902" s="252"/>
      <c r="E4902" s="252"/>
      <c r="F4902" s="252"/>
      <c r="G4902" s="252"/>
      <c r="H4902" s="252"/>
      <c r="I4902" s="252"/>
      <c r="J4902" s="252"/>
      <c r="K4902" s="253"/>
    </row>
    <row r="4903" spans="1:11" ht="22" customHeight="1" x14ac:dyDescent="0.35">
      <c r="A4903" s="251"/>
      <c r="B4903" s="252"/>
      <c r="C4903" s="252"/>
      <c r="D4903" s="252"/>
      <c r="E4903" s="252"/>
      <c r="F4903" s="252"/>
      <c r="G4903" s="252"/>
      <c r="H4903" s="252"/>
      <c r="I4903" s="252"/>
      <c r="J4903" s="252"/>
      <c r="K4903" s="253"/>
    </row>
    <row r="4904" spans="1:11" ht="22" customHeight="1" x14ac:dyDescent="0.35">
      <c r="A4904" s="251"/>
      <c r="B4904" s="252"/>
      <c r="C4904" s="252"/>
      <c r="D4904" s="252"/>
      <c r="E4904" s="252"/>
      <c r="F4904" s="252"/>
      <c r="G4904" s="252"/>
      <c r="H4904" s="252"/>
      <c r="I4904" s="252"/>
      <c r="J4904" s="252"/>
      <c r="K4904" s="253"/>
    </row>
    <row r="4905" spans="1:11" ht="22" customHeight="1" x14ac:dyDescent="0.35">
      <c r="A4905" s="251"/>
      <c r="B4905" s="252"/>
      <c r="C4905" s="252"/>
      <c r="D4905" s="252"/>
      <c r="E4905" s="252"/>
      <c r="F4905" s="252"/>
      <c r="G4905" s="252"/>
      <c r="H4905" s="252"/>
      <c r="I4905" s="252"/>
      <c r="J4905" s="252"/>
      <c r="K4905" s="253"/>
    </row>
    <row r="4906" spans="1:11" ht="22" customHeight="1" x14ac:dyDescent="0.35">
      <c r="A4906" s="251"/>
      <c r="B4906" s="252"/>
      <c r="C4906" s="252"/>
      <c r="D4906" s="252"/>
      <c r="E4906" s="252"/>
      <c r="F4906" s="252"/>
      <c r="G4906" s="252"/>
      <c r="H4906" s="252"/>
      <c r="I4906" s="252"/>
      <c r="J4906" s="252"/>
      <c r="K4906" s="253"/>
    </row>
    <row r="4907" spans="1:11" ht="22" customHeight="1" x14ac:dyDescent="0.35">
      <c r="A4907" s="251"/>
      <c r="B4907" s="252"/>
      <c r="C4907" s="252"/>
      <c r="D4907" s="252"/>
      <c r="E4907" s="252"/>
      <c r="F4907" s="252"/>
      <c r="G4907" s="252"/>
      <c r="H4907" s="252"/>
      <c r="I4907" s="252"/>
      <c r="J4907" s="252"/>
      <c r="K4907" s="253"/>
    </row>
    <row r="4908" spans="1:11" ht="22" customHeight="1" x14ac:dyDescent="0.35">
      <c r="A4908" s="251"/>
      <c r="B4908" s="252"/>
      <c r="C4908" s="252"/>
      <c r="D4908" s="252"/>
      <c r="E4908" s="252"/>
      <c r="F4908" s="252"/>
      <c r="G4908" s="252"/>
      <c r="H4908" s="252"/>
      <c r="I4908" s="252"/>
      <c r="J4908" s="252"/>
      <c r="K4908" s="253"/>
    </row>
    <row r="4909" spans="1:11" ht="22" customHeight="1" x14ac:dyDescent="0.35">
      <c r="A4909" s="251"/>
      <c r="B4909" s="252"/>
      <c r="C4909" s="252"/>
      <c r="D4909" s="252"/>
      <c r="E4909" s="252"/>
      <c r="F4909" s="252"/>
      <c r="G4909" s="252"/>
      <c r="H4909" s="252"/>
      <c r="I4909" s="252"/>
      <c r="J4909" s="252"/>
      <c r="K4909" s="253"/>
    </row>
    <row r="4910" spans="1:11" ht="22" customHeight="1" x14ac:dyDescent="0.35">
      <c r="A4910" s="251"/>
      <c r="B4910" s="252"/>
      <c r="C4910" s="252"/>
      <c r="D4910" s="252"/>
      <c r="E4910" s="252"/>
      <c r="F4910" s="252"/>
      <c r="G4910" s="252"/>
      <c r="H4910" s="252"/>
      <c r="I4910" s="252"/>
      <c r="J4910" s="252"/>
      <c r="K4910" s="253"/>
    </row>
    <row r="4911" spans="1:11" ht="22" customHeight="1" x14ac:dyDescent="0.35">
      <c r="A4911" s="251"/>
      <c r="B4911" s="252"/>
      <c r="C4911" s="252"/>
      <c r="D4911" s="252"/>
      <c r="E4911" s="252"/>
      <c r="F4911" s="252"/>
      <c r="G4911" s="252"/>
      <c r="H4911" s="252"/>
      <c r="I4911" s="252"/>
      <c r="J4911" s="252"/>
      <c r="K4911" s="253"/>
    </row>
    <row r="4912" spans="1:11" ht="22" customHeight="1" x14ac:dyDescent="0.35">
      <c r="A4912" s="251"/>
      <c r="B4912" s="252"/>
      <c r="C4912" s="252"/>
      <c r="D4912" s="252"/>
      <c r="E4912" s="252"/>
      <c r="F4912" s="252"/>
      <c r="G4912" s="252"/>
      <c r="H4912" s="252"/>
      <c r="I4912" s="252"/>
      <c r="J4912" s="252"/>
      <c r="K4912" s="253"/>
    </row>
    <row r="4913" spans="1:11" ht="22" customHeight="1" x14ac:dyDescent="0.35">
      <c r="A4913" s="251"/>
      <c r="B4913" s="252"/>
      <c r="C4913" s="252"/>
      <c r="D4913" s="252"/>
      <c r="E4913" s="252"/>
      <c r="F4913" s="252"/>
      <c r="G4913" s="252"/>
      <c r="H4913" s="252"/>
      <c r="I4913" s="252"/>
      <c r="J4913" s="252"/>
      <c r="K4913" s="253"/>
    </row>
    <row r="4914" spans="1:11" ht="22" customHeight="1" x14ac:dyDescent="0.35">
      <c r="A4914" s="251"/>
      <c r="B4914" s="252"/>
      <c r="C4914" s="252"/>
      <c r="D4914" s="252"/>
      <c r="E4914" s="252"/>
      <c r="F4914" s="252"/>
      <c r="G4914" s="252"/>
      <c r="H4914" s="252"/>
      <c r="I4914" s="252"/>
      <c r="J4914" s="252"/>
      <c r="K4914" s="253"/>
    </row>
    <row r="4915" spans="1:11" ht="22" customHeight="1" x14ac:dyDescent="0.35">
      <c r="A4915" s="251"/>
      <c r="B4915" s="252"/>
      <c r="C4915" s="252"/>
      <c r="D4915" s="252"/>
      <c r="E4915" s="252"/>
      <c r="F4915" s="252"/>
      <c r="G4915" s="252"/>
      <c r="H4915" s="252"/>
      <c r="I4915" s="252"/>
      <c r="J4915" s="252"/>
      <c r="K4915" s="253"/>
    </row>
    <row r="4916" spans="1:11" ht="22" customHeight="1" x14ac:dyDescent="0.35">
      <c r="A4916" s="251"/>
      <c r="B4916" s="252"/>
      <c r="C4916" s="252"/>
      <c r="D4916" s="252"/>
      <c r="E4916" s="252"/>
      <c r="F4916" s="252"/>
      <c r="G4916" s="252"/>
      <c r="H4916" s="252"/>
      <c r="I4916" s="252"/>
      <c r="J4916" s="252"/>
      <c r="K4916" s="253"/>
    </row>
    <row r="4917" spans="1:11" ht="22" customHeight="1" x14ac:dyDescent="0.35">
      <c r="A4917" s="251"/>
      <c r="B4917" s="252"/>
      <c r="C4917" s="252"/>
      <c r="D4917" s="252"/>
      <c r="E4917" s="252"/>
      <c r="F4917" s="252"/>
      <c r="G4917" s="252"/>
      <c r="H4917" s="252"/>
      <c r="I4917" s="252"/>
      <c r="J4917" s="252"/>
      <c r="K4917" s="253"/>
    </row>
    <row r="4918" spans="1:11" ht="22" customHeight="1" x14ac:dyDescent="0.35">
      <c r="A4918" s="251"/>
      <c r="B4918" s="252"/>
      <c r="C4918" s="252"/>
      <c r="D4918" s="252"/>
      <c r="E4918" s="252"/>
      <c r="F4918" s="252"/>
      <c r="G4918" s="252"/>
      <c r="H4918" s="252"/>
      <c r="I4918" s="252"/>
      <c r="J4918" s="252"/>
      <c r="K4918" s="253"/>
    </row>
    <row r="4919" spans="1:11" ht="22" customHeight="1" x14ac:dyDescent="0.35">
      <c r="A4919" s="251"/>
      <c r="B4919" s="252"/>
      <c r="C4919" s="252"/>
      <c r="D4919" s="252"/>
      <c r="E4919" s="252"/>
      <c r="F4919" s="252"/>
      <c r="G4919" s="252"/>
      <c r="H4919" s="252"/>
      <c r="I4919" s="252"/>
      <c r="J4919" s="252"/>
      <c r="K4919" s="253"/>
    </row>
    <row r="4920" spans="1:11" ht="22" customHeight="1" x14ac:dyDescent="0.35">
      <c r="A4920" s="251"/>
      <c r="B4920" s="252"/>
      <c r="C4920" s="252"/>
      <c r="D4920" s="252"/>
      <c r="E4920" s="252"/>
      <c r="F4920" s="252"/>
      <c r="G4920" s="252"/>
      <c r="H4920" s="252"/>
      <c r="I4920" s="252"/>
      <c r="J4920" s="252"/>
      <c r="K4920" s="253"/>
    </row>
    <row r="4921" spans="1:11" ht="22" customHeight="1" x14ac:dyDescent="0.35">
      <c r="A4921" s="251"/>
      <c r="B4921" s="252"/>
      <c r="C4921" s="252"/>
      <c r="D4921" s="252"/>
      <c r="E4921" s="252"/>
      <c r="F4921" s="252"/>
      <c r="G4921" s="252"/>
      <c r="H4921" s="252"/>
      <c r="I4921" s="252"/>
      <c r="J4921" s="252"/>
      <c r="K4921" s="253"/>
    </row>
    <row r="4922" spans="1:11" ht="22" customHeight="1" x14ac:dyDescent="0.35">
      <c r="A4922" s="251"/>
      <c r="B4922" s="252"/>
      <c r="C4922" s="252"/>
      <c r="D4922" s="252"/>
      <c r="E4922" s="252"/>
      <c r="F4922" s="252"/>
      <c r="G4922" s="252"/>
      <c r="H4922" s="252"/>
      <c r="I4922" s="252"/>
      <c r="J4922" s="252"/>
      <c r="K4922" s="253"/>
    </row>
    <row r="4923" spans="1:11" ht="22" customHeight="1" x14ac:dyDescent="0.35">
      <c r="A4923" s="251"/>
      <c r="B4923" s="252"/>
      <c r="C4923" s="252"/>
      <c r="D4923" s="252"/>
      <c r="E4923" s="252"/>
      <c r="F4923" s="252"/>
      <c r="G4923" s="252"/>
      <c r="H4923" s="252"/>
      <c r="I4923" s="252"/>
      <c r="J4923" s="252"/>
      <c r="K4923" s="253"/>
    </row>
    <row r="4924" spans="1:11" ht="22" customHeight="1" x14ac:dyDescent="0.35">
      <c r="A4924" s="251"/>
      <c r="B4924" s="252"/>
      <c r="C4924" s="252"/>
      <c r="D4924" s="252"/>
      <c r="E4924" s="252"/>
      <c r="F4924" s="252"/>
      <c r="G4924" s="252"/>
      <c r="H4924" s="252"/>
      <c r="I4924" s="252"/>
      <c r="J4924" s="252"/>
      <c r="K4924" s="253"/>
    </row>
    <row r="4925" spans="1:11" ht="22" customHeight="1" x14ac:dyDescent="0.35">
      <c r="A4925" s="251"/>
      <c r="B4925" s="252"/>
      <c r="C4925" s="252"/>
      <c r="D4925" s="252"/>
      <c r="E4925" s="252"/>
      <c r="F4925" s="252"/>
      <c r="G4925" s="252"/>
      <c r="H4925" s="252"/>
      <c r="I4925" s="252"/>
      <c r="J4925" s="252"/>
      <c r="K4925" s="253"/>
    </row>
    <row r="4926" spans="1:11" ht="22" customHeight="1" x14ac:dyDescent="0.35">
      <c r="A4926" s="251"/>
      <c r="B4926" s="252"/>
      <c r="C4926" s="252"/>
      <c r="D4926" s="252"/>
      <c r="E4926" s="252"/>
      <c r="F4926" s="252"/>
      <c r="G4926" s="252"/>
      <c r="H4926" s="252"/>
      <c r="I4926" s="252"/>
      <c r="J4926" s="252"/>
      <c r="K4926" s="253"/>
    </row>
    <row r="4927" spans="1:11" ht="22" customHeight="1" x14ac:dyDescent="0.35">
      <c r="A4927" s="251"/>
      <c r="B4927" s="252"/>
      <c r="C4927" s="252"/>
      <c r="D4927" s="252"/>
      <c r="E4927" s="252"/>
      <c r="F4927" s="252"/>
      <c r="G4927" s="252"/>
      <c r="H4927" s="252"/>
      <c r="I4927" s="252"/>
      <c r="J4927" s="252"/>
      <c r="K4927" s="253"/>
    </row>
    <row r="4928" spans="1:11" ht="22" customHeight="1" x14ac:dyDescent="0.35">
      <c r="A4928" s="251"/>
      <c r="B4928" s="252"/>
      <c r="C4928" s="252"/>
      <c r="D4928" s="252"/>
      <c r="E4928" s="252"/>
      <c r="F4928" s="252"/>
      <c r="G4928" s="252"/>
      <c r="H4928" s="252"/>
      <c r="I4928" s="252"/>
      <c r="J4928" s="252"/>
      <c r="K4928" s="253"/>
    </row>
    <row r="4929" spans="1:11" ht="22" customHeight="1" x14ac:dyDescent="0.35">
      <c r="A4929" s="251"/>
      <c r="B4929" s="252"/>
      <c r="C4929" s="252"/>
      <c r="D4929" s="252"/>
      <c r="E4929" s="252"/>
      <c r="F4929" s="252"/>
      <c r="G4929" s="252"/>
      <c r="H4929" s="252"/>
      <c r="I4929" s="252"/>
      <c r="J4929" s="252"/>
      <c r="K4929" s="253"/>
    </row>
    <row r="4930" spans="1:11" ht="22" customHeight="1" x14ac:dyDescent="0.35">
      <c r="A4930" s="251"/>
      <c r="B4930" s="252"/>
      <c r="C4930" s="252"/>
      <c r="D4930" s="252"/>
      <c r="E4930" s="252"/>
      <c r="F4930" s="252"/>
      <c r="G4930" s="252"/>
      <c r="H4930" s="252"/>
      <c r="I4930" s="252"/>
      <c r="J4930" s="252"/>
      <c r="K4930" s="253"/>
    </row>
    <row r="4931" spans="1:11" ht="22" customHeight="1" x14ac:dyDescent="0.35">
      <c r="A4931" s="251"/>
      <c r="B4931" s="252"/>
      <c r="C4931" s="252"/>
      <c r="D4931" s="252"/>
      <c r="E4931" s="252"/>
      <c r="F4931" s="252"/>
      <c r="G4931" s="252"/>
      <c r="H4931" s="252"/>
      <c r="I4931" s="252"/>
      <c r="J4931" s="252"/>
      <c r="K4931" s="253"/>
    </row>
    <row r="4932" spans="1:11" ht="22" customHeight="1" x14ac:dyDescent="0.35">
      <c r="A4932" s="251"/>
      <c r="B4932" s="252"/>
      <c r="C4932" s="252"/>
      <c r="D4932" s="252"/>
      <c r="E4932" s="252"/>
      <c r="F4932" s="252"/>
      <c r="G4932" s="252"/>
      <c r="H4932" s="252"/>
      <c r="I4932" s="252"/>
      <c r="J4932" s="252"/>
      <c r="K4932" s="253"/>
    </row>
    <row r="4933" spans="1:11" ht="22" customHeight="1" x14ac:dyDescent="0.35">
      <c r="A4933" s="251"/>
      <c r="B4933" s="252"/>
      <c r="C4933" s="252"/>
      <c r="D4933" s="252"/>
      <c r="E4933" s="252"/>
      <c r="F4933" s="252"/>
      <c r="G4933" s="252"/>
      <c r="H4933" s="252"/>
      <c r="I4933" s="252"/>
      <c r="J4933" s="252"/>
      <c r="K4933" s="253"/>
    </row>
    <row r="4934" spans="1:11" ht="22" customHeight="1" x14ac:dyDescent="0.35">
      <c r="A4934" s="251"/>
      <c r="B4934" s="252"/>
      <c r="C4934" s="252"/>
      <c r="D4934" s="252"/>
      <c r="E4934" s="252"/>
      <c r="F4934" s="252"/>
      <c r="G4934" s="252"/>
      <c r="H4934" s="252"/>
      <c r="I4934" s="252"/>
      <c r="J4934" s="252"/>
      <c r="K4934" s="253"/>
    </row>
    <row r="4935" spans="1:11" ht="22" customHeight="1" x14ac:dyDescent="0.35">
      <c r="A4935" s="251"/>
      <c r="B4935" s="252"/>
      <c r="C4935" s="252"/>
      <c r="D4935" s="252"/>
      <c r="E4935" s="252"/>
      <c r="F4935" s="252"/>
      <c r="G4935" s="252"/>
      <c r="H4935" s="252"/>
      <c r="I4935" s="252"/>
      <c r="J4935" s="252"/>
      <c r="K4935" s="253"/>
    </row>
    <row r="4936" spans="1:11" ht="22" customHeight="1" x14ac:dyDescent="0.35">
      <c r="A4936" s="251"/>
      <c r="B4936" s="252"/>
      <c r="C4936" s="252"/>
      <c r="D4936" s="252"/>
      <c r="E4936" s="252"/>
      <c r="F4936" s="252"/>
      <c r="G4936" s="252"/>
      <c r="H4936" s="252"/>
      <c r="I4936" s="252"/>
      <c r="J4936" s="252"/>
      <c r="K4936" s="253"/>
    </row>
    <row r="4937" spans="1:11" ht="22" customHeight="1" x14ac:dyDescent="0.35">
      <c r="A4937" s="251"/>
      <c r="B4937" s="252"/>
      <c r="C4937" s="252"/>
      <c r="D4937" s="252"/>
      <c r="E4937" s="252"/>
      <c r="F4937" s="252"/>
      <c r="G4937" s="252"/>
      <c r="H4937" s="252"/>
      <c r="I4937" s="252"/>
      <c r="J4937" s="252"/>
      <c r="K4937" s="253"/>
    </row>
    <row r="4938" spans="1:11" ht="22" customHeight="1" x14ac:dyDescent="0.35">
      <c r="A4938" s="251"/>
      <c r="B4938" s="252"/>
      <c r="C4938" s="252"/>
      <c r="D4938" s="252"/>
      <c r="E4938" s="252"/>
      <c r="F4938" s="252"/>
      <c r="G4938" s="252"/>
      <c r="H4938" s="252"/>
      <c r="I4938" s="252"/>
      <c r="J4938" s="252"/>
      <c r="K4938" s="253"/>
    </row>
    <row r="4939" spans="1:11" ht="22" customHeight="1" x14ac:dyDescent="0.35">
      <c r="A4939" s="251"/>
      <c r="B4939" s="252"/>
      <c r="C4939" s="252"/>
      <c r="D4939" s="252"/>
      <c r="E4939" s="252"/>
      <c r="F4939" s="252"/>
      <c r="G4939" s="252"/>
      <c r="H4939" s="252"/>
      <c r="I4939" s="252"/>
      <c r="J4939" s="252"/>
      <c r="K4939" s="253"/>
    </row>
    <row r="4940" spans="1:11" ht="22" customHeight="1" x14ac:dyDescent="0.35">
      <c r="A4940" s="251"/>
      <c r="B4940" s="252"/>
      <c r="C4940" s="252"/>
      <c r="D4940" s="252"/>
      <c r="E4940" s="252"/>
      <c r="F4940" s="252"/>
      <c r="G4940" s="252"/>
      <c r="H4940" s="252"/>
      <c r="I4940" s="252"/>
      <c r="J4940" s="252"/>
      <c r="K4940" s="253"/>
    </row>
    <row r="4941" spans="1:11" ht="22" customHeight="1" x14ac:dyDescent="0.35">
      <c r="A4941" s="251"/>
      <c r="B4941" s="252"/>
      <c r="C4941" s="252"/>
      <c r="D4941" s="252"/>
      <c r="E4941" s="252"/>
      <c r="F4941" s="252"/>
      <c r="G4941" s="252"/>
      <c r="H4941" s="252"/>
      <c r="I4941" s="252"/>
      <c r="J4941" s="252"/>
      <c r="K4941" s="253"/>
    </row>
    <row r="4942" spans="1:11" ht="22" customHeight="1" x14ac:dyDescent="0.35">
      <c r="A4942" s="251"/>
      <c r="B4942" s="252"/>
      <c r="C4942" s="252"/>
      <c r="D4942" s="252"/>
      <c r="E4942" s="252"/>
      <c r="F4942" s="252"/>
      <c r="G4942" s="252"/>
      <c r="H4942" s="252"/>
      <c r="I4942" s="252"/>
      <c r="J4942" s="252"/>
      <c r="K4942" s="253"/>
    </row>
    <row r="4943" spans="1:11" ht="22" customHeight="1" x14ac:dyDescent="0.35">
      <c r="A4943" s="251"/>
      <c r="B4943" s="252"/>
      <c r="C4943" s="252"/>
      <c r="D4943" s="252"/>
      <c r="E4943" s="252"/>
      <c r="F4943" s="252"/>
      <c r="G4943" s="252"/>
      <c r="H4943" s="252"/>
      <c r="I4943" s="252"/>
      <c r="J4943" s="252"/>
      <c r="K4943" s="253"/>
    </row>
    <row r="4944" spans="1:11" ht="22" customHeight="1" x14ac:dyDescent="0.35">
      <c r="A4944" s="251"/>
      <c r="B4944" s="252"/>
      <c r="C4944" s="252"/>
      <c r="D4944" s="252"/>
      <c r="E4944" s="252"/>
      <c r="F4944" s="252"/>
      <c r="G4944" s="252"/>
      <c r="H4944" s="252"/>
      <c r="I4944" s="252"/>
      <c r="J4944" s="252"/>
      <c r="K4944" s="253"/>
    </row>
    <row r="4945" spans="1:11" ht="22" customHeight="1" x14ac:dyDescent="0.35">
      <c r="A4945" s="251"/>
      <c r="B4945" s="252"/>
      <c r="C4945" s="252"/>
      <c r="D4945" s="252"/>
      <c r="E4945" s="252"/>
      <c r="F4945" s="252"/>
      <c r="G4945" s="252"/>
      <c r="H4945" s="252"/>
      <c r="I4945" s="252"/>
      <c r="J4945" s="252"/>
      <c r="K4945" s="253"/>
    </row>
    <row r="4946" spans="1:11" ht="22" customHeight="1" x14ac:dyDescent="0.35">
      <c r="A4946" s="251"/>
      <c r="B4946" s="252"/>
      <c r="C4946" s="252"/>
      <c r="D4946" s="252"/>
      <c r="E4946" s="252"/>
      <c r="F4946" s="252"/>
      <c r="G4946" s="252"/>
      <c r="H4946" s="252"/>
      <c r="I4946" s="252"/>
      <c r="J4946" s="252"/>
      <c r="K4946" s="253"/>
    </row>
    <row r="4947" spans="1:11" ht="22" customHeight="1" x14ac:dyDescent="0.35">
      <c r="A4947" s="251"/>
      <c r="B4947" s="252"/>
      <c r="C4947" s="252"/>
      <c r="D4947" s="252"/>
      <c r="E4947" s="252"/>
      <c r="F4947" s="252"/>
      <c r="G4947" s="252"/>
      <c r="H4947" s="252"/>
      <c r="I4947" s="252"/>
      <c r="J4947" s="252"/>
      <c r="K4947" s="253"/>
    </row>
    <row r="4948" spans="1:11" ht="22" customHeight="1" x14ac:dyDescent="0.35">
      <c r="A4948" s="251"/>
      <c r="B4948" s="252"/>
      <c r="C4948" s="252"/>
      <c r="D4948" s="252"/>
      <c r="E4948" s="252"/>
      <c r="F4948" s="252"/>
      <c r="G4948" s="252"/>
      <c r="H4948" s="252"/>
      <c r="I4948" s="252"/>
      <c r="J4948" s="252"/>
      <c r="K4948" s="253"/>
    </row>
    <row r="4949" spans="1:11" ht="22" customHeight="1" x14ac:dyDescent="0.35">
      <c r="A4949" s="251"/>
      <c r="B4949" s="252"/>
      <c r="C4949" s="252"/>
      <c r="D4949" s="252"/>
      <c r="E4949" s="252"/>
      <c r="F4949" s="252"/>
      <c r="G4949" s="252"/>
      <c r="H4949" s="252"/>
      <c r="I4949" s="252"/>
      <c r="J4949" s="252"/>
      <c r="K4949" s="253"/>
    </row>
    <row r="4950" spans="1:11" ht="22" customHeight="1" x14ac:dyDescent="0.35">
      <c r="A4950" s="251"/>
      <c r="B4950" s="252"/>
      <c r="C4950" s="252"/>
      <c r="D4950" s="252"/>
      <c r="E4950" s="252"/>
      <c r="F4950" s="252"/>
      <c r="G4950" s="252"/>
      <c r="H4950" s="252"/>
      <c r="I4950" s="252"/>
      <c r="J4950" s="252"/>
      <c r="K4950" s="253"/>
    </row>
    <row r="4951" spans="1:11" ht="22" customHeight="1" x14ac:dyDescent="0.35">
      <c r="A4951" s="251"/>
      <c r="B4951" s="252"/>
      <c r="C4951" s="252"/>
      <c r="D4951" s="252"/>
      <c r="E4951" s="252"/>
      <c r="F4951" s="252"/>
      <c r="G4951" s="252"/>
      <c r="H4951" s="252"/>
      <c r="I4951" s="252"/>
      <c r="J4951" s="252"/>
      <c r="K4951" s="253"/>
    </row>
    <row r="4952" spans="1:11" ht="22" customHeight="1" x14ac:dyDescent="0.35">
      <c r="A4952" s="251"/>
      <c r="B4952" s="252"/>
      <c r="C4952" s="252"/>
      <c r="D4952" s="252"/>
      <c r="E4952" s="252"/>
      <c r="F4952" s="252"/>
      <c r="G4952" s="252"/>
      <c r="H4952" s="252"/>
      <c r="I4952" s="252"/>
      <c r="J4952" s="252"/>
      <c r="K4952" s="253"/>
    </row>
    <row r="4953" spans="1:11" ht="22" customHeight="1" x14ac:dyDescent="0.35">
      <c r="A4953" s="251"/>
      <c r="B4953" s="252"/>
      <c r="C4953" s="252"/>
      <c r="D4953" s="252"/>
      <c r="E4953" s="252"/>
      <c r="F4953" s="252"/>
      <c r="G4953" s="252"/>
      <c r="H4953" s="252"/>
      <c r="I4953" s="252"/>
      <c r="J4953" s="252"/>
      <c r="K4953" s="253"/>
    </row>
    <row r="4954" spans="1:11" ht="22" customHeight="1" x14ac:dyDescent="0.35">
      <c r="A4954" s="251"/>
      <c r="B4954" s="252"/>
      <c r="C4954" s="252"/>
      <c r="D4954" s="252"/>
      <c r="E4954" s="252"/>
      <c r="F4954" s="252"/>
      <c r="G4954" s="252"/>
      <c r="H4954" s="252"/>
      <c r="I4954" s="252"/>
      <c r="J4954" s="252"/>
      <c r="K4954" s="253"/>
    </row>
    <row r="4955" spans="1:11" ht="22" customHeight="1" x14ac:dyDescent="0.35">
      <c r="A4955" s="251"/>
      <c r="B4955" s="252"/>
      <c r="C4955" s="252"/>
      <c r="D4955" s="252"/>
      <c r="E4955" s="252"/>
      <c r="F4955" s="252"/>
      <c r="G4955" s="252"/>
      <c r="H4955" s="252"/>
      <c r="I4955" s="252"/>
      <c r="J4955" s="252"/>
      <c r="K4955" s="253"/>
    </row>
    <row r="4956" spans="1:11" ht="22" customHeight="1" x14ac:dyDescent="0.35">
      <c r="A4956" s="251"/>
      <c r="B4956" s="252"/>
      <c r="C4956" s="252"/>
      <c r="D4956" s="252"/>
      <c r="E4956" s="252"/>
      <c r="F4956" s="252"/>
      <c r="G4956" s="252"/>
      <c r="H4956" s="252"/>
      <c r="I4956" s="252"/>
      <c r="J4956" s="252"/>
      <c r="K4956" s="253"/>
    </row>
    <row r="4957" spans="1:11" ht="22" customHeight="1" x14ac:dyDescent="0.35">
      <c r="A4957" s="251"/>
      <c r="B4957" s="252"/>
      <c r="C4957" s="252"/>
      <c r="D4957" s="252"/>
      <c r="E4957" s="252"/>
      <c r="F4957" s="252"/>
      <c r="G4957" s="252"/>
      <c r="H4957" s="252"/>
      <c r="I4957" s="252"/>
      <c r="J4957" s="252"/>
      <c r="K4957" s="253"/>
    </row>
    <row r="4958" spans="1:11" ht="22" customHeight="1" x14ac:dyDescent="0.35">
      <c r="A4958" s="251"/>
      <c r="B4958" s="252"/>
      <c r="C4958" s="252"/>
      <c r="D4958" s="252"/>
      <c r="E4958" s="252"/>
      <c r="F4958" s="252"/>
      <c r="G4958" s="252"/>
      <c r="H4958" s="252"/>
      <c r="I4958" s="252"/>
      <c r="J4958" s="252"/>
      <c r="K4958" s="253"/>
    </row>
    <row r="4959" spans="1:11" ht="22" customHeight="1" x14ac:dyDescent="0.35">
      <c r="A4959" s="251"/>
      <c r="B4959" s="252"/>
      <c r="C4959" s="252"/>
      <c r="D4959" s="252"/>
      <c r="E4959" s="252"/>
      <c r="F4959" s="252"/>
      <c r="G4959" s="252"/>
      <c r="H4959" s="252"/>
      <c r="I4959" s="252"/>
      <c r="J4959" s="252"/>
      <c r="K4959" s="253"/>
    </row>
    <row r="4960" spans="1:11" ht="22" customHeight="1" x14ac:dyDescent="0.35">
      <c r="A4960" s="251"/>
      <c r="B4960" s="252"/>
      <c r="C4960" s="252"/>
      <c r="D4960" s="252"/>
      <c r="E4960" s="252"/>
      <c r="F4960" s="252"/>
      <c r="G4960" s="252"/>
      <c r="H4960" s="252"/>
      <c r="I4960" s="252"/>
      <c r="J4960" s="252"/>
      <c r="K4960" s="253"/>
    </row>
    <row r="4961" spans="1:11" ht="22" customHeight="1" x14ac:dyDescent="0.35">
      <c r="A4961" s="251"/>
      <c r="B4961" s="252"/>
      <c r="C4961" s="252"/>
      <c r="D4961" s="252"/>
      <c r="E4961" s="252"/>
      <c r="F4961" s="252"/>
      <c r="G4961" s="252"/>
      <c r="H4961" s="252"/>
      <c r="I4961" s="252"/>
      <c r="J4961" s="252"/>
      <c r="K4961" s="253"/>
    </row>
    <row r="4962" spans="1:11" ht="22" customHeight="1" x14ac:dyDescent="0.35">
      <c r="A4962" s="251"/>
      <c r="B4962" s="252"/>
      <c r="C4962" s="252"/>
      <c r="D4962" s="252"/>
      <c r="E4962" s="252"/>
      <c r="F4962" s="252"/>
      <c r="G4962" s="252"/>
      <c r="H4962" s="252"/>
      <c r="I4962" s="252"/>
      <c r="J4962" s="252"/>
      <c r="K4962" s="253"/>
    </row>
    <row r="4963" spans="1:11" ht="22" customHeight="1" x14ac:dyDescent="0.35">
      <c r="A4963" s="251"/>
      <c r="B4963" s="252"/>
      <c r="C4963" s="252"/>
      <c r="D4963" s="252"/>
      <c r="E4963" s="252"/>
      <c r="F4963" s="252"/>
      <c r="G4963" s="252"/>
      <c r="H4963" s="252"/>
      <c r="I4963" s="252"/>
      <c r="J4963" s="252"/>
      <c r="K4963" s="253"/>
    </row>
    <row r="4964" spans="1:11" ht="22" customHeight="1" x14ac:dyDescent="0.35">
      <c r="A4964" s="251"/>
      <c r="B4964" s="252"/>
      <c r="C4964" s="252"/>
      <c r="D4964" s="252"/>
      <c r="E4964" s="252"/>
      <c r="F4964" s="252"/>
      <c r="G4964" s="252"/>
      <c r="H4964" s="252"/>
      <c r="I4964" s="252"/>
      <c r="J4964" s="252"/>
      <c r="K4964" s="253"/>
    </row>
    <row r="4965" spans="1:11" ht="22" customHeight="1" x14ac:dyDescent="0.35">
      <c r="A4965" s="251"/>
      <c r="B4965" s="252"/>
      <c r="C4965" s="252"/>
      <c r="D4965" s="252"/>
      <c r="E4965" s="252"/>
      <c r="F4965" s="252"/>
      <c r="G4965" s="252"/>
      <c r="H4965" s="252"/>
      <c r="I4965" s="252"/>
      <c r="J4965" s="252"/>
      <c r="K4965" s="253"/>
    </row>
    <row r="4966" spans="1:11" ht="22" customHeight="1" x14ac:dyDescent="0.35">
      <c r="A4966" s="251"/>
      <c r="B4966" s="252"/>
      <c r="C4966" s="252"/>
      <c r="D4966" s="252"/>
      <c r="E4966" s="252"/>
      <c r="F4966" s="252"/>
      <c r="G4966" s="252"/>
      <c r="H4966" s="252"/>
      <c r="I4966" s="252"/>
      <c r="J4966" s="252"/>
      <c r="K4966" s="253"/>
    </row>
    <row r="4967" spans="1:11" ht="22" customHeight="1" x14ac:dyDescent="0.35">
      <c r="A4967" s="251"/>
      <c r="B4967" s="252"/>
      <c r="C4967" s="252"/>
      <c r="D4967" s="252"/>
      <c r="E4967" s="252"/>
      <c r="F4967" s="252"/>
      <c r="G4967" s="252"/>
      <c r="H4967" s="252"/>
      <c r="I4967" s="252"/>
      <c r="J4967" s="252"/>
      <c r="K4967" s="253"/>
    </row>
    <row r="4968" spans="1:11" ht="22" customHeight="1" x14ac:dyDescent="0.35">
      <c r="A4968" s="251"/>
      <c r="B4968" s="252"/>
      <c r="C4968" s="252"/>
      <c r="D4968" s="252"/>
      <c r="E4968" s="252"/>
      <c r="F4968" s="252"/>
      <c r="G4968" s="252"/>
      <c r="H4968" s="252"/>
      <c r="I4968" s="252"/>
      <c r="J4968" s="252"/>
      <c r="K4968" s="253"/>
    </row>
    <row r="4969" spans="1:11" ht="22" customHeight="1" x14ac:dyDescent="0.35">
      <c r="A4969" s="251"/>
      <c r="B4969" s="252"/>
      <c r="C4969" s="252"/>
      <c r="D4969" s="252"/>
      <c r="E4969" s="252"/>
      <c r="F4969" s="252"/>
      <c r="G4969" s="252"/>
      <c r="H4969" s="252"/>
      <c r="I4969" s="252"/>
      <c r="J4969" s="252"/>
      <c r="K4969" s="253"/>
    </row>
    <row r="4970" spans="1:11" ht="22" customHeight="1" x14ac:dyDescent="0.35">
      <c r="A4970" s="251"/>
      <c r="B4970" s="252"/>
      <c r="C4970" s="252"/>
      <c r="D4970" s="252"/>
      <c r="E4970" s="252"/>
      <c r="F4970" s="252"/>
      <c r="G4970" s="252"/>
      <c r="H4970" s="252"/>
      <c r="I4970" s="252"/>
      <c r="J4970" s="252"/>
      <c r="K4970" s="253"/>
    </row>
    <row r="4971" spans="1:11" ht="22" customHeight="1" x14ac:dyDescent="0.35">
      <c r="A4971" s="251"/>
      <c r="B4971" s="252"/>
      <c r="C4971" s="252"/>
      <c r="D4971" s="252"/>
      <c r="E4971" s="252"/>
      <c r="F4971" s="252"/>
      <c r="G4971" s="252"/>
      <c r="H4971" s="252"/>
      <c r="I4971" s="252"/>
      <c r="J4971" s="252"/>
      <c r="K4971" s="253"/>
    </row>
    <row r="4972" spans="1:11" ht="22" customHeight="1" x14ac:dyDescent="0.35">
      <c r="A4972" s="251"/>
      <c r="B4972" s="252"/>
      <c r="C4972" s="252"/>
      <c r="D4972" s="252"/>
      <c r="E4972" s="252"/>
      <c r="F4972" s="252"/>
      <c r="G4972" s="252"/>
      <c r="H4972" s="252"/>
      <c r="I4972" s="252"/>
      <c r="J4972" s="252"/>
      <c r="K4972" s="253"/>
    </row>
    <row r="4973" spans="1:11" ht="22" customHeight="1" x14ac:dyDescent="0.35">
      <c r="A4973" s="251"/>
      <c r="B4973" s="252"/>
      <c r="C4973" s="252"/>
      <c r="D4973" s="252"/>
      <c r="E4973" s="252"/>
      <c r="F4973" s="252"/>
      <c r="G4973" s="252"/>
      <c r="H4973" s="252"/>
      <c r="I4973" s="252"/>
      <c r="J4973" s="252"/>
      <c r="K4973" s="253"/>
    </row>
    <row r="4974" spans="1:11" ht="22" customHeight="1" x14ac:dyDescent="0.35">
      <c r="A4974" s="251"/>
      <c r="B4974" s="252"/>
      <c r="C4974" s="252"/>
      <c r="D4974" s="252"/>
      <c r="E4974" s="252"/>
      <c r="F4974" s="252"/>
      <c r="G4974" s="252"/>
      <c r="H4974" s="252"/>
      <c r="I4974" s="252"/>
      <c r="J4974" s="252"/>
      <c r="K4974" s="253"/>
    </row>
    <row r="4975" spans="1:11" ht="22" customHeight="1" x14ac:dyDescent="0.35">
      <c r="A4975" s="251"/>
      <c r="B4975" s="252"/>
      <c r="C4975" s="252"/>
      <c r="D4975" s="252"/>
      <c r="E4975" s="252"/>
      <c r="F4975" s="252"/>
      <c r="G4975" s="252"/>
      <c r="H4975" s="252"/>
      <c r="I4975" s="252"/>
      <c r="J4975" s="252"/>
      <c r="K4975" s="253"/>
    </row>
    <row r="4976" spans="1:11" ht="22" customHeight="1" x14ac:dyDescent="0.35">
      <c r="A4976" s="251"/>
      <c r="B4976" s="252"/>
      <c r="C4976" s="252"/>
      <c r="D4976" s="252"/>
      <c r="E4976" s="252"/>
      <c r="F4976" s="252"/>
      <c r="G4976" s="252"/>
      <c r="H4976" s="252"/>
      <c r="I4976" s="252"/>
      <c r="J4976" s="252"/>
      <c r="K4976" s="253"/>
    </row>
    <row r="4977" spans="1:11" ht="22" customHeight="1" x14ac:dyDescent="0.35">
      <c r="A4977" s="251"/>
      <c r="B4977" s="252"/>
      <c r="C4977" s="252"/>
      <c r="D4977" s="252"/>
      <c r="E4977" s="252"/>
      <c r="F4977" s="252"/>
      <c r="G4977" s="252"/>
      <c r="H4977" s="252"/>
      <c r="I4977" s="252"/>
      <c r="J4977" s="252"/>
      <c r="K4977" s="253"/>
    </row>
    <row r="4978" spans="1:11" ht="22" customHeight="1" x14ac:dyDescent="0.35">
      <c r="A4978" s="251"/>
      <c r="B4978" s="252"/>
      <c r="C4978" s="252"/>
      <c r="D4978" s="252"/>
      <c r="E4978" s="252"/>
      <c r="F4978" s="252"/>
      <c r="G4978" s="252"/>
      <c r="H4978" s="252"/>
      <c r="I4978" s="252"/>
      <c r="J4978" s="252"/>
      <c r="K4978" s="253"/>
    </row>
    <row r="4979" spans="1:11" ht="22" customHeight="1" x14ac:dyDescent="0.35">
      <c r="A4979" s="251"/>
      <c r="B4979" s="252"/>
      <c r="C4979" s="252"/>
      <c r="D4979" s="252"/>
      <c r="E4979" s="252"/>
      <c r="F4979" s="252"/>
      <c r="G4979" s="252"/>
      <c r="H4979" s="252"/>
      <c r="I4979" s="252"/>
      <c r="J4979" s="252"/>
      <c r="K4979" s="253"/>
    </row>
    <row r="4980" spans="1:11" ht="22" customHeight="1" x14ac:dyDescent="0.35">
      <c r="A4980" s="251"/>
      <c r="B4980" s="252"/>
      <c r="C4980" s="252"/>
      <c r="D4980" s="252"/>
      <c r="E4980" s="252"/>
      <c r="F4980" s="252"/>
      <c r="G4980" s="252"/>
      <c r="H4980" s="252"/>
      <c r="I4980" s="252"/>
      <c r="J4980" s="252"/>
      <c r="K4980" s="253"/>
    </row>
    <row r="4981" spans="1:11" ht="22" customHeight="1" x14ac:dyDescent="0.35">
      <c r="A4981" s="251"/>
      <c r="B4981" s="252"/>
      <c r="C4981" s="252"/>
      <c r="D4981" s="252"/>
      <c r="E4981" s="252"/>
      <c r="F4981" s="252"/>
      <c r="G4981" s="252"/>
      <c r="H4981" s="252"/>
      <c r="I4981" s="252"/>
      <c r="J4981" s="252"/>
      <c r="K4981" s="253"/>
    </row>
    <row r="4982" spans="1:11" ht="22" customHeight="1" x14ac:dyDescent="0.35">
      <c r="A4982" s="251"/>
      <c r="B4982" s="252"/>
      <c r="C4982" s="252"/>
      <c r="D4982" s="252"/>
      <c r="E4982" s="252"/>
      <c r="F4982" s="252"/>
      <c r="G4982" s="252"/>
      <c r="H4982" s="252"/>
      <c r="I4982" s="252"/>
      <c r="J4982" s="252"/>
      <c r="K4982" s="253"/>
    </row>
    <row r="4983" spans="1:11" ht="22" customHeight="1" x14ac:dyDescent="0.35">
      <c r="A4983" s="251"/>
      <c r="B4983" s="252"/>
      <c r="C4983" s="252"/>
      <c r="D4983" s="252"/>
      <c r="E4983" s="252"/>
      <c r="F4983" s="252"/>
      <c r="G4983" s="252"/>
      <c r="H4983" s="252"/>
      <c r="I4983" s="252"/>
      <c r="J4983" s="252"/>
      <c r="K4983" s="253"/>
    </row>
    <row r="4984" spans="1:11" ht="22" customHeight="1" x14ac:dyDescent="0.35">
      <c r="A4984" s="251"/>
      <c r="B4984" s="252"/>
      <c r="C4984" s="252"/>
      <c r="D4984" s="252"/>
      <c r="E4984" s="252"/>
      <c r="F4984" s="252"/>
      <c r="G4984" s="252"/>
      <c r="H4984" s="252"/>
      <c r="I4984" s="252"/>
      <c r="J4984" s="252"/>
      <c r="K4984" s="253"/>
    </row>
    <row r="4985" spans="1:11" ht="22" customHeight="1" x14ac:dyDescent="0.35">
      <c r="A4985" s="251"/>
      <c r="B4985" s="252"/>
      <c r="C4985" s="252"/>
      <c r="D4985" s="252"/>
      <c r="E4985" s="252"/>
      <c r="F4985" s="252"/>
      <c r="G4985" s="252"/>
      <c r="H4985" s="252"/>
      <c r="I4985" s="252"/>
      <c r="J4985" s="252"/>
      <c r="K4985" s="253"/>
    </row>
    <row r="4986" spans="1:11" ht="22" customHeight="1" x14ac:dyDescent="0.35">
      <c r="A4986" s="251"/>
      <c r="B4986" s="252"/>
      <c r="C4986" s="252"/>
      <c r="D4986" s="252"/>
      <c r="E4986" s="252"/>
      <c r="F4986" s="252"/>
      <c r="G4986" s="252"/>
      <c r="H4986" s="252"/>
      <c r="I4986" s="252"/>
      <c r="J4986" s="252"/>
      <c r="K4986" s="253"/>
    </row>
    <row r="4987" spans="1:11" ht="22" customHeight="1" x14ac:dyDescent="0.35">
      <c r="A4987" s="251"/>
      <c r="B4987" s="252"/>
      <c r="C4987" s="252"/>
      <c r="D4987" s="252"/>
      <c r="E4987" s="252"/>
      <c r="F4987" s="252"/>
      <c r="G4987" s="252"/>
      <c r="H4987" s="252"/>
      <c r="I4987" s="252"/>
      <c r="J4987" s="252"/>
      <c r="K4987" s="253"/>
    </row>
    <row r="4988" spans="1:11" ht="22" customHeight="1" x14ac:dyDescent="0.35">
      <c r="A4988" s="251"/>
      <c r="B4988" s="252"/>
      <c r="C4988" s="252"/>
      <c r="D4988" s="252"/>
      <c r="E4988" s="252"/>
      <c r="F4988" s="252"/>
      <c r="G4988" s="252"/>
      <c r="H4988" s="252"/>
      <c r="I4988" s="252"/>
      <c r="J4988" s="252"/>
      <c r="K4988" s="253"/>
    </row>
    <row r="4989" spans="1:11" ht="22" customHeight="1" x14ac:dyDescent="0.35">
      <c r="A4989" s="251"/>
      <c r="B4989" s="252"/>
      <c r="C4989" s="252"/>
      <c r="D4989" s="252"/>
      <c r="E4989" s="252"/>
      <c r="F4989" s="252"/>
      <c r="G4989" s="252"/>
      <c r="H4989" s="252"/>
      <c r="I4989" s="252"/>
      <c r="J4989" s="252"/>
      <c r="K4989" s="253"/>
    </row>
    <row r="4990" spans="1:11" ht="22" customHeight="1" x14ac:dyDescent="0.35">
      <c r="A4990" s="251"/>
      <c r="B4990" s="252"/>
      <c r="C4990" s="252"/>
      <c r="D4990" s="252"/>
      <c r="E4990" s="252"/>
      <c r="F4990" s="252"/>
      <c r="G4990" s="252"/>
      <c r="H4990" s="252"/>
      <c r="I4990" s="252"/>
      <c r="J4990" s="252"/>
      <c r="K4990" s="253"/>
    </row>
    <row r="4991" spans="1:11" ht="22" customHeight="1" x14ac:dyDescent="0.35">
      <c r="A4991" s="251"/>
      <c r="B4991" s="252"/>
      <c r="C4991" s="252"/>
      <c r="D4991" s="252"/>
      <c r="E4991" s="252"/>
      <c r="F4991" s="252"/>
      <c r="G4991" s="252"/>
      <c r="H4991" s="252"/>
      <c r="I4991" s="252"/>
      <c r="J4991" s="252"/>
      <c r="K4991" s="253"/>
    </row>
    <row r="4992" spans="1:11" ht="22" customHeight="1" x14ac:dyDescent="0.35">
      <c r="A4992" s="251"/>
      <c r="B4992" s="252"/>
      <c r="C4992" s="252"/>
      <c r="D4992" s="252"/>
      <c r="E4992" s="252"/>
      <c r="F4992" s="252"/>
      <c r="G4992" s="252"/>
      <c r="H4992" s="252"/>
      <c r="I4992" s="252"/>
      <c r="J4992" s="252"/>
      <c r="K4992" s="253"/>
    </row>
    <row r="4993" spans="1:11" ht="22" customHeight="1" x14ac:dyDescent="0.35">
      <c r="A4993" s="251"/>
      <c r="B4993" s="252"/>
      <c r="C4993" s="252"/>
      <c r="D4993" s="252"/>
      <c r="E4993" s="252"/>
      <c r="F4993" s="252"/>
      <c r="G4993" s="252"/>
      <c r="H4993" s="252"/>
      <c r="I4993" s="252"/>
      <c r="J4993" s="252"/>
      <c r="K4993" s="253"/>
    </row>
    <row r="4994" spans="1:11" ht="22" customHeight="1" x14ac:dyDescent="0.35">
      <c r="A4994" s="251"/>
      <c r="B4994" s="252"/>
      <c r="C4994" s="252"/>
      <c r="D4994" s="252"/>
      <c r="E4994" s="252"/>
      <c r="F4994" s="252"/>
      <c r="G4994" s="252"/>
      <c r="H4994" s="252"/>
      <c r="I4994" s="252"/>
      <c r="J4994" s="252"/>
      <c r="K4994" s="253"/>
    </row>
    <row r="4995" spans="1:11" ht="22" customHeight="1" x14ac:dyDescent="0.35">
      <c r="A4995" s="251"/>
      <c r="B4995" s="252"/>
      <c r="C4995" s="252"/>
      <c r="D4995" s="252"/>
      <c r="E4995" s="252"/>
      <c r="F4995" s="252"/>
      <c r="G4995" s="252"/>
      <c r="H4995" s="252"/>
      <c r="I4995" s="252"/>
      <c r="J4995" s="252"/>
      <c r="K4995" s="253"/>
    </row>
    <row r="4996" spans="1:11" ht="22" customHeight="1" x14ac:dyDescent="0.35">
      <c r="A4996" s="251"/>
      <c r="B4996" s="252"/>
      <c r="C4996" s="252"/>
      <c r="D4996" s="252"/>
      <c r="E4996" s="252"/>
      <c r="F4996" s="252"/>
      <c r="G4996" s="252"/>
      <c r="H4996" s="252"/>
      <c r="I4996" s="252"/>
      <c r="J4996" s="252"/>
      <c r="K4996" s="253"/>
    </row>
  </sheetData>
  <conditionalFormatting sqref="E1:E1048576">
    <cfRule type="containsText" dxfId="190" priority="1" operator="containsText" text="Unplanned_Loss">
      <formula>NOT(ISERROR(SEARCH("Unplanned_Loss",E1)))</formula>
    </cfRule>
    <cfRule type="containsText" dxfId="189" priority="2" operator="containsText" text="Planned_Loss">
      <formula>NOT(ISERROR(SEARCH("Planned_Loss",E1)))</formula>
    </cfRule>
  </conditionalFormatting>
  <conditionalFormatting sqref="E52">
    <cfRule type="containsText" dxfId="188" priority="3" operator="containsText" text="Unplanned_Loss">
      <formula>NOT(ISERROR(SEARCH("Unplanned_Loss",E52)))</formula>
    </cfRule>
    <cfRule type="containsText" dxfId="187" priority="4" operator="containsText" text="Planned_Loss">
      <formula>NOT(ISERROR(SEARCH("Planned_Loss",E52)))</formula>
    </cfRule>
  </conditionalFormatting>
  <dataValidations count="2">
    <dataValidation type="list" allowBlank="1" showInputMessage="1" showErrorMessage="1" sqref="C2:D146 D148:D228 C149:C287 F2:F4996 C318:C4996" xr:uid="{8373AB6C-9328-414E-90B1-ADBEB3430A6C}">
      <formula1>INDIRECT(B2)</formula1>
    </dataValidation>
    <dataValidation type="list" allowBlank="1" showInputMessage="1" showErrorMessage="1" sqref="C288:C317 D229:D4996" xr:uid="{2E92C617-709F-47C6-A785-13FD240332AD}">
      <formula1>INDIRECT(SUBSTITUTE(B229, "-", "_"))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06A22D6-30F4-429A-BA61-EABA39221235}">
          <x14:formula1>
            <xm:f>'Look up (2)'!$A$2:$A$17</xm:f>
          </x14:formula1>
          <xm:sqref>B2:B146 B151:B4996</xm:sqref>
        </x14:dataValidation>
        <x14:dataValidation type="list" allowBlank="1" showInputMessage="1" showErrorMessage="1" xr:uid="{B3CCB56E-527C-47D7-A21D-4DDE0E4A49A2}">
          <x14:formula1>
            <xm:f>'Look up (2)'!$AZ$1:$BA$1</xm:f>
          </x14:formula1>
          <xm:sqref>E1:E1048576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7953D-12E1-4C0D-AF7B-C8B816A50D0A}">
  <sheetPr codeName="Sheet4"/>
  <dimension ref="A1:BD373"/>
  <sheetViews>
    <sheetView tabSelected="1" topLeftCell="A243" zoomScale="80" zoomScaleNormal="80" workbookViewId="0">
      <pane xSplit="1" topLeftCell="AC1" activePane="topRight" state="frozen"/>
      <selection activeCell="A29" sqref="A29"/>
      <selection pane="topRight" activeCell="AJ260" sqref="AJ260"/>
    </sheetView>
  </sheetViews>
  <sheetFormatPr defaultColWidth="14.453125" defaultRowHeight="14.5" x14ac:dyDescent="0.35"/>
  <cols>
    <col min="1" max="1" width="12.81640625" customWidth="1"/>
    <col min="2" max="2" width="13.1796875" customWidth="1"/>
    <col min="3" max="3" width="18.7265625" customWidth="1"/>
    <col min="4" max="4" width="12.453125" customWidth="1"/>
    <col min="5" max="5" width="10.7265625" customWidth="1"/>
    <col min="6" max="6" width="17.453125" customWidth="1"/>
    <col min="7" max="7" width="12.81640625" customWidth="1"/>
    <col min="8" max="8" width="14" customWidth="1"/>
    <col min="9" max="9" width="15.81640625" customWidth="1"/>
    <col min="10" max="10" width="17.453125" customWidth="1"/>
    <col min="11" max="11" width="18.7265625" customWidth="1"/>
    <col min="12" max="12" width="18.26953125" customWidth="1"/>
    <col min="13" max="14" width="22.453125" customWidth="1"/>
    <col min="16" max="16" width="22.453125" customWidth="1"/>
    <col min="17" max="18" width="19.453125" hidden="1" customWidth="1"/>
    <col min="19" max="26" width="22.453125" customWidth="1"/>
    <col min="27" max="27" width="22.81640625" customWidth="1"/>
    <col min="28" max="28" width="24.453125" customWidth="1"/>
    <col min="29" max="41" width="22.453125" customWidth="1"/>
    <col min="42" max="42" width="25.81640625" customWidth="1"/>
    <col min="43" max="44" width="22.453125" customWidth="1"/>
    <col min="45" max="45" width="22.453125" hidden="1" customWidth="1"/>
    <col min="46" max="46" width="22.453125" customWidth="1"/>
    <col min="47" max="47" width="22.453125" style="68" customWidth="1"/>
    <col min="48" max="50" width="22.453125" style="220" customWidth="1"/>
    <col min="51" max="51" width="22.453125" customWidth="1"/>
    <col min="52" max="52" width="15.453125" customWidth="1"/>
    <col min="53" max="53" width="14.453125" customWidth="1"/>
  </cols>
  <sheetData>
    <row r="1" spans="1:56" ht="15" thickBot="1" x14ac:dyDescent="0.4">
      <c r="E1" s="18">
        <f>SUBTOTAL(9,Table1[Plan])</f>
        <v>5694.6472869999989</v>
      </c>
      <c r="F1" s="18">
        <f>SUBTOTAL(9,Table1[Volume Delivered (T)])</f>
        <v>5921.4695679999995</v>
      </c>
      <c r="G1" s="69">
        <f ca="1">SUBTOTAL(1,Table1[GE - Target])</f>
        <v>0.73360314659395498</v>
      </c>
      <c r="H1" s="69">
        <f ca="1">SUBTOTAL(1,Table1[GE - Actual])</f>
        <v>0.76515484194613703</v>
      </c>
      <c r="I1" s="18">
        <f>SUBTOTAL(9,Table1[Legal Non-Operating Time])</f>
        <v>0</v>
      </c>
      <c r="J1" s="18">
        <f>SUBTOTAL(9,Table1[No Demand Time])</f>
        <v>40</v>
      </c>
      <c r="K1" s="18">
        <f>SUBTOTAL(9,Table1[Force Majeure])</f>
        <v>4</v>
      </c>
      <c r="M1" s="20">
        <f>SUBTOTAL(1,Table1[waste (%) - MTD])</f>
        <v>4.1427461139896392E-2</v>
      </c>
      <c r="N1" s="72"/>
      <c r="P1" s="72">
        <f>SUBTOTAL(9,Table1[TBM ACTIVITIES PLANNED])</f>
        <v>118</v>
      </c>
      <c r="Q1" s="72">
        <f>SUBTOTAL(9,Table1[TBM ACTIVITIES COMPLETED])</f>
        <v>106</v>
      </c>
      <c r="R1" s="18">
        <f>SUBTOTAL(9,Table1[Hours Used])</f>
        <v>5212</v>
      </c>
      <c r="AI1" s="18">
        <f ca="1">SUBTOTAL(9,Table1[Operating Time])</f>
        <v>3988.2943075574785</v>
      </c>
    </row>
    <row r="2" spans="1:56" ht="23.15" customHeight="1" x14ac:dyDescent="0.35">
      <c r="A2" s="236" t="s">
        <v>0</v>
      </c>
      <c r="B2" s="237" t="s">
        <v>54</v>
      </c>
      <c r="C2" s="238" t="s">
        <v>55</v>
      </c>
      <c r="D2" s="238" t="s">
        <v>56</v>
      </c>
      <c r="E2" s="238" t="s">
        <v>57</v>
      </c>
      <c r="F2" s="238" t="s">
        <v>58</v>
      </c>
      <c r="G2" s="238" t="s">
        <v>59</v>
      </c>
      <c r="H2" s="238" t="s">
        <v>60</v>
      </c>
      <c r="I2" s="239" t="s">
        <v>61</v>
      </c>
      <c r="J2" s="239" t="s">
        <v>62</v>
      </c>
      <c r="K2" s="239" t="s">
        <v>63</v>
      </c>
      <c r="L2" s="240" t="s">
        <v>64</v>
      </c>
      <c r="M2" s="241" t="s">
        <v>65</v>
      </c>
      <c r="N2" s="241" t="s">
        <v>66</v>
      </c>
      <c r="O2" s="241" t="s">
        <v>67</v>
      </c>
      <c r="P2" s="241" t="s">
        <v>68</v>
      </c>
      <c r="Q2" s="1" t="s">
        <v>69</v>
      </c>
      <c r="R2" s="1" t="s">
        <v>70</v>
      </c>
      <c r="S2" s="242" t="s">
        <v>71</v>
      </c>
      <c r="T2" s="243" t="s">
        <v>72</v>
      </c>
      <c r="U2" s="243" t="s">
        <v>73</v>
      </c>
      <c r="V2" s="243" t="s">
        <v>74</v>
      </c>
      <c r="W2" s="243" t="s">
        <v>75</v>
      </c>
      <c r="X2" s="243" t="s">
        <v>76</v>
      </c>
      <c r="Y2" s="243" t="s">
        <v>77</v>
      </c>
      <c r="Z2" s="243" t="s">
        <v>78</v>
      </c>
      <c r="AA2" s="244" t="s">
        <v>79</v>
      </c>
      <c r="AB2" s="245" t="s">
        <v>80</v>
      </c>
      <c r="AC2" s="245" t="s">
        <v>53</v>
      </c>
      <c r="AD2" s="245" t="s">
        <v>81</v>
      </c>
      <c r="AE2" s="245" t="s">
        <v>82</v>
      </c>
      <c r="AF2" s="245" t="s">
        <v>83</v>
      </c>
      <c r="AG2" s="245" t="s">
        <v>84</v>
      </c>
      <c r="AH2" s="246" t="s">
        <v>85</v>
      </c>
      <c r="AI2" s="246" t="s">
        <v>86</v>
      </c>
      <c r="AJ2" s="242" t="s">
        <v>87</v>
      </c>
      <c r="AK2" s="242" t="s">
        <v>88</v>
      </c>
      <c r="AL2" s="247" t="s">
        <v>89</v>
      </c>
      <c r="AM2" s="247" t="s">
        <v>90</v>
      </c>
      <c r="AN2" s="247" t="s">
        <v>91</v>
      </c>
      <c r="AO2" s="247" t="s">
        <v>92</v>
      </c>
      <c r="AP2" s="247" t="s">
        <v>93</v>
      </c>
      <c r="AQ2" s="247" t="s">
        <v>94</v>
      </c>
      <c r="AR2" s="247" t="s">
        <v>95</v>
      </c>
      <c r="AS2" s="2" t="s">
        <v>96</v>
      </c>
      <c r="AT2" s="247" t="s">
        <v>97</v>
      </c>
      <c r="AU2" s="248" t="s">
        <v>98</v>
      </c>
      <c r="AV2" s="249" t="s">
        <v>99</v>
      </c>
      <c r="AW2" s="249" t="s">
        <v>100</v>
      </c>
      <c r="AX2" s="249" t="s">
        <v>101</v>
      </c>
      <c r="AY2" s="249" t="s">
        <v>102</v>
      </c>
      <c r="AZ2" s="250" t="s">
        <v>103</v>
      </c>
    </row>
    <row r="3" spans="1:56" ht="20.149999999999999" customHeight="1" x14ac:dyDescent="0.35">
      <c r="A3" s="21">
        <v>46020</v>
      </c>
      <c r="B3" s="22" t="str">
        <f t="shared" ref="B3:B9" si="0">IF(A3="","",TEXT(A3,"dddddd"))</f>
        <v>Monday</v>
      </c>
      <c r="C3" s="23" t="s">
        <v>104</v>
      </c>
      <c r="D3" s="24" cm="1">
        <f t="array" aca="1" ref="D3" ca="1">IFERROR(INDIRECT(C3),"")</f>
        <v>33.4</v>
      </c>
      <c r="E3" s="25">
        <v>14</v>
      </c>
      <c r="F3" s="26">
        <v>21.4</v>
      </c>
      <c r="G3" s="27">
        <f ca="1">IFERROR((Table1[[#This Row],[Plan]]/Table1[[#This Row],[Hours Used]])/(Table1[[#This Row],[SOC (TPD)]]/24),"")</f>
        <v>0.41916167664670662</v>
      </c>
      <c r="H3" s="27">
        <f ca="1">IFERROR((Table1[[#This Row],[Volume Delivered (T)]]/Table1[[#This Row],[Hours Used]])/(Table1[[#This Row],[SOC (TPD)]]/24),"")</f>
        <v>0.64071856287425144</v>
      </c>
      <c r="I3" s="28"/>
      <c r="J3" s="28"/>
      <c r="K3" s="28"/>
      <c r="L3" s="25"/>
      <c r="M3" s="29">
        <v>3.5000000000000003E-2</v>
      </c>
      <c r="N3" s="84"/>
      <c r="O3" s="25"/>
      <c r="P3" s="25"/>
      <c r="Q3" s="70">
        <v>1</v>
      </c>
      <c r="R3" s="71">
        <v>1</v>
      </c>
      <c r="S3" s="30">
        <f>IF(Table1[[#This Row],[SKU]]="",0,24-Table1[[#This Row],[Legal Non-Operating Time]]-Table1[[#This Row],[No Demand Time]]-Table1[[#This Row],[Force Majeure]])</f>
        <v>24</v>
      </c>
      <c r="T3" s="26"/>
      <c r="U3" s="26"/>
      <c r="V3" s="26">
        <v>9</v>
      </c>
      <c r="W3" s="26"/>
      <c r="X3" s="26"/>
      <c r="Y3" s="26"/>
      <c r="Z3" s="26"/>
      <c r="AA3" s="30">
        <f>Table1[[#This Row],[Hours Used]]-SUM(Table1[[#This Row],[Planned Maintenance]:[Start and Finish Production]])</f>
        <v>15</v>
      </c>
      <c r="AB3" s="26"/>
      <c r="AC3" s="26"/>
      <c r="AD3" s="26"/>
      <c r="AE3" s="26"/>
      <c r="AF3" s="26"/>
      <c r="AG3" s="26"/>
      <c r="AH3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-0.37724550898203546</v>
      </c>
      <c r="AI3" s="24">
        <f ca="1">IFERROR(IF(Table1[[#This Row],[SKU]]="",0,Table1[[#This Row],[Quality Loss (T)]]/(Table1[[#This Row],[SOC (TPD)]]/24)),"")</f>
        <v>0</v>
      </c>
      <c r="AJ3" s="31">
        <f ca="1">IFERROR(IF(Table1[[#This Row],[SKU]]="",0,Table1[[#This Row],[Volume Delivered (T)]]/(Table1[[#This Row],[SOC (TPD)]]/24)),"")</f>
        <v>15.377245508982035</v>
      </c>
      <c r="AK3" s="31">
        <f ca="1">IFERROR(Table1[[#This Row],[Operating Time]]/Table1[[#This Row],[PRODUCTION HOURS]],"")</f>
        <v>1.0251497005988024</v>
      </c>
      <c r="AL3" s="32"/>
      <c r="AM3" s="32" t="s">
        <v>105</v>
      </c>
      <c r="AN3" s="32" t="s">
        <v>105</v>
      </c>
      <c r="AO3" s="32">
        <v>6</v>
      </c>
      <c r="AP3" s="32">
        <v>6</v>
      </c>
      <c r="AQ3" s="32">
        <v>6</v>
      </c>
      <c r="AR3" s="32" t="str">
        <f>IFERROR(SUMIFS(#REF!,#REF!,'Data Sheet'!A:A,#REF!,"Samridhi Perk Line")/SUMIFS(#REF!,#REF!,'Data Sheet'!A:A,#REF!,"Samridhi Perk Line"),"")</f>
        <v/>
      </c>
      <c r="AS3" s="32"/>
      <c r="AT3" s="32">
        <v>0</v>
      </c>
      <c r="AU3" s="211" t="str">
        <f>IFERROR(VLOOKUP(Table1[[#This Row],[Date]],'Overweight Data'!A1:G1096,6,FALSE),"")</f>
        <v/>
      </c>
      <c r="AV3" s="221">
        <f ca="1">IFERROR(
   IF(
      OR(Table1[[#This Row],[Operating Time]]=0, (Table1[[#This Row],[Operating Time]]/IF(AC3&lt;=1,AC3+1,AC3))*60=0),
      1,
      ((Table1[[#This Row],[Operating Time]])/IF(AC3&lt;=1,AC3+1,AC3))*60
   ),
"_")</f>
        <v>922.6347305389221</v>
      </c>
      <c r="AW3" s="221">
        <f>COUNTIFS('Downtime Data'!A:A,Table1[[#This Row],[Date]])</f>
        <v>1</v>
      </c>
      <c r="AX3" s="219">
        <f>IFERROR((SUM(Table1[[#This Row],[Minor Stoppages]:[Material Shortages]])/Table1[[#This Row],['# Stops]])*60,"")</f>
        <v>0</v>
      </c>
      <c r="AY3" s="219"/>
      <c r="AZ3" s="33">
        <v>46048</v>
      </c>
    </row>
    <row r="4" spans="1:56" ht="20.149999999999999" customHeight="1" x14ac:dyDescent="0.35">
      <c r="A4" s="21">
        <v>46021</v>
      </c>
      <c r="B4" s="22" t="str">
        <f t="shared" si="0"/>
        <v>Tuesday</v>
      </c>
      <c r="C4" s="23" t="s">
        <v>106</v>
      </c>
      <c r="D4" s="24" cm="1">
        <f t="array" aca="1" ref="D4" ca="1">IFERROR(INDIRECT(C4),"")</f>
        <v>39.200000000000003</v>
      </c>
      <c r="E4" s="25">
        <v>32</v>
      </c>
      <c r="F4" s="26">
        <v>34.799999999999997</v>
      </c>
      <c r="G4" s="27">
        <f ca="1">IFERROR((Table1[[#This Row],[Plan]]/Table1[[#This Row],[Hours Used]])/(Table1[[#This Row],[SOC (TPD)]]/24),"")</f>
        <v>0.81632653061224481</v>
      </c>
      <c r="H4" s="27">
        <f ca="1">IFERROR((Table1[[#This Row],[Volume Delivered (T)]]/Table1[[#This Row],[Hours Used]])/(Table1[[#This Row],[SOC (TPD)]]/24),"")</f>
        <v>0.8877551020408162</v>
      </c>
      <c r="I4" s="28"/>
      <c r="J4" s="28"/>
      <c r="K4" s="28"/>
      <c r="L4" s="25"/>
      <c r="M4" s="29">
        <v>3.5000000000000003E-2</v>
      </c>
      <c r="N4" s="84"/>
      <c r="O4" s="25"/>
      <c r="P4" s="25"/>
      <c r="Q4" s="70">
        <v>1</v>
      </c>
      <c r="R4" s="71"/>
      <c r="S4" s="30">
        <f>IF(Table1[[#This Row],[SKU]]="",0,24-Table1[[#This Row],[Legal Non-Operating Time]]-Table1[[#This Row],[No Demand Time]]-Table1[[#This Row],[Force Majeure]])</f>
        <v>24</v>
      </c>
      <c r="T4" s="26"/>
      <c r="U4" s="26"/>
      <c r="V4" s="26"/>
      <c r="W4" s="26">
        <v>2</v>
      </c>
      <c r="X4" s="26"/>
      <c r="Y4" s="26"/>
      <c r="Z4" s="26"/>
      <c r="AA4" s="30">
        <f>Table1[[#This Row],[Hours Used]]-SUM(Table1[[#This Row],[Planned Maintenance]:[Start and Finish Production]])</f>
        <v>22</v>
      </c>
      <c r="AB4" s="26"/>
      <c r="AC4" s="26">
        <v>0.5</v>
      </c>
      <c r="AD4" s="26"/>
      <c r="AE4" s="26"/>
      <c r="AF4" s="26"/>
      <c r="AG4" s="26"/>
      <c r="AH4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0.19387755102041382</v>
      </c>
      <c r="AI4" s="24">
        <f ca="1">IFERROR(IF(Table1[[#This Row],[SKU]]="",0,Table1[[#This Row],[Quality Loss (T)]]/(Table1[[#This Row],[SOC (TPD)]]/24)),"")</f>
        <v>0</v>
      </c>
      <c r="AJ4" s="31">
        <f ca="1">IFERROR(IF(Table1[[#This Row],[SKU]]="",0,Table1[[#This Row],[Volume Delivered (T)]]/(Table1[[#This Row],[SOC (TPD)]]/24)),"")</f>
        <v>21.306122448979586</v>
      </c>
      <c r="AK4" s="31">
        <f ca="1">IFERROR(Table1[[#This Row],[Operating Time]]/Table1[[#This Row],[PRODUCTION HOURS]],"")</f>
        <v>0.96846011131725396</v>
      </c>
      <c r="AL4" s="32"/>
      <c r="AM4" s="32" t="s">
        <v>105</v>
      </c>
      <c r="AN4" s="32" t="s">
        <v>105</v>
      </c>
      <c r="AO4" s="32">
        <v>0</v>
      </c>
      <c r="AP4" s="32">
        <v>0</v>
      </c>
      <c r="AQ4" s="32"/>
      <c r="AR4" s="32" t="str">
        <f>IFERROR(SUMIFS(#REF!,#REF!,'Data Sheet'!A:A,#REF!,"Samridhi Perk Line")/SUMIFS(#REF!,#REF!,'Data Sheet'!A:A,#REF!,"Samridhi Perk Line"),"")</f>
        <v/>
      </c>
      <c r="AS4" s="32"/>
      <c r="AT4" s="32">
        <v>0</v>
      </c>
      <c r="AU4" s="211" t="str">
        <f>IFERROR(VLOOKUP(Table1[[#This Row],[Date]],'Overweight Data'!A2:G1097,6,FALSE),"")</f>
        <v/>
      </c>
      <c r="AV4" s="221">
        <f ca="1">IFERROR(
   IF(
      OR(Table1[[#This Row],[Operating Time]]=0, (Table1[[#This Row],[Operating Time]]/IF(AC4&lt;=1,AC4+1,AC4))*60=0),
      1,
      ((Table1[[#This Row],[Operating Time]])/IF(AC4&lt;=1,AC4+1,AC4))*60
   ),
"_")</f>
        <v>852.24489795918339</v>
      </c>
      <c r="AW4" s="221">
        <f>COUNTIFS('Downtime Data'!A:A,Table1[[#This Row],[Date]])</f>
        <v>1</v>
      </c>
      <c r="AX4" s="219">
        <f>IFERROR((SUM(Table1[[#This Row],[Minor Stoppages]:[Material Shortages]])/Table1[[#This Row],['# Stops]])*60,"")</f>
        <v>30</v>
      </c>
      <c r="AY4" s="219"/>
      <c r="AZ4" s="33">
        <v>46048</v>
      </c>
      <c r="BD4">
        <f>21*7</f>
        <v>147</v>
      </c>
    </row>
    <row r="5" spans="1:56" ht="20.149999999999999" customHeight="1" x14ac:dyDescent="0.35">
      <c r="A5" s="21">
        <v>46022</v>
      </c>
      <c r="B5" s="22" t="str">
        <f t="shared" si="0"/>
        <v>Wednesday</v>
      </c>
      <c r="C5" s="23" t="s">
        <v>106</v>
      </c>
      <c r="D5" s="24" cm="1">
        <f t="array" aca="1" ref="D5" ca="1">IFERROR(INDIRECT(C5),"")</f>
        <v>39.200000000000003</v>
      </c>
      <c r="E5" s="25">
        <v>32</v>
      </c>
      <c r="F5" s="26">
        <v>38.299999999999997</v>
      </c>
      <c r="G5" s="27">
        <f ca="1">IFERROR((Table1[[#This Row],[Plan]]/Table1[[#This Row],[Hours Used]])/(Table1[[#This Row],[SOC (TPD)]]/24),"")</f>
        <v>0.81632653061224481</v>
      </c>
      <c r="H5" s="27">
        <f ca="1">IFERROR((Table1[[#This Row],[Volume Delivered (T)]]/Table1[[#This Row],[Hours Used]])/(Table1[[#This Row],[SOC (TPD)]]/24),"")</f>
        <v>0.97704081632653039</v>
      </c>
      <c r="I5" s="28"/>
      <c r="J5" s="28"/>
      <c r="K5" s="28"/>
      <c r="L5" s="25"/>
      <c r="M5" s="29">
        <v>3.5000000000000003E-2</v>
      </c>
      <c r="N5" s="84"/>
      <c r="O5" s="25"/>
      <c r="P5" s="25"/>
      <c r="Q5" s="70">
        <v>1</v>
      </c>
      <c r="R5" s="71">
        <v>1</v>
      </c>
      <c r="S5" s="30">
        <f>IF(Table1[[#This Row],[SKU]]="",0,24-Table1[[#This Row],[Legal Non-Operating Time]]-Table1[[#This Row],[No Demand Time]]-Table1[[#This Row],[Force Majeure]])</f>
        <v>24</v>
      </c>
      <c r="T5" s="26"/>
      <c r="U5" s="26"/>
      <c r="V5" s="26"/>
      <c r="W5" s="26"/>
      <c r="X5" s="26"/>
      <c r="Y5" s="26"/>
      <c r="Z5" s="26"/>
      <c r="AA5" s="30">
        <f>Table1[[#This Row],[Hours Used]]-SUM(Table1[[#This Row],[Planned Maintenance]:[Start and Finish Production]])</f>
        <v>24</v>
      </c>
      <c r="AB5" s="26"/>
      <c r="AC5" s="26"/>
      <c r="AD5" s="26"/>
      <c r="AE5" s="26"/>
      <c r="AF5" s="26"/>
      <c r="AG5" s="26"/>
      <c r="AH5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0.55102040816327147</v>
      </c>
      <c r="AI5" s="24">
        <f ca="1">IFERROR(IF(Table1[[#This Row],[SKU]]="",0,Table1[[#This Row],[Quality Loss (T)]]/(Table1[[#This Row],[SOC (TPD)]]/24)),"")</f>
        <v>0</v>
      </c>
      <c r="AJ5" s="31">
        <f ca="1">IFERROR(IF(Table1[[#This Row],[SKU]]="",0,Table1[[#This Row],[Volume Delivered (T)]]/(Table1[[#This Row],[SOC (TPD)]]/24)),"")</f>
        <v>23.448979591836729</v>
      </c>
      <c r="AK5" s="31">
        <f ca="1">IFERROR(Table1[[#This Row],[Operating Time]]/Table1[[#This Row],[PRODUCTION HOURS]],"")</f>
        <v>0.97704081632653039</v>
      </c>
      <c r="AL5" s="32"/>
      <c r="AM5" s="32" t="s">
        <v>105</v>
      </c>
      <c r="AN5" s="32" t="s">
        <v>105</v>
      </c>
      <c r="AO5" s="32">
        <v>0</v>
      </c>
      <c r="AP5" s="32">
        <v>0</v>
      </c>
      <c r="AQ5" s="32"/>
      <c r="AR5" s="32" t="str">
        <f>IFERROR(SUMIFS(#REF!,#REF!,'Data Sheet'!A:A,#REF!,"Samridhi Perk Line")/SUMIFS(#REF!,#REF!,'Data Sheet'!A:A,#REF!,"Samridhi Perk Line"),"")</f>
        <v/>
      </c>
      <c r="AS5" s="32"/>
      <c r="AT5" s="32">
        <v>0</v>
      </c>
      <c r="AU5" s="211" t="str">
        <f>IFERROR(VLOOKUP(Table1[[#This Row],[Date]],'Overweight Data'!A3:G1098,6,FALSE),"")</f>
        <v/>
      </c>
      <c r="AV5" s="221">
        <f ca="1">IFERROR(
   IF(
      OR(Table1[[#This Row],[Operating Time]]=0, (Table1[[#This Row],[Operating Time]]/IF(AC5&lt;=1,AC5+1,AC5))*60=0),
      1,
      ((Table1[[#This Row],[Operating Time]])/IF(AC5&lt;=1,AC5+1,AC5))*60
   ),
"_")</f>
        <v>1406.9387755102036</v>
      </c>
      <c r="AW5" s="221">
        <f>COUNTIFS('Downtime Data'!A:A,Table1[[#This Row],[Date]])</f>
        <v>0</v>
      </c>
      <c r="AX5" s="219" t="str">
        <f>IFERROR((SUM(Table1[[#This Row],[Minor Stoppages]:[Material Shortages]])/Table1[[#This Row],['# Stops]])*60,"")</f>
        <v/>
      </c>
      <c r="AY5" s="219"/>
      <c r="AZ5" s="33">
        <v>46048</v>
      </c>
    </row>
    <row r="6" spans="1:56" ht="20.149999999999999" customHeight="1" x14ac:dyDescent="0.35">
      <c r="A6" s="21">
        <v>46023</v>
      </c>
      <c r="B6" s="22" t="str">
        <f t="shared" si="0"/>
        <v>Thursday</v>
      </c>
      <c r="C6" s="23" t="s">
        <v>106</v>
      </c>
      <c r="D6" s="24" cm="1">
        <f t="array" aca="1" ref="D6" ca="1">IFERROR(INDIRECT(C6),"")</f>
        <v>39.200000000000003</v>
      </c>
      <c r="E6" s="25">
        <v>27.5</v>
      </c>
      <c r="F6" s="26">
        <v>35.5</v>
      </c>
      <c r="G6" s="27">
        <f ca="1">IFERROR((Table1[[#This Row],[Plan]]/Table1[[#This Row],[Hours Used]])/(Table1[[#This Row],[SOC (TPD)]]/24),"")</f>
        <v>0.70153061224489788</v>
      </c>
      <c r="H6" s="27">
        <f ca="1">IFERROR((Table1[[#This Row],[Volume Delivered (T)]]/Table1[[#This Row],[Hours Used]])/(Table1[[#This Row],[SOC (TPD)]]/24),"")</f>
        <v>0.90561224489795911</v>
      </c>
      <c r="I6" s="28"/>
      <c r="J6" s="28"/>
      <c r="K6" s="28"/>
      <c r="L6" s="25">
        <v>1.756</v>
      </c>
      <c r="M6" s="29">
        <v>3.5000000000000003E-2</v>
      </c>
      <c r="N6" s="84"/>
      <c r="O6" s="25"/>
      <c r="P6" s="25"/>
      <c r="Q6" s="70">
        <v>0</v>
      </c>
      <c r="R6" s="71">
        <v>0</v>
      </c>
      <c r="S6" s="30">
        <f>IF(Table1[[#This Row],[SKU]]="",0,24-Table1[[#This Row],[Legal Non-Operating Time]]-Table1[[#This Row],[No Demand Time]]-Table1[[#This Row],[Force Majeure]])</f>
        <v>24</v>
      </c>
      <c r="T6" s="26"/>
      <c r="U6" s="26"/>
      <c r="V6" s="26"/>
      <c r="W6" s="26">
        <v>1</v>
      </c>
      <c r="X6" s="26"/>
      <c r="Y6" s="26"/>
      <c r="Z6" s="26"/>
      <c r="AA6" s="30">
        <f>Table1[[#This Row],[Hours Used]]-SUM(Table1[[#This Row],[Planned Maintenance]:[Start and Finish Production]])</f>
        <v>23</v>
      </c>
      <c r="AB6" s="26"/>
      <c r="AC6" s="26"/>
      <c r="AD6" s="26"/>
      <c r="AE6" s="26"/>
      <c r="AF6" s="26"/>
      <c r="AG6" s="26"/>
      <c r="AH6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0.19020408163265756</v>
      </c>
      <c r="AI6" s="24">
        <f ca="1">IFERROR(IF(Table1[[#This Row],[SKU]]="",0,Table1[[#This Row],[Quality Loss (T)]]/(Table1[[#This Row],[SOC (TPD)]]/24)),"")</f>
        <v>1.0751020408163263</v>
      </c>
      <c r="AJ6" s="31">
        <f ca="1">IFERROR(IF(Table1[[#This Row],[SKU]]="",0,Table1[[#This Row],[Volume Delivered (T)]]/(Table1[[#This Row],[SOC (TPD)]]/24)),"")</f>
        <v>21.734693877551017</v>
      </c>
      <c r="AK6" s="31">
        <f ca="1">IFERROR(Table1[[#This Row],[Operating Time]]/Table1[[#This Row],[PRODUCTION HOURS]],"")</f>
        <v>0.94498669032830507</v>
      </c>
      <c r="AL6" s="32">
        <v>96</v>
      </c>
      <c r="AM6" s="32" t="s">
        <v>107</v>
      </c>
      <c r="AN6" s="32" t="s">
        <v>105</v>
      </c>
      <c r="AO6" s="32">
        <v>23</v>
      </c>
      <c r="AP6" s="32">
        <v>23</v>
      </c>
      <c r="AQ6" s="32"/>
      <c r="AR6" s="32" t="str">
        <f>IFERROR(SUMIFS(#REF!,#REF!,'Data Sheet'!A:A,#REF!,"Samridhi Perk Line")/SUMIFS(#REF!,#REF!,'Data Sheet'!A:A,#REF!,"Samridhi Perk Line"),"")</f>
        <v/>
      </c>
      <c r="AS6" s="32">
        <v>13</v>
      </c>
      <c r="AT6" s="32">
        <v>0</v>
      </c>
      <c r="AU6" s="211" t="str">
        <f>IFERROR(VLOOKUP(Table1[[#This Row],[Date]],'Overweight Data'!A4:G1099,6,FALSE),"")</f>
        <v/>
      </c>
      <c r="AV6" s="221">
        <f ca="1">IFERROR(
   IF(
      OR(Table1[[#This Row],[Operating Time]]=0, (Table1[[#This Row],[Operating Time]]/IF(AC6&lt;=1,AC6+1,AC6))*60=0),
      1,
      ((Table1[[#This Row],[Operating Time]])/IF(AC6&lt;=1,AC6+1,AC6))*60
   ),
"_")</f>
        <v>1304.081632653061</v>
      </c>
      <c r="AW6" s="221">
        <f>COUNTIFS('Downtime Data'!A:A,Table1[[#This Row],[Date]])</f>
        <v>1</v>
      </c>
      <c r="AX6" s="219">
        <f>IFERROR((SUM(Table1[[#This Row],[Minor Stoppages]:[Material Shortages]])/Table1[[#This Row],['# Stops]])*60,"")</f>
        <v>0</v>
      </c>
      <c r="AY6" s="219"/>
      <c r="AZ6" s="33">
        <v>46048</v>
      </c>
    </row>
    <row r="7" spans="1:56" ht="20.149999999999999" customHeight="1" x14ac:dyDescent="0.35">
      <c r="A7" s="21">
        <v>46024</v>
      </c>
      <c r="B7" s="22" t="str">
        <f t="shared" si="0"/>
        <v>Friday</v>
      </c>
      <c r="C7" s="23" t="s">
        <v>106</v>
      </c>
      <c r="D7" s="24" cm="1">
        <f t="array" aca="1" ref="D7" ca="1">IFERROR(INDIRECT(C7),"")</f>
        <v>39.200000000000003</v>
      </c>
      <c r="E7" s="25">
        <v>33.5</v>
      </c>
      <c r="F7" s="26">
        <v>35.1</v>
      </c>
      <c r="G7" s="27">
        <f ca="1">IFERROR((Table1[[#This Row],[Plan]]/Table1[[#This Row],[Hours Used]])/(Table1[[#This Row],[SOC (TPD)]]/24),"")</f>
        <v>0.85459183673469374</v>
      </c>
      <c r="H7" s="27">
        <f ca="1">IFERROR((Table1[[#This Row],[Volume Delivered (T)]]/Table1[[#This Row],[Hours Used]])/(Table1[[#This Row],[SOC (TPD)]]/24),"")</f>
        <v>0.89540816326530615</v>
      </c>
      <c r="I7" s="28"/>
      <c r="J7" s="28"/>
      <c r="K7" s="28"/>
      <c r="L7" s="25">
        <v>1.3859999999999999</v>
      </c>
      <c r="M7" s="29">
        <v>3.5000000000000003E-2</v>
      </c>
      <c r="N7" s="84"/>
      <c r="O7" s="25"/>
      <c r="P7" s="25"/>
      <c r="Q7" s="70">
        <v>1</v>
      </c>
      <c r="R7" s="71">
        <v>1</v>
      </c>
      <c r="S7" s="30">
        <f>IF(Table1[[#This Row],[SKU]]="",0,24-Table1[[#This Row],[Legal Non-Operating Time]]-Table1[[#This Row],[No Demand Time]]-Table1[[#This Row],[Force Majeure]])</f>
        <v>24</v>
      </c>
      <c r="T7" s="26"/>
      <c r="U7" s="26">
        <v>1</v>
      </c>
      <c r="V7" s="26"/>
      <c r="W7" s="26"/>
      <c r="X7" s="26"/>
      <c r="Y7" s="26"/>
      <c r="Z7" s="26"/>
      <c r="AA7" s="30">
        <f>Table1[[#This Row],[Hours Used]]-SUM(Table1[[#This Row],[Planned Maintenance]:[Start and Finish Production]])</f>
        <v>23</v>
      </c>
      <c r="AB7" s="26">
        <v>0.18333333333333332</v>
      </c>
      <c r="AC7" s="26"/>
      <c r="AD7" s="26">
        <v>0.25</v>
      </c>
      <c r="AE7" s="26"/>
      <c r="AF7" s="26"/>
      <c r="AG7" s="26"/>
      <c r="AH7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0.22829931972789197</v>
      </c>
      <c r="AI7" s="24">
        <f ca="1">IFERROR(IF(Table1[[#This Row],[SKU]]="",0,Table1[[#This Row],[Quality Loss (T)]]/(Table1[[#This Row],[SOC (TPD)]]/24)),"")</f>
        <v>0.84857142857142842</v>
      </c>
      <c r="AJ7" s="31">
        <f ca="1">IFERROR(IF(Table1[[#This Row],[SKU]]="",0,Table1[[#This Row],[Volume Delivered (T)]]/(Table1[[#This Row],[SOC (TPD)]]/24)),"")</f>
        <v>21.489795918367346</v>
      </c>
      <c r="AK7" s="31">
        <f ca="1">IFERROR(Table1[[#This Row],[Operating Time]]/Table1[[#This Row],[PRODUCTION HOURS]],"")</f>
        <v>0.93433895297249325</v>
      </c>
      <c r="AL7" s="32">
        <v>89</v>
      </c>
      <c r="AM7" s="32" t="s">
        <v>107</v>
      </c>
      <c r="AN7" s="32" t="s">
        <v>105</v>
      </c>
      <c r="AO7" s="32">
        <v>26</v>
      </c>
      <c r="AP7" s="32">
        <v>26</v>
      </c>
      <c r="AQ7" s="32">
        <v>1</v>
      </c>
      <c r="AR7" s="32" t="str">
        <f>IFERROR(SUMIFS(#REF!,#REF!,'Data Sheet'!A:A,#REF!,"Samridhi Perk Line")/SUMIFS(#REF!,#REF!,'Data Sheet'!A:A,#REF!,"Samridhi Perk Line"),"")</f>
        <v/>
      </c>
      <c r="AS7" s="32">
        <v>4</v>
      </c>
      <c r="AT7" s="32">
        <v>0</v>
      </c>
      <c r="AU7" s="211">
        <f>IFERROR(VLOOKUP(Table1[[#This Row],[Date]],'Overweight Data'!A5:G1100,6,FALSE),"")</f>
        <v>2.8879210220673648E-2</v>
      </c>
      <c r="AV7" s="221">
        <f ca="1">IFERROR(
   IF(
      OR(Table1[[#This Row],[Operating Time]]=0, (Table1[[#This Row],[Operating Time]]/IF(AC7&lt;=1,AC7+1,AC7))*60=0),
      1,
      ((Table1[[#This Row],[Operating Time]])/IF(AC7&lt;=1,AC7+1,AC7))*60
   ),
"_")</f>
        <v>1289.3877551020407</v>
      </c>
      <c r="AW7" s="221">
        <f>COUNTIFS('Downtime Data'!A:A,Table1[[#This Row],[Date]])</f>
        <v>2</v>
      </c>
      <c r="AX7" s="219">
        <f>IFERROR((SUM(Table1[[#This Row],[Minor Stoppages]:[Material Shortages]])/Table1[[#This Row],['# Stops]])*60,"")</f>
        <v>13</v>
      </c>
      <c r="AY7" s="219"/>
      <c r="AZ7" s="33">
        <v>46048</v>
      </c>
    </row>
    <row r="8" spans="1:56" ht="20.149999999999999" customHeight="1" x14ac:dyDescent="0.35">
      <c r="A8" s="21">
        <v>46025</v>
      </c>
      <c r="B8" s="22" t="str">
        <f t="shared" si="0"/>
        <v>Saturday</v>
      </c>
      <c r="C8" s="23" t="s">
        <v>106</v>
      </c>
      <c r="D8" s="24" cm="1">
        <f t="array" aca="1" ref="D8" ca="1">IFERROR(INDIRECT(C8),"")</f>
        <v>39.200000000000003</v>
      </c>
      <c r="E8" s="25">
        <v>33.5</v>
      </c>
      <c r="F8" s="26">
        <v>35.1</v>
      </c>
      <c r="G8" s="27">
        <f ca="1">IFERROR((Table1[[#This Row],[Plan]]/Table1[[#This Row],[Hours Used]])/(Table1[[#This Row],[SOC (TPD)]]/24),"")</f>
        <v>0.85459183673469374</v>
      </c>
      <c r="H8" s="27">
        <f ca="1">IFERROR((Table1[[#This Row],[Volume Delivered (T)]]/Table1[[#This Row],[Hours Used]])/(Table1[[#This Row],[SOC (TPD)]]/24),"")</f>
        <v>0.89540816326530615</v>
      </c>
      <c r="I8" s="28"/>
      <c r="J8" s="28"/>
      <c r="K8" s="28"/>
      <c r="L8" s="25">
        <v>2.0379999999999998</v>
      </c>
      <c r="M8" s="29">
        <v>3.5000000000000003E-2</v>
      </c>
      <c r="N8" s="84"/>
      <c r="O8" s="25"/>
      <c r="P8" s="25"/>
      <c r="Q8" s="70">
        <v>0</v>
      </c>
      <c r="R8" s="71">
        <v>0</v>
      </c>
      <c r="S8" s="30">
        <f>IF(Table1[[#This Row],[SKU]]="",0,24-Table1[[#This Row],[Legal Non-Operating Time]]-Table1[[#This Row],[No Demand Time]]-Table1[[#This Row],[Force Majeure]])</f>
        <v>24</v>
      </c>
      <c r="T8" s="26"/>
      <c r="U8" s="26"/>
      <c r="V8" s="26"/>
      <c r="W8" s="26"/>
      <c r="X8" s="26"/>
      <c r="Y8" s="26"/>
      <c r="Z8" s="26"/>
      <c r="AA8" s="30">
        <f>Table1[[#This Row],[Hours Used]]-SUM(Table1[[#This Row],[Planned Maintenance]:[Start and Finish Production]])</f>
        <v>24</v>
      </c>
      <c r="AB8" s="26">
        <v>0.3</v>
      </c>
      <c r="AC8" s="26">
        <v>0.29166666666666669</v>
      </c>
      <c r="AD8" s="26">
        <v>0.25</v>
      </c>
      <c r="AE8" s="26"/>
      <c r="AF8" s="26"/>
      <c r="AG8" s="26"/>
      <c r="AH8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0.42078231292517287</v>
      </c>
      <c r="AI8" s="24">
        <f ca="1">IFERROR(IF(Table1[[#This Row],[SKU]]="",0,Table1[[#This Row],[Quality Loss (T)]]/(Table1[[#This Row],[SOC (TPD)]]/24)),"")</f>
        <v>1.247755102040816</v>
      </c>
      <c r="AJ8" s="31">
        <f ca="1">IFERROR(IF(Table1[[#This Row],[SKU]]="",0,Table1[[#This Row],[Volume Delivered (T)]]/(Table1[[#This Row],[SOC (TPD)]]/24)),"")</f>
        <v>21.489795918367346</v>
      </c>
      <c r="AK8" s="31">
        <f ca="1">IFERROR(Table1[[#This Row],[Operating Time]]/Table1[[#This Row],[PRODUCTION HOURS]],"")</f>
        <v>0.89540816326530603</v>
      </c>
      <c r="AL8" s="32">
        <v>103</v>
      </c>
      <c r="AM8" s="32" t="s">
        <v>105</v>
      </c>
      <c r="AN8" s="32" t="s">
        <v>105</v>
      </c>
      <c r="AO8" s="32">
        <v>0</v>
      </c>
      <c r="AP8" s="32">
        <v>0</v>
      </c>
      <c r="AQ8" s="32"/>
      <c r="AR8" s="32" t="str">
        <f>IFERROR(SUMIFS(#REF!,#REF!,'Data Sheet'!A:A,#REF!,"Samridhi Perk Line")/SUMIFS(#REF!,#REF!,'Data Sheet'!A:A,#REF!,"Samridhi Perk Line"),"")</f>
        <v/>
      </c>
      <c r="AS8" s="32">
        <v>2</v>
      </c>
      <c r="AT8" s="32">
        <v>0</v>
      </c>
      <c r="AU8" s="211">
        <f>IFERROR(VLOOKUP(Table1[[#This Row],[Date]],'Overweight Data'!A6:G1101,6,FALSE),"")</f>
        <v>3.6184668989547066E-2</v>
      </c>
      <c r="AV8" s="221">
        <f ca="1">IFERROR(
   IF(
      OR(Table1[[#This Row],[Operating Time]]=0, (Table1[[#This Row],[Operating Time]]/IF(AC8&lt;=1,AC8+1,AC8))*60=0),
      1,
      ((Table1[[#This Row],[Operating Time]])/IF(AC8&lt;=1,AC8+1,AC8))*60
   ),
"_")</f>
        <v>998.23568136932181</v>
      </c>
      <c r="AW8" s="221">
        <f>COUNTIFS('Downtime Data'!A:A,Table1[[#This Row],[Date]])</f>
        <v>3</v>
      </c>
      <c r="AX8" s="219">
        <f>IFERROR((SUM(Table1[[#This Row],[Minor Stoppages]:[Material Shortages]])/Table1[[#This Row],['# Stops]])*60,"")</f>
        <v>16.833333333333332</v>
      </c>
      <c r="AY8" s="219"/>
      <c r="AZ8" s="33">
        <v>46048</v>
      </c>
    </row>
    <row r="9" spans="1:56" ht="20.149999999999999" customHeight="1" x14ac:dyDescent="0.35">
      <c r="A9" s="21">
        <v>46026</v>
      </c>
      <c r="B9" s="22" t="str">
        <f t="shared" si="0"/>
        <v>Sunday</v>
      </c>
      <c r="C9" s="23" t="s">
        <v>106</v>
      </c>
      <c r="D9" s="24" cm="1">
        <f t="array" aca="1" ref="D9" ca="1">IFERROR(INDIRECT(C9),"")</f>
        <v>39.200000000000003</v>
      </c>
      <c r="E9" s="25">
        <v>33.5</v>
      </c>
      <c r="F9" s="26">
        <v>38.1</v>
      </c>
      <c r="G9" s="27">
        <f ca="1">IFERROR((Table1[[#This Row],[Plan]]/Table1[[#This Row],[Hours Used]])/(Table1[[#This Row],[SOC (TPD)]]/24),"")</f>
        <v>0.85459183673469374</v>
      </c>
      <c r="H9" s="27">
        <f ca="1">IFERROR((Table1[[#This Row],[Volume Delivered (T)]]/Table1[[#This Row],[Hours Used]])/(Table1[[#This Row],[SOC (TPD)]]/24),"")</f>
        <v>0.97193877551020402</v>
      </c>
      <c r="I9" s="28"/>
      <c r="J9" s="28"/>
      <c r="K9" s="28"/>
      <c r="L9" s="25">
        <v>0.5</v>
      </c>
      <c r="M9" s="29">
        <v>3.5000000000000003E-2</v>
      </c>
      <c r="N9" s="84"/>
      <c r="O9" s="25"/>
      <c r="P9" s="25"/>
      <c r="Q9" s="70">
        <v>0</v>
      </c>
      <c r="R9" s="71">
        <v>0</v>
      </c>
      <c r="S9" s="30">
        <f>IF(Table1[[#This Row],[SKU]]="",0,24-Table1[[#This Row],[Legal Non-Operating Time]]-Table1[[#This Row],[No Demand Time]]-Table1[[#This Row],[Force Majeure]])</f>
        <v>24</v>
      </c>
      <c r="T9" s="26"/>
      <c r="U9" s="26"/>
      <c r="V9" s="26"/>
      <c r="W9" s="26"/>
      <c r="X9" s="26"/>
      <c r="Y9" s="26"/>
      <c r="Z9" s="26"/>
      <c r="AA9" s="30">
        <f>Table1[[#This Row],[Hours Used]]-SUM(Table1[[#This Row],[Planned Maintenance]:[Start and Finish Production]])</f>
        <v>24</v>
      </c>
      <c r="AB9" s="26"/>
      <c r="AC9" s="26"/>
      <c r="AD9" s="26"/>
      <c r="AE9" s="26"/>
      <c r="AF9" s="26"/>
      <c r="AG9" s="26"/>
      <c r="AH9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0.36734693877551194</v>
      </c>
      <c r="AI9" s="24">
        <f ca="1">IFERROR(IF(Table1[[#This Row],[SKU]]="",0,Table1[[#This Row],[Quality Loss (T)]]/(Table1[[#This Row],[SOC (TPD)]]/24)),"")</f>
        <v>0.30612244897959179</v>
      </c>
      <c r="AJ9" s="31">
        <f ca="1">IFERROR(IF(Table1[[#This Row],[SKU]]="",0,Table1[[#This Row],[Volume Delivered (T)]]/(Table1[[#This Row],[SOC (TPD)]]/24)),"")</f>
        <v>23.326530612244895</v>
      </c>
      <c r="AK9" s="31">
        <f ca="1">IFERROR(Table1[[#This Row],[Operating Time]]/Table1[[#This Row],[PRODUCTION HOURS]],"")</f>
        <v>0.97193877551020391</v>
      </c>
      <c r="AL9" s="32">
        <v>110</v>
      </c>
      <c r="AM9" s="32" t="s">
        <v>107</v>
      </c>
      <c r="AN9" s="32" t="s">
        <v>107</v>
      </c>
      <c r="AO9" s="32">
        <v>0</v>
      </c>
      <c r="AP9" s="32">
        <v>0</v>
      </c>
      <c r="AQ9" s="32"/>
      <c r="AR9" s="32" t="str">
        <f>IFERROR(SUMIFS(#REF!,#REF!,'Data Sheet'!A:A,#REF!,"Samridhi Perk Line")/SUMIFS(#REF!,#REF!,'Data Sheet'!A:A,#REF!,"Samridhi Perk Line"),"")</f>
        <v/>
      </c>
      <c r="AS9" s="32">
        <v>10</v>
      </c>
      <c r="AT9" s="32">
        <v>0</v>
      </c>
      <c r="AU9" s="211">
        <f>IFERROR(VLOOKUP(Table1[[#This Row],[Date]],'Overweight Data'!A7:G1102,6,FALSE),"")</f>
        <v>2.7462253193960489E-2</v>
      </c>
      <c r="AV9" s="221">
        <f ca="1">IFERROR(
   IF(
      OR(Table1[[#This Row],[Operating Time]]=0, (Table1[[#This Row],[Operating Time]]/IF(AC9&lt;=1,AC9+1,AC9))*60=0),
      1,
      ((Table1[[#This Row],[Operating Time]])/IF(AC9&lt;=1,AC9+1,AC9))*60
   ),
"_")</f>
        <v>1399.5918367346937</v>
      </c>
      <c r="AW9" s="221">
        <f>COUNTIFS('Downtime Data'!A:A,Table1[[#This Row],[Date]])</f>
        <v>0</v>
      </c>
      <c r="AX9" s="219" t="str">
        <f>IFERROR((SUM(Table1[[#This Row],[Minor Stoppages]:[Material Shortages]])/Table1[[#This Row],['# Stops]])*60,"")</f>
        <v/>
      </c>
      <c r="AY9" s="219"/>
      <c r="AZ9" s="33">
        <v>46048</v>
      </c>
    </row>
    <row r="10" spans="1:56" ht="20.149999999999999" customHeight="1" x14ac:dyDescent="0.35">
      <c r="A10" s="21">
        <v>46027</v>
      </c>
      <c r="B10" s="22" t="str">
        <f>IF(A10="","",TEXT(A10,"dddddd"))</f>
        <v>Monday</v>
      </c>
      <c r="C10" s="23" t="s">
        <v>108</v>
      </c>
      <c r="D10" s="24" cm="1">
        <f t="array" aca="1" ref="D10" ca="1">IFERROR(INDIRECT(C10),"")</f>
        <v>34.200000000000003</v>
      </c>
      <c r="E10" s="25">
        <v>29.5</v>
      </c>
      <c r="F10" s="26">
        <v>29.740486999999998</v>
      </c>
      <c r="G10" s="27">
        <f ca="1">IFERROR((Table1[[#This Row],[Plan]]/Table1[[#This Row],[Hours Used]])/(Table1[[#This Row],[SOC (TPD)]]/24),"")</f>
        <v>0.86257309941520466</v>
      </c>
      <c r="H10" s="27">
        <f ca="1">IFERROR((Table1[[#This Row],[Volume Delivered (T)]]/Table1[[#This Row],[Hours Used]])/(Table1[[#This Row],[SOC (TPD)]]/24),"")</f>
        <v>0.86960488304093564</v>
      </c>
      <c r="I10" s="28"/>
      <c r="J10" s="28"/>
      <c r="K10" s="28"/>
      <c r="L10" s="25">
        <v>1.367</v>
      </c>
      <c r="M10" s="29">
        <v>6.5000000000000002E-2</v>
      </c>
      <c r="N10" s="84"/>
      <c r="O10" s="25"/>
      <c r="P10" s="25"/>
      <c r="Q10" s="70">
        <v>0</v>
      </c>
      <c r="R10" s="71">
        <v>0</v>
      </c>
      <c r="S10" s="30">
        <f>IF(Table1[[#This Row],[SKU]]="",0,24-Table1[[#This Row],[Legal Non-Operating Time]]-Table1[[#This Row],[No Demand Time]]-Table1[[#This Row],[Force Majeure]])</f>
        <v>24</v>
      </c>
      <c r="T10" s="26"/>
      <c r="U10" s="26"/>
      <c r="V10" s="26"/>
      <c r="W10" s="26">
        <v>2</v>
      </c>
      <c r="X10" s="26"/>
      <c r="Y10" s="26"/>
      <c r="Z10" s="26"/>
      <c r="AA10" s="30">
        <f>Table1[[#This Row],[Hours Used]]-SUM(Table1[[#This Row],[Planned Maintenance]:[Start and Finish Production]])</f>
        <v>22</v>
      </c>
      <c r="AB10" s="26"/>
      <c r="AC10" s="26"/>
      <c r="AD10" s="26">
        <v>0.2</v>
      </c>
      <c r="AE10" s="26"/>
      <c r="AF10" s="26"/>
      <c r="AG10" s="26"/>
      <c r="AH10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-2.981543859648994E-2</v>
      </c>
      <c r="AI10" s="24">
        <f ca="1">IFERROR(IF(Table1[[#This Row],[SKU]]="",0,Table1[[#This Row],[Quality Loss (T)]]/(Table1[[#This Row],[SOC (TPD)]]/24)),"")</f>
        <v>0.95929824561403509</v>
      </c>
      <c r="AJ10" s="31">
        <f ca="1">IFERROR(IF(Table1[[#This Row],[SKU]]="",0,Table1[[#This Row],[Volume Delivered (T)]]/(Table1[[#This Row],[SOC (TPD)]]/24)),"")</f>
        <v>20.870517192982454</v>
      </c>
      <c r="AK10" s="31">
        <f ca="1">IFERROR(Table1[[#This Row],[Operating Time]]/Table1[[#This Row],[PRODUCTION HOURS]],"")</f>
        <v>0.94865987240829341</v>
      </c>
      <c r="AL10" s="32">
        <v>107</v>
      </c>
      <c r="AM10" s="32" t="s">
        <v>107</v>
      </c>
      <c r="AN10" s="32" t="s">
        <v>107</v>
      </c>
      <c r="AO10" s="32">
        <v>0</v>
      </c>
      <c r="AP10" s="32">
        <v>0</v>
      </c>
      <c r="AQ10" s="32"/>
      <c r="AR10" s="32" t="str">
        <f>IFERROR(SUMIFS(#REF!,#REF!,'Data Sheet'!A:A,#REF!,"Samridhi Perk Line")/SUMIFS(#REF!,#REF!,'Data Sheet'!A:A,#REF!,"Samridhi Perk Line"),"")</f>
        <v/>
      </c>
      <c r="AS10" s="32">
        <v>20</v>
      </c>
      <c r="AT10" s="32">
        <v>0</v>
      </c>
      <c r="AU10" s="211">
        <f>IFERROR(VLOOKUP(Table1[[#This Row],[Date]],'Overweight Data'!A8:G1103,6,FALSE),"")</f>
        <v>2.2648083623693315E-2</v>
      </c>
      <c r="AV10" s="221">
        <f ca="1">IFERROR(
   IF(
      OR(Table1[[#This Row],[Operating Time]]=0, (Table1[[#This Row],[Operating Time]]/IF(AC10&lt;=1,AC10+1,AC10))*60=0),
      1,
      ((Table1[[#This Row],[Operating Time]])/IF(AC10&lt;=1,AC10+1,AC10))*60
   ),
"_")</f>
        <v>1252.2310315789473</v>
      </c>
      <c r="AW10" s="221">
        <f>COUNTIFS('Downtime Data'!A:A,Table1[[#This Row],[Date]])</f>
        <v>2</v>
      </c>
      <c r="AX10" s="219">
        <f>IFERROR((SUM(Table1[[#This Row],[Minor Stoppages]:[Material Shortages]])/Table1[[#This Row],['# Stops]])*60,"")</f>
        <v>6</v>
      </c>
      <c r="AY10" s="219"/>
      <c r="AZ10" s="33">
        <v>46048</v>
      </c>
    </row>
    <row r="11" spans="1:56" ht="20.149999999999999" customHeight="1" x14ac:dyDescent="0.35">
      <c r="A11" s="21">
        <v>46028</v>
      </c>
      <c r="B11" s="22" t="str">
        <f t="shared" ref="B11:B74" si="1">IF(A11="","",TEXT(A11,"dddddd"))</f>
        <v>Tuesday</v>
      </c>
      <c r="C11" s="23" t="s">
        <v>108</v>
      </c>
      <c r="D11" s="24" cm="1">
        <f t="array" aca="1" ref="D11" ca="1">IFERROR(INDIRECT(C11),"")</f>
        <v>34.200000000000003</v>
      </c>
      <c r="E11" s="25">
        <v>30</v>
      </c>
      <c r="F11" s="26">
        <v>29.884616000000001</v>
      </c>
      <c r="G11" s="27">
        <f ca="1">IFERROR((Table1[[#This Row],[Plan]]/Table1[[#This Row],[Hours Used]])/(Table1[[#This Row],[SOC (TPD)]]/24),"")</f>
        <v>0.8771929824561403</v>
      </c>
      <c r="H11" s="27">
        <f ca="1">IFERROR((Table1[[#This Row],[Volume Delivered (T)]]/Table1[[#This Row],[Hours Used]])/(Table1[[#This Row],[SOC (TPD)]]/24),"")</f>
        <v>0.87381918128654978</v>
      </c>
      <c r="I11" s="28"/>
      <c r="J11" s="28"/>
      <c r="K11" s="28"/>
      <c r="L11" s="25"/>
      <c r="M11" s="29">
        <v>6.2E-2</v>
      </c>
      <c r="N11" s="84"/>
      <c r="O11" s="25"/>
      <c r="P11" s="25"/>
      <c r="Q11" s="70">
        <v>15</v>
      </c>
      <c r="R11" s="71">
        <v>15</v>
      </c>
      <c r="S11" s="30">
        <f>IF(Table1[[#This Row],[SKU]]="",0,24-Table1[[#This Row],[Legal Non-Operating Time]]-Table1[[#This Row],[No Demand Time]]-Table1[[#This Row],[Force Majeure]])</f>
        <v>24</v>
      </c>
      <c r="T11" s="26">
        <v>1.8</v>
      </c>
      <c r="U11" s="26"/>
      <c r="V11" s="26"/>
      <c r="W11" s="26">
        <v>1.5</v>
      </c>
      <c r="X11" s="26"/>
      <c r="Y11" s="26"/>
      <c r="Z11" s="26"/>
      <c r="AA11" s="30">
        <f>Table1[[#This Row],[Hours Used]]-SUM(Table1[[#This Row],[Planned Maintenance]:[Start and Finish Production]])</f>
        <v>20.7</v>
      </c>
      <c r="AB11" s="26"/>
      <c r="AC11" s="26"/>
      <c r="AD11" s="26"/>
      <c r="AE11" s="26"/>
      <c r="AF11" s="26"/>
      <c r="AG11" s="26"/>
      <c r="AH11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-0.27166035087719465</v>
      </c>
      <c r="AI11" s="24">
        <f ca="1">IFERROR(IF(Table1[[#This Row],[SKU]]="",0,Table1[[#This Row],[Quality Loss (T)]]/(Table1[[#This Row],[SOC (TPD)]]/24)),"")</f>
        <v>0</v>
      </c>
      <c r="AJ11" s="31">
        <f ca="1">IFERROR(IF(Table1[[#This Row],[SKU]]="",0,Table1[[#This Row],[Volume Delivered (T)]]/(Table1[[#This Row],[SOC (TPD)]]/24)),"")</f>
        <v>20.971660350877194</v>
      </c>
      <c r="AK11" s="31">
        <f ca="1">IFERROR(Table1[[#This Row],[Operating Time]]/Table1[[#This Row],[PRODUCTION HOURS]],"")</f>
        <v>1.0131236884481736</v>
      </c>
      <c r="AL11" s="32">
        <v>130</v>
      </c>
      <c r="AM11" s="32" t="s">
        <v>107</v>
      </c>
      <c r="AN11" s="32" t="s">
        <v>107</v>
      </c>
      <c r="AO11" s="32">
        <v>60</v>
      </c>
      <c r="AP11" s="32">
        <v>60</v>
      </c>
      <c r="AQ11" s="32">
        <v>13</v>
      </c>
      <c r="AR11" s="32" t="str">
        <f>IFERROR(SUMIFS(#REF!,#REF!,'Data Sheet'!A:A,#REF!,"Samridhi Perk Line")/SUMIFS(#REF!,#REF!,'Data Sheet'!A:A,#REF!,"Samridhi Perk Line"),"")</f>
        <v/>
      </c>
      <c r="AS11" s="32">
        <v>47</v>
      </c>
      <c r="AT11" s="32">
        <v>0</v>
      </c>
      <c r="AU11" s="211">
        <f>IFERROR(VLOOKUP(Table1[[#This Row],[Date]],'Overweight Data'!A9:G1104,6,FALSE),"")</f>
        <v>1.8388357364236579E-2</v>
      </c>
      <c r="AV11" s="221">
        <f ca="1">IFERROR(
   IF(
      OR(Table1[[#This Row],[Operating Time]]=0, (Table1[[#This Row],[Operating Time]]/IF(AC11&lt;=1,AC11+1,AC11))*60=0),
      1,
      ((Table1[[#This Row],[Operating Time]])/IF(AC11&lt;=1,AC11+1,AC11))*60
   ),
"_")</f>
        <v>1258.2996210526317</v>
      </c>
      <c r="AW11" s="221">
        <f>COUNTIFS('Downtime Data'!A:A,Table1[[#This Row],[Date]])</f>
        <v>1</v>
      </c>
      <c r="AX11" s="219">
        <f>IFERROR((SUM(Table1[[#This Row],[Minor Stoppages]:[Material Shortages]])/Table1[[#This Row],['# Stops]])*60,"")</f>
        <v>0</v>
      </c>
      <c r="AY11" s="219"/>
      <c r="AZ11" s="33">
        <v>46048</v>
      </c>
    </row>
    <row r="12" spans="1:56" ht="20.149999999999999" customHeight="1" x14ac:dyDescent="0.35">
      <c r="A12" s="21">
        <v>46029</v>
      </c>
      <c r="B12" s="22" t="str">
        <f t="shared" si="1"/>
        <v>Wednesday</v>
      </c>
      <c r="C12" s="23" t="s">
        <v>108</v>
      </c>
      <c r="D12" s="24" cm="1">
        <f t="array" aca="1" ref="D12" ca="1">IFERROR(INDIRECT(C12),"")</f>
        <v>34.200000000000003</v>
      </c>
      <c r="E12" s="25">
        <v>30</v>
      </c>
      <c r="F12" s="26">
        <v>28.848798000000002</v>
      </c>
      <c r="G12" s="27">
        <f ca="1">IFERROR((Table1[[#This Row],[Plan]]/Table1[[#This Row],[Hours Used]])/(Table1[[#This Row],[SOC (TPD)]]/24),"")</f>
        <v>0.8771929824561403</v>
      </c>
      <c r="H12" s="27">
        <f ca="1">IFERROR((Table1[[#This Row],[Volume Delivered (T)]]/Table1[[#This Row],[Hours Used]])/(Table1[[#This Row],[SOC (TPD)]]/24),"")</f>
        <v>0.84353210526315803</v>
      </c>
      <c r="I12" s="28"/>
      <c r="J12" s="28"/>
      <c r="K12" s="28"/>
      <c r="L12" s="25">
        <v>1.609</v>
      </c>
      <c r="M12" s="29">
        <v>5.5E-2</v>
      </c>
      <c r="N12" s="84"/>
      <c r="O12" s="25"/>
      <c r="P12" s="25"/>
      <c r="Q12" s="70">
        <v>15</v>
      </c>
      <c r="R12" s="71">
        <v>15</v>
      </c>
      <c r="S12" s="30">
        <f>IF(Table1[[#This Row],[SKU]]="",0,24-Table1[[#This Row],[Legal Non-Operating Time]]-Table1[[#This Row],[No Demand Time]]-Table1[[#This Row],[Force Majeure]])</f>
        <v>24</v>
      </c>
      <c r="T12" s="26">
        <v>1</v>
      </c>
      <c r="U12" s="26"/>
      <c r="V12" s="26"/>
      <c r="W12" s="26"/>
      <c r="X12" s="26"/>
      <c r="Y12" s="26"/>
      <c r="Z12" s="26"/>
      <c r="AA12" s="30">
        <f>Table1[[#This Row],[Hours Used]]-SUM(Table1[[#This Row],[Planned Maintenance]:[Start and Finish Production]])</f>
        <v>23</v>
      </c>
      <c r="AB12" s="26"/>
      <c r="AC12" s="26"/>
      <c r="AD12" s="26">
        <v>1.5</v>
      </c>
      <c r="AE12" s="26"/>
      <c r="AF12" s="26"/>
      <c r="AG12" s="26"/>
      <c r="AH12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0.12610666666666503</v>
      </c>
      <c r="AI12" s="24">
        <f ca="1">IFERROR(IF(Table1[[#This Row],[SKU]]="",0,Table1[[#This Row],[Quality Loss (T)]]/(Table1[[#This Row],[SOC (TPD)]]/24)),"")</f>
        <v>1.1291228070175439</v>
      </c>
      <c r="AJ12" s="31">
        <f ca="1">IFERROR(IF(Table1[[#This Row],[SKU]]="",0,Table1[[#This Row],[Volume Delivered (T)]]/(Table1[[#This Row],[SOC (TPD)]]/24)),"")</f>
        <v>20.24477052631579</v>
      </c>
      <c r="AK12" s="31">
        <f ca="1">IFERROR(Table1[[#This Row],[Operating Time]]/Table1[[#This Row],[PRODUCTION HOURS]],"")</f>
        <v>0.88020741418764303</v>
      </c>
      <c r="AL12" s="32">
        <v>120</v>
      </c>
      <c r="AM12" s="32" t="s">
        <v>107</v>
      </c>
      <c r="AN12" s="32" t="s">
        <v>107</v>
      </c>
      <c r="AO12" s="32">
        <v>0</v>
      </c>
      <c r="AP12" s="32">
        <v>0</v>
      </c>
      <c r="AQ12" s="32">
        <v>13</v>
      </c>
      <c r="AR12" s="32" t="str">
        <f>IFERROR(SUMIFS(#REF!,#REF!,'Data Sheet'!A:A,#REF!,"Samridhi Perk Line")/SUMIFS(#REF!,#REF!,'Data Sheet'!A:A,#REF!,"Samridhi Perk Line"),"")</f>
        <v/>
      </c>
      <c r="AS12" s="32">
        <v>15</v>
      </c>
      <c r="AT12" s="32">
        <v>0</v>
      </c>
      <c r="AU12" s="211">
        <f>IFERROR(VLOOKUP(Table1[[#This Row],[Date]],'Overweight Data'!A10:G1105,6,FALSE),"")</f>
        <v>1.7863720073664803E-2</v>
      </c>
      <c r="AV12" s="221">
        <f ca="1">IFERROR(
   IF(
      OR(Table1[[#This Row],[Operating Time]]=0, (Table1[[#This Row],[Operating Time]]/IF(AC12&lt;=1,AC12+1,AC12))*60=0),
      1,
      ((Table1[[#This Row],[Operating Time]])/IF(AC12&lt;=1,AC12+1,AC12))*60
   ),
"_")</f>
        <v>1214.6862315789474</v>
      </c>
      <c r="AW12" s="221">
        <f>COUNTIFS('Downtime Data'!A:A,Table1[[#This Row],[Date]])</f>
        <v>1</v>
      </c>
      <c r="AX12" s="219">
        <f>IFERROR((SUM(Table1[[#This Row],[Minor Stoppages]:[Material Shortages]])/Table1[[#This Row],['# Stops]])*60,"")</f>
        <v>90</v>
      </c>
      <c r="AY12" s="219"/>
      <c r="AZ12" s="33">
        <v>46048</v>
      </c>
    </row>
    <row r="13" spans="1:56" ht="20.149999999999999" customHeight="1" x14ac:dyDescent="0.35">
      <c r="A13" s="21">
        <v>46030</v>
      </c>
      <c r="B13" s="22" t="str">
        <f t="shared" si="1"/>
        <v>Thursday</v>
      </c>
      <c r="C13" s="23" t="s">
        <v>108</v>
      </c>
      <c r="D13" s="24" cm="1">
        <f t="array" aca="1" ref="D13" ca="1">IFERROR(INDIRECT(C13),"")</f>
        <v>34.200000000000003</v>
      </c>
      <c r="E13" s="25">
        <v>30</v>
      </c>
      <c r="F13" s="26">
        <v>32.847983999999997</v>
      </c>
      <c r="G13" s="27">
        <f ca="1">IFERROR((Table1[[#This Row],[Plan]]/Table1[[#This Row],[Hours Used]])/(Table1[[#This Row],[SOC (TPD)]]/24),"")</f>
        <v>0.8771929824561403</v>
      </c>
      <c r="H13" s="27">
        <f ca="1">IFERROR((Table1[[#This Row],[Volume Delivered (T)]]/Table1[[#This Row],[Hours Used]])/(Table1[[#This Row],[SOC (TPD)]]/24),"")</f>
        <v>0.96046736842105251</v>
      </c>
      <c r="I13" s="28"/>
      <c r="J13" s="28"/>
      <c r="K13" s="28"/>
      <c r="L13" s="25">
        <v>1.2</v>
      </c>
      <c r="M13" s="29">
        <v>5.1999999999999998E-2</v>
      </c>
      <c r="N13" s="84"/>
      <c r="O13" s="25"/>
      <c r="P13" s="25"/>
      <c r="Q13" s="70">
        <v>4</v>
      </c>
      <c r="R13" s="71">
        <v>4</v>
      </c>
      <c r="S13" s="30">
        <f>IF(Table1[[#This Row],[SKU]]="",0,24-Table1[[#This Row],[Legal Non-Operating Time]]-Table1[[#This Row],[No Demand Time]]-Table1[[#This Row],[Force Majeure]])</f>
        <v>24</v>
      </c>
      <c r="T13" s="26"/>
      <c r="U13" s="26"/>
      <c r="V13" s="26"/>
      <c r="W13" s="26"/>
      <c r="X13" s="26"/>
      <c r="Y13" s="26"/>
      <c r="Z13" s="26"/>
      <c r="AA13" s="30">
        <f>Table1[[#This Row],[Hours Used]]-SUM(Table1[[#This Row],[Planned Maintenance]:[Start and Finish Production]])</f>
        <v>24</v>
      </c>
      <c r="AB13" s="26"/>
      <c r="AC13" s="26"/>
      <c r="AD13" s="26"/>
      <c r="AE13" s="26"/>
      <c r="AF13" s="26"/>
      <c r="AG13" s="26"/>
      <c r="AH13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0.10667789473684763</v>
      </c>
      <c r="AI13" s="24">
        <f ca="1">IFERROR(IF(Table1[[#This Row],[SKU]]="",0,Table1[[#This Row],[Quality Loss (T)]]/(Table1[[#This Row],[SOC (TPD)]]/24)),"")</f>
        <v>0.84210526315789469</v>
      </c>
      <c r="AJ13" s="31">
        <f ca="1">IFERROR(IF(Table1[[#This Row],[SKU]]="",0,Table1[[#This Row],[Volume Delivered (T)]]/(Table1[[#This Row],[SOC (TPD)]]/24)),"")</f>
        <v>23.051216842105259</v>
      </c>
      <c r="AK13" s="31">
        <f ca="1">IFERROR(Table1[[#This Row],[Operating Time]]/Table1[[#This Row],[PRODUCTION HOURS]],"")</f>
        <v>0.9604673684210524</v>
      </c>
      <c r="AL13" s="32">
        <v>132</v>
      </c>
      <c r="AM13" s="32" t="s">
        <v>107</v>
      </c>
      <c r="AN13" s="32" t="s">
        <v>107</v>
      </c>
      <c r="AO13" s="32">
        <v>0</v>
      </c>
      <c r="AP13" s="32">
        <v>0</v>
      </c>
      <c r="AQ13" s="32">
        <v>3</v>
      </c>
      <c r="AR13" s="32" t="str">
        <f>IFERROR(SUMIFS(#REF!,#REF!,'Data Sheet'!A:A,#REF!,"Samridhi Perk Line")/SUMIFS(#REF!,#REF!,'Data Sheet'!A:A,#REF!,"Samridhi Perk Line"),"")</f>
        <v/>
      </c>
      <c r="AS13" s="32">
        <v>25</v>
      </c>
      <c r="AT13" s="32">
        <v>0</v>
      </c>
      <c r="AU13" s="211">
        <f>IFERROR(VLOOKUP(Table1[[#This Row],[Date]],'Overweight Data'!A11:G1106,6,FALSE),"")</f>
        <v>2.5497237569060773E-2</v>
      </c>
      <c r="AV13" s="221">
        <f ca="1">IFERROR(
   IF(
      OR(Table1[[#This Row],[Operating Time]]=0, (Table1[[#This Row],[Operating Time]]/IF(AC13&lt;=1,AC13+1,AC13))*60=0),
      1,
      ((Table1[[#This Row],[Operating Time]])/IF(AC13&lt;=1,AC13+1,AC13))*60
   ),
"_")</f>
        <v>1383.0730105263156</v>
      </c>
      <c r="AW13" s="221">
        <f>COUNTIFS('Downtime Data'!A:A,Table1[[#This Row],[Date]])</f>
        <v>0</v>
      </c>
      <c r="AX13" s="219" t="str">
        <f>IFERROR((SUM(Table1[[#This Row],[Minor Stoppages]:[Material Shortages]])/Table1[[#This Row],['# Stops]])*60,"")</f>
        <v/>
      </c>
      <c r="AY13" s="219"/>
      <c r="AZ13" s="33">
        <v>46048</v>
      </c>
    </row>
    <row r="14" spans="1:56" ht="20.149999999999999" customHeight="1" x14ac:dyDescent="0.35">
      <c r="A14" s="21">
        <v>46031</v>
      </c>
      <c r="B14" s="22" t="str">
        <f t="shared" si="1"/>
        <v>Friday</v>
      </c>
      <c r="C14" s="23" t="s">
        <v>108</v>
      </c>
      <c r="D14" s="24" cm="1">
        <f t="array" aca="1" ref="D14" ca="1">IFERROR(INDIRECT(C14),"")</f>
        <v>34.200000000000003</v>
      </c>
      <c r="E14" s="25">
        <v>30</v>
      </c>
      <c r="F14" s="26">
        <v>24.2</v>
      </c>
      <c r="G14" s="27">
        <f ca="1">IFERROR((Table1[[#This Row],[Plan]]/Table1[[#This Row],[Hours Used]])/(Table1[[#This Row],[SOC (TPD)]]/24),"")</f>
        <v>0.8771929824561403</v>
      </c>
      <c r="H14" s="27">
        <f ca="1">IFERROR((Table1[[#This Row],[Volume Delivered (T)]]/Table1[[#This Row],[Hours Used]])/(Table1[[#This Row],[SOC (TPD)]]/24),"")</f>
        <v>0.70760233918128645</v>
      </c>
      <c r="I14" s="28"/>
      <c r="J14" s="28"/>
      <c r="K14" s="28"/>
      <c r="L14" s="25">
        <v>1.363</v>
      </c>
      <c r="M14" s="29">
        <v>4.7E-2</v>
      </c>
      <c r="N14" s="84"/>
      <c r="O14" s="25"/>
      <c r="P14" s="25"/>
      <c r="Q14" s="70">
        <v>0</v>
      </c>
      <c r="R14" s="71">
        <v>0</v>
      </c>
      <c r="S14" s="30">
        <f>IF(Table1[[#This Row],[SKU]]="",0,24-Table1[[#This Row],[Legal Non-Operating Time]]-Table1[[#This Row],[No Demand Time]]-Table1[[#This Row],[Force Majeure]])</f>
        <v>24</v>
      </c>
      <c r="T14" s="26"/>
      <c r="U14" s="26"/>
      <c r="V14" s="26"/>
      <c r="W14" s="26"/>
      <c r="X14" s="26"/>
      <c r="Y14" s="26"/>
      <c r="Z14" s="26"/>
      <c r="AA14" s="30">
        <f>Table1[[#This Row],[Hours Used]]-SUM(Table1[[#This Row],[Planned Maintenance]:[Start and Finish Production]])</f>
        <v>24</v>
      </c>
      <c r="AB14" s="26"/>
      <c r="AC14" s="26">
        <v>6</v>
      </c>
      <c r="AD14" s="26"/>
      <c r="AE14" s="26"/>
      <c r="AF14" s="26"/>
      <c r="AG14" s="26"/>
      <c r="AH14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6.1052631578949246E-2</v>
      </c>
      <c r="AI14" s="24">
        <f ca="1">IFERROR(IF(Table1[[#This Row],[SKU]]="",0,Table1[[#This Row],[Quality Loss (T)]]/(Table1[[#This Row],[SOC (TPD)]]/24)),"")</f>
        <v>0.95649122807017539</v>
      </c>
      <c r="AJ14" s="31">
        <f ca="1">IFERROR(IF(Table1[[#This Row],[SKU]]="",0,Table1[[#This Row],[Volume Delivered (T)]]/(Table1[[#This Row],[SOC (TPD)]]/24)),"")</f>
        <v>16.982456140350877</v>
      </c>
      <c r="AK14" s="31">
        <f ca="1">IFERROR(Table1[[#This Row],[Operating Time]]/Table1[[#This Row],[PRODUCTION HOURS]],"")</f>
        <v>0.70760233918128657</v>
      </c>
      <c r="AL14" s="32"/>
      <c r="AM14" s="32" t="s">
        <v>107</v>
      </c>
      <c r="AN14" s="32" t="s">
        <v>107</v>
      </c>
      <c r="AO14" s="32">
        <v>0</v>
      </c>
      <c r="AP14" s="32">
        <v>0</v>
      </c>
      <c r="AQ14" s="32"/>
      <c r="AR14" s="32" t="str">
        <f>IFERROR(SUMIFS(#REF!,#REF!,'Data Sheet'!A:A,#REF!,"Samridhi Perk Line")/SUMIFS(#REF!,#REF!,'Data Sheet'!A:A,#REF!,"Samridhi Perk Line"),"")</f>
        <v/>
      </c>
      <c r="AS14" s="32">
        <v>12</v>
      </c>
      <c r="AT14" s="32">
        <v>0</v>
      </c>
      <c r="AU14" s="211">
        <f>IFERROR(VLOOKUP(Table1[[#This Row],[Date]],'Overweight Data'!A12:G1107,6,FALSE),"")</f>
        <v>2.7108655616942961E-2</v>
      </c>
      <c r="AV14" s="221">
        <f ca="1">IFERROR(
   IF(
      OR(Table1[[#This Row],[Operating Time]]=0, (Table1[[#This Row],[Operating Time]]/IF(AC14&lt;=1,AC14+1,AC14))*60=0),
      1,
      ((Table1[[#This Row],[Operating Time]])/IF(AC14&lt;=1,AC14+1,AC14))*60
   ),
"_")</f>
        <v>169.82456140350877</v>
      </c>
      <c r="AW14" s="221">
        <f>COUNTIFS('Downtime Data'!A:A,Table1[[#This Row],[Date]])</f>
        <v>1</v>
      </c>
      <c r="AX14" s="219">
        <f>IFERROR((SUM(Table1[[#This Row],[Minor Stoppages]:[Material Shortages]])/Table1[[#This Row],['# Stops]])*60,"")</f>
        <v>360</v>
      </c>
      <c r="AY14" s="219"/>
      <c r="AZ14" s="33">
        <v>46048</v>
      </c>
    </row>
    <row r="15" spans="1:56" ht="20.149999999999999" customHeight="1" x14ac:dyDescent="0.35">
      <c r="A15" s="21">
        <v>46032</v>
      </c>
      <c r="B15" s="22" t="str">
        <f t="shared" si="1"/>
        <v>Saturday</v>
      </c>
      <c r="C15" s="23" t="s">
        <v>108</v>
      </c>
      <c r="D15" s="24" cm="1">
        <f t="array" aca="1" ref="D15" ca="1">IFERROR(INDIRECT(C15),"")</f>
        <v>34.200000000000003</v>
      </c>
      <c r="E15" s="25">
        <v>15</v>
      </c>
      <c r="F15" s="26">
        <v>17</v>
      </c>
      <c r="G15" s="27">
        <f ca="1">IFERROR((Table1[[#This Row],[Plan]]/Table1[[#This Row],[Hours Used]])/(Table1[[#This Row],[SOC (TPD)]]/24),"")</f>
        <v>0.43859649122807015</v>
      </c>
      <c r="H15" s="27">
        <f ca="1">IFERROR((Table1[[#This Row],[Volume Delivered (T)]]/Table1[[#This Row],[Hours Used]])/(Table1[[#This Row],[SOC (TPD)]]/24),"")</f>
        <v>0.49707602339181289</v>
      </c>
      <c r="I15" s="28"/>
      <c r="J15" s="28"/>
      <c r="K15" s="28"/>
      <c r="L15" s="25"/>
      <c r="M15" s="29">
        <v>4.2000000000000003E-2</v>
      </c>
      <c r="N15" s="84"/>
      <c r="O15" s="25"/>
      <c r="P15" s="25"/>
      <c r="Q15" s="70">
        <v>0</v>
      </c>
      <c r="R15" s="71">
        <v>0</v>
      </c>
      <c r="S15" s="30">
        <f>IF(Table1[[#This Row],[SKU]]="",0,24-Table1[[#This Row],[Legal Non-Operating Time]]-Table1[[#This Row],[No Demand Time]]-Table1[[#This Row],[Force Majeure]])</f>
        <v>24</v>
      </c>
      <c r="T15" s="26"/>
      <c r="U15" s="26"/>
      <c r="V15" s="26">
        <v>12</v>
      </c>
      <c r="W15" s="26"/>
      <c r="X15" s="26"/>
      <c r="Y15" s="26"/>
      <c r="Z15" s="26"/>
      <c r="AA15" s="30">
        <f>Table1[[#This Row],[Hours Used]]-SUM(Table1[[#This Row],[Planned Maintenance]:[Start and Finish Production]])</f>
        <v>12</v>
      </c>
      <c r="AB15" s="26"/>
      <c r="AC15" s="26"/>
      <c r="AD15" s="26"/>
      <c r="AE15" s="26"/>
      <c r="AF15" s="26"/>
      <c r="AG15" s="26"/>
      <c r="AH15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7.0175438596491446E-2</v>
      </c>
      <c r="AI15" s="24">
        <f ca="1">IFERROR(IF(Table1[[#This Row],[SKU]]="",0,Table1[[#This Row],[Quality Loss (T)]]/(Table1[[#This Row],[SOC (TPD)]]/24)),"")</f>
        <v>0</v>
      </c>
      <c r="AJ15" s="31">
        <f ca="1">IFERROR(IF(Table1[[#This Row],[SKU]]="",0,Table1[[#This Row],[Volume Delivered (T)]]/(Table1[[#This Row],[SOC (TPD)]]/24)),"")</f>
        <v>11.929824561403509</v>
      </c>
      <c r="AK15" s="31">
        <f ca="1">IFERROR(Table1[[#This Row],[Operating Time]]/Table1[[#This Row],[PRODUCTION HOURS]],"")</f>
        <v>0.99415204678362568</v>
      </c>
      <c r="AL15" s="32">
        <v>131</v>
      </c>
      <c r="AM15" s="32" t="s">
        <v>107</v>
      </c>
      <c r="AN15" s="32" t="s">
        <v>107</v>
      </c>
      <c r="AO15" s="32">
        <v>0</v>
      </c>
      <c r="AP15" s="32">
        <v>0</v>
      </c>
      <c r="AQ15" s="32"/>
      <c r="AR15" s="32" t="str">
        <f>IFERROR(SUMIFS(#REF!,#REF!,'Data Sheet'!A:A,#REF!,"Samridhi Perk Line")/SUMIFS(#REF!,#REF!,'Data Sheet'!A:A,#REF!,"Samridhi Perk Line"),"")</f>
        <v/>
      </c>
      <c r="AS15" s="32">
        <v>9</v>
      </c>
      <c r="AT15" s="32">
        <v>0</v>
      </c>
      <c r="AU15" s="211">
        <f>IFERROR(VLOOKUP(Table1[[#This Row],[Date]],'Overweight Data'!A13:G1108,6,FALSE),"")</f>
        <v>3.1372007366482497E-2</v>
      </c>
      <c r="AV15" s="221">
        <f ca="1">IFERROR(
   IF(
      OR(Table1[[#This Row],[Operating Time]]=0, (Table1[[#This Row],[Operating Time]]/IF(AC15&lt;=1,AC15+1,AC15))*60=0),
      1,
      ((Table1[[#This Row],[Operating Time]])/IF(AC15&lt;=1,AC15+1,AC15))*60
   ),
"_")</f>
        <v>715.78947368421052</v>
      </c>
      <c r="AW15" s="221">
        <f>COUNTIFS('Downtime Data'!A:A,Table1[[#This Row],[Date]])</f>
        <v>0</v>
      </c>
      <c r="AX15" s="219" t="str">
        <f>IFERROR((SUM(Table1[[#This Row],[Minor Stoppages]:[Material Shortages]])/Table1[[#This Row],['# Stops]])*60,"")</f>
        <v/>
      </c>
      <c r="AY15" s="219"/>
      <c r="AZ15" s="33">
        <v>46048</v>
      </c>
    </row>
    <row r="16" spans="1:56" ht="20.149999999999999" customHeight="1" x14ac:dyDescent="0.35">
      <c r="A16" s="21">
        <v>46033</v>
      </c>
      <c r="B16" s="22" t="str">
        <f t="shared" si="1"/>
        <v>Sunday</v>
      </c>
      <c r="C16" s="23" t="s">
        <v>108</v>
      </c>
      <c r="D16" s="24" cm="1">
        <f t="array" aca="1" ref="D16" ca="1">IFERROR(INDIRECT(C16),"")</f>
        <v>34.200000000000003</v>
      </c>
      <c r="E16" s="25">
        <v>30</v>
      </c>
      <c r="F16" s="26">
        <v>31.506096000000003</v>
      </c>
      <c r="G16" s="27">
        <f ca="1">IFERROR((Table1[[#This Row],[Plan]]/Table1[[#This Row],[Hours Used]])/(Table1[[#This Row],[SOC (TPD)]]/24),"")</f>
        <v>0.8771929824561403</v>
      </c>
      <c r="H16" s="27">
        <f ca="1">IFERROR((Table1[[#This Row],[Volume Delivered (T)]]/Table1[[#This Row],[Hours Used]])/(Table1[[#This Row],[SOC (TPD)]]/24),"")</f>
        <v>0.92123087719298258</v>
      </c>
      <c r="I16" s="28"/>
      <c r="J16" s="28"/>
      <c r="K16" s="28"/>
      <c r="L16" s="25">
        <v>1.603</v>
      </c>
      <c r="M16" s="29">
        <v>3.9E-2</v>
      </c>
      <c r="N16" s="84"/>
      <c r="O16" s="25"/>
      <c r="P16" s="25"/>
      <c r="Q16" s="70">
        <v>1</v>
      </c>
      <c r="R16" s="71">
        <v>1</v>
      </c>
      <c r="S16" s="30">
        <f>IF(Table1[[#This Row],[SKU]]="",0,24-Table1[[#This Row],[Legal Non-Operating Time]]-Table1[[#This Row],[No Demand Time]]-Table1[[#This Row],[Force Majeure]])</f>
        <v>24</v>
      </c>
      <c r="T16" s="26"/>
      <c r="U16" s="26"/>
      <c r="V16" s="26"/>
      <c r="W16" s="26"/>
      <c r="X16" s="26"/>
      <c r="Y16" s="26"/>
      <c r="Z16" s="26"/>
      <c r="AA16" s="30">
        <f>Table1[[#This Row],[Hours Used]]-SUM(Table1[[#This Row],[Planned Maintenance]:[Start and Finish Production]])</f>
        <v>24</v>
      </c>
      <c r="AB16" s="26"/>
      <c r="AC16" s="26">
        <v>0.60416666666666663</v>
      </c>
      <c r="AD16" s="26"/>
      <c r="AE16" s="26"/>
      <c r="AF16" s="26"/>
      <c r="AG16" s="26"/>
      <c r="AH16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0.16137999999999764</v>
      </c>
      <c r="AI16" s="24">
        <f ca="1">IFERROR(IF(Table1[[#This Row],[SKU]]="",0,Table1[[#This Row],[Quality Loss (T)]]/(Table1[[#This Row],[SOC (TPD)]]/24)),"")</f>
        <v>1.1249122807017544</v>
      </c>
      <c r="AJ16" s="31">
        <f ca="1">IFERROR(IF(Table1[[#This Row],[SKU]]="",0,Table1[[#This Row],[Volume Delivered (T)]]/(Table1[[#This Row],[SOC (TPD)]]/24)),"")</f>
        <v>22.109541052631581</v>
      </c>
      <c r="AK16" s="31">
        <f ca="1">IFERROR(Table1[[#This Row],[Operating Time]]/Table1[[#This Row],[PRODUCTION HOURS]],"")</f>
        <v>0.92123087719298258</v>
      </c>
      <c r="AL16" s="32">
        <v>107</v>
      </c>
      <c r="AM16" s="32" t="s">
        <v>107</v>
      </c>
      <c r="AN16" s="32" t="s">
        <v>107</v>
      </c>
      <c r="AO16" s="32">
        <v>2</v>
      </c>
      <c r="AP16" s="32">
        <v>0</v>
      </c>
      <c r="AQ16" s="32">
        <v>1</v>
      </c>
      <c r="AR16" s="32" t="str">
        <f>IFERROR(SUMIFS(#REF!,#REF!,'Data Sheet'!A:A,#REF!,"Samridhi Perk Line")/SUMIFS(#REF!,#REF!,'Data Sheet'!A:A,#REF!,"Samridhi Perk Line"),"")</f>
        <v/>
      </c>
      <c r="AS16" s="32">
        <v>4</v>
      </c>
      <c r="AT16" s="32">
        <v>0</v>
      </c>
      <c r="AU16" s="211">
        <f>IFERROR(VLOOKUP(Table1[[#This Row],[Date]],'Overweight Data'!A14:G1109,6,FALSE),"")</f>
        <v>1.355432780847148E-2</v>
      </c>
      <c r="AV16" s="221">
        <f ca="1">IFERROR(
   IF(
      OR(Table1[[#This Row],[Operating Time]]=0, (Table1[[#This Row],[Operating Time]]/IF(AC16&lt;=1,AC16+1,AC16))*60=0),
      1,
      ((Table1[[#This Row],[Operating Time]])/IF(AC16&lt;=1,AC16+1,AC16))*60
   ),
"_")</f>
        <v>826.95426274777867</v>
      </c>
      <c r="AW16" s="221">
        <f>COUNTIFS('Downtime Data'!A:A,Table1[[#This Row],[Date]])</f>
        <v>1</v>
      </c>
      <c r="AX16" s="219">
        <f>IFERROR((SUM(Table1[[#This Row],[Minor Stoppages]:[Material Shortages]])/Table1[[#This Row],['# Stops]])*60,"")</f>
        <v>36.25</v>
      </c>
      <c r="AY16" s="219"/>
      <c r="AZ16" s="33">
        <v>46048</v>
      </c>
    </row>
    <row r="17" spans="1:52" ht="20.149999999999999" customHeight="1" x14ac:dyDescent="0.35">
      <c r="A17" s="21">
        <v>46034</v>
      </c>
      <c r="B17" s="22" t="str">
        <f t="shared" si="1"/>
        <v>Monday</v>
      </c>
      <c r="C17" s="23" t="s">
        <v>108</v>
      </c>
      <c r="D17" s="24" cm="1">
        <f t="array" aca="1" ref="D17" ca="1">IFERROR(INDIRECT(C17),"")</f>
        <v>34.200000000000003</v>
      </c>
      <c r="E17" s="25">
        <v>30</v>
      </c>
      <c r="F17" s="26">
        <v>28.5</v>
      </c>
      <c r="G17" s="27">
        <f ca="1">IFERROR((Table1[[#This Row],[Plan]]/Table1[[#This Row],[Hours Used]])/(Table1[[#This Row],[SOC (TPD)]]/24),"")</f>
        <v>0.8771929824561403</v>
      </c>
      <c r="H17" s="27">
        <f ca="1">IFERROR((Table1[[#This Row],[Volume Delivered (T)]]/Table1[[#This Row],[Hours Used]])/(Table1[[#This Row],[SOC (TPD)]]/24),"")</f>
        <v>0.83333333333333326</v>
      </c>
      <c r="I17" s="28"/>
      <c r="J17" s="28"/>
      <c r="K17" s="28"/>
      <c r="L17" s="25"/>
      <c r="M17" s="29">
        <v>3.5999999999999997E-2</v>
      </c>
      <c r="N17" s="84"/>
      <c r="O17" s="25"/>
      <c r="P17" s="25"/>
      <c r="Q17" s="70">
        <v>1</v>
      </c>
      <c r="R17" s="71">
        <v>1</v>
      </c>
      <c r="S17" s="30">
        <f>IF(Table1[[#This Row],[SKU]]="",0,24-Table1[[#This Row],[Legal Non-Operating Time]]-Table1[[#This Row],[No Demand Time]]-Table1[[#This Row],[Force Majeure]])</f>
        <v>24</v>
      </c>
      <c r="T17" s="26"/>
      <c r="U17" s="26"/>
      <c r="V17" s="26"/>
      <c r="W17" s="26">
        <v>1.1000000000000001</v>
      </c>
      <c r="X17" s="26"/>
      <c r="Y17" s="26"/>
      <c r="Z17" s="26"/>
      <c r="AA17" s="30">
        <f>Table1[[#This Row],[Hours Used]]-SUM(Table1[[#This Row],[Planned Maintenance]:[Start and Finish Production]])</f>
        <v>22.9</v>
      </c>
      <c r="AB17" s="26"/>
      <c r="AC17" s="26">
        <v>3</v>
      </c>
      <c r="AD17" s="26"/>
      <c r="AE17" s="26"/>
      <c r="AF17" s="26"/>
      <c r="AG17" s="26"/>
      <c r="AH17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-0.10000000000000142</v>
      </c>
      <c r="AI17" s="24">
        <f ca="1">IFERROR(IF(Table1[[#This Row],[SKU]]="",0,Table1[[#This Row],[Quality Loss (T)]]/(Table1[[#This Row],[SOC (TPD)]]/24)),"")</f>
        <v>0</v>
      </c>
      <c r="AJ17" s="31">
        <f ca="1">IFERROR(IF(Table1[[#This Row],[SKU]]="",0,Table1[[#This Row],[Volume Delivered (T)]]/(Table1[[#This Row],[SOC (TPD)]]/24)),"")</f>
        <v>20</v>
      </c>
      <c r="AK17" s="31">
        <f ca="1">IFERROR(Table1[[#This Row],[Operating Time]]/Table1[[#This Row],[PRODUCTION HOURS]],"")</f>
        <v>0.8733624454148472</v>
      </c>
      <c r="AL17" s="32">
        <v>94</v>
      </c>
      <c r="AM17" s="32" t="s">
        <v>107</v>
      </c>
      <c r="AN17" s="32" t="s">
        <v>107</v>
      </c>
      <c r="AO17" s="32">
        <v>1</v>
      </c>
      <c r="AP17" s="32">
        <v>1</v>
      </c>
      <c r="AQ17" s="32">
        <v>1</v>
      </c>
      <c r="AR17" s="32" t="str">
        <f>IFERROR(SUMIFS(#REF!,#REF!,'Data Sheet'!A:A,#REF!,"Samridhi Perk Line")/SUMIFS(#REF!,#REF!,'Data Sheet'!A:A,#REF!,"Samridhi Perk Line"),"")</f>
        <v/>
      </c>
      <c r="AS17" s="32">
        <v>17</v>
      </c>
      <c r="AT17" s="32">
        <v>0</v>
      </c>
      <c r="AU17" s="211">
        <f>IFERROR(VLOOKUP(Table1[[#This Row],[Date]],'Overweight Data'!A15:G1110,6,FALSE),"")</f>
        <v>2.3304104824789368E-2</v>
      </c>
      <c r="AV17" s="221">
        <f ca="1">IFERROR(
   IF(
      OR(Table1[[#This Row],[Operating Time]]=0, (Table1[[#This Row],[Operating Time]]/IF(AC17&lt;=1,AC17+1,AC17))*60=0),
      1,
      ((Table1[[#This Row],[Operating Time]])/IF(AC17&lt;=1,AC17+1,AC17))*60
   ),
"_")</f>
        <v>400</v>
      </c>
      <c r="AW17" s="221">
        <f>COUNTIFS('Downtime Data'!A:A,Table1[[#This Row],[Date]])</f>
        <v>2</v>
      </c>
      <c r="AX17" s="219">
        <f>IFERROR((SUM(Table1[[#This Row],[Minor Stoppages]:[Material Shortages]])/Table1[[#This Row],['# Stops]])*60,"")</f>
        <v>90</v>
      </c>
      <c r="AY17" s="219"/>
      <c r="AZ17" s="33">
        <v>46048</v>
      </c>
    </row>
    <row r="18" spans="1:52" ht="20.149999999999999" customHeight="1" x14ac:dyDescent="0.35">
      <c r="A18" s="21">
        <v>46035</v>
      </c>
      <c r="B18" s="22" t="str">
        <f t="shared" si="1"/>
        <v>Tuesday</v>
      </c>
      <c r="C18" s="23" t="s">
        <v>108</v>
      </c>
      <c r="D18" s="24" cm="1">
        <f t="array" aca="1" ref="D18" ca="1">IFERROR(INDIRECT(C18),"")</f>
        <v>34.200000000000003</v>
      </c>
      <c r="E18" s="25">
        <v>30</v>
      </c>
      <c r="F18" s="26">
        <v>32.700000000000003</v>
      </c>
      <c r="G18" s="27">
        <f ca="1">IFERROR((Table1[[#This Row],[Plan]]/Table1[[#This Row],[Hours Used]])/(Table1[[#This Row],[SOC (TPD)]]/24),"")</f>
        <v>0.8771929824561403</v>
      </c>
      <c r="H18" s="27">
        <f ca="1">IFERROR((Table1[[#This Row],[Volume Delivered (T)]]/Table1[[#This Row],[Hours Used]])/(Table1[[#This Row],[SOC (TPD)]]/24),"")</f>
        <v>0.95614035087719296</v>
      </c>
      <c r="I18" s="28"/>
      <c r="J18" s="28"/>
      <c r="K18" s="28"/>
      <c r="L18" s="25">
        <v>1.3620000000000001</v>
      </c>
      <c r="M18" s="29">
        <v>3.5000000000000003E-2</v>
      </c>
      <c r="N18" s="84"/>
      <c r="O18" s="25"/>
      <c r="P18" s="25"/>
      <c r="Q18" s="70">
        <v>0</v>
      </c>
      <c r="R18" s="71">
        <v>0</v>
      </c>
      <c r="S18" s="30">
        <f>IF(Table1[[#This Row],[SKU]]="",0,24-Table1[[#This Row],[Legal Non-Operating Time]]-Table1[[#This Row],[No Demand Time]]-Table1[[#This Row],[Force Majeure]])</f>
        <v>24</v>
      </c>
      <c r="T18" s="26"/>
      <c r="U18" s="26"/>
      <c r="V18" s="26"/>
      <c r="W18" s="26"/>
      <c r="X18" s="26"/>
      <c r="Y18" s="26"/>
      <c r="Z18" s="26"/>
      <c r="AA18" s="30">
        <f>Table1[[#This Row],[Hours Used]]-SUM(Table1[[#This Row],[Planned Maintenance]:[Start and Finish Production]])</f>
        <v>24</v>
      </c>
      <c r="AB18" s="26"/>
      <c r="AC18" s="26"/>
      <c r="AD18" s="26"/>
      <c r="AE18" s="26"/>
      <c r="AF18" s="26"/>
      <c r="AG18" s="26"/>
      <c r="AH18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9.6842105263156952E-2</v>
      </c>
      <c r="AI18" s="24">
        <f ca="1">IFERROR(IF(Table1[[#This Row],[SKU]]="",0,Table1[[#This Row],[Quality Loss (T)]]/(Table1[[#This Row],[SOC (TPD)]]/24)),"")</f>
        <v>0.95578947368421052</v>
      </c>
      <c r="AJ18" s="31">
        <f ca="1">IFERROR(IF(Table1[[#This Row],[SKU]]="",0,Table1[[#This Row],[Volume Delivered (T)]]/(Table1[[#This Row],[SOC (TPD)]]/24)),"")</f>
        <v>22.947368421052634</v>
      </c>
      <c r="AK18" s="31">
        <f ca="1">IFERROR(Table1[[#This Row],[Operating Time]]/Table1[[#This Row],[PRODUCTION HOURS]],"")</f>
        <v>0.95614035087719307</v>
      </c>
      <c r="AL18" s="32">
        <v>100</v>
      </c>
      <c r="AM18" s="32" t="s">
        <v>107</v>
      </c>
      <c r="AN18" s="32" t="s">
        <v>107</v>
      </c>
      <c r="AO18" s="32">
        <v>46</v>
      </c>
      <c r="AP18" s="32">
        <v>45</v>
      </c>
      <c r="AQ18" s="32"/>
      <c r="AR18" s="32" t="str">
        <f>IFERROR(SUMIFS(#REF!,#REF!,'Data Sheet'!A:A,#REF!,"Samridhi Perk Line")/SUMIFS(#REF!,#REF!,'Data Sheet'!A:A,#REF!,"Samridhi Perk Line"),"")</f>
        <v/>
      </c>
      <c r="AS18" s="32">
        <v>21</v>
      </c>
      <c r="AT18" s="32">
        <v>0</v>
      </c>
      <c r="AU18" s="211">
        <f>IFERROR(VLOOKUP(Table1[[#This Row],[Date]],'Overweight Data'!A16:G1111,6,FALSE),"")</f>
        <v>2.1852497096399536E-2</v>
      </c>
      <c r="AV18" s="221">
        <f ca="1">IFERROR(
   IF(
      OR(Table1[[#This Row],[Operating Time]]=0, (Table1[[#This Row],[Operating Time]]/IF(AC18&lt;=1,AC18+1,AC18))*60=0),
      1,
      ((Table1[[#This Row],[Operating Time]])/IF(AC18&lt;=1,AC18+1,AC18))*60
   ),
"_")</f>
        <v>1376.8421052631579</v>
      </c>
      <c r="AW18" s="221">
        <f>COUNTIFS('Downtime Data'!A:A,Table1[[#This Row],[Date]])</f>
        <v>0</v>
      </c>
      <c r="AX18" s="219" t="str">
        <f>IFERROR((SUM(Table1[[#This Row],[Minor Stoppages]:[Material Shortages]])/Table1[[#This Row],['# Stops]])*60,"")</f>
        <v/>
      </c>
      <c r="AY18" s="219"/>
      <c r="AZ18" s="33">
        <v>46048</v>
      </c>
    </row>
    <row r="19" spans="1:52" ht="20.149999999999999" customHeight="1" x14ac:dyDescent="0.35">
      <c r="A19" s="21">
        <v>46036</v>
      </c>
      <c r="B19" s="22" t="str">
        <f t="shared" si="1"/>
        <v>Wednesday</v>
      </c>
      <c r="C19" s="23" t="s">
        <v>108</v>
      </c>
      <c r="D19" s="24" cm="1">
        <f t="array" aca="1" ref="D19" ca="1">IFERROR(INDIRECT(C19),"")</f>
        <v>34.200000000000003</v>
      </c>
      <c r="E19" s="25">
        <v>30</v>
      </c>
      <c r="F19" s="26">
        <v>30</v>
      </c>
      <c r="G19" s="27">
        <f ca="1">IFERROR((Table1[[#This Row],[Plan]]/Table1[[#This Row],[Hours Used]])/(Table1[[#This Row],[SOC (TPD)]]/24),"")</f>
        <v>0.8771929824561403</v>
      </c>
      <c r="H19" s="27">
        <f ca="1">IFERROR((Table1[[#This Row],[Volume Delivered (T)]]/Table1[[#This Row],[Hours Used]])/(Table1[[#This Row],[SOC (TPD)]]/24),"")</f>
        <v>0.8771929824561403</v>
      </c>
      <c r="I19" s="28"/>
      <c r="J19" s="28"/>
      <c r="K19" s="28"/>
      <c r="L19" s="25">
        <v>2.1269999999999998</v>
      </c>
      <c r="M19" s="29">
        <v>3.5000000000000003E-2</v>
      </c>
      <c r="N19" s="84"/>
      <c r="O19" s="25"/>
      <c r="P19" s="25"/>
      <c r="Q19" s="70">
        <v>0</v>
      </c>
      <c r="R19" s="71">
        <v>0</v>
      </c>
      <c r="S19" s="30">
        <f>IF(Table1[[#This Row],[SKU]]="",0,24-Table1[[#This Row],[Legal Non-Operating Time]]-Table1[[#This Row],[No Demand Time]]-Table1[[#This Row],[Force Majeure]])</f>
        <v>24</v>
      </c>
      <c r="T19" s="26"/>
      <c r="U19" s="26"/>
      <c r="V19" s="26"/>
      <c r="W19" s="26">
        <v>1</v>
      </c>
      <c r="X19" s="26"/>
      <c r="Y19" s="26"/>
      <c r="Z19" s="26"/>
      <c r="AA19" s="30">
        <f>Table1[[#This Row],[Hours Used]]-SUM(Table1[[#This Row],[Planned Maintenance]:[Start and Finish Production]])</f>
        <v>23</v>
      </c>
      <c r="AB19" s="26"/>
      <c r="AC19" s="26"/>
      <c r="AD19" s="26">
        <v>0.45</v>
      </c>
      <c r="AE19" s="26"/>
      <c r="AF19" s="26"/>
      <c r="AG19" s="26"/>
      <c r="AH19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4.7368421052667031E-3</v>
      </c>
      <c r="AI19" s="24">
        <f ca="1">IFERROR(IF(Table1[[#This Row],[SKU]]="",0,Table1[[#This Row],[Quality Loss (T)]]/(Table1[[#This Row],[SOC (TPD)]]/24)),"")</f>
        <v>1.4926315789473683</v>
      </c>
      <c r="AJ19" s="31">
        <f ca="1">IFERROR(IF(Table1[[#This Row],[SKU]]="",0,Table1[[#This Row],[Volume Delivered (T)]]/(Table1[[#This Row],[SOC (TPD)]]/24)),"")</f>
        <v>21.052631578947366</v>
      </c>
      <c r="AK19" s="31">
        <f ca="1">IFERROR(Table1[[#This Row],[Operating Time]]/Table1[[#This Row],[PRODUCTION HOURS]],"")</f>
        <v>0.91533180778032031</v>
      </c>
      <c r="AL19" s="32">
        <v>92</v>
      </c>
      <c r="AM19" s="32" t="s">
        <v>107</v>
      </c>
      <c r="AN19" s="32" t="s">
        <v>107</v>
      </c>
      <c r="AO19" s="32">
        <v>0</v>
      </c>
      <c r="AP19" s="32">
        <v>0</v>
      </c>
      <c r="AQ19" s="32"/>
      <c r="AR19" s="32" t="str">
        <f>IFERROR(SUMIFS(#REF!,#REF!,'Data Sheet'!A:A,#REF!,"Samridhi Perk Line")/SUMIFS(#REF!,#REF!,'Data Sheet'!A:A,#REF!,"Samridhi Perk Line"),"")</f>
        <v/>
      </c>
      <c r="AS19" s="32">
        <v>18</v>
      </c>
      <c r="AT19" s="32">
        <v>0</v>
      </c>
      <c r="AU19" s="211">
        <f>IFERROR(VLOOKUP(Table1[[#This Row],[Date]],'Overweight Data'!A17:G1112,6,FALSE),"")</f>
        <v>1.9628659980364532E-2</v>
      </c>
      <c r="AV19" s="221">
        <f ca="1">IFERROR(
   IF(
      OR(Table1[[#This Row],[Operating Time]]=0, (Table1[[#This Row],[Operating Time]]/IF(AC19&lt;=1,AC19+1,AC19))*60=0),
      1,
      ((Table1[[#This Row],[Operating Time]])/IF(AC19&lt;=1,AC19+1,AC19))*60
   ),
"_")</f>
        <v>1263.1578947368421</v>
      </c>
      <c r="AW19" s="221">
        <f>COUNTIFS('Downtime Data'!A:A,Table1[[#This Row],[Date]])</f>
        <v>2</v>
      </c>
      <c r="AX19" s="219">
        <f>IFERROR((SUM(Table1[[#This Row],[Minor Stoppages]:[Material Shortages]])/Table1[[#This Row],['# Stops]])*60,"")</f>
        <v>13.5</v>
      </c>
      <c r="AY19" s="219"/>
      <c r="AZ19" s="33">
        <v>46048</v>
      </c>
    </row>
    <row r="20" spans="1:52" ht="20.149999999999999" customHeight="1" x14ac:dyDescent="0.35">
      <c r="A20" s="21">
        <v>46037</v>
      </c>
      <c r="B20" s="22" t="str">
        <f t="shared" si="1"/>
        <v>Thursday</v>
      </c>
      <c r="C20" s="23" t="s">
        <v>108</v>
      </c>
      <c r="D20" s="24" cm="1">
        <f t="array" aca="1" ref="D20" ca="1">IFERROR(INDIRECT(C20),"")</f>
        <v>34.200000000000003</v>
      </c>
      <c r="E20" s="25">
        <v>30</v>
      </c>
      <c r="F20" s="26">
        <v>31.5</v>
      </c>
      <c r="G20" s="27">
        <f ca="1">IFERROR((Table1[[#This Row],[Plan]]/Table1[[#This Row],[Hours Used]])/(Table1[[#This Row],[SOC (TPD)]]/24),"")</f>
        <v>0.8771929824561403</v>
      </c>
      <c r="H20" s="27">
        <f ca="1">IFERROR((Table1[[#This Row],[Volume Delivered (T)]]/Table1[[#This Row],[Hours Used]])/(Table1[[#This Row],[SOC (TPD)]]/24),"")</f>
        <v>0.92105263157894735</v>
      </c>
      <c r="I20" s="28"/>
      <c r="J20" s="28"/>
      <c r="K20" s="28"/>
      <c r="L20" s="25"/>
      <c r="M20" s="29">
        <v>3.5000000000000003E-2</v>
      </c>
      <c r="N20" s="84"/>
      <c r="O20" s="25"/>
      <c r="P20" s="25"/>
      <c r="Q20" s="70">
        <v>0</v>
      </c>
      <c r="R20" s="71">
        <v>0</v>
      </c>
      <c r="S20" s="30">
        <f>IF(Table1[[#This Row],[SKU]]="",0,24-Table1[[#This Row],[Legal Non-Operating Time]]-Table1[[#This Row],[No Demand Time]]-Table1[[#This Row],[Force Majeure]])</f>
        <v>24</v>
      </c>
      <c r="T20" s="26"/>
      <c r="U20" s="26"/>
      <c r="V20" s="26"/>
      <c r="W20" s="26">
        <v>2.2000000000000002</v>
      </c>
      <c r="X20" s="26"/>
      <c r="Y20" s="26"/>
      <c r="Z20" s="26"/>
      <c r="AA20" s="30">
        <f>Table1[[#This Row],[Hours Used]]-SUM(Table1[[#This Row],[Planned Maintenance]:[Start and Finish Production]])</f>
        <v>21.8</v>
      </c>
      <c r="AB20" s="26"/>
      <c r="AC20" s="26"/>
      <c r="AD20" s="26"/>
      <c r="AE20" s="26"/>
      <c r="AF20" s="26"/>
      <c r="AG20" s="26"/>
      <c r="AH20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-0.30526315789473557</v>
      </c>
      <c r="AI20" s="24">
        <f ca="1">IFERROR(IF(Table1[[#This Row],[SKU]]="",0,Table1[[#This Row],[Quality Loss (T)]]/(Table1[[#This Row],[SOC (TPD)]]/24)),"")</f>
        <v>0</v>
      </c>
      <c r="AJ20" s="31">
        <f ca="1">IFERROR(IF(Table1[[#This Row],[SKU]]="",0,Table1[[#This Row],[Volume Delivered (T)]]/(Table1[[#This Row],[SOC (TPD)]]/24)),"")</f>
        <v>22.105263157894736</v>
      </c>
      <c r="AK20" s="31">
        <f ca="1">IFERROR(Table1[[#This Row],[Operating Time]]/Table1[[#This Row],[PRODUCTION HOURS]],"")</f>
        <v>1.0140028971511346</v>
      </c>
      <c r="AL20" s="32">
        <v>114</v>
      </c>
      <c r="AM20" s="32" t="s">
        <v>107</v>
      </c>
      <c r="AN20" s="32" t="s">
        <v>107</v>
      </c>
      <c r="AO20" s="32">
        <v>2</v>
      </c>
      <c r="AP20" s="32">
        <v>2</v>
      </c>
      <c r="AQ20" s="32"/>
      <c r="AR20" s="32" t="str">
        <f>IFERROR(SUMIFS(#REF!,#REF!,'Data Sheet'!A:A,#REF!,"Samridhi Perk Line")/SUMIFS(#REF!,#REF!,'Data Sheet'!A:A,#REF!,"Samridhi Perk Line"),"")</f>
        <v/>
      </c>
      <c r="AS20" s="32">
        <v>7</v>
      </c>
      <c r="AT20" s="32">
        <v>0</v>
      </c>
      <c r="AU20" s="211">
        <f>IFERROR(VLOOKUP(Table1[[#This Row],[Date]],'Overweight Data'!A18:G1113,6,FALSE),"")</f>
        <v>2.3287292817679578E-2</v>
      </c>
      <c r="AV20" s="221">
        <f ca="1">IFERROR(
   IF(
      OR(Table1[[#This Row],[Operating Time]]=0, (Table1[[#This Row],[Operating Time]]/IF(AC20&lt;=1,AC20+1,AC20))*60=0),
      1,
      ((Table1[[#This Row],[Operating Time]])/IF(AC20&lt;=1,AC20+1,AC20))*60
   ),
"_")</f>
        <v>1326.3157894736842</v>
      </c>
      <c r="AW20" s="221">
        <f>COUNTIFS('Downtime Data'!A:A,Table1[[#This Row],[Date]])</f>
        <v>1</v>
      </c>
      <c r="AX20" s="219">
        <f>IFERROR((SUM(Table1[[#This Row],[Minor Stoppages]:[Material Shortages]])/Table1[[#This Row],['# Stops]])*60,"")</f>
        <v>0</v>
      </c>
      <c r="AY20" s="219"/>
      <c r="AZ20" s="33">
        <v>46048</v>
      </c>
    </row>
    <row r="21" spans="1:52" ht="20.149999999999999" customHeight="1" x14ac:dyDescent="0.35">
      <c r="A21" s="21">
        <v>46038</v>
      </c>
      <c r="B21" s="22" t="str">
        <f t="shared" si="1"/>
        <v>Friday</v>
      </c>
      <c r="C21" s="23" t="s">
        <v>106</v>
      </c>
      <c r="D21" s="24" cm="1">
        <f t="array" aca="1" ref="D21" ca="1">IFERROR(INDIRECT(C21),"")</f>
        <v>39.200000000000003</v>
      </c>
      <c r="E21" s="25">
        <v>32</v>
      </c>
      <c r="F21" s="26">
        <v>38.6</v>
      </c>
      <c r="G21" s="27">
        <f ca="1">IFERROR((Table1[[#This Row],[Plan]]/Table1[[#This Row],[Hours Used]])/(Table1[[#This Row],[SOC (TPD)]]/24),"")</f>
        <v>0.81632653061224481</v>
      </c>
      <c r="H21" s="27">
        <f ca="1">IFERROR((Table1[[#This Row],[Volume Delivered (T)]]/Table1[[#This Row],[Hours Used]])/(Table1[[#This Row],[SOC (TPD)]]/24),"")</f>
        <v>0.98469387755102034</v>
      </c>
      <c r="I21" s="28"/>
      <c r="J21" s="28"/>
      <c r="K21" s="28"/>
      <c r="L21" s="25"/>
      <c r="M21" s="29">
        <v>3.5000000000000003E-2</v>
      </c>
      <c r="N21" s="84"/>
      <c r="O21" s="25"/>
      <c r="P21" s="25"/>
      <c r="Q21" s="70">
        <v>0</v>
      </c>
      <c r="R21" s="71">
        <v>0</v>
      </c>
      <c r="S21" s="30">
        <f>IF(Table1[[#This Row],[SKU]]="",0,24-Table1[[#This Row],[Legal Non-Operating Time]]-Table1[[#This Row],[No Demand Time]]-Table1[[#This Row],[Force Majeure]])</f>
        <v>24</v>
      </c>
      <c r="T21" s="26"/>
      <c r="U21" s="26"/>
      <c r="V21" s="26"/>
      <c r="W21" s="26"/>
      <c r="X21" s="26"/>
      <c r="Y21" s="26"/>
      <c r="Z21" s="26"/>
      <c r="AA21" s="30">
        <f>Table1[[#This Row],[Hours Used]]-SUM(Table1[[#This Row],[Planned Maintenance]:[Start and Finish Production]])</f>
        <v>24</v>
      </c>
      <c r="AB21" s="26"/>
      <c r="AC21" s="26"/>
      <c r="AD21" s="26"/>
      <c r="AE21" s="26"/>
      <c r="AF21" s="26"/>
      <c r="AG21" s="26"/>
      <c r="AH21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0.36734693877551194</v>
      </c>
      <c r="AI21" s="24">
        <f ca="1">IFERROR(IF(Table1[[#This Row],[SKU]]="",0,Table1[[#This Row],[Quality Loss (T)]]/(Table1[[#This Row],[SOC (TPD)]]/24)),"")</f>
        <v>0</v>
      </c>
      <c r="AJ21" s="31">
        <f ca="1">IFERROR(IF(Table1[[#This Row],[SKU]]="",0,Table1[[#This Row],[Volume Delivered (T)]]/(Table1[[#This Row],[SOC (TPD)]]/24)),"")</f>
        <v>23.632653061224488</v>
      </c>
      <c r="AK21" s="31">
        <f ca="1">IFERROR(Table1[[#This Row],[Operating Time]]/Table1[[#This Row],[PRODUCTION HOURS]],"")</f>
        <v>0.98469387755102034</v>
      </c>
      <c r="AL21" s="32">
        <v>119</v>
      </c>
      <c r="AM21" s="32" t="s">
        <v>107</v>
      </c>
      <c r="AN21" s="32" t="s">
        <v>107</v>
      </c>
      <c r="AO21" s="32">
        <v>0</v>
      </c>
      <c r="AP21" s="32">
        <v>0</v>
      </c>
      <c r="AQ21" s="32"/>
      <c r="AR21" s="32" t="str">
        <f>IFERROR(SUMIFS(#REF!,#REF!,'Data Sheet'!A:A,#REF!,"Samridhi Perk Line")/SUMIFS(#REF!,#REF!,'Data Sheet'!A:A,#REF!,"Samridhi Perk Line"),"")</f>
        <v/>
      </c>
      <c r="AS21" s="32">
        <v>8</v>
      </c>
      <c r="AT21" s="32">
        <v>0</v>
      </c>
      <c r="AU21" s="211">
        <f>IFERROR(VLOOKUP(Table1[[#This Row],[Date]],'Overweight Data'!A19:G1114,6,FALSE),"")</f>
        <v>2.5580110497237598E-2</v>
      </c>
      <c r="AV21" s="221">
        <f ca="1">IFERROR(
   IF(
      OR(Table1[[#This Row],[Operating Time]]=0, (Table1[[#This Row],[Operating Time]]/IF(AC21&lt;=1,AC21+1,AC21))*60=0),
      1,
      ((Table1[[#This Row],[Operating Time]])/IF(AC21&lt;=1,AC21+1,AC21))*60
   ),
"_")</f>
        <v>1417.9591836734694</v>
      </c>
      <c r="AW21" s="221">
        <f>COUNTIFS('Downtime Data'!A:A,Table1[[#This Row],[Date]])</f>
        <v>0</v>
      </c>
      <c r="AX21" s="219" t="str">
        <f>IFERROR((SUM(Table1[[#This Row],[Minor Stoppages]:[Material Shortages]])/Table1[[#This Row],['# Stops]])*60,"")</f>
        <v/>
      </c>
      <c r="AY21" s="219"/>
      <c r="AZ21" s="33">
        <v>46048</v>
      </c>
    </row>
    <row r="22" spans="1:52" ht="20.149999999999999" customHeight="1" x14ac:dyDescent="0.35">
      <c r="A22" s="21">
        <v>46039</v>
      </c>
      <c r="B22" s="22" t="str">
        <f t="shared" si="1"/>
        <v>Saturday</v>
      </c>
      <c r="C22" s="23" t="s">
        <v>106</v>
      </c>
      <c r="D22" s="24" cm="1">
        <f t="array" aca="1" ref="D22" ca="1">IFERROR(INDIRECT(C22),"")</f>
        <v>39.200000000000003</v>
      </c>
      <c r="E22" s="25">
        <v>32</v>
      </c>
      <c r="F22" s="26">
        <v>35.200000000000003</v>
      </c>
      <c r="G22" s="27">
        <f ca="1">IFERROR((Table1[[#This Row],[Plan]]/Table1[[#This Row],[Hours Used]])/(Table1[[#This Row],[SOC (TPD)]]/24),"")</f>
        <v>0.81632653061224481</v>
      </c>
      <c r="H22" s="27">
        <f ca="1">IFERROR((Table1[[#This Row],[Volume Delivered (T)]]/Table1[[#This Row],[Hours Used]])/(Table1[[#This Row],[SOC (TPD)]]/24),"")</f>
        <v>0.89795918367346939</v>
      </c>
      <c r="I22" s="28"/>
      <c r="J22" s="28"/>
      <c r="K22" s="28"/>
      <c r="L22" s="25">
        <v>0.2</v>
      </c>
      <c r="M22" s="29">
        <v>3.5000000000000003E-2</v>
      </c>
      <c r="N22" s="84"/>
      <c r="O22" s="25"/>
      <c r="P22" s="25"/>
      <c r="Q22" s="70">
        <v>0</v>
      </c>
      <c r="R22" s="71">
        <v>0</v>
      </c>
      <c r="S22" s="30">
        <f>IF(Table1[[#This Row],[SKU]]="",0,24-Table1[[#This Row],[Legal Non-Operating Time]]-Table1[[#This Row],[No Demand Time]]-Table1[[#This Row],[Force Majeure]])</f>
        <v>24</v>
      </c>
      <c r="T22" s="26"/>
      <c r="U22" s="26"/>
      <c r="V22" s="26"/>
      <c r="W22" s="26"/>
      <c r="X22" s="26"/>
      <c r="Y22" s="26"/>
      <c r="Z22" s="26"/>
      <c r="AA22" s="30">
        <f>Table1[[#This Row],[Hours Used]]-SUM(Table1[[#This Row],[Planned Maintenance]:[Start and Finish Production]])</f>
        <v>24</v>
      </c>
      <c r="AB22" s="26"/>
      <c r="AC22" s="26"/>
      <c r="AD22" s="26">
        <v>1</v>
      </c>
      <c r="AE22" s="26"/>
      <c r="AF22" s="26"/>
      <c r="AG22" s="26"/>
      <c r="AH22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1.3265306122448983</v>
      </c>
      <c r="AI22" s="24">
        <f ca="1">IFERROR(IF(Table1[[#This Row],[SKU]]="",0,Table1[[#This Row],[Quality Loss (T)]]/(Table1[[#This Row],[SOC (TPD)]]/24)),"")</f>
        <v>0.12244897959183673</v>
      </c>
      <c r="AJ22" s="31">
        <f ca="1">IFERROR(IF(Table1[[#This Row],[SKU]]="",0,Table1[[#This Row],[Volume Delivered (T)]]/(Table1[[#This Row],[SOC (TPD)]]/24)),"")</f>
        <v>21.551020408163264</v>
      </c>
      <c r="AK22" s="31">
        <f ca="1">IFERROR(Table1[[#This Row],[Operating Time]]/Table1[[#This Row],[PRODUCTION HOURS]],"")</f>
        <v>0.89795918367346939</v>
      </c>
      <c r="AL22" s="32">
        <v>111</v>
      </c>
      <c r="AM22" s="32" t="s">
        <v>107</v>
      </c>
      <c r="AN22" s="32" t="s">
        <v>107</v>
      </c>
      <c r="AO22" s="32">
        <v>0</v>
      </c>
      <c r="AP22" s="32">
        <v>0</v>
      </c>
      <c r="AQ22" s="32"/>
      <c r="AR22" s="32" t="str">
        <f>IFERROR(SUMIFS(#REF!,#REF!,'Data Sheet'!A:A,#REF!,"Samridhi Perk Line")/SUMIFS(#REF!,#REF!,'Data Sheet'!A:A,#REF!,"Samridhi Perk Line"),"")</f>
        <v/>
      </c>
      <c r="AS22" s="32">
        <v>35</v>
      </c>
      <c r="AT22" s="32">
        <v>0</v>
      </c>
      <c r="AU22" s="211">
        <f>IFERROR(VLOOKUP(Table1[[#This Row],[Date]],'Overweight Data'!A20:G1115,6,FALSE),"")</f>
        <v>3.1058931860036793E-2</v>
      </c>
      <c r="AV22" s="221">
        <f ca="1">IFERROR(
   IF(
      OR(Table1[[#This Row],[Operating Time]]=0, (Table1[[#This Row],[Operating Time]]/IF(AC22&lt;=1,AC22+1,AC22))*60=0),
      1,
      ((Table1[[#This Row],[Operating Time]])/IF(AC22&lt;=1,AC22+1,AC22))*60
   ),
"_")</f>
        <v>1293.0612244897959</v>
      </c>
      <c r="AW22" s="221">
        <f>COUNTIFS('Downtime Data'!A:A,Table1[[#This Row],[Date]])</f>
        <v>1</v>
      </c>
      <c r="AX22" s="219">
        <f>IFERROR((SUM(Table1[[#This Row],[Minor Stoppages]:[Material Shortages]])/Table1[[#This Row],['# Stops]])*60,"")</f>
        <v>60</v>
      </c>
      <c r="AY22" s="219"/>
      <c r="AZ22" s="33">
        <v>46048</v>
      </c>
    </row>
    <row r="23" spans="1:52" ht="20.149999999999999" customHeight="1" x14ac:dyDescent="0.35">
      <c r="A23" s="21">
        <v>46040</v>
      </c>
      <c r="B23" s="22" t="str">
        <f t="shared" si="1"/>
        <v>Sunday</v>
      </c>
      <c r="C23" s="23" t="s">
        <v>106</v>
      </c>
      <c r="D23" s="24" cm="1">
        <f t="array" aca="1" ref="D23" ca="1">IFERROR(INDIRECT(C23),"")</f>
        <v>39.200000000000003</v>
      </c>
      <c r="E23" s="25">
        <v>32</v>
      </c>
      <c r="F23" s="26">
        <v>32.590000000000003</v>
      </c>
      <c r="G23" s="27">
        <f ca="1">IFERROR((Table1[[#This Row],[Plan]]/Table1[[#This Row],[Hours Used]])/(Table1[[#This Row],[SOC (TPD)]]/24),"")</f>
        <v>0.81632653061224481</v>
      </c>
      <c r="H23" s="27">
        <f ca="1">IFERROR((Table1[[#This Row],[Volume Delivered (T)]]/Table1[[#This Row],[Hours Used]])/(Table1[[#This Row],[SOC (TPD)]]/24),"")</f>
        <v>0.83137755102040822</v>
      </c>
      <c r="I23" s="28"/>
      <c r="J23" s="28"/>
      <c r="K23" s="28"/>
      <c r="L23" s="25">
        <v>1.72</v>
      </c>
      <c r="M23" s="29">
        <v>3.5000000000000003E-2</v>
      </c>
      <c r="N23" s="84"/>
      <c r="O23" s="25"/>
      <c r="P23" s="25"/>
      <c r="Q23" s="70">
        <v>0</v>
      </c>
      <c r="R23" s="71">
        <v>0</v>
      </c>
      <c r="S23" s="30">
        <f>IF(Table1[[#This Row],[SKU]]="",0,24-Table1[[#This Row],[Legal Non-Operating Time]]-Table1[[#This Row],[No Demand Time]]-Table1[[#This Row],[Force Majeure]])</f>
        <v>24</v>
      </c>
      <c r="T23" s="26"/>
      <c r="U23" s="26"/>
      <c r="V23" s="26"/>
      <c r="W23" s="26"/>
      <c r="X23" s="26"/>
      <c r="Y23" s="26"/>
      <c r="Z23" s="26"/>
      <c r="AA23" s="30">
        <f>Table1[[#This Row],[Hours Used]]-SUM(Table1[[#This Row],[Planned Maintenance]:[Start and Finish Production]])</f>
        <v>24</v>
      </c>
      <c r="AB23" s="26">
        <v>0.5</v>
      </c>
      <c r="AC23" s="26">
        <v>1</v>
      </c>
      <c r="AD23" s="26">
        <v>0.75</v>
      </c>
      <c r="AE23" s="26"/>
      <c r="AF23" s="26"/>
      <c r="AG23" s="26"/>
      <c r="AH23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0.74387755102040742</v>
      </c>
      <c r="AI23" s="24">
        <f ca="1">IFERROR(IF(Table1[[#This Row],[SKU]]="",0,Table1[[#This Row],[Quality Loss (T)]]/(Table1[[#This Row],[SOC (TPD)]]/24)),"")</f>
        <v>1.0530612244897959</v>
      </c>
      <c r="AJ23" s="31">
        <f ca="1">IFERROR(IF(Table1[[#This Row],[SKU]]="",0,Table1[[#This Row],[Volume Delivered (T)]]/(Table1[[#This Row],[SOC (TPD)]]/24)),"")</f>
        <v>19.953061224489797</v>
      </c>
      <c r="AK23" s="31">
        <f ca="1">IFERROR(Table1[[#This Row],[Operating Time]]/Table1[[#This Row],[PRODUCTION HOURS]],"")</f>
        <v>0.83137755102040822</v>
      </c>
      <c r="AL23" s="32">
        <v>97</v>
      </c>
      <c r="AM23" s="32" t="s">
        <v>107</v>
      </c>
      <c r="AN23" s="32" t="s">
        <v>107</v>
      </c>
      <c r="AO23" s="32">
        <v>0</v>
      </c>
      <c r="AP23" s="32">
        <v>0</v>
      </c>
      <c r="AQ23" s="32"/>
      <c r="AR23" s="32" t="str">
        <f>IFERROR(SUMIFS(#REF!,#REF!,'Data Sheet'!A:A,#REF!,"Samridhi Perk Line")/SUMIFS(#REF!,#REF!,'Data Sheet'!A:A,#REF!,"Samridhi Perk Line"),"")</f>
        <v/>
      </c>
      <c r="AS23" s="32">
        <v>2</v>
      </c>
      <c r="AT23" s="32">
        <v>0</v>
      </c>
      <c r="AU23" s="211">
        <f>IFERROR(VLOOKUP(Table1[[#This Row],[Date]],'Overweight Data'!A21:G1116,6,FALSE),"")</f>
        <v>1.8075506445672185E-2</v>
      </c>
      <c r="AV23" s="221">
        <f ca="1">IFERROR(
   IF(
      OR(Table1[[#This Row],[Operating Time]]=0, (Table1[[#This Row],[Operating Time]]/IF(AC23&lt;=1,AC23+1,AC23))*60=0),
      1,
      ((Table1[[#This Row],[Operating Time]])/IF(AC23&lt;=1,AC23+1,AC23))*60
   ),
"_")</f>
        <v>598.59183673469397</v>
      </c>
      <c r="AW23" s="221">
        <f>COUNTIFS('Downtime Data'!A:A,Table1[[#This Row],[Date]])</f>
        <v>4</v>
      </c>
      <c r="AX23" s="219">
        <f>IFERROR((SUM(Table1[[#This Row],[Minor Stoppages]:[Material Shortages]])/Table1[[#This Row],['# Stops]])*60,"")</f>
        <v>33.75</v>
      </c>
      <c r="AY23" s="219"/>
      <c r="AZ23" s="33">
        <v>46048</v>
      </c>
    </row>
    <row r="24" spans="1:52" ht="20.149999999999999" customHeight="1" x14ac:dyDescent="0.35">
      <c r="A24" s="21">
        <v>46041</v>
      </c>
      <c r="B24" s="22" t="str">
        <f t="shared" si="1"/>
        <v>Monday</v>
      </c>
      <c r="C24" s="23" t="s">
        <v>106</v>
      </c>
      <c r="D24" s="24" cm="1">
        <f t="array" aca="1" ref="D24" ca="1">IFERROR(INDIRECT(C24),"")</f>
        <v>39.200000000000003</v>
      </c>
      <c r="E24" s="25">
        <v>32</v>
      </c>
      <c r="F24" s="26">
        <v>31.8</v>
      </c>
      <c r="G24" s="27">
        <f ca="1">IFERROR((Table1[[#This Row],[Plan]]/Table1[[#This Row],[Hours Used]])/(Table1[[#This Row],[SOC (TPD)]]/24),"")</f>
        <v>0.81632653061224481</v>
      </c>
      <c r="H24" s="27">
        <f ca="1">IFERROR((Table1[[#This Row],[Volume Delivered (T)]]/Table1[[#This Row],[Hours Used]])/(Table1[[#This Row],[SOC (TPD)]]/24),"")</f>
        <v>0.81122448979591821</v>
      </c>
      <c r="I24" s="28"/>
      <c r="J24" s="28"/>
      <c r="K24" s="28"/>
      <c r="L24" s="25">
        <v>2.048</v>
      </c>
      <c r="M24" s="29">
        <v>3.5000000000000003E-2</v>
      </c>
      <c r="N24" s="84"/>
      <c r="O24" s="25"/>
      <c r="P24" s="25"/>
      <c r="Q24" s="70">
        <v>3</v>
      </c>
      <c r="R24" s="71">
        <v>3</v>
      </c>
      <c r="S24" s="30">
        <f>IF(Table1[[#This Row],[SKU]]="",0,24-Table1[[#This Row],[Legal Non-Operating Time]]-Table1[[#This Row],[No Demand Time]]-Table1[[#This Row],[Force Majeure]])</f>
        <v>24</v>
      </c>
      <c r="T24" s="26"/>
      <c r="U24" s="26"/>
      <c r="V24" s="26"/>
      <c r="W24" s="26"/>
      <c r="X24" s="26"/>
      <c r="Y24" s="26"/>
      <c r="Z24" s="26"/>
      <c r="AA24" s="30">
        <f>Table1[[#This Row],[Hours Used]]-SUM(Table1[[#This Row],[Planned Maintenance]:[Start and Finish Production]])</f>
        <v>24</v>
      </c>
      <c r="AB24" s="26">
        <v>1</v>
      </c>
      <c r="AC24" s="26">
        <v>0.5</v>
      </c>
      <c r="AD24" s="26">
        <v>1</v>
      </c>
      <c r="AE24" s="26"/>
      <c r="AF24" s="26"/>
      <c r="AG24" s="26"/>
      <c r="AH24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0.77673469387755034</v>
      </c>
      <c r="AI24" s="24">
        <f ca="1">IFERROR(IF(Table1[[#This Row],[SKU]]="",0,Table1[[#This Row],[Quality Loss (T)]]/(Table1[[#This Row],[SOC (TPD)]]/24)),"")</f>
        <v>1.2538775510204081</v>
      </c>
      <c r="AJ24" s="31">
        <f ca="1">IFERROR(IF(Table1[[#This Row],[SKU]]="",0,Table1[[#This Row],[Volume Delivered (T)]]/(Table1[[#This Row],[SOC (TPD)]]/24)),"")</f>
        <v>19.469387755102041</v>
      </c>
      <c r="AK24" s="31">
        <f ca="1">IFERROR(Table1[[#This Row],[Operating Time]]/Table1[[#This Row],[PRODUCTION HOURS]],"")</f>
        <v>0.81122448979591832</v>
      </c>
      <c r="AL24" s="32">
        <v>84</v>
      </c>
      <c r="AM24" s="32" t="s">
        <v>107</v>
      </c>
      <c r="AN24" s="32" t="s">
        <v>107</v>
      </c>
      <c r="AO24" s="32">
        <v>3</v>
      </c>
      <c r="AP24" s="32">
        <v>0</v>
      </c>
      <c r="AQ24" s="32"/>
      <c r="AR24" s="32" t="str">
        <f>IFERROR(SUMIFS(#REF!,#REF!,'Data Sheet'!A:A,#REF!,"Samridhi Perk Line")/SUMIFS(#REF!,#REF!,'Data Sheet'!A:A,#REF!,"Samridhi Perk Line"),"")</f>
        <v/>
      </c>
      <c r="AS24" s="32">
        <v>7</v>
      </c>
      <c r="AT24" s="32">
        <v>0</v>
      </c>
      <c r="AU24" s="211">
        <f>IFERROR(VLOOKUP(Table1[[#This Row],[Date]],'Overweight Data'!A22:G1117,6,FALSE),"")</f>
        <v>2.0856353591160254E-2</v>
      </c>
      <c r="AV24" s="221">
        <f ca="1">IFERROR(
   IF(
      OR(Table1[[#This Row],[Operating Time]]=0, (Table1[[#This Row],[Operating Time]]/IF(AC24&lt;=1,AC24+1,AC24))*60=0),
      1,
      ((Table1[[#This Row],[Operating Time]])/IF(AC24&lt;=1,AC24+1,AC24))*60
   ),
"_")</f>
        <v>778.77551020408157</v>
      </c>
      <c r="AW24" s="221">
        <f>COUNTIFS('Downtime Data'!A:A,Table1[[#This Row],[Date]])</f>
        <v>3</v>
      </c>
      <c r="AX24" s="219">
        <f>IFERROR((SUM(Table1[[#This Row],[Minor Stoppages]:[Material Shortages]])/Table1[[#This Row],['# Stops]])*60,"")</f>
        <v>50</v>
      </c>
      <c r="AY24" s="219"/>
      <c r="AZ24" s="33">
        <v>46048</v>
      </c>
    </row>
    <row r="25" spans="1:52" ht="20.149999999999999" customHeight="1" x14ac:dyDescent="0.35">
      <c r="A25" s="21">
        <v>46042</v>
      </c>
      <c r="B25" s="22" t="str">
        <f t="shared" si="1"/>
        <v>Tuesday</v>
      </c>
      <c r="C25" s="23" t="s">
        <v>106</v>
      </c>
      <c r="D25" s="24" cm="1">
        <f t="array" aca="1" ref="D25" ca="1">IFERROR(INDIRECT(C25),"")</f>
        <v>39.200000000000003</v>
      </c>
      <c r="E25" s="25">
        <v>32</v>
      </c>
      <c r="F25" s="26">
        <v>36.36</v>
      </c>
      <c r="G25" s="27">
        <f ca="1">IFERROR((Table1[[#This Row],[Plan]]/Table1[[#This Row],[Hours Used]])/(Table1[[#This Row],[SOC (TPD)]]/24),"")</f>
        <v>0.81632653061224481</v>
      </c>
      <c r="H25" s="27">
        <f ca="1">IFERROR((Table1[[#This Row],[Volume Delivered (T)]]/Table1[[#This Row],[Hours Used]])/(Table1[[#This Row],[SOC (TPD)]]/24),"")</f>
        <v>0.92755102040816306</v>
      </c>
      <c r="I25" s="28"/>
      <c r="J25" s="28"/>
      <c r="K25" s="28"/>
      <c r="L25" s="25">
        <v>2.1230000000000002</v>
      </c>
      <c r="M25" s="29">
        <v>3.5000000000000003E-2</v>
      </c>
      <c r="N25" s="84"/>
      <c r="O25" s="25"/>
      <c r="P25" s="25"/>
      <c r="Q25" s="70">
        <v>0</v>
      </c>
      <c r="R25" s="71">
        <v>0</v>
      </c>
      <c r="S25" s="30">
        <f>IF(Table1[[#This Row],[SKU]]="",0,24-Table1[[#This Row],[Legal Non-Operating Time]]-Table1[[#This Row],[No Demand Time]]-Table1[[#This Row],[Force Majeure]])</f>
        <v>24</v>
      </c>
      <c r="T25" s="26"/>
      <c r="U25" s="26"/>
      <c r="V25" s="26"/>
      <c r="W25" s="26"/>
      <c r="X25" s="26"/>
      <c r="Y25" s="26"/>
      <c r="Z25" s="26"/>
      <c r="AA25" s="30">
        <f>Table1[[#This Row],[Hours Used]]-SUM(Table1[[#This Row],[Planned Maintenance]:[Start and Finish Production]])</f>
        <v>24</v>
      </c>
      <c r="AB25" s="26"/>
      <c r="AC25" s="26">
        <v>0.2</v>
      </c>
      <c r="AD25" s="26"/>
      <c r="AE25" s="26"/>
      <c r="AF25" s="26"/>
      <c r="AG25" s="26"/>
      <c r="AH25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0.23897959183673834</v>
      </c>
      <c r="AI25" s="24">
        <f ca="1">IFERROR(IF(Table1[[#This Row],[SKU]]="",0,Table1[[#This Row],[Quality Loss (T)]]/(Table1[[#This Row],[SOC (TPD)]]/24)),"")</f>
        <v>1.2997959183673469</v>
      </c>
      <c r="AJ25" s="31">
        <f ca="1">IFERROR(IF(Table1[[#This Row],[SKU]]="",0,Table1[[#This Row],[Volume Delivered (T)]]/(Table1[[#This Row],[SOC (TPD)]]/24)),"")</f>
        <v>22.261224489795914</v>
      </c>
      <c r="AK25" s="31">
        <f ca="1">IFERROR(Table1[[#This Row],[Operating Time]]/Table1[[#This Row],[PRODUCTION HOURS]],"")</f>
        <v>0.92755102040816306</v>
      </c>
      <c r="AL25" s="32">
        <v>102</v>
      </c>
      <c r="AM25" s="32" t="s">
        <v>107</v>
      </c>
      <c r="AN25" s="32" t="s">
        <v>107</v>
      </c>
      <c r="AO25" s="32">
        <v>0</v>
      </c>
      <c r="AP25" s="32">
        <v>0</v>
      </c>
      <c r="AQ25" s="32"/>
      <c r="AR25" s="32" t="str">
        <f>IFERROR(SUMIFS(#REF!,#REF!,'Data Sheet'!A:A,#REF!,"Samridhi Perk Line")/SUMIFS(#REF!,#REF!,'Data Sheet'!A:A,#REF!,"Samridhi Perk Line"),"")</f>
        <v/>
      </c>
      <c r="AS25" s="32">
        <v>17</v>
      </c>
      <c r="AT25" s="32">
        <v>0</v>
      </c>
      <c r="AU25" s="211">
        <f>IFERROR(VLOOKUP(Table1[[#This Row],[Date]],'Overweight Data'!A23:G1118,6,FALSE),"")</f>
        <v>2.8775322283609576E-2</v>
      </c>
      <c r="AV25" s="221">
        <f ca="1">IFERROR(
   IF(
      OR(Table1[[#This Row],[Operating Time]]=0, (Table1[[#This Row],[Operating Time]]/IF(AC25&lt;=1,AC25+1,AC25))*60=0),
      1,
      ((Table1[[#This Row],[Operating Time]])/IF(AC25&lt;=1,AC25+1,AC25))*60
   ),
"_")</f>
        <v>1113.0612244897959</v>
      </c>
      <c r="AW25" s="221">
        <f>COUNTIFS('Downtime Data'!A:A,Table1[[#This Row],[Date]])</f>
        <v>1</v>
      </c>
      <c r="AX25" s="219">
        <f>IFERROR((SUM(Table1[[#This Row],[Minor Stoppages]:[Material Shortages]])/Table1[[#This Row],['# Stops]])*60,"")</f>
        <v>12</v>
      </c>
      <c r="AY25" s="219"/>
      <c r="AZ25" s="33">
        <v>46048</v>
      </c>
    </row>
    <row r="26" spans="1:52" ht="20.149999999999999" customHeight="1" x14ac:dyDescent="0.35">
      <c r="A26" s="21">
        <v>46043</v>
      </c>
      <c r="B26" s="22" t="str">
        <f t="shared" si="1"/>
        <v>Wednesday</v>
      </c>
      <c r="C26" s="23" t="s">
        <v>109</v>
      </c>
      <c r="D26" s="24" cm="1">
        <f t="array" aca="1" ref="D26" ca="1">IFERROR(INDIRECT(C26),"")</f>
        <v>24.5</v>
      </c>
      <c r="E26" s="25">
        <v>6</v>
      </c>
      <c r="F26" s="26">
        <v>8</v>
      </c>
      <c r="G26" s="27">
        <f ca="1">IFERROR((Table1[[#This Row],[Plan]]/Table1[[#This Row],[Hours Used]])/(Table1[[#This Row],[SOC (TPD)]]/24),"")</f>
        <v>0.48979591836734698</v>
      </c>
      <c r="H26" s="27">
        <f ca="1">IFERROR((Table1[[#This Row],[Volume Delivered (T)]]/Table1[[#This Row],[Hours Used]])/(Table1[[#This Row],[SOC (TPD)]]/24),"")</f>
        <v>0.65306122448979598</v>
      </c>
      <c r="I26" s="28"/>
      <c r="J26" s="28">
        <v>12</v>
      </c>
      <c r="K26" s="28"/>
      <c r="L26" s="25">
        <v>0.2</v>
      </c>
      <c r="M26" s="29">
        <v>3.5000000000000003E-2</v>
      </c>
      <c r="N26" s="84"/>
      <c r="O26" s="25"/>
      <c r="P26" s="25"/>
      <c r="Q26" s="70">
        <v>0</v>
      </c>
      <c r="R26" s="71">
        <v>0</v>
      </c>
      <c r="S26" s="30">
        <f>IF(Table1[[#This Row],[SKU]]="",0,24-Table1[[#This Row],[Legal Non-Operating Time]]-Table1[[#This Row],[No Demand Time]]-Table1[[#This Row],[Force Majeure]])</f>
        <v>12</v>
      </c>
      <c r="T26" s="26"/>
      <c r="U26" s="26"/>
      <c r="V26" s="26">
        <v>4</v>
      </c>
      <c r="W26" s="26"/>
      <c r="X26" s="26"/>
      <c r="Y26" s="26"/>
      <c r="Z26" s="26"/>
      <c r="AA26" s="30">
        <f>Table1[[#This Row],[Hours Used]]-SUM(Table1[[#This Row],[Planned Maintenance]:[Start and Finish Production]])</f>
        <v>8</v>
      </c>
      <c r="AB26" s="26"/>
      <c r="AC26" s="26"/>
      <c r="AD26" s="26"/>
      <c r="AE26" s="26"/>
      <c r="AF26" s="26"/>
      <c r="AG26" s="26"/>
      <c r="AH26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-3.2653061224490187E-2</v>
      </c>
      <c r="AI26" s="24">
        <f ca="1">IFERROR(IF(Table1[[#This Row],[SKU]]="",0,Table1[[#This Row],[Quality Loss (T)]]/(Table1[[#This Row],[SOC (TPD)]]/24)),"")</f>
        <v>0.19591836734693879</v>
      </c>
      <c r="AJ26" s="31">
        <f ca="1">IFERROR(IF(Table1[[#This Row],[SKU]]="",0,Table1[[#This Row],[Volume Delivered (T)]]/(Table1[[#This Row],[SOC (TPD)]]/24)),"")</f>
        <v>7.8367346938775517</v>
      </c>
      <c r="AK26" s="31">
        <f ca="1">IFERROR(Table1[[#This Row],[Operating Time]]/Table1[[#This Row],[PRODUCTION HOURS]],"")</f>
        <v>0.97959183673469397</v>
      </c>
      <c r="AL26" s="32">
        <v>96</v>
      </c>
      <c r="AM26" s="32" t="s">
        <v>107</v>
      </c>
      <c r="AN26" s="32" t="s">
        <v>107</v>
      </c>
      <c r="AO26" s="32">
        <v>18</v>
      </c>
      <c r="AP26" s="32">
        <v>18</v>
      </c>
      <c r="AQ26" s="32"/>
      <c r="AR26" s="32" t="str">
        <f>IFERROR(SUMIFS(#REF!,#REF!,'Data Sheet'!A:A,#REF!,"Samridhi Perk Line")/SUMIFS(#REF!,#REF!,'Data Sheet'!A:A,#REF!,"Samridhi Perk Line"),"")</f>
        <v/>
      </c>
      <c r="AS26" s="32">
        <v>13</v>
      </c>
      <c r="AT26" s="32">
        <v>0</v>
      </c>
      <c r="AU26" s="211">
        <f>IFERROR(VLOOKUP(Table1[[#This Row],[Date]],'Overweight Data'!A24:G1119,6,FALSE),"")</f>
        <v>2.2812174013831472E-2</v>
      </c>
      <c r="AV26" s="221">
        <f ca="1">IFERROR(
   IF(
      OR(Table1[[#This Row],[Operating Time]]=0, (Table1[[#This Row],[Operating Time]]/IF(AC26&lt;=1,AC26+1,AC26))*60=0),
      1,
      ((Table1[[#This Row],[Operating Time]])/IF(AC26&lt;=1,AC26+1,AC26))*60
   ),
"_")</f>
        <v>470.20408163265313</v>
      </c>
      <c r="AW26" s="221">
        <f>COUNTIFS('Downtime Data'!A:A,Table1[[#This Row],[Date]])</f>
        <v>1</v>
      </c>
      <c r="AX26" s="219">
        <f>IFERROR((SUM(Table1[[#This Row],[Minor Stoppages]:[Material Shortages]])/Table1[[#This Row],['# Stops]])*60,"")</f>
        <v>0</v>
      </c>
      <c r="AY26" s="219"/>
      <c r="AZ26" s="33">
        <v>46048</v>
      </c>
    </row>
    <row r="27" spans="1:52" ht="20.149999999999999" customHeight="1" x14ac:dyDescent="0.35">
      <c r="A27" s="21">
        <v>46044</v>
      </c>
      <c r="B27" s="22" t="str">
        <f t="shared" si="1"/>
        <v>Thursday</v>
      </c>
      <c r="C27" s="23" t="s">
        <v>109</v>
      </c>
      <c r="D27" s="24" cm="1">
        <f t="array" aca="1" ref="D27" ca="1">IFERROR(INDIRECT(C27),"")</f>
        <v>24.5</v>
      </c>
      <c r="E27" s="25">
        <v>20</v>
      </c>
      <c r="F27" s="26">
        <v>21.160000000000004</v>
      </c>
      <c r="G27" s="27">
        <f ca="1">IFERROR((Table1[[#This Row],[Plan]]/Table1[[#This Row],[Hours Used]])/(Table1[[#This Row],[SOC (TPD)]]/24),"")</f>
        <v>0.81632653061224503</v>
      </c>
      <c r="H27" s="27">
        <f ca="1">IFERROR((Table1[[#This Row],[Volume Delivered (T)]]/Table1[[#This Row],[Hours Used]])/(Table1[[#This Row],[SOC (TPD)]]/24),"")</f>
        <v>0.86367346938775535</v>
      </c>
      <c r="I27" s="28"/>
      <c r="J27" s="28"/>
      <c r="K27" s="28"/>
      <c r="L27" s="25">
        <v>1.2</v>
      </c>
      <c r="M27" s="29">
        <v>3.5000000000000003E-2</v>
      </c>
      <c r="N27" s="84"/>
      <c r="O27" s="25"/>
      <c r="P27" s="25"/>
      <c r="Q27" s="70">
        <v>0</v>
      </c>
      <c r="R27" s="71">
        <v>0</v>
      </c>
      <c r="S27" s="30">
        <f>IF(Table1[[#This Row],[SKU]]="",0,24-Table1[[#This Row],[Legal Non-Operating Time]]-Table1[[#This Row],[No Demand Time]]-Table1[[#This Row],[Force Majeure]])</f>
        <v>24</v>
      </c>
      <c r="T27" s="26"/>
      <c r="U27" s="26"/>
      <c r="V27" s="26"/>
      <c r="W27" s="26"/>
      <c r="X27" s="26"/>
      <c r="Y27" s="26"/>
      <c r="Z27" s="26"/>
      <c r="AA27" s="30">
        <f>Table1[[#This Row],[Hours Used]]-SUM(Table1[[#This Row],[Planned Maintenance]:[Start and Finish Production]])</f>
        <v>24</v>
      </c>
      <c r="AB27" s="26">
        <v>0.7</v>
      </c>
      <c r="AC27" s="26"/>
      <c r="AD27" s="26">
        <v>1</v>
      </c>
      <c r="AE27" s="26"/>
      <c r="AF27" s="26"/>
      <c r="AG27" s="26"/>
      <c r="AH27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0.39632653061224232</v>
      </c>
      <c r="AI27" s="24">
        <f ca="1">IFERROR(IF(Table1[[#This Row],[SKU]]="",0,Table1[[#This Row],[Quality Loss (T)]]/(Table1[[#This Row],[SOC (TPD)]]/24)),"")</f>
        <v>1.1755102040816328</v>
      </c>
      <c r="AJ27" s="31">
        <f ca="1">IFERROR(IF(Table1[[#This Row],[SKU]]="",0,Table1[[#This Row],[Volume Delivered (T)]]/(Table1[[#This Row],[SOC (TPD)]]/24)),"")</f>
        <v>20.728163265306126</v>
      </c>
      <c r="AK27" s="31">
        <f ca="1">IFERROR(Table1[[#This Row],[Operating Time]]/Table1[[#This Row],[PRODUCTION HOURS]],"")</f>
        <v>0.86367346938775524</v>
      </c>
      <c r="AL27" s="32">
        <v>131</v>
      </c>
      <c r="AM27" s="32" t="s">
        <v>107</v>
      </c>
      <c r="AN27" s="32" t="s">
        <v>107</v>
      </c>
      <c r="AO27" s="32">
        <v>0</v>
      </c>
      <c r="AP27" s="32">
        <v>0</v>
      </c>
      <c r="AQ27" s="32"/>
      <c r="AR27" s="32" t="str">
        <f>IFERROR(SUMIFS(#REF!,#REF!,'Data Sheet'!A:A,#REF!,"Samridhi Perk Line")/SUMIFS(#REF!,#REF!,'Data Sheet'!A:A,#REF!,"Samridhi Perk Line"),"")</f>
        <v/>
      </c>
      <c r="AS27" s="32">
        <v>6</v>
      </c>
      <c r="AT27" s="32">
        <v>1</v>
      </c>
      <c r="AU27" s="211" t="str">
        <f>IFERROR(VLOOKUP(Table1[[#This Row],[Date]],'Overweight Data'!A25:G1120,6,FALSE),"")</f>
        <v/>
      </c>
      <c r="AV27" s="221">
        <f ca="1">IFERROR(
   IF(
      OR(Table1[[#This Row],[Operating Time]]=0, (Table1[[#This Row],[Operating Time]]/IF(AC27&lt;=1,AC27+1,AC27))*60=0),
      1,
      ((Table1[[#This Row],[Operating Time]])/IF(AC27&lt;=1,AC27+1,AC27))*60
   ),
"_")</f>
        <v>1243.6897959183675</v>
      </c>
      <c r="AW27" s="221">
        <f>COUNTIFS('Downtime Data'!A:A,Table1[[#This Row],[Date]])</f>
        <v>1</v>
      </c>
      <c r="AX27" s="219">
        <f>IFERROR((SUM(Table1[[#This Row],[Minor Stoppages]:[Material Shortages]])/Table1[[#This Row],['# Stops]])*60,"")</f>
        <v>102</v>
      </c>
      <c r="AY27" s="219"/>
      <c r="AZ27" s="33">
        <v>46048</v>
      </c>
    </row>
    <row r="28" spans="1:52" ht="20.149999999999999" customHeight="1" x14ac:dyDescent="0.35">
      <c r="A28" s="21">
        <v>46045</v>
      </c>
      <c r="B28" s="22" t="str">
        <f t="shared" si="1"/>
        <v>Friday</v>
      </c>
      <c r="C28" s="23" t="s">
        <v>109</v>
      </c>
      <c r="D28" s="24" cm="1">
        <f t="array" aca="1" ref="D28" ca="1">IFERROR(INDIRECT(C28),"")</f>
        <v>24.5</v>
      </c>
      <c r="E28" s="25">
        <v>20</v>
      </c>
      <c r="F28" s="26">
        <v>17.600000000000001</v>
      </c>
      <c r="G28" s="27">
        <f ca="1">IFERROR((Table1[[#This Row],[Plan]]/Table1[[#This Row],[Hours Used]])/(Table1[[#This Row],[SOC (TPD)]]/24),"")</f>
        <v>0.81632653061224503</v>
      </c>
      <c r="H28" s="27">
        <f ca="1">IFERROR((Table1[[#This Row],[Volume Delivered (T)]]/Table1[[#This Row],[Hours Used]])/(Table1[[#This Row],[SOC (TPD)]]/24),"")</f>
        <v>0.71836734693877558</v>
      </c>
      <c r="I28" s="28"/>
      <c r="J28" s="28"/>
      <c r="K28" s="28"/>
      <c r="L28" s="25">
        <v>2.1309999999999998</v>
      </c>
      <c r="M28" s="29">
        <v>3.4000000000000002E-2</v>
      </c>
      <c r="N28" s="84"/>
      <c r="O28" s="25"/>
      <c r="P28" s="25"/>
      <c r="Q28" s="70">
        <v>0</v>
      </c>
      <c r="R28" s="71">
        <v>0</v>
      </c>
      <c r="S28" s="30">
        <f>IF(Table1[[#This Row],[SKU]]="",0,24-Table1[[#This Row],[Legal Non-Operating Time]]-Table1[[#This Row],[No Demand Time]]-Table1[[#This Row],[Force Majeure]])</f>
        <v>24</v>
      </c>
      <c r="T28" s="26"/>
      <c r="U28" s="26"/>
      <c r="V28" s="26"/>
      <c r="W28" s="26"/>
      <c r="X28" s="26"/>
      <c r="Y28" s="26"/>
      <c r="Z28" s="26"/>
      <c r="AA28" s="30">
        <f>Table1[[#This Row],[Hours Used]]-SUM(Table1[[#This Row],[Planned Maintenance]:[Start and Finish Production]])</f>
        <v>24</v>
      </c>
      <c r="AB28" s="26">
        <v>1</v>
      </c>
      <c r="AC28" s="26"/>
      <c r="AD28" s="26"/>
      <c r="AE28" s="26"/>
      <c r="AF28" s="26"/>
      <c r="AG28" s="26">
        <v>3</v>
      </c>
      <c r="AH28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0.67167346938775196</v>
      </c>
      <c r="AI28" s="24">
        <f ca="1">IFERROR(IF(Table1[[#This Row],[SKU]]="",0,Table1[[#This Row],[Quality Loss (T)]]/(Table1[[#This Row],[SOC (TPD)]]/24)),"")</f>
        <v>2.0875102040816325</v>
      </c>
      <c r="AJ28" s="31">
        <f ca="1">IFERROR(IF(Table1[[#This Row],[SKU]]="",0,Table1[[#This Row],[Volume Delivered (T)]]/(Table1[[#This Row],[SOC (TPD)]]/24)),"")</f>
        <v>17.240816326530616</v>
      </c>
      <c r="AK28" s="31">
        <f ca="1">IFERROR(Table1[[#This Row],[Operating Time]]/Table1[[#This Row],[PRODUCTION HOURS]],"")</f>
        <v>0.71836734693877569</v>
      </c>
      <c r="AL28" s="32">
        <v>130</v>
      </c>
      <c r="AM28" s="32" t="s">
        <v>107</v>
      </c>
      <c r="AN28" s="32" t="s">
        <v>107</v>
      </c>
      <c r="AO28" s="32">
        <v>0</v>
      </c>
      <c r="AP28" s="32">
        <v>0</v>
      </c>
      <c r="AQ28" s="32"/>
      <c r="AR28" s="32" t="str">
        <f>IFERROR(SUMIFS(#REF!,#REF!,'Data Sheet'!A:A,#REF!,"Samridhi Perk Line")/SUMIFS(#REF!,#REF!,'Data Sheet'!A:A,#REF!,"Samridhi Perk Line"),"")</f>
        <v/>
      </c>
      <c r="AS28" s="32">
        <v>10</v>
      </c>
      <c r="AT28" s="32">
        <v>0</v>
      </c>
      <c r="AU28" s="211" t="str">
        <f>IFERROR(VLOOKUP(Table1[[#This Row],[Date]],'Overweight Data'!A26:G1121,6,FALSE),"")</f>
        <v/>
      </c>
      <c r="AV28" s="221">
        <f ca="1">IFERROR(
   IF(
      OR(Table1[[#This Row],[Operating Time]]=0, (Table1[[#This Row],[Operating Time]]/IF(AC28&lt;=1,AC28+1,AC28))*60=0),
      1,
      ((Table1[[#This Row],[Operating Time]])/IF(AC28&lt;=1,AC28+1,AC28))*60
   ),
"_")</f>
        <v>1034.4489795918371</v>
      </c>
      <c r="AW28" s="221">
        <f>COUNTIFS('Downtime Data'!A:A,Table1[[#This Row],[Date]])</f>
        <v>1</v>
      </c>
      <c r="AX28" s="219">
        <f>IFERROR((SUM(Table1[[#This Row],[Minor Stoppages]:[Material Shortages]])/Table1[[#This Row],['# Stops]])*60,"")</f>
        <v>240</v>
      </c>
      <c r="AY28" s="219"/>
      <c r="AZ28" s="33">
        <v>46048</v>
      </c>
    </row>
    <row r="29" spans="1:52" ht="20.149999999999999" customHeight="1" x14ac:dyDescent="0.35">
      <c r="A29" s="21">
        <v>46046</v>
      </c>
      <c r="B29" s="22" t="str">
        <f t="shared" si="1"/>
        <v>Saturday</v>
      </c>
      <c r="C29" s="23" t="s">
        <v>109</v>
      </c>
      <c r="D29" s="24" cm="1">
        <f t="array" aca="1" ref="D29" ca="1">IFERROR(INDIRECT(C29),"")</f>
        <v>24.5</v>
      </c>
      <c r="E29" s="25">
        <v>20</v>
      </c>
      <c r="F29" s="26">
        <v>16.100000000000001</v>
      </c>
      <c r="G29" s="27">
        <f ca="1">IFERROR((Table1[[#This Row],[Plan]]/Table1[[#This Row],[Hours Used]])/(Table1[[#This Row],[SOC (TPD)]]/24),"")</f>
        <v>0.81632653061224503</v>
      </c>
      <c r="H29" s="27">
        <f ca="1">IFERROR((Table1[[#This Row],[Volume Delivered (T)]]/Table1[[#This Row],[Hours Used]])/(Table1[[#This Row],[SOC (TPD)]]/24),"")</f>
        <v>0.65714285714285725</v>
      </c>
      <c r="I29" s="28"/>
      <c r="J29" s="28"/>
      <c r="K29" s="28"/>
      <c r="L29" s="25">
        <v>1.726</v>
      </c>
      <c r="M29" s="29"/>
      <c r="N29" s="84"/>
      <c r="O29" s="25"/>
      <c r="P29" s="25"/>
      <c r="Q29" s="70">
        <v>0</v>
      </c>
      <c r="R29" s="71">
        <v>0</v>
      </c>
      <c r="S29" s="30">
        <f>IF(Table1[[#This Row],[SKU]]="",0,24-Table1[[#This Row],[Legal Non-Operating Time]]-Table1[[#This Row],[No Demand Time]]-Table1[[#This Row],[Force Majeure]])</f>
        <v>24</v>
      </c>
      <c r="T29" s="26"/>
      <c r="U29" s="26">
        <v>1</v>
      </c>
      <c r="V29" s="26"/>
      <c r="W29" s="26"/>
      <c r="X29" s="26"/>
      <c r="Y29" s="26"/>
      <c r="Z29" s="26"/>
      <c r="AA29" s="30">
        <f>Table1[[#This Row],[Hours Used]]-SUM(Table1[[#This Row],[Planned Maintenance]:[Start and Finish Production]])</f>
        <v>23</v>
      </c>
      <c r="AB29" s="26">
        <v>1</v>
      </c>
      <c r="AC29" s="26">
        <v>1</v>
      </c>
      <c r="AD29" s="26">
        <v>0.5</v>
      </c>
      <c r="AE29" s="26"/>
      <c r="AF29" s="26"/>
      <c r="AG29" s="26"/>
      <c r="AH29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3.0377959183673457</v>
      </c>
      <c r="AI29" s="24">
        <f ca="1">IFERROR(IF(Table1[[#This Row],[SKU]]="",0,Table1[[#This Row],[Quality Loss (T)]]/(Table1[[#This Row],[SOC (TPD)]]/24)),"")</f>
        <v>1.6907755102040818</v>
      </c>
      <c r="AJ29" s="31">
        <f ca="1">IFERROR(IF(Table1[[#This Row],[SKU]]="",0,Table1[[#This Row],[Volume Delivered (T)]]/(Table1[[#This Row],[SOC (TPD)]]/24)),"")</f>
        <v>15.771428571428574</v>
      </c>
      <c r="AK29" s="31">
        <f ca="1">IFERROR(Table1[[#This Row],[Operating Time]]/Table1[[#This Row],[PRODUCTION HOURS]],"")</f>
        <v>0.68571428571428583</v>
      </c>
      <c r="AL29" s="32">
        <v>121</v>
      </c>
      <c r="AM29" s="32" t="s">
        <v>107</v>
      </c>
      <c r="AN29" s="32" t="s">
        <v>107</v>
      </c>
      <c r="AO29" s="32">
        <v>0</v>
      </c>
      <c r="AP29" s="32">
        <v>0</v>
      </c>
      <c r="AQ29" s="32"/>
      <c r="AR29" s="32" t="str">
        <f>IFERROR(SUMIFS(#REF!,#REF!,'Data Sheet'!A:A,#REF!,"Samridhi Perk Line")/SUMIFS(#REF!,#REF!,'Data Sheet'!A:A,#REF!,"Samridhi Perk Line"),"")</f>
        <v/>
      </c>
      <c r="AS29" s="32">
        <v>8</v>
      </c>
      <c r="AT29" s="32">
        <v>0</v>
      </c>
      <c r="AU29" s="211" t="str">
        <f>IFERROR(VLOOKUP(Table1[[#This Row],[Date]],'Overweight Data'!A27:G1122,6,FALSE),"")</f>
        <v/>
      </c>
      <c r="AV29" s="221">
        <f ca="1">IFERROR(
   IF(
      OR(Table1[[#This Row],[Operating Time]]=0, (Table1[[#This Row],[Operating Time]]/IF(AC29&lt;=1,AC29+1,AC29))*60=0),
      1,
      ((Table1[[#This Row],[Operating Time]])/IF(AC29&lt;=1,AC29+1,AC29))*60
   ),
"_")</f>
        <v>473.14285714285722</v>
      </c>
      <c r="AW29" s="221">
        <f>COUNTIFS('Downtime Data'!A:A,Table1[[#This Row],[Date]])</f>
        <v>2</v>
      </c>
      <c r="AX29" s="219">
        <f>IFERROR((SUM(Table1[[#This Row],[Minor Stoppages]:[Material Shortages]])/Table1[[#This Row],['# Stops]])*60,"")</f>
        <v>75</v>
      </c>
      <c r="AY29" s="219"/>
      <c r="AZ29" s="33">
        <v>46048</v>
      </c>
    </row>
    <row r="30" spans="1:52" ht="20.149999999999999" customHeight="1" x14ac:dyDescent="0.35">
      <c r="A30" s="21">
        <v>46047</v>
      </c>
      <c r="B30" s="22" t="str">
        <f t="shared" si="1"/>
        <v>Sunday</v>
      </c>
      <c r="C30" s="23" t="s">
        <v>109</v>
      </c>
      <c r="D30" s="24" cm="1">
        <f t="array" aca="1" ref="D30" ca="1">IFERROR(INDIRECT(C30),"")</f>
        <v>24.5</v>
      </c>
      <c r="E30" s="25">
        <v>20</v>
      </c>
      <c r="F30" s="26">
        <v>13.59</v>
      </c>
      <c r="G30" s="27">
        <f ca="1">IFERROR((Table1[[#This Row],[Plan]]/Table1[[#This Row],[Hours Used]])/(Table1[[#This Row],[SOC (TPD)]]/24),"")</f>
        <v>0.81632653061224503</v>
      </c>
      <c r="H30" s="27">
        <f ca="1">IFERROR((Table1[[#This Row],[Volume Delivered (T)]]/Table1[[#This Row],[Hours Used]])/(Table1[[#This Row],[SOC (TPD)]]/24),"")</f>
        <v>0.55469387755102051</v>
      </c>
      <c r="I30" s="28"/>
      <c r="J30" s="28"/>
      <c r="K30" s="28"/>
      <c r="L30" s="25">
        <v>1.6359999999999999</v>
      </c>
      <c r="M30" s="29"/>
      <c r="N30" s="84"/>
      <c r="O30" s="25"/>
      <c r="P30" s="25"/>
      <c r="Q30" s="70">
        <v>0</v>
      </c>
      <c r="R30" s="71">
        <v>0</v>
      </c>
      <c r="S30" s="30">
        <f>IF(Table1[[#This Row],[SKU]]="",0,24-Table1[[#This Row],[Legal Non-Operating Time]]-Table1[[#This Row],[No Demand Time]]-Table1[[#This Row],[Force Majeure]])</f>
        <v>24</v>
      </c>
      <c r="T30" s="26">
        <v>2</v>
      </c>
      <c r="U30" s="26"/>
      <c r="V30" s="26">
        <v>3</v>
      </c>
      <c r="W30" s="26"/>
      <c r="X30" s="26"/>
      <c r="Y30" s="26"/>
      <c r="Z30" s="26">
        <v>2</v>
      </c>
      <c r="AA30" s="30">
        <f>Table1[[#This Row],[Hours Used]]-SUM(Table1[[#This Row],[Planned Maintenance]:[Start and Finish Production]])</f>
        <v>17</v>
      </c>
      <c r="AB30" s="26">
        <v>1</v>
      </c>
      <c r="AC30" s="26"/>
      <c r="AD30" s="26"/>
      <c r="AE30" s="26"/>
      <c r="AF30" s="26"/>
      <c r="AG30" s="26"/>
      <c r="AH30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1.0847346938775502</v>
      </c>
      <c r="AI30" s="24">
        <f ca="1">IFERROR(IF(Table1[[#This Row],[SKU]]="",0,Table1[[#This Row],[Quality Loss (T)]]/(Table1[[#This Row],[SOC (TPD)]]/24)),"")</f>
        <v>1.6026122448979592</v>
      </c>
      <c r="AJ30" s="31">
        <f ca="1">IFERROR(IF(Table1[[#This Row],[SKU]]="",0,Table1[[#This Row],[Volume Delivered (T)]]/(Table1[[#This Row],[SOC (TPD)]]/24)),"")</f>
        <v>13.312653061224491</v>
      </c>
      <c r="AK30" s="31">
        <f ca="1">IFERROR(Table1[[#This Row],[Operating Time]]/Table1[[#This Row],[PRODUCTION HOURS]],"")</f>
        <v>0.78309723889555827</v>
      </c>
      <c r="AL30" s="32">
        <v>125</v>
      </c>
      <c r="AM30" s="32" t="s">
        <v>107</v>
      </c>
      <c r="AN30" s="32" t="s">
        <v>107</v>
      </c>
      <c r="AO30" s="32">
        <v>0</v>
      </c>
      <c r="AP30" s="32">
        <v>0</v>
      </c>
      <c r="AQ30" s="32"/>
      <c r="AR30" s="32" t="str">
        <f>IFERROR(SUMIFS(#REF!,#REF!,'Data Sheet'!A:A,#REF!,"Samridhi Perk Line")/SUMIFS(#REF!,#REF!,'Data Sheet'!A:A,#REF!,"Samridhi Perk Line"),"")</f>
        <v/>
      </c>
      <c r="AS30" s="32">
        <v>4</v>
      </c>
      <c r="AT30" s="32">
        <v>0</v>
      </c>
      <c r="AU30" s="211" t="str">
        <f>IFERROR(VLOOKUP(Table1[[#This Row],[Date]],'Overweight Data'!A28:G1123,6,FALSE),"")</f>
        <v/>
      </c>
      <c r="AV30" s="221">
        <f ca="1">IFERROR(
   IF(
      OR(Table1[[#This Row],[Operating Time]]=0, (Table1[[#This Row],[Operating Time]]/IF(AC30&lt;=1,AC30+1,AC30))*60=0),
      1,
      ((Table1[[#This Row],[Operating Time]])/IF(AC30&lt;=1,AC30+1,AC30))*60
   ),
"_")</f>
        <v>798.75918367346947</v>
      </c>
      <c r="AW30" s="221">
        <f>COUNTIFS('Downtime Data'!A:A,Table1[[#This Row],[Date]])</f>
        <v>0</v>
      </c>
      <c r="AX30" s="219" t="str">
        <f>IFERROR((SUM(Table1[[#This Row],[Minor Stoppages]:[Material Shortages]])/Table1[[#This Row],['# Stops]])*60,"")</f>
        <v/>
      </c>
      <c r="AY30" s="219"/>
      <c r="AZ30" s="33">
        <v>46048</v>
      </c>
    </row>
    <row r="31" spans="1:52" ht="20.149999999999999" customHeight="1" x14ac:dyDescent="0.35">
      <c r="A31" s="21">
        <v>46048</v>
      </c>
      <c r="B31" s="22" t="str">
        <f t="shared" si="1"/>
        <v>Monday</v>
      </c>
      <c r="C31" s="23"/>
      <c r="D31" s="24" t="str" cm="1">
        <f t="array" aca="1" ref="D31" ca="1">IFERROR(INDIRECT(C31),"")</f>
        <v/>
      </c>
      <c r="E31" s="25"/>
      <c r="F31" s="26"/>
      <c r="G31" s="27" t="str">
        <f ca="1">IFERROR((Table1[[#This Row],[Plan]]/Table1[[#This Row],[Hours Used]])/(Table1[[#This Row],[SOC (TPD)]]/24),"")</f>
        <v/>
      </c>
      <c r="H31" s="27" t="str">
        <f ca="1">IFERROR((Table1[[#This Row],[Volume Delivered (T)]]/Table1[[#This Row],[Hours Used]])/(Table1[[#This Row],[SOC (TPD)]]/24),"")</f>
        <v/>
      </c>
      <c r="I31" s="28"/>
      <c r="J31" s="28"/>
      <c r="K31" s="28"/>
      <c r="L31" s="25">
        <v>0</v>
      </c>
      <c r="M31" s="29"/>
      <c r="N31" s="84"/>
      <c r="O31" s="25"/>
      <c r="P31" s="25"/>
      <c r="Q31" s="70">
        <v>0</v>
      </c>
      <c r="R31" s="71">
        <v>0</v>
      </c>
      <c r="S31" s="30">
        <f>IF(Table1[[#This Row],[SKU]]="",0,24-Table1[[#This Row],[Legal Non-Operating Time]]-Table1[[#This Row],[No Demand Time]]-Table1[[#This Row],[Force Majeure]])</f>
        <v>0</v>
      </c>
      <c r="T31" s="26"/>
      <c r="U31" s="26"/>
      <c r="V31" s="26"/>
      <c r="W31" s="26"/>
      <c r="X31" s="26"/>
      <c r="Y31" s="26"/>
      <c r="Z31" s="26"/>
      <c r="AA31" s="30">
        <f>Table1[[#This Row],[Hours Used]]-SUM(Table1[[#This Row],[Planned Maintenance]:[Start and Finish Production]])</f>
        <v>0</v>
      </c>
      <c r="AB31" s="26"/>
      <c r="AC31" s="26"/>
      <c r="AD31" s="26"/>
      <c r="AE31" s="26"/>
      <c r="AF31" s="26"/>
      <c r="AG31" s="26"/>
      <c r="AH31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31" s="24">
        <f>IFERROR(IF(Table1[[#This Row],[SKU]]="",0,Table1[[#This Row],[Quality Loss (T)]]/(Table1[[#This Row],[SOC (TPD)]]/24)),"")</f>
        <v>0</v>
      </c>
      <c r="AJ31" s="31">
        <f>IFERROR(IF(Table1[[#This Row],[SKU]]="",0,Table1[[#This Row],[Volume Delivered (T)]]/(Table1[[#This Row],[SOC (TPD)]]/24)),"")</f>
        <v>0</v>
      </c>
      <c r="AK31" s="31" t="str">
        <f>IFERROR(Table1[[#This Row],[Operating Time]]/Table1[[#This Row],[PRODUCTION HOURS]],"")</f>
        <v/>
      </c>
      <c r="AL31" s="32"/>
      <c r="AM31" s="32"/>
      <c r="AN31" s="32"/>
      <c r="AO31" s="32">
        <v>0</v>
      </c>
      <c r="AP31" s="32">
        <v>0</v>
      </c>
      <c r="AQ31" s="32"/>
      <c r="AR31" s="32" t="str">
        <f>IFERROR(SUMIFS(#REF!,#REF!,'Data Sheet'!A:A,#REF!,"Samridhi Perk Line")/SUMIFS(#REF!,#REF!,'Data Sheet'!A:A,#REF!,"Samridhi Perk Line"),"")</f>
        <v/>
      </c>
      <c r="AS31" s="32">
        <v>7</v>
      </c>
      <c r="AT31" s="32">
        <v>0</v>
      </c>
      <c r="AU31" s="211" t="str">
        <f>IFERROR(VLOOKUP(Table1[[#This Row],[Date]],'Overweight Data'!A29:G1124,6,FALSE),"")</f>
        <v/>
      </c>
      <c r="AV31" s="221">
        <f>IFERROR(
   IF(
      OR(Table1[[#This Row],[Operating Time]]=0, (Table1[[#This Row],[Operating Time]]/IF(AC31&lt;=1,AC31+1,AC31))*60=0),
      1,
      ((Table1[[#This Row],[Operating Time]])/IF(AC31&lt;=1,AC31+1,AC31))*60
   ),
"_")</f>
        <v>1</v>
      </c>
      <c r="AW31" s="221">
        <f>COUNTIFS('Downtime Data'!A:A,Table1[[#This Row],[Date]])</f>
        <v>0</v>
      </c>
      <c r="AX31" s="219" t="str">
        <f>IFERROR((SUM(Table1[[#This Row],[Minor Stoppages]:[Material Shortages]])/Table1[[#This Row],['# Stops]])*60,"")</f>
        <v/>
      </c>
      <c r="AY31" s="219"/>
      <c r="AZ31" s="33">
        <v>46048</v>
      </c>
    </row>
    <row r="32" spans="1:52" ht="20.149999999999999" customHeight="1" x14ac:dyDescent="0.35">
      <c r="A32" s="21">
        <v>46049</v>
      </c>
      <c r="B32" s="22" t="str">
        <f t="shared" si="1"/>
        <v>Tuesday</v>
      </c>
      <c r="C32" s="23" t="s">
        <v>106</v>
      </c>
      <c r="D32" s="24" cm="1">
        <f t="array" aca="1" ref="D32" ca="1">IFERROR(INDIRECT(C32),"")</f>
        <v>39.200000000000003</v>
      </c>
      <c r="E32" s="25">
        <v>15</v>
      </c>
      <c r="F32" s="26">
        <v>13.3</v>
      </c>
      <c r="G32" s="27">
        <f ca="1">IFERROR((Table1[[#This Row],[Plan]]/Table1[[#This Row],[Hours Used]])/(Table1[[#This Row],[SOC (TPD)]]/24),"")</f>
        <v>0.38265306122448978</v>
      </c>
      <c r="H32" s="27">
        <f ca="1">IFERROR((Table1[[#This Row],[Volume Delivered (T)]]/Table1[[#This Row],[Hours Used]])/(Table1[[#This Row],[SOC (TPD)]]/24),"")</f>
        <v>0.33928571428571425</v>
      </c>
      <c r="I32" s="28"/>
      <c r="J32" s="28"/>
      <c r="K32" s="28"/>
      <c r="L32" s="25">
        <v>1.8660000000000001</v>
      </c>
      <c r="M32" s="29">
        <v>3.5000000000000003E-2</v>
      </c>
      <c r="N32" s="84"/>
      <c r="O32" s="25"/>
      <c r="P32" s="25"/>
      <c r="Q32" s="70">
        <v>0</v>
      </c>
      <c r="R32" s="71">
        <v>0</v>
      </c>
      <c r="S32" s="30">
        <f>IF(Table1[[#This Row],[SKU]]="",0,24-Table1[[#This Row],[Legal Non-Operating Time]]-Table1[[#This Row],[No Demand Time]]-Table1[[#This Row],[Force Majeure]])</f>
        <v>24</v>
      </c>
      <c r="T32" s="26"/>
      <c r="U32" s="26"/>
      <c r="V32" s="26">
        <v>2</v>
      </c>
      <c r="W32" s="26">
        <v>1</v>
      </c>
      <c r="X32" s="26"/>
      <c r="Y32" s="26"/>
      <c r="Z32" s="26">
        <v>4</v>
      </c>
      <c r="AA32" s="30">
        <f>Table1[[#This Row],[Hours Used]]-SUM(Table1[[#This Row],[Planned Maintenance]:[Start and Finish Production]])</f>
        <v>17</v>
      </c>
      <c r="AB32" s="26"/>
      <c r="AC32" s="26">
        <v>7.6</v>
      </c>
      <c r="AD32" s="26"/>
      <c r="AE32" s="26"/>
      <c r="AF32" s="26"/>
      <c r="AG32" s="26"/>
      <c r="AH32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0.11469387755102112</v>
      </c>
      <c r="AI32" s="24">
        <f ca="1">IFERROR(IF(Table1[[#This Row],[SKU]]="",0,Table1[[#This Row],[Quality Loss (T)]]/(Table1[[#This Row],[SOC (TPD)]]/24)),"")</f>
        <v>1.1424489795918367</v>
      </c>
      <c r="AJ32" s="31">
        <f ca="1">IFERROR(IF(Table1[[#This Row],[SKU]]="",0,Table1[[#This Row],[Volume Delivered (T)]]/(Table1[[#This Row],[SOC (TPD)]]/24)),"")</f>
        <v>8.1428571428571423</v>
      </c>
      <c r="AK32" s="31">
        <f ca="1">IFERROR(Table1[[#This Row],[Operating Time]]/Table1[[#This Row],[PRODUCTION HOURS]],"")</f>
        <v>0.47899159663865543</v>
      </c>
      <c r="AL32" s="32">
        <v>111</v>
      </c>
      <c r="AM32" s="32" t="s">
        <v>107</v>
      </c>
      <c r="AN32" s="32" t="s">
        <v>107</v>
      </c>
      <c r="AO32" s="32">
        <v>0</v>
      </c>
      <c r="AP32" s="32">
        <v>0</v>
      </c>
      <c r="AQ32" s="32"/>
      <c r="AR32" s="32" t="str">
        <f>IFERROR(SUMIFS(#REF!,#REF!,'Data Sheet'!A:A,#REF!,"Samridhi Perk Line")/SUMIFS(#REF!,#REF!,'Data Sheet'!A:A,#REF!,"Samridhi Perk Line"),"")</f>
        <v/>
      </c>
      <c r="AS32" s="32">
        <v>26</v>
      </c>
      <c r="AT32" s="32">
        <v>0</v>
      </c>
      <c r="AU32" s="211">
        <f>IFERROR(VLOOKUP(Table1[[#This Row],[Date]],'Overweight Data'!A30:G1125,6,FALSE),"")</f>
        <v>4.8388501742160236E-2</v>
      </c>
      <c r="AV32" s="221">
        <f ca="1">IFERROR(
   IF(
      OR(Table1[[#This Row],[Operating Time]]=0, (Table1[[#This Row],[Operating Time]]/IF(AC32&lt;=1,AC32+1,AC32))*60=0),
      1,
      ((Table1[[#This Row],[Operating Time]])/IF(AC32&lt;=1,AC32+1,AC32))*60
   ),
"_")</f>
        <v>64.285714285714278</v>
      </c>
      <c r="AW32" s="221">
        <f>COUNTIFS('Downtime Data'!A:A,Table1[[#This Row],[Date]])</f>
        <v>1</v>
      </c>
      <c r="AX32" s="219">
        <f>IFERROR((SUM(Table1[[#This Row],[Minor Stoppages]:[Material Shortages]])/Table1[[#This Row],['# Stops]])*60,"")</f>
        <v>456</v>
      </c>
      <c r="AY32" s="219"/>
      <c r="AZ32" s="33">
        <v>46048</v>
      </c>
    </row>
    <row r="33" spans="1:52" ht="20.149999999999999" customHeight="1" x14ac:dyDescent="0.35">
      <c r="A33" s="21">
        <v>46050</v>
      </c>
      <c r="B33" s="22" t="str">
        <f t="shared" si="1"/>
        <v>Wednesday</v>
      </c>
      <c r="C33" s="23" t="s">
        <v>106</v>
      </c>
      <c r="D33" s="24" cm="1">
        <f t="array" aca="1" ref="D33" ca="1">IFERROR(INDIRECT(C33),"")</f>
        <v>39.200000000000003</v>
      </c>
      <c r="E33" s="25">
        <v>32</v>
      </c>
      <c r="F33" s="26">
        <v>29.509999999999998</v>
      </c>
      <c r="G33" s="27">
        <f ca="1">IFERROR((Table1[[#This Row],[Plan]]/Table1[[#This Row],[Hours Used]])/(Table1[[#This Row],[SOC (TPD)]]/24),"")</f>
        <v>0.81632653061224481</v>
      </c>
      <c r="H33" s="27">
        <f ca="1">IFERROR((Table1[[#This Row],[Volume Delivered (T)]]/Table1[[#This Row],[Hours Used]])/(Table1[[#This Row],[SOC (TPD)]]/24),"")</f>
        <v>0.75280612244897949</v>
      </c>
      <c r="I33" s="28"/>
      <c r="J33" s="28"/>
      <c r="K33" s="28"/>
      <c r="L33" s="25">
        <v>1.94</v>
      </c>
      <c r="M33" s="29">
        <v>3.5000000000000003E-2</v>
      </c>
      <c r="N33" s="84"/>
      <c r="O33" s="25"/>
      <c r="P33" s="25"/>
      <c r="Q33" s="70">
        <v>0</v>
      </c>
      <c r="R33" s="71">
        <v>0</v>
      </c>
      <c r="S33" s="30">
        <f>IF(Table1[[#This Row],[SKU]]="",0,24-Table1[[#This Row],[Legal Non-Operating Time]]-Table1[[#This Row],[No Demand Time]]-Table1[[#This Row],[Force Majeure]])</f>
        <v>24</v>
      </c>
      <c r="T33" s="26">
        <v>2</v>
      </c>
      <c r="U33" s="26"/>
      <c r="V33" s="26"/>
      <c r="W33" s="26"/>
      <c r="X33" s="26"/>
      <c r="Y33" s="26"/>
      <c r="Z33" s="26"/>
      <c r="AA33" s="30">
        <f>Table1[[#This Row],[Hours Used]]-SUM(Table1[[#This Row],[Planned Maintenance]:[Start and Finish Production]])</f>
        <v>22</v>
      </c>
      <c r="AB33" s="26">
        <v>1</v>
      </c>
      <c r="AC33" s="26">
        <v>1.5</v>
      </c>
      <c r="AD33" s="26"/>
      <c r="AE33" s="26"/>
      <c r="AF33" s="26"/>
      <c r="AG33" s="26"/>
      <c r="AH33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0.24489795918367463</v>
      </c>
      <c r="AI33" s="24">
        <f ca="1">IFERROR(IF(Table1[[#This Row],[SKU]]="",0,Table1[[#This Row],[Quality Loss (T)]]/(Table1[[#This Row],[SOC (TPD)]]/24)),"")</f>
        <v>1.1877551020408161</v>
      </c>
      <c r="AJ33" s="31">
        <f ca="1">IFERROR(IF(Table1[[#This Row],[SKU]]="",0,Table1[[#This Row],[Volume Delivered (T)]]/(Table1[[#This Row],[SOC (TPD)]]/24)),"")</f>
        <v>18.067346938775508</v>
      </c>
      <c r="AK33" s="31">
        <f ca="1">IFERROR(Table1[[#This Row],[Operating Time]]/Table1[[#This Row],[PRODUCTION HOURS]],"")</f>
        <v>0.82124304267161397</v>
      </c>
      <c r="AL33" s="32">
        <v>137</v>
      </c>
      <c r="AM33" s="32" t="s">
        <v>107</v>
      </c>
      <c r="AN33" s="32" t="s">
        <v>107</v>
      </c>
      <c r="AO33" s="32">
        <v>18</v>
      </c>
      <c r="AP33" s="32">
        <v>18</v>
      </c>
      <c r="AQ33" s="32"/>
      <c r="AR33" s="32" t="str">
        <f>IFERROR(SUMIFS(#REF!,#REF!,'Data Sheet'!A:A,#REF!,"Samridhi Perk Line")/SUMIFS(#REF!,#REF!,'Data Sheet'!A:A,#REF!,"Samridhi Perk Line"),"")</f>
        <v/>
      </c>
      <c r="AS33" s="32">
        <v>18</v>
      </c>
      <c r="AT33" s="32">
        <v>0</v>
      </c>
      <c r="AU33" s="211">
        <f>IFERROR(VLOOKUP(Table1[[#This Row],[Date]],'Overweight Data'!A31:G1126,6,FALSE),"")</f>
        <v>3.1713124274099891E-2</v>
      </c>
      <c r="AV33" s="221">
        <f ca="1">IFERROR(
   IF(
      OR(Table1[[#This Row],[Operating Time]]=0, (Table1[[#This Row],[Operating Time]]/IF(AC33&lt;=1,AC33+1,AC33))*60=0),
      1,
      ((Table1[[#This Row],[Operating Time]])/IF(AC33&lt;=1,AC33+1,AC33))*60
   ),
"_")</f>
        <v>722.69387755102025</v>
      </c>
      <c r="AW33" s="221">
        <f>COUNTIFS('Downtime Data'!A:A,Table1[[#This Row],[Date]])</f>
        <v>1</v>
      </c>
      <c r="AX33" s="219">
        <f>IFERROR((SUM(Table1[[#This Row],[Minor Stoppages]:[Material Shortages]])/Table1[[#This Row],['# Stops]])*60,"")</f>
        <v>150</v>
      </c>
      <c r="AY33" s="219"/>
      <c r="AZ33" s="33">
        <v>46048</v>
      </c>
    </row>
    <row r="34" spans="1:52" ht="20.149999999999999" customHeight="1" x14ac:dyDescent="0.35">
      <c r="A34" s="21">
        <v>46051</v>
      </c>
      <c r="B34" s="22" t="str">
        <f t="shared" si="1"/>
        <v>Thursday</v>
      </c>
      <c r="C34" s="23" t="s">
        <v>106</v>
      </c>
      <c r="D34" s="24" cm="1">
        <f t="array" aca="1" ref="D34" ca="1">IFERROR(INDIRECT(C34),"")</f>
        <v>39.200000000000003</v>
      </c>
      <c r="E34" s="25">
        <v>32</v>
      </c>
      <c r="F34" s="26">
        <v>28.71</v>
      </c>
      <c r="G34" s="27">
        <f ca="1">IFERROR((Table1[[#This Row],[Plan]]/Table1[[#This Row],[Hours Used]])/(Table1[[#This Row],[SOC (TPD)]]/24),"")</f>
        <v>0.81632653061224481</v>
      </c>
      <c r="H34" s="27">
        <f ca="1">IFERROR((Table1[[#This Row],[Volume Delivered (T)]]/Table1[[#This Row],[Hours Used]])/(Table1[[#This Row],[SOC (TPD)]]/24),"")</f>
        <v>0.73239795918367345</v>
      </c>
      <c r="I34" s="28"/>
      <c r="J34" s="28"/>
      <c r="K34" s="28"/>
      <c r="L34" s="25">
        <v>1.8440000000000001</v>
      </c>
      <c r="M34" s="29">
        <v>3.4000000000000002E-2</v>
      </c>
      <c r="N34" s="84"/>
      <c r="O34" s="25"/>
      <c r="P34" s="25"/>
      <c r="Q34" s="70">
        <v>0</v>
      </c>
      <c r="R34" s="71">
        <v>0</v>
      </c>
      <c r="S34" s="30">
        <f>IF(Table1[[#This Row],[SKU]]="",0,24-Table1[[#This Row],[Legal Non-Operating Time]]-Table1[[#This Row],[No Demand Time]]-Table1[[#This Row],[Force Majeure]])</f>
        <v>24</v>
      </c>
      <c r="T34" s="26">
        <v>2</v>
      </c>
      <c r="U34" s="26"/>
      <c r="V34" s="26"/>
      <c r="W34" s="26">
        <v>1</v>
      </c>
      <c r="X34" s="26"/>
      <c r="Y34" s="26"/>
      <c r="Z34" s="26"/>
      <c r="AA34" s="30">
        <f>Table1[[#This Row],[Hours Used]]-SUM(Table1[[#This Row],[Planned Maintenance]:[Start and Finish Production]])</f>
        <v>21</v>
      </c>
      <c r="AB34" s="26"/>
      <c r="AC34" s="26">
        <v>2</v>
      </c>
      <c r="AD34" s="26"/>
      <c r="AE34" s="26"/>
      <c r="AF34" s="26"/>
      <c r="AG34" s="26"/>
      <c r="AH34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0.29346938775510267</v>
      </c>
      <c r="AI34" s="24">
        <f ca="1">IFERROR(IF(Table1[[#This Row],[SKU]]="",0,Table1[[#This Row],[Quality Loss (T)]]/(Table1[[#This Row],[SOC (TPD)]]/24)),"")</f>
        <v>1.1289795918367347</v>
      </c>
      <c r="AJ34" s="31">
        <f ca="1">IFERROR(IF(Table1[[#This Row],[SKU]]="",0,Table1[[#This Row],[Volume Delivered (T)]]/(Table1[[#This Row],[SOC (TPD)]]/24)),"")</f>
        <v>17.577551020408162</v>
      </c>
      <c r="AK34" s="31">
        <f ca="1">IFERROR(Table1[[#This Row],[Operating Time]]/Table1[[#This Row],[PRODUCTION HOURS]],"")</f>
        <v>0.83702623906705531</v>
      </c>
      <c r="AL34" s="32">
        <v>153</v>
      </c>
      <c r="AM34" s="32" t="s">
        <v>107</v>
      </c>
      <c r="AN34" s="32" t="s">
        <v>107</v>
      </c>
      <c r="AO34" s="32">
        <v>0</v>
      </c>
      <c r="AP34" s="32">
        <v>0</v>
      </c>
      <c r="AQ34" s="32"/>
      <c r="AR34" s="32" t="str">
        <f>IFERROR(SUMIFS(#REF!,#REF!,'Data Sheet'!A:A,#REF!,"Samridhi Perk Line")/SUMIFS(#REF!,#REF!,'Data Sheet'!A:A,#REF!,"Samridhi Perk Line"),"")</f>
        <v/>
      </c>
      <c r="AS34" s="32"/>
      <c r="AT34" s="32">
        <v>0</v>
      </c>
      <c r="AU34" s="211" t="str">
        <f>IFERROR(VLOOKUP(Table1[[#This Row],[Date]],'Overweight Data'!A32:G1127,6,FALSE),"")</f>
        <v/>
      </c>
      <c r="AV34" s="221">
        <f ca="1">IFERROR(
   IF(
      OR(Table1[[#This Row],[Operating Time]]=0, (Table1[[#This Row],[Operating Time]]/IF(AC34&lt;=1,AC34+1,AC34))*60=0),
      1,
      ((Table1[[#This Row],[Operating Time]])/IF(AC34&lt;=1,AC34+1,AC34))*60
   ),
"_")</f>
        <v>527.32653061224482</v>
      </c>
      <c r="AW34" s="221">
        <f>COUNTIFS('Downtime Data'!A:A,Table1[[#This Row],[Date]])</f>
        <v>4</v>
      </c>
      <c r="AX34" s="219">
        <f>IFERROR((SUM(Table1[[#This Row],[Minor Stoppages]:[Material Shortages]])/Table1[[#This Row],['# Stops]])*60,"")</f>
        <v>30</v>
      </c>
      <c r="AY34" s="219"/>
      <c r="AZ34" s="33">
        <v>46048</v>
      </c>
    </row>
    <row r="35" spans="1:52" ht="20.149999999999999" customHeight="1" x14ac:dyDescent="0.35">
      <c r="A35" s="21">
        <v>46052</v>
      </c>
      <c r="B35" s="22" t="str">
        <f t="shared" si="1"/>
        <v>Friday</v>
      </c>
      <c r="C35" s="23" t="s">
        <v>106</v>
      </c>
      <c r="D35" s="24" cm="1">
        <f t="array" aca="1" ref="D35" ca="1">IFERROR(INDIRECT(C35),"")</f>
        <v>39.200000000000003</v>
      </c>
      <c r="E35" s="25">
        <v>32</v>
      </c>
      <c r="F35" s="26">
        <v>34.1</v>
      </c>
      <c r="G35" s="27">
        <f ca="1">IFERROR((Table1[[#This Row],[Plan]]/Table1[[#This Row],[Hours Used]])/(Table1[[#This Row],[SOC (TPD)]]/24),"")</f>
        <v>0.81632653061224481</v>
      </c>
      <c r="H35" s="27">
        <f ca="1">IFERROR((Table1[[#This Row],[Volume Delivered (T)]]/Table1[[#This Row],[Hours Used]])/(Table1[[#This Row],[SOC (TPD)]]/24),"")</f>
        <v>0.86989795918367341</v>
      </c>
      <c r="I35" s="28"/>
      <c r="J35" s="28"/>
      <c r="K35" s="28"/>
      <c r="L35" s="25">
        <v>2.2000000000000002</v>
      </c>
      <c r="M35" s="29">
        <v>3.4000000000000002E-2</v>
      </c>
      <c r="N35" s="84"/>
      <c r="O35" s="25"/>
      <c r="P35" s="25"/>
      <c r="Q35" s="70">
        <v>0</v>
      </c>
      <c r="R35" s="71">
        <v>0</v>
      </c>
      <c r="S35" s="30">
        <f>IF(Table1[[#This Row],[SKU]]="",0,24-Table1[[#This Row],[Legal Non-Operating Time]]-Table1[[#This Row],[No Demand Time]]-Table1[[#This Row],[Force Majeure]])</f>
        <v>24</v>
      </c>
      <c r="T35" s="26"/>
      <c r="U35" s="26">
        <v>0.6</v>
      </c>
      <c r="V35" s="26"/>
      <c r="W35" s="26"/>
      <c r="X35" s="26"/>
      <c r="Y35" s="26"/>
      <c r="Z35" s="26"/>
      <c r="AA35" s="30">
        <f>Table1[[#This Row],[Hours Used]]-SUM(Table1[[#This Row],[Planned Maintenance]:[Start and Finish Production]])</f>
        <v>23.4</v>
      </c>
      <c r="AB35" s="26"/>
      <c r="AC35" s="26">
        <v>1</v>
      </c>
      <c r="AD35" s="26"/>
      <c r="AE35" s="26"/>
      <c r="AF35" s="26"/>
      <c r="AG35" s="26"/>
      <c r="AH35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0.17551020408163254</v>
      </c>
      <c r="AI35" s="24">
        <f ca="1">IFERROR(IF(Table1[[#This Row],[SKU]]="",0,Table1[[#This Row],[Quality Loss (T)]]/(Table1[[#This Row],[SOC (TPD)]]/24)),"")</f>
        <v>1.346938775510204</v>
      </c>
      <c r="AJ35" s="31">
        <f ca="1">IFERROR(IF(Table1[[#This Row],[SKU]]="",0,Table1[[#This Row],[Volume Delivered (T)]]/(Table1[[#This Row],[SOC (TPD)]]/24)),"")</f>
        <v>20.877551020408163</v>
      </c>
      <c r="AK35" s="31">
        <f ca="1">IFERROR(Table1[[#This Row],[Operating Time]]/Table1[[#This Row],[PRODUCTION HOURS]],"")</f>
        <v>0.89220303506017795</v>
      </c>
      <c r="AL35" s="32">
        <v>159</v>
      </c>
      <c r="AM35" s="32" t="s">
        <v>107</v>
      </c>
      <c r="AN35" s="32" t="s">
        <v>107</v>
      </c>
      <c r="AO35" s="32">
        <v>1</v>
      </c>
      <c r="AP35" s="32">
        <v>0</v>
      </c>
      <c r="AQ35" s="32"/>
      <c r="AR35" s="32" t="str">
        <f>IFERROR(SUMIFS(#REF!,#REF!,'Data Sheet'!A:A,#REF!,"Samridhi Perk Line")/SUMIFS(#REF!,#REF!,'Data Sheet'!A:A,#REF!,"Samridhi Perk Line"),"")</f>
        <v/>
      </c>
      <c r="AS35" s="32"/>
      <c r="AT35" s="32">
        <v>0</v>
      </c>
      <c r="AU35" s="211">
        <f>IFERROR(VLOOKUP(Table1[[#This Row],[Date]],'Overweight Data'!A33:G1128,6,FALSE),"")</f>
        <v>2.813075506445668E-2</v>
      </c>
      <c r="AV35" s="221">
        <f ca="1">IFERROR(
   IF(
      OR(Table1[[#This Row],[Operating Time]]=0, (Table1[[#This Row],[Operating Time]]/IF(AC35&lt;=1,AC35+1,AC35))*60=0),
      1,
      ((Table1[[#This Row],[Operating Time]])/IF(AC35&lt;=1,AC35+1,AC35))*60
   ),
"_")</f>
        <v>626.32653061224482</v>
      </c>
      <c r="AW35" s="221">
        <f>COUNTIFS('Downtime Data'!A:A,Table1[[#This Row],[Date]])</f>
        <v>2</v>
      </c>
      <c r="AX35" s="219">
        <f>IFERROR((SUM(Table1[[#This Row],[Minor Stoppages]:[Material Shortages]])/Table1[[#This Row],['# Stops]])*60,"")</f>
        <v>30</v>
      </c>
      <c r="AY35" s="219"/>
      <c r="AZ35" s="33">
        <v>46048</v>
      </c>
    </row>
    <row r="36" spans="1:52" ht="20.149999999999999" customHeight="1" x14ac:dyDescent="0.35">
      <c r="A36" s="21">
        <v>46053</v>
      </c>
      <c r="B36" s="22" t="str">
        <f t="shared" si="1"/>
        <v>Saturday</v>
      </c>
      <c r="C36" s="23" t="s">
        <v>106</v>
      </c>
      <c r="D36" s="24" cm="1">
        <f t="array" aca="1" ref="D36" ca="1">IFERROR(INDIRECT(C36),"")</f>
        <v>39.200000000000003</v>
      </c>
      <c r="E36" s="25">
        <v>32</v>
      </c>
      <c r="F36" s="26">
        <v>29.3</v>
      </c>
      <c r="G36" s="27">
        <f ca="1">IFERROR((Table1[[#This Row],[Plan]]/Table1[[#This Row],[Hours Used]])/(Table1[[#This Row],[SOC (TPD)]]/24),"")</f>
        <v>0.81632653061224481</v>
      </c>
      <c r="H36" s="27">
        <f ca="1">IFERROR((Table1[[#This Row],[Volume Delivered (T)]]/Table1[[#This Row],[Hours Used]])/(Table1[[#This Row],[SOC (TPD)]]/24),"")</f>
        <v>0.74744897959183676</v>
      </c>
      <c r="I36" s="28"/>
      <c r="J36" s="28"/>
      <c r="K36" s="28"/>
      <c r="L36" s="25">
        <v>1.7</v>
      </c>
      <c r="M36" s="29">
        <v>3.4000000000000002E-2</v>
      </c>
      <c r="N36" s="84"/>
      <c r="O36" s="25"/>
      <c r="P36" s="25"/>
      <c r="Q36" s="70">
        <v>0</v>
      </c>
      <c r="R36" s="71">
        <v>0</v>
      </c>
      <c r="S36" s="30">
        <f>IF(Table1[[#This Row],[SKU]]="",0,24-Table1[[#This Row],[Legal Non-Operating Time]]-Table1[[#This Row],[No Demand Time]]-Table1[[#This Row],[Force Majeure]])</f>
        <v>24</v>
      </c>
      <c r="T36" s="26"/>
      <c r="U36" s="26"/>
      <c r="V36" s="26"/>
      <c r="W36" s="26"/>
      <c r="X36" s="26"/>
      <c r="Y36" s="26"/>
      <c r="Z36" s="26"/>
      <c r="AA36" s="30">
        <f>Table1[[#This Row],[Hours Used]]-SUM(Table1[[#This Row],[Planned Maintenance]:[Start and Finish Production]])</f>
        <v>24</v>
      </c>
      <c r="AB36" s="26"/>
      <c r="AC36" s="26">
        <v>4.8</v>
      </c>
      <c r="AD36" s="26"/>
      <c r="AE36" s="26"/>
      <c r="AF36" s="26"/>
      <c r="AG36" s="26"/>
      <c r="AH36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0.22040816326530432</v>
      </c>
      <c r="AI36" s="24">
        <f ca="1">IFERROR(IF(Table1[[#This Row],[SKU]]="",0,Table1[[#This Row],[Quality Loss (T)]]/(Table1[[#This Row],[SOC (TPD)]]/24)),"")</f>
        <v>1.0408163265306121</v>
      </c>
      <c r="AJ36" s="31">
        <f ca="1">IFERROR(IF(Table1[[#This Row],[SKU]]="",0,Table1[[#This Row],[Volume Delivered (T)]]/(Table1[[#This Row],[SOC (TPD)]]/24)),"")</f>
        <v>17.938775510204081</v>
      </c>
      <c r="AK36" s="31">
        <f ca="1">IFERROR(Table1[[#This Row],[Operating Time]]/Table1[[#This Row],[PRODUCTION HOURS]],"")</f>
        <v>0.74744897959183676</v>
      </c>
      <c r="AL36" s="32">
        <v>95</v>
      </c>
      <c r="AM36" s="32" t="s">
        <v>107</v>
      </c>
      <c r="AN36" s="32" t="s">
        <v>107</v>
      </c>
      <c r="AO36" s="32">
        <v>0</v>
      </c>
      <c r="AP36" s="32">
        <v>0</v>
      </c>
      <c r="AQ36" s="32"/>
      <c r="AR36" s="32" t="str">
        <f>IFERROR(SUMIFS(#REF!,#REF!,'Data Sheet'!A:A,#REF!,"Samridhi Perk Line")/SUMIFS(#REF!,#REF!,'Data Sheet'!A:A,#REF!,"Samridhi Perk Line"),"")</f>
        <v/>
      </c>
      <c r="AS36" s="32"/>
      <c r="AT36" s="32">
        <v>0</v>
      </c>
      <c r="AU36" s="211" t="str">
        <f>IFERROR(VLOOKUP(Table1[[#This Row],[Date]],'Overweight Data'!A34:G1129,6,FALSE),"")</f>
        <v/>
      </c>
      <c r="AV36" s="221">
        <f ca="1">IFERROR(
   IF(
      OR(Table1[[#This Row],[Operating Time]]=0, (Table1[[#This Row],[Operating Time]]/IF(AC36&lt;=1,AC36+1,AC36))*60=0),
      1,
      ((Table1[[#This Row],[Operating Time]])/IF(AC36&lt;=1,AC36+1,AC36))*60
   ),
"_")</f>
        <v>224.23469387755102</v>
      </c>
      <c r="AW36" s="221">
        <f>COUNTIFS('Downtime Data'!A:A,Table1[[#This Row],[Date]])</f>
        <v>1</v>
      </c>
      <c r="AX36" s="219">
        <f>IFERROR((SUM(Table1[[#This Row],[Minor Stoppages]:[Material Shortages]])/Table1[[#This Row],['# Stops]])*60,"")</f>
        <v>288</v>
      </c>
      <c r="AY36" s="219"/>
      <c r="AZ36" s="33">
        <v>46048</v>
      </c>
    </row>
    <row r="37" spans="1:52" ht="20.149999999999999" customHeight="1" x14ac:dyDescent="0.35">
      <c r="A37" s="21">
        <v>46054</v>
      </c>
      <c r="B37" s="22" t="str">
        <f t="shared" si="1"/>
        <v>Sunday</v>
      </c>
      <c r="C37" s="23" t="s">
        <v>108</v>
      </c>
      <c r="D37" s="24" cm="1">
        <f t="array" aca="1" ref="D37" ca="1">IFERROR(INDIRECT(C37),"")</f>
        <v>34.200000000000003</v>
      </c>
      <c r="E37" s="25">
        <v>27.8</v>
      </c>
      <c r="F37" s="26">
        <v>29.3</v>
      </c>
      <c r="G37" s="27">
        <f ca="1">IFERROR((Table1[[#This Row],[Plan]]/Table1[[#This Row],[Hours Used]])/(Table1[[#This Row],[SOC (TPD)]]/24),"")</f>
        <v>0.8128654970760234</v>
      </c>
      <c r="H37" s="27">
        <f ca="1">IFERROR((Table1[[#This Row],[Volume Delivered (T)]]/Table1[[#This Row],[Hours Used]])/(Table1[[#This Row],[SOC (TPD)]]/24),"")</f>
        <v>0.85672514619883045</v>
      </c>
      <c r="I37" s="234"/>
      <c r="J37" s="234"/>
      <c r="K37" s="28"/>
      <c r="L37" s="25">
        <v>1.603</v>
      </c>
      <c r="M37" s="29">
        <v>3.3000000000000002E-2</v>
      </c>
      <c r="N37" s="84"/>
      <c r="O37" s="25"/>
      <c r="P37" s="25"/>
      <c r="Q37" s="70">
        <v>0</v>
      </c>
      <c r="R37" s="71">
        <v>0</v>
      </c>
      <c r="S37" s="30">
        <f>IF(Table1[[#This Row],[SKU]]="",0,24-Table1[[#This Row],[Legal Non-Operating Time]]-Table1[[#This Row],[No Demand Time]]-Table1[[#This Row],[Force Majeure]])</f>
        <v>24</v>
      </c>
      <c r="T37" s="26"/>
      <c r="U37" s="26"/>
      <c r="V37" s="26"/>
      <c r="W37" s="26">
        <v>2</v>
      </c>
      <c r="X37" s="26"/>
      <c r="Y37" s="26"/>
      <c r="Z37" s="26"/>
      <c r="AA37" s="30">
        <f>Table1[[#This Row],[Hours Used]]-SUM(Table1[[#This Row],[Planned Maintenance]:[Start and Finish Production]])</f>
        <v>22</v>
      </c>
      <c r="AB37" s="26"/>
      <c r="AC37" s="26"/>
      <c r="AD37" s="26"/>
      <c r="AE37" s="26"/>
      <c r="AF37" s="26"/>
      <c r="AG37" s="26"/>
      <c r="AH37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0.31368421052631845</v>
      </c>
      <c r="AI37" s="24">
        <f ca="1">IFERROR(IF(Table1[[#This Row],[SKU]]="",0,Table1[[#This Row],[Quality Loss (T)]]/(Table1[[#This Row],[SOC (TPD)]]/24)),"")</f>
        <v>1.1249122807017544</v>
      </c>
      <c r="AJ37" s="31">
        <f ca="1">IFERROR(IF(Table1[[#This Row],[SKU]]="",0,Table1[[#This Row],[Volume Delivered (T)]]/(Table1[[#This Row],[SOC (TPD)]]/24)),"")</f>
        <v>20.561403508771928</v>
      </c>
      <c r="AK37" s="31">
        <f ca="1">IFERROR(Table1[[#This Row],[Operating Time]]/Table1[[#This Row],[PRODUCTION HOURS]],"")</f>
        <v>0.934609250398724</v>
      </c>
      <c r="AL37" s="32">
        <v>92</v>
      </c>
      <c r="AM37" s="32" t="s">
        <v>107</v>
      </c>
      <c r="AN37" s="32" t="s">
        <v>107</v>
      </c>
      <c r="AO37" s="32">
        <v>0</v>
      </c>
      <c r="AP37" s="32">
        <v>0</v>
      </c>
      <c r="AQ37" s="32"/>
      <c r="AR37" s="32" t="str">
        <f>IFERROR(SUMIFS(#REF!,#REF!,'Data Sheet'!A:A,#REF!,"Samridhi Perk Line")/SUMIFS(#REF!,#REF!,'Data Sheet'!A:A,#REF!,"Samridhi Perk Line"),"")</f>
        <v/>
      </c>
      <c r="AS37" s="32">
        <v>13</v>
      </c>
      <c r="AT37" s="32">
        <v>0</v>
      </c>
      <c r="AU37" s="211" t="str">
        <f>IFERROR(VLOOKUP(Table1[[#This Row],[Date]],'Overweight Data'!A35:G1130,6,FALSE),"")</f>
        <v/>
      </c>
      <c r="AV37" s="221">
        <f ca="1">IFERROR(
   IF(
      OR(Table1[[#This Row],[Operating Time]]=0, (Table1[[#This Row],[Operating Time]]/IF(AC37&lt;=1,AC37+1,AC37))*60=0),
      1,
      ((Table1[[#This Row],[Operating Time]])/IF(AC37&lt;=1,AC37+1,AC37))*60
   ),
"_")</f>
        <v>1233.6842105263156</v>
      </c>
      <c r="AW37" s="221">
        <f>COUNTIFS('Downtime Data'!A:A,Table1[[#This Row],[Date]])</f>
        <v>0</v>
      </c>
      <c r="AX37" s="219" t="str">
        <f>IFERROR((SUM(Table1[[#This Row],[Minor Stoppages]:[Material Shortages]])/Table1[[#This Row],['# Stops]])*60,"")</f>
        <v/>
      </c>
      <c r="AY37" s="219"/>
      <c r="AZ37" s="33">
        <v>46048</v>
      </c>
    </row>
    <row r="38" spans="1:52" ht="20.149999999999999" customHeight="1" x14ac:dyDescent="0.35">
      <c r="A38" s="21">
        <v>46055</v>
      </c>
      <c r="B38" s="22" t="str">
        <f t="shared" si="1"/>
        <v>Monday</v>
      </c>
      <c r="C38" s="23" t="s">
        <v>108</v>
      </c>
      <c r="D38" s="24" cm="1">
        <f t="array" aca="1" ref="D38" ca="1">IFERROR(INDIRECT(C38),"")</f>
        <v>34.200000000000003</v>
      </c>
      <c r="E38" s="25">
        <v>15</v>
      </c>
      <c r="F38" s="26">
        <v>20.892528000000002</v>
      </c>
      <c r="G38" s="27">
        <f ca="1">IFERROR((Table1[[#This Row],[Plan]]/Table1[[#This Row],[Hours Used]])/(Table1[[#This Row],[SOC (TPD)]]/24),"")</f>
        <v>0.43859649122807015</v>
      </c>
      <c r="H38" s="27">
        <f ca="1">IFERROR((Table1[[#This Row],[Volume Delivered (T)]]/Table1[[#This Row],[Hours Used]])/(Table1[[#This Row],[SOC (TPD)]]/24),"")</f>
        <v>0.61089263157894746</v>
      </c>
      <c r="I38" s="234"/>
      <c r="J38" s="234"/>
      <c r="K38" s="28"/>
      <c r="L38" s="25">
        <v>1.2509999999999999</v>
      </c>
      <c r="M38" s="29">
        <v>3.5999999999999997E-2</v>
      </c>
      <c r="N38" s="84"/>
      <c r="O38" s="25"/>
      <c r="P38" s="25"/>
      <c r="Q38" s="70">
        <v>9</v>
      </c>
      <c r="R38" s="71">
        <v>5</v>
      </c>
      <c r="S38" s="30">
        <f>IF(Table1[[#This Row],[SKU]]="",0,24-Table1[[#This Row],[Legal Non-Operating Time]]-Table1[[#This Row],[No Demand Time]]-Table1[[#This Row],[Force Majeure]])</f>
        <v>24</v>
      </c>
      <c r="T38" s="26"/>
      <c r="U38" s="26"/>
      <c r="V38" s="26">
        <v>8.5</v>
      </c>
      <c r="W38" s="26"/>
      <c r="X38" s="26"/>
      <c r="Y38" s="26"/>
      <c r="Z38" s="26"/>
      <c r="AA38" s="30">
        <f>Table1[[#This Row],[Hours Used]]-SUM(Table1[[#This Row],[Planned Maintenance]:[Start and Finish Production]])</f>
        <v>15.5</v>
      </c>
      <c r="AB38" s="26"/>
      <c r="AC38" s="26"/>
      <c r="AD38" s="26"/>
      <c r="AE38" s="26"/>
      <c r="AF38" s="26"/>
      <c r="AG38" s="26"/>
      <c r="AH38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-3.9317894736843328E-2</v>
      </c>
      <c r="AI38" s="24">
        <f ca="1">IFERROR(IF(Table1[[#This Row],[SKU]]="",0,Table1[[#This Row],[Quality Loss (T)]]/(Table1[[#This Row],[SOC (TPD)]]/24)),"")</f>
        <v>0.87789473684210517</v>
      </c>
      <c r="AJ38" s="31">
        <f ca="1">IFERROR(IF(Table1[[#This Row],[SKU]]="",0,Table1[[#This Row],[Volume Delivered (T)]]/(Table1[[#This Row],[SOC (TPD)]]/24)),"")</f>
        <v>14.661423157894738</v>
      </c>
      <c r="AK38" s="31">
        <f ca="1">IFERROR(Table1[[#This Row],[Operating Time]]/Table1[[#This Row],[PRODUCTION HOURS]],"")</f>
        <v>0.94589826825127343</v>
      </c>
      <c r="AL38" s="32">
        <v>91</v>
      </c>
      <c r="AM38" s="32" t="s">
        <v>107</v>
      </c>
      <c r="AN38" s="32"/>
      <c r="AO38" s="32">
        <v>6</v>
      </c>
      <c r="AP38" s="32">
        <v>5</v>
      </c>
      <c r="AQ38" s="32"/>
      <c r="AR38" s="32" t="str">
        <f>IFERROR(SUMIFS(#REF!,#REF!,'Data Sheet'!A:A,#REF!,"Samridhi Perk Line")/SUMIFS(#REF!,#REF!,'Data Sheet'!A:A,#REF!,"Samridhi Perk Line"),"")</f>
        <v/>
      </c>
      <c r="AS38" s="32">
        <v>18</v>
      </c>
      <c r="AT38" s="32">
        <v>0</v>
      </c>
      <c r="AU38" s="211">
        <f>IFERROR(VLOOKUP(Table1[[#This Row],[Date]],'Overweight Data'!A36:G1131,6,FALSE),"")</f>
        <v>2.9226519337016608E-2</v>
      </c>
      <c r="AV38" s="221">
        <f ca="1">IFERROR(
   IF(
      OR(Table1[[#This Row],[Operating Time]]=0, (Table1[[#This Row],[Operating Time]]/IF(AC38&lt;=1,AC38+1,AC38))*60=0),
      1,
      ((Table1[[#This Row],[Operating Time]])/IF(AC38&lt;=1,AC38+1,AC38))*60
   ),
"_")</f>
        <v>879.68538947368427</v>
      </c>
      <c r="AW38" s="221">
        <f>COUNTIFS('Downtime Data'!A:A,Table1[[#This Row],[Date]])</f>
        <v>1</v>
      </c>
      <c r="AX38" s="219">
        <f>IFERROR((SUM(Table1[[#This Row],[Minor Stoppages]:[Material Shortages]])/Table1[[#This Row],['# Stops]])*60,"")</f>
        <v>0</v>
      </c>
      <c r="AY38" s="219"/>
      <c r="AZ38" s="33">
        <v>46079</v>
      </c>
    </row>
    <row r="39" spans="1:52" ht="20.149999999999999" customHeight="1" x14ac:dyDescent="0.35">
      <c r="A39" s="21">
        <v>46056</v>
      </c>
      <c r="B39" s="22" t="str">
        <f t="shared" si="1"/>
        <v>Tuesday</v>
      </c>
      <c r="C39" s="23" t="s">
        <v>108</v>
      </c>
      <c r="D39" s="24" cm="1">
        <f t="array" aca="1" ref="D39" ca="1">IFERROR(INDIRECT(C39),"")</f>
        <v>34.200000000000003</v>
      </c>
      <c r="E39" s="25">
        <v>28</v>
      </c>
      <c r="F39" s="26">
        <v>26.46912</v>
      </c>
      <c r="G39" s="27">
        <f ca="1">IFERROR((Table1[[#This Row],[Plan]]/Table1[[#This Row],[Hours Used]])/(Table1[[#This Row],[SOC (TPD)]]/24),"")</f>
        <v>0.81871345029239773</v>
      </c>
      <c r="H39" s="27">
        <f ca="1">IFERROR((Table1[[#This Row],[Volume Delivered (T)]]/Table1[[#This Row],[Hours Used]])/(Table1[[#This Row],[SOC (TPD)]]/24),"")</f>
        <v>0.7739508771929825</v>
      </c>
      <c r="I39" s="234"/>
      <c r="J39" s="234"/>
      <c r="K39" s="28"/>
      <c r="L39" s="25">
        <v>2.1850000000000001</v>
      </c>
      <c r="M39" s="29">
        <v>3.5999999999999997E-2</v>
      </c>
      <c r="N39" s="84"/>
      <c r="O39" s="25"/>
      <c r="P39" s="25"/>
      <c r="Q39" s="70">
        <v>4</v>
      </c>
      <c r="R39" s="71">
        <v>5</v>
      </c>
      <c r="S39" s="30">
        <f>IF(Table1[[#This Row],[SKU]]="",0,24-Table1[[#This Row],[Legal Non-Operating Time]]-Table1[[#This Row],[No Demand Time]]-Table1[[#This Row],[Force Majeure]])</f>
        <v>24</v>
      </c>
      <c r="T39" s="26"/>
      <c r="U39" s="26">
        <v>0.5</v>
      </c>
      <c r="V39" s="26"/>
      <c r="W39" s="26"/>
      <c r="X39" s="26"/>
      <c r="Y39" s="26"/>
      <c r="Z39" s="26"/>
      <c r="AA39" s="30">
        <f>Table1[[#This Row],[Hours Used]]-SUM(Table1[[#This Row],[Planned Maintenance]:[Start and Finish Production]])</f>
        <v>23.5</v>
      </c>
      <c r="AB39" s="26"/>
      <c r="AC39" s="26">
        <v>1</v>
      </c>
      <c r="AD39" s="26">
        <v>1</v>
      </c>
      <c r="AE39" s="26"/>
      <c r="AF39" s="26"/>
      <c r="AG39" s="26"/>
      <c r="AH39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1.3918456140350912</v>
      </c>
      <c r="AI39" s="24">
        <f ca="1">IFERROR(IF(Table1[[#This Row],[SKU]]="",0,Table1[[#This Row],[Quality Loss (T)]]/(Table1[[#This Row],[SOC (TPD)]]/24)),"")</f>
        <v>1.5333333333333332</v>
      </c>
      <c r="AJ39" s="31">
        <f ca="1">IFERROR(IF(Table1[[#This Row],[SKU]]="",0,Table1[[#This Row],[Volume Delivered (T)]]/(Table1[[#This Row],[SOC (TPD)]]/24)),"")</f>
        <v>18.574821052631577</v>
      </c>
      <c r="AK39" s="31">
        <f ca="1">IFERROR(Table1[[#This Row],[Operating Time]]/Table1[[#This Row],[PRODUCTION HOURS]],"")</f>
        <v>0.7904179171332586</v>
      </c>
      <c r="AL39" s="32">
        <v>88</v>
      </c>
      <c r="AM39" s="32" t="s">
        <v>107</v>
      </c>
      <c r="AN39" s="32" t="s">
        <v>107</v>
      </c>
      <c r="AO39" s="32">
        <v>4</v>
      </c>
      <c r="AP39" s="32">
        <v>0</v>
      </c>
      <c r="AQ39" s="32">
        <v>5</v>
      </c>
      <c r="AR39" s="32" t="str">
        <f>IFERROR(SUMIFS(#REF!,#REF!,'Data Sheet'!A:A,#REF!,"Samridhi Perk Line")/SUMIFS(#REF!,#REF!,'Data Sheet'!A:A,#REF!,"Samridhi Perk Line"),"")</f>
        <v/>
      </c>
      <c r="AS39" s="32">
        <v>1</v>
      </c>
      <c r="AT39" s="32">
        <v>0</v>
      </c>
      <c r="AU39" s="211">
        <f>IFERROR(VLOOKUP(Table1[[#This Row],[Date]],'Overweight Data'!A37:G1132,6,FALSE),"")</f>
        <v>3.0322283609576433E-2</v>
      </c>
      <c r="AV39" s="221">
        <f ca="1">IFERROR(
   IF(
      OR(Table1[[#This Row],[Operating Time]]=0, (Table1[[#This Row],[Operating Time]]/IF(AC39&lt;=1,AC39+1,AC39))*60=0),
      1,
      ((Table1[[#This Row],[Operating Time]])/IF(AC39&lt;=1,AC39+1,AC39))*60
   ),
"_")</f>
        <v>557.24463157894729</v>
      </c>
      <c r="AW39" s="221">
        <f>COUNTIFS('Downtime Data'!A:A,Table1[[#This Row],[Date]])</f>
        <v>1</v>
      </c>
      <c r="AX39" s="219">
        <f>IFERROR((SUM(Table1[[#This Row],[Minor Stoppages]:[Material Shortages]])/Table1[[#This Row],['# Stops]])*60,"")</f>
        <v>120</v>
      </c>
      <c r="AY39" s="219"/>
      <c r="AZ39" s="33">
        <v>46079</v>
      </c>
    </row>
    <row r="40" spans="1:52" ht="20.149999999999999" customHeight="1" x14ac:dyDescent="0.35">
      <c r="A40" s="21">
        <v>46057</v>
      </c>
      <c r="B40" s="22" t="str">
        <f t="shared" si="1"/>
        <v>Wednesday</v>
      </c>
      <c r="C40" s="23" t="s">
        <v>108</v>
      </c>
      <c r="D40" s="24" cm="1">
        <f t="array" aca="1" ref="D40" ca="1">IFERROR(INDIRECT(C40),"")</f>
        <v>34.200000000000003</v>
      </c>
      <c r="E40" s="25">
        <v>28</v>
      </c>
      <c r="F40" s="26">
        <v>26.854152000000003</v>
      </c>
      <c r="G40" s="27">
        <f ca="1">IFERROR((Table1[[#This Row],[Plan]]/Table1[[#This Row],[Hours Used]])/(Table1[[#This Row],[SOC (TPD)]]/24),"")</f>
        <v>0.81871345029239773</v>
      </c>
      <c r="H40" s="27">
        <f ca="1">IFERROR((Table1[[#This Row],[Volume Delivered (T)]]/Table1[[#This Row],[Hours Used]])/(Table1[[#This Row],[SOC (TPD)]]/24),"")</f>
        <v>0.7852091228070176</v>
      </c>
      <c r="I40" s="234"/>
      <c r="J40" s="234"/>
      <c r="K40" s="28"/>
      <c r="L40" s="25">
        <v>1.68</v>
      </c>
      <c r="M40" s="29">
        <v>3.5000000000000003E-2</v>
      </c>
      <c r="N40" s="84"/>
      <c r="O40" s="25"/>
      <c r="P40" s="25"/>
      <c r="Q40" s="70">
        <v>0</v>
      </c>
      <c r="R40" s="71">
        <v>0</v>
      </c>
      <c r="S40" s="30">
        <f>IF(Table1[[#This Row],[SKU]]="",0,24-Table1[[#This Row],[Legal Non-Operating Time]]-Table1[[#This Row],[No Demand Time]]-Table1[[#This Row],[Force Majeure]])</f>
        <v>24</v>
      </c>
      <c r="T40" s="26">
        <v>1</v>
      </c>
      <c r="U40" s="26">
        <v>0.5</v>
      </c>
      <c r="V40" s="26"/>
      <c r="W40" s="26"/>
      <c r="X40" s="26"/>
      <c r="Y40" s="26"/>
      <c r="Z40" s="26"/>
      <c r="AA40" s="30">
        <f>Table1[[#This Row],[Hours Used]]-SUM(Table1[[#This Row],[Planned Maintenance]:[Start and Finish Production]])</f>
        <v>22.5</v>
      </c>
      <c r="AB40" s="26"/>
      <c r="AC40" s="26">
        <v>0.8</v>
      </c>
      <c r="AD40" s="26">
        <v>1.6</v>
      </c>
      <c r="AE40" s="26"/>
      <c r="AF40" s="26"/>
      <c r="AG40" s="26"/>
      <c r="AH40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7.6033684210525365E-2</v>
      </c>
      <c r="AI40" s="24">
        <f ca="1">IFERROR(IF(Table1[[#This Row],[SKU]]="",0,Table1[[#This Row],[Quality Loss (T)]]/(Table1[[#This Row],[SOC (TPD)]]/24)),"")</f>
        <v>1.1789473684210525</v>
      </c>
      <c r="AJ40" s="31">
        <f ca="1">IFERROR(IF(Table1[[#This Row],[SKU]]="",0,Table1[[#This Row],[Volume Delivered (T)]]/(Table1[[#This Row],[SOC (TPD)]]/24)),"")</f>
        <v>18.845018947368423</v>
      </c>
      <c r="AK40" s="31">
        <f ca="1">IFERROR(Table1[[#This Row],[Operating Time]]/Table1[[#This Row],[PRODUCTION HOURS]],"")</f>
        <v>0.8375563976608188</v>
      </c>
      <c r="AL40" s="32">
        <v>89</v>
      </c>
      <c r="AM40" s="32" t="s">
        <v>107</v>
      </c>
      <c r="AN40" s="32" t="s">
        <v>105</v>
      </c>
      <c r="AO40" s="32">
        <v>0</v>
      </c>
      <c r="AP40" s="32">
        <v>0</v>
      </c>
      <c r="AQ40" s="32"/>
      <c r="AR40" s="32" t="str">
        <f>IFERROR(SUMIFS(#REF!,#REF!,'Data Sheet'!A:A,#REF!,"Samridhi Perk Line")/SUMIFS(#REF!,#REF!,'Data Sheet'!A:A,#REF!,"Samridhi Perk Line"),"")</f>
        <v/>
      </c>
      <c r="AS40" s="32">
        <v>6</v>
      </c>
      <c r="AT40" s="32">
        <v>0</v>
      </c>
      <c r="AU40" s="211">
        <f>IFERROR(VLOOKUP(Table1[[#This Row],[Date]],'Overweight Data'!A38:G1133,6,FALSE),"")</f>
        <v>3.4263351749539574E-2</v>
      </c>
      <c r="AV40" s="221">
        <f ca="1">IFERROR(
   IF(
      OR(Table1[[#This Row],[Operating Time]]=0, (Table1[[#This Row],[Operating Time]]/IF(AC40&lt;=1,AC40+1,AC40))*60=0),
      1,
      ((Table1[[#This Row],[Operating Time]])/IF(AC40&lt;=1,AC40+1,AC40))*60
   ),
"_")</f>
        <v>628.16729824561412</v>
      </c>
      <c r="AW40" s="221">
        <f>COUNTIFS('Downtime Data'!A:A,Table1[[#This Row],[Date]])</f>
        <v>2</v>
      </c>
      <c r="AX40" s="219">
        <f>IFERROR((SUM(Table1[[#This Row],[Minor Stoppages]:[Material Shortages]])/Table1[[#This Row],['# Stops]])*60,"")</f>
        <v>72.000000000000014</v>
      </c>
      <c r="AY40" s="219"/>
      <c r="AZ40" s="33">
        <v>46079</v>
      </c>
    </row>
    <row r="41" spans="1:52" ht="20.149999999999999" customHeight="1" x14ac:dyDescent="0.35">
      <c r="A41" s="21">
        <v>46058</v>
      </c>
      <c r="B41" s="22" t="str">
        <f t="shared" si="1"/>
        <v>Thursday</v>
      </c>
      <c r="C41" s="23" t="s">
        <v>108</v>
      </c>
      <c r="D41" s="24" cm="1">
        <f t="array" aca="1" ref="D41" ca="1">IFERROR(INDIRECT(C41),"")</f>
        <v>34.200000000000003</v>
      </c>
      <c r="E41" s="25">
        <v>28</v>
      </c>
      <c r="F41" s="26">
        <v>24.434616000000002</v>
      </c>
      <c r="G41" s="27">
        <f ca="1">IFERROR((Table1[[#This Row],[Plan]]/Table1[[#This Row],[Hours Used]])/(Table1[[#This Row],[SOC (TPD)]]/24),"")</f>
        <v>0.81871345029239773</v>
      </c>
      <c r="H41" s="27">
        <f ca="1">IFERROR((Table1[[#This Row],[Volume Delivered (T)]]/Table1[[#This Row],[Hours Used]])/(Table1[[#This Row],[SOC (TPD)]]/24),"")</f>
        <v>0.71446245614035098</v>
      </c>
      <c r="I41" s="234"/>
      <c r="J41" s="234"/>
      <c r="K41" s="28"/>
      <c r="L41" s="25">
        <v>1.6479999999999999</v>
      </c>
      <c r="M41" s="29">
        <v>3.5999999999999997E-2</v>
      </c>
      <c r="N41" s="84"/>
      <c r="O41" s="25"/>
      <c r="P41" s="25"/>
      <c r="Q41" s="70">
        <v>1</v>
      </c>
      <c r="R41" s="71">
        <v>1</v>
      </c>
      <c r="S41" s="30">
        <f>IF(Table1[[#This Row],[SKU]]="",0,24-Table1[[#This Row],[Legal Non-Operating Time]]-Table1[[#This Row],[No Demand Time]]-Table1[[#This Row],[Force Majeure]])</f>
        <v>24</v>
      </c>
      <c r="T41" s="26"/>
      <c r="U41" s="26">
        <v>0.5</v>
      </c>
      <c r="V41" s="26"/>
      <c r="W41" s="26"/>
      <c r="X41" s="26"/>
      <c r="Y41" s="26"/>
      <c r="Z41" s="26"/>
      <c r="AA41" s="30">
        <f>Table1[[#This Row],[Hours Used]]-SUM(Table1[[#This Row],[Planned Maintenance]:[Start and Finish Production]])</f>
        <v>23.5</v>
      </c>
      <c r="AB41" s="26"/>
      <c r="AC41" s="26">
        <v>4</v>
      </c>
      <c r="AD41" s="26"/>
      <c r="AE41" s="26"/>
      <c r="AF41" s="26">
        <v>1</v>
      </c>
      <c r="AG41" s="26"/>
      <c r="AH41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0.19640982456139966</v>
      </c>
      <c r="AI41" s="24">
        <f ca="1">IFERROR(IF(Table1[[#This Row],[SKU]]="",0,Table1[[#This Row],[Quality Loss (T)]]/(Table1[[#This Row],[SOC (TPD)]]/24)),"")</f>
        <v>1.1564912280701753</v>
      </c>
      <c r="AJ41" s="31">
        <f ca="1">IFERROR(IF(Table1[[#This Row],[SKU]]="",0,Table1[[#This Row],[Volume Delivered (T)]]/(Table1[[#This Row],[SOC (TPD)]]/24)),"")</f>
        <v>17.147098947368423</v>
      </c>
      <c r="AK41" s="31">
        <f ca="1">IFERROR(Table1[[#This Row],[Operating Time]]/Table1[[#This Row],[PRODUCTION HOURS]],"")</f>
        <v>0.72966378499440099</v>
      </c>
      <c r="AL41" s="32">
        <v>90</v>
      </c>
      <c r="AM41" s="32" t="s">
        <v>107</v>
      </c>
      <c r="AN41" s="32" t="s">
        <v>107</v>
      </c>
      <c r="AO41" s="32">
        <v>0</v>
      </c>
      <c r="AP41" s="32">
        <v>0</v>
      </c>
      <c r="AQ41" s="32">
        <v>1</v>
      </c>
      <c r="AR41" s="32" t="str">
        <f>IFERROR(SUMIFS(#REF!,#REF!,'Data Sheet'!A:A,#REF!,"Samridhi Perk Line")/SUMIFS(#REF!,#REF!,'Data Sheet'!A:A,#REF!,"Samridhi Perk Line"),"")</f>
        <v/>
      </c>
      <c r="AS41" s="32">
        <v>11</v>
      </c>
      <c r="AT41" s="32">
        <v>0</v>
      </c>
      <c r="AU41" s="211">
        <f>IFERROR(VLOOKUP(Table1[[#This Row],[Date]],'Overweight Data'!A39:G1134,6,FALSE),"")</f>
        <v>3.334254143646407E-2</v>
      </c>
      <c r="AV41" s="221">
        <f ca="1">IFERROR(
   IF(
      OR(Table1[[#This Row],[Operating Time]]=0, (Table1[[#This Row],[Operating Time]]/IF(AC41&lt;=1,AC41+1,AC41))*60=0),
      1,
      ((Table1[[#This Row],[Operating Time]])/IF(AC41&lt;=1,AC41+1,AC41))*60
   ),
"_")</f>
        <v>257.20648421052636</v>
      </c>
      <c r="AW41" s="221">
        <f>COUNTIFS('Downtime Data'!A:A,Table1[[#This Row],[Date]])</f>
        <v>2</v>
      </c>
      <c r="AX41" s="219">
        <f>IFERROR((SUM(Table1[[#This Row],[Minor Stoppages]:[Material Shortages]])/Table1[[#This Row],['# Stops]])*60,"")</f>
        <v>150</v>
      </c>
      <c r="AY41" s="219"/>
      <c r="AZ41" s="33">
        <v>46079</v>
      </c>
    </row>
    <row r="42" spans="1:52" ht="20.149999999999999" customHeight="1" x14ac:dyDescent="0.35">
      <c r="A42" s="21">
        <v>46059</v>
      </c>
      <c r="B42" s="22" t="str">
        <f t="shared" si="1"/>
        <v>Friday</v>
      </c>
      <c r="C42" s="23" t="s">
        <v>108</v>
      </c>
      <c r="D42" s="24" cm="1">
        <f t="array" aca="1" ref="D42" ca="1">IFERROR(INDIRECT(C42),"")</f>
        <v>34.200000000000003</v>
      </c>
      <c r="E42" s="25">
        <v>28</v>
      </c>
      <c r="F42" s="26">
        <v>25.569528000000002</v>
      </c>
      <c r="G42" s="27">
        <f ca="1">IFERROR((Table1[[#This Row],[Plan]]/Table1[[#This Row],[Hours Used]])/(Table1[[#This Row],[SOC (TPD)]]/24),"")</f>
        <v>0.81871345029239773</v>
      </c>
      <c r="H42" s="27">
        <f ca="1">IFERROR((Table1[[#This Row],[Volume Delivered (T)]]/Table1[[#This Row],[Hours Used]])/(Table1[[#This Row],[SOC (TPD)]]/24),"")</f>
        <v>0.74764701754385976</v>
      </c>
      <c r="I42" s="234"/>
      <c r="J42" s="234"/>
      <c r="K42" s="28"/>
      <c r="L42" s="25">
        <v>1.849</v>
      </c>
      <c r="M42" s="29">
        <v>4.4999999999999998E-2</v>
      </c>
      <c r="N42" s="84"/>
      <c r="O42" s="25"/>
      <c r="P42" s="25"/>
      <c r="Q42" s="70">
        <v>0</v>
      </c>
      <c r="R42" s="71">
        <v>0</v>
      </c>
      <c r="S42" s="30">
        <f>IF(Table1[[#This Row],[SKU]]="",0,24-Table1[[#This Row],[Legal Non-Operating Time]]-Table1[[#This Row],[No Demand Time]]-Table1[[#This Row],[Force Majeure]])</f>
        <v>24</v>
      </c>
      <c r="T42" s="26"/>
      <c r="U42" s="26">
        <v>1</v>
      </c>
      <c r="V42" s="26"/>
      <c r="W42" s="26"/>
      <c r="X42" s="26"/>
      <c r="Y42" s="26"/>
      <c r="Z42" s="26"/>
      <c r="AA42" s="30">
        <f>Table1[[#This Row],[Hours Used]]-SUM(Table1[[#This Row],[Planned Maintenance]:[Start and Finish Production]])</f>
        <v>23</v>
      </c>
      <c r="AB42" s="26"/>
      <c r="AC42" s="26"/>
      <c r="AD42" s="26">
        <v>1</v>
      </c>
      <c r="AE42" s="26"/>
      <c r="AF42" s="26">
        <v>2.5</v>
      </c>
      <c r="AG42" s="26"/>
      <c r="AH42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0.25892771929824221</v>
      </c>
      <c r="AI42" s="24">
        <f ca="1">IFERROR(IF(Table1[[#This Row],[SKU]]="",0,Table1[[#This Row],[Quality Loss (T)]]/(Table1[[#This Row],[SOC (TPD)]]/24)),"")</f>
        <v>1.2975438596491227</v>
      </c>
      <c r="AJ42" s="31">
        <f ca="1">IFERROR(IF(Table1[[#This Row],[SKU]]="",0,Table1[[#This Row],[Volume Delivered (T)]]/(Table1[[#This Row],[SOC (TPD)]]/24)),"")</f>
        <v>17.943528421052633</v>
      </c>
      <c r="AK42" s="31">
        <f ca="1">IFERROR(Table1[[#This Row],[Operating Time]]/Table1[[#This Row],[PRODUCTION HOURS]],"")</f>
        <v>0.78015340961098401</v>
      </c>
      <c r="AL42" s="32">
        <v>88</v>
      </c>
      <c r="AM42" s="32" t="s">
        <v>107</v>
      </c>
      <c r="AN42" s="32"/>
      <c r="AO42" s="32">
        <v>18</v>
      </c>
      <c r="AP42" s="32">
        <v>19</v>
      </c>
      <c r="AQ42" s="32"/>
      <c r="AR42" s="32" t="str">
        <f>IFERROR(SUMIFS(#REF!,#REF!,'Data Sheet'!A:A,#REF!,"Samridhi Perk Line")/SUMIFS(#REF!,#REF!,'Data Sheet'!A:A,#REF!,"Samridhi Perk Line"),"")</f>
        <v/>
      </c>
      <c r="AS42" s="32">
        <v>33</v>
      </c>
      <c r="AT42" s="32">
        <v>0</v>
      </c>
      <c r="AU42" s="211">
        <f>IFERROR(VLOOKUP(Table1[[#This Row],[Date]],'Overweight Data'!A40:G1135,6,FALSE),"")</f>
        <v>4.4401473296500897E-2</v>
      </c>
      <c r="AV42" s="221">
        <f ca="1">IFERROR(
   IF(
      OR(Table1[[#This Row],[Operating Time]]=0, (Table1[[#This Row],[Operating Time]]/IF(AC42&lt;=1,AC42+1,AC42))*60=0),
      1,
      ((Table1[[#This Row],[Operating Time]])/IF(AC42&lt;=1,AC42+1,AC42))*60
   ),
"_")</f>
        <v>1076.611705263158</v>
      </c>
      <c r="AW42" s="221">
        <f>COUNTIFS('Downtime Data'!A:A,Table1[[#This Row],[Date]])</f>
        <v>1</v>
      </c>
      <c r="AX42" s="219">
        <f>IFERROR((SUM(Table1[[#This Row],[Minor Stoppages]:[Material Shortages]])/Table1[[#This Row],['# Stops]])*60,"")</f>
        <v>210</v>
      </c>
      <c r="AY42" s="219"/>
      <c r="AZ42" s="33">
        <v>46079</v>
      </c>
    </row>
    <row r="43" spans="1:52" ht="20.149999999999999" customHeight="1" x14ac:dyDescent="0.35">
      <c r="A43" s="21">
        <v>46060</v>
      </c>
      <c r="B43" s="22" t="str">
        <f t="shared" si="1"/>
        <v>Saturday</v>
      </c>
      <c r="C43" s="23" t="s">
        <v>108</v>
      </c>
      <c r="D43" s="24" cm="1">
        <f t="array" aca="1" ref="D43" ca="1">IFERROR(INDIRECT(C43),"")</f>
        <v>34.200000000000003</v>
      </c>
      <c r="E43" s="25">
        <v>28</v>
      </c>
      <c r="F43" s="26">
        <v>24.286992000000001</v>
      </c>
      <c r="G43" s="27">
        <f ca="1">IFERROR((Table1[[#This Row],[Plan]]/Table1[[#This Row],[Hours Used]])/(Table1[[#This Row],[SOC (TPD)]]/24),"")</f>
        <v>0.81871345029239773</v>
      </c>
      <c r="H43" s="27">
        <f ca="1">IFERROR((Table1[[#This Row],[Volume Delivered (T)]]/Table1[[#This Row],[Hours Used]])/(Table1[[#This Row],[SOC (TPD)]]/24),"")</f>
        <v>0.71014596491228077</v>
      </c>
      <c r="I43" s="234"/>
      <c r="J43" s="234"/>
      <c r="K43" s="28"/>
      <c r="L43" s="25">
        <v>1.823</v>
      </c>
      <c r="M43" s="29">
        <v>4.4999999999999998E-2</v>
      </c>
      <c r="N43" s="84"/>
      <c r="O43" s="25"/>
      <c r="P43" s="25"/>
      <c r="Q43" s="70">
        <v>7</v>
      </c>
      <c r="R43" s="71">
        <v>0</v>
      </c>
      <c r="S43" s="30">
        <f>IF(Table1[[#This Row],[SKU]]="",0,24-Table1[[#This Row],[Legal Non-Operating Time]]-Table1[[#This Row],[No Demand Time]]-Table1[[#This Row],[Force Majeure]])</f>
        <v>24</v>
      </c>
      <c r="T43" s="26"/>
      <c r="U43" s="26">
        <v>1</v>
      </c>
      <c r="V43" s="26"/>
      <c r="W43" s="26"/>
      <c r="X43" s="26"/>
      <c r="Y43" s="26"/>
      <c r="Z43" s="26"/>
      <c r="AA43" s="30">
        <f>Table1[[#This Row],[Hours Used]]-SUM(Table1[[#This Row],[Planned Maintenance]:[Start and Finish Production]])</f>
        <v>23</v>
      </c>
      <c r="AB43" s="26"/>
      <c r="AC43" s="26">
        <v>4.5</v>
      </c>
      <c r="AD43" s="26"/>
      <c r="AE43" s="26"/>
      <c r="AF43" s="26"/>
      <c r="AG43" s="26"/>
      <c r="AH43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0.17719859649122682</v>
      </c>
      <c r="AI43" s="24">
        <f ca="1">IFERROR(IF(Table1[[#This Row],[SKU]]="",0,Table1[[#This Row],[Quality Loss (T)]]/(Table1[[#This Row],[SOC (TPD)]]/24)),"")</f>
        <v>1.2792982456140349</v>
      </c>
      <c r="AJ43" s="31">
        <f ca="1">IFERROR(IF(Table1[[#This Row],[SKU]]="",0,Table1[[#This Row],[Volume Delivered (T)]]/(Table1[[#This Row],[SOC (TPD)]]/24)),"")</f>
        <v>17.043503157894737</v>
      </c>
      <c r="AK43" s="31">
        <f ca="1">IFERROR(Table1[[#This Row],[Operating Time]]/Table1[[#This Row],[PRODUCTION HOURS]],"")</f>
        <v>0.74102187643020589</v>
      </c>
      <c r="AL43" s="32">
        <v>90</v>
      </c>
      <c r="AM43" s="32" t="s">
        <v>107</v>
      </c>
      <c r="AN43" s="32"/>
      <c r="AO43" s="32">
        <v>7</v>
      </c>
      <c r="AP43" s="32">
        <v>5</v>
      </c>
      <c r="AQ43" s="32"/>
      <c r="AR43" s="32" t="str">
        <f>IFERROR(SUMIFS(#REF!,#REF!,'Data Sheet'!A:A,#REF!,"Samridhi Perk Line")/SUMIFS(#REF!,#REF!,'Data Sheet'!A:A,#REF!,"Samridhi Perk Line"),"")</f>
        <v/>
      </c>
      <c r="AS43" s="32">
        <v>12</v>
      </c>
      <c r="AT43" s="32">
        <v>0</v>
      </c>
      <c r="AU43" s="211">
        <f>IFERROR(VLOOKUP(Table1[[#This Row],[Date]],'Overweight Data'!A41:G1136,6,FALSE),"")</f>
        <v>4.5027624309392243E-2</v>
      </c>
      <c r="AV43" s="221">
        <f ca="1">IFERROR(
   IF(
      OR(Table1[[#This Row],[Operating Time]]=0, (Table1[[#This Row],[Operating Time]]/IF(AC43&lt;=1,AC43+1,AC43))*60=0),
      1,
      ((Table1[[#This Row],[Operating Time]])/IF(AC43&lt;=1,AC43+1,AC43))*60
   ),
"_")</f>
        <v>227.24670877192983</v>
      </c>
      <c r="AW43" s="221">
        <f>COUNTIFS('Downtime Data'!A:A,Table1[[#This Row],[Date]])</f>
        <v>1</v>
      </c>
      <c r="AX43" s="219">
        <f>IFERROR((SUM(Table1[[#This Row],[Minor Stoppages]:[Material Shortages]])/Table1[[#This Row],['# Stops]])*60,"")</f>
        <v>270</v>
      </c>
      <c r="AY43" s="219"/>
      <c r="AZ43" s="33">
        <v>46079</v>
      </c>
    </row>
    <row r="44" spans="1:52" ht="20.149999999999999" customHeight="1" x14ac:dyDescent="0.35">
      <c r="A44" s="21">
        <v>46061</v>
      </c>
      <c r="B44" s="22" t="str">
        <f t="shared" si="1"/>
        <v>Sunday</v>
      </c>
      <c r="C44" s="23" t="s">
        <v>108</v>
      </c>
      <c r="D44" s="24" cm="1">
        <f t="array" aca="1" ref="D44" ca="1">IFERROR(INDIRECT(C44),"")</f>
        <v>34.200000000000003</v>
      </c>
      <c r="E44" s="25">
        <v>28</v>
      </c>
      <c r="F44" s="26">
        <v>27.078699999999998</v>
      </c>
      <c r="G44" s="27">
        <f ca="1">IFERROR((Table1[[#This Row],[Plan]]/Table1[[#This Row],[Hours Used]])/(Table1[[#This Row],[SOC (TPD)]]/24),"")</f>
        <v>0.81871345029239773</v>
      </c>
      <c r="H44" s="27">
        <f ca="1">IFERROR((Table1[[#This Row],[Volume Delivered (T)]]/Table1[[#This Row],[Hours Used]])/(Table1[[#This Row],[SOC (TPD)]]/24),"")</f>
        <v>0.79177485380116941</v>
      </c>
      <c r="I44" s="234"/>
      <c r="J44" s="234"/>
      <c r="K44" s="28"/>
      <c r="L44" s="25">
        <v>1.885</v>
      </c>
      <c r="M44" s="29">
        <v>4.4999999999999998E-2</v>
      </c>
      <c r="N44" s="84"/>
      <c r="O44" s="25"/>
      <c r="P44" s="25"/>
      <c r="Q44" s="70">
        <v>0</v>
      </c>
      <c r="R44" s="71">
        <v>0</v>
      </c>
      <c r="S44" s="30">
        <f>IF(Table1[[#This Row],[SKU]]="",0,24-Table1[[#This Row],[Legal Non-Operating Time]]-Table1[[#This Row],[No Demand Time]]-Table1[[#This Row],[Force Majeure]])</f>
        <v>24</v>
      </c>
      <c r="T44" s="26"/>
      <c r="U44" s="26">
        <v>0.5</v>
      </c>
      <c r="V44" s="26"/>
      <c r="W44" s="26">
        <v>2</v>
      </c>
      <c r="X44" s="26"/>
      <c r="Y44" s="26"/>
      <c r="Z44" s="26"/>
      <c r="AA44" s="30">
        <f>Table1[[#This Row],[Hours Used]]-SUM(Table1[[#This Row],[Planned Maintenance]:[Start and Finish Production]])</f>
        <v>21.5</v>
      </c>
      <c r="AB44" s="26">
        <v>0.72070131944444404</v>
      </c>
      <c r="AC44" s="26"/>
      <c r="AD44" s="26"/>
      <c r="AE44" s="26"/>
      <c r="AF44" s="26"/>
      <c r="AG44" s="26"/>
      <c r="AH44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0.45389517178362837</v>
      </c>
      <c r="AI44" s="24">
        <f ca="1">IFERROR(IF(Table1[[#This Row],[SKU]]="",0,Table1[[#This Row],[Quality Loss (T)]]/(Table1[[#This Row],[SOC (TPD)]]/24)),"")</f>
        <v>1.3228070175438595</v>
      </c>
      <c r="AJ44" s="31">
        <f ca="1">IFERROR(IF(Table1[[#This Row],[SKU]]="",0,Table1[[#This Row],[Volume Delivered (T)]]/(Table1[[#This Row],[SOC (TPD)]]/24)),"")</f>
        <v>19.002596491228068</v>
      </c>
      <c r="AK44" s="31">
        <f ca="1">IFERROR(Table1[[#This Row],[Operating Time]]/Table1[[#This Row],[PRODUCTION HOURS]],"")</f>
        <v>0.88384169726642181</v>
      </c>
      <c r="AL44" s="32">
        <v>94</v>
      </c>
      <c r="AM44" s="32" t="s">
        <v>107</v>
      </c>
      <c r="AN44" s="32"/>
      <c r="AO44" s="32">
        <v>0</v>
      </c>
      <c r="AP44" s="32">
        <v>0</v>
      </c>
      <c r="AQ44" s="32"/>
      <c r="AR44" s="32" t="str">
        <f>IFERROR(SUMIFS(#REF!,#REF!,'Data Sheet'!A:A,#REF!,"Samridhi Perk Line")/SUMIFS(#REF!,#REF!,'Data Sheet'!A:A,#REF!,"Samridhi Perk Line"),"")</f>
        <v/>
      </c>
      <c r="AS44" s="32">
        <v>10</v>
      </c>
      <c r="AT44" s="32">
        <v>0</v>
      </c>
      <c r="AU44" s="211">
        <f>IFERROR(VLOOKUP(Table1[[#This Row],[Date]],'Overweight Data'!A42:G1137,6,FALSE),"")</f>
        <v>3.9049030742872547E-2</v>
      </c>
      <c r="AV44" s="221">
        <f ca="1">IFERROR(
   IF(
      OR(Table1[[#This Row],[Operating Time]]=0, (Table1[[#This Row],[Operating Time]]/IF(AC44&lt;=1,AC44+1,AC44))*60=0),
      1,
      ((Table1[[#This Row],[Operating Time]])/IF(AC44&lt;=1,AC44+1,AC44))*60
   ),
"_")</f>
        <v>1140.1557894736841</v>
      </c>
      <c r="AW44" s="221">
        <f>COUNTIFS('Downtime Data'!A:A,Table1[[#This Row],[Date]])</f>
        <v>1</v>
      </c>
      <c r="AX44" s="219">
        <f>IFERROR((SUM(Table1[[#This Row],[Minor Stoppages]:[Material Shortages]])/Table1[[#This Row],['# Stops]])*60,"")</f>
        <v>43.242079166666642</v>
      </c>
      <c r="AY44" s="219"/>
      <c r="AZ44" s="33">
        <v>46079</v>
      </c>
    </row>
    <row r="45" spans="1:52" ht="20.149999999999999" customHeight="1" x14ac:dyDescent="0.35">
      <c r="A45" s="21">
        <v>46062</v>
      </c>
      <c r="B45" s="22" t="str">
        <f t="shared" si="1"/>
        <v>Monday</v>
      </c>
      <c r="C45" s="23" t="s">
        <v>108</v>
      </c>
      <c r="D45" s="24" cm="1">
        <f t="array" aca="1" ref="D45" ca="1">IFERROR(INDIRECT(C45),"")</f>
        <v>34.200000000000003</v>
      </c>
      <c r="E45" s="25">
        <v>28</v>
      </c>
      <c r="F45" s="26">
        <v>26.074651999999997</v>
      </c>
      <c r="G45" s="27">
        <f ca="1">IFERROR((Table1[[#This Row],[Plan]]/Table1[[#This Row],[Hours Used]])/(Table1[[#This Row],[SOC (TPD)]]/24),"")</f>
        <v>0.81871345029239773</v>
      </c>
      <c r="H45" s="27">
        <f ca="1">IFERROR((Table1[[#This Row],[Volume Delivered (T)]]/Table1[[#This Row],[Hours Used]])/(Table1[[#This Row],[SOC (TPD)]]/24),"")</f>
        <v>0.76241672514619874</v>
      </c>
      <c r="I45" s="234"/>
      <c r="J45" s="234"/>
      <c r="K45" s="28"/>
      <c r="L45" s="25">
        <v>1.3069999999999999</v>
      </c>
      <c r="M45" s="29">
        <v>4.4999999999999998E-2</v>
      </c>
      <c r="N45" s="84"/>
      <c r="O45" s="25"/>
      <c r="P45" s="25"/>
      <c r="Q45" s="70">
        <v>0</v>
      </c>
      <c r="R45" s="71">
        <v>0</v>
      </c>
      <c r="S45" s="30">
        <f>IF(Table1[[#This Row],[SKU]]="",0,24-Table1[[#This Row],[Legal Non-Operating Time]]-Table1[[#This Row],[No Demand Time]]-Table1[[#This Row],[Force Majeure]])</f>
        <v>24</v>
      </c>
      <c r="T45" s="26"/>
      <c r="U45" s="26">
        <v>0.8</v>
      </c>
      <c r="V45" s="26"/>
      <c r="W45" s="26"/>
      <c r="X45" s="26"/>
      <c r="Y45" s="26"/>
      <c r="Z45" s="26"/>
      <c r="AA45" s="30">
        <f>Table1[[#This Row],[Hours Used]]-SUM(Table1[[#This Row],[Planned Maintenance]:[Start and Finish Production]])</f>
        <v>23.2</v>
      </c>
      <c r="AB45" s="26">
        <v>0.45703465277777872</v>
      </c>
      <c r="AC45" s="26"/>
      <c r="AD45" s="26">
        <v>1</v>
      </c>
      <c r="AE45" s="26"/>
      <c r="AF45" s="26">
        <v>2.5</v>
      </c>
      <c r="AG45" s="26"/>
      <c r="AH45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2.7770961257310489E-2</v>
      </c>
      <c r="AI45" s="24">
        <f ca="1">IFERROR(IF(Table1[[#This Row],[SKU]]="",0,Table1[[#This Row],[Quality Loss (T)]]/(Table1[[#This Row],[SOC (TPD)]]/24)),"")</f>
        <v>0.91719298245614023</v>
      </c>
      <c r="AJ45" s="31">
        <f ca="1">IFERROR(IF(Table1[[#This Row],[SKU]]="",0,Table1[[#This Row],[Volume Delivered (T)]]/(Table1[[#This Row],[SOC (TPD)]]/24)),"")</f>
        <v>18.298001403508771</v>
      </c>
      <c r="AK45" s="31">
        <f ca="1">IFERROR(Table1[[#This Row],[Operating Time]]/Table1[[#This Row],[PRODUCTION HOURS]],"")</f>
        <v>0.78870695704779181</v>
      </c>
      <c r="AL45" s="32">
        <v>83</v>
      </c>
      <c r="AM45" s="32" t="s">
        <v>107</v>
      </c>
      <c r="AN45" s="32" t="s">
        <v>107</v>
      </c>
      <c r="AO45" s="32">
        <v>0</v>
      </c>
      <c r="AP45" s="32">
        <v>0</v>
      </c>
      <c r="AQ45" s="32"/>
      <c r="AR45" s="32" t="str">
        <f>IFERROR(SUMIFS(#REF!,#REF!,'Data Sheet'!A:A,#REF!,"Samridhi Perk Line")/SUMIFS(#REF!,#REF!,'Data Sheet'!A:A,#REF!,"Samridhi Perk Line"),"")</f>
        <v/>
      </c>
      <c r="AS45" s="32">
        <v>17</v>
      </c>
      <c r="AT45" s="32">
        <v>0</v>
      </c>
      <c r="AU45" s="211">
        <f>IFERROR(VLOOKUP(Table1[[#This Row],[Date]],'Overweight Data'!A43:G1138,6,FALSE),"")</f>
        <v>3.3344947735191609E-2</v>
      </c>
      <c r="AV45" s="221">
        <f ca="1">IFERROR(
   IF(
      OR(Table1[[#This Row],[Operating Time]]=0, (Table1[[#This Row],[Operating Time]]/IF(AC45&lt;=1,AC45+1,AC45))*60=0),
      1,
      ((Table1[[#This Row],[Operating Time]])/IF(AC45&lt;=1,AC45+1,AC45))*60
   ),
"_")</f>
        <v>1097.8800842105263</v>
      </c>
      <c r="AW45" s="221">
        <f>COUNTIFS('Downtime Data'!A:A,Table1[[#This Row],[Date]])</f>
        <v>1</v>
      </c>
      <c r="AX45" s="219">
        <f>IFERROR((SUM(Table1[[#This Row],[Minor Stoppages]:[Material Shortages]])/Table1[[#This Row],['# Stops]])*60,"")</f>
        <v>237.42207916666672</v>
      </c>
      <c r="AY45" s="219"/>
      <c r="AZ45" s="33">
        <v>46079</v>
      </c>
    </row>
    <row r="46" spans="1:52" ht="20.149999999999999" customHeight="1" x14ac:dyDescent="0.35">
      <c r="A46" s="21">
        <v>46063</v>
      </c>
      <c r="B46" s="22" t="str">
        <f t="shared" si="1"/>
        <v>Tuesday</v>
      </c>
      <c r="C46" s="23" t="s">
        <v>108</v>
      </c>
      <c r="D46" s="24" cm="1">
        <f t="array" aca="1" ref="D46" ca="1">IFERROR(INDIRECT(C46),"")</f>
        <v>34.200000000000003</v>
      </c>
      <c r="E46" s="25">
        <v>28</v>
      </c>
      <c r="F46" s="26">
        <v>23.8</v>
      </c>
      <c r="G46" s="27">
        <f ca="1">IFERROR((Table1[[#This Row],[Plan]]/Table1[[#This Row],[Hours Used]])/(Table1[[#This Row],[SOC (TPD)]]/24),"")</f>
        <v>0.81871345029239773</v>
      </c>
      <c r="H46" s="27">
        <f ca="1">IFERROR((Table1[[#This Row],[Volume Delivered (T)]]/Table1[[#This Row],[Hours Used]])/(Table1[[#This Row],[SOC (TPD)]]/24),"")</f>
        <v>0.69590643274853803</v>
      </c>
      <c r="I46" s="234"/>
      <c r="J46" s="234"/>
      <c r="K46" s="28"/>
      <c r="L46" s="25">
        <v>1.419</v>
      </c>
      <c r="M46" s="29">
        <v>4.5999999999999999E-2</v>
      </c>
      <c r="N46" s="84"/>
      <c r="O46" s="25"/>
      <c r="P46" s="25"/>
      <c r="Q46" s="70">
        <v>0</v>
      </c>
      <c r="R46" s="71">
        <v>0</v>
      </c>
      <c r="S46" s="30">
        <f>IF(Table1[[#This Row],[SKU]]="",0,24-Table1[[#This Row],[Legal Non-Operating Time]]-Table1[[#This Row],[No Demand Time]]-Table1[[#This Row],[Force Majeure]])</f>
        <v>24</v>
      </c>
      <c r="T46" s="26"/>
      <c r="U46" s="26">
        <v>0.9</v>
      </c>
      <c r="V46" s="26"/>
      <c r="W46" s="26"/>
      <c r="X46" s="26"/>
      <c r="Y46" s="26"/>
      <c r="Z46" s="26"/>
      <c r="AA46" s="30">
        <f>Table1[[#This Row],[Hours Used]]-SUM(Table1[[#This Row],[Planned Maintenance]:[Start and Finish Production]])</f>
        <v>23.1</v>
      </c>
      <c r="AB46" s="26">
        <v>0.1</v>
      </c>
      <c r="AC46" s="26"/>
      <c r="AD46" s="26"/>
      <c r="AE46" s="26">
        <v>3.1</v>
      </c>
      <c r="AF46" s="26">
        <v>2.2000000000000002</v>
      </c>
      <c r="AG46" s="26"/>
      <c r="AH46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2.4561403508798207E-3</v>
      </c>
      <c r="AI46" s="24">
        <f ca="1">IFERROR(IF(Table1[[#This Row],[SKU]]="",0,Table1[[#This Row],[Quality Loss (T)]]/(Table1[[#This Row],[SOC (TPD)]]/24)),"")</f>
        <v>0.99578947368421056</v>
      </c>
      <c r="AJ46" s="31">
        <f ca="1">IFERROR(IF(Table1[[#This Row],[SKU]]="",0,Table1[[#This Row],[Volume Delivered (T)]]/(Table1[[#This Row],[SOC (TPD)]]/24)),"")</f>
        <v>16.701754385964911</v>
      </c>
      <c r="AK46" s="31">
        <f ca="1">IFERROR(Table1[[#This Row],[Operating Time]]/Table1[[#This Row],[PRODUCTION HOURS]],"")</f>
        <v>0.72301967038809134</v>
      </c>
      <c r="AL46" s="32">
        <v>64</v>
      </c>
      <c r="AM46" s="32" t="s">
        <v>107</v>
      </c>
      <c r="AN46" s="32" t="s">
        <v>105</v>
      </c>
      <c r="AO46" s="32">
        <v>0</v>
      </c>
      <c r="AP46" s="32">
        <v>0</v>
      </c>
      <c r="AQ46" s="32"/>
      <c r="AR46" s="32" t="str">
        <f>IFERROR(SUMIFS(#REF!,#REF!,'Data Sheet'!A:A,#REF!,"Samridhi Perk Line")/SUMIFS(#REF!,#REF!,'Data Sheet'!A:A,#REF!,"Samridhi Perk Line"),"")</f>
        <v/>
      </c>
      <c r="AS46" s="32">
        <v>28</v>
      </c>
      <c r="AT46" s="32">
        <v>0</v>
      </c>
      <c r="AU46" s="211">
        <f>IFERROR(VLOOKUP(Table1[[#This Row],[Date]],'Overweight Data'!A44:G1139,6,FALSE),"")</f>
        <v>2.462833914053424E-2</v>
      </c>
      <c r="AV46" s="221">
        <f ca="1">IFERROR(
   IF(
      OR(Table1[[#This Row],[Operating Time]]=0, (Table1[[#This Row],[Operating Time]]/IF(AC46&lt;=1,AC46+1,AC46))*60=0),
      1,
      ((Table1[[#This Row],[Operating Time]])/IF(AC46&lt;=1,AC46+1,AC46))*60
   ),
"_")</f>
        <v>1002.1052631578947</v>
      </c>
      <c r="AW46" s="221">
        <f>COUNTIFS('Downtime Data'!A:A,Table1[[#This Row],[Date]])</f>
        <v>1</v>
      </c>
      <c r="AX46" s="219">
        <f>IFERROR((SUM(Table1[[#This Row],[Minor Stoppages]:[Material Shortages]])/Table1[[#This Row],['# Stops]])*60,"")</f>
        <v>324</v>
      </c>
      <c r="AY46" s="219"/>
      <c r="AZ46" s="33">
        <v>46079</v>
      </c>
    </row>
    <row r="47" spans="1:52" ht="20.149999999999999" customHeight="1" x14ac:dyDescent="0.35">
      <c r="A47" s="21">
        <v>46064</v>
      </c>
      <c r="B47" s="22" t="str">
        <f t="shared" si="1"/>
        <v>Wednesday</v>
      </c>
      <c r="C47" s="23" t="s">
        <v>108</v>
      </c>
      <c r="D47" s="24" cm="1">
        <f t="array" aca="1" ref="D47" ca="1">IFERROR(INDIRECT(C47),"")</f>
        <v>34.200000000000003</v>
      </c>
      <c r="E47" s="25">
        <v>27</v>
      </c>
      <c r="F47" s="26">
        <v>22.2</v>
      </c>
      <c r="G47" s="27">
        <f ca="1">IFERROR((Table1[[#This Row],[Plan]]/Table1[[#This Row],[Hours Used]])/(Table1[[#This Row],[SOC (TPD)]]/24),"")</f>
        <v>0.78947368421052633</v>
      </c>
      <c r="H47" s="27">
        <f ca="1">IFERROR((Table1[[#This Row],[Volume Delivered (T)]]/Table1[[#This Row],[Hours Used]])/(Table1[[#This Row],[SOC (TPD)]]/24),"")</f>
        <v>0.64912280701754377</v>
      </c>
      <c r="I47" s="234"/>
      <c r="J47" s="234"/>
      <c r="K47" s="28"/>
      <c r="L47" s="25">
        <v>1.589</v>
      </c>
      <c r="M47" s="29">
        <v>4.5999999999999999E-2</v>
      </c>
      <c r="N47" s="84">
        <v>36</v>
      </c>
      <c r="O47" s="25"/>
      <c r="P47" s="25">
        <v>4</v>
      </c>
      <c r="Q47" s="70">
        <v>0</v>
      </c>
      <c r="R47" s="71">
        <v>0</v>
      </c>
      <c r="S47" s="30">
        <f>IF(Table1[[#This Row],[SKU]]="",0,24-Table1[[#This Row],[Legal Non-Operating Time]]-Table1[[#This Row],[No Demand Time]]-Table1[[#This Row],[Force Majeure]])</f>
        <v>24</v>
      </c>
      <c r="T47" s="26">
        <v>1</v>
      </c>
      <c r="U47" s="26"/>
      <c r="V47" s="26"/>
      <c r="W47" s="26"/>
      <c r="X47" s="26"/>
      <c r="Y47" s="26"/>
      <c r="Z47" s="26"/>
      <c r="AA47" s="30">
        <f>Table1[[#This Row],[Hours Used]]-SUM(Table1[[#This Row],[Planned Maintenance]:[Start and Finish Production]])</f>
        <v>23</v>
      </c>
      <c r="AB47" s="26">
        <v>0.2506066666666667</v>
      </c>
      <c r="AC47" s="26">
        <v>5.5</v>
      </c>
      <c r="AD47" s="26"/>
      <c r="AE47" s="26"/>
      <c r="AF47" s="26">
        <v>0.5</v>
      </c>
      <c r="AG47" s="26"/>
      <c r="AH47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5.5358245614037571E-2</v>
      </c>
      <c r="AI47" s="24">
        <f ca="1">IFERROR(IF(Table1[[#This Row],[SKU]]="",0,Table1[[#This Row],[Quality Loss (T)]]/(Table1[[#This Row],[SOC (TPD)]]/24)),"")</f>
        <v>1.1150877192982456</v>
      </c>
      <c r="AJ47" s="31">
        <f ca="1">IFERROR(IF(Table1[[#This Row],[SKU]]="",0,Table1[[#This Row],[Volume Delivered (T)]]/(Table1[[#This Row],[SOC (TPD)]]/24)),"")</f>
        <v>15.578947368421051</v>
      </c>
      <c r="AK47" s="31">
        <f ca="1">IFERROR(Table1[[#This Row],[Operating Time]]/Table1[[#This Row],[PRODUCTION HOURS]],"")</f>
        <v>0.677345537757437</v>
      </c>
      <c r="AL47" s="32">
        <v>64</v>
      </c>
      <c r="AM47" s="32" t="s">
        <v>107</v>
      </c>
      <c r="AN47" s="32" t="s">
        <v>105</v>
      </c>
      <c r="AO47" s="32">
        <v>0</v>
      </c>
      <c r="AP47" s="32">
        <v>3</v>
      </c>
      <c r="AQ47" s="32"/>
      <c r="AR47" s="32" t="str">
        <f>IFERROR(SUMIFS(#REF!,#REF!,'Data Sheet'!A:A,#REF!,"Samridhi Perk Line")/SUMIFS(#REF!,#REF!,'Data Sheet'!A:A,#REF!,"Samridhi Perk Line"),"")</f>
        <v/>
      </c>
      <c r="AS47" s="32">
        <v>10</v>
      </c>
      <c r="AT47" s="32">
        <v>0</v>
      </c>
      <c r="AU47" s="211" t="str">
        <f>IFERROR(VLOOKUP(Table1[[#This Row],[Date]],'Overweight Data'!A45:G1140,6,FALSE),"")</f>
        <v/>
      </c>
      <c r="AV47" s="221">
        <f ca="1">IFERROR(
   IF(
      OR(Table1[[#This Row],[Operating Time]]=0, (Table1[[#This Row],[Operating Time]]/IF(AC47&lt;=1,AC47+1,AC47))*60=0),
      1,
      ((Table1[[#This Row],[Operating Time]])/IF(AC47&lt;=1,AC47+1,AC47))*60
   ),
"_")</f>
        <v>169.95215311004782</v>
      </c>
      <c r="AW47" s="221">
        <f>COUNTIFS('Downtime Data'!A:A,Table1[[#This Row],[Date]])</f>
        <v>1</v>
      </c>
      <c r="AX47" s="219">
        <f>IFERROR((SUM(Table1[[#This Row],[Minor Stoppages]:[Material Shortages]])/Table1[[#This Row],['# Stops]])*60,"")</f>
        <v>375.03640000000001</v>
      </c>
      <c r="AY47" s="219"/>
      <c r="AZ47" s="33">
        <v>46079</v>
      </c>
    </row>
    <row r="48" spans="1:52" ht="20.149999999999999" customHeight="1" x14ac:dyDescent="0.35">
      <c r="A48" s="21">
        <v>46065</v>
      </c>
      <c r="B48" s="22" t="str">
        <f t="shared" si="1"/>
        <v>Thursday</v>
      </c>
      <c r="C48" s="23" t="s">
        <v>108</v>
      </c>
      <c r="D48" s="24" cm="1">
        <f t="array" aca="1" ref="D48" ca="1">IFERROR(INDIRECT(C48),"")</f>
        <v>34.200000000000003</v>
      </c>
      <c r="E48" s="25"/>
      <c r="F48" s="26">
        <v>24.057955999999997</v>
      </c>
      <c r="G48" s="27">
        <f ca="1">IFERROR((Table1[[#This Row],[Plan]]/Table1[[#This Row],[Hours Used]])/(Table1[[#This Row],[SOC (TPD)]]/24),"")</f>
        <v>0</v>
      </c>
      <c r="H48" s="27">
        <f ca="1">IFERROR((Table1[[#This Row],[Volume Delivered (T)]]/Table1[[#This Row],[Hours Used]])/(Table1[[#This Row],[SOC (TPD)]]/24),"")</f>
        <v>0.70344900584795311</v>
      </c>
      <c r="I48" s="234"/>
      <c r="J48" s="234"/>
      <c r="K48" s="28"/>
      <c r="L48" s="25">
        <v>2.0710000000000002</v>
      </c>
      <c r="M48" s="29">
        <v>4.5999999999999999E-2</v>
      </c>
      <c r="N48" s="84"/>
      <c r="O48" s="25"/>
      <c r="P48" s="25"/>
      <c r="Q48" s="70">
        <v>0</v>
      </c>
      <c r="R48" s="71">
        <v>0</v>
      </c>
      <c r="S48" s="30">
        <f>IF(Table1[[#This Row],[SKU]]="",0,24-Table1[[#This Row],[Legal Non-Operating Time]]-Table1[[#This Row],[No Demand Time]]-Table1[[#This Row],[Force Majeure]])</f>
        <v>24</v>
      </c>
      <c r="T48" s="26">
        <v>1</v>
      </c>
      <c r="U48" s="26">
        <v>0.3</v>
      </c>
      <c r="V48" s="26"/>
      <c r="W48" s="26">
        <v>0.5</v>
      </c>
      <c r="X48" s="26"/>
      <c r="Y48" s="26"/>
      <c r="Z48" s="26"/>
      <c r="AA48" s="30">
        <f>Table1[[#This Row],[Hours Used]]-SUM(Table1[[#This Row],[Planned Maintenance]:[Start and Finish Production]])</f>
        <v>22.2</v>
      </c>
      <c r="AB48" s="26"/>
      <c r="AC48" s="26">
        <v>0.6</v>
      </c>
      <c r="AD48" s="26">
        <v>1.1000000000000001</v>
      </c>
      <c r="AE48" s="26"/>
      <c r="AF48" s="26">
        <v>2.2000000000000002</v>
      </c>
      <c r="AG48" s="26"/>
      <c r="AH48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-3.6109473684209803E-2</v>
      </c>
      <c r="AI48" s="24">
        <f ca="1">IFERROR(IF(Table1[[#This Row],[SKU]]="",0,Table1[[#This Row],[Quality Loss (T)]]/(Table1[[#This Row],[SOC (TPD)]]/24)),"")</f>
        <v>1.4533333333333334</v>
      </c>
      <c r="AJ48" s="31">
        <f ca="1">IFERROR(IF(Table1[[#This Row],[SKU]]="",0,Table1[[#This Row],[Volume Delivered (T)]]/(Table1[[#This Row],[SOC (TPD)]]/24)),"")</f>
        <v>16.882776140350874</v>
      </c>
      <c r="AK48" s="31">
        <f ca="1">IFERROR(Table1[[#This Row],[Operating Time]]/Table1[[#This Row],[PRODUCTION HOURS]],"")</f>
        <v>0.76048541172751682</v>
      </c>
      <c r="AL48" s="32">
        <v>64</v>
      </c>
      <c r="AM48" s="32" t="s">
        <v>107</v>
      </c>
      <c r="AN48" s="32" t="s">
        <v>105</v>
      </c>
      <c r="AO48" s="32">
        <v>0</v>
      </c>
      <c r="AP48" s="32">
        <v>0</v>
      </c>
      <c r="AQ48" s="32"/>
      <c r="AR48" s="32" t="str">
        <f>IFERROR(SUMIFS(#REF!,#REF!,'Data Sheet'!A:A,#REF!,"Samridhi Perk Line")/SUMIFS(#REF!,#REF!,'Data Sheet'!A:A,#REF!,"Samridhi Perk Line"),"")</f>
        <v/>
      </c>
      <c r="AS48" s="32">
        <v>17</v>
      </c>
      <c r="AT48" s="32">
        <v>0</v>
      </c>
      <c r="AU48" s="211">
        <f>IFERROR(VLOOKUP(Table1[[#This Row],[Date]],'Overweight Data'!A46:G1141,6,FALSE),"")</f>
        <v>2.0438620132057654E-2</v>
      </c>
      <c r="AV48" s="221">
        <f ca="1">IFERROR(
   IF(
      OR(Table1[[#This Row],[Operating Time]]=0, (Table1[[#This Row],[Operating Time]]/IF(AC48&lt;=1,AC48+1,AC48))*60=0),
      1,
      ((Table1[[#This Row],[Operating Time]])/IF(AC48&lt;=1,AC48+1,AC48))*60
   ),
"_")</f>
        <v>633.10410526315775</v>
      </c>
      <c r="AW48" s="221">
        <f>COUNTIFS('Downtime Data'!A:A,Table1[[#This Row],[Date]])</f>
        <v>2</v>
      </c>
      <c r="AX48" s="219">
        <f>IFERROR((SUM(Table1[[#This Row],[Minor Stoppages]:[Material Shortages]])/Table1[[#This Row],['# Stops]])*60,"")</f>
        <v>117.00000000000001</v>
      </c>
      <c r="AY48" s="219"/>
      <c r="AZ48" s="33">
        <v>46079</v>
      </c>
    </row>
    <row r="49" spans="1:52" ht="20.149999999999999" customHeight="1" x14ac:dyDescent="0.35">
      <c r="A49" s="21">
        <v>46066</v>
      </c>
      <c r="B49" s="22" t="str">
        <f t="shared" si="1"/>
        <v>Friday</v>
      </c>
      <c r="C49" s="23" t="s">
        <v>108</v>
      </c>
      <c r="D49" s="24" cm="1">
        <f t="array" aca="1" ref="D49" ca="1">IFERROR(INDIRECT(C49),"")</f>
        <v>34.200000000000003</v>
      </c>
      <c r="E49" s="25">
        <v>28</v>
      </c>
      <c r="F49" s="26">
        <v>29.1</v>
      </c>
      <c r="G49" s="27">
        <f ca="1">IFERROR((Table1[[#This Row],[Plan]]/Table1[[#This Row],[Hours Used]])/(Table1[[#This Row],[SOC (TPD)]]/24),"")</f>
        <v>0.81871345029239773</v>
      </c>
      <c r="H49" s="27">
        <f ca="1">IFERROR((Table1[[#This Row],[Volume Delivered (T)]]/Table1[[#This Row],[Hours Used]])/(Table1[[#This Row],[SOC (TPD)]]/24),"")</f>
        <v>0.85087719298245623</v>
      </c>
      <c r="I49" s="234"/>
      <c r="J49" s="234"/>
      <c r="K49" s="28"/>
      <c r="L49" s="25">
        <v>1.774</v>
      </c>
      <c r="M49" s="29">
        <v>4.7E-2</v>
      </c>
      <c r="N49" s="84">
        <v>39</v>
      </c>
      <c r="O49" s="25"/>
      <c r="P49" s="25">
        <v>2</v>
      </c>
      <c r="Q49" s="70">
        <v>1</v>
      </c>
      <c r="R49" s="71">
        <v>1</v>
      </c>
      <c r="S49" s="30">
        <f>IF(Table1[[#This Row],[SKU]]="",0,24-Table1[[#This Row],[Legal Non-Operating Time]]-Table1[[#This Row],[No Demand Time]]-Table1[[#This Row],[Force Majeure]])</f>
        <v>24</v>
      </c>
      <c r="T49" s="26"/>
      <c r="U49" s="26">
        <v>0.4</v>
      </c>
      <c r="V49" s="26"/>
      <c r="W49" s="26">
        <v>0.5</v>
      </c>
      <c r="X49" s="26"/>
      <c r="Y49" s="26"/>
      <c r="Z49" s="26"/>
      <c r="AA49" s="30">
        <f>Table1[[#This Row],[Hours Used]]-SUM(Table1[[#This Row],[Planned Maintenance]:[Start and Finish Production]])</f>
        <v>23.1</v>
      </c>
      <c r="AB49" s="26"/>
      <c r="AC49" s="26"/>
      <c r="AD49" s="26">
        <v>1.4</v>
      </c>
      <c r="AE49" s="26"/>
      <c r="AF49" s="26"/>
      <c r="AG49" s="26"/>
      <c r="AH49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3.4035087719299639E-2</v>
      </c>
      <c r="AI49" s="24">
        <f ca="1">IFERROR(IF(Table1[[#This Row],[SKU]]="",0,Table1[[#This Row],[Quality Loss (T)]]/(Table1[[#This Row],[SOC (TPD)]]/24)),"")</f>
        <v>1.2449122807017543</v>
      </c>
      <c r="AJ49" s="31">
        <f ca="1">IFERROR(IF(Table1[[#This Row],[SKU]]="",0,Table1[[#This Row],[Volume Delivered (T)]]/(Table1[[#This Row],[SOC (TPD)]]/24)),"")</f>
        <v>20.421052631578949</v>
      </c>
      <c r="AK49" s="31">
        <f ca="1">IFERROR(Table1[[#This Row],[Operating Time]]/Table1[[#This Row],[PRODUCTION HOURS]],"")</f>
        <v>0.88402825244930505</v>
      </c>
      <c r="AL49" s="32">
        <v>86</v>
      </c>
      <c r="AM49" s="32" t="s">
        <v>107</v>
      </c>
      <c r="AN49" s="32" t="s">
        <v>105</v>
      </c>
      <c r="AO49" s="32">
        <v>19</v>
      </c>
      <c r="AP49" s="32">
        <v>18</v>
      </c>
      <c r="AQ49" s="32"/>
      <c r="AR49" s="32" t="str">
        <f>IFERROR(SUMIFS(#REF!,#REF!,'Data Sheet'!A:A,#REF!,"Samridhi Perk Line")/SUMIFS(#REF!,#REF!,'Data Sheet'!A:A,#REF!,"Samridhi Perk Line"),"")</f>
        <v/>
      </c>
      <c r="AS49" s="32">
        <v>8</v>
      </c>
      <c r="AT49" s="32">
        <v>0</v>
      </c>
      <c r="AU49" s="211">
        <f>IFERROR(VLOOKUP(Table1[[#This Row],[Date]],'Overweight Data'!A47:G1142,6,FALSE),"")</f>
        <v>2.7357274401473328E-2</v>
      </c>
      <c r="AV49" s="221">
        <f ca="1">IFERROR(
   IF(
      OR(Table1[[#This Row],[Operating Time]]=0, (Table1[[#This Row],[Operating Time]]/IF(AC49&lt;=1,AC49+1,AC49))*60=0),
      1,
      ((Table1[[#This Row],[Operating Time]])/IF(AC49&lt;=1,AC49+1,AC49))*60
   ),
"_")</f>
        <v>1225.2631578947369</v>
      </c>
      <c r="AW49" s="221">
        <f>COUNTIFS('Downtime Data'!A:A,Table1[[#This Row],[Date]])</f>
        <v>0</v>
      </c>
      <c r="AX49" s="219" t="str">
        <f>IFERROR((SUM(Table1[[#This Row],[Minor Stoppages]:[Material Shortages]])/Table1[[#This Row],['# Stops]])*60,"")</f>
        <v/>
      </c>
      <c r="AY49" s="219"/>
      <c r="AZ49" s="33">
        <v>46079</v>
      </c>
    </row>
    <row r="50" spans="1:52" ht="20.149999999999999" customHeight="1" x14ac:dyDescent="0.35">
      <c r="A50" s="21">
        <v>46067</v>
      </c>
      <c r="B50" s="22" t="str">
        <f t="shared" si="1"/>
        <v>Saturday</v>
      </c>
      <c r="C50" s="23" t="s">
        <v>108</v>
      </c>
      <c r="D50" s="24" cm="1">
        <f t="array" aca="1" ref="D50" ca="1">IFERROR(INDIRECT(C50),"")</f>
        <v>34.200000000000003</v>
      </c>
      <c r="E50" s="25">
        <v>28</v>
      </c>
      <c r="F50" s="26">
        <v>22.2</v>
      </c>
      <c r="G50" s="27">
        <f ca="1">IFERROR((Table1[[#This Row],[Plan]]/Table1[[#This Row],[Hours Used]])/(Table1[[#This Row],[SOC (TPD)]]/24),"")</f>
        <v>0.81871345029239773</v>
      </c>
      <c r="H50" s="27">
        <f ca="1">IFERROR((Table1[[#This Row],[Volume Delivered (T)]]/Table1[[#This Row],[Hours Used]])/(Table1[[#This Row],[SOC (TPD)]]/24),"")</f>
        <v>0.64912280701754377</v>
      </c>
      <c r="I50" s="234"/>
      <c r="J50" s="234"/>
      <c r="K50" s="28"/>
      <c r="L50" s="25">
        <v>1.1639999999999999</v>
      </c>
      <c r="M50" s="29">
        <v>4.5999999999999999E-2</v>
      </c>
      <c r="N50" s="84">
        <v>35</v>
      </c>
      <c r="O50" s="25"/>
      <c r="P50" s="25"/>
      <c r="Q50" s="70">
        <v>6</v>
      </c>
      <c r="R50" s="71">
        <v>6</v>
      </c>
      <c r="S50" s="30">
        <f>IF(Table1[[#This Row],[SKU]]="",0,24-Table1[[#This Row],[Legal Non-Operating Time]]-Table1[[#This Row],[No Demand Time]]-Table1[[#This Row],[Force Majeure]])</f>
        <v>24</v>
      </c>
      <c r="T50" s="26">
        <v>1</v>
      </c>
      <c r="U50" s="26"/>
      <c r="V50" s="26">
        <v>8.5</v>
      </c>
      <c r="W50" s="26"/>
      <c r="X50" s="26"/>
      <c r="Y50" s="26"/>
      <c r="Z50" s="26"/>
      <c r="AA50" s="30">
        <f>Table1[[#This Row],[Hours Used]]-SUM(Table1[[#This Row],[Planned Maintenance]:[Start and Finish Production]])</f>
        <v>14.5</v>
      </c>
      <c r="AB50" s="26">
        <v>0.25860465277777739</v>
      </c>
      <c r="AC50" s="26">
        <v>0.9</v>
      </c>
      <c r="AD50" s="26">
        <v>1.5</v>
      </c>
      <c r="AE50" s="26"/>
      <c r="AF50" s="26"/>
      <c r="AG50" s="26"/>
      <c r="AH50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-4.554394126461986</v>
      </c>
      <c r="AI50" s="24">
        <f ca="1">IFERROR(IF(Table1[[#This Row],[SKU]]="",0,Table1[[#This Row],[Quality Loss (T)]]/(Table1[[#This Row],[SOC (TPD)]]/24)),"")</f>
        <v>0.81684210526315781</v>
      </c>
      <c r="AJ50" s="31">
        <f ca="1">IFERROR(IF(Table1[[#This Row],[SKU]]="",0,Table1[[#This Row],[Volume Delivered (T)]]/(Table1[[#This Row],[SOC (TPD)]]/24)),"")</f>
        <v>15.578947368421051</v>
      </c>
      <c r="AK50" s="31">
        <f ca="1">IFERROR(Table1[[#This Row],[Operating Time]]/Table1[[#This Row],[PRODUCTION HOURS]],"")</f>
        <v>1.0744101633393828</v>
      </c>
      <c r="AL50" s="32">
        <v>88</v>
      </c>
      <c r="AM50" s="32" t="s">
        <v>105</v>
      </c>
      <c r="AN50" s="32" t="s">
        <v>105</v>
      </c>
      <c r="AO50" s="32">
        <v>5</v>
      </c>
      <c r="AP50" s="32">
        <v>0</v>
      </c>
      <c r="AQ50" s="32">
        <v>6</v>
      </c>
      <c r="AR50" s="32" t="str">
        <f>IFERROR(SUMIFS(#REF!,#REF!,'Data Sheet'!A:A,#REF!,"Samridhi Perk Line")/SUMIFS(#REF!,#REF!,'Data Sheet'!A:A,#REF!,"Samridhi Perk Line"),"")</f>
        <v/>
      </c>
      <c r="AS50" s="32">
        <v>29</v>
      </c>
      <c r="AT50" s="32">
        <v>0</v>
      </c>
      <c r="AU50" s="211">
        <f>IFERROR(VLOOKUP(Table1[[#This Row],[Date]],'Overweight Data'!A48:G1143,6,FALSE),"")</f>
        <v>4.7651933701657462E-2</v>
      </c>
      <c r="AV50" s="221">
        <f ca="1">IFERROR(
   IF(
      OR(Table1[[#This Row],[Operating Time]]=0, (Table1[[#This Row],[Operating Time]]/IF(AC50&lt;=1,AC50+1,AC50))*60=0),
      1,
      ((Table1[[#This Row],[Operating Time]])/IF(AC50&lt;=1,AC50+1,AC50))*60
   ),
"_")</f>
        <v>491.96675900277006</v>
      </c>
      <c r="AW50" s="221">
        <f>COUNTIFS('Downtime Data'!A:A,Table1[[#This Row],[Date]])</f>
        <v>0</v>
      </c>
      <c r="AX50" s="219" t="str">
        <f>IFERROR((SUM(Table1[[#This Row],[Minor Stoppages]:[Material Shortages]])/Table1[[#This Row],['# Stops]])*60,"")</f>
        <v/>
      </c>
      <c r="AY50" s="219"/>
      <c r="AZ50" s="33">
        <v>46079</v>
      </c>
    </row>
    <row r="51" spans="1:52" ht="20.149999999999999" customHeight="1" x14ac:dyDescent="0.35">
      <c r="A51" s="21">
        <v>46068</v>
      </c>
      <c r="B51" s="22" t="str">
        <f t="shared" si="1"/>
        <v>Sunday</v>
      </c>
      <c r="C51" s="23" t="s">
        <v>106</v>
      </c>
      <c r="D51" s="24" cm="1">
        <f t="array" aca="1" ref="D51" ca="1">IFERROR(INDIRECT(C51),"")</f>
        <v>39.200000000000003</v>
      </c>
      <c r="E51" s="25">
        <v>28</v>
      </c>
      <c r="F51" s="26">
        <v>30.719088000000003</v>
      </c>
      <c r="G51" s="27">
        <f ca="1">IFERROR((Table1[[#This Row],[Plan]]/Table1[[#This Row],[Hours Used]])/(Table1[[#This Row],[SOC (TPD)]]/24),"")</f>
        <v>0.7142857142857143</v>
      </c>
      <c r="H51" s="27">
        <f ca="1">IFERROR((Table1[[#This Row],[Volume Delivered (T)]]/Table1[[#This Row],[Hours Used]])/(Table1[[#This Row],[SOC (TPD)]]/24),"")</f>
        <v>0.78365020408163255</v>
      </c>
      <c r="I51" s="234"/>
      <c r="J51" s="234"/>
      <c r="K51" s="28"/>
      <c r="L51" s="25">
        <v>1</v>
      </c>
      <c r="M51" s="29">
        <v>4.3999999999999997E-2</v>
      </c>
      <c r="N51" s="84">
        <v>30</v>
      </c>
      <c r="O51" s="25"/>
      <c r="P51" s="25"/>
      <c r="Q51" s="70">
        <v>42</v>
      </c>
      <c r="R51" s="71">
        <v>42</v>
      </c>
      <c r="S51" s="30">
        <f>IF(Table1[[#This Row],[SKU]]="",0,24-Table1[[#This Row],[Legal Non-Operating Time]]-Table1[[#This Row],[No Demand Time]]-Table1[[#This Row],[Force Majeure]])</f>
        <v>24</v>
      </c>
      <c r="T51" s="26"/>
      <c r="U51" s="26"/>
      <c r="V51" s="26"/>
      <c r="W51" s="26"/>
      <c r="X51" s="26"/>
      <c r="Y51" s="26"/>
      <c r="Z51" s="26"/>
      <c r="AA51" s="30">
        <f>Table1[[#This Row],[Hours Used]]-SUM(Table1[[#This Row],[Planned Maintenance]:[Start and Finish Production]])</f>
        <v>24</v>
      </c>
      <c r="AB51" s="26"/>
      <c r="AC51" s="26"/>
      <c r="AD51" s="26">
        <v>2.2999999999999998</v>
      </c>
      <c r="AE51" s="26"/>
      <c r="AF51" s="26">
        <v>2</v>
      </c>
      <c r="AG51" s="26"/>
      <c r="AH51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0.28015020408163238</v>
      </c>
      <c r="AI51" s="24">
        <f ca="1">IFERROR(IF(Table1[[#This Row],[SKU]]="",0,Table1[[#This Row],[Quality Loss (T)]]/(Table1[[#This Row],[SOC (TPD)]]/24)),"")</f>
        <v>0.61224489795918358</v>
      </c>
      <c r="AJ51" s="31">
        <f ca="1">IFERROR(IF(Table1[[#This Row],[SKU]]="",0,Table1[[#This Row],[Volume Delivered (T)]]/(Table1[[#This Row],[SOC (TPD)]]/24)),"")</f>
        <v>18.807604897959184</v>
      </c>
      <c r="AK51" s="31">
        <f ca="1">IFERROR(Table1[[#This Row],[Operating Time]]/Table1[[#This Row],[PRODUCTION HOURS]],"")</f>
        <v>0.78365020408163266</v>
      </c>
      <c r="AL51" s="32">
        <v>87</v>
      </c>
      <c r="AM51" s="32" t="s">
        <v>107</v>
      </c>
      <c r="AN51" s="32" t="s">
        <v>105</v>
      </c>
      <c r="AO51" s="32">
        <v>0</v>
      </c>
      <c r="AP51" s="32">
        <v>0</v>
      </c>
      <c r="AQ51" s="32">
        <v>41</v>
      </c>
      <c r="AR51" s="32" t="str">
        <f>IFERROR(SUMIFS(#REF!,#REF!,'Data Sheet'!A:A,#REF!,"Samridhi Perk Line")/SUMIFS(#REF!,#REF!,'Data Sheet'!A:A,#REF!,"Samridhi Perk Line"),"")</f>
        <v/>
      </c>
      <c r="AS51" s="32">
        <v>18</v>
      </c>
      <c r="AT51" s="32">
        <v>0</v>
      </c>
      <c r="AU51" s="211">
        <f>IFERROR(VLOOKUP(Table1[[#This Row],[Date]],'Overweight Data'!A49:G1144,6,FALSE),"")</f>
        <v>4.1077348066298348E-2</v>
      </c>
      <c r="AV51" s="221">
        <f ca="1">IFERROR(
   IF(
      OR(Table1[[#This Row],[Operating Time]]=0, (Table1[[#This Row],[Operating Time]]/IF(AC51&lt;=1,AC51+1,AC51))*60=0),
      1,
      ((Table1[[#This Row],[Operating Time]])/IF(AC51&lt;=1,AC51+1,AC51))*60
   ),
"_")</f>
        <v>1128.4562938775509</v>
      </c>
      <c r="AW51" s="221">
        <f>COUNTIFS('Downtime Data'!A:A,Table1[[#This Row],[Date]])</f>
        <v>0</v>
      </c>
      <c r="AX51" s="219" t="str">
        <f>IFERROR((SUM(Table1[[#This Row],[Minor Stoppages]:[Material Shortages]])/Table1[[#This Row],['# Stops]])*60,"")</f>
        <v/>
      </c>
      <c r="AY51" s="219"/>
      <c r="AZ51" s="33">
        <v>46079</v>
      </c>
    </row>
    <row r="52" spans="1:52" ht="20.149999999999999" customHeight="1" x14ac:dyDescent="0.35">
      <c r="A52" s="21">
        <v>46069</v>
      </c>
      <c r="B52" s="22" t="str">
        <f t="shared" si="1"/>
        <v>Monday</v>
      </c>
      <c r="C52" s="23" t="s">
        <v>106</v>
      </c>
      <c r="D52" s="24" cm="1">
        <f t="array" aca="1" ref="D52" ca="1">IFERROR(INDIRECT(C52),"")</f>
        <v>39.200000000000003</v>
      </c>
      <c r="E52" s="25">
        <v>28</v>
      </c>
      <c r="F52" s="26">
        <v>35.720472000000001</v>
      </c>
      <c r="G52" s="27">
        <f ca="1">IFERROR((Table1[[#This Row],[Plan]]/Table1[[#This Row],[Hours Used]])/(Table1[[#This Row],[SOC (TPD)]]/24),"")</f>
        <v>0.7142857142857143</v>
      </c>
      <c r="H52" s="27">
        <f ca="1">IFERROR((Table1[[#This Row],[Volume Delivered (T)]]/Table1[[#This Row],[Hours Used]])/(Table1[[#This Row],[SOC (TPD)]]/24),"")</f>
        <v>0.91123653061224485</v>
      </c>
      <c r="I52" s="234"/>
      <c r="J52" s="234"/>
      <c r="K52" s="28"/>
      <c r="L52" s="25">
        <v>1.5680000000000001</v>
      </c>
      <c r="M52" s="29">
        <v>4.1000000000000002E-2</v>
      </c>
      <c r="N52" s="84">
        <v>24</v>
      </c>
      <c r="O52" s="25"/>
      <c r="P52" s="25">
        <v>3</v>
      </c>
      <c r="Q52" s="70">
        <v>0</v>
      </c>
      <c r="R52" s="71">
        <v>0</v>
      </c>
      <c r="S52" s="30">
        <f>IF(Table1[[#This Row],[SKU]]="",0,24-Table1[[#This Row],[Legal Non-Operating Time]]-Table1[[#This Row],[No Demand Time]]-Table1[[#This Row],[Force Majeure]])</f>
        <v>24</v>
      </c>
      <c r="T52" s="26"/>
      <c r="U52" s="26">
        <v>0.3</v>
      </c>
      <c r="V52" s="26"/>
      <c r="W52" s="26"/>
      <c r="X52" s="26"/>
      <c r="Y52" s="26"/>
      <c r="Z52" s="26"/>
      <c r="AA52" s="30">
        <f>Table1[[#This Row],[Hours Used]]-SUM(Table1[[#This Row],[Planned Maintenance]:[Start and Finish Production]])</f>
        <v>23.7</v>
      </c>
      <c r="AB52" s="26"/>
      <c r="AC52" s="26">
        <v>0.3</v>
      </c>
      <c r="AD52" s="26">
        <v>0.3</v>
      </c>
      <c r="AE52" s="26"/>
      <c r="AF52" s="26"/>
      <c r="AG52" s="26"/>
      <c r="AH52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0.27032326530612139</v>
      </c>
      <c r="AI52" s="24">
        <f ca="1">IFERROR(IF(Table1[[#This Row],[SKU]]="",0,Table1[[#This Row],[Quality Loss (T)]]/(Table1[[#This Row],[SOC (TPD)]]/24)),"")</f>
        <v>0.96</v>
      </c>
      <c r="AJ52" s="31">
        <f ca="1">IFERROR(IF(Table1[[#This Row],[SKU]]="",0,Table1[[#This Row],[Volume Delivered (T)]]/(Table1[[#This Row],[SOC (TPD)]]/24)),"")</f>
        <v>21.869676734693876</v>
      </c>
      <c r="AK52" s="31">
        <f ca="1">IFERROR(Table1[[#This Row],[Operating Time]]/Table1[[#This Row],[PRODUCTION HOURS]],"")</f>
        <v>0.92277117024024791</v>
      </c>
      <c r="AL52" s="32">
        <v>99</v>
      </c>
      <c r="AM52" s="32" t="s">
        <v>107</v>
      </c>
      <c r="AN52" s="32" t="s">
        <v>105</v>
      </c>
      <c r="AO52" s="32">
        <v>0</v>
      </c>
      <c r="AP52" s="32">
        <v>0</v>
      </c>
      <c r="AQ52" s="32"/>
      <c r="AR52" s="32" t="str">
        <f>IFERROR(SUMIFS(#REF!,#REF!,'Data Sheet'!A:A,#REF!,"Samridhi Perk Line")/SUMIFS(#REF!,#REF!,'Data Sheet'!A:A,#REF!,"Samridhi Perk Line"),"")</f>
        <v/>
      </c>
      <c r="AS52" s="32">
        <v>12</v>
      </c>
      <c r="AT52" s="32">
        <v>0</v>
      </c>
      <c r="AU52" s="211">
        <f>IFERROR(VLOOKUP(Table1[[#This Row],[Date]],'Overweight Data'!A50:G1145,6,FALSE),"")</f>
        <v>4.6086556169429062E-2</v>
      </c>
      <c r="AV52" s="221">
        <f ca="1">IFERROR(
   IF(
      OR(Table1[[#This Row],[Operating Time]]=0, (Table1[[#This Row],[Operating Time]]/IF(AC52&lt;=1,AC52+1,AC52))*60=0),
      1,
      ((Table1[[#This Row],[Operating Time]])/IF(AC52&lt;=1,AC52+1,AC52))*60
   ),
"_")</f>
        <v>1009.3696954474096</v>
      </c>
      <c r="AW52" s="221">
        <f>COUNTIFS('Downtime Data'!A:A,Table1[[#This Row],[Date]])</f>
        <v>0</v>
      </c>
      <c r="AX52" s="219" t="str">
        <f>IFERROR((SUM(Table1[[#This Row],[Minor Stoppages]:[Material Shortages]])/Table1[[#This Row],['# Stops]])*60,"")</f>
        <v/>
      </c>
      <c r="AY52" s="219"/>
      <c r="AZ52" s="33">
        <v>46079</v>
      </c>
    </row>
    <row r="53" spans="1:52" ht="20.149999999999999" customHeight="1" x14ac:dyDescent="0.35">
      <c r="A53" s="21">
        <v>46070</v>
      </c>
      <c r="B53" s="22" t="str">
        <f t="shared" si="1"/>
        <v>Tuesday</v>
      </c>
      <c r="C53" s="23" t="s">
        <v>106</v>
      </c>
      <c r="D53" s="24" cm="1">
        <f t="array" aca="1" ref="D53" ca="1">IFERROR(INDIRECT(C53),"")</f>
        <v>39.200000000000003</v>
      </c>
      <c r="E53" s="25">
        <v>28</v>
      </c>
      <c r="F53" s="26">
        <v>36.928536000000001</v>
      </c>
      <c r="G53" s="27">
        <f ca="1">IFERROR((Table1[[#This Row],[Plan]]/Table1[[#This Row],[Hours Used]])/(Table1[[#This Row],[SOC (TPD)]]/24),"")</f>
        <v>0.7142857142857143</v>
      </c>
      <c r="H53" s="27">
        <f ca="1">IFERROR((Table1[[#This Row],[Volume Delivered (T)]]/Table1[[#This Row],[Hours Used]])/(Table1[[#This Row],[SOC (TPD)]]/24),"")</f>
        <v>0.94205448979591822</v>
      </c>
      <c r="I53" s="234"/>
      <c r="J53" s="234"/>
      <c r="K53" s="28"/>
      <c r="L53" s="25">
        <v>1.28</v>
      </c>
      <c r="M53" s="29">
        <v>0.04</v>
      </c>
      <c r="N53" s="84">
        <v>21.5</v>
      </c>
      <c r="O53" s="25"/>
      <c r="P53" s="25">
        <v>2.5</v>
      </c>
      <c r="Q53" s="70">
        <v>0</v>
      </c>
      <c r="R53" s="71">
        <v>0</v>
      </c>
      <c r="S53" s="30">
        <f>IF(Table1[[#This Row],[SKU]]="",0,24-Table1[[#This Row],[Legal Non-Operating Time]]-Table1[[#This Row],[No Demand Time]]-Table1[[#This Row],[Force Majeure]])</f>
        <v>24</v>
      </c>
      <c r="T53" s="26"/>
      <c r="U53" s="26">
        <v>0.4</v>
      </c>
      <c r="V53" s="26"/>
      <c r="W53" s="26"/>
      <c r="X53" s="26"/>
      <c r="Y53" s="26"/>
      <c r="Z53" s="26"/>
      <c r="AA53" s="30">
        <f>Table1[[#This Row],[Hours Used]]-SUM(Table1[[#This Row],[Planned Maintenance]:[Start and Finish Production]])</f>
        <v>23.6</v>
      </c>
      <c r="AB53" s="26"/>
      <c r="AC53" s="26"/>
      <c r="AD53" s="26"/>
      <c r="AE53" s="26"/>
      <c r="AF53" s="26"/>
      <c r="AG53" s="26"/>
      <c r="AH53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0.20701877551021042</v>
      </c>
      <c r="AI53" s="24">
        <f ca="1">IFERROR(IF(Table1[[#This Row],[SKU]]="",0,Table1[[#This Row],[Quality Loss (T)]]/(Table1[[#This Row],[SOC (TPD)]]/24)),"")</f>
        <v>0.78367346938775506</v>
      </c>
      <c r="AJ53" s="31">
        <f ca="1">IFERROR(IF(Table1[[#This Row],[SKU]]="",0,Table1[[#This Row],[Volume Delivered (T)]]/(Table1[[#This Row],[SOC (TPD)]]/24)),"")</f>
        <v>22.609307755102037</v>
      </c>
      <c r="AK53" s="31">
        <f ca="1">IFERROR(Table1[[#This Row],[Operating Time]]/Table1[[#This Row],[PRODUCTION HOURS]],"")</f>
        <v>0.95802151504669641</v>
      </c>
      <c r="AL53" s="32">
        <v>102</v>
      </c>
      <c r="AM53" s="32" t="s">
        <v>107</v>
      </c>
      <c r="AN53" s="32" t="s">
        <v>105</v>
      </c>
      <c r="AO53" s="32">
        <v>0</v>
      </c>
      <c r="AP53" s="32">
        <v>0</v>
      </c>
      <c r="AQ53" s="32"/>
      <c r="AR53" s="32" t="str">
        <f>IFERROR(SUMIFS(#REF!,#REF!,'Data Sheet'!A:A,#REF!,"Samridhi Perk Line")/SUMIFS(#REF!,#REF!,'Data Sheet'!A:A,#REF!,"Samridhi Perk Line"),"")</f>
        <v/>
      </c>
      <c r="AS53" s="32">
        <v>3</v>
      </c>
      <c r="AT53" s="32">
        <v>0</v>
      </c>
      <c r="AU53" s="211">
        <f>IFERROR(VLOOKUP(Table1[[#This Row],[Date]],'Overweight Data'!A51:G1146,6,FALSE),"")</f>
        <v>2.6252302025782676E-2</v>
      </c>
      <c r="AV53" s="221">
        <f ca="1">IFERROR(
   IF(
      OR(Table1[[#This Row],[Operating Time]]=0, (Table1[[#This Row],[Operating Time]]/IF(AC53&lt;=1,AC53+1,AC53))*60=0),
      1,
      ((Table1[[#This Row],[Operating Time]])/IF(AC53&lt;=1,AC53+1,AC53))*60
   ),
"_")</f>
        <v>1356.5584653061223</v>
      </c>
      <c r="AW53" s="221">
        <f>COUNTIFS('Downtime Data'!A:A,Table1[[#This Row],[Date]])</f>
        <v>0</v>
      </c>
      <c r="AX53" s="219" t="str">
        <f>IFERROR((SUM(Table1[[#This Row],[Minor Stoppages]:[Material Shortages]])/Table1[[#This Row],['# Stops]])*60,"")</f>
        <v/>
      </c>
      <c r="AY53" s="219"/>
      <c r="AZ53" s="33">
        <v>46079</v>
      </c>
    </row>
    <row r="54" spans="1:52" ht="20.149999999999999" customHeight="1" x14ac:dyDescent="0.35">
      <c r="A54" s="21">
        <v>46071</v>
      </c>
      <c r="B54" s="22" t="str">
        <f t="shared" si="1"/>
        <v>Wednesday</v>
      </c>
      <c r="C54" s="23" t="s">
        <v>106</v>
      </c>
      <c r="D54" s="24" cm="1">
        <f t="array" aca="1" ref="D54" ca="1">IFERROR(INDIRECT(C54),"")</f>
        <v>39.200000000000003</v>
      </c>
      <c r="E54" s="25">
        <v>28</v>
      </c>
      <c r="F54" s="26">
        <v>34.985112000000001</v>
      </c>
      <c r="G54" s="27">
        <f ca="1">IFERROR((Table1[[#This Row],[Plan]]/Table1[[#This Row],[Hours Used]])/(Table1[[#This Row],[SOC (TPD)]]/24),"")</f>
        <v>0.7142857142857143</v>
      </c>
      <c r="H54" s="27">
        <f ca="1">IFERROR((Table1[[#This Row],[Volume Delivered (T)]]/Table1[[#This Row],[Hours Used]])/(Table1[[#This Row],[SOC (TPD)]]/24),"")</f>
        <v>0.89247734693877545</v>
      </c>
      <c r="I54" s="234"/>
      <c r="J54" s="234"/>
      <c r="K54" s="28"/>
      <c r="L54" s="25">
        <v>1.4</v>
      </c>
      <c r="M54" s="29">
        <v>0.04</v>
      </c>
      <c r="N54" s="84">
        <v>17.5</v>
      </c>
      <c r="O54" s="25"/>
      <c r="P54" s="25"/>
      <c r="Q54" s="70">
        <v>3</v>
      </c>
      <c r="R54" s="71">
        <v>3</v>
      </c>
      <c r="S54" s="30">
        <f>IF(Table1[[#This Row],[SKU]]="",0,24-Table1[[#This Row],[Legal Non-Operating Time]]-Table1[[#This Row],[No Demand Time]]-Table1[[#This Row],[Force Majeure]])</f>
        <v>24</v>
      </c>
      <c r="T54" s="26"/>
      <c r="U54" s="26">
        <v>0.3</v>
      </c>
      <c r="V54" s="26"/>
      <c r="W54" s="26"/>
      <c r="X54" s="26"/>
      <c r="Y54" s="26"/>
      <c r="Z54" s="26"/>
      <c r="AA54" s="30">
        <f>Table1[[#This Row],[Hours Used]]-SUM(Table1[[#This Row],[Planned Maintenance]:[Start and Finish Production]])</f>
        <v>23.7</v>
      </c>
      <c r="AB54" s="26"/>
      <c r="AC54" s="26">
        <v>1.25</v>
      </c>
      <c r="AD54" s="26"/>
      <c r="AE54" s="26"/>
      <c r="AF54" s="26"/>
      <c r="AG54" s="26"/>
      <c r="AH54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0.17340081632653082</v>
      </c>
      <c r="AI54" s="24">
        <f ca="1">IFERROR(IF(Table1[[#This Row],[SKU]]="",0,Table1[[#This Row],[Quality Loss (T)]]/(Table1[[#This Row],[SOC (TPD)]]/24)),"")</f>
        <v>0.85714285714285698</v>
      </c>
      <c r="AJ54" s="31">
        <f ca="1">IFERROR(IF(Table1[[#This Row],[SKU]]="",0,Table1[[#This Row],[Volume Delivered (T)]]/(Table1[[#This Row],[SOC (TPD)]]/24)),"")</f>
        <v>21.419456326530611</v>
      </c>
      <c r="AK54" s="31">
        <f ca="1">IFERROR(Table1[[#This Row],[Operating Time]]/Table1[[#This Row],[PRODUCTION HOURS]],"")</f>
        <v>0.90377452854559537</v>
      </c>
      <c r="AL54" s="32"/>
      <c r="AM54" s="32" t="s">
        <v>107</v>
      </c>
      <c r="AN54" s="32" t="s">
        <v>105</v>
      </c>
      <c r="AO54" s="32">
        <v>3</v>
      </c>
      <c r="AP54" s="32">
        <v>3</v>
      </c>
      <c r="AQ54" s="32">
        <v>3</v>
      </c>
      <c r="AR54" s="32" t="str">
        <f>IFERROR(SUMIFS(#REF!,#REF!,'Data Sheet'!A:A,#REF!,"Samridhi Perk Line")/SUMIFS(#REF!,#REF!,'Data Sheet'!A:A,#REF!,"Samridhi Perk Line"),"")</f>
        <v/>
      </c>
      <c r="AS54" s="32"/>
      <c r="AT54" s="32">
        <v>0</v>
      </c>
      <c r="AU54" s="211">
        <f>IFERROR(VLOOKUP(Table1[[#This Row],[Date]],'Overweight Data'!A52:G1147,6,FALSE),"")</f>
        <v>3.1583793738489879E-2</v>
      </c>
      <c r="AV54" s="221">
        <f ca="1">IFERROR(
   IF(
      OR(Table1[[#This Row],[Operating Time]]=0, (Table1[[#This Row],[Operating Time]]/IF(AC54&lt;=1,AC54+1,AC54))*60=0),
      1,
      ((Table1[[#This Row],[Operating Time]])/IF(AC54&lt;=1,AC54+1,AC54))*60
   ),
"_")</f>
        <v>1028.1339036734694</v>
      </c>
      <c r="AW54" s="221">
        <f>COUNTIFS('Downtime Data'!A:A,Table1[[#This Row],[Date]])</f>
        <v>0</v>
      </c>
      <c r="AX54" s="219" t="str">
        <f>IFERROR((SUM(Table1[[#This Row],[Minor Stoppages]:[Material Shortages]])/Table1[[#This Row],['# Stops]])*60,"")</f>
        <v/>
      </c>
      <c r="AY54" s="219"/>
      <c r="AZ54" s="33">
        <v>46079</v>
      </c>
    </row>
    <row r="55" spans="1:52" ht="20.149999999999999" customHeight="1" x14ac:dyDescent="0.35">
      <c r="A55" s="21">
        <v>46072</v>
      </c>
      <c r="B55" s="22" t="str">
        <f t="shared" si="1"/>
        <v>Thursday</v>
      </c>
      <c r="C55" s="23" t="s">
        <v>106</v>
      </c>
      <c r="D55" s="24" cm="1">
        <f t="array" aca="1" ref="D55" ca="1">IFERROR(INDIRECT(C55),"")</f>
        <v>39.200000000000003</v>
      </c>
      <c r="E55" s="25">
        <v>28</v>
      </c>
      <c r="F55" s="26">
        <v>36.534626000000003</v>
      </c>
      <c r="G55" s="27">
        <f ca="1">IFERROR((Table1[[#This Row],[Plan]]/Table1[[#This Row],[Hours Used]])/(Table1[[#This Row],[SOC (TPD)]]/24),"")</f>
        <v>0.7142857142857143</v>
      </c>
      <c r="H55" s="27">
        <f ca="1">IFERROR((Table1[[#This Row],[Volume Delivered (T)]]/Table1[[#This Row],[Hours Used]])/(Table1[[#This Row],[SOC (TPD)]]/24),"")</f>
        <v>0.93200576530612245</v>
      </c>
      <c r="I55" s="234"/>
      <c r="J55" s="234"/>
      <c r="K55" s="28"/>
      <c r="L55" s="25">
        <v>0.8</v>
      </c>
      <c r="M55" s="29">
        <v>0.04</v>
      </c>
      <c r="N55" s="84">
        <v>13</v>
      </c>
      <c r="O55" s="25"/>
      <c r="P55" s="25"/>
      <c r="Q55" s="70">
        <v>1</v>
      </c>
      <c r="R55" s="71">
        <v>0</v>
      </c>
      <c r="S55" s="30">
        <f>IF(Table1[[#This Row],[SKU]]="",0,24-Table1[[#This Row],[Legal Non-Operating Time]]-Table1[[#This Row],[No Demand Time]]-Table1[[#This Row],[Force Majeure]])</f>
        <v>24</v>
      </c>
      <c r="T55" s="26"/>
      <c r="U55" s="26">
        <v>0.3</v>
      </c>
      <c r="V55" s="26"/>
      <c r="W55" s="26"/>
      <c r="X55" s="26"/>
      <c r="Y55" s="26"/>
      <c r="Z55" s="26"/>
      <c r="AA55" s="30">
        <f>Table1[[#This Row],[Hours Used]]-SUM(Table1[[#This Row],[Planned Maintenance]:[Start and Finish Production]])</f>
        <v>23.7</v>
      </c>
      <c r="AB55" s="26"/>
      <c r="AC55" s="26">
        <v>0.65</v>
      </c>
      <c r="AD55" s="26"/>
      <c r="AE55" s="26"/>
      <c r="AF55" s="26"/>
      <c r="AG55" s="26"/>
      <c r="AH55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0.19206571428571806</v>
      </c>
      <c r="AI55" s="24">
        <f ca="1">IFERROR(IF(Table1[[#This Row],[SKU]]="",0,Table1[[#This Row],[Quality Loss (T)]]/(Table1[[#This Row],[SOC (TPD)]]/24)),"")</f>
        <v>0.48979591836734693</v>
      </c>
      <c r="AJ55" s="31">
        <f ca="1">IFERROR(IF(Table1[[#This Row],[SKU]]="",0,Table1[[#This Row],[Volume Delivered (T)]]/(Table1[[#This Row],[SOC (TPD)]]/24)),"")</f>
        <v>22.368138367346937</v>
      </c>
      <c r="AK55" s="31">
        <f ca="1">IFERROR(Table1[[#This Row],[Operating Time]]/Table1[[#This Row],[PRODUCTION HOURS]],"")</f>
        <v>0.94380330663911127</v>
      </c>
      <c r="AL55" s="32"/>
      <c r="AM55" s="32" t="s">
        <v>107</v>
      </c>
      <c r="AN55" s="32" t="s">
        <v>107</v>
      </c>
      <c r="AO55" s="32">
        <v>0</v>
      </c>
      <c r="AP55" s="32">
        <v>0</v>
      </c>
      <c r="AQ55" s="32"/>
      <c r="AR55" s="32" t="str">
        <f>IFERROR(SUMIFS(#REF!,#REF!,'Data Sheet'!A:A,#REF!,"Samridhi Perk Line")/SUMIFS(#REF!,#REF!,'Data Sheet'!A:A,#REF!,"Samridhi Perk Line"),"")</f>
        <v/>
      </c>
      <c r="AS55" s="32">
        <v>29</v>
      </c>
      <c r="AT55" s="32">
        <v>0</v>
      </c>
      <c r="AU55" s="211">
        <f>IFERROR(VLOOKUP(Table1[[#This Row],[Date]],'Overweight Data'!A53:G1148,6,FALSE),"")</f>
        <v>3.7660596377076673E-2</v>
      </c>
      <c r="AV55" s="221">
        <f ca="1">IFERROR(
   IF(
      OR(Table1[[#This Row],[Operating Time]]=0, (Table1[[#This Row],[Operating Time]]/IF(AC55&lt;=1,AC55+1,AC55))*60=0),
      1,
      ((Table1[[#This Row],[Operating Time]])/IF(AC55&lt;=1,AC55+1,AC55))*60
   ),
"_")</f>
        <v>813.38684972170677</v>
      </c>
      <c r="AW55" s="221">
        <f>COUNTIFS('Downtime Data'!A:A,Table1[[#This Row],[Date]])</f>
        <v>0</v>
      </c>
      <c r="AX55" s="219" t="str">
        <f>IFERROR((SUM(Table1[[#This Row],[Minor Stoppages]:[Material Shortages]])/Table1[[#This Row],['# Stops]])*60,"")</f>
        <v/>
      </c>
      <c r="AY55" s="219"/>
      <c r="AZ55" s="33">
        <v>46079</v>
      </c>
    </row>
    <row r="56" spans="1:52" ht="20.149999999999999" customHeight="1" x14ac:dyDescent="0.35">
      <c r="A56" s="21">
        <v>46073</v>
      </c>
      <c r="B56" s="22" t="str">
        <f t="shared" si="1"/>
        <v>Friday</v>
      </c>
      <c r="C56" s="23" t="s">
        <v>106</v>
      </c>
      <c r="D56" s="24" cm="1">
        <f t="array" aca="1" ref="D56" ca="1">IFERROR(INDIRECT(C56),"")</f>
        <v>39.200000000000003</v>
      </c>
      <c r="E56" s="25">
        <v>28</v>
      </c>
      <c r="F56" s="26">
        <v>35.914012999999997</v>
      </c>
      <c r="G56" s="27">
        <f ca="1">IFERROR((Table1[[#This Row],[Plan]]/Table1[[#This Row],[Hours Used]])/(Table1[[#This Row],[SOC (TPD)]]/24),"")</f>
        <v>0.7142857142857143</v>
      </c>
      <c r="H56" s="27">
        <f ca="1">IFERROR((Table1[[#This Row],[Volume Delivered (T)]]/Table1[[#This Row],[Hours Used]])/(Table1[[#This Row],[SOC (TPD)]]/24),"")</f>
        <v>0.91617380102040791</v>
      </c>
      <c r="I56" s="234"/>
      <c r="J56" s="234"/>
      <c r="K56" s="28"/>
      <c r="L56" s="25">
        <v>1.3</v>
      </c>
      <c r="M56" s="29">
        <v>0.04</v>
      </c>
      <c r="N56" s="84">
        <v>18</v>
      </c>
      <c r="O56" s="25"/>
      <c r="P56" s="25"/>
      <c r="Q56" s="70">
        <v>0</v>
      </c>
      <c r="R56" s="71">
        <v>0</v>
      </c>
      <c r="S56" s="30">
        <f>IF(Table1[[#This Row],[SKU]]="",0,24-Table1[[#This Row],[Legal Non-Operating Time]]-Table1[[#This Row],[No Demand Time]]-Table1[[#This Row],[Force Majeure]])</f>
        <v>24</v>
      </c>
      <c r="T56" s="26"/>
      <c r="U56" s="26">
        <v>0.4</v>
      </c>
      <c r="V56" s="26"/>
      <c r="W56" s="26"/>
      <c r="X56" s="26"/>
      <c r="Y56" s="26"/>
      <c r="Z56" s="26"/>
      <c r="AA56" s="30">
        <f>Table1[[#This Row],[Hours Used]]-SUM(Table1[[#This Row],[Planned Maintenance]:[Start and Finish Production]])</f>
        <v>23.6</v>
      </c>
      <c r="AB56" s="26"/>
      <c r="AC56" s="26">
        <v>0.6</v>
      </c>
      <c r="AD56" s="26"/>
      <c r="AE56" s="26"/>
      <c r="AF56" s="26"/>
      <c r="AG56" s="26"/>
      <c r="AH56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0.21591040816327123</v>
      </c>
      <c r="AI56" s="24">
        <f ca="1">IFERROR(IF(Table1[[#This Row],[SKU]]="",0,Table1[[#This Row],[Quality Loss (T)]]/(Table1[[#This Row],[SOC (TPD)]]/24)),"")</f>
        <v>0.79591836734693866</v>
      </c>
      <c r="AJ56" s="31">
        <f ca="1">IFERROR(IF(Table1[[#This Row],[SKU]]="",0,Table1[[#This Row],[Volume Delivered (T)]]/(Table1[[#This Row],[SOC (TPD)]]/24)),"")</f>
        <v>21.98817122448979</v>
      </c>
      <c r="AK56" s="31">
        <f ca="1">IFERROR(Table1[[#This Row],[Operating Time]]/Table1[[#This Row],[PRODUCTION HOURS]],"")</f>
        <v>0.93170217052922832</v>
      </c>
      <c r="AL56" s="32"/>
      <c r="AM56" s="32" t="s">
        <v>107</v>
      </c>
      <c r="AN56" s="32" t="s">
        <v>107</v>
      </c>
      <c r="AO56" s="32">
        <v>0</v>
      </c>
      <c r="AP56" s="32">
        <v>0</v>
      </c>
      <c r="AQ56" s="32"/>
      <c r="AR56" s="32" t="str">
        <f>IFERROR(SUMIFS(#REF!,#REF!,'Data Sheet'!A:A,#REF!,"Samridhi Perk Line")/SUMIFS(#REF!,#REF!,'Data Sheet'!A:A,#REF!,"Samridhi Perk Line"),"")</f>
        <v/>
      </c>
      <c r="AS56" s="32">
        <v>18</v>
      </c>
      <c r="AT56" s="32">
        <v>0</v>
      </c>
      <c r="AU56" s="211">
        <f>IFERROR(VLOOKUP(Table1[[#This Row],[Date]],'Overweight Data'!A54:G1149,6,FALSE),"")</f>
        <v>3.7229965156794435E-2</v>
      </c>
      <c r="AV56" s="221">
        <f ca="1">IFERROR(
   IF(
      OR(Table1[[#This Row],[Operating Time]]=0, (Table1[[#This Row],[Operating Time]]/IF(AC56&lt;=1,AC56+1,AC56))*60=0),
      1,
      ((Table1[[#This Row],[Operating Time]])/IF(AC56&lt;=1,AC56+1,AC56))*60
   ),
"_")</f>
        <v>824.55642091836717</v>
      </c>
      <c r="AW56" s="221">
        <f>COUNTIFS('Downtime Data'!A:A,Table1[[#This Row],[Date]])</f>
        <v>0</v>
      </c>
      <c r="AX56" s="219" t="str">
        <f>IFERROR((SUM(Table1[[#This Row],[Minor Stoppages]:[Material Shortages]])/Table1[[#This Row],['# Stops]])*60,"")</f>
        <v/>
      </c>
      <c r="AY56" s="219"/>
      <c r="AZ56" s="33">
        <v>46079</v>
      </c>
    </row>
    <row r="57" spans="1:52" ht="20.149999999999999" customHeight="1" x14ac:dyDescent="0.35">
      <c r="A57" s="21">
        <v>46074</v>
      </c>
      <c r="B57" s="22" t="str">
        <f t="shared" si="1"/>
        <v>Saturday</v>
      </c>
      <c r="C57" s="23" t="s">
        <v>106</v>
      </c>
      <c r="D57" s="24" cm="1">
        <f t="array" aca="1" ref="D57" ca="1">IFERROR(INDIRECT(C57),"")</f>
        <v>39.200000000000003</v>
      </c>
      <c r="E57" s="25">
        <v>28</v>
      </c>
      <c r="F57" s="26">
        <v>34.729198000000004</v>
      </c>
      <c r="G57" s="27">
        <f ca="1">IFERROR((Table1[[#This Row],[Plan]]/Table1[[#This Row],[Hours Used]])/(Table1[[#This Row],[SOC (TPD)]]/24),"")</f>
        <v>0.7142857142857143</v>
      </c>
      <c r="H57" s="27">
        <f ca="1">IFERROR((Table1[[#This Row],[Volume Delivered (T)]]/Table1[[#This Row],[Hours Used]])/(Table1[[#This Row],[SOC (TPD)]]/24),"")</f>
        <v>0.8859489285714286</v>
      </c>
      <c r="I57" s="234"/>
      <c r="J57" s="234"/>
      <c r="K57" s="28"/>
      <c r="L57" s="25">
        <v>1.2</v>
      </c>
      <c r="M57" s="29">
        <v>3.9E-2</v>
      </c>
      <c r="N57" s="84">
        <v>12</v>
      </c>
      <c r="O57" s="25"/>
      <c r="P57" s="25"/>
      <c r="Q57" s="70">
        <v>1</v>
      </c>
      <c r="R57" s="71">
        <v>1</v>
      </c>
      <c r="S57" s="30">
        <f>IF(Table1[[#This Row],[SKU]]="",0,24-Table1[[#This Row],[Legal Non-Operating Time]]-Table1[[#This Row],[No Demand Time]]-Table1[[#This Row],[Force Majeure]])</f>
        <v>24</v>
      </c>
      <c r="T57" s="26"/>
      <c r="U57" s="26"/>
      <c r="V57" s="26"/>
      <c r="W57" s="26">
        <v>1</v>
      </c>
      <c r="X57" s="26"/>
      <c r="Y57" s="26"/>
      <c r="Z57" s="26"/>
      <c r="AA57" s="30">
        <f>Table1[[#This Row],[Hours Used]]-SUM(Table1[[#This Row],[Planned Maintenance]:[Start and Finish Production]])</f>
        <v>23</v>
      </c>
      <c r="AB57" s="26"/>
      <c r="AC57" s="26">
        <v>0.4</v>
      </c>
      <c r="AD57" s="26">
        <v>0.3</v>
      </c>
      <c r="AE57" s="26"/>
      <c r="AF57" s="26"/>
      <c r="AG57" s="26"/>
      <c r="AH57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0.30253183673469408</v>
      </c>
      <c r="AI57" s="24">
        <f ca="1">IFERROR(IF(Table1[[#This Row],[SKU]]="",0,Table1[[#This Row],[Quality Loss (T)]]/(Table1[[#This Row],[SOC (TPD)]]/24)),"")</f>
        <v>0.73469387755102034</v>
      </c>
      <c r="AJ57" s="31">
        <f ca="1">IFERROR(IF(Table1[[#This Row],[SKU]]="",0,Table1[[#This Row],[Volume Delivered (T)]]/(Table1[[#This Row],[SOC (TPD)]]/24)),"")</f>
        <v>21.262774285714286</v>
      </c>
      <c r="AK57" s="31">
        <f ca="1">IFERROR(Table1[[#This Row],[Operating Time]]/Table1[[#This Row],[PRODUCTION HOURS]],"")</f>
        <v>0.92446844720496901</v>
      </c>
      <c r="AL57" s="32"/>
      <c r="AM57" s="32" t="s">
        <v>107</v>
      </c>
      <c r="AN57" s="32" t="s">
        <v>107</v>
      </c>
      <c r="AO57" s="32">
        <v>2</v>
      </c>
      <c r="AP57" s="32">
        <v>2</v>
      </c>
      <c r="AQ57" s="32">
        <v>1</v>
      </c>
      <c r="AR57" s="32" t="str">
        <f>IFERROR(SUMIFS(#REF!,#REF!,'Data Sheet'!A:A,#REF!,"Samridhi Perk Line")/SUMIFS(#REF!,#REF!,'Data Sheet'!A:A,#REF!,"Samridhi Perk Line"),"")</f>
        <v/>
      </c>
      <c r="AS57" s="32">
        <v>3</v>
      </c>
      <c r="AT57" s="32">
        <v>0</v>
      </c>
      <c r="AU57" s="211">
        <f>IFERROR(VLOOKUP(Table1[[#This Row],[Date]],'Overweight Data'!A55:G1150,6,FALSE),"")</f>
        <v>3.3649825783972118E-2</v>
      </c>
      <c r="AV57" s="221">
        <f ca="1">IFERROR(
   IF(
      OR(Table1[[#This Row],[Operating Time]]=0, (Table1[[#This Row],[Operating Time]]/IF(AC57&lt;=1,AC57+1,AC57))*60=0),
      1,
      ((Table1[[#This Row],[Operating Time]])/IF(AC57&lt;=1,AC57+1,AC57))*60
   ),
"_")</f>
        <v>911.26175510204087</v>
      </c>
      <c r="AW57" s="221">
        <f>COUNTIFS('Downtime Data'!A:A,Table1[[#This Row],[Date]])</f>
        <v>1</v>
      </c>
      <c r="AX57" s="219">
        <f>IFERROR((SUM(Table1[[#This Row],[Minor Stoppages]:[Material Shortages]])/Table1[[#This Row],['# Stops]])*60,"")</f>
        <v>42</v>
      </c>
      <c r="AY57" s="219"/>
      <c r="AZ57" s="33">
        <v>46079</v>
      </c>
    </row>
    <row r="58" spans="1:52" ht="20.149999999999999" customHeight="1" x14ac:dyDescent="0.35">
      <c r="A58" s="21">
        <v>46075</v>
      </c>
      <c r="B58" s="22" t="str">
        <f t="shared" si="1"/>
        <v>Sunday</v>
      </c>
      <c r="C58" s="23" t="s">
        <v>108</v>
      </c>
      <c r="D58" s="24" cm="1">
        <f t="array" aca="1" ref="D58" ca="1">IFERROR(INDIRECT(C58),"")</f>
        <v>34.200000000000003</v>
      </c>
      <c r="E58" s="25">
        <v>32</v>
      </c>
      <c r="F58" s="26">
        <v>31.5</v>
      </c>
      <c r="G58" s="27">
        <f ca="1">IFERROR((Table1[[#This Row],[Plan]]/Table1[[#This Row],[Hours Used]])/(Table1[[#This Row],[SOC (TPD)]]/24),"")</f>
        <v>0.93567251461988299</v>
      </c>
      <c r="H58" s="27">
        <f ca="1">IFERROR((Table1[[#This Row],[Volume Delivered (T)]]/Table1[[#This Row],[Hours Used]])/(Table1[[#This Row],[SOC (TPD)]]/24),"")</f>
        <v>0.92105263157894735</v>
      </c>
      <c r="I58" s="234"/>
      <c r="J58" s="234"/>
      <c r="K58" s="28"/>
      <c r="L58" s="25">
        <v>1.2</v>
      </c>
      <c r="M58" s="29">
        <v>3.9E-2</v>
      </c>
      <c r="N58" s="84">
        <v>12</v>
      </c>
      <c r="O58" s="25"/>
      <c r="P58" s="25"/>
      <c r="Q58" s="70"/>
      <c r="R58" s="71"/>
      <c r="S58" s="30">
        <f>IF(Table1[[#This Row],[SKU]]="",0,24-Table1[[#This Row],[Legal Non-Operating Time]]-Table1[[#This Row],[No Demand Time]]-Table1[[#This Row],[Force Majeure]])</f>
        <v>24</v>
      </c>
      <c r="T58" s="26"/>
      <c r="U58" s="26"/>
      <c r="V58" s="26"/>
      <c r="W58" s="26">
        <v>1</v>
      </c>
      <c r="X58" s="26"/>
      <c r="Y58" s="26"/>
      <c r="Z58" s="26"/>
      <c r="AA58" s="30">
        <f>Table1[[#This Row],[Hours Used]]-SUM(Table1[[#This Row],[Planned Maintenance]:[Start and Finish Production]])</f>
        <v>23</v>
      </c>
      <c r="AB58" s="26"/>
      <c r="AC58" s="26"/>
      <c r="AD58" s="26"/>
      <c r="AE58" s="26"/>
      <c r="AF58" s="26"/>
      <c r="AG58" s="26"/>
      <c r="AH58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5.2631578947369917E-2</v>
      </c>
      <c r="AI58" s="24">
        <f ca="1">IFERROR(IF(Table1[[#This Row],[SKU]]="",0,Table1[[#This Row],[Quality Loss (T)]]/(Table1[[#This Row],[SOC (TPD)]]/24)),"")</f>
        <v>0.84210526315789469</v>
      </c>
      <c r="AJ58" s="31">
        <f ca="1">IFERROR(IF(Table1[[#This Row],[SKU]]="",0,Table1[[#This Row],[Volume Delivered (T)]]/(Table1[[#This Row],[SOC (TPD)]]/24)),"")</f>
        <v>22.105263157894736</v>
      </c>
      <c r="AK58" s="31">
        <f ca="1">IFERROR(Table1[[#This Row],[Operating Time]]/Table1[[#This Row],[PRODUCTION HOURS]],"")</f>
        <v>0.9610983981693364</v>
      </c>
      <c r="AL58" s="32"/>
      <c r="AM58" s="32" t="s">
        <v>105</v>
      </c>
      <c r="AN58" s="32" t="s">
        <v>107</v>
      </c>
      <c r="AO58" s="32">
        <v>0</v>
      </c>
      <c r="AP58" s="32">
        <v>0</v>
      </c>
      <c r="AQ58" s="32"/>
      <c r="AR58" s="32" t="str">
        <f>IFERROR(SUMIFS(#REF!,#REF!,'Data Sheet'!A:A,#REF!,"Samridhi Perk Line")/SUMIFS(#REF!,#REF!,'Data Sheet'!A:A,#REF!,"Samridhi Perk Line"),"")</f>
        <v/>
      </c>
      <c r="AS58" s="32"/>
      <c r="AT58" s="32"/>
      <c r="AU58" s="211">
        <f>IFERROR(VLOOKUP(Table1[[#This Row],[Date]],'Overweight Data'!A56:G1151,6,FALSE),"")</f>
        <v>4.2292817679558066E-2</v>
      </c>
      <c r="AV58" s="221">
        <f ca="1">IFERROR(
   IF(
      OR(Table1[[#This Row],[Operating Time]]=0, (Table1[[#This Row],[Operating Time]]/IF(AC58&lt;=1,AC58+1,AC58))*60=0),
      1,
      ((Table1[[#This Row],[Operating Time]])/IF(AC58&lt;=1,AC58+1,AC58))*60
   ),
"_")</f>
        <v>1326.3157894736842</v>
      </c>
      <c r="AW58" s="221">
        <f>COUNTIFS('Downtime Data'!A:A,Table1[[#This Row],[Date]])</f>
        <v>0</v>
      </c>
      <c r="AX58" s="219" t="str">
        <f>IFERROR((SUM(Table1[[#This Row],[Minor Stoppages]:[Material Shortages]])/Table1[[#This Row],['# Stops]])*60,"")</f>
        <v/>
      </c>
      <c r="AY58" s="219"/>
      <c r="AZ58" s="33">
        <v>46079</v>
      </c>
    </row>
    <row r="59" spans="1:52" ht="20.149999999999999" customHeight="1" x14ac:dyDescent="0.35">
      <c r="A59" s="21">
        <v>46076</v>
      </c>
      <c r="B59" s="22" t="str">
        <f t="shared" si="1"/>
        <v>Monday</v>
      </c>
      <c r="C59" s="23" t="s">
        <v>108</v>
      </c>
      <c r="D59" s="24" cm="1">
        <f t="array" aca="1" ref="D59" ca="1">IFERROR(INDIRECT(C59),"")</f>
        <v>34.200000000000003</v>
      </c>
      <c r="E59" s="25">
        <v>31</v>
      </c>
      <c r="F59" s="26">
        <v>32.9</v>
      </c>
      <c r="G59" s="27">
        <f ca="1">IFERROR((Table1[[#This Row],[Plan]]/Table1[[#This Row],[Hours Used]])/(Table1[[#This Row],[SOC (TPD)]]/24),"")</f>
        <v>0.9064327485380117</v>
      </c>
      <c r="H59" s="27">
        <f ca="1">IFERROR((Table1[[#This Row],[Volume Delivered (T)]]/Table1[[#This Row],[Hours Used]])/(Table1[[#This Row],[SOC (TPD)]]/24),"")</f>
        <v>0.96198830409356728</v>
      </c>
      <c r="I59" s="234"/>
      <c r="J59" s="234"/>
      <c r="K59" s="28"/>
      <c r="L59" s="25">
        <v>1.4</v>
      </c>
      <c r="M59" s="29">
        <v>3.7999999999999999E-2</v>
      </c>
      <c r="N59" s="84">
        <v>13</v>
      </c>
      <c r="O59" s="25"/>
      <c r="P59" s="25"/>
      <c r="Q59" s="70"/>
      <c r="R59" s="71"/>
      <c r="S59" s="30">
        <f>IF(Table1[[#This Row],[SKU]]="",0,24-Table1[[#This Row],[Legal Non-Operating Time]]-Table1[[#This Row],[No Demand Time]]-Table1[[#This Row],[Force Majeure]])</f>
        <v>24</v>
      </c>
      <c r="T59" s="26"/>
      <c r="U59" s="26"/>
      <c r="V59" s="26"/>
      <c r="W59" s="26"/>
      <c r="X59" s="26"/>
      <c r="Y59" s="26"/>
      <c r="Z59" s="26"/>
      <c r="AA59" s="30">
        <f>Table1[[#This Row],[Hours Used]]-SUM(Table1[[#This Row],[Planned Maintenance]:[Start and Finish Production]])</f>
        <v>24</v>
      </c>
      <c r="AB59" s="26"/>
      <c r="AC59" s="26"/>
      <c r="AD59" s="26"/>
      <c r="AE59" s="26"/>
      <c r="AF59" s="26"/>
      <c r="AG59" s="26"/>
      <c r="AH59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-7.017543859648967E-2</v>
      </c>
      <c r="AI59" s="24">
        <f ca="1">IFERROR(IF(Table1[[#This Row],[SKU]]="",0,Table1[[#This Row],[Quality Loss (T)]]/(Table1[[#This Row],[SOC (TPD)]]/24)),"")</f>
        <v>0.98245614035087714</v>
      </c>
      <c r="AJ59" s="31">
        <f ca="1">IFERROR(IF(Table1[[#This Row],[SKU]]="",0,Table1[[#This Row],[Volume Delivered (T)]]/(Table1[[#This Row],[SOC (TPD)]]/24)),"")</f>
        <v>23.087719298245613</v>
      </c>
      <c r="AK59" s="31">
        <f ca="1">IFERROR(Table1[[#This Row],[Operating Time]]/Table1[[#This Row],[PRODUCTION HOURS]],"")</f>
        <v>0.96198830409356717</v>
      </c>
      <c r="AL59" s="32"/>
      <c r="AM59" s="32" t="s">
        <v>107</v>
      </c>
      <c r="AN59" s="32" t="s">
        <v>107</v>
      </c>
      <c r="AO59" s="32">
        <v>0</v>
      </c>
      <c r="AP59" s="32">
        <v>0</v>
      </c>
      <c r="AQ59" s="32"/>
      <c r="AR59" s="32" t="str">
        <f>IFERROR(SUMIFS(#REF!,#REF!,'Data Sheet'!A:A,#REF!,"Samridhi Perk Line")/SUMIFS(#REF!,#REF!,'Data Sheet'!A:A,#REF!,"Samridhi Perk Line"),"")</f>
        <v/>
      </c>
      <c r="AS59" s="32"/>
      <c r="AT59" s="32"/>
      <c r="AU59" s="211">
        <f>IFERROR(VLOOKUP(Table1[[#This Row],[Date]],'Overweight Data'!A57:G1152,6,FALSE),"")</f>
        <v>2.6169429097605851E-2</v>
      </c>
      <c r="AV59" s="221">
        <f ca="1">IFERROR(
   IF(
      OR(Table1[[#This Row],[Operating Time]]=0, (Table1[[#This Row],[Operating Time]]/IF(AC59&lt;=1,AC59+1,AC59))*60=0),
      1,
      ((Table1[[#This Row],[Operating Time]])/IF(AC59&lt;=1,AC59+1,AC59))*60
   ),
"_")</f>
        <v>1385.2631578947369</v>
      </c>
      <c r="AW59" s="221">
        <f>COUNTIFS('Downtime Data'!A:A,Table1[[#This Row],[Date]])</f>
        <v>0</v>
      </c>
      <c r="AX59" s="219" t="str">
        <f>IFERROR((SUM(Table1[[#This Row],[Minor Stoppages]:[Material Shortages]])/Table1[[#This Row],['# Stops]])*60,"")</f>
        <v/>
      </c>
      <c r="AY59" s="219"/>
      <c r="AZ59" s="33">
        <v>46079</v>
      </c>
    </row>
    <row r="60" spans="1:52" ht="20.149999999999999" customHeight="1" x14ac:dyDescent="0.35">
      <c r="A60" s="21">
        <v>46077</v>
      </c>
      <c r="B60" s="22" t="str">
        <f t="shared" si="1"/>
        <v>Tuesday</v>
      </c>
      <c r="C60" s="23" t="s">
        <v>108</v>
      </c>
      <c r="D60" s="24" cm="1">
        <f t="array" aca="1" ref="D60" ca="1">IFERROR(INDIRECT(C60),"")</f>
        <v>34.200000000000003</v>
      </c>
      <c r="E60" s="25">
        <v>30</v>
      </c>
      <c r="F60" s="26">
        <v>33.200000000000003</v>
      </c>
      <c r="G60" s="27">
        <f ca="1">IFERROR((Table1[[#This Row],[Plan]]/Table1[[#This Row],[Hours Used]])/(Table1[[#This Row],[SOC (TPD)]]/24),"")</f>
        <v>0.8771929824561403</v>
      </c>
      <c r="H60" s="27">
        <f ca="1">IFERROR((Table1[[#This Row],[Volume Delivered (T)]]/Table1[[#This Row],[Hours Used]])/(Table1[[#This Row],[SOC (TPD)]]/24),"")</f>
        <v>0.97076023391812871</v>
      </c>
      <c r="I60" s="234"/>
      <c r="J60" s="234"/>
      <c r="K60" s="28"/>
      <c r="L60" s="25">
        <v>1.1000000000000001</v>
      </c>
      <c r="M60" s="29">
        <v>3.6999999999999998E-2</v>
      </c>
      <c r="N60" s="84">
        <v>12</v>
      </c>
      <c r="O60" s="25"/>
      <c r="P60" s="25"/>
      <c r="Q60" s="70"/>
      <c r="R60" s="71"/>
      <c r="S60" s="30">
        <f>IF(Table1[[#This Row],[SKU]]="",0,24-Table1[[#This Row],[Legal Non-Operating Time]]-Table1[[#This Row],[No Demand Time]]-Table1[[#This Row],[Force Majeure]])</f>
        <v>24</v>
      </c>
      <c r="T60" s="26"/>
      <c r="U60" s="26"/>
      <c r="V60" s="26"/>
      <c r="W60" s="26"/>
      <c r="X60" s="26"/>
      <c r="Y60" s="26"/>
      <c r="Z60" s="26"/>
      <c r="AA60" s="30">
        <f>Table1[[#This Row],[Hours Used]]-SUM(Table1[[#This Row],[Planned Maintenance]:[Start and Finish Production]])</f>
        <v>24</v>
      </c>
      <c r="AB60" s="26"/>
      <c r="AC60" s="26"/>
      <c r="AD60" s="26"/>
      <c r="AE60" s="26"/>
      <c r="AF60" s="26"/>
      <c r="AG60" s="26"/>
      <c r="AH60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-7.0175438596493223E-2</v>
      </c>
      <c r="AI60" s="24">
        <f ca="1">IFERROR(IF(Table1[[#This Row],[SKU]]="",0,Table1[[#This Row],[Quality Loss (T)]]/(Table1[[#This Row],[SOC (TPD)]]/24)),"")</f>
        <v>0.77192982456140358</v>
      </c>
      <c r="AJ60" s="31">
        <f ca="1">IFERROR(IF(Table1[[#This Row],[SKU]]="",0,Table1[[#This Row],[Volume Delivered (T)]]/(Table1[[#This Row],[SOC (TPD)]]/24)),"")</f>
        <v>23.298245614035089</v>
      </c>
      <c r="AK60" s="31">
        <f ca="1">IFERROR(Table1[[#This Row],[Operating Time]]/Table1[[#This Row],[PRODUCTION HOURS]],"")</f>
        <v>0.97076023391812871</v>
      </c>
      <c r="AL60" s="32"/>
      <c r="AM60" s="32" t="s">
        <v>107</v>
      </c>
      <c r="AN60" s="32" t="s">
        <v>107</v>
      </c>
      <c r="AO60" s="32">
        <v>0</v>
      </c>
      <c r="AP60" s="32">
        <v>0</v>
      </c>
      <c r="AQ60" s="32"/>
      <c r="AR60" s="32" t="str">
        <f>IFERROR(SUMIFS(#REF!,#REF!,'Data Sheet'!A:A,#REF!,"Samridhi Perk Line")/SUMIFS(#REF!,#REF!,'Data Sheet'!A:A,#REF!,"Samridhi Perk Line"),"")</f>
        <v/>
      </c>
      <c r="AS60" s="32"/>
      <c r="AT60" s="32"/>
      <c r="AU60" s="211">
        <f>IFERROR(VLOOKUP(Table1[[#This Row],[Date]],'Overweight Data'!A58:G1153,6,FALSE),"")</f>
        <v>2.9189686924493544E-2</v>
      </c>
      <c r="AV60" s="221">
        <f ca="1">IFERROR(
   IF(
      OR(Table1[[#This Row],[Operating Time]]=0, (Table1[[#This Row],[Operating Time]]/IF(AC60&lt;=1,AC60+1,AC60))*60=0),
      1,
      ((Table1[[#This Row],[Operating Time]])/IF(AC60&lt;=1,AC60+1,AC60))*60
   ),
"_")</f>
        <v>1397.8947368421054</v>
      </c>
      <c r="AW60" s="221">
        <f>COUNTIFS('Downtime Data'!A:A,Table1[[#This Row],[Date]])</f>
        <v>0</v>
      </c>
      <c r="AX60" s="219" t="str">
        <f>IFERROR((SUM(Table1[[#This Row],[Minor Stoppages]:[Material Shortages]])/Table1[[#This Row],['# Stops]])*60,"")</f>
        <v/>
      </c>
      <c r="AY60" s="219"/>
      <c r="AZ60" s="33">
        <v>46079</v>
      </c>
    </row>
    <row r="61" spans="1:52" ht="20.149999999999999" customHeight="1" x14ac:dyDescent="0.35">
      <c r="A61" s="21">
        <v>46078</v>
      </c>
      <c r="B61" s="22" t="str">
        <f t="shared" si="1"/>
        <v>Wednesday</v>
      </c>
      <c r="C61" s="23" t="s">
        <v>108</v>
      </c>
      <c r="D61" s="24" cm="1">
        <f t="array" aca="1" ref="D61" ca="1">IFERROR(INDIRECT(C61),"")</f>
        <v>34.200000000000003</v>
      </c>
      <c r="E61" s="25">
        <v>30</v>
      </c>
      <c r="F61" s="26">
        <v>26.5</v>
      </c>
      <c r="G61" s="27">
        <f ca="1">IFERROR((Table1[[#This Row],[Plan]]/Table1[[#This Row],[Hours Used]])/(Table1[[#This Row],[SOC (TPD)]]/24),"")</f>
        <v>0.8771929824561403</v>
      </c>
      <c r="H61" s="27">
        <f ca="1">IFERROR((Table1[[#This Row],[Volume Delivered (T)]]/Table1[[#This Row],[Hours Used]])/(Table1[[#This Row],[SOC (TPD)]]/24),"")</f>
        <v>0.77485380116959068</v>
      </c>
      <c r="I61" s="234"/>
      <c r="J61" s="234"/>
      <c r="K61" s="28"/>
      <c r="L61" s="25">
        <v>1.1000000000000001</v>
      </c>
      <c r="M61" s="29">
        <v>3.6999999999999998E-2</v>
      </c>
      <c r="N61" s="84">
        <v>12</v>
      </c>
      <c r="O61" s="25"/>
      <c r="P61" s="25"/>
      <c r="Q61" s="70"/>
      <c r="R61" s="71"/>
      <c r="S61" s="30">
        <f>IF(Table1[[#This Row],[SKU]]="",0,24-Table1[[#This Row],[Legal Non-Operating Time]]-Table1[[#This Row],[No Demand Time]]-Table1[[#This Row],[Force Majeure]])</f>
        <v>24</v>
      </c>
      <c r="T61" s="26"/>
      <c r="U61" s="26"/>
      <c r="V61" s="26"/>
      <c r="W61" s="26"/>
      <c r="X61" s="26"/>
      <c r="Y61" s="26"/>
      <c r="Z61" s="26"/>
      <c r="AA61" s="30">
        <f>Table1[[#This Row],[Hours Used]]-SUM(Table1[[#This Row],[Planned Maintenance]:[Start and Finish Production]])</f>
        <v>24</v>
      </c>
      <c r="AB61" s="26"/>
      <c r="AC61" s="26"/>
      <c r="AD61" s="26"/>
      <c r="AE61" s="26"/>
      <c r="AF61" s="26"/>
      <c r="AG61" s="26"/>
      <c r="AH61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4.6315789473684212</v>
      </c>
      <c r="AI61" s="24">
        <f ca="1">IFERROR(IF(Table1[[#This Row],[SKU]]="",0,Table1[[#This Row],[Quality Loss (T)]]/(Table1[[#This Row],[SOC (TPD)]]/24)),"")</f>
        <v>0.77192982456140358</v>
      </c>
      <c r="AJ61" s="31">
        <f ca="1">IFERROR(IF(Table1[[#This Row],[SKU]]="",0,Table1[[#This Row],[Volume Delivered (T)]]/(Table1[[#This Row],[SOC (TPD)]]/24)),"")</f>
        <v>18.596491228070175</v>
      </c>
      <c r="AK61" s="31">
        <f ca="1">IFERROR(Table1[[#This Row],[Operating Time]]/Table1[[#This Row],[PRODUCTION HOURS]],"")</f>
        <v>0.77485380116959057</v>
      </c>
      <c r="AL61" s="32"/>
      <c r="AM61" s="32"/>
      <c r="AN61" s="32"/>
      <c r="AO61" s="32">
        <v>0</v>
      </c>
      <c r="AP61" s="32">
        <v>0</v>
      </c>
      <c r="AQ61" s="32"/>
      <c r="AR61" s="32" t="str">
        <f>IFERROR(SUMIFS(#REF!,#REF!,'Data Sheet'!A:A,#REF!,"Samridhi Perk Line")/SUMIFS(#REF!,#REF!,'Data Sheet'!A:A,#REF!,"Samridhi Perk Line"),"")</f>
        <v/>
      </c>
      <c r="AS61" s="32"/>
      <c r="AT61" s="32"/>
      <c r="AU61" s="211" t="str">
        <f>IFERROR(VLOOKUP(Table1[[#This Row],[Date]],'Overweight Data'!A59:G1154,6,FALSE),"")</f>
        <v/>
      </c>
      <c r="AV61" s="221">
        <f ca="1">IFERROR(
   IF(
      OR(Table1[[#This Row],[Operating Time]]=0, (Table1[[#This Row],[Operating Time]]/IF(AC61&lt;=1,AC61+1,AC61))*60=0),
      1,
      ((Table1[[#This Row],[Operating Time]])/IF(AC61&lt;=1,AC61+1,AC61))*60
   ),
"_")</f>
        <v>1115.7894736842104</v>
      </c>
      <c r="AW61" s="221">
        <f>COUNTIFS('Downtime Data'!A:A,Table1[[#This Row],[Date]])</f>
        <v>0</v>
      </c>
      <c r="AX61" s="219" t="str">
        <f>IFERROR((SUM(Table1[[#This Row],[Minor Stoppages]:[Material Shortages]])/Table1[[#This Row],['# Stops]])*60,"")</f>
        <v/>
      </c>
      <c r="AY61" s="219"/>
      <c r="AZ61" s="33">
        <v>46079</v>
      </c>
    </row>
    <row r="62" spans="1:52" ht="20.149999999999999" customHeight="1" x14ac:dyDescent="0.35">
      <c r="A62" s="21">
        <v>46079</v>
      </c>
      <c r="B62" s="22" t="str">
        <f t="shared" si="1"/>
        <v>Thursday</v>
      </c>
      <c r="C62" s="23" t="s">
        <v>108</v>
      </c>
      <c r="D62" s="24" cm="1">
        <f t="array" aca="1" ref="D62" ca="1">IFERROR(INDIRECT(C62),"")</f>
        <v>34.200000000000003</v>
      </c>
      <c r="E62" s="25">
        <v>27</v>
      </c>
      <c r="F62" s="26">
        <f>24.1-6.6</f>
        <v>17.5</v>
      </c>
      <c r="G62" s="27">
        <f ca="1">IFERROR((Table1[[#This Row],[Plan]]/Table1[[#This Row],[Hours Used]])/(Table1[[#This Row],[SOC (TPD)]]/24),"")</f>
        <v>1.1842105263157894</v>
      </c>
      <c r="H62" s="27">
        <f ca="1">IFERROR((Table1[[#This Row],[Volume Delivered (T)]]/Table1[[#This Row],[Hours Used]])/(Table1[[#This Row],[SOC (TPD)]]/24),"")</f>
        <v>0.76754385964912275</v>
      </c>
      <c r="I62" s="234"/>
      <c r="J62" s="234">
        <v>8</v>
      </c>
      <c r="K62" s="28"/>
      <c r="L62" s="25">
        <v>1.1000000000000001</v>
      </c>
      <c r="M62" s="29">
        <v>3.5999999999999997E-2</v>
      </c>
      <c r="N62" s="84">
        <v>11</v>
      </c>
      <c r="O62" s="25"/>
      <c r="P62" s="25"/>
      <c r="Q62" s="70"/>
      <c r="R62" s="71"/>
      <c r="S62" s="30">
        <f>IF(Table1[[#This Row],[SKU]]="",0,24-Table1[[#This Row],[Legal Non-Operating Time]]-Table1[[#This Row],[No Demand Time]]-Table1[[#This Row],[Force Majeure]])</f>
        <v>16</v>
      </c>
      <c r="T62" s="26"/>
      <c r="U62" s="26"/>
      <c r="V62" s="26">
        <v>2.2999999999999998</v>
      </c>
      <c r="W62" s="26"/>
      <c r="X62" s="26"/>
      <c r="Y62" s="26"/>
      <c r="Z62" s="26"/>
      <c r="AA62" s="30">
        <f>Table1[[#This Row],[Hours Used]]-SUM(Table1[[#This Row],[Planned Maintenance]:[Start and Finish Production]])</f>
        <v>13.7</v>
      </c>
      <c r="AB62" s="26"/>
      <c r="AC62" s="26"/>
      <c r="AD62" s="26"/>
      <c r="AE62" s="26"/>
      <c r="AF62" s="26"/>
      <c r="AG62" s="26"/>
      <c r="AH62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0.64736842105263115</v>
      </c>
      <c r="AI62" s="24">
        <f ca="1">IFERROR(IF(Table1[[#This Row],[SKU]]="",0,Table1[[#This Row],[Quality Loss (T)]]/(Table1[[#This Row],[SOC (TPD)]]/24)),"")</f>
        <v>0.77192982456140358</v>
      </c>
      <c r="AJ62" s="31">
        <f ca="1">IFERROR(IF(Table1[[#This Row],[SKU]]="",0,Table1[[#This Row],[Volume Delivered (T)]]/(Table1[[#This Row],[SOC (TPD)]]/24)),"")</f>
        <v>12.280701754385964</v>
      </c>
      <c r="AK62" s="31">
        <f ca="1">IFERROR(Table1[[#This Row],[Operating Time]]/Table1[[#This Row],[PRODUCTION HOURS]],"")</f>
        <v>0.89640158791138425</v>
      </c>
      <c r="AL62" s="32"/>
      <c r="AM62" s="32"/>
      <c r="AN62" s="32"/>
      <c r="AO62" s="32">
        <v>0</v>
      </c>
      <c r="AP62" s="32">
        <v>0</v>
      </c>
      <c r="AQ62" s="32"/>
      <c r="AR62" s="32" t="str">
        <f>IFERROR(SUMIFS(#REF!,#REF!,'Data Sheet'!A:A,#REF!,"Samridhi Perk Line")/SUMIFS(#REF!,#REF!,'Data Sheet'!A:A,#REF!,"Samridhi Perk Line"),"")</f>
        <v/>
      </c>
      <c r="AS62" s="32"/>
      <c r="AT62" s="32"/>
      <c r="AU62" s="211" t="str">
        <f>IFERROR(VLOOKUP(Table1[[#This Row],[Date]],'Overweight Data'!A60:G1155,6,FALSE),"")</f>
        <v/>
      </c>
      <c r="AV62" s="221">
        <f ca="1">IFERROR(
   IF(
      OR(Table1[[#This Row],[Operating Time]]=0, (Table1[[#This Row],[Operating Time]]/IF(AC62&lt;=1,AC62+1,AC62))*60=0),
      1,
      ((Table1[[#This Row],[Operating Time]])/IF(AC62&lt;=1,AC62+1,AC62))*60
   ),
"_")</f>
        <v>736.8421052631578</v>
      </c>
      <c r="AW62" s="221">
        <f>COUNTIFS('Downtime Data'!A:A,Table1[[#This Row],[Date]])</f>
        <v>0</v>
      </c>
      <c r="AX62" s="219" t="str">
        <f>IFERROR((SUM(Table1[[#This Row],[Minor Stoppages]:[Material Shortages]])/Table1[[#This Row],['# Stops]])*60,"")</f>
        <v/>
      </c>
      <c r="AY62" s="219"/>
      <c r="AZ62" s="33">
        <v>46079</v>
      </c>
    </row>
    <row r="63" spans="1:52" ht="20.149999999999999" customHeight="1" x14ac:dyDescent="0.35">
      <c r="A63" s="21">
        <v>46080</v>
      </c>
      <c r="B63" s="22" t="str">
        <f t="shared" si="1"/>
        <v>Friday</v>
      </c>
      <c r="C63" s="23"/>
      <c r="D63" s="24" t="str" cm="1">
        <f t="array" aca="1" ref="D63" ca="1">IFERROR(INDIRECT(C63),"")</f>
        <v/>
      </c>
      <c r="E63" s="25"/>
      <c r="F63" s="26"/>
      <c r="G63" s="27" t="str">
        <f ca="1">IFERROR((Table1[[#This Row],[Plan]]/Table1[[#This Row],[Hours Used]])/(Table1[[#This Row],[SOC (TPD)]]/24),"")</f>
        <v/>
      </c>
      <c r="H63" s="27" t="str">
        <f ca="1">IFERROR((Table1[[#This Row],[Volume Delivered (T)]]/Table1[[#This Row],[Hours Used]])/(Table1[[#This Row],[SOC (TPD)]]/24),"")</f>
        <v/>
      </c>
      <c r="I63" s="234"/>
      <c r="J63" s="234"/>
      <c r="K63" s="28"/>
      <c r="L63" s="25"/>
      <c r="M63" s="29"/>
      <c r="N63" s="84"/>
      <c r="O63" s="25"/>
      <c r="P63" s="25"/>
      <c r="Q63" s="70"/>
      <c r="R63" s="71"/>
      <c r="S63" s="30">
        <f>IF(Table1[[#This Row],[SKU]]="",0,24-Table1[[#This Row],[Legal Non-Operating Time]]-Table1[[#This Row],[No Demand Time]]-Table1[[#This Row],[Force Majeure]])</f>
        <v>0</v>
      </c>
      <c r="T63" s="26"/>
      <c r="U63" s="26"/>
      <c r="V63" s="26"/>
      <c r="W63" s="26"/>
      <c r="X63" s="26"/>
      <c r="Y63" s="26"/>
      <c r="Z63" s="26"/>
      <c r="AA63" s="30">
        <f>Table1[[#This Row],[Hours Used]]-SUM(Table1[[#This Row],[Planned Maintenance]:[Start and Finish Production]])</f>
        <v>0</v>
      </c>
      <c r="AB63" s="26"/>
      <c r="AC63" s="26"/>
      <c r="AD63" s="26"/>
      <c r="AE63" s="26"/>
      <c r="AF63" s="26"/>
      <c r="AG63" s="26"/>
      <c r="AH63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63" s="24">
        <f>IFERROR(IF(Table1[[#This Row],[SKU]]="",0,Table1[[#This Row],[Quality Loss (T)]]/(Table1[[#This Row],[SOC (TPD)]]/24)),"")</f>
        <v>0</v>
      </c>
      <c r="AJ63" s="31">
        <f>IFERROR(IF(Table1[[#This Row],[SKU]]="",0,Table1[[#This Row],[Volume Delivered (T)]]/(Table1[[#This Row],[SOC (TPD)]]/24)),"")</f>
        <v>0</v>
      </c>
      <c r="AK63" s="31" t="str">
        <f>IFERROR(Table1[[#This Row],[Operating Time]]/Table1[[#This Row],[PRODUCTION HOURS]],"")</f>
        <v/>
      </c>
      <c r="AL63" s="32"/>
      <c r="AM63" s="32"/>
      <c r="AN63" s="32"/>
      <c r="AO63" s="32">
        <v>0</v>
      </c>
      <c r="AP63" s="32">
        <v>0</v>
      </c>
      <c r="AQ63" s="32"/>
      <c r="AR63" s="32" t="str">
        <f>IFERROR(SUMIFS(#REF!,#REF!,'Data Sheet'!A:A,#REF!,"Samridhi Perk Line")/SUMIFS(#REF!,#REF!,'Data Sheet'!A:A,#REF!,"Samridhi Perk Line"),"")</f>
        <v/>
      </c>
      <c r="AS63" s="32"/>
      <c r="AT63" s="32"/>
      <c r="AU63" s="211" t="str">
        <f>IFERROR(VLOOKUP(Table1[[#This Row],[Date]],'Overweight Data'!A61:G1156,6,FALSE),"")</f>
        <v/>
      </c>
      <c r="AV63" s="221">
        <f>IFERROR(
   IF(
      OR(Table1[[#This Row],[Operating Time]]=0, (Table1[[#This Row],[Operating Time]]/IF(AC63&lt;=1,AC63+1,AC63))*60=0),
      1,
      ((Table1[[#This Row],[Operating Time]])/IF(AC63&lt;=1,AC63+1,AC63))*60
   ),
"_")</f>
        <v>1</v>
      </c>
      <c r="AW63" s="221">
        <f>COUNTIFS('Downtime Data'!A:A,Table1[[#This Row],[Date]])</f>
        <v>0</v>
      </c>
      <c r="AX63" s="219" t="str">
        <f>IFERROR((SUM(Table1[[#This Row],[Minor Stoppages]:[Material Shortages]])/Table1[[#This Row],['# Stops]])*60,"")</f>
        <v/>
      </c>
      <c r="AY63" s="219"/>
      <c r="AZ63" s="33">
        <v>46079</v>
      </c>
    </row>
    <row r="64" spans="1:52" ht="20.149999999999999" customHeight="1" x14ac:dyDescent="0.35">
      <c r="A64" s="21">
        <v>46081</v>
      </c>
      <c r="B64" s="22" t="str">
        <f t="shared" si="1"/>
        <v>Saturday</v>
      </c>
      <c r="C64" s="23"/>
      <c r="D64" s="24" t="str" cm="1">
        <f t="array" aca="1" ref="D64" ca="1">IFERROR(INDIRECT(C64),"")</f>
        <v/>
      </c>
      <c r="E64" s="25"/>
      <c r="F64" s="26"/>
      <c r="G64" s="27" t="str">
        <f ca="1">IFERROR((Table1[[#This Row],[Plan]]/Table1[[#This Row],[Hours Used]])/(Table1[[#This Row],[SOC (TPD)]]/24),"")</f>
        <v/>
      </c>
      <c r="H64" s="27" t="str">
        <f ca="1">IFERROR((Table1[[#This Row],[Volume Delivered (T)]]/Table1[[#This Row],[Hours Used]])/(Table1[[#This Row],[SOC (TPD)]]/24),"")</f>
        <v/>
      </c>
      <c r="I64" s="234"/>
      <c r="J64" s="234"/>
      <c r="K64" s="28"/>
      <c r="L64" s="25"/>
      <c r="M64" s="29"/>
      <c r="N64" s="84"/>
      <c r="O64" s="25"/>
      <c r="P64" s="25"/>
      <c r="Q64" s="70"/>
      <c r="R64" s="71"/>
      <c r="S64" s="30">
        <f>IF(Table1[[#This Row],[SKU]]="",0,24-Table1[[#This Row],[Legal Non-Operating Time]]-Table1[[#This Row],[No Demand Time]]-Table1[[#This Row],[Force Majeure]])</f>
        <v>0</v>
      </c>
      <c r="T64" s="26"/>
      <c r="U64" s="26"/>
      <c r="V64" s="26"/>
      <c r="W64" s="26"/>
      <c r="X64" s="26"/>
      <c r="Y64" s="26"/>
      <c r="Z64" s="26"/>
      <c r="AA64" s="30">
        <f>Table1[[#This Row],[Hours Used]]-SUM(Table1[[#This Row],[Planned Maintenance]:[Start and Finish Production]])</f>
        <v>0</v>
      </c>
      <c r="AB64" s="26"/>
      <c r="AC64" s="26"/>
      <c r="AD64" s="26"/>
      <c r="AE64" s="26"/>
      <c r="AF64" s="26"/>
      <c r="AG64" s="26"/>
      <c r="AH64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64" s="24">
        <f>IFERROR(IF(Table1[[#This Row],[SKU]]="",0,Table1[[#This Row],[Quality Loss (T)]]/(Table1[[#This Row],[SOC (TPD)]]/24)),"")</f>
        <v>0</v>
      </c>
      <c r="AJ64" s="31">
        <f>IFERROR(IF(Table1[[#This Row],[SKU]]="",0,Table1[[#This Row],[Volume Delivered (T)]]/(Table1[[#This Row],[SOC (TPD)]]/24)),"")</f>
        <v>0</v>
      </c>
      <c r="AK64" s="31" t="str">
        <f>IFERROR(Table1[[#This Row],[Operating Time]]/Table1[[#This Row],[PRODUCTION HOURS]],"")</f>
        <v/>
      </c>
      <c r="AL64" s="32"/>
      <c r="AM64" s="32"/>
      <c r="AN64" s="32"/>
      <c r="AO64" s="32">
        <v>4</v>
      </c>
      <c r="AP64" s="32">
        <v>4</v>
      </c>
      <c r="AQ64" s="32"/>
      <c r="AR64" s="32" t="str">
        <f>IFERROR(SUMIFS(#REF!,#REF!,'Data Sheet'!A:A,#REF!,"Samridhi Perk Line")/SUMIFS(#REF!,#REF!,'Data Sheet'!A:A,#REF!,"Samridhi Perk Line"),"")</f>
        <v/>
      </c>
      <c r="AS64" s="32"/>
      <c r="AT64" s="32"/>
      <c r="AU64" s="211" t="str">
        <f>IFERROR(VLOOKUP(Table1[[#This Row],[Date]],'Overweight Data'!A62:G1157,6,FALSE),"")</f>
        <v/>
      </c>
      <c r="AV64" s="221">
        <f>IFERROR(
   IF(
      OR(Table1[[#This Row],[Operating Time]]=0, (Table1[[#This Row],[Operating Time]]/IF(AC64&lt;=1,AC64+1,AC64))*60=0),
      1,
      ((Table1[[#This Row],[Operating Time]])/IF(AC64&lt;=1,AC64+1,AC64))*60
   ),
"_")</f>
        <v>1</v>
      </c>
      <c r="AW64" s="221">
        <f>COUNTIFS('Downtime Data'!A:A,Table1[[#This Row],[Date]])</f>
        <v>0</v>
      </c>
      <c r="AX64" s="219" t="str">
        <f>IFERROR((SUM(Table1[[#This Row],[Minor Stoppages]:[Material Shortages]])/Table1[[#This Row],['# Stops]])*60,"")</f>
        <v/>
      </c>
      <c r="AY64" s="219"/>
      <c r="AZ64" s="33">
        <v>46079</v>
      </c>
    </row>
    <row r="65" spans="1:52" ht="20.149999999999999" customHeight="1" x14ac:dyDescent="0.35">
      <c r="A65" s="21">
        <v>46082</v>
      </c>
      <c r="B65" s="22" t="str">
        <f t="shared" si="1"/>
        <v>Sunday</v>
      </c>
      <c r="C65" s="23"/>
      <c r="D65" s="24" t="str" cm="1">
        <f t="array" aca="1" ref="D65" ca="1">IFERROR(INDIRECT(C65),"")</f>
        <v/>
      </c>
      <c r="E65" s="25"/>
      <c r="F65" s="26"/>
      <c r="G65" s="27" t="str">
        <f ca="1">IFERROR((Table1[[#This Row],[Plan]]/Table1[[#This Row],[Hours Used]])/(Table1[[#This Row],[SOC (TPD)]]/24),"")</f>
        <v/>
      </c>
      <c r="H65" s="27" t="str">
        <f ca="1">IFERROR((Table1[[#This Row],[Volume Delivered (T)]]/Table1[[#This Row],[Hours Used]])/(Table1[[#This Row],[SOC (TPD)]]/24),"")</f>
        <v/>
      </c>
      <c r="I65" s="28"/>
      <c r="J65" s="28"/>
      <c r="K65" s="28"/>
      <c r="L65" s="25"/>
      <c r="M65" s="29">
        <v>3.9E-2</v>
      </c>
      <c r="N65" s="84"/>
      <c r="O65" s="25"/>
      <c r="P65" s="25"/>
      <c r="Q65" s="70"/>
      <c r="R65" s="71"/>
      <c r="S65" s="30">
        <f>IF(Table1[[#This Row],[SKU]]="",0,24-Table1[[#This Row],[Legal Non-Operating Time]]-Table1[[#This Row],[No Demand Time]]-Table1[[#This Row],[Force Majeure]])</f>
        <v>0</v>
      </c>
      <c r="T65" s="26"/>
      <c r="U65" s="26"/>
      <c r="V65" s="26"/>
      <c r="W65" s="26"/>
      <c r="X65" s="26"/>
      <c r="Y65" s="26"/>
      <c r="Z65" s="26"/>
      <c r="AA65" s="30">
        <f>Table1[[#This Row],[Hours Used]]-SUM(Table1[[#This Row],[Planned Maintenance]:[Start and Finish Production]])</f>
        <v>0</v>
      </c>
      <c r="AB65" s="26"/>
      <c r="AC65" s="26"/>
      <c r="AD65" s="26"/>
      <c r="AE65" s="26"/>
      <c r="AF65" s="26"/>
      <c r="AG65" s="26"/>
      <c r="AH65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65" s="24">
        <f>IFERROR(IF(Table1[[#This Row],[SKU]]="",0,Table1[[#This Row],[Quality Loss (T)]]/(Table1[[#This Row],[SOC (TPD)]]/24)),"")</f>
        <v>0</v>
      </c>
      <c r="AJ65" s="31">
        <f>IFERROR(IF(Table1[[#This Row],[SKU]]="",0,Table1[[#This Row],[Volume Delivered (T)]]/(Table1[[#This Row],[SOC (TPD)]]/24)),"")</f>
        <v>0</v>
      </c>
      <c r="AK65" s="31" t="str">
        <f>IFERROR(Table1[[#This Row],[Operating Time]]/Table1[[#This Row],[PRODUCTION HOURS]],"")</f>
        <v/>
      </c>
      <c r="AL65" s="32">
        <v>69</v>
      </c>
      <c r="AM65" s="32" t="s">
        <v>107</v>
      </c>
      <c r="AN65" s="32" t="s">
        <v>107</v>
      </c>
      <c r="AO65" s="32">
        <v>0</v>
      </c>
      <c r="AP65" s="32">
        <v>0</v>
      </c>
      <c r="AQ65" s="32"/>
      <c r="AR65" s="32" t="str">
        <f>IFERROR(SUMIFS(#REF!,#REF!,'Data Sheet'!A:A,#REF!,"Samridhi Perk Line")/SUMIFS(#REF!,#REF!,'Data Sheet'!A:A,#REF!,"Samridhi Perk Line"),"")</f>
        <v/>
      </c>
      <c r="AS65" s="32"/>
      <c r="AT65" s="32"/>
      <c r="AU65" s="211" t="str">
        <f>IFERROR(VLOOKUP(Table1[[#This Row],[Date]],'Overweight Data'!A63:G1158,6,FALSE),"")</f>
        <v/>
      </c>
      <c r="AV65" s="221">
        <f>IFERROR(
   IF(
      OR(Table1[[#This Row],[Operating Time]]=0, (Table1[[#This Row],[Operating Time]]/IF(AC65&lt;=1,AC65+1,AC65))*60=0),
      1,
      ((Table1[[#This Row],[Operating Time]])/IF(AC65&lt;=1,AC65+1,AC65))*60
   ),
"_")</f>
        <v>1</v>
      </c>
      <c r="AW65" s="221">
        <f>COUNTIFS('Downtime Data'!A:A,Table1[[#This Row],[Date]])</f>
        <v>0</v>
      </c>
      <c r="AX65" s="219" t="str">
        <f>IFERROR((SUM(Table1[[#This Row],[Minor Stoppages]:[Material Shortages]])/Table1[[#This Row],['# Stops]])*60,"")</f>
        <v/>
      </c>
      <c r="AY65" s="219"/>
      <c r="AZ65" s="33">
        <v>46079</v>
      </c>
    </row>
    <row r="66" spans="1:52" ht="20.149999999999999" customHeight="1" x14ac:dyDescent="0.35">
      <c r="A66" s="21">
        <v>46083</v>
      </c>
      <c r="B66" s="22" t="str">
        <f t="shared" si="1"/>
        <v>Monday</v>
      </c>
      <c r="C66" s="23" t="s">
        <v>108</v>
      </c>
      <c r="D66" s="24" cm="1">
        <f t="array" aca="1" ref="D66" ca="1">IFERROR(INDIRECT(C66),"")</f>
        <v>34.200000000000003</v>
      </c>
      <c r="E66" s="25">
        <v>4</v>
      </c>
      <c r="F66" s="26">
        <v>4.3959999999999999</v>
      </c>
      <c r="G66" s="27">
        <f ca="1">IFERROR((Table1[[#This Row],[Plan]]/Table1[[#This Row],[Hours Used]])/(Table1[[#This Row],[SOC (TPD)]]/24),"")</f>
        <v>0.70175438596491224</v>
      </c>
      <c r="H66" s="27">
        <f ca="1">IFERROR((Table1[[#This Row],[Volume Delivered (T)]]/Table1[[#This Row],[Hours Used]])/(Table1[[#This Row],[SOC (TPD)]]/24),"")</f>
        <v>0.7712280701754386</v>
      </c>
      <c r="I66" s="28"/>
      <c r="J66" s="28">
        <v>20</v>
      </c>
      <c r="K66" s="28"/>
      <c r="L66" s="25"/>
      <c r="M66" s="29">
        <v>3.9E-2</v>
      </c>
      <c r="N66" s="84">
        <v>10</v>
      </c>
      <c r="O66" s="25"/>
      <c r="P66" s="25"/>
      <c r="Q66" s="70"/>
      <c r="R66" s="71"/>
      <c r="S66" s="30">
        <f>IF(Table1[[#This Row],[SKU]]="",0,24-Table1[[#This Row],[Legal Non-Operating Time]]-Table1[[#This Row],[No Demand Time]]-Table1[[#This Row],[Force Majeure]])</f>
        <v>4</v>
      </c>
      <c r="T66" s="26"/>
      <c r="U66" s="26"/>
      <c r="V66" s="26"/>
      <c r="W66" s="26"/>
      <c r="X66" s="26"/>
      <c r="Y66" s="26"/>
      <c r="Z66" s="26"/>
      <c r="AA66" s="30">
        <f>Table1[[#This Row],[Hours Used]]-SUM(Table1[[#This Row],[Planned Maintenance]:[Start and Finish Production]])</f>
        <v>4</v>
      </c>
      <c r="AB66" s="26"/>
      <c r="AC66" s="26"/>
      <c r="AD66" s="26"/>
      <c r="AE66" s="26"/>
      <c r="AF66" s="26"/>
      <c r="AG66" s="26"/>
      <c r="AH66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0.91508771929824562</v>
      </c>
      <c r="AI66" s="24">
        <f ca="1">IFERROR(IF(Table1[[#This Row],[SKU]]="",0,Table1[[#This Row],[Quality Loss (T)]]/(Table1[[#This Row],[SOC (TPD)]]/24)),"")</f>
        <v>0</v>
      </c>
      <c r="AJ66" s="31">
        <f ca="1">IFERROR(IF(Table1[[#This Row],[SKU]]="",0,Table1[[#This Row],[Volume Delivered (T)]]/(Table1[[#This Row],[SOC (TPD)]]/24)),"")</f>
        <v>3.0849122807017544</v>
      </c>
      <c r="AK66" s="31">
        <f ca="1">IFERROR(Table1[[#This Row],[Operating Time]]/Table1[[#This Row],[PRODUCTION HOURS]],"")</f>
        <v>0.7712280701754386</v>
      </c>
      <c r="AL66" s="32">
        <v>45</v>
      </c>
      <c r="AM66" s="32" t="s">
        <v>107</v>
      </c>
      <c r="AN66" s="32" t="s">
        <v>107</v>
      </c>
      <c r="AO66" s="32">
        <v>0</v>
      </c>
      <c r="AP66" s="32">
        <v>0</v>
      </c>
      <c r="AQ66" s="32"/>
      <c r="AR66" s="32" t="str">
        <f>IFERROR(SUMIFS(#REF!,#REF!,'Data Sheet'!A:A,#REF!,"Samridhi Perk Line")/SUMIFS(#REF!,#REF!,'Data Sheet'!A:A,#REF!,"Samridhi Perk Line"),"")</f>
        <v/>
      </c>
      <c r="AS66" s="32"/>
      <c r="AT66" s="32"/>
      <c r="AU66" s="211" t="str">
        <f>IFERROR(VLOOKUP(Table1[[#This Row],[Date]],'Overweight Data'!A64:G1159,6,FALSE),"")</f>
        <v/>
      </c>
      <c r="AV66" s="221">
        <f ca="1">IFERROR(
   IF(
      OR(Table1[[#This Row],[Operating Time]]=0, (Table1[[#This Row],[Operating Time]]/IF(AC66&lt;=1,AC66+1,AC66))*60=0),
      1,
      ((Table1[[#This Row],[Operating Time]])/IF(AC66&lt;=1,AC66+1,AC66))*60
   ),
"_")</f>
        <v>185.09473684210525</v>
      </c>
      <c r="AW66" s="221">
        <f>COUNTIFS('Downtime Data'!A:A,Table1[[#This Row],[Date]])</f>
        <v>0</v>
      </c>
      <c r="AX66" s="219" t="str">
        <f>IFERROR((SUM(Table1[[#This Row],[Minor Stoppages]:[Material Shortages]])/Table1[[#This Row],['# Stops]])*60,"")</f>
        <v/>
      </c>
      <c r="AY66" s="219"/>
      <c r="AZ66" s="33">
        <v>46107</v>
      </c>
    </row>
    <row r="67" spans="1:52" ht="20.149999999999999" customHeight="1" x14ac:dyDescent="0.35">
      <c r="A67" s="21">
        <v>46084</v>
      </c>
      <c r="B67" s="22" t="str">
        <f t="shared" si="1"/>
        <v>Tuesday</v>
      </c>
      <c r="C67" s="23" t="s">
        <v>108</v>
      </c>
      <c r="D67" s="24" cm="1">
        <f t="array" aca="1" ref="D67" ca="1">IFERROR(INDIRECT(C67),"")</f>
        <v>34.200000000000003</v>
      </c>
      <c r="E67" s="26">
        <v>28.6</v>
      </c>
      <c r="F67" s="26">
        <f>28.6-4.4</f>
        <v>24.200000000000003</v>
      </c>
      <c r="G67" s="27">
        <f ca="1">IFERROR((Table1[[#This Row],[Plan]]/Table1[[#This Row],[Hours Used]])/(Table1[[#This Row],[SOC (TPD)]]/24),"")</f>
        <v>0.83625730994152048</v>
      </c>
      <c r="H67" s="27">
        <f ca="1">IFERROR((Table1[[#This Row],[Volume Delivered (T)]]/Table1[[#This Row],[Hours Used]])/(Table1[[#This Row],[SOC (TPD)]]/24),"")</f>
        <v>0.70760233918128668</v>
      </c>
      <c r="I67" s="28"/>
      <c r="J67" s="28"/>
      <c r="K67" s="28"/>
      <c r="L67" s="25"/>
      <c r="M67" s="29">
        <v>3.9E-2</v>
      </c>
      <c r="N67" s="84">
        <v>5</v>
      </c>
      <c r="O67" s="25"/>
      <c r="P67" s="25">
        <v>4.5</v>
      </c>
      <c r="Q67" s="70"/>
      <c r="R67" s="71"/>
      <c r="S67" s="30">
        <f>IF(Table1[[#This Row],[SKU]]="",0,24-Table1[[#This Row],[Legal Non-Operating Time]]-Table1[[#This Row],[No Demand Time]]-Table1[[#This Row],[Force Majeure]])</f>
        <v>24</v>
      </c>
      <c r="T67" s="26"/>
      <c r="U67" s="26"/>
      <c r="V67" s="26"/>
      <c r="W67" s="26"/>
      <c r="X67" s="26"/>
      <c r="Y67" s="26"/>
      <c r="Z67" s="26">
        <v>4</v>
      </c>
      <c r="AA67" s="30">
        <f>Table1[[#This Row],[Hours Used]]-SUM(Table1[[#This Row],[Planned Maintenance]:[Start and Finish Production]])</f>
        <v>20</v>
      </c>
      <c r="AB67" s="26"/>
      <c r="AC67" s="26"/>
      <c r="AD67" s="26"/>
      <c r="AE67" s="26"/>
      <c r="AF67" s="26"/>
      <c r="AG67" s="26"/>
      <c r="AH67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3.0175438596491198</v>
      </c>
      <c r="AI67" s="24">
        <f ca="1">IFERROR(IF(Table1[[#This Row],[SKU]]="",0,Table1[[#This Row],[Quality Loss (T)]]/(Table1[[#This Row],[SOC (TPD)]]/24)),"")</f>
        <v>0</v>
      </c>
      <c r="AJ67" s="31">
        <f ca="1">IFERROR(IF(Table1[[#This Row],[SKU]]="",0,Table1[[#This Row],[Volume Delivered (T)]]/(Table1[[#This Row],[SOC (TPD)]]/24)),"")</f>
        <v>16.98245614035088</v>
      </c>
      <c r="AK67" s="31">
        <f ca="1">IFERROR(Table1[[#This Row],[Operating Time]]/Table1[[#This Row],[PRODUCTION HOURS]],"")</f>
        <v>0.84912280701754406</v>
      </c>
      <c r="AL67" s="32">
        <v>85</v>
      </c>
      <c r="AM67" s="32" t="s">
        <v>107</v>
      </c>
      <c r="AN67" s="32" t="s">
        <v>107</v>
      </c>
      <c r="AO67" s="32">
        <v>14</v>
      </c>
      <c r="AP67" s="32">
        <v>12</v>
      </c>
      <c r="AQ67" s="32">
        <v>12</v>
      </c>
      <c r="AR67" s="32" t="str">
        <f>IFERROR(SUMIFS(#REF!,#REF!,'Data Sheet'!A:A,#REF!,"Samridhi Perk Line")/SUMIFS(#REF!,#REF!,'Data Sheet'!A:A,#REF!,"Samridhi Perk Line"),"")</f>
        <v/>
      </c>
      <c r="AS67" s="32"/>
      <c r="AT67" s="32"/>
      <c r="AU67" s="211" t="str">
        <f>IFERROR(VLOOKUP(Table1[[#This Row],[Date]],'Overweight Data'!A65:G1160,6,FALSE),"")</f>
        <v/>
      </c>
      <c r="AV67" s="221">
        <f ca="1">IFERROR(
   IF(
      OR(Table1[[#This Row],[Operating Time]]=0, (Table1[[#This Row],[Operating Time]]/IF(AC67&lt;=1,AC67+1,AC67))*60=0),
      1,
      ((Table1[[#This Row],[Operating Time]])/IF(AC67&lt;=1,AC67+1,AC67))*60
   ),
"_")</f>
        <v>1018.9473684210528</v>
      </c>
      <c r="AW67" s="221">
        <f>COUNTIFS('Downtime Data'!A:A,Table1[[#This Row],[Date]])</f>
        <v>0</v>
      </c>
      <c r="AX67" s="219" t="str">
        <f>IFERROR((SUM(Table1[[#This Row],[Minor Stoppages]:[Material Shortages]])/Table1[[#This Row],['# Stops]])*60,"")</f>
        <v/>
      </c>
      <c r="AY67" s="219"/>
      <c r="AZ67" s="33">
        <v>46107</v>
      </c>
    </row>
    <row r="68" spans="1:52" ht="20.149999999999999" customHeight="1" x14ac:dyDescent="0.35">
      <c r="A68" s="21">
        <v>46085</v>
      </c>
      <c r="B68" s="22" t="str">
        <f t="shared" si="1"/>
        <v>Wednesday</v>
      </c>
      <c r="C68" s="23"/>
      <c r="D68" s="24"/>
      <c r="E68" s="26"/>
      <c r="F68" s="26"/>
      <c r="G68" s="27"/>
      <c r="H68" s="27"/>
      <c r="I68" s="28"/>
      <c r="J68" s="28"/>
      <c r="K68" s="28"/>
      <c r="L68" s="25"/>
      <c r="M68" s="29">
        <v>3.9E-2</v>
      </c>
      <c r="N68" s="84"/>
      <c r="O68" s="25"/>
      <c r="P68" s="25"/>
      <c r="Q68" s="70"/>
      <c r="R68" s="71"/>
      <c r="S68" s="30">
        <f>IF(Table1[[#This Row],[SKU]]="",0,24-Table1[[#This Row],[Legal Non-Operating Time]]-Table1[[#This Row],[No Demand Time]]-Table1[[#This Row],[Force Majeure]])</f>
        <v>0</v>
      </c>
      <c r="T68" s="26"/>
      <c r="U68" s="26"/>
      <c r="V68" s="26"/>
      <c r="W68" s="26"/>
      <c r="X68" s="26"/>
      <c r="Y68" s="26"/>
      <c r="Z68" s="26"/>
      <c r="AA68" s="30">
        <f>Table1[[#This Row],[Hours Used]]-SUM(Table1[[#This Row],[Planned Maintenance]:[Start and Finish Production]])</f>
        <v>0</v>
      </c>
      <c r="AB68" s="26"/>
      <c r="AC68" s="26"/>
      <c r="AD68" s="26"/>
      <c r="AE68" s="26"/>
      <c r="AF68" s="26"/>
      <c r="AG68" s="26"/>
      <c r="AH68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68" s="24">
        <f>IFERROR(IF(Table1[[#This Row],[SKU]]="",0,Table1[[#This Row],[Quality Loss (T)]]/(Table1[[#This Row],[SOC (TPD)]]/24)),"")</f>
        <v>0</v>
      </c>
      <c r="AJ68" s="31">
        <f>IFERROR(IF(Table1[[#This Row],[SKU]]="",0,Table1[[#This Row],[Volume Delivered (T)]]/(Table1[[#This Row],[SOC (TPD)]]/24)),"")</f>
        <v>0</v>
      </c>
      <c r="AK68" s="31" t="str">
        <f>IFERROR(Table1[[#This Row],[Operating Time]]/Table1[[#This Row],[PRODUCTION HOURS]],"")</f>
        <v/>
      </c>
      <c r="AL68" s="32">
        <v>0</v>
      </c>
      <c r="AM68" s="32"/>
      <c r="AN68" s="32"/>
      <c r="AO68" s="32">
        <v>0</v>
      </c>
      <c r="AP68" s="32">
        <v>0</v>
      </c>
      <c r="AQ68" s="32"/>
      <c r="AR68" s="32" t="str">
        <f>IFERROR(SUMIFS(#REF!,#REF!,'Data Sheet'!A:A,#REF!,"Samridhi Perk Line")/SUMIFS(#REF!,#REF!,'Data Sheet'!A:A,#REF!,"Samridhi Perk Line"),"")</f>
        <v/>
      </c>
      <c r="AS68" s="32"/>
      <c r="AT68" s="32"/>
      <c r="AU68" s="211" t="str">
        <f>IFERROR(VLOOKUP(Table1[[#This Row],[Date]],'Overweight Data'!A66:G1161,6,FALSE),"")</f>
        <v/>
      </c>
      <c r="AV68" s="221">
        <f>IFERROR(
   IF(
      OR(Table1[[#This Row],[Operating Time]]=0, (Table1[[#This Row],[Operating Time]]/IF(AC68&lt;=1,AC68+1,AC68))*60=0),
      1,
      ((Table1[[#This Row],[Operating Time]])/IF(AC68&lt;=1,AC68+1,AC68))*60
   ),
"_")</f>
        <v>1</v>
      </c>
      <c r="AW68" s="221">
        <f>COUNTIFS('Downtime Data'!A:A,Table1[[#This Row],[Date]])</f>
        <v>0</v>
      </c>
      <c r="AX68" s="219" t="str">
        <f>IFERROR((SUM(Table1[[#This Row],[Minor Stoppages]:[Material Shortages]])/Table1[[#This Row],['# Stops]])*60,"")</f>
        <v/>
      </c>
      <c r="AY68" s="219"/>
      <c r="AZ68" s="33">
        <v>46107</v>
      </c>
    </row>
    <row r="69" spans="1:52" ht="20.149999999999999" customHeight="1" x14ac:dyDescent="0.35">
      <c r="A69" s="21">
        <v>46086</v>
      </c>
      <c r="B69" s="22" t="str">
        <f t="shared" si="1"/>
        <v>Thursday</v>
      </c>
      <c r="C69" s="23" t="s">
        <v>106</v>
      </c>
      <c r="D69" s="24" cm="1">
        <f t="array" aca="1" ref="D69" ca="1">IFERROR(INDIRECT(C69),"")</f>
        <v>39.200000000000003</v>
      </c>
      <c r="E69" s="26">
        <v>27.1</v>
      </c>
      <c r="F69" s="26">
        <v>27.1</v>
      </c>
      <c r="G69" s="27">
        <f ca="1">IFERROR((Table1[[#This Row],[Plan]]/Table1[[#This Row],[Hours Used]])/(Table1[[#This Row],[SOC (TPD)]]/24),"")</f>
        <v>0.69132653061224481</v>
      </c>
      <c r="H69" s="27">
        <f ca="1">IFERROR((Table1[[#This Row],[Volume Delivered (T)]]/Table1[[#This Row],[Hours Used]])/(Table1[[#This Row],[SOC (TPD)]]/24),"")</f>
        <v>0.69132653061224481</v>
      </c>
      <c r="I69" s="28"/>
      <c r="J69" s="28"/>
      <c r="K69" s="28"/>
      <c r="L69" s="25">
        <v>1</v>
      </c>
      <c r="M69" s="29">
        <v>3.9E-2</v>
      </c>
      <c r="N69" s="84"/>
      <c r="O69" s="25"/>
      <c r="P69" s="25"/>
      <c r="Q69" s="70"/>
      <c r="R69" s="71"/>
      <c r="S69" s="30">
        <f>IF(Table1[[#This Row],[SKU]]="",0,24-Table1[[#This Row],[Legal Non-Operating Time]]-Table1[[#This Row],[No Demand Time]]-Table1[[#This Row],[Force Majeure]])</f>
        <v>24</v>
      </c>
      <c r="T69" s="26"/>
      <c r="U69" s="26"/>
      <c r="V69" s="26">
        <v>2</v>
      </c>
      <c r="W69" s="26"/>
      <c r="X69" s="26"/>
      <c r="Y69" s="26"/>
      <c r="Z69" s="26">
        <v>4</v>
      </c>
      <c r="AA69" s="30">
        <f>Table1[[#This Row],[Hours Used]]-SUM(Table1[[#This Row],[Planned Maintenance]:[Start and Finish Production]])</f>
        <v>18</v>
      </c>
      <c r="AB69" s="26"/>
      <c r="AC69" s="26"/>
      <c r="AD69" s="26"/>
      <c r="AE69" s="26"/>
      <c r="AF69" s="26">
        <v>0.6</v>
      </c>
      <c r="AG69" s="26"/>
      <c r="AH69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0.19591836734693757</v>
      </c>
      <c r="AI69" s="24">
        <f ca="1">IFERROR(IF(Table1[[#This Row],[SKU]]="",0,Table1[[#This Row],[Quality Loss (T)]]/(Table1[[#This Row],[SOC (TPD)]]/24)),"")</f>
        <v>0.61224489795918358</v>
      </c>
      <c r="AJ69" s="31">
        <f ca="1">IFERROR(IF(Table1[[#This Row],[SKU]]="",0,Table1[[#This Row],[Volume Delivered (T)]]/(Table1[[#This Row],[SOC (TPD)]]/24)),"")</f>
        <v>16.591836734693878</v>
      </c>
      <c r="AK69" s="31">
        <f ca="1">IFERROR(Table1[[#This Row],[Operating Time]]/Table1[[#This Row],[PRODUCTION HOURS]],"")</f>
        <v>0.92176870748299322</v>
      </c>
      <c r="AL69" s="32">
        <v>79</v>
      </c>
      <c r="AM69" s="32" t="s">
        <v>107</v>
      </c>
      <c r="AN69" s="32" t="s">
        <v>107</v>
      </c>
      <c r="AO69" s="32">
        <v>0</v>
      </c>
      <c r="AP69" s="32">
        <v>0</v>
      </c>
      <c r="AQ69" s="32"/>
      <c r="AR69" s="32" t="str">
        <f>IFERROR(SUMIFS(#REF!,#REF!,'Data Sheet'!A:A,#REF!,"Samridhi Perk Line")/SUMIFS(#REF!,#REF!,'Data Sheet'!A:A,#REF!,"Samridhi Perk Line"),"")</f>
        <v/>
      </c>
      <c r="AS69" s="32"/>
      <c r="AT69" s="32"/>
      <c r="AU69" s="211">
        <f>IFERROR(VLOOKUP(Table1[[#This Row],[Date]],'Overweight Data'!A67:G1162,6,FALSE),"")</f>
        <v>1.8107734806629854E-2</v>
      </c>
      <c r="AV69" s="221">
        <f ca="1">IFERROR(
   IF(
      OR(Table1[[#This Row],[Operating Time]]=0, (Table1[[#This Row],[Operating Time]]/IF(AC69&lt;=1,AC69+1,AC69))*60=0),
      1,
      ((Table1[[#This Row],[Operating Time]])/IF(AC69&lt;=1,AC69+1,AC69))*60
   ),
"_")</f>
        <v>995.51020408163265</v>
      </c>
      <c r="AW69" s="221">
        <f>COUNTIFS('Downtime Data'!A:A,Table1[[#This Row],[Date]])</f>
        <v>1</v>
      </c>
      <c r="AX69" s="219">
        <f>IFERROR((SUM(Table1[[#This Row],[Minor Stoppages]:[Material Shortages]])/Table1[[#This Row],['# Stops]])*60,"")</f>
        <v>36</v>
      </c>
      <c r="AY69" s="219"/>
      <c r="AZ69" s="33">
        <v>46107</v>
      </c>
    </row>
    <row r="70" spans="1:52" ht="20.149999999999999" customHeight="1" x14ac:dyDescent="0.35">
      <c r="A70" s="21">
        <v>46087</v>
      </c>
      <c r="B70" s="22" t="str">
        <f t="shared" si="1"/>
        <v>Friday</v>
      </c>
      <c r="C70" s="23" t="s">
        <v>106</v>
      </c>
      <c r="D70" s="24" cm="1">
        <f t="array" aca="1" ref="D70" ca="1">IFERROR(INDIRECT(C70),"")</f>
        <v>39.200000000000003</v>
      </c>
      <c r="E70" s="26">
        <v>30.520959999999999</v>
      </c>
      <c r="F70" s="26">
        <v>30.520959999999999</v>
      </c>
      <c r="G70" s="27">
        <f ca="1">IFERROR((Table1[[#This Row],[Plan]]/Table1[[#This Row],[Hours Used]])/(Table1[[#This Row],[SOC (TPD)]]/24),"")</f>
        <v>0.77859591836734676</v>
      </c>
      <c r="H70" s="27">
        <f ca="1">IFERROR((Table1[[#This Row],[Volume Delivered (T)]]/Table1[[#This Row],[Hours Used]])/(Table1[[#This Row],[SOC (TPD)]]/24),"")</f>
        <v>0.77859591836734676</v>
      </c>
      <c r="I70" s="28"/>
      <c r="J70" s="28"/>
      <c r="K70" s="28"/>
      <c r="L70" s="25">
        <f>0.4+1.34+0.18+0.33-0.28-0.65</f>
        <v>1.3199999999999998</v>
      </c>
      <c r="M70" s="29">
        <v>3.9E-2</v>
      </c>
      <c r="N70" s="84"/>
      <c r="O70" s="25"/>
      <c r="P70" s="25"/>
      <c r="Q70" s="70"/>
      <c r="R70" s="71"/>
      <c r="S70" s="30">
        <f>IF(Table1[[#This Row],[SKU]]="",0,24-Table1[[#This Row],[Legal Non-Operating Time]]-Table1[[#This Row],[No Demand Time]]-Table1[[#This Row],[Force Majeure]])</f>
        <v>24</v>
      </c>
      <c r="T70" s="26">
        <v>1</v>
      </c>
      <c r="U70" s="26">
        <v>1</v>
      </c>
      <c r="V70" s="26"/>
      <c r="W70" s="26"/>
      <c r="X70" s="26"/>
      <c r="Y70" s="26"/>
      <c r="Z70" s="26"/>
      <c r="AA70" s="30">
        <f>Table1[[#This Row],[Hours Used]]-SUM(Table1[[#This Row],[Planned Maintenance]:[Start and Finish Production]])</f>
        <v>22</v>
      </c>
      <c r="AB70" s="26"/>
      <c r="AC70" s="26">
        <v>2</v>
      </c>
      <c r="AD70" s="26"/>
      <c r="AE70" s="26"/>
      <c r="AF70" s="26"/>
      <c r="AG70" s="26"/>
      <c r="AH70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0.50553469387755712</v>
      </c>
      <c r="AI70" s="24">
        <f ca="1">IFERROR(IF(Table1[[#This Row],[SKU]]="",0,Table1[[#This Row],[Quality Loss (T)]]/(Table1[[#This Row],[SOC (TPD)]]/24)),"")</f>
        <v>0.80816326530612226</v>
      </c>
      <c r="AJ70" s="31">
        <f ca="1">IFERROR(IF(Table1[[#This Row],[SKU]]="",0,Table1[[#This Row],[Volume Delivered (T)]]/(Table1[[#This Row],[SOC (TPD)]]/24)),"")</f>
        <v>18.686302040816322</v>
      </c>
      <c r="AK70" s="31">
        <f ca="1">IFERROR(Table1[[#This Row],[Operating Time]]/Table1[[#This Row],[PRODUCTION HOURS]],"")</f>
        <v>0.84937736549165099</v>
      </c>
      <c r="AL70" s="32">
        <v>83</v>
      </c>
      <c r="AM70" s="32" t="s">
        <v>107</v>
      </c>
      <c r="AN70" s="32" t="s">
        <v>107</v>
      </c>
      <c r="AO70" s="32">
        <v>0</v>
      </c>
      <c r="AP70" s="32">
        <v>0</v>
      </c>
      <c r="AQ70" s="32"/>
      <c r="AR70" s="32" t="str">
        <f>IFERROR(SUMIFS(#REF!,#REF!,'Data Sheet'!A:A,#REF!,"Samridhi Perk Line")/SUMIFS(#REF!,#REF!,'Data Sheet'!A:A,#REF!,"Samridhi Perk Line"),"")</f>
        <v/>
      </c>
      <c r="AS70" s="32">
        <v>8</v>
      </c>
      <c r="AT70" s="32"/>
      <c r="AU70" s="211">
        <f>IFERROR(VLOOKUP(Table1[[#This Row],[Date]],'Overweight Data'!A68:G1163,6,FALSE),"")</f>
        <v>2.233885819521178E-2</v>
      </c>
      <c r="AV70" s="221">
        <f ca="1">IFERROR(
   IF(
      OR(Table1[[#This Row],[Operating Time]]=0, (Table1[[#This Row],[Operating Time]]/IF(AC70&lt;=1,AC70+1,AC70))*60=0),
      1,
      ((Table1[[#This Row],[Operating Time]])/IF(AC70&lt;=1,AC70+1,AC70))*60
   ),
"_")</f>
        <v>560.58906122448968</v>
      </c>
      <c r="AW70" s="221">
        <f>COUNTIFS('Downtime Data'!A:A,Table1[[#This Row],[Date]])</f>
        <v>1</v>
      </c>
      <c r="AX70" s="219">
        <f>IFERROR((SUM(Table1[[#This Row],[Minor Stoppages]:[Material Shortages]])/Table1[[#This Row],['# Stops]])*60,"")</f>
        <v>120</v>
      </c>
      <c r="AY70" s="219"/>
      <c r="AZ70" s="33">
        <v>46107</v>
      </c>
    </row>
    <row r="71" spans="1:52" ht="20.149999999999999" customHeight="1" x14ac:dyDescent="0.35">
      <c r="A71" s="21">
        <v>46088</v>
      </c>
      <c r="B71" s="22" t="str">
        <f t="shared" si="1"/>
        <v>Saturday</v>
      </c>
      <c r="C71" s="23" t="s">
        <v>106</v>
      </c>
      <c r="D71" s="24" cm="1">
        <f t="array" aca="1" ref="D71" ca="1">IFERROR(INDIRECT(C71),"")</f>
        <v>39.200000000000003</v>
      </c>
      <c r="E71" s="26">
        <v>31.857418000000003</v>
      </c>
      <c r="F71" s="26">
        <v>31.857418000000003</v>
      </c>
      <c r="G71" s="27">
        <f ca="1">IFERROR((Table1[[#This Row],[Plan]]/Table1[[#This Row],[Hours Used]])/(Table1[[#This Row],[SOC (TPD)]]/24),"")</f>
        <v>0.81268923469387755</v>
      </c>
      <c r="H71" s="27">
        <f ca="1">IFERROR((Table1[[#This Row],[Volume Delivered (T)]]/Table1[[#This Row],[Hours Used]])/(Table1[[#This Row],[SOC (TPD)]]/24),"")</f>
        <v>0.81268923469387755</v>
      </c>
      <c r="I71" s="28"/>
      <c r="J71" s="28"/>
      <c r="K71" s="28"/>
      <c r="L71" s="25">
        <v>1.4</v>
      </c>
      <c r="M71" s="29">
        <v>3.9E-2</v>
      </c>
      <c r="N71" s="84"/>
      <c r="O71" s="25"/>
      <c r="P71" s="25"/>
      <c r="Q71" s="70"/>
      <c r="R71" s="71"/>
      <c r="S71" s="30">
        <f>IF(Table1[[#This Row],[SKU]]="",0,24-Table1[[#This Row],[Legal Non-Operating Time]]-Table1[[#This Row],[No Demand Time]]-Table1[[#This Row],[Force Majeure]])</f>
        <v>24</v>
      </c>
      <c r="T71" s="26">
        <v>0.5</v>
      </c>
      <c r="U71" s="26">
        <v>1</v>
      </c>
      <c r="V71" s="26"/>
      <c r="W71" s="26">
        <v>1</v>
      </c>
      <c r="X71" s="26"/>
      <c r="Y71" s="26"/>
      <c r="Z71" s="26"/>
      <c r="AA71" s="30">
        <f>Table1[[#This Row],[Hours Used]]-SUM(Table1[[#This Row],[Planned Maintenance]:[Start and Finish Production]])</f>
        <v>21.5</v>
      </c>
      <c r="AB71" s="26"/>
      <c r="AC71" s="26">
        <v>0.95</v>
      </c>
      <c r="AD71" s="26"/>
      <c r="AE71" s="26"/>
      <c r="AF71" s="26"/>
      <c r="AG71" s="26"/>
      <c r="AH71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0.18831551020408099</v>
      </c>
      <c r="AI71" s="24">
        <f ca="1">IFERROR(IF(Table1[[#This Row],[SKU]]="",0,Table1[[#This Row],[Quality Loss (T)]]/(Table1[[#This Row],[SOC (TPD)]]/24)),"")</f>
        <v>0.85714285714285698</v>
      </c>
      <c r="AJ71" s="31">
        <f ca="1">IFERROR(IF(Table1[[#This Row],[SKU]]="",0,Table1[[#This Row],[Volume Delivered (T)]]/(Table1[[#This Row],[SOC (TPD)]]/24)),"")</f>
        <v>19.504541632653062</v>
      </c>
      <c r="AK71" s="31">
        <f ca="1">IFERROR(Table1[[#This Row],[Operating Time]]/Table1[[#This Row],[PRODUCTION HOURS]],"")</f>
        <v>0.90718798291409586</v>
      </c>
      <c r="AL71" s="32">
        <v>81</v>
      </c>
      <c r="AM71" s="32" t="s">
        <v>107</v>
      </c>
      <c r="AN71" s="32" t="s">
        <v>107</v>
      </c>
      <c r="AO71" s="32">
        <v>0</v>
      </c>
      <c r="AP71" s="32">
        <v>0</v>
      </c>
      <c r="AQ71" s="32"/>
      <c r="AR71" s="32" t="str">
        <f>IFERROR(SUMIFS(#REF!,#REF!,'Data Sheet'!A:A,#REF!,"Samridhi Perk Line")/SUMIFS(#REF!,#REF!,'Data Sheet'!A:A,#REF!,"Samridhi Perk Line"),"")</f>
        <v/>
      </c>
      <c r="AS71" s="32">
        <v>2</v>
      </c>
      <c r="AT71" s="32"/>
      <c r="AU71" s="211">
        <f>IFERROR(VLOOKUP(Table1[[#This Row],[Date]],'Overweight Data'!A69:G1164,6,FALSE),"")</f>
        <v>3.2680652680652705E-2</v>
      </c>
      <c r="AV71" s="221">
        <f ca="1">IFERROR(
   IF(
      OR(Table1[[#This Row],[Operating Time]]=0, (Table1[[#This Row],[Operating Time]]/IF(AC71&lt;=1,AC71+1,AC71))*60=0),
      1,
      ((Table1[[#This Row],[Operating Time]])/IF(AC71&lt;=1,AC71+1,AC71))*60
   ),
"_")</f>
        <v>600.13974254317122</v>
      </c>
      <c r="AW71" s="221">
        <f>COUNTIFS('Downtime Data'!A:A,Table1[[#This Row],[Date]])</f>
        <v>1</v>
      </c>
      <c r="AX71" s="219">
        <f>IFERROR((SUM(Table1[[#This Row],[Minor Stoppages]:[Material Shortages]])/Table1[[#This Row],['# Stops]])*60,"")</f>
        <v>57</v>
      </c>
      <c r="AY71" s="219"/>
      <c r="AZ71" s="33">
        <v>46107</v>
      </c>
    </row>
    <row r="72" spans="1:52" ht="20.149999999999999" customHeight="1" x14ac:dyDescent="0.35">
      <c r="A72" s="21">
        <v>46089</v>
      </c>
      <c r="B72" s="22" t="str">
        <f t="shared" si="1"/>
        <v>Sunday</v>
      </c>
      <c r="C72" s="23" t="s">
        <v>106</v>
      </c>
      <c r="D72" s="24" cm="1">
        <f t="array" aca="1" ref="D72" ca="1">IFERROR(INDIRECT(C72),"")</f>
        <v>39.200000000000003</v>
      </c>
      <c r="E72" s="26">
        <v>31.326063000000001</v>
      </c>
      <c r="F72" s="26">
        <v>31.326063000000001</v>
      </c>
      <c r="G72" s="27">
        <f ca="1">IFERROR((Table1[[#This Row],[Plan]]/Table1[[#This Row],[Hours Used]])/(Table1[[#This Row],[SOC (TPD)]]/24),"")</f>
        <v>0.79913426020408163</v>
      </c>
      <c r="H72" s="27">
        <f ca="1">IFERROR((Table1[[#This Row],[Volume Delivered (T)]]/Table1[[#This Row],[Hours Used]])/(Table1[[#This Row],[SOC (TPD)]]/24),"")</f>
        <v>0.79913426020408163</v>
      </c>
      <c r="I72" s="28"/>
      <c r="J72" s="28"/>
      <c r="K72" s="28"/>
      <c r="L72" s="25">
        <v>1.5</v>
      </c>
      <c r="M72" s="29">
        <v>3.9E-2</v>
      </c>
      <c r="N72" s="84"/>
      <c r="O72" s="25"/>
      <c r="P72" s="25"/>
      <c r="Q72" s="70"/>
      <c r="R72" s="71"/>
      <c r="S72" s="30">
        <f>IF(Table1[[#This Row],[SKU]]="",0,24-Table1[[#This Row],[Legal Non-Operating Time]]-Table1[[#This Row],[No Demand Time]]-Table1[[#This Row],[Force Majeure]])</f>
        <v>24</v>
      </c>
      <c r="T72" s="26"/>
      <c r="U72" s="26"/>
      <c r="V72" s="26"/>
      <c r="W72" s="26"/>
      <c r="X72" s="26"/>
      <c r="Y72" s="26"/>
      <c r="Z72" s="26"/>
      <c r="AA72" s="30">
        <f>Table1[[#This Row],[Hours Used]]-SUM(Table1[[#This Row],[Planned Maintenance]:[Start and Finish Production]])</f>
        <v>24</v>
      </c>
      <c r="AB72" s="26"/>
      <c r="AC72" s="26">
        <v>1.5</v>
      </c>
      <c r="AD72" s="26">
        <v>1.5</v>
      </c>
      <c r="AE72" s="26"/>
      <c r="AF72" s="26"/>
      <c r="AG72" s="26"/>
      <c r="AH72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0.90241040816326645</v>
      </c>
      <c r="AI72" s="24">
        <f ca="1">IFERROR(IF(Table1[[#This Row],[SKU]]="",0,Table1[[#This Row],[Quality Loss (T)]]/(Table1[[#This Row],[SOC (TPD)]]/24)),"")</f>
        <v>0.91836734693877542</v>
      </c>
      <c r="AJ72" s="31">
        <f ca="1">IFERROR(IF(Table1[[#This Row],[SKU]]="",0,Table1[[#This Row],[Volume Delivered (T)]]/(Table1[[#This Row],[SOC (TPD)]]/24)),"")</f>
        <v>19.179222244897957</v>
      </c>
      <c r="AK72" s="31">
        <f ca="1">IFERROR(Table1[[#This Row],[Operating Time]]/Table1[[#This Row],[PRODUCTION HOURS]],"")</f>
        <v>0.79913426020408151</v>
      </c>
      <c r="AL72" s="32">
        <v>88</v>
      </c>
      <c r="AM72" s="32" t="s">
        <v>107</v>
      </c>
      <c r="AN72" s="32" t="s">
        <v>107</v>
      </c>
      <c r="AO72" s="32">
        <v>0</v>
      </c>
      <c r="AP72" s="32">
        <v>0</v>
      </c>
      <c r="AQ72" s="235"/>
      <c r="AR72" s="32" t="str">
        <f>IFERROR(SUMIFS(#REF!,#REF!,'Data Sheet'!A:A,#REF!,"Samridhi Perk Line")/SUMIFS(#REF!,#REF!,'Data Sheet'!A:A,#REF!,"Samridhi Perk Line"),"")</f>
        <v/>
      </c>
      <c r="AS72" s="32"/>
      <c r="AT72" s="32"/>
      <c r="AU72" s="211">
        <f>IFERROR(VLOOKUP(Table1[[#This Row],[Date]],'Overweight Data'!A70:G1165,6,FALSE),"")</f>
        <v>2.1620046620046563E-2</v>
      </c>
      <c r="AV72" s="221">
        <f ca="1">IFERROR(
   IF(
      OR(Table1[[#This Row],[Operating Time]]=0, (Table1[[#This Row],[Operating Time]]/IF(AC72&lt;=1,AC72+1,AC72))*60=0),
      1,
      ((Table1[[#This Row],[Operating Time]])/IF(AC72&lt;=1,AC72+1,AC72))*60
   ),
"_")</f>
        <v>767.16888979591829</v>
      </c>
      <c r="AW72" s="221">
        <f>COUNTIFS('Downtime Data'!A:A,Table1[[#This Row],[Date]])</f>
        <v>2</v>
      </c>
      <c r="AX72" s="219">
        <f>IFERROR((SUM(Table1[[#This Row],[Minor Stoppages]:[Material Shortages]])/Table1[[#This Row],['# Stops]])*60,"")</f>
        <v>90</v>
      </c>
      <c r="AY72" s="219"/>
      <c r="AZ72" s="33">
        <v>46107</v>
      </c>
    </row>
    <row r="73" spans="1:52" ht="20.149999999999999" customHeight="1" x14ac:dyDescent="0.35">
      <c r="A73" s="21">
        <v>46090</v>
      </c>
      <c r="B73" s="22" t="str">
        <f t="shared" si="1"/>
        <v>Monday</v>
      </c>
      <c r="C73" s="23" t="s">
        <v>106</v>
      </c>
      <c r="D73" s="24" cm="1">
        <f t="array" aca="1" ref="D73" ca="1">IFERROR(INDIRECT(C73),"")</f>
        <v>39.200000000000003</v>
      </c>
      <c r="E73" s="26">
        <v>25.385524999999998</v>
      </c>
      <c r="F73" s="26">
        <v>25.385524999999998</v>
      </c>
      <c r="G73" s="27">
        <f ca="1">IFERROR((Table1[[#This Row],[Plan]]/Table1[[#This Row],[Hours Used]])/(Table1[[#This Row],[SOC (TPD)]]/24),"")</f>
        <v>0.64758992346938771</v>
      </c>
      <c r="H73" s="27">
        <f ca="1">IFERROR((Table1[[#This Row],[Volume Delivered (T)]]/Table1[[#This Row],[Hours Used]])/(Table1[[#This Row],[SOC (TPD)]]/24),"")</f>
        <v>0.64758992346938771</v>
      </c>
      <c r="I73" s="28"/>
      <c r="J73" s="28"/>
      <c r="K73" s="28"/>
      <c r="L73" s="25">
        <v>1.4</v>
      </c>
      <c r="M73" s="29">
        <v>3.9E-2</v>
      </c>
      <c r="N73" s="84"/>
      <c r="O73" s="25"/>
      <c r="P73" s="25"/>
      <c r="Q73" s="70"/>
      <c r="R73" s="71"/>
      <c r="S73" s="30">
        <f>IF(Table1[[#This Row],[SKU]]="",0,24-Table1[[#This Row],[Legal Non-Operating Time]]-Table1[[#This Row],[No Demand Time]]-Table1[[#This Row],[Force Majeure]])</f>
        <v>24</v>
      </c>
      <c r="T73" s="26">
        <v>0.5</v>
      </c>
      <c r="U73" s="26">
        <v>1</v>
      </c>
      <c r="V73" s="26"/>
      <c r="W73" s="26">
        <v>3</v>
      </c>
      <c r="X73" s="26"/>
      <c r="Y73" s="26"/>
      <c r="Z73" s="26"/>
      <c r="AA73" s="30">
        <f>Table1[[#This Row],[Hours Used]]-SUM(Table1[[#This Row],[Planned Maintenance]:[Start and Finish Production]])</f>
        <v>19.5</v>
      </c>
      <c r="AB73" s="26">
        <v>0.5</v>
      </c>
      <c r="AC73" s="26">
        <f>70/60</f>
        <v>1.1666666666666667</v>
      </c>
      <c r="AD73" s="26">
        <v>0.5</v>
      </c>
      <c r="AE73" s="26"/>
      <c r="AF73" s="26"/>
      <c r="AG73" s="26"/>
      <c r="AH73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0.93403231292517219</v>
      </c>
      <c r="AI73" s="24">
        <f ca="1">IFERROR(IF(Table1[[#This Row],[SKU]]="",0,Table1[[#This Row],[Quality Loss (T)]]/(Table1[[#This Row],[SOC (TPD)]]/24)),"")</f>
        <v>0.85714285714285698</v>
      </c>
      <c r="AJ73" s="31">
        <f ca="1">IFERROR(IF(Table1[[#This Row],[SKU]]="",0,Table1[[#This Row],[Volume Delivered (T)]]/(Table1[[#This Row],[SOC (TPD)]]/24)),"")</f>
        <v>15.542158163265302</v>
      </c>
      <c r="AK73" s="31">
        <f ca="1">IFERROR(Table1[[#This Row],[Operating Time]]/Table1[[#This Row],[PRODUCTION HOURS]],"")</f>
        <v>0.79703375196232318</v>
      </c>
      <c r="AL73" s="32">
        <v>76</v>
      </c>
      <c r="AM73" s="32" t="s">
        <v>107</v>
      </c>
      <c r="AN73" s="32" t="s">
        <v>107</v>
      </c>
      <c r="AO73" s="32">
        <v>0</v>
      </c>
      <c r="AP73" s="32">
        <v>0</v>
      </c>
      <c r="AQ73" s="235"/>
      <c r="AR73" s="32" t="str">
        <f>IFERROR(SUMIFS(#REF!,#REF!,'Data Sheet'!A:A,#REF!,"Samridhi Perk Line")/SUMIFS(#REF!,#REF!,'Data Sheet'!A:A,#REF!,"Samridhi Perk Line"),"")</f>
        <v/>
      </c>
      <c r="AS73" s="32"/>
      <c r="AT73" s="32"/>
      <c r="AU73" s="211">
        <f>IFERROR(VLOOKUP(Table1[[#This Row],[Date]],'Overweight Data'!A71:G1166,6,FALSE),"")</f>
        <v>1.5489510489510513E-2</v>
      </c>
      <c r="AV73" s="221">
        <f ca="1">IFERROR(
   IF(
      OR(Table1[[#This Row],[Operating Time]]=0, (Table1[[#This Row],[Operating Time]]/IF(AC73&lt;=1,AC73+1,AC73))*60=0),
      1,
      ((Table1[[#This Row],[Operating Time]])/IF(AC73&lt;=1,AC73+1,AC73))*60
   ),
"_")</f>
        <v>799.31099125364415</v>
      </c>
      <c r="AW73" s="221">
        <f>COUNTIFS('Downtime Data'!A:A,Table1[[#This Row],[Date]])</f>
        <v>2</v>
      </c>
      <c r="AX73" s="219">
        <f>IFERROR((SUM(Table1[[#This Row],[Minor Stoppages]:[Material Shortages]])/Table1[[#This Row],['# Stops]])*60,"")</f>
        <v>65.000000000000014</v>
      </c>
      <c r="AY73" s="219"/>
      <c r="AZ73" s="33">
        <v>46107</v>
      </c>
    </row>
    <row r="74" spans="1:52" ht="20.149999999999999" customHeight="1" x14ac:dyDescent="0.35">
      <c r="A74" s="21">
        <v>46091</v>
      </c>
      <c r="B74" s="22" t="str">
        <f t="shared" si="1"/>
        <v>Tuesday</v>
      </c>
      <c r="C74" s="23" t="s">
        <v>106</v>
      </c>
      <c r="D74" s="24" cm="1">
        <f t="array" aca="1" ref="D74" ca="1">IFERROR(INDIRECT(C74),"")</f>
        <v>39.200000000000003</v>
      </c>
      <c r="E74" s="26">
        <v>31.262485000000002</v>
      </c>
      <c r="F74" s="26">
        <v>31.262485000000002</v>
      </c>
      <c r="G74" s="27">
        <f ca="1">IFERROR((Table1[[#This Row],[Plan]]/Table1[[#This Row],[Hours Used]])/(Table1[[#This Row],[SOC (TPD)]]/24),"")</f>
        <v>0.79751237244897955</v>
      </c>
      <c r="H74" s="27">
        <f ca="1">IFERROR((Table1[[#This Row],[Volume Delivered (T)]]/Table1[[#This Row],[Hours Used]])/(Table1[[#This Row],[SOC (TPD)]]/24),"")</f>
        <v>0.79751237244897955</v>
      </c>
      <c r="I74" s="28"/>
      <c r="J74" s="28"/>
      <c r="K74" s="28"/>
      <c r="L74" s="25">
        <v>1.3</v>
      </c>
      <c r="M74" s="29">
        <v>3.9E-2</v>
      </c>
      <c r="N74" s="84"/>
      <c r="O74" s="25"/>
      <c r="P74" s="25"/>
      <c r="Q74" s="70"/>
      <c r="R74" s="71"/>
      <c r="S74" s="30">
        <f>IF(Table1[[#This Row],[SKU]]="",0,24-Table1[[#This Row],[Legal Non-Operating Time]]-Table1[[#This Row],[No Demand Time]]-Table1[[#This Row],[Force Majeure]])</f>
        <v>24</v>
      </c>
      <c r="T74" s="26">
        <v>0.5</v>
      </c>
      <c r="U74" s="26"/>
      <c r="V74" s="26"/>
      <c r="W74" s="26"/>
      <c r="X74" s="26"/>
      <c r="Y74" s="26"/>
      <c r="Z74" s="26"/>
      <c r="AA74" s="30">
        <f>Table1[[#This Row],[Hours Used]]-SUM(Table1[[#This Row],[Planned Maintenance]:[Start and Finish Production]])</f>
        <v>23.5</v>
      </c>
      <c r="AB74" s="26"/>
      <c r="AC74" s="26">
        <v>2</v>
      </c>
      <c r="AD74" s="26"/>
      <c r="AE74" s="26"/>
      <c r="AF74" s="26"/>
      <c r="AG74" s="26"/>
      <c r="AH74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1.563784693877551</v>
      </c>
      <c r="AI74" s="24">
        <f ca="1">IFERROR(IF(Table1[[#This Row],[SKU]]="",0,Table1[[#This Row],[Quality Loss (T)]]/(Table1[[#This Row],[SOC (TPD)]]/24)),"")</f>
        <v>0.79591836734693866</v>
      </c>
      <c r="AJ74" s="31">
        <f ca="1">IFERROR(IF(Table1[[#This Row],[SKU]]="",0,Table1[[#This Row],[Volume Delivered (T)]]/(Table1[[#This Row],[SOC (TPD)]]/24)),"")</f>
        <v>19.14029693877551</v>
      </c>
      <c r="AK74" s="31">
        <f ca="1">IFERROR(Table1[[#This Row],[Operating Time]]/Table1[[#This Row],[PRODUCTION HOURS]],"")</f>
        <v>0.81448072079895784</v>
      </c>
      <c r="AL74" s="32">
        <v>87</v>
      </c>
      <c r="AM74" s="32" t="s">
        <v>107</v>
      </c>
      <c r="AN74" s="32" t="s">
        <v>107</v>
      </c>
      <c r="AO74" s="32">
        <v>0</v>
      </c>
      <c r="AP74" s="32">
        <v>0</v>
      </c>
      <c r="AQ74" s="32"/>
      <c r="AR74" s="32" t="str">
        <f>IFERROR(SUMIFS(#REF!,#REF!,'Data Sheet'!A:A,#REF!,"Samridhi Perk Line")/SUMIFS(#REF!,#REF!,'Data Sheet'!A:A,#REF!,"Samridhi Perk Line"),"")</f>
        <v/>
      </c>
      <c r="AS74" s="32"/>
      <c r="AT74" s="32"/>
      <c r="AU74" s="211">
        <f>IFERROR(VLOOKUP(Table1[[#This Row],[Date]],'Overweight Data'!A72:G1167,6,FALSE),"")</f>
        <v>2.383977900552485E-2</v>
      </c>
      <c r="AV74" s="221">
        <f ca="1">IFERROR(
   IF(
      OR(Table1[[#This Row],[Operating Time]]=0, (Table1[[#This Row],[Operating Time]]/IF(AC74&lt;=1,AC74+1,AC74))*60=0),
      1,
      ((Table1[[#This Row],[Operating Time]])/IF(AC74&lt;=1,AC74+1,AC74))*60
   ),
"_")</f>
        <v>574.20890816326528</v>
      </c>
      <c r="AW74" s="221">
        <f>COUNTIFS('Downtime Data'!A:A,Table1[[#This Row],[Date]])</f>
        <v>1</v>
      </c>
      <c r="AX74" s="219">
        <f>IFERROR((SUM(Table1[[#This Row],[Minor Stoppages]:[Material Shortages]])/Table1[[#This Row],['# Stops]])*60,"")</f>
        <v>120</v>
      </c>
      <c r="AY74" s="219"/>
      <c r="AZ74" s="33">
        <v>46107</v>
      </c>
    </row>
    <row r="75" spans="1:52" ht="20.149999999999999" customHeight="1" x14ac:dyDescent="0.35">
      <c r="A75" s="21">
        <v>46092</v>
      </c>
      <c r="B75" s="22" t="str">
        <f t="shared" ref="B75:B138" si="2">IF(A75="","",TEXT(A75,"dddddd"))</f>
        <v>Wednesday</v>
      </c>
      <c r="C75" s="23" t="s">
        <v>106</v>
      </c>
      <c r="D75" s="24" cm="1">
        <f t="array" aca="1" ref="D75" ca="1">IFERROR(INDIRECT(C75),"")</f>
        <v>39.200000000000003</v>
      </c>
      <c r="E75" s="26">
        <v>33.093372000000002</v>
      </c>
      <c r="F75" s="26">
        <v>33.093372000000002</v>
      </c>
      <c r="G75" s="27">
        <f ca="1">IFERROR((Table1[[#This Row],[Plan]]/Table1[[#This Row],[Hours Used]])/(Table1[[#This Row],[SOC (TPD)]]/24),"")</f>
        <v>0.84421867346938761</v>
      </c>
      <c r="H75" s="27">
        <f ca="1">IFERROR((Table1[[#This Row],[Volume Delivered (T)]]/Table1[[#This Row],[Hours Used]])/(Table1[[#This Row],[SOC (TPD)]]/24),"")</f>
        <v>0.84421867346938761</v>
      </c>
      <c r="I75" s="28"/>
      <c r="J75" s="28"/>
      <c r="K75" s="28"/>
      <c r="L75" s="25">
        <v>1.3</v>
      </c>
      <c r="M75" s="29">
        <v>3.9E-2</v>
      </c>
      <c r="N75" s="84"/>
      <c r="O75" s="25"/>
      <c r="P75" s="25"/>
      <c r="Q75" s="70"/>
      <c r="R75" s="71"/>
      <c r="S75" s="30">
        <f>IF(Table1[[#This Row],[SKU]]="",0,24-Table1[[#This Row],[Legal Non-Operating Time]]-Table1[[#This Row],[No Demand Time]]-Table1[[#This Row],[Force Majeure]])</f>
        <v>24</v>
      </c>
      <c r="T75" s="26"/>
      <c r="U75" s="26"/>
      <c r="V75" s="26"/>
      <c r="W75" s="26"/>
      <c r="X75" s="26"/>
      <c r="Y75" s="26"/>
      <c r="Z75" s="26"/>
      <c r="AA75" s="30">
        <f>Table1[[#This Row],[Hours Used]]-SUM(Table1[[#This Row],[Planned Maintenance]:[Start and Finish Production]])</f>
        <v>24</v>
      </c>
      <c r="AB75" s="26">
        <v>1</v>
      </c>
      <c r="AC75" s="26"/>
      <c r="AD75" s="26">
        <v>1.5</v>
      </c>
      <c r="AE75" s="26"/>
      <c r="AF75" s="26"/>
      <c r="AG75" s="26"/>
      <c r="AH75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0.44283346938775736</v>
      </c>
      <c r="AI75" s="24">
        <f ca="1">IFERROR(IF(Table1[[#This Row],[SKU]]="",0,Table1[[#This Row],[Quality Loss (T)]]/(Table1[[#This Row],[SOC (TPD)]]/24)),"")</f>
        <v>0.79591836734693866</v>
      </c>
      <c r="AJ75" s="31">
        <f ca="1">IFERROR(IF(Table1[[#This Row],[SKU]]="",0,Table1[[#This Row],[Volume Delivered (T)]]/(Table1[[#This Row],[SOC (TPD)]]/24)),"")</f>
        <v>20.261248163265304</v>
      </c>
      <c r="AK75" s="31">
        <f ca="1">IFERROR(Table1[[#This Row],[Operating Time]]/Table1[[#This Row],[PRODUCTION HOURS]],"")</f>
        <v>0.84421867346938761</v>
      </c>
      <c r="AL75" s="32">
        <v>92</v>
      </c>
      <c r="AM75" s="32" t="s">
        <v>107</v>
      </c>
      <c r="AN75" s="32" t="s">
        <v>107</v>
      </c>
      <c r="AO75" s="32">
        <v>0</v>
      </c>
      <c r="AP75" s="32">
        <v>0</v>
      </c>
      <c r="AQ75" s="32"/>
      <c r="AR75" s="32" t="str">
        <f>IFERROR(SUMIFS(#REF!,#REF!,'Data Sheet'!A:A,#REF!,"Samridhi Perk Line")/SUMIFS(#REF!,#REF!,'Data Sheet'!A:A,#REF!,"Samridhi Perk Line"),"")</f>
        <v/>
      </c>
      <c r="AS75" s="32"/>
      <c r="AT75" s="32"/>
      <c r="AU75" s="211">
        <f>IFERROR(VLOOKUP(Table1[[#This Row],[Date]],'Overweight Data'!A73:G1168,6,FALSE),"")</f>
        <v>2.3941068139963165E-2</v>
      </c>
      <c r="AV75" s="221">
        <f ca="1">IFERROR(
   IF(
      OR(Table1[[#This Row],[Operating Time]]=0, (Table1[[#This Row],[Operating Time]]/IF(AC75&lt;=1,AC75+1,AC75))*60=0),
      1,
      ((Table1[[#This Row],[Operating Time]])/IF(AC75&lt;=1,AC75+1,AC75))*60
   ),
"_")</f>
        <v>1215.6748897959183</v>
      </c>
      <c r="AW75" s="221">
        <f>COUNTIFS('Downtime Data'!A:A,Table1[[#This Row],[Date]])</f>
        <v>0</v>
      </c>
      <c r="AX75" s="219" t="str">
        <f>IFERROR((SUM(Table1[[#This Row],[Minor Stoppages]:[Material Shortages]])/Table1[[#This Row],['# Stops]])*60,"")</f>
        <v/>
      </c>
      <c r="AY75" s="219"/>
      <c r="AZ75" s="33">
        <v>46107</v>
      </c>
    </row>
    <row r="76" spans="1:52" ht="20.149999999999999" customHeight="1" x14ac:dyDescent="0.35">
      <c r="A76" s="21">
        <v>46093</v>
      </c>
      <c r="B76" s="22" t="str">
        <f t="shared" si="2"/>
        <v>Thursday</v>
      </c>
      <c r="C76" s="23" t="s">
        <v>106</v>
      </c>
      <c r="D76" s="24" cm="1">
        <f t="array" aca="1" ref="D76" ca="1">IFERROR(INDIRECT(C76),"")</f>
        <v>39.200000000000003</v>
      </c>
      <c r="E76" s="26">
        <v>32.4</v>
      </c>
      <c r="F76" s="26">
        <v>32.4</v>
      </c>
      <c r="G76" s="27">
        <f ca="1">IFERROR((Table1[[#This Row],[Plan]]/Table1[[#This Row],[Hours Used]])/(Table1[[#This Row],[SOC (TPD)]]/24),"")</f>
        <v>0.82653061224489777</v>
      </c>
      <c r="H76" s="27">
        <f ca="1">IFERROR((Table1[[#This Row],[Volume Delivered (T)]]/Table1[[#This Row],[Hours Used]])/(Table1[[#This Row],[SOC (TPD)]]/24),"")</f>
        <v>0.82653061224489777</v>
      </c>
      <c r="I76" s="28"/>
      <c r="J76" s="28"/>
      <c r="K76" s="28"/>
      <c r="L76" s="25">
        <v>1.35</v>
      </c>
      <c r="M76" s="29">
        <v>3.9E-2</v>
      </c>
      <c r="N76" s="84"/>
      <c r="O76" s="25"/>
      <c r="P76" s="25"/>
      <c r="Q76" s="70"/>
      <c r="R76" s="71"/>
      <c r="S76" s="30">
        <f>IF(Table1[[#This Row],[SKU]]="",0,24-Table1[[#This Row],[Legal Non-Operating Time]]-Table1[[#This Row],[No Demand Time]]-Table1[[#This Row],[Force Majeure]])</f>
        <v>24</v>
      </c>
      <c r="T76" s="26"/>
      <c r="U76" s="26"/>
      <c r="V76" s="26"/>
      <c r="W76" s="26"/>
      <c r="X76" s="26"/>
      <c r="Y76" s="26"/>
      <c r="Z76" s="26"/>
      <c r="AA76" s="30">
        <f>Table1[[#This Row],[Hours Used]]-SUM(Table1[[#This Row],[Planned Maintenance]:[Start and Finish Production]])</f>
        <v>24</v>
      </c>
      <c r="AB76" s="26"/>
      <c r="AC76" s="26"/>
      <c r="AD76" s="26"/>
      <c r="AE76" s="26"/>
      <c r="AF76" s="26"/>
      <c r="AG76" s="26"/>
      <c r="AH76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3.3367346938775526</v>
      </c>
      <c r="AI76" s="24">
        <f ca="1">IFERROR(IF(Table1[[#This Row],[SKU]]="",0,Table1[[#This Row],[Quality Loss (T)]]/(Table1[[#This Row],[SOC (TPD)]]/24)),"")</f>
        <v>0.82653061224489788</v>
      </c>
      <c r="AJ76" s="31">
        <f ca="1">IFERROR(IF(Table1[[#This Row],[SKU]]="",0,Table1[[#This Row],[Volume Delivered (T)]]/(Table1[[#This Row],[SOC (TPD)]]/24)),"")</f>
        <v>19.836734693877549</v>
      </c>
      <c r="AK76" s="31">
        <f ca="1">IFERROR(Table1[[#This Row],[Operating Time]]/Table1[[#This Row],[PRODUCTION HOURS]],"")</f>
        <v>0.82653061224489788</v>
      </c>
      <c r="AL76" s="32">
        <v>74</v>
      </c>
      <c r="AM76" s="32" t="s">
        <v>107</v>
      </c>
      <c r="AN76" s="32" t="s">
        <v>107</v>
      </c>
      <c r="AO76" s="32">
        <v>1</v>
      </c>
      <c r="AP76" s="32">
        <v>0</v>
      </c>
      <c r="AQ76" s="32"/>
      <c r="AR76" s="32" t="str">
        <f>IFERROR(SUMIFS(#REF!,#REF!,'Data Sheet'!A:A,#REF!,"Samridhi Perk Line")/SUMIFS(#REF!,#REF!,'Data Sheet'!A:A,#REF!,"Samridhi Perk Line"),"")</f>
        <v/>
      </c>
      <c r="AS76" s="32"/>
      <c r="AT76" s="32"/>
      <c r="AU76" s="211">
        <f>IFERROR(VLOOKUP(Table1[[#This Row],[Date]],'Overweight Data'!A74:G1169,6,FALSE),"")</f>
        <v>3.6878453038673993E-2</v>
      </c>
      <c r="AV76" s="221">
        <f ca="1">IFERROR(
   IF(
      OR(Table1[[#This Row],[Operating Time]]=0, (Table1[[#This Row],[Operating Time]]/IF(AC76&lt;=1,AC76+1,AC76))*60=0),
      1,
      ((Table1[[#This Row],[Operating Time]])/IF(AC76&lt;=1,AC76+1,AC76))*60
   ),
"_")</f>
        <v>1190.204081632653</v>
      </c>
      <c r="AW76" s="221">
        <f>COUNTIFS('Downtime Data'!A:A,Table1[[#This Row],[Date]])</f>
        <v>0</v>
      </c>
      <c r="AX76" s="219" t="str">
        <f>IFERROR((SUM(Table1[[#This Row],[Minor Stoppages]:[Material Shortages]])/Table1[[#This Row],['# Stops]])*60,"")</f>
        <v/>
      </c>
      <c r="AY76" s="219">
        <v>5</v>
      </c>
      <c r="AZ76" s="33">
        <v>46107</v>
      </c>
    </row>
    <row r="77" spans="1:52" ht="20.149999999999999" customHeight="1" x14ac:dyDescent="0.35">
      <c r="A77" s="21">
        <v>46094</v>
      </c>
      <c r="B77" s="22" t="str">
        <f t="shared" si="2"/>
        <v>Friday</v>
      </c>
      <c r="C77" s="23" t="s">
        <v>106</v>
      </c>
      <c r="D77" s="24" cm="1">
        <f t="array" aca="1" ref="D77" ca="1">IFERROR(INDIRECT(C77),"")</f>
        <v>39.200000000000003</v>
      </c>
      <c r="E77" s="26">
        <v>30.991464000000001</v>
      </c>
      <c r="F77" s="26">
        <v>30.991464000000001</v>
      </c>
      <c r="G77" s="27">
        <f ca="1">IFERROR((Table1[[#This Row],[Plan]]/Table1[[#This Row],[Hours Used]])/(Table1[[#This Row],[SOC (TPD)]]/24),"")</f>
        <v>0.79059857142857137</v>
      </c>
      <c r="H77" s="27">
        <f ca="1">IFERROR((Table1[[#This Row],[Volume Delivered (T)]]/Table1[[#This Row],[Hours Used]])/(Table1[[#This Row],[SOC (TPD)]]/24),"")</f>
        <v>0.79059857142857137</v>
      </c>
      <c r="I77" s="28"/>
      <c r="J77" s="28"/>
      <c r="K77" s="28"/>
      <c r="L77" s="25">
        <v>1.5</v>
      </c>
      <c r="M77" s="29">
        <v>3.9E-2</v>
      </c>
      <c r="N77" s="84"/>
      <c r="O77" s="25"/>
      <c r="P77" s="25"/>
      <c r="Q77" s="70"/>
      <c r="R77" s="71"/>
      <c r="S77" s="30">
        <f>IF(Table1[[#This Row],[SKU]]="",0,24-Table1[[#This Row],[Legal Non-Operating Time]]-Table1[[#This Row],[No Demand Time]]-Table1[[#This Row],[Force Majeure]])</f>
        <v>24</v>
      </c>
      <c r="T77" s="26"/>
      <c r="U77" s="26">
        <v>1</v>
      </c>
      <c r="V77" s="26"/>
      <c r="W77" s="26"/>
      <c r="X77" s="26"/>
      <c r="Y77" s="26"/>
      <c r="Z77" s="26"/>
      <c r="AA77" s="30">
        <f>Table1[[#This Row],[Hours Used]]-SUM(Table1[[#This Row],[Planned Maintenance]:[Start and Finish Production]])</f>
        <v>23</v>
      </c>
      <c r="AB77" s="26">
        <v>0.5</v>
      </c>
      <c r="AC77" s="26">
        <f>70/60</f>
        <v>1.1666666666666667</v>
      </c>
      <c r="AD77" s="26"/>
      <c r="AE77" s="26"/>
      <c r="AF77" s="26"/>
      <c r="AG77" s="26"/>
      <c r="AH77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1.440600272108842</v>
      </c>
      <c r="AI77" s="24">
        <f ca="1">IFERROR(IF(Table1[[#This Row],[SKU]]="",0,Table1[[#This Row],[Quality Loss (T)]]/(Table1[[#This Row],[SOC (TPD)]]/24)),"")</f>
        <v>0.91836734693877542</v>
      </c>
      <c r="AJ77" s="31">
        <f ca="1">IFERROR(IF(Table1[[#This Row],[SKU]]="",0,Table1[[#This Row],[Volume Delivered (T)]]/(Table1[[#This Row],[SOC (TPD)]]/24)),"")</f>
        <v>18.974365714285714</v>
      </c>
      <c r="AK77" s="31">
        <f ca="1">IFERROR(Table1[[#This Row],[Operating Time]]/Table1[[#This Row],[PRODUCTION HOURS]],"")</f>
        <v>0.82497242236024848</v>
      </c>
      <c r="AL77" s="32">
        <v>100</v>
      </c>
      <c r="AM77" s="32" t="s">
        <v>107</v>
      </c>
      <c r="AN77" s="32" t="s">
        <v>107</v>
      </c>
      <c r="AO77" s="32">
        <v>0</v>
      </c>
      <c r="AP77" s="32">
        <v>0</v>
      </c>
      <c r="AQ77" s="32"/>
      <c r="AR77" s="32" t="str">
        <f>IFERROR(SUMIFS(#REF!,#REF!,'Data Sheet'!A:A,#REF!,"Samridhi Perk Line")/SUMIFS(#REF!,#REF!,'Data Sheet'!A:A,#REF!,"Samridhi Perk Line"),"")</f>
        <v/>
      </c>
      <c r="AS77" s="32"/>
      <c r="AT77" s="32"/>
      <c r="AU77" s="211">
        <f>IFERROR(VLOOKUP(Table1[[#This Row],[Date]],'Overweight Data'!A75:G1170,6,FALSE),"")</f>
        <v>3.6022099447513757E-2</v>
      </c>
      <c r="AV77" s="221">
        <f ca="1">IFERROR(
   IF(
      OR(Table1[[#This Row],[Operating Time]]=0, (Table1[[#This Row],[Operating Time]]/IF(AC77&lt;=1,AC77+1,AC77))*60=0),
      1,
      ((Table1[[#This Row],[Operating Time]])/IF(AC77&lt;=1,AC77+1,AC77))*60
   ),
"_")</f>
        <v>975.82452244897945</v>
      </c>
      <c r="AW77" s="221">
        <f>COUNTIFS('Downtime Data'!A:A,Table1[[#This Row],[Date]])</f>
        <v>2</v>
      </c>
      <c r="AX77" s="219">
        <f>IFERROR((SUM(Table1[[#This Row],[Minor Stoppages]:[Material Shortages]])/Table1[[#This Row],['# Stops]])*60,"")</f>
        <v>50</v>
      </c>
      <c r="AY77" s="219">
        <v>5</v>
      </c>
      <c r="AZ77" s="33">
        <v>46107</v>
      </c>
    </row>
    <row r="78" spans="1:52" ht="20.149999999999999" customHeight="1" x14ac:dyDescent="0.35">
      <c r="A78" s="21">
        <v>46095</v>
      </c>
      <c r="B78" s="22" t="str">
        <f t="shared" si="2"/>
        <v>Saturday</v>
      </c>
      <c r="C78" s="23" t="s">
        <v>108</v>
      </c>
      <c r="D78" s="24" cm="1">
        <f t="array" aca="1" ref="D78" ca="1">IFERROR(INDIRECT(C78),"")</f>
        <v>34.200000000000003</v>
      </c>
      <c r="E78" s="26">
        <v>11.530000000000001</v>
      </c>
      <c r="F78" s="26">
        <f>10.38+1.15</f>
        <v>11.530000000000001</v>
      </c>
      <c r="G78" s="27">
        <f ca="1">IFERROR((Table1[[#This Row],[Plan]]/Table1[[#This Row],[Hours Used]])/(Table1[[#This Row],[SOC (TPD)]]/24),"")</f>
        <v>0.33713450292397662</v>
      </c>
      <c r="H78" s="27">
        <f ca="1">IFERROR((Table1[[#This Row],[Volume Delivered (T)]]/Table1[[#This Row],[Hours Used]])/(Table1[[#This Row],[SOC (TPD)]]/24),"")</f>
        <v>0.33713450292397662</v>
      </c>
      <c r="I78" s="28"/>
      <c r="J78" s="28"/>
      <c r="K78" s="28"/>
      <c r="L78" s="25">
        <v>1.3</v>
      </c>
      <c r="M78" s="29">
        <v>3.9E-2</v>
      </c>
      <c r="N78" s="84"/>
      <c r="O78" s="25"/>
      <c r="P78" s="25"/>
      <c r="Q78" s="70"/>
      <c r="R78" s="71"/>
      <c r="S78" s="30">
        <f>IF(Table1[[#This Row],[SKU]]="",0,24-Table1[[#This Row],[Legal Non-Operating Time]]-Table1[[#This Row],[No Demand Time]]-Table1[[#This Row],[Force Majeure]])</f>
        <v>24</v>
      </c>
      <c r="T78" s="26"/>
      <c r="U78" s="26"/>
      <c r="V78" s="26">
        <v>12</v>
      </c>
      <c r="W78" s="26"/>
      <c r="X78" s="26"/>
      <c r="Y78" s="26"/>
      <c r="Z78" s="26"/>
      <c r="AA78" s="30">
        <f>Table1[[#This Row],[Hours Used]]-SUM(Table1[[#This Row],[Planned Maintenance]:[Start and Finish Production]])</f>
        <v>12</v>
      </c>
      <c r="AB78" s="26"/>
      <c r="AC78" s="26">
        <v>2</v>
      </c>
      <c r="AD78" s="26">
        <v>1</v>
      </c>
      <c r="AE78" s="26"/>
      <c r="AF78" s="26"/>
      <c r="AG78" s="26"/>
      <c r="AH78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-3.5087719298250164E-3</v>
      </c>
      <c r="AI78" s="24">
        <f ca="1">IFERROR(IF(Table1[[#This Row],[SKU]]="",0,Table1[[#This Row],[Quality Loss (T)]]/(Table1[[#This Row],[SOC (TPD)]]/24)),"")</f>
        <v>0.91228070175438591</v>
      </c>
      <c r="AJ78" s="31">
        <f ca="1">IFERROR(IF(Table1[[#This Row],[SKU]]="",0,Table1[[#This Row],[Volume Delivered (T)]]/(Table1[[#This Row],[SOC (TPD)]]/24)),"")</f>
        <v>8.0912280701754398</v>
      </c>
      <c r="AK78" s="31">
        <f ca="1">IFERROR(Table1[[#This Row],[Operating Time]]/Table1[[#This Row],[PRODUCTION HOURS]],"")</f>
        <v>0.67426900584795335</v>
      </c>
      <c r="AL78" s="32">
        <v>71</v>
      </c>
      <c r="AM78" s="32" t="s">
        <v>107</v>
      </c>
      <c r="AN78" s="32" t="s">
        <v>107</v>
      </c>
      <c r="AO78" s="32">
        <v>0</v>
      </c>
      <c r="AP78" s="32">
        <v>0</v>
      </c>
      <c r="AQ78" s="32"/>
      <c r="AR78" s="32" t="str">
        <f>IFERROR(SUMIFS(#REF!,#REF!,'Data Sheet'!A:A,#REF!,"Samridhi Perk Line")/SUMIFS(#REF!,#REF!,'Data Sheet'!A:A,#REF!,"Samridhi Perk Line"),"")</f>
        <v/>
      </c>
      <c r="AS78" s="32"/>
      <c r="AT78" s="32"/>
      <c r="AU78" s="211" t="str">
        <f>IFERROR(VLOOKUP(Table1[[#This Row],[Date]],'Overweight Data'!A76:G1171,6,FALSE),"")</f>
        <v/>
      </c>
      <c r="AV78" s="221">
        <f ca="1">IFERROR(
   IF(
      OR(Table1[[#This Row],[Operating Time]]=0, (Table1[[#This Row],[Operating Time]]/IF(AC78&lt;=1,AC78+1,AC78))*60=0),
      1,
      ((Table1[[#This Row],[Operating Time]])/IF(AC78&lt;=1,AC78+1,AC78))*60
   ),
"_")</f>
        <v>242.73684210526318</v>
      </c>
      <c r="AW78" s="221">
        <f>COUNTIFS('Downtime Data'!A:A,Table1[[#This Row],[Date]])</f>
        <v>1</v>
      </c>
      <c r="AX78" s="219">
        <f>IFERROR((SUM(Table1[[#This Row],[Minor Stoppages]:[Material Shortages]])/Table1[[#This Row],['# Stops]])*60,"")</f>
        <v>180</v>
      </c>
      <c r="AY78" s="219"/>
      <c r="AZ78" s="33">
        <v>46107</v>
      </c>
    </row>
    <row r="79" spans="1:52" ht="20.149999999999999" customHeight="1" x14ac:dyDescent="0.35">
      <c r="A79" s="21">
        <v>46096</v>
      </c>
      <c r="B79" s="22" t="str">
        <f t="shared" si="2"/>
        <v>Sunday</v>
      </c>
      <c r="C79" s="23" t="s">
        <v>108</v>
      </c>
      <c r="D79" s="24" cm="1">
        <f t="array" aca="1" ref="D79" ca="1">IFERROR(INDIRECT(C79),"")</f>
        <v>34.200000000000003</v>
      </c>
      <c r="E79" s="26">
        <v>30.7</v>
      </c>
      <c r="F79" s="26">
        <v>30.7</v>
      </c>
      <c r="G79" s="27">
        <f ca="1">IFERROR((Table1[[#This Row],[Plan]]/Table1[[#This Row],[Hours Used]])/(Table1[[#This Row],[SOC (TPD)]]/24),"")</f>
        <v>0.89766081871345016</v>
      </c>
      <c r="H79" s="27">
        <f ca="1">IFERROR((Table1[[#This Row],[Volume Delivered (T)]]/Table1[[#This Row],[Hours Used]])/(Table1[[#This Row],[SOC (TPD)]]/24),"")</f>
        <v>0.89766081871345016</v>
      </c>
      <c r="I79" s="28"/>
      <c r="J79" s="28"/>
      <c r="K79" s="28"/>
      <c r="L79" s="25">
        <f>0.53+1.26+0.17+0.42-0.26-0.58</f>
        <v>1.54</v>
      </c>
      <c r="M79" s="29">
        <v>3.9E-2</v>
      </c>
      <c r="N79" s="84"/>
      <c r="O79" s="25"/>
      <c r="P79" s="25"/>
      <c r="Q79" s="70"/>
      <c r="R79" s="71"/>
      <c r="S79" s="30">
        <f>IF(Table1[[#This Row],[SKU]]="",0,24-Table1[[#This Row],[Legal Non-Operating Time]]-Table1[[#This Row],[No Demand Time]]-Table1[[#This Row],[Force Majeure]])</f>
        <v>24</v>
      </c>
      <c r="T79" s="26"/>
      <c r="U79" s="26"/>
      <c r="V79" s="26"/>
      <c r="W79" s="26"/>
      <c r="X79" s="26"/>
      <c r="Y79" s="26"/>
      <c r="Z79" s="26"/>
      <c r="AA79" s="30">
        <f>Table1[[#This Row],[Hours Used]]-SUM(Table1[[#This Row],[Planned Maintenance]:[Start and Finish Production]])</f>
        <v>24</v>
      </c>
      <c r="AB79" s="26"/>
      <c r="AC79" s="26">
        <v>1.5</v>
      </c>
      <c r="AD79" s="26"/>
      <c r="AE79" s="26"/>
      <c r="AF79" s="26"/>
      <c r="AG79" s="26"/>
      <c r="AH79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-0.12456140350877121</v>
      </c>
      <c r="AI79" s="24">
        <f ca="1">IFERROR(IF(Table1[[#This Row],[SKU]]="",0,Table1[[#This Row],[Quality Loss (T)]]/(Table1[[#This Row],[SOC (TPD)]]/24)),"")</f>
        <v>1.0807017543859649</v>
      </c>
      <c r="AJ79" s="31">
        <f ca="1">IFERROR(IF(Table1[[#This Row],[SKU]]="",0,Table1[[#This Row],[Volume Delivered (T)]]/(Table1[[#This Row],[SOC (TPD)]]/24)),"")</f>
        <v>21.543859649122805</v>
      </c>
      <c r="AK79" s="31">
        <f ca="1">IFERROR(Table1[[#This Row],[Operating Time]]/Table1[[#This Row],[PRODUCTION HOURS]],"")</f>
        <v>0.89766081871345016</v>
      </c>
      <c r="AL79" s="32">
        <v>66</v>
      </c>
      <c r="AM79" s="32" t="s">
        <v>105</v>
      </c>
      <c r="AN79" s="32" t="s">
        <v>105</v>
      </c>
      <c r="AO79" s="32">
        <v>0</v>
      </c>
      <c r="AP79" s="32">
        <v>0</v>
      </c>
      <c r="AQ79" s="32"/>
      <c r="AR79" s="32" t="str">
        <f>IFERROR(SUMIFS(#REF!,#REF!,'Data Sheet'!A:A,#REF!,"Samridhi Perk Line")/SUMIFS(#REF!,#REF!,'Data Sheet'!A:A,#REF!,"Samridhi Perk Line"),"")</f>
        <v/>
      </c>
      <c r="AS79" s="32"/>
      <c r="AT79" s="32"/>
      <c r="AU79" s="211">
        <f>IFERROR(VLOOKUP(Table1[[#This Row],[Date]],'Overweight Data'!A77:G1172,6,FALSE),"")</f>
        <v>2.593531468531475E-2</v>
      </c>
      <c r="AV79" s="221">
        <f ca="1">IFERROR(
   IF(
      OR(Table1[[#This Row],[Operating Time]]=0, (Table1[[#This Row],[Operating Time]]/IF(AC79&lt;=1,AC79+1,AC79))*60=0),
      1,
      ((Table1[[#This Row],[Operating Time]])/IF(AC79&lt;=1,AC79+1,AC79))*60
   ),
"_")</f>
        <v>861.7543859649121</v>
      </c>
      <c r="AW79" s="221">
        <f>COUNTIFS('Downtime Data'!A:A,Table1[[#This Row],[Date]])</f>
        <v>1</v>
      </c>
      <c r="AX79" s="219">
        <f>IFERROR((SUM(Table1[[#This Row],[Minor Stoppages]:[Material Shortages]])/Table1[[#This Row],['# Stops]])*60,"")</f>
        <v>90</v>
      </c>
      <c r="AY79" s="219"/>
      <c r="AZ79" s="33">
        <v>46107</v>
      </c>
    </row>
    <row r="80" spans="1:52" ht="20.149999999999999" customHeight="1" x14ac:dyDescent="0.35">
      <c r="A80" s="21">
        <v>46097</v>
      </c>
      <c r="B80" s="22" t="str">
        <f t="shared" si="2"/>
        <v>Monday</v>
      </c>
      <c r="C80" s="23" t="s">
        <v>108</v>
      </c>
      <c r="D80" s="24" cm="1">
        <f t="array" aca="1" ref="D80" ca="1">IFERROR(INDIRECT(C80),"")</f>
        <v>34.200000000000003</v>
      </c>
      <c r="E80" s="26">
        <v>26.2</v>
      </c>
      <c r="F80" s="26">
        <v>26.2</v>
      </c>
      <c r="G80" s="27">
        <f ca="1">IFERROR((Table1[[#This Row],[Plan]]/Table1[[#This Row],[Hours Used]])/(Table1[[#This Row],[SOC (TPD)]]/24),"")</f>
        <v>0.76608187134502914</v>
      </c>
      <c r="H80" s="27">
        <f ca="1">IFERROR((Table1[[#This Row],[Volume Delivered (T)]]/Table1[[#This Row],[Hours Used]])/(Table1[[#This Row],[SOC (TPD)]]/24),"")</f>
        <v>0.76608187134502914</v>
      </c>
      <c r="I80" s="28"/>
      <c r="J80" s="28"/>
      <c r="K80" s="28"/>
      <c r="L80" s="25">
        <v>1.5</v>
      </c>
      <c r="M80" s="29">
        <v>3.9E-2</v>
      </c>
      <c r="N80" s="84">
        <v>26</v>
      </c>
      <c r="O80" s="25"/>
      <c r="P80" s="25">
        <v>4</v>
      </c>
      <c r="Q80" s="70"/>
      <c r="R80" s="71"/>
      <c r="S80" s="30">
        <f>IF(Table1[[#This Row],[SKU]]="",0,24-Table1[[#This Row],[Legal Non-Operating Time]]-Table1[[#This Row],[No Demand Time]]-Table1[[#This Row],[Force Majeure]])</f>
        <v>24</v>
      </c>
      <c r="T80" s="26"/>
      <c r="U80" s="26">
        <v>1</v>
      </c>
      <c r="V80" s="26"/>
      <c r="W80" s="26"/>
      <c r="X80" s="26"/>
      <c r="Y80" s="26"/>
      <c r="Z80" s="26"/>
      <c r="AA80" s="30">
        <f>Table1[[#This Row],[Hours Used]]-SUM(Table1[[#This Row],[Planned Maintenance]:[Start and Finish Production]])</f>
        <v>23</v>
      </c>
      <c r="AB80" s="26">
        <v>0.5</v>
      </c>
      <c r="AC80" s="26">
        <v>1</v>
      </c>
      <c r="AD80" s="26">
        <v>0.33333333333333331</v>
      </c>
      <c r="AE80" s="26"/>
      <c r="AF80" s="26">
        <v>0.75</v>
      </c>
      <c r="AG80" s="26"/>
      <c r="AH80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0.97807017543859587</v>
      </c>
      <c r="AI80" s="24">
        <f ca="1">IFERROR(IF(Table1[[#This Row],[SKU]]="",0,Table1[[#This Row],[Quality Loss (T)]]/(Table1[[#This Row],[SOC (TPD)]]/24)),"")</f>
        <v>1.0526315789473684</v>
      </c>
      <c r="AJ80" s="31">
        <f ca="1">IFERROR(IF(Table1[[#This Row],[SKU]]="",0,Table1[[#This Row],[Volume Delivered (T)]]/(Table1[[#This Row],[SOC (TPD)]]/24)),"")</f>
        <v>18.385964912280702</v>
      </c>
      <c r="AK80" s="31">
        <f ca="1">IFERROR(Table1[[#This Row],[Operating Time]]/Table1[[#This Row],[PRODUCTION HOURS]],"")</f>
        <v>0.7993897787948131</v>
      </c>
      <c r="AL80" s="32">
        <v>78</v>
      </c>
      <c r="AM80" s="32" t="s">
        <v>107</v>
      </c>
      <c r="AN80" s="32" t="s">
        <v>107</v>
      </c>
      <c r="AO80" s="32">
        <v>0</v>
      </c>
      <c r="AP80" s="32">
        <v>0</v>
      </c>
      <c r="AQ80" s="32"/>
      <c r="AR80" s="32" t="str">
        <f>IFERROR(SUMIFS(#REF!,#REF!,'Data Sheet'!A:A,#REF!,"Samridhi Perk Line")/SUMIFS(#REF!,#REF!,'Data Sheet'!A:A,#REF!,"Samridhi Perk Line"),"")</f>
        <v/>
      </c>
      <c r="AS80" s="32"/>
      <c r="AT80" s="32"/>
      <c r="AU80" s="211">
        <f>IFERROR(VLOOKUP(Table1[[#This Row],[Date]],'Overweight Data'!A78:G1173,6,FALSE),"")</f>
        <v>2.0052447552447603E-2</v>
      </c>
      <c r="AV80" s="221">
        <f ca="1">IFERROR(
   IF(
      OR(Table1[[#This Row],[Operating Time]]=0, (Table1[[#This Row],[Operating Time]]/IF(AC80&lt;=1,AC80+1,AC80))*60=0),
      1,
      ((Table1[[#This Row],[Operating Time]])/IF(AC80&lt;=1,AC80+1,AC80))*60
   ),
"_")</f>
        <v>551.57894736842104</v>
      </c>
      <c r="AW80" s="221">
        <f>COUNTIFS('Downtime Data'!A:A,Table1[[#This Row],[Date]])</f>
        <v>2</v>
      </c>
      <c r="AX80" s="219">
        <f>IFERROR((SUM(Table1[[#This Row],[Minor Stoppages]:[Material Shortages]])/Table1[[#This Row],['# Stops]])*60,"")</f>
        <v>77.499999999999986</v>
      </c>
      <c r="AY80" s="219"/>
      <c r="AZ80" s="33">
        <v>46107</v>
      </c>
    </row>
    <row r="81" spans="1:52" ht="20.149999999999999" customHeight="1" x14ac:dyDescent="0.35">
      <c r="A81" s="21">
        <v>46098</v>
      </c>
      <c r="B81" s="22" t="str">
        <f t="shared" si="2"/>
        <v>Tuesday</v>
      </c>
      <c r="C81" s="23" t="s">
        <v>108</v>
      </c>
      <c r="D81" s="24" cm="1">
        <f t="array" aca="1" ref="D81" ca="1">IFERROR(INDIRECT(C81),"")</f>
        <v>34.200000000000003</v>
      </c>
      <c r="E81" s="26">
        <v>27.54</v>
      </c>
      <c r="F81" s="26">
        <v>27.54</v>
      </c>
      <c r="G81" s="27">
        <f ca="1">IFERROR((Table1[[#This Row],[Plan]]/Table1[[#This Row],[Hours Used]])/(Table1[[#This Row],[SOC (TPD)]]/24),"")</f>
        <v>0.80526315789473679</v>
      </c>
      <c r="H81" s="27">
        <f ca="1">IFERROR((Table1[[#This Row],[Volume Delivered (T)]]/Table1[[#This Row],[Hours Used]])/(Table1[[#This Row],[SOC (TPD)]]/24),"")</f>
        <v>0.80526315789473679</v>
      </c>
      <c r="I81" s="28"/>
      <c r="J81" s="28"/>
      <c r="K81" s="28"/>
      <c r="L81" s="25">
        <f>0.5+1.4+0.2+0.3-0.2-0.5</f>
        <v>1.6999999999999997</v>
      </c>
      <c r="M81" s="29">
        <v>3.9E-2</v>
      </c>
      <c r="N81" s="84"/>
      <c r="O81" s="25"/>
      <c r="P81" s="25"/>
      <c r="Q81" s="70"/>
      <c r="R81" s="71"/>
      <c r="S81" s="30">
        <f>IF(Table1[[#This Row],[SKU]]="",0,24-Table1[[#This Row],[Legal Non-Operating Time]]-Table1[[#This Row],[No Demand Time]]-Table1[[#This Row],[Force Majeure]])</f>
        <v>24</v>
      </c>
      <c r="T81" s="26"/>
      <c r="U81" s="26">
        <v>1</v>
      </c>
      <c r="V81" s="26"/>
      <c r="W81" s="26"/>
      <c r="X81" s="26"/>
      <c r="Y81" s="26"/>
      <c r="Z81" s="26"/>
      <c r="AA81" s="30">
        <f>Table1[[#This Row],[Hours Used]]-SUM(Table1[[#This Row],[Planned Maintenance]:[Start and Finish Production]])</f>
        <v>23</v>
      </c>
      <c r="AB81" s="26"/>
      <c r="AC81" s="26">
        <v>2.4500000000000002</v>
      </c>
      <c r="AD81" s="26"/>
      <c r="AE81" s="26"/>
      <c r="AF81" s="26"/>
      <c r="AG81" s="26"/>
      <c r="AH81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3.0701754385969338E-2</v>
      </c>
      <c r="AI81" s="24">
        <f ca="1">IFERROR(IF(Table1[[#This Row],[SKU]]="",0,Table1[[#This Row],[Quality Loss (T)]]/(Table1[[#This Row],[SOC (TPD)]]/24)),"")</f>
        <v>1.1929824561403506</v>
      </c>
      <c r="AJ81" s="31">
        <f ca="1">IFERROR(IF(Table1[[#This Row],[SKU]]="",0,Table1[[#This Row],[Volume Delivered (T)]]/(Table1[[#This Row],[SOC (TPD)]]/24)),"")</f>
        <v>19.326315789473682</v>
      </c>
      <c r="AK81" s="31">
        <f ca="1">IFERROR(Table1[[#This Row],[Operating Time]]/Table1[[#This Row],[PRODUCTION HOURS]],"")</f>
        <v>0.84027459954233397</v>
      </c>
      <c r="AL81" s="32">
        <v>88</v>
      </c>
      <c r="AM81" s="32" t="s">
        <v>107</v>
      </c>
      <c r="AN81" s="32" t="s">
        <v>105</v>
      </c>
      <c r="AO81" s="32">
        <v>0</v>
      </c>
      <c r="AP81" s="32">
        <v>0</v>
      </c>
      <c r="AQ81" s="32">
        <v>1</v>
      </c>
      <c r="AR81" s="32" t="str">
        <f>IFERROR(SUMIFS(#REF!,#REF!,'Data Sheet'!A:A,#REF!,"Samridhi Perk Line")/SUMIFS(#REF!,#REF!,'Data Sheet'!A:A,#REF!,"Samridhi Perk Line"),"")</f>
        <v/>
      </c>
      <c r="AS81" s="32"/>
      <c r="AT81" s="32"/>
      <c r="AU81" s="211">
        <f>IFERROR(VLOOKUP(Table1[[#This Row],[Date]],'Overweight Data'!A79:G1174,6,FALSE),"")</f>
        <v>2.7638121546961311E-2</v>
      </c>
      <c r="AV81" s="221">
        <f ca="1">IFERROR(
   IF(
      OR(Table1[[#This Row],[Operating Time]]=0, (Table1[[#This Row],[Operating Time]]/IF(AC81&lt;=1,AC81+1,AC81))*60=0),
      1,
      ((Table1[[#This Row],[Operating Time]])/IF(AC81&lt;=1,AC81+1,AC81))*60
   ),
"_")</f>
        <v>473.29752953813096</v>
      </c>
      <c r="AW81" s="221">
        <f>COUNTIFS('Downtime Data'!A:A,Table1[[#This Row],[Date]])</f>
        <v>1</v>
      </c>
      <c r="AX81" s="219">
        <f>IFERROR((SUM(Table1[[#This Row],[Minor Stoppages]:[Material Shortages]])/Table1[[#This Row],['# Stops]])*60,"")</f>
        <v>147</v>
      </c>
      <c r="AY81" s="221"/>
      <c r="AZ81" s="33">
        <v>46107</v>
      </c>
    </row>
    <row r="82" spans="1:52" ht="20.149999999999999" customHeight="1" x14ac:dyDescent="0.35">
      <c r="A82" s="21">
        <v>46099</v>
      </c>
      <c r="B82" s="22" t="str">
        <f t="shared" si="2"/>
        <v>Wednesday</v>
      </c>
      <c r="C82" s="23" t="s">
        <v>108</v>
      </c>
      <c r="D82" s="24" cm="1">
        <f t="array" aca="1" ref="D82" ca="1">IFERROR(INDIRECT(C82),"")</f>
        <v>34.200000000000003</v>
      </c>
      <c r="E82" s="26">
        <v>30.2</v>
      </c>
      <c r="F82" s="26">
        <v>30.2</v>
      </c>
      <c r="G82" s="27">
        <f ca="1">IFERROR((Table1[[#This Row],[Plan]]/Table1[[#This Row],[Hours Used]])/(Table1[[#This Row],[SOC (TPD)]]/24),"")</f>
        <v>0.88304093567251463</v>
      </c>
      <c r="H82" s="27">
        <f ca="1">IFERROR((Table1[[#This Row],[Volume Delivered (T)]]/Table1[[#This Row],[Hours Used]])/(Table1[[#This Row],[SOC (TPD)]]/24),"")</f>
        <v>0.88304093567251463</v>
      </c>
      <c r="I82" s="28"/>
      <c r="J82" s="28"/>
      <c r="K82" s="28"/>
      <c r="L82" s="25">
        <f>0.46+1.5+0.18+0.36-0.24-0.68</f>
        <v>1.5799999999999996</v>
      </c>
      <c r="M82" s="29">
        <v>3.9E-2</v>
      </c>
      <c r="N82" s="84">
        <v>32</v>
      </c>
      <c r="O82" s="25"/>
      <c r="P82" s="25">
        <v>3</v>
      </c>
      <c r="Q82" s="70"/>
      <c r="R82" s="71"/>
      <c r="S82" s="30">
        <f>IF(Table1[[#This Row],[SKU]]="",0,24-Table1[[#This Row],[Legal Non-Operating Time]]-Table1[[#This Row],[No Demand Time]]-Table1[[#This Row],[Force Majeure]])</f>
        <v>24</v>
      </c>
      <c r="T82" s="26"/>
      <c r="U82" s="26">
        <v>0.5</v>
      </c>
      <c r="V82" s="26"/>
      <c r="W82" s="26"/>
      <c r="X82" s="26"/>
      <c r="Y82" s="26"/>
      <c r="Z82" s="26"/>
      <c r="AA82" s="30">
        <f>Table1[[#This Row],[Hours Used]]-SUM(Table1[[#This Row],[Planned Maintenance]:[Start and Finish Production]])</f>
        <v>23.5</v>
      </c>
      <c r="AB82" s="26"/>
      <c r="AC82" s="26">
        <v>0.3</v>
      </c>
      <c r="AD82" s="26">
        <v>1</v>
      </c>
      <c r="AE82" s="26"/>
      <c r="AF82" s="26"/>
      <c r="AG82" s="26"/>
      <c r="AH82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-0.10175438596490949</v>
      </c>
      <c r="AI82" s="24">
        <f ca="1">IFERROR(IF(Table1[[#This Row],[SKU]]="",0,Table1[[#This Row],[Quality Loss (T)]]/(Table1[[#This Row],[SOC (TPD)]]/24)),"")</f>
        <v>1.1087719298245611</v>
      </c>
      <c r="AJ82" s="31">
        <f ca="1">IFERROR(IF(Table1[[#This Row],[SKU]]="",0,Table1[[#This Row],[Volume Delivered (T)]]/(Table1[[#This Row],[SOC (TPD)]]/24)),"")</f>
        <v>21.192982456140349</v>
      </c>
      <c r="AK82" s="31">
        <f ca="1">IFERROR(Table1[[#This Row],[Operating Time]]/Table1[[#This Row],[PRODUCTION HOURS]],"")</f>
        <v>0.90182904068682335</v>
      </c>
      <c r="AL82" s="32">
        <v>89</v>
      </c>
      <c r="AM82" s="32" t="s">
        <v>107</v>
      </c>
      <c r="AN82" s="32" t="s">
        <v>107</v>
      </c>
      <c r="AO82" s="32">
        <v>0</v>
      </c>
      <c r="AP82" s="32">
        <v>0</v>
      </c>
      <c r="AQ82" s="32"/>
      <c r="AR82" s="32" t="str">
        <f>IFERROR(SUMIFS(#REF!,#REF!,'Data Sheet'!A:A,#REF!,"Samridhi Perk Line")/SUMIFS(#REF!,#REF!,'Data Sheet'!A:A,#REF!,"Samridhi Perk Line"),"")</f>
        <v/>
      </c>
      <c r="AS82" s="32">
        <v>87</v>
      </c>
      <c r="AT82" s="32"/>
      <c r="AU82" s="211">
        <f>IFERROR(VLOOKUP(Table1[[#This Row],[Date]],'Overweight Data'!A80:G1175,6,FALSE),"")</f>
        <v>2.6386946386946372E-2</v>
      </c>
      <c r="AV82" s="221">
        <f ca="1">IFERROR(
   IF(
      OR(Table1[[#This Row],[Operating Time]]=0, (Table1[[#This Row],[Operating Time]]/IF(AC82&lt;=1,AC82+1,AC82))*60=0),
      1,
      ((Table1[[#This Row],[Operating Time]])/IF(AC82&lt;=1,AC82+1,AC82))*60
   ),
"_")</f>
        <v>978.13765182186228</v>
      </c>
      <c r="AW82" s="221">
        <f>COUNTIFS('Downtime Data'!A:A,Table1[[#This Row],[Date]])</f>
        <v>3</v>
      </c>
      <c r="AX82" s="219">
        <f>IFERROR((SUM(Table1[[#This Row],[Minor Stoppages]:[Material Shortages]])/Table1[[#This Row],['# Stops]])*60,"")</f>
        <v>26</v>
      </c>
      <c r="AY82" s="219"/>
      <c r="AZ82" s="33">
        <v>46107</v>
      </c>
    </row>
    <row r="83" spans="1:52" ht="20.149999999999999" customHeight="1" x14ac:dyDescent="0.35">
      <c r="A83" s="21">
        <v>46100</v>
      </c>
      <c r="B83" s="22" t="str">
        <f t="shared" si="2"/>
        <v>Thursday</v>
      </c>
      <c r="C83" s="23" t="s">
        <v>108</v>
      </c>
      <c r="D83" s="24" cm="1">
        <f t="array" aca="1" ref="D83" ca="1">IFERROR(INDIRECT(C83),"")</f>
        <v>34.200000000000003</v>
      </c>
      <c r="E83" s="26">
        <v>28.5</v>
      </c>
      <c r="F83" s="26">
        <v>28.5</v>
      </c>
      <c r="G83" s="27">
        <f ca="1">IFERROR((Table1[[#This Row],[Plan]]/Table1[[#This Row],[Hours Used]])/(Table1[[#This Row],[SOC (TPD)]]/24),"")</f>
        <v>0.83333333333333326</v>
      </c>
      <c r="H83" s="27">
        <f ca="1">IFERROR((Table1[[#This Row],[Volume Delivered (T)]]/Table1[[#This Row],[Hours Used]])/(Table1[[#This Row],[SOC (TPD)]]/24),"")</f>
        <v>0.83333333333333326</v>
      </c>
      <c r="I83" s="28"/>
      <c r="J83" s="28"/>
      <c r="K83" s="28"/>
      <c r="L83" s="25">
        <f>0.49+1.28+0.17+0.26-0.26-0.58</f>
        <v>1.3600000000000003</v>
      </c>
      <c r="M83" s="29">
        <v>3.9E-2</v>
      </c>
      <c r="N83" s="84">
        <v>36</v>
      </c>
      <c r="O83" s="25"/>
      <c r="P83" s="25">
        <v>3</v>
      </c>
      <c r="Q83" s="70"/>
      <c r="R83" s="71"/>
      <c r="S83" s="30">
        <f>IF(Table1[[#This Row],[SKU]]="",0,24-Table1[[#This Row],[Legal Non-Operating Time]]-Table1[[#This Row],[No Demand Time]]-Table1[[#This Row],[Force Majeure]])</f>
        <v>24</v>
      </c>
      <c r="T83" s="26">
        <v>1</v>
      </c>
      <c r="U83" s="26"/>
      <c r="V83" s="26"/>
      <c r="W83" s="26"/>
      <c r="X83" s="26"/>
      <c r="Y83" s="26"/>
      <c r="Z83" s="26"/>
      <c r="AA83" s="30">
        <f>Table1[[#This Row],[Hours Used]]-SUM(Table1[[#This Row],[Planned Maintenance]:[Start and Finish Production]])</f>
        <v>23</v>
      </c>
      <c r="AB83" s="26">
        <v>0.5</v>
      </c>
      <c r="AC83" s="26">
        <v>0.25</v>
      </c>
      <c r="AD83" s="26"/>
      <c r="AE83" s="26"/>
      <c r="AF83" s="26"/>
      <c r="AG83" s="26"/>
      <c r="AH83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1.2956140350877199</v>
      </c>
      <c r="AI83" s="24">
        <f ca="1">IFERROR(IF(Table1[[#This Row],[SKU]]="",0,Table1[[#This Row],[Quality Loss (T)]]/(Table1[[#This Row],[SOC (TPD)]]/24)),"")</f>
        <v>0.95438596491228089</v>
      </c>
      <c r="AJ83" s="31">
        <f ca="1">IFERROR(IF(Table1[[#This Row],[SKU]]="",0,Table1[[#This Row],[Volume Delivered (T)]]/(Table1[[#This Row],[SOC (TPD)]]/24)),"")</f>
        <v>20</v>
      </c>
      <c r="AK83" s="31">
        <f ca="1">IFERROR(Table1[[#This Row],[Operating Time]]/Table1[[#This Row],[PRODUCTION HOURS]],"")</f>
        <v>0.86956521739130432</v>
      </c>
      <c r="AL83" s="32">
        <v>88</v>
      </c>
      <c r="AM83" s="32" t="s">
        <v>107</v>
      </c>
      <c r="AN83" s="32" t="s">
        <v>105</v>
      </c>
      <c r="AO83" s="32">
        <v>0</v>
      </c>
      <c r="AP83" s="32">
        <v>0</v>
      </c>
      <c r="AQ83" s="32"/>
      <c r="AR83" s="32" t="str">
        <f>IFERROR(SUMIFS(#REF!,#REF!,'Data Sheet'!A:A,#REF!,"Samridhi Perk Line")/SUMIFS(#REF!,#REF!,'Data Sheet'!A:A,#REF!,"Samridhi Perk Line"),"")</f>
        <v/>
      </c>
      <c r="AS83" s="32"/>
      <c r="AT83" s="32"/>
      <c r="AU83" s="211">
        <f>IFERROR(VLOOKUP(Table1[[#This Row],[Date]],'Overweight Data'!A81:G1176,6,FALSE),"")</f>
        <v>1.8420745920745996E-2</v>
      </c>
      <c r="AV83" s="221">
        <f ca="1">IFERROR(
   IF(
      OR(Table1[[#This Row],[Operating Time]]=0, (Table1[[#This Row],[Operating Time]]/IF(AC83&lt;=1,AC83+1,AC83))*60=0),
      1,
      ((Table1[[#This Row],[Operating Time]])/IF(AC83&lt;=1,AC83+1,AC83))*60
   ),
"_")</f>
        <v>960</v>
      </c>
      <c r="AW83" s="221">
        <f>COUNTIFS('Downtime Data'!A:A,Table1[[#This Row],[Date]])</f>
        <v>1</v>
      </c>
      <c r="AX83" s="219">
        <f>IFERROR((SUM(Table1[[#This Row],[Minor Stoppages]:[Material Shortages]])/Table1[[#This Row],['# Stops]])*60,"")</f>
        <v>45</v>
      </c>
      <c r="AY83" s="219"/>
      <c r="AZ83" s="33">
        <v>46107</v>
      </c>
    </row>
    <row r="84" spans="1:52" ht="20.149999999999999" customHeight="1" x14ac:dyDescent="0.35">
      <c r="A84" s="21">
        <v>46101</v>
      </c>
      <c r="B84" s="22" t="str">
        <f t="shared" si="2"/>
        <v>Friday</v>
      </c>
      <c r="C84" s="23" t="s">
        <v>108</v>
      </c>
      <c r="D84" s="24" cm="1">
        <f t="array" aca="1" ref="D84" ca="1">IFERROR(INDIRECT(C84),"")</f>
        <v>34.200000000000003</v>
      </c>
      <c r="E84" s="26">
        <v>29</v>
      </c>
      <c r="F84" s="26">
        <v>29</v>
      </c>
      <c r="G84" s="27">
        <f ca="1">IFERROR((Table1[[#This Row],[Plan]]/Table1[[#This Row],[Hours Used]])/(Table1[[#This Row],[SOC (TPD)]]/24),"")</f>
        <v>0.8479532163742689</v>
      </c>
      <c r="H84" s="27">
        <f ca="1">IFERROR((Table1[[#This Row],[Volume Delivered (T)]]/Table1[[#This Row],[Hours Used]])/(Table1[[#This Row],[SOC (TPD)]]/24),"")</f>
        <v>0.8479532163742689</v>
      </c>
      <c r="I84" s="28"/>
      <c r="J84" s="28"/>
      <c r="K84" s="28"/>
      <c r="L84" s="25">
        <f>0.49+1.46+0.16+0.82-0.2-0.6</f>
        <v>2.1299999999999994</v>
      </c>
      <c r="M84" s="29">
        <v>3.9E-2</v>
      </c>
      <c r="N84" s="84"/>
      <c r="O84" s="25"/>
      <c r="P84" s="25"/>
      <c r="Q84" s="70"/>
      <c r="R84" s="71"/>
      <c r="S84" s="30">
        <f>IF(Table1[[#This Row],[SKU]]="",0,24-Table1[[#This Row],[Legal Non-Operating Time]]-Table1[[#This Row],[No Demand Time]]-Table1[[#This Row],[Force Majeure]])</f>
        <v>24</v>
      </c>
      <c r="T84" s="26"/>
      <c r="U84" s="26"/>
      <c r="V84" s="26"/>
      <c r="W84" s="26"/>
      <c r="X84" s="26">
        <v>0.5</v>
      </c>
      <c r="Y84" s="26"/>
      <c r="Z84" s="26"/>
      <c r="AA84" s="30">
        <f>Table1[[#This Row],[Hours Used]]-SUM(Table1[[#This Row],[Planned Maintenance]:[Start and Finish Production]])</f>
        <v>23.5</v>
      </c>
      <c r="AB84" s="26"/>
      <c r="AC84" s="26"/>
      <c r="AD84" s="26">
        <v>0.25</v>
      </c>
      <c r="AE84" s="26"/>
      <c r="AF84" s="26"/>
      <c r="AG84" s="26"/>
      <c r="AH84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1.404385964912283</v>
      </c>
      <c r="AI84" s="24">
        <f ca="1">IFERROR(IF(Table1[[#This Row],[SKU]]="",0,Table1[[#This Row],[Quality Loss (T)]]/(Table1[[#This Row],[SOC (TPD)]]/24)),"")</f>
        <v>1.4947368421052627</v>
      </c>
      <c r="AJ84" s="31">
        <f ca="1">IFERROR(IF(Table1[[#This Row],[SKU]]="",0,Table1[[#This Row],[Volume Delivered (T)]]/(Table1[[#This Row],[SOC (TPD)]]/24)),"")</f>
        <v>20.350877192982455</v>
      </c>
      <c r="AK84" s="31">
        <f ca="1">IFERROR(Table1[[#This Row],[Operating Time]]/Table1[[#This Row],[PRODUCTION HOURS]],"")</f>
        <v>0.86599477416946624</v>
      </c>
      <c r="AL84" s="32">
        <v>93</v>
      </c>
      <c r="AM84" s="32" t="s">
        <v>107</v>
      </c>
      <c r="AN84" s="32" t="s">
        <v>107</v>
      </c>
      <c r="AO84" s="32">
        <v>3</v>
      </c>
      <c r="AP84" s="32">
        <v>3</v>
      </c>
      <c r="AQ84" s="32"/>
      <c r="AR84" s="32" t="str">
        <f>IFERROR(SUMIFS(#REF!,#REF!,'Data Sheet'!A:A,#REF!,"Samridhi Perk Line")/SUMIFS(#REF!,#REF!,'Data Sheet'!A:A,#REF!,"Samridhi Perk Line"),"")</f>
        <v/>
      </c>
      <c r="AS84" s="32"/>
      <c r="AT84" s="32"/>
      <c r="AU84" s="211">
        <f>IFERROR(VLOOKUP(Table1[[#This Row],[Date]],'Overweight Data'!A82:G1177,6,FALSE),"")</f>
        <v>2.5697465517907497E-2</v>
      </c>
      <c r="AV84" s="221">
        <f ca="1">IFERROR(
   IF(
      OR(Table1[[#This Row],[Operating Time]]=0, (Table1[[#This Row],[Operating Time]]/IF(AC84&lt;=1,AC84+1,AC84))*60=0),
      1,
      ((Table1[[#This Row],[Operating Time]])/IF(AC84&lt;=1,AC84+1,AC84))*60
   ),
"_")</f>
        <v>1221.0526315789473</v>
      </c>
      <c r="AW84" s="221">
        <f>COUNTIFS('Downtime Data'!A:A,Table1[[#This Row],[Date]])</f>
        <v>2</v>
      </c>
      <c r="AX84" s="219">
        <f>IFERROR((SUM(Table1[[#This Row],[Minor Stoppages]:[Material Shortages]])/Table1[[#This Row],['# Stops]])*60,"")</f>
        <v>7.5</v>
      </c>
      <c r="AY84" s="219"/>
      <c r="AZ84" s="33">
        <v>46107</v>
      </c>
    </row>
    <row r="85" spans="1:52" ht="20.149999999999999" customHeight="1" x14ac:dyDescent="0.35">
      <c r="A85" s="21">
        <v>46102</v>
      </c>
      <c r="B85" s="22" t="str">
        <f t="shared" si="2"/>
        <v>Saturday</v>
      </c>
      <c r="C85" s="23" t="s">
        <v>108</v>
      </c>
      <c r="D85" s="24" cm="1">
        <f t="array" aca="1" ref="D85" ca="1">IFERROR(INDIRECT(C85),"")</f>
        <v>34.200000000000003</v>
      </c>
      <c r="E85" s="26">
        <v>25.16</v>
      </c>
      <c r="F85" s="26">
        <v>25.16</v>
      </c>
      <c r="G85" s="27">
        <f ca="1">IFERROR((Table1[[#This Row],[Plan]]/Table1[[#This Row],[Hours Used]])/(Table1[[#This Row],[SOC (TPD)]]/24),"")</f>
        <v>0.73567251461988303</v>
      </c>
      <c r="H85" s="27">
        <f ca="1">IFERROR((Table1[[#This Row],[Volume Delivered (T)]]/Table1[[#This Row],[Hours Used]])/(Table1[[#This Row],[SOC (TPD)]]/24),"")</f>
        <v>0.73567251461988303</v>
      </c>
      <c r="I85" s="28"/>
      <c r="J85" s="28"/>
      <c r="K85" s="28"/>
      <c r="L85" s="25">
        <f>0.36+1.17+0.15+0.47-0.21-0.6</f>
        <v>1.3399999999999994</v>
      </c>
      <c r="M85" s="29">
        <v>3.9E-2</v>
      </c>
      <c r="N85" s="84"/>
      <c r="O85" s="25"/>
      <c r="P85" s="25"/>
      <c r="Q85" s="70"/>
      <c r="R85" s="71"/>
      <c r="S85" s="30">
        <f>IF(Table1[[#This Row],[SKU]]="",0,24-Table1[[#This Row],[Legal Non-Operating Time]]-Table1[[#This Row],[No Demand Time]]-Table1[[#This Row],[Force Majeure]])</f>
        <v>24</v>
      </c>
      <c r="T85" s="26"/>
      <c r="U85" s="26"/>
      <c r="V85" s="26"/>
      <c r="W85" s="26"/>
      <c r="X85" s="26"/>
      <c r="Y85" s="26"/>
      <c r="Z85" s="26"/>
      <c r="AA85" s="30">
        <f>Table1[[#This Row],[Hours Used]]-SUM(Table1[[#This Row],[Planned Maintenance]:[Start and Finish Production]])</f>
        <v>24</v>
      </c>
      <c r="AB85" s="26"/>
      <c r="AC85" s="26">
        <f>215/60</f>
        <v>3.5833333333333335</v>
      </c>
      <c r="AD85" s="26">
        <f>50/60</f>
        <v>0.83333333333333337</v>
      </c>
      <c r="AE85" s="26"/>
      <c r="AF85" s="26"/>
      <c r="AG85" s="26"/>
      <c r="AH85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0.98684210526315752</v>
      </c>
      <c r="AI85" s="24">
        <f ca="1">IFERROR(IF(Table1[[#This Row],[SKU]]="",0,Table1[[#This Row],[Quality Loss (T)]]/(Table1[[#This Row],[SOC (TPD)]]/24)),"")</f>
        <v>0.94035087719298205</v>
      </c>
      <c r="AJ85" s="31">
        <f ca="1">IFERROR(IF(Table1[[#This Row],[SKU]]="",0,Table1[[#This Row],[Volume Delivered (T)]]/(Table1[[#This Row],[SOC (TPD)]]/24)),"")</f>
        <v>17.656140350877191</v>
      </c>
      <c r="AK85" s="31">
        <f ca="1">IFERROR(Table1[[#This Row],[Operating Time]]/Table1[[#This Row],[PRODUCTION HOURS]],"")</f>
        <v>0.73567251461988292</v>
      </c>
      <c r="AL85" s="32">
        <v>95</v>
      </c>
      <c r="AM85" s="32" t="s">
        <v>107</v>
      </c>
      <c r="AN85" s="32" t="s">
        <v>107</v>
      </c>
      <c r="AO85" s="32">
        <v>0</v>
      </c>
      <c r="AP85" s="32">
        <v>0</v>
      </c>
      <c r="AQ85" s="32"/>
      <c r="AR85" s="32" t="str">
        <f>IFERROR(SUMIFS(#REF!,#REF!,'Data Sheet'!A:A,#REF!,"Samridhi Perk Line")/SUMIFS(#REF!,#REF!,'Data Sheet'!A:A,#REF!,"Samridhi Perk Line"),"")</f>
        <v/>
      </c>
      <c r="AS85" s="32"/>
      <c r="AT85" s="32"/>
      <c r="AU85" s="211">
        <f>IFERROR(VLOOKUP(Table1[[#This Row],[Date]],'Overweight Data'!A83:G1178,6,FALSE),"")</f>
        <v>3.8047882136279972E-2</v>
      </c>
      <c r="AV85" s="221">
        <f ca="1">IFERROR(
   IF(
      OR(Table1[[#This Row],[Operating Time]]=0, (Table1[[#This Row],[Operating Time]]/IF(AC85&lt;=1,AC85+1,AC85))*60=0),
      1,
      ((Table1[[#This Row],[Operating Time]])/IF(AC85&lt;=1,AC85+1,AC85))*60
   ),
"_")</f>
        <v>295.63769889840876</v>
      </c>
      <c r="AW85" s="221">
        <f>COUNTIFS('Downtime Data'!A:A,Table1[[#This Row],[Date]])</f>
        <v>2</v>
      </c>
      <c r="AX85" s="219">
        <f>IFERROR((SUM(Table1[[#This Row],[Minor Stoppages]:[Material Shortages]])/Table1[[#This Row],['# Stops]])*60,"")</f>
        <v>132.5</v>
      </c>
      <c r="AY85" s="219"/>
      <c r="AZ85" s="33">
        <v>46107</v>
      </c>
    </row>
    <row r="86" spans="1:52" ht="20.149999999999999" customHeight="1" x14ac:dyDescent="0.35">
      <c r="A86" s="21">
        <v>46103</v>
      </c>
      <c r="B86" s="22" t="str">
        <f t="shared" si="2"/>
        <v>Sunday</v>
      </c>
      <c r="C86" s="23" t="s">
        <v>108</v>
      </c>
      <c r="D86" s="24" cm="1">
        <f t="array" aca="1" ref="D86" ca="1">IFERROR(INDIRECT(C86),"")</f>
        <v>34.200000000000003</v>
      </c>
      <c r="E86" s="26">
        <v>31.88</v>
      </c>
      <c r="F86" s="26">
        <v>31.88</v>
      </c>
      <c r="G86" s="27">
        <f ca="1">IFERROR((Table1[[#This Row],[Plan]]/Table1[[#This Row],[Hours Used]])/(Table1[[#This Row],[SOC (TPD)]]/24),"")</f>
        <v>0.93216374269005853</v>
      </c>
      <c r="H86" s="27">
        <f ca="1">IFERROR((Table1[[#This Row],[Volume Delivered (T)]]/Table1[[#This Row],[Hours Used]])/(Table1[[#This Row],[SOC (TPD)]]/24),"")</f>
        <v>0.93216374269005853</v>
      </c>
      <c r="I86" s="28"/>
      <c r="J86" s="28"/>
      <c r="K86" s="28"/>
      <c r="L86" s="25">
        <v>1.3</v>
      </c>
      <c r="M86" s="29">
        <v>3.9E-2</v>
      </c>
      <c r="N86" s="84">
        <v>40</v>
      </c>
      <c r="O86" s="25"/>
      <c r="P86" s="25"/>
      <c r="Q86" s="70"/>
      <c r="R86" s="71"/>
      <c r="S86" s="30">
        <f>IF(Table1[[#This Row],[SKU]]="",0,24-Table1[[#This Row],[Legal Non-Operating Time]]-Table1[[#This Row],[No Demand Time]]-Table1[[#This Row],[Force Majeure]])</f>
        <v>24</v>
      </c>
      <c r="T86" s="26"/>
      <c r="U86" s="26"/>
      <c r="V86" s="26"/>
      <c r="W86" s="26"/>
      <c r="X86" s="26"/>
      <c r="Y86" s="26"/>
      <c r="Z86" s="26"/>
      <c r="AA86" s="30">
        <f>Table1[[#This Row],[Hours Used]]-SUM(Table1[[#This Row],[Planned Maintenance]:[Start and Finish Production]])</f>
        <v>24</v>
      </c>
      <c r="AB86" s="26"/>
      <c r="AC86" s="26"/>
      <c r="AD86" s="26"/>
      <c r="AE86" s="26"/>
      <c r="AF86" s="26"/>
      <c r="AG86" s="26"/>
      <c r="AH86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0.71578947368421098</v>
      </c>
      <c r="AI86" s="24">
        <f ca="1">IFERROR(IF(Table1[[#This Row],[SKU]]="",0,Table1[[#This Row],[Quality Loss (T)]]/(Table1[[#This Row],[SOC (TPD)]]/24)),"")</f>
        <v>0.91228070175438591</v>
      </c>
      <c r="AJ86" s="31">
        <f ca="1">IFERROR(IF(Table1[[#This Row],[SKU]]="",0,Table1[[#This Row],[Volume Delivered (T)]]/(Table1[[#This Row],[SOC (TPD)]]/24)),"")</f>
        <v>22.371929824561402</v>
      </c>
      <c r="AK86" s="31">
        <f ca="1">IFERROR(Table1[[#This Row],[Operating Time]]/Table1[[#This Row],[PRODUCTION HOURS]],"")</f>
        <v>0.93216374269005842</v>
      </c>
      <c r="AL86" s="32">
        <v>88</v>
      </c>
      <c r="AM86" s="32" t="s">
        <v>107</v>
      </c>
      <c r="AN86" s="32" t="s">
        <v>107</v>
      </c>
      <c r="AO86" s="32">
        <v>0</v>
      </c>
      <c r="AP86" s="32">
        <v>0</v>
      </c>
      <c r="AQ86" s="32"/>
      <c r="AR86" s="32" t="str">
        <f>IFERROR(SUMIFS(#REF!,#REF!,'Data Sheet'!A:A,#REF!,"Samridhi Perk Line")/SUMIFS(#REF!,#REF!,'Data Sheet'!A:A,#REF!,"Samridhi Perk Line"),"")</f>
        <v/>
      </c>
      <c r="AS86" s="32"/>
      <c r="AT86" s="32"/>
      <c r="AU86" s="211">
        <f>IFERROR(VLOOKUP(Table1[[#This Row],[Date]],'Overweight Data'!A84:G1179,6,FALSE),"")</f>
        <v>2.2357274401473323E-2</v>
      </c>
      <c r="AV86" s="221">
        <f ca="1">IFERROR(
   IF(
      OR(Table1[[#This Row],[Operating Time]]=0, (Table1[[#This Row],[Operating Time]]/IF(AC86&lt;=1,AC86+1,AC86))*60=0),
      1,
      ((Table1[[#This Row],[Operating Time]])/IF(AC86&lt;=1,AC86+1,AC86))*60
   ),
"_")</f>
        <v>1342.3157894736842</v>
      </c>
      <c r="AW86" s="221">
        <f>COUNTIFS('Downtime Data'!A:A,Table1[[#This Row],[Date]])</f>
        <v>0</v>
      </c>
      <c r="AX86" s="219" t="str">
        <f>IFERROR((SUM(Table1[[#This Row],[Minor Stoppages]:[Material Shortages]])/Table1[[#This Row],['# Stops]])*60,"")</f>
        <v/>
      </c>
      <c r="AY86" s="219"/>
      <c r="AZ86" s="33">
        <v>46107</v>
      </c>
    </row>
    <row r="87" spans="1:52" ht="20.149999999999999" customHeight="1" x14ac:dyDescent="0.35">
      <c r="A87" s="21">
        <v>46104</v>
      </c>
      <c r="B87" s="22" t="str">
        <f t="shared" si="2"/>
        <v>Monday</v>
      </c>
      <c r="C87" s="23" t="s">
        <v>110</v>
      </c>
      <c r="D87" s="24" cm="1">
        <f t="array" aca="1" ref="D87" ca="1">IFERROR(INDIRECT(C87),"")</f>
        <v>20.9</v>
      </c>
      <c r="E87" s="26">
        <v>20</v>
      </c>
      <c r="F87" s="26">
        <v>20</v>
      </c>
      <c r="G87" s="27">
        <f ca="1">IFERROR((Table1[[#This Row],[Plan]]/Table1[[#This Row],[Hours Used]])/(Table1[[#This Row],[SOC (TPD)]]/24),"")</f>
        <v>0.95693779904306231</v>
      </c>
      <c r="H87" s="27">
        <f ca="1">IFERROR((Table1[[#This Row],[Volume Delivered (T)]]/Table1[[#This Row],[Hours Used]])/(Table1[[#This Row],[SOC (TPD)]]/24),"")</f>
        <v>0.95693779904306231</v>
      </c>
      <c r="I87" s="28"/>
      <c r="J87" s="28"/>
      <c r="K87" s="28"/>
      <c r="L87" s="25"/>
      <c r="M87" s="29">
        <v>3.9E-2</v>
      </c>
      <c r="N87" s="84">
        <v>45</v>
      </c>
      <c r="O87" s="25"/>
      <c r="P87" s="25"/>
      <c r="Q87" s="70"/>
      <c r="R87" s="71"/>
      <c r="S87" s="30">
        <f>IF(Table1[[#This Row],[SKU]]="",0,24-Table1[[#This Row],[Legal Non-Operating Time]]-Table1[[#This Row],[No Demand Time]]-Table1[[#This Row],[Force Majeure]])</f>
        <v>24</v>
      </c>
      <c r="T87" s="26"/>
      <c r="U87" s="26"/>
      <c r="V87" s="26"/>
      <c r="W87" s="26">
        <v>1</v>
      </c>
      <c r="X87" s="26"/>
      <c r="Y87" s="26"/>
      <c r="Z87" s="26"/>
      <c r="AA87" s="30">
        <f>Table1[[#This Row],[Hours Used]]-SUM(Table1[[#This Row],[Planned Maintenance]:[Start and Finish Production]])</f>
        <v>23</v>
      </c>
      <c r="AB87" s="26"/>
      <c r="AC87" s="26"/>
      <c r="AD87" s="26"/>
      <c r="AE87" s="26"/>
      <c r="AF87" s="26"/>
      <c r="AG87" s="26"/>
      <c r="AH87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3.3492822966504576E-2</v>
      </c>
      <c r="AI87" s="24">
        <f ca="1">IFERROR(IF(Table1[[#This Row],[SKU]]="",0,Table1[[#This Row],[Quality Loss (T)]]/(Table1[[#This Row],[SOC (TPD)]]/24)),"")</f>
        <v>0</v>
      </c>
      <c r="AJ87" s="31">
        <f ca="1">IFERROR(IF(Table1[[#This Row],[SKU]]="",0,Table1[[#This Row],[Volume Delivered (T)]]/(Table1[[#This Row],[SOC (TPD)]]/24)),"")</f>
        <v>22.966507177033495</v>
      </c>
      <c r="AK87" s="31">
        <f ca="1">IFERROR(Table1[[#This Row],[Operating Time]]/Table1[[#This Row],[PRODUCTION HOURS]],"")</f>
        <v>0.9985437903058042</v>
      </c>
      <c r="AL87" s="32">
        <v>93</v>
      </c>
      <c r="AM87" s="32" t="s">
        <v>107</v>
      </c>
      <c r="AN87" s="32" t="s">
        <v>107</v>
      </c>
      <c r="AO87" s="32">
        <v>17</v>
      </c>
      <c r="AP87" s="32">
        <v>17</v>
      </c>
      <c r="AQ87" s="32"/>
      <c r="AR87" s="32" t="str">
        <f>IFERROR(SUMIFS(#REF!,#REF!,'Data Sheet'!A:A,#REF!,"Samridhi Perk Line")/SUMIFS(#REF!,#REF!,'Data Sheet'!A:A,#REF!,"Samridhi Perk Line"),"")</f>
        <v/>
      </c>
      <c r="AS87" s="32"/>
      <c r="AT87" s="32"/>
      <c r="AU87" s="211" t="str">
        <f>IFERROR(VLOOKUP(Table1[[#This Row],[Date]],'Overweight Data'!A85:G1180,6,FALSE),"")</f>
        <v/>
      </c>
      <c r="AV87" s="221">
        <f ca="1">IFERROR(
   IF(
      OR(Table1[[#This Row],[Operating Time]]=0, (Table1[[#This Row],[Operating Time]]/IF(AC87&lt;=1,AC87+1,AC87))*60=0),
      1,
      ((Table1[[#This Row],[Operating Time]])/IF(AC87&lt;=1,AC87+1,AC87))*60
   ),
"_")</f>
        <v>1377.9904306220096</v>
      </c>
      <c r="AW87" s="221">
        <f>COUNTIFS('Downtime Data'!A:A,Table1[[#This Row],[Date]])</f>
        <v>1</v>
      </c>
      <c r="AX87" s="219">
        <f>IFERROR((SUM(Table1[[#This Row],[Minor Stoppages]:[Material Shortages]])/Table1[[#This Row],['# Stops]])*60,"")</f>
        <v>0</v>
      </c>
      <c r="AY87" s="219"/>
      <c r="AZ87" s="33">
        <v>46107</v>
      </c>
    </row>
    <row r="88" spans="1:52" ht="20.149999999999999" customHeight="1" x14ac:dyDescent="0.35">
      <c r="A88" s="21">
        <v>46105</v>
      </c>
      <c r="B88" s="22" t="str">
        <f t="shared" si="2"/>
        <v>Tuesday</v>
      </c>
      <c r="C88" s="23" t="s">
        <v>111</v>
      </c>
      <c r="D88" s="24" cm="1">
        <f t="array" aca="1" ref="D88" ca="1">IFERROR(INDIRECT(C88),"")</f>
        <v>24.5</v>
      </c>
      <c r="E88" s="26">
        <v>20</v>
      </c>
      <c r="F88" s="26">
        <v>20</v>
      </c>
      <c r="G88" s="27">
        <f ca="1">IFERROR((Table1[[#This Row],[Plan]]/Table1[[#This Row],[Hours Used]])/(Table1[[#This Row],[SOC (TPD)]]/24),"")</f>
        <v>0.81632653061224503</v>
      </c>
      <c r="H88" s="27">
        <f ca="1">IFERROR((Table1[[#This Row],[Volume Delivered (T)]]/Table1[[#This Row],[Hours Used]])/(Table1[[#This Row],[SOC (TPD)]]/24),"")</f>
        <v>0.81632653061224503</v>
      </c>
      <c r="I88" s="28"/>
      <c r="J88" s="28"/>
      <c r="K88" s="28"/>
      <c r="L88" s="25"/>
      <c r="M88" s="29">
        <v>3.9E-2</v>
      </c>
      <c r="N88" s="84"/>
      <c r="O88" s="25"/>
      <c r="P88" s="25"/>
      <c r="Q88" s="70"/>
      <c r="R88" s="71"/>
      <c r="S88" s="30">
        <f>IF(Table1[[#This Row],[SKU]]="",0,24-Table1[[#This Row],[Legal Non-Operating Time]]-Table1[[#This Row],[No Demand Time]]-Table1[[#This Row],[Force Majeure]])</f>
        <v>24</v>
      </c>
      <c r="T88" s="26"/>
      <c r="U88" s="26"/>
      <c r="V88" s="26">
        <v>4.4000000000000004</v>
      </c>
      <c r="W88" s="26"/>
      <c r="X88" s="26"/>
      <c r="Y88" s="26"/>
      <c r="Z88" s="26"/>
      <c r="AA88" s="30">
        <f>Table1[[#This Row],[Hours Used]]-SUM(Table1[[#This Row],[Planned Maintenance]:[Start and Finish Production]])</f>
        <v>19.600000000000001</v>
      </c>
      <c r="AB88" s="26"/>
      <c r="AC88" s="26"/>
      <c r="AD88" s="26"/>
      <c r="AE88" s="26"/>
      <c r="AF88" s="26"/>
      <c r="AG88" s="26"/>
      <c r="AH88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8.163265306123435E-3</v>
      </c>
      <c r="AI88" s="24">
        <f ca="1">IFERROR(IF(Table1[[#This Row],[SKU]]="",0,Table1[[#This Row],[Quality Loss (T)]]/(Table1[[#This Row],[SOC (TPD)]]/24)),"")</f>
        <v>0</v>
      </c>
      <c r="AJ88" s="31">
        <f ca="1">IFERROR(IF(Table1[[#This Row],[SKU]]="",0,Table1[[#This Row],[Volume Delivered (T)]]/(Table1[[#This Row],[SOC (TPD)]]/24)),"")</f>
        <v>19.591836734693878</v>
      </c>
      <c r="AK88" s="31">
        <f ca="1">IFERROR(Table1[[#This Row],[Operating Time]]/Table1[[#This Row],[PRODUCTION HOURS]],"")</f>
        <v>0.9995835068721366</v>
      </c>
      <c r="AL88" s="32">
        <v>131</v>
      </c>
      <c r="AM88" s="32" t="s">
        <v>107</v>
      </c>
      <c r="AN88" s="32" t="s">
        <v>105</v>
      </c>
      <c r="AO88" s="32">
        <v>10</v>
      </c>
      <c r="AP88" s="32">
        <v>10</v>
      </c>
      <c r="AQ88" s="32"/>
      <c r="AR88" s="32" t="str">
        <f>IFERROR(SUMIFS(#REF!,#REF!,'Data Sheet'!A:A,#REF!,"Samridhi Perk Line")/SUMIFS(#REF!,#REF!,'Data Sheet'!A:A,#REF!,"Samridhi Perk Line"),"")</f>
        <v/>
      </c>
      <c r="AS88" s="32"/>
      <c r="AT88" s="32"/>
      <c r="AU88" s="211" t="str">
        <f>IFERROR(VLOOKUP(Table1[[#This Row],[Date]],'Overweight Data'!A86:G1181,6,FALSE),"")</f>
        <v/>
      </c>
      <c r="AV88" s="221">
        <f ca="1">IFERROR(
   IF(
      OR(Table1[[#This Row],[Operating Time]]=0, (Table1[[#This Row],[Operating Time]]/IF(AC88&lt;=1,AC88+1,AC88))*60=0),
      1,
      ((Table1[[#This Row],[Operating Time]])/IF(AC88&lt;=1,AC88+1,AC88))*60
   ),
"_")</f>
        <v>1175.5102040816328</v>
      </c>
      <c r="AW88" s="221">
        <f>COUNTIFS('Downtime Data'!A:A,Table1[[#This Row],[Date]])</f>
        <v>0</v>
      </c>
      <c r="AX88" s="219" t="str">
        <f>IFERROR((SUM(Table1[[#This Row],[Minor Stoppages]:[Material Shortages]])/Table1[[#This Row],['# Stops]])*60,"")</f>
        <v/>
      </c>
      <c r="AY88" s="219"/>
      <c r="AZ88" s="33">
        <v>46107</v>
      </c>
    </row>
    <row r="89" spans="1:52" ht="20.149999999999999" customHeight="1" x14ac:dyDescent="0.35">
      <c r="A89" s="21">
        <v>46106</v>
      </c>
      <c r="B89" s="22" t="str">
        <f t="shared" si="2"/>
        <v>Wednesday</v>
      </c>
      <c r="C89" s="23" t="s">
        <v>106</v>
      </c>
      <c r="D89" s="24" cm="1">
        <f t="array" aca="1" ref="D89" ca="1">IFERROR(INDIRECT(C89),"")</f>
        <v>39.200000000000003</v>
      </c>
      <c r="E89" s="26">
        <v>31.8</v>
      </c>
      <c r="F89" s="26">
        <v>31.8</v>
      </c>
      <c r="G89" s="27">
        <f ca="1">IFERROR((Table1[[#This Row],[Plan]]/Table1[[#This Row],[Hours Used]])/(Table1[[#This Row],[SOC (TPD)]]/24),"")</f>
        <v>0.81122448979591821</v>
      </c>
      <c r="H89" s="27">
        <f ca="1">IFERROR((Table1[[#This Row],[Volume Delivered (T)]]/Table1[[#This Row],[Hours Used]])/(Table1[[#This Row],[SOC (TPD)]]/24),"")</f>
        <v>0.81122448979591821</v>
      </c>
      <c r="I89" s="28"/>
      <c r="J89" s="28"/>
      <c r="K89" s="28"/>
      <c r="L89" s="25">
        <f>0.5+1.17+0.17+0.28-0.29-0.63</f>
        <v>1.2000000000000002</v>
      </c>
      <c r="M89" s="29">
        <v>3.9E-2</v>
      </c>
      <c r="N89" s="84"/>
      <c r="O89" s="25"/>
      <c r="P89" s="25"/>
      <c r="Q89" s="70"/>
      <c r="R89" s="71"/>
      <c r="S89" s="30">
        <f>IF(Table1[[#This Row],[SKU]]="",0,24-Table1[[#This Row],[Legal Non-Operating Time]]-Table1[[#This Row],[No Demand Time]]-Table1[[#This Row],[Force Majeure]])</f>
        <v>24</v>
      </c>
      <c r="T89" s="26"/>
      <c r="U89" s="26">
        <v>1</v>
      </c>
      <c r="V89" s="26"/>
      <c r="W89" s="26"/>
      <c r="X89" s="26"/>
      <c r="Y89" s="26"/>
      <c r="Z89" s="26"/>
      <c r="AA89" s="30">
        <f>Table1[[#This Row],[Hours Used]]-SUM(Table1[[#This Row],[Planned Maintenance]:[Start and Finish Production]])</f>
        <v>23</v>
      </c>
      <c r="AB89" s="26"/>
      <c r="AC89" s="26">
        <v>1</v>
      </c>
      <c r="AD89" s="26"/>
      <c r="AE89" s="26">
        <v>1</v>
      </c>
      <c r="AF89" s="26"/>
      <c r="AG89" s="26"/>
      <c r="AH89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0.79591836734693899</v>
      </c>
      <c r="AI89" s="24">
        <f ca="1">IFERROR(IF(Table1[[#This Row],[SKU]]="",0,Table1[[#This Row],[Quality Loss (T)]]/(Table1[[#This Row],[SOC (TPD)]]/24)),"")</f>
        <v>0.73469387755102045</v>
      </c>
      <c r="AJ89" s="31">
        <f ca="1">IFERROR(IF(Table1[[#This Row],[SKU]]="",0,Table1[[#This Row],[Volume Delivered (T)]]/(Table1[[#This Row],[SOC (TPD)]]/24)),"")</f>
        <v>19.469387755102041</v>
      </c>
      <c r="AK89" s="31">
        <f ca="1">IFERROR(Table1[[#This Row],[Operating Time]]/Table1[[#This Row],[PRODUCTION HOURS]],"")</f>
        <v>0.84649511978704528</v>
      </c>
      <c r="AL89" s="32">
        <v>136</v>
      </c>
      <c r="AM89" s="32" t="s">
        <v>107</v>
      </c>
      <c r="AN89" s="32" t="s">
        <v>105</v>
      </c>
      <c r="AO89" s="32">
        <v>0</v>
      </c>
      <c r="AP89" s="32">
        <v>0</v>
      </c>
      <c r="AQ89" s="32"/>
      <c r="AR89" s="32" t="str">
        <f>IFERROR(SUMIFS(#REF!,#REF!,'Data Sheet'!A:A,#REF!,"Samridhi Perk Line")/SUMIFS(#REF!,#REF!,'Data Sheet'!A:A,#REF!,"Samridhi Perk Line"),"")</f>
        <v/>
      </c>
      <c r="AS89" s="32"/>
      <c r="AT89" s="32"/>
      <c r="AU89" s="211">
        <f>IFERROR(VLOOKUP(Table1[[#This Row],[Date]],'Overweight Data'!A87:G1182,6,FALSE),"")</f>
        <v>3.4318600368324112E-2</v>
      </c>
      <c r="AV89" s="221">
        <f ca="1">IFERROR(
   IF(
      OR(Table1[[#This Row],[Operating Time]]=0, (Table1[[#This Row],[Operating Time]]/IF(AC89&lt;=1,AC89+1,AC89))*60=0),
      1,
      ((Table1[[#This Row],[Operating Time]])/IF(AC89&lt;=1,AC89+1,AC89))*60
   ),
"_")</f>
        <v>584.08163265306121</v>
      </c>
      <c r="AW89" s="221">
        <f>COUNTIFS('Downtime Data'!A:A,Table1[[#This Row],[Date]])</f>
        <v>3</v>
      </c>
      <c r="AX89" s="219">
        <f>IFERROR((SUM(Table1[[#This Row],[Minor Stoppages]:[Material Shortages]])/Table1[[#This Row],['# Stops]])*60,"")</f>
        <v>40</v>
      </c>
      <c r="AY89" s="219"/>
      <c r="AZ89" s="33">
        <v>46107</v>
      </c>
    </row>
    <row r="90" spans="1:52" ht="20.149999999999999" customHeight="1" x14ac:dyDescent="0.35">
      <c r="A90" s="21">
        <v>46107</v>
      </c>
      <c r="B90" s="22" t="str">
        <f t="shared" si="2"/>
        <v>Thursday</v>
      </c>
      <c r="C90" s="23" t="s">
        <v>106</v>
      </c>
      <c r="D90" s="24" cm="1">
        <f t="array" aca="1" ref="D90" ca="1">IFERROR(INDIRECT(C90),"")</f>
        <v>39.200000000000003</v>
      </c>
      <c r="E90" s="26">
        <v>35</v>
      </c>
      <c r="F90" s="26">
        <f>41.3-6.3</f>
        <v>35</v>
      </c>
      <c r="G90" s="27">
        <f ca="1">IFERROR((Table1[[#This Row],[Plan]]/Table1[[#This Row],[Hours Used]])/(Table1[[#This Row],[SOC (TPD)]]/24),"")</f>
        <v>0.89285714285714268</v>
      </c>
      <c r="H90" s="27">
        <f ca="1">IFERROR((Table1[[#This Row],[Volume Delivered (T)]]/Table1[[#This Row],[Hours Used]])/(Table1[[#This Row],[SOC (TPD)]]/24),"")</f>
        <v>0.89285714285714268</v>
      </c>
      <c r="I90" s="28"/>
      <c r="J90" s="28"/>
      <c r="K90" s="28"/>
      <c r="L90" s="25">
        <f>0.45+1.39+0.17+0.42-0.27-0.49</f>
        <v>1.6699999999999997</v>
      </c>
      <c r="M90" s="29">
        <v>3.9E-2</v>
      </c>
      <c r="N90" s="84"/>
      <c r="O90" s="25"/>
      <c r="P90" s="25"/>
      <c r="Q90" s="70"/>
      <c r="R90" s="71"/>
      <c r="S90" s="30">
        <f>IF(Table1[[#This Row],[SKU]]="",0,24-Table1[[#This Row],[Legal Non-Operating Time]]-Table1[[#This Row],[No Demand Time]]-Table1[[#This Row],[Force Majeure]])</f>
        <v>24</v>
      </c>
      <c r="T90" s="26"/>
      <c r="U90" s="26">
        <v>1</v>
      </c>
      <c r="V90" s="26"/>
      <c r="W90" s="26"/>
      <c r="X90" s="26"/>
      <c r="Y90" s="26"/>
      <c r="Z90" s="26"/>
      <c r="AA90" s="30">
        <f>Table1[[#This Row],[Hours Used]]-SUM(Table1[[#This Row],[Planned Maintenance]:[Start and Finish Production]])</f>
        <v>23</v>
      </c>
      <c r="AB90" s="26"/>
      <c r="AC90" s="26"/>
      <c r="AD90" s="26"/>
      <c r="AE90" s="26"/>
      <c r="AF90" s="26"/>
      <c r="AG90" s="26"/>
      <c r="AH90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0.54897959183673706</v>
      </c>
      <c r="AI90" s="24">
        <f ca="1">IFERROR(IF(Table1[[#This Row],[SKU]]="",0,Table1[[#This Row],[Quality Loss (T)]]/(Table1[[#This Row],[SOC (TPD)]]/24)),"")</f>
        <v>1.0224489795918363</v>
      </c>
      <c r="AJ90" s="31">
        <f ca="1">IFERROR(IF(Table1[[#This Row],[SKU]]="",0,Table1[[#This Row],[Volume Delivered (T)]]/(Table1[[#This Row],[SOC (TPD)]]/24)),"")</f>
        <v>21.428571428571427</v>
      </c>
      <c r="AK90" s="31">
        <f ca="1">IFERROR(Table1[[#This Row],[Operating Time]]/Table1[[#This Row],[PRODUCTION HOURS]],"")</f>
        <v>0.93167701863354035</v>
      </c>
      <c r="AL90" s="32">
        <v>131</v>
      </c>
      <c r="AM90" s="32" t="s">
        <v>107</v>
      </c>
      <c r="AN90" s="32" t="s">
        <v>107</v>
      </c>
      <c r="AO90" s="32">
        <v>0</v>
      </c>
      <c r="AP90" s="32">
        <v>0</v>
      </c>
      <c r="AQ90" s="32"/>
      <c r="AR90" s="32" t="str">
        <f>IFERROR(SUMIFS(#REF!,#REF!,'Data Sheet'!A:A,#REF!,"Samridhi Perk Line")/SUMIFS(#REF!,#REF!,'Data Sheet'!A:A,#REF!,"Samridhi Perk Line"),"")</f>
        <v/>
      </c>
      <c r="AS90" s="32"/>
      <c r="AT90" s="32"/>
      <c r="AU90" s="211">
        <f>IFERROR(VLOOKUP(Table1[[#This Row],[Date]],'Overweight Data'!A88:G1183,6,FALSE),"")</f>
        <v>2.5911602209944744E-2</v>
      </c>
      <c r="AV90" s="221">
        <f ca="1">IFERROR(
   IF(
      OR(Table1[[#This Row],[Operating Time]]=0, (Table1[[#This Row],[Operating Time]]/IF(AC90&lt;=1,AC90+1,AC90))*60=0),
      1,
      ((Table1[[#This Row],[Operating Time]])/IF(AC90&lt;=1,AC90+1,AC90))*60
   ),
"_")</f>
        <v>1285.7142857142856</v>
      </c>
      <c r="AW90" s="221">
        <f>COUNTIFS('Downtime Data'!A:A,Table1[[#This Row],[Date]])</f>
        <v>0</v>
      </c>
      <c r="AX90" s="219" t="str">
        <f>IFERROR((SUM(Table1[[#This Row],[Minor Stoppages]:[Material Shortages]])/Table1[[#This Row],['# Stops]])*60,"")</f>
        <v/>
      </c>
      <c r="AY90" s="219"/>
      <c r="AZ90" s="33">
        <v>46107</v>
      </c>
    </row>
    <row r="91" spans="1:52" ht="20.149999999999999" customHeight="1" x14ac:dyDescent="0.35">
      <c r="A91" s="21">
        <v>46108</v>
      </c>
      <c r="B91" s="22" t="str">
        <f t="shared" si="2"/>
        <v>Friday</v>
      </c>
      <c r="C91" s="23" t="s">
        <v>106</v>
      </c>
      <c r="D91" s="24" cm="1">
        <f t="array" aca="1" ref="D91" ca="1">IFERROR(INDIRECT(C91),"")</f>
        <v>39.200000000000003</v>
      </c>
      <c r="E91" s="26">
        <v>33.5</v>
      </c>
      <c r="F91" s="26">
        <f>25.2+11.3</f>
        <v>36.5</v>
      </c>
      <c r="G91" s="27">
        <f ca="1">IFERROR((Table1[[#This Row],[Plan]]/Table1[[#This Row],[Hours Used]])/(Table1[[#This Row],[SOC (TPD)]]/24),"")</f>
        <v>0.85459183673469374</v>
      </c>
      <c r="H91" s="27">
        <f ca="1">IFERROR((Table1[[#This Row],[Volume Delivered (T)]]/Table1[[#This Row],[Hours Used]])/(Table1[[#This Row],[SOC (TPD)]]/24),"")</f>
        <v>0.93112244897959173</v>
      </c>
      <c r="I91" s="28"/>
      <c r="J91" s="28"/>
      <c r="K91" s="28"/>
      <c r="L91" s="25">
        <f>0.49+1.07+0.15+0.28-0.2-0.65</f>
        <v>1.1400000000000001</v>
      </c>
      <c r="M91" s="29">
        <v>3.9E-2</v>
      </c>
      <c r="N91" s="84"/>
      <c r="O91" s="25"/>
      <c r="P91" s="25"/>
      <c r="Q91" s="70"/>
      <c r="R91" s="71"/>
      <c r="S91" s="30">
        <f>IF(Table1[[#This Row],[SKU]]="",0,24-Table1[[#This Row],[Legal Non-Operating Time]]-Table1[[#This Row],[No Demand Time]]-Table1[[#This Row],[Force Majeure]])</f>
        <v>24</v>
      </c>
      <c r="T91" s="26"/>
      <c r="U91" s="26">
        <v>0.5</v>
      </c>
      <c r="V91" s="26"/>
      <c r="W91" s="26"/>
      <c r="X91" s="26"/>
      <c r="Y91" s="26"/>
      <c r="Z91" s="26"/>
      <c r="AA91" s="30">
        <f>Table1[[#This Row],[Hours Used]]-SUM(Table1[[#This Row],[Planned Maintenance]:[Start and Finish Production]])</f>
        <v>23.5</v>
      </c>
      <c r="AB91" s="26"/>
      <c r="AC91" s="26">
        <v>0.25</v>
      </c>
      <c r="AD91" s="26"/>
      <c r="AE91" s="26"/>
      <c r="AF91" s="26"/>
      <c r="AG91" s="26"/>
      <c r="AH91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0.20510204081633177</v>
      </c>
      <c r="AI91" s="24">
        <f ca="1">IFERROR(IF(Table1[[#This Row],[SKU]]="",0,Table1[[#This Row],[Quality Loss (T)]]/(Table1[[#This Row],[SOC (TPD)]]/24)),"")</f>
        <v>0.69795918367346943</v>
      </c>
      <c r="AJ91" s="31">
        <f ca="1">IFERROR(IF(Table1[[#This Row],[SKU]]="",0,Table1[[#This Row],[Volume Delivered (T)]]/(Table1[[#This Row],[SOC (TPD)]]/24)),"")</f>
        <v>22.3469387755102</v>
      </c>
      <c r="AK91" s="31">
        <f ca="1">IFERROR(Table1[[#This Row],[Operating Time]]/Table1[[#This Row],[PRODUCTION HOURS]],"")</f>
        <v>0.95093356491532766</v>
      </c>
      <c r="AL91" s="32">
        <v>105</v>
      </c>
      <c r="AM91" s="32" t="s">
        <v>107</v>
      </c>
      <c r="AN91" s="32" t="s">
        <v>107</v>
      </c>
      <c r="AO91" s="32">
        <v>0</v>
      </c>
      <c r="AP91" s="32">
        <v>0</v>
      </c>
      <c r="AQ91" s="32"/>
      <c r="AR91" s="32" t="str">
        <f>IFERROR(SUMIFS(#REF!,#REF!,'Data Sheet'!A:A,#REF!,"Samridhi Perk Line")/SUMIFS(#REF!,#REF!,'Data Sheet'!A:A,#REF!,"Samridhi Perk Line"),"")</f>
        <v/>
      </c>
      <c r="AS91" s="32"/>
      <c r="AT91" s="32"/>
      <c r="AU91" s="211">
        <f>IFERROR(VLOOKUP(Table1[[#This Row],[Date]],'Overweight Data'!A89:G1184,6,FALSE),"")</f>
        <v>2.5294659300184135E-2</v>
      </c>
      <c r="AV91" s="221">
        <f ca="1">IFERROR(
   IF(
      OR(Table1[[#This Row],[Operating Time]]=0, (Table1[[#This Row],[Operating Time]]/IF(AC91&lt;=1,AC91+1,AC91))*60=0),
      1,
      ((Table1[[#This Row],[Operating Time]])/IF(AC91&lt;=1,AC91+1,AC91))*60
   ),
"_")</f>
        <v>1072.6530612244896</v>
      </c>
      <c r="AW91" s="221">
        <f>COUNTIFS('Downtime Data'!A:A,Table1[[#This Row],[Date]])</f>
        <v>1</v>
      </c>
      <c r="AX91" s="219">
        <f>IFERROR((SUM(Table1[[#This Row],[Minor Stoppages]:[Material Shortages]])/Table1[[#This Row],['# Stops]])*60,"")</f>
        <v>15</v>
      </c>
      <c r="AY91" s="219"/>
      <c r="AZ91" s="33">
        <v>46107</v>
      </c>
    </row>
    <row r="92" spans="1:52" ht="20.149999999999999" customHeight="1" x14ac:dyDescent="0.35">
      <c r="A92" s="21">
        <v>46109</v>
      </c>
      <c r="B92" s="22" t="str">
        <f t="shared" si="2"/>
        <v>Saturday</v>
      </c>
      <c r="C92" s="23" t="s">
        <v>106</v>
      </c>
      <c r="D92" s="24" cm="1">
        <f t="array" aca="1" ref="D92" ca="1">IFERROR(INDIRECT(C92),"")</f>
        <v>39.200000000000003</v>
      </c>
      <c r="E92" s="26">
        <v>34</v>
      </c>
      <c r="F92" s="26">
        <v>34</v>
      </c>
      <c r="G92" s="27">
        <f ca="1">IFERROR((Table1[[#This Row],[Plan]]/Table1[[#This Row],[Hours Used]])/(Table1[[#This Row],[SOC (TPD)]]/24),"")</f>
        <v>0.86734693877551017</v>
      </c>
      <c r="H92" s="27">
        <f ca="1">IFERROR((Table1[[#This Row],[Volume Delivered (T)]]/Table1[[#This Row],[Hours Used]])/(Table1[[#This Row],[SOC (TPD)]]/24),"")</f>
        <v>0.86734693877551017</v>
      </c>
      <c r="I92" s="28"/>
      <c r="J92" s="28"/>
      <c r="K92" s="28"/>
      <c r="L92" s="25">
        <v>1.6</v>
      </c>
      <c r="M92" s="29">
        <v>3.9E-2</v>
      </c>
      <c r="N92" s="84"/>
      <c r="O92" s="25"/>
      <c r="P92" s="25"/>
      <c r="Q92" s="70"/>
      <c r="R92" s="71"/>
      <c r="S92" s="30">
        <f>IF(Table1[[#This Row],[SKU]]="",0,24-Table1[[#This Row],[Legal Non-Operating Time]]-Table1[[#This Row],[No Demand Time]]-Table1[[#This Row],[Force Majeure]])</f>
        <v>24</v>
      </c>
      <c r="T92" s="26">
        <v>2</v>
      </c>
      <c r="U92" s="26"/>
      <c r="V92" s="26"/>
      <c r="W92" s="26"/>
      <c r="X92" s="26"/>
      <c r="Y92" s="26"/>
      <c r="Z92" s="26"/>
      <c r="AA92" s="30">
        <f>Table1[[#This Row],[Hours Used]]-SUM(Table1[[#This Row],[Planned Maintenance]:[Start and Finish Production]])</f>
        <v>22</v>
      </c>
      <c r="AB92" s="26"/>
      <c r="AC92" s="26"/>
      <c r="AD92" s="26"/>
      <c r="AE92" s="26"/>
      <c r="AF92" s="26"/>
      <c r="AG92" s="26"/>
      <c r="AH92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0.20408163265306101</v>
      </c>
      <c r="AI92" s="24">
        <f ca="1">IFERROR(IF(Table1[[#This Row],[SKU]]="",0,Table1[[#This Row],[Quality Loss (T)]]/(Table1[[#This Row],[SOC (TPD)]]/24)),"")</f>
        <v>0.97959183673469385</v>
      </c>
      <c r="AJ92" s="31">
        <f ca="1">IFERROR(IF(Table1[[#This Row],[SKU]]="",0,Table1[[#This Row],[Volume Delivered (T)]]/(Table1[[#This Row],[SOC (TPD)]]/24)),"")</f>
        <v>20.816326530612244</v>
      </c>
      <c r="AK92" s="31">
        <f ca="1">IFERROR(Table1[[#This Row],[Operating Time]]/Table1[[#This Row],[PRODUCTION HOURS]],"")</f>
        <v>0.94619666048237472</v>
      </c>
      <c r="AL92" s="32">
        <v>111</v>
      </c>
      <c r="AM92" s="32" t="s">
        <v>107</v>
      </c>
      <c r="AN92" s="32" t="s">
        <v>107</v>
      </c>
      <c r="AO92" s="32">
        <v>0</v>
      </c>
      <c r="AP92" s="32">
        <v>0</v>
      </c>
      <c r="AQ92" s="32"/>
      <c r="AR92" s="32" t="str">
        <f>IFERROR(SUMIFS(#REF!,#REF!,'Data Sheet'!A:A,#REF!,"Samridhi Perk Line")/SUMIFS(#REF!,#REF!,'Data Sheet'!A:A,#REF!,"Samridhi Perk Line"),"")</f>
        <v/>
      </c>
      <c r="AS92" s="32"/>
      <c r="AT92" s="32"/>
      <c r="AU92" s="211">
        <f>IFERROR(VLOOKUP(Table1[[#This Row],[Date]],'Overweight Data'!A90:G1185,6,FALSE),"")</f>
        <v>2.5909799224716378E-2</v>
      </c>
      <c r="AV92" s="221">
        <f ca="1">IFERROR(
   IF(
      OR(Table1[[#This Row],[Operating Time]]=0, (Table1[[#This Row],[Operating Time]]/IF(AC92&lt;=1,AC92+1,AC92))*60=0),
      1,
      ((Table1[[#This Row],[Operating Time]])/IF(AC92&lt;=1,AC92+1,AC92))*60
   ),
"_")</f>
        <v>1248.9795918367347</v>
      </c>
      <c r="AW92" s="221">
        <f>COUNTIFS('Downtime Data'!A:A,Table1[[#This Row],[Date]])</f>
        <v>0</v>
      </c>
      <c r="AX92" s="219" t="str">
        <f>IFERROR((SUM(Table1[[#This Row],[Minor Stoppages]:[Material Shortages]])/Table1[[#This Row],['# Stops]])*60,"")</f>
        <v/>
      </c>
      <c r="AY92" s="219"/>
      <c r="AZ92" s="33">
        <v>46107</v>
      </c>
    </row>
    <row r="93" spans="1:52" ht="20.149999999999999" customHeight="1" x14ac:dyDescent="0.35">
      <c r="A93" s="21">
        <v>46110</v>
      </c>
      <c r="B93" s="22" t="str">
        <f t="shared" si="2"/>
        <v>Sunday</v>
      </c>
      <c r="C93" s="23" t="s">
        <v>106</v>
      </c>
      <c r="D93" s="24" cm="1">
        <f t="array" aca="1" ref="D93" ca="1">IFERROR(INDIRECT(C93),"")</f>
        <v>39.200000000000003</v>
      </c>
      <c r="E93" s="26">
        <v>37.5</v>
      </c>
      <c r="F93" s="26">
        <v>37.5</v>
      </c>
      <c r="G93" s="27">
        <f ca="1">IFERROR((Table1[[#This Row],[Plan]]/Table1[[#This Row],[Hours Used]])/(Table1[[#This Row],[SOC (TPD)]]/24),"")</f>
        <v>0.95663265306122436</v>
      </c>
      <c r="H93" s="27">
        <f ca="1">IFERROR((Table1[[#This Row],[Volume Delivered (T)]]/Table1[[#This Row],[Hours Used]])/(Table1[[#This Row],[SOC (TPD)]]/24),"")</f>
        <v>0.95663265306122436</v>
      </c>
      <c r="I93" s="28"/>
      <c r="J93" s="28"/>
      <c r="K93" s="28"/>
      <c r="L93" s="25">
        <v>1.3</v>
      </c>
      <c r="M93" s="29">
        <v>3.9E-2</v>
      </c>
      <c r="N93" s="84"/>
      <c r="O93" s="25"/>
      <c r="P93" s="25"/>
      <c r="Q93" s="70"/>
      <c r="R93" s="71"/>
      <c r="S93" s="30">
        <f>IF(Table1[[#This Row],[SKU]]="",0,24-Table1[[#This Row],[Legal Non-Operating Time]]-Table1[[#This Row],[No Demand Time]]-Table1[[#This Row],[Force Majeure]])</f>
        <v>24</v>
      </c>
      <c r="T93" s="26"/>
      <c r="U93" s="26"/>
      <c r="V93" s="26"/>
      <c r="W93" s="26"/>
      <c r="X93" s="26"/>
      <c r="Y93" s="26"/>
      <c r="Z93" s="26"/>
      <c r="AA93" s="30">
        <f>Table1[[#This Row],[Hours Used]]-SUM(Table1[[#This Row],[Planned Maintenance]:[Start and Finish Production]])</f>
        <v>24</v>
      </c>
      <c r="AB93" s="26"/>
      <c r="AC93" s="26"/>
      <c r="AD93" s="26"/>
      <c r="AE93" s="26"/>
      <c r="AF93" s="26"/>
      <c r="AG93" s="26"/>
      <c r="AH93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0.24489795918367463</v>
      </c>
      <c r="AI93" s="24">
        <f ca="1">IFERROR(IF(Table1[[#This Row],[SKU]]="",0,Table1[[#This Row],[Quality Loss (T)]]/(Table1[[#This Row],[SOC (TPD)]]/24)),"")</f>
        <v>0.79591836734693866</v>
      </c>
      <c r="AJ93" s="31">
        <f ca="1">IFERROR(IF(Table1[[#This Row],[SKU]]="",0,Table1[[#This Row],[Volume Delivered (T)]]/(Table1[[#This Row],[SOC (TPD)]]/24)),"")</f>
        <v>22.959183673469386</v>
      </c>
      <c r="AK93" s="31">
        <f ca="1">IFERROR(Table1[[#This Row],[Operating Time]]/Table1[[#This Row],[PRODUCTION HOURS]],"")</f>
        <v>0.95663265306122447</v>
      </c>
      <c r="AL93" s="32">
        <v>117</v>
      </c>
      <c r="AM93" s="32" t="s">
        <v>107</v>
      </c>
      <c r="AN93" s="32" t="s">
        <v>107</v>
      </c>
      <c r="AO93" s="32">
        <v>3</v>
      </c>
      <c r="AP93" s="32">
        <v>2</v>
      </c>
      <c r="AQ93" s="32"/>
      <c r="AR93" s="32" t="str">
        <f>IFERROR(SUMIFS(#REF!,#REF!,'Data Sheet'!A:A,#REF!,"Samridhi Perk Line")/SUMIFS(#REF!,#REF!,'Data Sheet'!A:A,#REF!,"Samridhi Perk Line"),"")</f>
        <v/>
      </c>
      <c r="AS93" s="32"/>
      <c r="AT93" s="32"/>
      <c r="AU93" s="211">
        <f>IFERROR(VLOOKUP(Table1[[#This Row],[Date]],'Overweight Data'!A91:G1186,6,FALSE),"")</f>
        <v>2.0530303030303041E-2</v>
      </c>
      <c r="AV93" s="221">
        <f ca="1">IFERROR(
   IF(
      OR(Table1[[#This Row],[Operating Time]]=0, (Table1[[#This Row],[Operating Time]]/IF(AC93&lt;=1,AC93+1,AC93))*60=0),
      1,
      ((Table1[[#This Row],[Operating Time]])/IF(AC93&lt;=1,AC93+1,AC93))*60
   ),
"_")</f>
        <v>1377.5510204081631</v>
      </c>
      <c r="AW93" s="221">
        <f>COUNTIFS('Downtime Data'!A:A,Table1[[#This Row],[Date]])</f>
        <v>0</v>
      </c>
      <c r="AX93" s="219" t="str">
        <f>IFERROR((SUM(Table1[[#This Row],[Minor Stoppages]:[Material Shortages]])/Table1[[#This Row],['# Stops]])*60,"")</f>
        <v/>
      </c>
      <c r="AY93" s="219"/>
      <c r="AZ93" s="33">
        <v>46107</v>
      </c>
    </row>
    <row r="94" spans="1:52" ht="20.149999999999999" customHeight="1" x14ac:dyDescent="0.35">
      <c r="A94" s="21">
        <v>46111</v>
      </c>
      <c r="B94" s="22" t="str">
        <f t="shared" si="2"/>
        <v>Monday</v>
      </c>
      <c r="C94" s="23" t="s">
        <v>106</v>
      </c>
      <c r="D94" s="24" cm="1">
        <f t="array" aca="1" ref="D94" ca="1">IFERROR(INDIRECT(C94),"")</f>
        <v>39.200000000000003</v>
      </c>
      <c r="E94" s="26">
        <v>31.5</v>
      </c>
      <c r="F94" s="26">
        <v>26.77</v>
      </c>
      <c r="G94" s="27">
        <f ca="1">IFERROR((Table1[[#This Row],[Plan]]/Table1[[#This Row],[Hours Used]])/(Table1[[#This Row],[SOC (TPD)]]/24),"")</f>
        <v>0.80357142857142849</v>
      </c>
      <c r="H94" s="27">
        <f ca="1">IFERROR((Table1[[#This Row],[Volume Delivered (T)]]/Table1[[#This Row],[Hours Used]])/(Table1[[#This Row],[SOC (TPD)]]/24),"")</f>
        <v>0.68290816326530612</v>
      </c>
      <c r="I94" s="28"/>
      <c r="J94" s="28"/>
      <c r="K94" s="28"/>
      <c r="L94" s="25">
        <f>0.32+1.29+0.14+0.7-0.24-0.66</f>
        <v>1.5499999999999998</v>
      </c>
      <c r="M94" s="29">
        <v>3.9E-2</v>
      </c>
      <c r="N94" s="84"/>
      <c r="O94" s="25"/>
      <c r="P94" s="25"/>
      <c r="Q94" s="70"/>
      <c r="R94" s="71"/>
      <c r="S94" s="30">
        <f>IF(Table1[[#This Row],[SKU]]="",0,24-Table1[[#This Row],[Legal Non-Operating Time]]-Table1[[#This Row],[No Demand Time]]-Table1[[#This Row],[Force Majeure]])</f>
        <v>24</v>
      </c>
      <c r="T94" s="26"/>
      <c r="U94" s="26"/>
      <c r="V94" s="26"/>
      <c r="W94" s="26"/>
      <c r="X94" s="26"/>
      <c r="Y94" s="26"/>
      <c r="Z94" s="26"/>
      <c r="AA94" s="30">
        <f>Table1[[#This Row],[Hours Used]]-SUM(Table1[[#This Row],[Planned Maintenance]:[Start and Finish Production]])</f>
        <v>24</v>
      </c>
      <c r="AB94" s="26"/>
      <c r="AC94" s="26">
        <v>6.5</v>
      </c>
      <c r="AD94" s="26"/>
      <c r="AE94" s="26"/>
      <c r="AF94" s="26"/>
      <c r="AG94" s="26"/>
      <c r="AH94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0.16122448979592008</v>
      </c>
      <c r="AI94" s="24">
        <f ca="1">IFERROR(IF(Table1[[#This Row],[SKU]]="",0,Table1[[#This Row],[Quality Loss (T)]]/(Table1[[#This Row],[SOC (TPD)]]/24)),"")</f>
        <v>0.94897959183673453</v>
      </c>
      <c r="AJ94" s="31">
        <f ca="1">IFERROR(IF(Table1[[#This Row],[SKU]]="",0,Table1[[#This Row],[Volume Delivered (T)]]/(Table1[[#This Row],[SOC (TPD)]]/24)),"")</f>
        <v>16.389795918367344</v>
      </c>
      <c r="AK94" s="31">
        <f ca="1">IFERROR(Table1[[#This Row],[Operating Time]]/Table1[[#This Row],[PRODUCTION HOURS]],"")</f>
        <v>0.68290816326530601</v>
      </c>
      <c r="AL94" s="32">
        <v>109</v>
      </c>
      <c r="AM94" s="32" t="s">
        <v>107</v>
      </c>
      <c r="AN94" s="32" t="s">
        <v>107</v>
      </c>
      <c r="AO94" s="32">
        <v>1</v>
      </c>
      <c r="AP94" s="32">
        <v>0</v>
      </c>
      <c r="AQ94" s="32"/>
      <c r="AR94" s="32" t="str">
        <f>IFERROR(SUMIFS(#REF!,#REF!,'Data Sheet'!A:A,#REF!,"Samridhi Perk Line")/SUMIFS(#REF!,#REF!,'Data Sheet'!A:A,#REF!,"Samridhi Perk Line"),"")</f>
        <v/>
      </c>
      <c r="AS94" s="32"/>
      <c r="AT94" s="32"/>
      <c r="AU94" s="211">
        <f>IFERROR(VLOOKUP(Table1[[#This Row],[Date]],'Overweight Data'!A92:G1187,6,FALSE),"")</f>
        <v>3.1005244755244778E-2</v>
      </c>
      <c r="AV94" s="221">
        <f ca="1">IFERROR(
   IF(
      OR(Table1[[#This Row],[Operating Time]]=0, (Table1[[#This Row],[Operating Time]]/IF(AC94&lt;=1,AC94+1,AC94))*60=0),
      1,
      ((Table1[[#This Row],[Operating Time]])/IF(AC94&lt;=1,AC94+1,AC94))*60
   ),
"_")</f>
        <v>151.29042386185242</v>
      </c>
      <c r="AW94" s="221">
        <f>COUNTIFS('Downtime Data'!A:A,Table1[[#This Row],[Date]])</f>
        <v>2</v>
      </c>
      <c r="AX94" s="219">
        <f>IFERROR((SUM(Table1[[#This Row],[Minor Stoppages]:[Material Shortages]])/Table1[[#This Row],['# Stops]])*60,"")</f>
        <v>195</v>
      </c>
      <c r="AY94" s="219"/>
      <c r="AZ94" s="33">
        <v>46138</v>
      </c>
    </row>
    <row r="95" spans="1:52" ht="20.149999999999999" customHeight="1" x14ac:dyDescent="0.35">
      <c r="A95" s="21">
        <v>46112</v>
      </c>
      <c r="B95" s="22" t="str">
        <f t="shared" si="2"/>
        <v>Tuesday</v>
      </c>
      <c r="C95" s="23" t="s">
        <v>106</v>
      </c>
      <c r="D95" s="24" cm="1">
        <f t="array" aca="1" ref="D95" ca="1">IFERROR(INDIRECT(C95),"")</f>
        <v>39.200000000000003</v>
      </c>
      <c r="E95" s="26">
        <v>31.5</v>
      </c>
      <c r="F95" s="26">
        <v>31.06</v>
      </c>
      <c r="G95" s="27">
        <f ca="1">IFERROR((Table1[[#This Row],[Plan]]/Table1[[#This Row],[Hours Used]])/(Table1[[#This Row],[SOC (TPD)]]/24),"")</f>
        <v>0.80357142857142849</v>
      </c>
      <c r="H95" s="27">
        <f ca="1">IFERROR((Table1[[#This Row],[Volume Delivered (T)]]/Table1[[#This Row],[Hours Used]])/(Table1[[#This Row],[SOC (TPD)]]/24),"")</f>
        <v>0.7923469387755101</v>
      </c>
      <c r="I95" s="28"/>
      <c r="J95" s="28"/>
      <c r="K95" s="28"/>
      <c r="L95" s="25">
        <f>0.49+1.16+0.15+0.63-0.26-0.53</f>
        <v>1.64</v>
      </c>
      <c r="M95" s="29">
        <v>3.9E-2</v>
      </c>
      <c r="N95" s="84"/>
      <c r="O95" s="25"/>
      <c r="P95" s="25"/>
      <c r="Q95" s="70"/>
      <c r="R95" s="71"/>
      <c r="S95" s="30">
        <f>IF(Table1[[#This Row],[SKU]]="",0,24-Table1[[#This Row],[Legal Non-Operating Time]]-Table1[[#This Row],[No Demand Time]]-Table1[[#This Row],[Force Majeure]])</f>
        <v>24</v>
      </c>
      <c r="T95" s="26"/>
      <c r="U95" s="26">
        <v>0.8</v>
      </c>
      <c r="V95" s="26"/>
      <c r="W95" s="26"/>
      <c r="X95" s="26"/>
      <c r="Y95" s="26"/>
      <c r="Z95" s="26"/>
      <c r="AA95" s="30">
        <f>Table1[[#This Row],[Hours Used]]-SUM(Table1[[#This Row],[Planned Maintenance]:[Start and Finish Production]])</f>
        <v>23.2</v>
      </c>
      <c r="AB95" s="26"/>
      <c r="AC95" s="26">
        <v>3</v>
      </c>
      <c r="AD95" s="26"/>
      <c r="AE95" s="26"/>
      <c r="AF95" s="26"/>
      <c r="AG95" s="26"/>
      <c r="AH95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0.17959183673469425</v>
      </c>
      <c r="AI95" s="24">
        <f ca="1">IFERROR(IF(Table1[[#This Row],[SKU]]="",0,Table1[[#This Row],[Quality Loss (T)]]/(Table1[[#This Row],[SOC (TPD)]]/24)),"")</f>
        <v>1.0040816326530611</v>
      </c>
      <c r="AJ95" s="31">
        <f ca="1">IFERROR(IF(Table1[[#This Row],[SKU]]="",0,Table1[[#This Row],[Volume Delivered (T)]]/(Table1[[#This Row],[SOC (TPD)]]/24)),"")</f>
        <v>19.016326530612243</v>
      </c>
      <c r="AK95" s="31">
        <f ca="1">IFERROR(Table1[[#This Row],[Operating Time]]/Table1[[#This Row],[PRODUCTION HOURS]],"")</f>
        <v>0.81966924700914845</v>
      </c>
      <c r="AL95" s="32">
        <v>113</v>
      </c>
      <c r="AM95" s="32" t="s">
        <v>107</v>
      </c>
      <c r="AN95" s="32" t="s">
        <v>107</v>
      </c>
      <c r="AO95" s="32">
        <v>0</v>
      </c>
      <c r="AP95" s="32">
        <v>0</v>
      </c>
      <c r="AQ95" s="32"/>
      <c r="AR95" s="32" t="str">
        <f>IFERROR(SUMIFS(#REF!,#REF!,'Data Sheet'!A:A,#REF!,"Samridhi Perk Line")/SUMIFS(#REF!,#REF!,'Data Sheet'!A:A,#REF!,"Samridhi Perk Line"),"")</f>
        <v/>
      </c>
      <c r="AS95" s="32"/>
      <c r="AT95" s="32"/>
      <c r="AU95" s="211">
        <f>IFERROR(VLOOKUP(Table1[[#This Row],[Date]],'Overweight Data'!A93:G1188,6,FALSE),"")</f>
        <v>3.5064456721915271E-2</v>
      </c>
      <c r="AV95" s="221">
        <f ca="1">IFERROR(
   IF(
      OR(Table1[[#This Row],[Operating Time]]=0, (Table1[[#This Row],[Operating Time]]/IF(AC95&lt;=1,AC95+1,AC95))*60=0),
      1,
      ((Table1[[#This Row],[Operating Time]])/IF(AC95&lt;=1,AC95+1,AC95))*60
   ),
"_")</f>
        <v>380.32653061224482</v>
      </c>
      <c r="AW95" s="221">
        <f>COUNTIFS('Downtime Data'!A:A,Table1[[#This Row],[Date]])</f>
        <v>2</v>
      </c>
      <c r="AX95" s="219">
        <f>IFERROR((SUM(Table1[[#This Row],[Minor Stoppages]:[Material Shortages]])/Table1[[#This Row],['# Stops]])*60,"")</f>
        <v>90</v>
      </c>
      <c r="AY95" s="219"/>
      <c r="AZ95" s="33">
        <v>46138</v>
      </c>
    </row>
    <row r="96" spans="1:52" ht="20.149999999999999" customHeight="1" x14ac:dyDescent="0.35">
      <c r="A96" s="21">
        <v>46113</v>
      </c>
      <c r="B96" s="22" t="str">
        <f t="shared" si="2"/>
        <v>Wednesday</v>
      </c>
      <c r="C96" s="23" t="s">
        <v>106</v>
      </c>
      <c r="D96" s="24" cm="1">
        <f t="array" aca="1" ref="D96" ca="1">IFERROR(INDIRECT(C96),"")</f>
        <v>39.200000000000003</v>
      </c>
      <c r="E96" s="26">
        <v>32</v>
      </c>
      <c r="F96" s="26">
        <v>35.327351999999998</v>
      </c>
      <c r="G96" s="27">
        <f ca="1">IFERROR((Table1[[#This Row],[Plan]]/Table1[[#This Row],[Hours Used]])/(Table1[[#This Row],[SOC (TPD)]]/24),"")</f>
        <v>0.81632653061224481</v>
      </c>
      <c r="H96" s="27">
        <f ca="1">IFERROR((Table1[[#This Row],[Volume Delivered (T)]]/Table1[[#This Row],[Hours Used]])/(Table1[[#This Row],[SOC (TPD)]]/24),"")</f>
        <v>0.90120795918367336</v>
      </c>
      <c r="I96" s="28"/>
      <c r="J96" s="28"/>
      <c r="K96" s="28"/>
      <c r="L96" s="25">
        <f>0.44+1.32+0.17+0.59-0.25-0.66</f>
        <v>1.6099999999999999</v>
      </c>
      <c r="M96" s="29">
        <v>3.9E-2</v>
      </c>
      <c r="N96" s="84"/>
      <c r="O96" s="25"/>
      <c r="P96" s="25"/>
      <c r="Q96" s="70"/>
      <c r="R96" s="71"/>
      <c r="S96" s="30">
        <f>IF(Table1[[#This Row],[SKU]]="",0,24-Table1[[#This Row],[Legal Non-Operating Time]]-Table1[[#This Row],[No Demand Time]]-Table1[[#This Row],[Force Majeure]])</f>
        <v>24</v>
      </c>
      <c r="T96" s="26">
        <v>1.2</v>
      </c>
      <c r="U96" s="26"/>
      <c r="V96" s="26"/>
      <c r="W96" s="26"/>
      <c r="X96" s="26"/>
      <c r="Y96" s="26"/>
      <c r="Z96" s="26"/>
      <c r="AA96" s="30">
        <f>Table1[[#This Row],[Hours Used]]-SUM(Table1[[#This Row],[Planned Maintenance]:[Start and Finish Production]])</f>
        <v>22.8</v>
      </c>
      <c r="AB96" s="26"/>
      <c r="AC96" s="26"/>
      <c r="AD96" s="26"/>
      <c r="AE96" s="26"/>
      <c r="AF96" s="26"/>
      <c r="AG96" s="26"/>
      <c r="AH96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0.18529469387755881</v>
      </c>
      <c r="AI96" s="24">
        <f ca="1">IFERROR(IF(Table1[[#This Row],[SKU]]="",0,Table1[[#This Row],[Quality Loss (T)]]/(Table1[[#This Row],[SOC (TPD)]]/24)),"")</f>
        <v>0.98571428571428554</v>
      </c>
      <c r="AJ96" s="31">
        <f ca="1">IFERROR(IF(Table1[[#This Row],[SKU]]="",0,Table1[[#This Row],[Volume Delivered (T)]]/(Table1[[#This Row],[SOC (TPD)]]/24)),"")</f>
        <v>21.628991020408158</v>
      </c>
      <c r="AK96" s="31">
        <f ca="1">IFERROR(Table1[[#This Row],[Operating Time]]/Table1[[#This Row],[PRODUCTION HOURS]],"")</f>
        <v>0.94863995703544546</v>
      </c>
      <c r="AL96" s="32">
        <v>91</v>
      </c>
      <c r="AM96" s="32" t="s">
        <v>107</v>
      </c>
      <c r="AN96" s="32" t="s">
        <v>107</v>
      </c>
      <c r="AO96" s="32">
        <v>23</v>
      </c>
      <c r="AP96" s="32">
        <v>23</v>
      </c>
      <c r="AQ96" s="32"/>
      <c r="AR96" s="32" t="str">
        <f>IFERROR(SUMIFS(#REF!,#REF!,'Data Sheet'!A:A,#REF!,"Samridhi Perk Line")/SUMIFS(#REF!,#REF!,'Data Sheet'!A:A,#REF!,"Samridhi Perk Line"),"")</f>
        <v/>
      </c>
      <c r="AS96" s="32"/>
      <c r="AT96" s="32"/>
      <c r="AU96" s="211">
        <f>IFERROR(VLOOKUP(Table1[[#This Row],[Date]],'Overweight Data'!A94:G1189,6,FALSE),"")</f>
        <v>3.6390423572743996E-2</v>
      </c>
      <c r="AV96" s="221">
        <f ca="1">IFERROR(
   IF(
      OR(Table1[[#This Row],[Operating Time]]=0, (Table1[[#This Row],[Operating Time]]/IF(AC96&lt;=1,AC96+1,AC96))*60=0),
      1,
      ((Table1[[#This Row],[Operating Time]])/IF(AC96&lt;=1,AC96+1,AC96))*60
   ),
"_")</f>
        <v>1297.7394612244896</v>
      </c>
      <c r="AW96" s="221">
        <f>COUNTIFS('Downtime Data'!A:A,Table1[[#This Row],[Date]])</f>
        <v>1</v>
      </c>
      <c r="AX96" s="219">
        <f>IFERROR((SUM(Table1[[#This Row],[Minor Stoppages]:[Material Shortages]])/Table1[[#This Row],['# Stops]])*60,"")</f>
        <v>0</v>
      </c>
      <c r="AY96" s="219"/>
      <c r="AZ96" s="33">
        <v>46138</v>
      </c>
    </row>
    <row r="97" spans="1:52" ht="20.149999999999999" customHeight="1" x14ac:dyDescent="0.35">
      <c r="A97" s="21">
        <v>46114</v>
      </c>
      <c r="B97" s="22" t="str">
        <f t="shared" si="2"/>
        <v>Thursday</v>
      </c>
      <c r="C97" s="23" t="s">
        <v>106</v>
      </c>
      <c r="D97" s="24" cm="1">
        <f t="array" aca="1" ref="D97" ca="1">IFERROR(INDIRECT(C97),"")</f>
        <v>39.200000000000003</v>
      </c>
      <c r="E97" s="26">
        <v>31</v>
      </c>
      <c r="F97" s="26">
        <v>35.055432000000003</v>
      </c>
      <c r="G97" s="27">
        <f ca="1">IFERROR((Table1[[#This Row],[Plan]]/Table1[[#This Row],[Hours Used]])/(Table1[[#This Row],[SOC (TPD)]]/24),"")</f>
        <v>0.79081632653061218</v>
      </c>
      <c r="H97" s="27">
        <f ca="1">IFERROR((Table1[[#This Row],[Volume Delivered (T)]]/Table1[[#This Row],[Hours Used]])/(Table1[[#This Row],[SOC (TPD)]]/24),"")</f>
        <v>0.8942712244897959</v>
      </c>
      <c r="I97" s="28"/>
      <c r="J97" s="28"/>
      <c r="K97" s="28"/>
      <c r="L97" s="25">
        <f>0.4+1.32+0.17+0.57-0.22-0.63</f>
        <v>1.6099999999999999</v>
      </c>
      <c r="M97" s="29">
        <v>3.9E-2</v>
      </c>
      <c r="N97" s="84"/>
      <c r="O97" s="25"/>
      <c r="P97" s="25"/>
      <c r="Q97" s="70"/>
      <c r="R97" s="71"/>
      <c r="S97" s="30">
        <f>IF(Table1[[#This Row],[SKU]]="",0,24-Table1[[#This Row],[Legal Non-Operating Time]]-Table1[[#This Row],[No Demand Time]]-Table1[[#This Row],[Force Majeure]])</f>
        <v>24</v>
      </c>
      <c r="T97" s="26">
        <v>1.3</v>
      </c>
      <c r="U97" s="26"/>
      <c r="V97" s="26"/>
      <c r="W97" s="26"/>
      <c r="X97" s="26"/>
      <c r="Y97" s="26"/>
      <c r="Z97" s="26"/>
      <c r="AA97" s="30">
        <f>Table1[[#This Row],[Hours Used]]-SUM(Table1[[#This Row],[Planned Maintenance]:[Start and Finish Production]])</f>
        <v>22.7</v>
      </c>
      <c r="AB97" s="26"/>
      <c r="AC97" s="26"/>
      <c r="AD97" s="26"/>
      <c r="AE97" s="26"/>
      <c r="AF97" s="26"/>
      <c r="AG97" s="26"/>
      <c r="AH97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0.25177632653061366</v>
      </c>
      <c r="AI97" s="24">
        <f ca="1">IFERROR(IF(Table1[[#This Row],[SKU]]="",0,Table1[[#This Row],[Quality Loss (T)]]/(Table1[[#This Row],[SOC (TPD)]]/24)),"")</f>
        <v>0.98571428571428554</v>
      </c>
      <c r="AJ97" s="31">
        <f ca="1">IFERROR(IF(Table1[[#This Row],[SKU]]="",0,Table1[[#This Row],[Volume Delivered (T)]]/(Table1[[#This Row],[SOC (TPD)]]/24)),"")</f>
        <v>21.462509387755102</v>
      </c>
      <c r="AK97" s="31">
        <f ca="1">IFERROR(Table1[[#This Row],[Operating Time]]/Table1[[#This Row],[PRODUCTION HOURS]],"")</f>
        <v>0.94548499505529082</v>
      </c>
      <c r="AL97" s="32">
        <v>104</v>
      </c>
      <c r="AM97" s="32" t="s">
        <v>107</v>
      </c>
      <c r="AN97" s="32" t="s">
        <v>107</v>
      </c>
      <c r="AO97" s="32">
        <v>25</v>
      </c>
      <c r="AP97" s="32">
        <v>22</v>
      </c>
      <c r="AQ97" s="32"/>
      <c r="AR97" s="32" t="str">
        <f>IFERROR(SUMIFS(#REF!,#REF!,'Data Sheet'!A:A,#REF!,"Samridhi Perk Line")/SUMIFS(#REF!,#REF!,'Data Sheet'!A:A,#REF!,"Samridhi Perk Line"),"")</f>
        <v/>
      </c>
      <c r="AS97" s="32"/>
      <c r="AT97" s="32"/>
      <c r="AU97" s="211">
        <f>IFERROR(VLOOKUP(Table1[[#This Row],[Date]],'Overweight Data'!A95:G1190,6,FALSE),"")</f>
        <v>2.7799263351749592E-2</v>
      </c>
      <c r="AV97" s="221">
        <f ca="1">IFERROR(
   IF(
      OR(Table1[[#This Row],[Operating Time]]=0, (Table1[[#This Row],[Operating Time]]/IF(AC97&lt;=1,AC97+1,AC97))*60=0),
      1,
      ((Table1[[#This Row],[Operating Time]])/IF(AC97&lt;=1,AC97+1,AC97))*60
   ),
"_")</f>
        <v>1287.750563265306</v>
      </c>
      <c r="AW97" s="221">
        <f>COUNTIFS('Downtime Data'!A:A,Table1[[#This Row],[Date]])</f>
        <v>0</v>
      </c>
      <c r="AX97" s="219" t="str">
        <f>IFERROR((SUM(Table1[[#This Row],[Minor Stoppages]:[Material Shortages]])/Table1[[#This Row],['# Stops]])*60,"")</f>
        <v/>
      </c>
      <c r="AY97" s="219"/>
      <c r="AZ97" s="33">
        <v>46138</v>
      </c>
    </row>
    <row r="98" spans="1:52" ht="20.149999999999999" customHeight="1" x14ac:dyDescent="0.35">
      <c r="A98" s="21">
        <v>46115</v>
      </c>
      <c r="B98" s="22" t="str">
        <f t="shared" si="2"/>
        <v>Friday</v>
      </c>
      <c r="C98" s="23" t="s">
        <v>106</v>
      </c>
      <c r="D98" s="24" cm="1">
        <f t="array" aca="1" ref="D98" ca="1">IFERROR(INDIRECT(C98),"")</f>
        <v>39.200000000000003</v>
      </c>
      <c r="E98" s="26">
        <v>31</v>
      </c>
      <c r="F98" s="26">
        <v>24.759552000000003</v>
      </c>
      <c r="G98" s="27">
        <f ca="1">IFERROR((Table1[[#This Row],[Plan]]/Table1[[#This Row],[Hours Used]])/(Table1[[#This Row],[SOC (TPD)]]/24),"")</f>
        <v>0.79081632653061218</v>
      </c>
      <c r="H98" s="27">
        <f ca="1">IFERROR((Table1[[#This Row],[Volume Delivered (T)]]/Table1[[#This Row],[Hours Used]])/(Table1[[#This Row],[SOC (TPD)]]/24),"")</f>
        <v>0.63162122448979596</v>
      </c>
      <c r="I98" s="28"/>
      <c r="J98" s="28"/>
      <c r="K98" s="28"/>
      <c r="L98" s="25">
        <f>0.42+1.16+0.14+0.53-0.19-0.51</f>
        <v>1.55</v>
      </c>
      <c r="M98" s="29">
        <v>3.9E-2</v>
      </c>
      <c r="N98" s="84">
        <v>2.5</v>
      </c>
      <c r="O98" s="25"/>
      <c r="P98" s="25">
        <v>5</v>
      </c>
      <c r="Q98" s="70"/>
      <c r="R98" s="71"/>
      <c r="S98" s="30">
        <f>IF(Table1[[#This Row],[SKU]]="",0,24-Table1[[#This Row],[Legal Non-Operating Time]]-Table1[[#This Row],[No Demand Time]]-Table1[[#This Row],[Force Majeure]])</f>
        <v>24</v>
      </c>
      <c r="T98" s="26">
        <v>1</v>
      </c>
      <c r="U98" s="26"/>
      <c r="V98" s="26"/>
      <c r="W98" s="26"/>
      <c r="X98" s="26"/>
      <c r="Y98" s="26"/>
      <c r="Z98" s="26"/>
      <c r="AA98" s="30">
        <f>Table1[[#This Row],[Hours Used]]-SUM(Table1[[#This Row],[Planned Maintenance]:[Start and Finish Production]])</f>
        <v>23</v>
      </c>
      <c r="AB98" s="26">
        <v>0.4</v>
      </c>
      <c r="AC98" s="26">
        <v>6</v>
      </c>
      <c r="AD98" s="26">
        <v>0.3</v>
      </c>
      <c r="AE98" s="26"/>
      <c r="AF98" s="26"/>
      <c r="AG98" s="26"/>
      <c r="AH98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0.19211102040816463</v>
      </c>
      <c r="AI98" s="24">
        <f ca="1">IFERROR(IF(Table1[[#This Row],[SKU]]="",0,Table1[[#This Row],[Quality Loss (T)]]/(Table1[[#This Row],[SOC (TPD)]]/24)),"")</f>
        <v>0.94897959183673464</v>
      </c>
      <c r="AJ98" s="31">
        <f ca="1">IFERROR(IF(Table1[[#This Row],[SKU]]="",0,Table1[[#This Row],[Volume Delivered (T)]]/(Table1[[#This Row],[SOC (TPD)]]/24)),"")</f>
        <v>15.158909387755102</v>
      </c>
      <c r="AK98" s="31">
        <f ca="1">IFERROR(Table1[[#This Row],[Operating Time]]/Table1[[#This Row],[PRODUCTION HOURS]],"")</f>
        <v>0.65908301685891746</v>
      </c>
      <c r="AL98" s="32">
        <v>80</v>
      </c>
      <c r="AM98" s="32" t="s">
        <v>107</v>
      </c>
      <c r="AN98" s="32" t="s">
        <v>105</v>
      </c>
      <c r="AO98" s="32">
        <v>0</v>
      </c>
      <c r="AP98" s="32">
        <v>0</v>
      </c>
      <c r="AQ98" s="32"/>
      <c r="AR98" s="32" t="str">
        <f>IFERROR(SUMIFS(#REF!,#REF!,'Data Sheet'!A:A,#REF!,"Samridhi Perk Line")/SUMIFS(#REF!,#REF!,'Data Sheet'!A:A,#REF!,"Samridhi Perk Line"),"")</f>
        <v/>
      </c>
      <c r="AS98" s="32"/>
      <c r="AT98" s="32"/>
      <c r="AU98" s="211">
        <f>IFERROR(VLOOKUP(Table1[[#This Row],[Date]],'Overweight Data'!A96:G1191,6,FALSE),"")</f>
        <v>2.7624309392265192E-2</v>
      </c>
      <c r="AV98" s="221">
        <f ca="1">IFERROR(
   IF(
      OR(Table1[[#This Row],[Operating Time]]=0, (Table1[[#This Row],[Operating Time]]/IF(AC98&lt;=1,AC98+1,AC98))*60=0),
      1,
      ((Table1[[#This Row],[Operating Time]])/IF(AC98&lt;=1,AC98+1,AC98))*60
   ),
"_")</f>
        <v>151.58909387755102</v>
      </c>
      <c r="AW98" s="221">
        <f>COUNTIFS('Downtime Data'!A:A,Table1[[#This Row],[Date]])</f>
        <v>2</v>
      </c>
      <c r="AX98" s="219">
        <f>IFERROR((SUM(Table1[[#This Row],[Minor Stoppages]:[Material Shortages]])/Table1[[#This Row],['# Stops]])*60,"")</f>
        <v>201</v>
      </c>
      <c r="AY98" s="219"/>
      <c r="AZ98" s="33">
        <v>46138</v>
      </c>
    </row>
    <row r="99" spans="1:52" ht="20.149999999999999" customHeight="1" x14ac:dyDescent="0.35">
      <c r="A99" s="21">
        <v>46116</v>
      </c>
      <c r="B99" s="22" t="str">
        <f t="shared" si="2"/>
        <v>Saturday</v>
      </c>
      <c r="C99" s="23" t="s">
        <v>106</v>
      </c>
      <c r="D99" s="24" cm="1">
        <f t="array" aca="1" ref="D99" ca="1">IFERROR(INDIRECT(C99),"")</f>
        <v>39.200000000000003</v>
      </c>
      <c r="E99" s="26">
        <v>15</v>
      </c>
      <c r="F99" s="26">
        <v>20.398944000000004</v>
      </c>
      <c r="G99" s="27">
        <f ca="1">IFERROR((Table1[[#This Row],[Plan]]/Table1[[#This Row],[Hours Used]])/(Table1[[#This Row],[SOC (TPD)]]/24),"")</f>
        <v>0.38265306122448978</v>
      </c>
      <c r="H99" s="27">
        <f ca="1">IFERROR((Table1[[#This Row],[Volume Delivered (T)]]/Table1[[#This Row],[Hours Used]])/(Table1[[#This Row],[SOC (TPD)]]/24),"")</f>
        <v>0.52038122448979596</v>
      </c>
      <c r="I99" s="28"/>
      <c r="J99" s="28"/>
      <c r="K99" s="28"/>
      <c r="L99" s="25">
        <f>0.32+1.02+0.13+0.5-0.15-0.26</f>
        <v>1.5600000000000003</v>
      </c>
      <c r="M99" s="29">
        <v>4.2000000000000003E-2</v>
      </c>
      <c r="N99" s="84"/>
      <c r="O99" s="25"/>
      <c r="P99" s="25"/>
      <c r="Q99" s="70"/>
      <c r="R99" s="71"/>
      <c r="S99" s="30">
        <f>IF(Table1[[#This Row],[SKU]]="",0,24-Table1[[#This Row],[Legal Non-Operating Time]]-Table1[[#This Row],[No Demand Time]]-Table1[[#This Row],[Force Majeure]])</f>
        <v>24</v>
      </c>
      <c r="T99" s="26"/>
      <c r="U99" s="26"/>
      <c r="V99" s="26">
        <v>10.4</v>
      </c>
      <c r="W99" s="26"/>
      <c r="X99" s="26"/>
      <c r="Y99" s="26"/>
      <c r="Z99" s="26"/>
      <c r="AA99" s="30">
        <f>Table1[[#This Row],[Hours Used]]-SUM(Table1[[#This Row],[Planned Maintenance]:[Start and Finish Production]])</f>
        <v>13.6</v>
      </c>
      <c r="AB99" s="26"/>
      <c r="AC99" s="26"/>
      <c r="AD99" s="26"/>
      <c r="AE99" s="26"/>
      <c r="AF99" s="26"/>
      <c r="AG99" s="26"/>
      <c r="AH99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0.15574857142857113</v>
      </c>
      <c r="AI99" s="24">
        <f ca="1">IFERROR(IF(Table1[[#This Row],[SKU]]="",0,Table1[[#This Row],[Quality Loss (T)]]/(Table1[[#This Row],[SOC (TPD)]]/24)),"")</f>
        <v>0.95510204081632655</v>
      </c>
      <c r="AJ99" s="31">
        <f ca="1">IFERROR(IF(Table1[[#This Row],[SKU]]="",0,Table1[[#This Row],[Volume Delivered (T)]]/(Table1[[#This Row],[SOC (TPD)]]/24)),"")</f>
        <v>12.489149387755102</v>
      </c>
      <c r="AK99" s="31">
        <f ca="1">IFERROR(Table1[[#This Row],[Operating Time]]/Table1[[#This Row],[PRODUCTION HOURS]],"")</f>
        <v>0.91831980792316925</v>
      </c>
      <c r="AL99" s="32">
        <v>86</v>
      </c>
      <c r="AM99" s="32" t="s">
        <v>107</v>
      </c>
      <c r="AN99" s="32" t="s">
        <v>105</v>
      </c>
      <c r="AO99" s="32">
        <v>4</v>
      </c>
      <c r="AP99" s="32">
        <v>0</v>
      </c>
      <c r="AQ99" s="32"/>
      <c r="AR99" s="32" t="str">
        <f>IFERROR(SUMIFS(#REF!,#REF!,'Data Sheet'!A:A,#REF!,"Samridhi Perk Line")/SUMIFS(#REF!,#REF!,'Data Sheet'!A:A,#REF!,"Samridhi Perk Line"),"")</f>
        <v/>
      </c>
      <c r="AS99" s="32"/>
      <c r="AT99" s="32"/>
      <c r="AU99" s="211">
        <f>IFERROR(VLOOKUP(Table1[[#This Row],[Date]],'Overweight Data'!A97:G1192,6,FALSE),"")</f>
        <v>2.8121546961325988E-2</v>
      </c>
      <c r="AV99" s="221">
        <f ca="1">IFERROR(
   IF(
      OR(Table1[[#This Row],[Operating Time]]=0, (Table1[[#This Row],[Operating Time]]/IF(AC99&lt;=1,AC99+1,AC99))*60=0),
      1,
      ((Table1[[#This Row],[Operating Time]])/IF(AC99&lt;=1,AC99+1,AC99))*60
   ),
"_")</f>
        <v>749.34896326530611</v>
      </c>
      <c r="AW99" s="221">
        <f>COUNTIFS('Downtime Data'!A:A,Table1[[#This Row],[Date]])</f>
        <v>1</v>
      </c>
      <c r="AX99" s="219">
        <f>IFERROR((SUM(Table1[[#This Row],[Minor Stoppages]:[Material Shortages]])/Table1[[#This Row],['# Stops]])*60,"")</f>
        <v>0</v>
      </c>
      <c r="AY99" s="219"/>
      <c r="AZ99" s="33">
        <v>46138</v>
      </c>
    </row>
    <row r="100" spans="1:52" ht="20.149999999999999" customHeight="1" x14ac:dyDescent="0.35">
      <c r="A100" s="21">
        <v>46117</v>
      </c>
      <c r="B100" s="22" t="str">
        <f t="shared" si="2"/>
        <v>Sunday</v>
      </c>
      <c r="C100" s="23" t="s">
        <v>106</v>
      </c>
      <c r="D100" s="24" cm="1">
        <f t="array" aca="1" ref="D100" ca="1">IFERROR(INDIRECT(C100),"")</f>
        <v>39.200000000000003</v>
      </c>
      <c r="E100" s="26">
        <v>31</v>
      </c>
      <c r="F100" s="26">
        <v>32.709504000000003</v>
      </c>
      <c r="G100" s="27">
        <f ca="1">IFERROR((Table1[[#This Row],[Plan]]/Table1[[#This Row],[Hours Used]])/(Table1[[#This Row],[SOC (TPD)]]/24),"")</f>
        <v>0.79081632653061218</v>
      </c>
      <c r="H100" s="27">
        <f ca="1">IFERROR((Table1[[#This Row],[Volume Delivered (T)]]/Table1[[#This Row],[Hours Used]])/(Table1[[#This Row],[SOC (TPD)]]/24),"")</f>
        <v>0.83442612244897951</v>
      </c>
      <c r="I100" s="28"/>
      <c r="J100" s="28"/>
      <c r="K100" s="28"/>
      <c r="L100" s="25">
        <f>0.4+1.33+0.17+0.48-0.24-0.54</f>
        <v>1.5999999999999996</v>
      </c>
      <c r="M100" s="29">
        <v>4.2000000000000003E-2</v>
      </c>
      <c r="N100" s="84"/>
      <c r="O100" s="25"/>
      <c r="P100" s="25">
        <v>1.7</v>
      </c>
      <c r="Q100" s="70"/>
      <c r="R100" s="71"/>
      <c r="S100" s="30">
        <f>IF(Table1[[#This Row],[SKU]]="",0,24-Table1[[#This Row],[Legal Non-Operating Time]]-Table1[[#This Row],[No Demand Time]]-Table1[[#This Row],[Force Majeure]])</f>
        <v>24</v>
      </c>
      <c r="T100" s="26"/>
      <c r="U100" s="26">
        <v>0.5</v>
      </c>
      <c r="V100" s="26"/>
      <c r="W100" s="26"/>
      <c r="X100" s="26"/>
      <c r="Y100" s="26"/>
      <c r="Z100" s="26"/>
      <c r="AA100" s="30">
        <f>Table1[[#This Row],[Hours Used]]-SUM(Table1[[#This Row],[Planned Maintenance]:[Start and Finish Production]])</f>
        <v>23.5</v>
      </c>
      <c r="AB100" s="26">
        <v>1.5</v>
      </c>
      <c r="AC100" s="26"/>
      <c r="AD100" s="26">
        <v>0.75</v>
      </c>
      <c r="AE100" s="26"/>
      <c r="AF100" s="26"/>
      <c r="AG100" s="26"/>
      <c r="AH100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0.24418122448979673</v>
      </c>
      <c r="AI100" s="24">
        <f ca="1">IFERROR(IF(Table1[[#This Row],[SKU]]="",0,Table1[[#This Row],[Quality Loss (T)]]/(Table1[[#This Row],[SOC (TPD)]]/24)),"")</f>
        <v>0.97959183673469352</v>
      </c>
      <c r="AJ100" s="31">
        <f ca="1">IFERROR(IF(Table1[[#This Row],[SKU]]="",0,Table1[[#This Row],[Volume Delivered (T)]]/(Table1[[#This Row],[SOC (TPD)]]/24)),"")</f>
        <v>20.026226938775508</v>
      </c>
      <c r="AK100" s="31">
        <f ca="1">IFERROR(Table1[[#This Row],[Operating Time]]/Table1[[#This Row],[PRODUCTION HOURS]],"")</f>
        <v>0.85217986973512805</v>
      </c>
      <c r="AL100" s="32">
        <v>84</v>
      </c>
      <c r="AM100" s="32" t="s">
        <v>105</v>
      </c>
      <c r="AN100" s="32" t="s">
        <v>105</v>
      </c>
      <c r="AO100" s="32">
        <v>0</v>
      </c>
      <c r="AP100" s="32">
        <v>0</v>
      </c>
      <c r="AQ100" s="32"/>
      <c r="AR100" s="32" t="str">
        <f>IFERROR(SUMIFS(#REF!,#REF!,'Data Sheet'!A:A,#REF!,"Samridhi Perk Line")/SUMIFS(#REF!,#REF!,'Data Sheet'!A:A,#REF!,"Samridhi Perk Line"),"")</f>
        <v/>
      </c>
      <c r="AS100" s="32"/>
      <c r="AT100" s="32"/>
      <c r="AU100" s="211">
        <f>IFERROR(VLOOKUP(Table1[[#This Row],[Date]],'Overweight Data'!A98:G1193,6,FALSE),"")</f>
        <v>3.5046040515653777E-2</v>
      </c>
      <c r="AV100" s="221">
        <f ca="1">IFERROR(
   IF(
      OR(Table1[[#This Row],[Operating Time]]=0, (Table1[[#This Row],[Operating Time]]/IF(AC100&lt;=1,AC100+1,AC100))*60=0),
      1,
      ((Table1[[#This Row],[Operating Time]])/IF(AC100&lt;=1,AC100+1,AC100))*60
   ),
"_")</f>
        <v>1201.5736163265306</v>
      </c>
      <c r="AW100" s="221">
        <f>COUNTIFS('Downtime Data'!A:A,Table1[[#This Row],[Date]])</f>
        <v>2</v>
      </c>
      <c r="AX100" s="219">
        <f>IFERROR((SUM(Table1[[#This Row],[Minor Stoppages]:[Material Shortages]])/Table1[[#This Row],['# Stops]])*60,"")</f>
        <v>67.5</v>
      </c>
      <c r="AY100" s="219"/>
      <c r="AZ100" s="33">
        <v>46138</v>
      </c>
    </row>
    <row r="101" spans="1:52" ht="20.149999999999999" customHeight="1" x14ac:dyDescent="0.35">
      <c r="A101" s="21">
        <v>46118</v>
      </c>
      <c r="B101" s="22" t="str">
        <f t="shared" si="2"/>
        <v>Monday</v>
      </c>
      <c r="C101" s="23" t="s">
        <v>108</v>
      </c>
      <c r="D101" s="24" cm="1">
        <f t="array" aca="1" ref="D101" ca="1">IFERROR(INDIRECT(C101),"")</f>
        <v>34.200000000000003</v>
      </c>
      <c r="E101" s="26">
        <v>29</v>
      </c>
      <c r="F101" s="26">
        <v>31.859135999999999</v>
      </c>
      <c r="G101" s="27">
        <f ca="1">IFERROR((Table1[[#This Row],[Plan]]/Table1[[#This Row],[Hours Used]])/(Table1[[#This Row],[SOC (TPD)]]/24),"")</f>
        <v>0.8479532163742689</v>
      </c>
      <c r="H101" s="27">
        <f ca="1">IFERROR((Table1[[#This Row],[Volume Delivered (T)]]/Table1[[#This Row],[Hours Used]])/(Table1[[#This Row],[SOC (TPD)]]/24),"")</f>
        <v>0.93155368421052631</v>
      </c>
      <c r="I101" s="28"/>
      <c r="J101" s="28"/>
      <c r="K101" s="28"/>
      <c r="L101" s="25">
        <f>0.42+1.2+0.17+0.35-0.26-0.61</f>
        <v>1.2699999999999996</v>
      </c>
      <c r="M101" s="29">
        <v>4.2500000000000003E-2</v>
      </c>
      <c r="N101" s="84"/>
      <c r="O101" s="25"/>
      <c r="P101" s="25">
        <v>1.1000000000000001</v>
      </c>
      <c r="Q101" s="70"/>
      <c r="R101" s="71"/>
      <c r="S101" s="30">
        <f>IF(Table1[[#This Row],[SKU]]="",0,24-Table1[[#This Row],[Legal Non-Operating Time]]-Table1[[#This Row],[No Demand Time]]-Table1[[#This Row],[Force Majeure]])</f>
        <v>24</v>
      </c>
      <c r="T101" s="26">
        <v>0.8</v>
      </c>
      <c r="U101" s="26"/>
      <c r="V101" s="26"/>
      <c r="W101" s="26"/>
      <c r="X101" s="26"/>
      <c r="Y101" s="26"/>
      <c r="Z101" s="26"/>
      <c r="AA101" s="30">
        <f>Table1[[#This Row],[Hours Used]]-SUM(Table1[[#This Row],[Planned Maintenance]:[Start and Finish Production]])</f>
        <v>23.2</v>
      </c>
      <c r="AB101" s="26"/>
      <c r="AC101" s="26"/>
      <c r="AD101" s="26"/>
      <c r="AE101" s="26"/>
      <c r="AF101" s="26"/>
      <c r="AG101" s="26"/>
      <c r="AH101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-4.8516491228067338E-2</v>
      </c>
      <c r="AI101" s="24">
        <f ca="1">IFERROR(IF(Table1[[#This Row],[SKU]]="",0,Table1[[#This Row],[Quality Loss (T)]]/(Table1[[#This Row],[SOC (TPD)]]/24)),"")</f>
        <v>0.89122807017543826</v>
      </c>
      <c r="AJ101" s="31">
        <f ca="1">IFERROR(IF(Table1[[#This Row],[SKU]]="",0,Table1[[#This Row],[Volume Delivered (T)]]/(Table1[[#This Row],[SOC (TPD)]]/24)),"")</f>
        <v>22.35728842105263</v>
      </c>
      <c r="AK101" s="31">
        <f ca="1">IFERROR(Table1[[#This Row],[Operating Time]]/Table1[[#This Row],[PRODUCTION HOURS]],"")</f>
        <v>0.96367622504537198</v>
      </c>
      <c r="AL101" s="32">
        <v>80</v>
      </c>
      <c r="AM101" s="32" t="s">
        <v>107</v>
      </c>
      <c r="AN101" s="32" t="s">
        <v>107</v>
      </c>
      <c r="AO101" s="32">
        <v>60</v>
      </c>
      <c r="AP101" s="32">
        <v>60</v>
      </c>
      <c r="AQ101" s="32"/>
      <c r="AR101" s="32" t="str">
        <f>IFERROR(SUMIFS(#REF!,#REF!,'Data Sheet'!A:A,#REF!,"Samridhi Perk Line")/SUMIFS(#REF!,#REF!,'Data Sheet'!A:A,#REF!,"Samridhi Perk Line"),"")</f>
        <v/>
      </c>
      <c r="AS101" s="32"/>
      <c r="AT101" s="32"/>
      <c r="AU101" s="211">
        <f>IFERROR(VLOOKUP(Table1[[#This Row],[Date]],'Overweight Data'!A99:G1194,6,FALSE),"")</f>
        <v>2.7066027894757261E-2</v>
      </c>
      <c r="AV101" s="221">
        <f ca="1">IFERROR(
   IF(
      OR(Table1[[#This Row],[Operating Time]]=0, (Table1[[#This Row],[Operating Time]]/IF(AC101&lt;=1,AC101+1,AC101))*60=0),
      1,
      ((Table1[[#This Row],[Operating Time]])/IF(AC101&lt;=1,AC101+1,AC101))*60
   ),
"_")</f>
        <v>1341.4373052631577</v>
      </c>
      <c r="AW101" s="221">
        <f>COUNTIFS('Downtime Data'!A:A,Table1[[#This Row],[Date]])</f>
        <v>0</v>
      </c>
      <c r="AX101" s="219" t="str">
        <f>IFERROR((SUM(Table1[[#This Row],[Minor Stoppages]:[Material Shortages]])/Table1[[#This Row],['# Stops]])*60,"")</f>
        <v/>
      </c>
      <c r="AY101" s="219"/>
      <c r="AZ101" s="33">
        <v>46138</v>
      </c>
    </row>
    <row r="102" spans="1:52" ht="20.149999999999999" customHeight="1" x14ac:dyDescent="0.35">
      <c r="A102" s="21">
        <v>46119</v>
      </c>
      <c r="B102" s="22" t="str">
        <f t="shared" si="2"/>
        <v>Tuesday</v>
      </c>
      <c r="C102" s="23" t="s">
        <v>108</v>
      </c>
      <c r="D102" s="24" cm="1">
        <f t="array" aca="1" ref="D102" ca="1">IFERROR(INDIRECT(C102),"")</f>
        <v>34.200000000000003</v>
      </c>
      <c r="E102" s="26">
        <v>29</v>
      </c>
      <c r="F102" s="26">
        <v>28.976726000000003</v>
      </c>
      <c r="G102" s="27">
        <f ca="1">IFERROR((Table1[[#This Row],[Plan]]/Table1[[#This Row],[Hours Used]])/(Table1[[#This Row],[SOC (TPD)]]/24),"")</f>
        <v>0.8479532163742689</v>
      </c>
      <c r="H102" s="27">
        <f ca="1">IFERROR((Table1[[#This Row],[Volume Delivered (T)]]/Table1[[#This Row],[Hours Used]])/(Table1[[#This Row],[SOC (TPD)]]/24),"")</f>
        <v>0.84727269005847949</v>
      </c>
      <c r="I102" s="28"/>
      <c r="J102" s="28"/>
      <c r="K102" s="28"/>
      <c r="L102" s="25">
        <f>0.62+1.36+0.18+0.34-0.32-0.46</f>
        <v>1.7200000000000002</v>
      </c>
      <c r="M102" s="29">
        <v>4.2999999999999997E-2</v>
      </c>
      <c r="N102" s="84"/>
      <c r="O102" s="25"/>
      <c r="P102" s="25"/>
      <c r="Q102" s="70"/>
      <c r="R102" s="71"/>
      <c r="S102" s="30">
        <f>IF(Table1[[#This Row],[SKU]]="",0,24-Table1[[#This Row],[Legal Non-Operating Time]]-Table1[[#This Row],[No Demand Time]]-Table1[[#This Row],[Force Majeure]])</f>
        <v>24</v>
      </c>
      <c r="T102" s="26">
        <v>0.4</v>
      </c>
      <c r="U102" s="26"/>
      <c r="V102" s="26"/>
      <c r="W102" s="26">
        <v>1</v>
      </c>
      <c r="X102" s="26"/>
      <c r="Y102" s="26"/>
      <c r="Z102" s="26"/>
      <c r="AA102" s="30">
        <f>Table1[[#This Row],[Hours Used]]-SUM(Table1[[#This Row],[Planned Maintenance]:[Start and Finish Production]])</f>
        <v>22.6</v>
      </c>
      <c r="AB102" s="26"/>
      <c r="AC102" s="26">
        <f>55/60</f>
        <v>0.91666666666666663</v>
      </c>
      <c r="AD102" s="26">
        <v>0.25</v>
      </c>
      <c r="AE102" s="26"/>
      <c r="AF102" s="26"/>
      <c r="AG102" s="26"/>
      <c r="AH102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-0.10822877192982716</v>
      </c>
      <c r="AI102" s="24">
        <f ca="1">IFERROR(IF(Table1[[#This Row],[SKU]]="",0,Table1[[#This Row],[Quality Loss (T)]]/(Table1[[#This Row],[SOC (TPD)]]/24)),"")</f>
        <v>1.2070175438596493</v>
      </c>
      <c r="AJ102" s="31">
        <f ca="1">IFERROR(IF(Table1[[#This Row],[SKU]]="",0,Table1[[#This Row],[Volume Delivered (T)]]/(Table1[[#This Row],[SOC (TPD)]]/24)),"")</f>
        <v>20.334544561403511</v>
      </c>
      <c r="AK102" s="31">
        <f ca="1">IFERROR(Table1[[#This Row],[Operating Time]]/Table1[[#This Row],[PRODUCTION HOURS]],"")</f>
        <v>0.89975860891165971</v>
      </c>
      <c r="AL102" s="32">
        <v>97</v>
      </c>
      <c r="AM102" s="32" t="s">
        <v>107</v>
      </c>
      <c r="AN102" s="32" t="s">
        <v>107</v>
      </c>
      <c r="AO102" s="32">
        <v>0</v>
      </c>
      <c r="AP102" s="32">
        <v>0</v>
      </c>
      <c r="AQ102" s="32"/>
      <c r="AR102" s="32" t="str">
        <f>IFERROR(SUMIFS(#REF!,#REF!,'Data Sheet'!A:A,#REF!,"Samridhi Perk Line")/SUMIFS(#REF!,#REF!,'Data Sheet'!A:A,#REF!,"Samridhi Perk Line"),"")</f>
        <v/>
      </c>
      <c r="AS102" s="32"/>
      <c r="AT102" s="32"/>
      <c r="AU102" s="211">
        <f>IFERROR(VLOOKUP(Table1[[#This Row],[Date]],'Overweight Data'!A100:G1195,6,FALSE),"")</f>
        <v>3.573426573426583E-2</v>
      </c>
      <c r="AV102" s="221">
        <f ca="1">IFERROR(
   IF(
      OR(Table1[[#This Row],[Operating Time]]=0, (Table1[[#This Row],[Operating Time]]/IF(AC102&lt;=1,AC102+1,AC102))*60=0),
      1,
      ((Table1[[#This Row],[Operating Time]])/IF(AC102&lt;=1,AC102+1,AC102))*60
   ),
"_")</f>
        <v>636.55965583524039</v>
      </c>
      <c r="AW102" s="221">
        <f>COUNTIFS('Downtime Data'!A:A,Table1[[#This Row],[Date]])</f>
        <v>2</v>
      </c>
      <c r="AX102" s="219">
        <f>IFERROR((SUM(Table1[[#This Row],[Minor Stoppages]:[Material Shortages]])/Table1[[#This Row],['# Stops]])*60,"")</f>
        <v>34.999999999999993</v>
      </c>
      <c r="AY102" s="219"/>
      <c r="AZ102" s="33">
        <v>46138</v>
      </c>
    </row>
    <row r="103" spans="1:52" ht="20.149999999999999" customHeight="1" x14ac:dyDescent="0.35">
      <c r="A103" s="21">
        <v>46120</v>
      </c>
      <c r="B103" s="22" t="str">
        <f t="shared" si="2"/>
        <v>Wednesday</v>
      </c>
      <c r="C103" s="23" t="s">
        <v>108</v>
      </c>
      <c r="D103" s="24" cm="1">
        <f t="array" aca="1" ref="D103" ca="1">IFERROR(INDIRECT(C103),"")</f>
        <v>34.200000000000003</v>
      </c>
      <c r="E103" s="26">
        <v>29</v>
      </c>
      <c r="F103" s="26">
        <v>23.361789999999999</v>
      </c>
      <c r="G103" s="27">
        <f ca="1">IFERROR((Table1[[#This Row],[Plan]]/Table1[[#This Row],[Hours Used]])/(Table1[[#This Row],[SOC (TPD)]]/24),"")</f>
        <v>0.8479532163742689</v>
      </c>
      <c r="H103" s="27">
        <f ca="1">IFERROR((Table1[[#This Row],[Volume Delivered (T)]]/Table1[[#This Row],[Hours Used]])/(Table1[[#This Row],[SOC (TPD)]]/24),"")</f>
        <v>0.68309327485380111</v>
      </c>
      <c r="I103" s="28"/>
      <c r="J103" s="28"/>
      <c r="K103" s="28"/>
      <c r="L103" s="25">
        <f>0.5+1.63+0.16+0.27-0.24-0.63</f>
        <v>1.6900000000000004</v>
      </c>
      <c r="M103" s="29">
        <v>4.2999999999999997E-2</v>
      </c>
      <c r="N103" s="84"/>
      <c r="O103" s="25"/>
      <c r="P103" s="25"/>
      <c r="Q103" s="70"/>
      <c r="R103" s="71"/>
      <c r="S103" s="30">
        <f>IF(Table1[[#This Row],[SKU]]="",0,24-Table1[[#This Row],[Legal Non-Operating Time]]-Table1[[#This Row],[No Demand Time]]-Table1[[#This Row],[Force Majeure]])</f>
        <v>24</v>
      </c>
      <c r="T103" s="26"/>
      <c r="U103" s="26">
        <v>0.5</v>
      </c>
      <c r="V103" s="26"/>
      <c r="W103" s="26"/>
      <c r="X103" s="26"/>
      <c r="Y103" s="26"/>
      <c r="Z103" s="26"/>
      <c r="AA103" s="30">
        <f>Table1[[#This Row],[Hours Used]]-SUM(Table1[[#This Row],[Planned Maintenance]:[Start and Finish Production]])</f>
        <v>23.5</v>
      </c>
      <c r="AB103" s="26"/>
      <c r="AC103" s="26">
        <v>3.4</v>
      </c>
      <c r="AD103" s="26">
        <v>2.5</v>
      </c>
      <c r="AE103" s="26"/>
      <c r="AF103" s="26"/>
      <c r="AG103" s="26"/>
      <c r="AH103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1.9796491228071034E-2</v>
      </c>
      <c r="AI103" s="24">
        <f ca="1">IFERROR(IF(Table1[[#This Row],[SKU]]="",0,Table1[[#This Row],[Quality Loss (T)]]/(Table1[[#This Row],[SOC (TPD)]]/24)),"")</f>
        <v>1.1859649122807019</v>
      </c>
      <c r="AJ103" s="31">
        <f ca="1">IFERROR(IF(Table1[[#This Row],[SKU]]="",0,Table1[[#This Row],[Volume Delivered (T)]]/(Table1[[#This Row],[SOC (TPD)]]/24)),"")</f>
        <v>16.394238596491228</v>
      </c>
      <c r="AK103" s="31">
        <f ca="1">IFERROR(Table1[[#This Row],[Operating Time]]/Table1[[#This Row],[PRODUCTION HOURS]],"")</f>
        <v>0.69762717431877563</v>
      </c>
      <c r="AL103" s="32">
        <v>86</v>
      </c>
      <c r="AM103" s="32" t="s">
        <v>107</v>
      </c>
      <c r="AN103" s="32" t="s">
        <v>105</v>
      </c>
      <c r="AO103" s="32">
        <v>1</v>
      </c>
      <c r="AP103" s="32">
        <v>1</v>
      </c>
      <c r="AQ103" s="32"/>
      <c r="AR103" s="32" t="str">
        <f>IFERROR(SUMIFS(#REF!,#REF!,'Data Sheet'!A:A,#REF!,"Samridhi Perk Line")/SUMIFS(#REF!,#REF!,'Data Sheet'!A:A,#REF!,"Samridhi Perk Line"),"")</f>
        <v/>
      </c>
      <c r="AS103" s="32"/>
      <c r="AT103" s="32"/>
      <c r="AU103" s="211">
        <f>IFERROR(VLOOKUP(Table1[[#This Row],[Date]],'Overweight Data'!A101:G1196,6,FALSE),"")</f>
        <v>3.0821678321678314E-2</v>
      </c>
      <c r="AV103" s="221">
        <f ca="1">IFERROR(
   IF(
      OR(Table1[[#This Row],[Operating Time]]=0, (Table1[[#This Row],[Operating Time]]/IF(AC103&lt;=1,AC103+1,AC103))*60=0),
      1,
      ((Table1[[#This Row],[Operating Time]])/IF(AC103&lt;=1,AC103+1,AC103))*60
   ),
"_")</f>
        <v>289.31009287925696</v>
      </c>
      <c r="AW103" s="221">
        <f>COUNTIFS('Downtime Data'!A:A,Table1[[#This Row],[Date]])</f>
        <v>4</v>
      </c>
      <c r="AX103" s="219">
        <f>IFERROR((SUM(Table1[[#This Row],[Minor Stoppages]:[Material Shortages]])/Table1[[#This Row],['# Stops]])*60,"")</f>
        <v>88.5</v>
      </c>
      <c r="AY103" s="219"/>
      <c r="AZ103" s="33">
        <v>46138</v>
      </c>
    </row>
    <row r="104" spans="1:52" ht="20.149999999999999" customHeight="1" x14ac:dyDescent="0.35">
      <c r="A104" s="21">
        <v>46121</v>
      </c>
      <c r="B104" s="22" t="str">
        <f t="shared" si="2"/>
        <v>Thursday</v>
      </c>
      <c r="C104" s="23" t="s">
        <v>108</v>
      </c>
      <c r="D104" s="24" cm="1">
        <f t="array" aca="1" ref="D104" ca="1">IFERROR(INDIRECT(C104),"")</f>
        <v>34.200000000000003</v>
      </c>
      <c r="E104" s="26">
        <v>29</v>
      </c>
      <c r="F104" s="26">
        <v>29.498428000000001</v>
      </c>
      <c r="G104" s="27">
        <f ca="1">IFERROR((Table1[[#This Row],[Plan]]/Table1[[#This Row],[Hours Used]])/(Table1[[#This Row],[SOC (TPD)]]/24),"")</f>
        <v>0.8479532163742689</v>
      </c>
      <c r="H104" s="27">
        <f ca="1">IFERROR((Table1[[#This Row],[Volume Delivered (T)]]/Table1[[#This Row],[Hours Used]])/(Table1[[#This Row],[SOC (TPD)]]/24),"")</f>
        <v>0.86252713450292395</v>
      </c>
      <c r="I104" s="28"/>
      <c r="J104" s="28"/>
      <c r="K104" s="28"/>
      <c r="L104" s="25">
        <f>0.5+1.38+0.17+0.5-0.3-0.5</f>
        <v>1.75</v>
      </c>
      <c r="M104" s="29">
        <v>4.2999999999999997E-2</v>
      </c>
      <c r="N104" s="84"/>
      <c r="O104" s="25"/>
      <c r="P104" s="25"/>
      <c r="Q104" s="70"/>
      <c r="R104" s="71"/>
      <c r="S104" s="30">
        <f>IF(Table1[[#This Row],[SKU]]="",0,24-Table1[[#This Row],[Legal Non-Operating Time]]-Table1[[#This Row],[No Demand Time]]-Table1[[#This Row],[Force Majeure]])</f>
        <v>24</v>
      </c>
      <c r="T104" s="26">
        <v>1</v>
      </c>
      <c r="U104" s="26"/>
      <c r="V104" s="26"/>
      <c r="W104" s="26"/>
      <c r="X104" s="26"/>
      <c r="Y104" s="26"/>
      <c r="Z104" s="26"/>
      <c r="AA104" s="30">
        <f>Table1[[#This Row],[Hours Used]]-SUM(Table1[[#This Row],[Planned Maintenance]:[Start and Finish Production]])</f>
        <v>23</v>
      </c>
      <c r="AB104" s="26"/>
      <c r="AC104" s="26"/>
      <c r="AD104" s="26">
        <v>0.5</v>
      </c>
      <c r="AE104" s="26"/>
      <c r="AF104" s="26"/>
      <c r="AG104" s="26"/>
      <c r="AH104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0.57127859649122925</v>
      </c>
      <c r="AI104" s="24">
        <f ca="1">IFERROR(IF(Table1[[#This Row],[SKU]]="",0,Table1[[#This Row],[Quality Loss (T)]]/(Table1[[#This Row],[SOC (TPD)]]/24)),"")</f>
        <v>1.2280701754385965</v>
      </c>
      <c r="AJ104" s="31">
        <f ca="1">IFERROR(IF(Table1[[#This Row],[SKU]]="",0,Table1[[#This Row],[Volume Delivered (T)]]/(Table1[[#This Row],[SOC (TPD)]]/24)),"")</f>
        <v>20.700651228070175</v>
      </c>
      <c r="AK104" s="31">
        <f ca="1">IFERROR(Table1[[#This Row],[Operating Time]]/Table1[[#This Row],[PRODUCTION HOURS]],"")</f>
        <v>0.9000283142639206</v>
      </c>
      <c r="AL104" s="32">
        <v>90</v>
      </c>
      <c r="AM104" s="32" t="s">
        <v>107</v>
      </c>
      <c r="AN104" s="32" t="s">
        <v>107</v>
      </c>
      <c r="AO104" s="32">
        <v>0</v>
      </c>
      <c r="AP104" s="32">
        <v>0</v>
      </c>
      <c r="AQ104" s="32"/>
      <c r="AR104" s="32" t="str">
        <f>IFERROR(SUMIFS(#REF!,#REF!,'Data Sheet'!A:A,#REF!,"Samridhi Perk Line")/SUMIFS(#REF!,#REF!,'Data Sheet'!A:A,#REF!,"Samridhi Perk Line"),"")</f>
        <v/>
      </c>
      <c r="AS104" s="32"/>
      <c r="AT104" s="32"/>
      <c r="AU104" s="211">
        <f>IFERROR(VLOOKUP(Table1[[#This Row],[Date]],'Overweight Data'!A102:G1197,6,FALSE),"")</f>
        <v>2.1660839160839135E-2</v>
      </c>
      <c r="AV104" s="221">
        <f ca="1">IFERROR(
   IF(
      OR(Table1[[#This Row],[Operating Time]]=0, (Table1[[#This Row],[Operating Time]]/IF(AC104&lt;=1,AC104+1,AC104))*60=0),
      1,
      ((Table1[[#This Row],[Operating Time]])/IF(AC104&lt;=1,AC104+1,AC104))*60
   ),
"_")</f>
        <v>1242.0390736842105</v>
      </c>
      <c r="AW104" s="221">
        <f>COUNTIFS('Downtime Data'!A:A,Table1[[#This Row],[Date]])</f>
        <v>1</v>
      </c>
      <c r="AX104" s="219">
        <f>IFERROR((SUM(Table1[[#This Row],[Minor Stoppages]:[Material Shortages]])/Table1[[#This Row],['# Stops]])*60,"")</f>
        <v>30</v>
      </c>
      <c r="AY104" s="219"/>
      <c r="AZ104" s="33">
        <v>46138</v>
      </c>
    </row>
    <row r="105" spans="1:52" ht="20.149999999999999" customHeight="1" x14ac:dyDescent="0.35">
      <c r="A105" s="21">
        <v>46122</v>
      </c>
      <c r="B105" s="22" t="str">
        <f t="shared" si="2"/>
        <v>Friday</v>
      </c>
      <c r="C105" s="23" t="s">
        <v>108</v>
      </c>
      <c r="D105" s="24" cm="1">
        <f t="array" aca="1" ref="D105" ca="1">IFERROR(INDIRECT(C105),"")</f>
        <v>34.200000000000003</v>
      </c>
      <c r="E105" s="26">
        <v>29</v>
      </c>
      <c r="F105" s="26">
        <v>32.200000000000003</v>
      </c>
      <c r="G105" s="27">
        <f ca="1">IFERROR((Table1[[#This Row],[Plan]]/Table1[[#This Row],[Hours Used]])/(Table1[[#This Row],[SOC (TPD)]]/24),"")</f>
        <v>0.8479532163742689</v>
      </c>
      <c r="H105" s="27">
        <f ca="1">IFERROR((Table1[[#This Row],[Volume Delivered (T)]]/Table1[[#This Row],[Hours Used]])/(Table1[[#This Row],[SOC (TPD)]]/24),"")</f>
        <v>0.94152046783625731</v>
      </c>
      <c r="I105" s="28"/>
      <c r="J105" s="28"/>
      <c r="K105" s="28"/>
      <c r="L105" s="25">
        <v>1.4</v>
      </c>
      <c r="M105" s="29">
        <v>4.2999999999999997E-2</v>
      </c>
      <c r="N105" s="84"/>
      <c r="O105" s="25"/>
      <c r="P105" s="25"/>
      <c r="Q105" s="70"/>
      <c r="R105" s="71"/>
      <c r="S105" s="30">
        <f>IF(Table1[[#This Row],[SKU]]="",0,24-Table1[[#This Row],[Legal Non-Operating Time]]-Table1[[#This Row],[No Demand Time]]-Table1[[#This Row],[Force Majeure]])</f>
        <v>24</v>
      </c>
      <c r="T105" s="26"/>
      <c r="U105" s="26"/>
      <c r="V105" s="26"/>
      <c r="W105" s="26"/>
      <c r="X105" s="26"/>
      <c r="Y105" s="26"/>
      <c r="Z105" s="26"/>
      <c r="AA105" s="30">
        <f>Table1[[#This Row],[Hours Used]]-SUM(Table1[[#This Row],[Planned Maintenance]:[Start and Finish Production]])</f>
        <v>24</v>
      </c>
      <c r="AB105" s="26"/>
      <c r="AC105" s="26">
        <v>0.55000000000000004</v>
      </c>
      <c r="AD105" s="26"/>
      <c r="AE105" s="26"/>
      <c r="AF105" s="26"/>
      <c r="AG105" s="26"/>
      <c r="AH105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-0.12894736842105559</v>
      </c>
      <c r="AI105" s="24">
        <f ca="1">IFERROR(IF(Table1[[#This Row],[SKU]]="",0,Table1[[#This Row],[Quality Loss (T)]]/(Table1[[#This Row],[SOC (TPD)]]/24)),"")</f>
        <v>0.98245614035087714</v>
      </c>
      <c r="AJ105" s="31">
        <f ca="1">IFERROR(IF(Table1[[#This Row],[SKU]]="",0,Table1[[#This Row],[Volume Delivered (T)]]/(Table1[[#This Row],[SOC (TPD)]]/24)),"")</f>
        <v>22.596491228070178</v>
      </c>
      <c r="AK105" s="31">
        <f ca="1">IFERROR(Table1[[#This Row],[Operating Time]]/Table1[[#This Row],[PRODUCTION HOURS]],"")</f>
        <v>0.94152046783625742</v>
      </c>
      <c r="AL105" s="32">
        <v>82</v>
      </c>
      <c r="AM105" s="32" t="s">
        <v>107</v>
      </c>
      <c r="AN105" s="32" t="s">
        <v>107</v>
      </c>
      <c r="AO105" s="32">
        <v>0</v>
      </c>
      <c r="AP105" s="32">
        <v>0</v>
      </c>
      <c r="AQ105" s="32"/>
      <c r="AR105" s="32" t="str">
        <f>IFERROR(SUMIFS(#REF!,#REF!,'Data Sheet'!A:A,#REF!,"Samridhi Perk Line")/SUMIFS(#REF!,#REF!,'Data Sheet'!A:A,#REF!,"Samridhi Perk Line"),"")</f>
        <v/>
      </c>
      <c r="AS105" s="32"/>
      <c r="AT105" s="32"/>
      <c r="AU105" s="211">
        <f>IFERROR(VLOOKUP(Table1[[#This Row],[Date]],'Overweight Data'!A103:G1198,6,FALSE),"")</f>
        <v>2.2365967365967365E-2</v>
      </c>
      <c r="AV105" s="221">
        <f ca="1">IFERROR(
   IF(
      OR(Table1[[#This Row],[Operating Time]]=0, (Table1[[#This Row],[Operating Time]]/IF(AC105&lt;=1,AC105+1,AC105))*60=0),
      1,
      ((Table1[[#This Row],[Operating Time]])/IF(AC105&lt;=1,AC105+1,AC105))*60
   ),
"_")</f>
        <v>874.70288624787781</v>
      </c>
      <c r="AW105" s="221">
        <f>COUNTIFS('Downtime Data'!A:A,Table1[[#This Row],[Date]])</f>
        <v>1</v>
      </c>
      <c r="AX105" s="219">
        <f>IFERROR((SUM(Table1[[#This Row],[Minor Stoppages]:[Material Shortages]])/Table1[[#This Row],['# Stops]])*60,"")</f>
        <v>33</v>
      </c>
      <c r="AY105" s="219"/>
      <c r="AZ105" s="33">
        <v>46138</v>
      </c>
    </row>
    <row r="106" spans="1:52" ht="20.149999999999999" customHeight="1" x14ac:dyDescent="0.35">
      <c r="A106" s="21">
        <v>46123</v>
      </c>
      <c r="B106" s="22" t="str">
        <f t="shared" si="2"/>
        <v>Saturday</v>
      </c>
      <c r="C106" s="23" t="s">
        <v>108</v>
      </c>
      <c r="D106" s="24" cm="1">
        <f t="array" aca="1" ref="D106" ca="1">IFERROR(INDIRECT(C106),"")</f>
        <v>34.200000000000003</v>
      </c>
      <c r="E106" s="26">
        <v>29</v>
      </c>
      <c r="F106" s="26">
        <v>28.2</v>
      </c>
      <c r="G106" s="27">
        <f ca="1">IFERROR((Table1[[#This Row],[Plan]]/Table1[[#This Row],[Hours Used]])/(Table1[[#This Row],[SOC (TPD)]]/24),"")</f>
        <v>1.0175438596491226</v>
      </c>
      <c r="H106" s="27">
        <f ca="1">IFERROR((Table1[[#This Row],[Volume Delivered (T)]]/Table1[[#This Row],[Hours Used]])/(Table1[[#This Row],[SOC (TPD)]]/24),"")</f>
        <v>0.98947368421052628</v>
      </c>
      <c r="I106" s="28"/>
      <c r="J106" s="28"/>
      <c r="K106" s="28">
        <v>4</v>
      </c>
      <c r="L106" s="25"/>
      <c r="M106" s="29">
        <v>4.2999999999999997E-2</v>
      </c>
      <c r="N106" s="84"/>
      <c r="O106" s="25"/>
      <c r="P106" s="25"/>
      <c r="Q106" s="70"/>
      <c r="R106" s="71"/>
      <c r="S106" s="30">
        <f>IF(Table1[[#This Row],[SKU]]="",0,24-Table1[[#This Row],[Legal Non-Operating Time]]-Table1[[#This Row],[No Demand Time]]-Table1[[#This Row],[Force Majeure]])</f>
        <v>20</v>
      </c>
      <c r="T106" s="26"/>
      <c r="U106" s="26"/>
      <c r="V106" s="26"/>
      <c r="W106" s="26"/>
      <c r="X106" s="26"/>
      <c r="Y106" s="26"/>
      <c r="Z106" s="26"/>
      <c r="AA106" s="30">
        <f>Table1[[#This Row],[Hours Used]]-SUM(Table1[[#This Row],[Planned Maintenance]:[Start and Finish Production]])</f>
        <v>20</v>
      </c>
      <c r="AB106" s="26"/>
      <c r="AC106" s="26"/>
      <c r="AD106" s="26"/>
      <c r="AE106" s="26"/>
      <c r="AF106" s="26"/>
      <c r="AG106" s="26"/>
      <c r="AH106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0.21052631578947612</v>
      </c>
      <c r="AI106" s="24">
        <f ca="1">IFERROR(IF(Table1[[#This Row],[SKU]]="",0,Table1[[#This Row],[Quality Loss (T)]]/(Table1[[#This Row],[SOC (TPD)]]/24)),"")</f>
        <v>0</v>
      </c>
      <c r="AJ106" s="31">
        <f ca="1">IFERROR(IF(Table1[[#This Row],[SKU]]="",0,Table1[[#This Row],[Volume Delivered (T)]]/(Table1[[#This Row],[SOC (TPD)]]/24)),"")</f>
        <v>19.789473684210524</v>
      </c>
      <c r="AK106" s="31">
        <f ca="1">IFERROR(Table1[[#This Row],[Operating Time]]/Table1[[#This Row],[PRODUCTION HOURS]],"")</f>
        <v>0.98947368421052617</v>
      </c>
      <c r="AL106" s="32">
        <v>93</v>
      </c>
      <c r="AM106" s="32" t="s">
        <v>107</v>
      </c>
      <c r="AN106" s="32" t="s">
        <v>107</v>
      </c>
      <c r="AO106" s="32">
        <v>4</v>
      </c>
      <c r="AP106" s="32">
        <v>0</v>
      </c>
      <c r="AQ106" s="32"/>
      <c r="AR106" s="32" t="str">
        <f>IFERROR(SUMIFS(#REF!,#REF!,'Data Sheet'!A:A,#REF!,"Samridhi Perk Line")/SUMIFS(#REF!,#REF!,'Data Sheet'!A:A,#REF!,"Samridhi Perk Line"),"")</f>
        <v/>
      </c>
      <c r="AS106" s="32"/>
      <c r="AT106" s="32"/>
      <c r="AU106" s="211">
        <f>IFERROR(VLOOKUP(Table1[[#This Row],[Date]],'Overweight Data'!A104:G1199,6,FALSE),"")</f>
        <v>2.0947533129853618E-2</v>
      </c>
      <c r="AV106" s="221">
        <f ca="1">IFERROR(
   IF(
      OR(Table1[[#This Row],[Operating Time]]=0, (Table1[[#This Row],[Operating Time]]/IF(AC106&lt;=1,AC106+1,AC106))*60=0),
      1,
      ((Table1[[#This Row],[Operating Time]])/IF(AC106&lt;=1,AC106+1,AC106))*60
   ),
"_")</f>
        <v>1187.3684210526314</v>
      </c>
      <c r="AW106" s="221">
        <f>COUNTIFS('Downtime Data'!A:A,Table1[[#This Row],[Date]])</f>
        <v>0</v>
      </c>
      <c r="AX106" s="219" t="str">
        <f>IFERROR((SUM(Table1[[#This Row],[Minor Stoppages]:[Material Shortages]])/Table1[[#This Row],['# Stops]])*60,"")</f>
        <v/>
      </c>
      <c r="AY106" s="219"/>
      <c r="AZ106" s="33">
        <v>46138</v>
      </c>
    </row>
    <row r="107" spans="1:52" ht="20.149999999999999" customHeight="1" x14ac:dyDescent="0.35">
      <c r="A107" s="21">
        <v>46124</v>
      </c>
      <c r="B107" s="22" t="str">
        <f t="shared" si="2"/>
        <v>Sunday</v>
      </c>
      <c r="C107" s="23" t="s">
        <v>108</v>
      </c>
      <c r="D107" s="24" cm="1">
        <f t="array" aca="1" ref="D107" ca="1">IFERROR(INDIRECT(C107),"")</f>
        <v>34.200000000000003</v>
      </c>
      <c r="E107" s="26">
        <v>29</v>
      </c>
      <c r="F107" s="26">
        <v>29.826888000000004</v>
      </c>
      <c r="G107" s="27">
        <f ca="1">IFERROR((Table1[[#This Row],[Plan]]/Table1[[#This Row],[Hours Used]])/(Table1[[#This Row],[SOC (TPD)]]/24),"")</f>
        <v>0.8479532163742689</v>
      </c>
      <c r="H107" s="27">
        <f ca="1">IFERROR((Table1[[#This Row],[Volume Delivered (T)]]/Table1[[#This Row],[Hours Used]])/(Table1[[#This Row],[SOC (TPD)]]/24),"")</f>
        <v>0.87213122807017551</v>
      </c>
      <c r="I107" s="28"/>
      <c r="J107" s="28"/>
      <c r="K107" s="28"/>
      <c r="L107" s="25">
        <v>0.6</v>
      </c>
      <c r="M107" s="29">
        <v>4.2999999999999997E-2</v>
      </c>
      <c r="N107" s="84"/>
      <c r="O107" s="25"/>
      <c r="P107" s="25"/>
      <c r="Q107" s="70"/>
      <c r="R107" s="71"/>
      <c r="S107" s="30">
        <f>IF(Table1[[#This Row],[SKU]]="",0,24-Table1[[#This Row],[Legal Non-Operating Time]]-Table1[[#This Row],[No Demand Time]]-Table1[[#This Row],[Force Majeure]])</f>
        <v>24</v>
      </c>
      <c r="T107" s="26"/>
      <c r="U107" s="26"/>
      <c r="V107" s="26"/>
      <c r="W107" s="26"/>
      <c r="X107" s="26"/>
      <c r="Y107" s="26"/>
      <c r="Z107" s="26"/>
      <c r="AA107" s="30">
        <f>Table1[[#This Row],[Hours Used]]-SUM(Table1[[#This Row],[Planned Maintenance]:[Start and Finish Production]])</f>
        <v>24</v>
      </c>
      <c r="AB107" s="26"/>
      <c r="AC107" s="26"/>
      <c r="AD107" s="26"/>
      <c r="AE107" s="26"/>
      <c r="AF107" s="26"/>
      <c r="AG107" s="26"/>
      <c r="AH107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2.6477978947368399</v>
      </c>
      <c r="AI107" s="24">
        <f ca="1">IFERROR(IF(Table1[[#This Row],[SKU]]="",0,Table1[[#This Row],[Quality Loss (T)]]/(Table1[[#This Row],[SOC (TPD)]]/24)),"")</f>
        <v>0.42105263157894735</v>
      </c>
      <c r="AJ107" s="31">
        <f ca="1">IFERROR(IF(Table1[[#This Row],[SKU]]="",0,Table1[[#This Row],[Volume Delivered (T)]]/(Table1[[#This Row],[SOC (TPD)]]/24)),"")</f>
        <v>20.931149473684211</v>
      </c>
      <c r="AK107" s="31">
        <f ca="1">IFERROR(Table1[[#This Row],[Operating Time]]/Table1[[#This Row],[PRODUCTION HOURS]],"")</f>
        <v>0.87213122807017551</v>
      </c>
      <c r="AL107" s="32">
        <v>90</v>
      </c>
      <c r="AM107" s="32" t="s">
        <v>105</v>
      </c>
      <c r="AN107" s="32" t="s">
        <v>105</v>
      </c>
      <c r="AO107" s="32">
        <v>0</v>
      </c>
      <c r="AP107" s="32">
        <v>0</v>
      </c>
      <c r="AQ107" s="32"/>
      <c r="AR107" s="32" t="str">
        <f>IFERROR(SUMIFS(#REF!,#REF!,'Data Sheet'!A:A,#REF!,"Samridhi Perk Line")/SUMIFS(#REF!,#REF!,'Data Sheet'!A:A,#REF!,"Samridhi Perk Line"),"")</f>
        <v/>
      </c>
      <c r="AS107" s="32"/>
      <c r="AT107" s="32"/>
      <c r="AU107" s="211">
        <f>IFERROR(VLOOKUP(Table1[[#This Row],[Date]],'Overweight Data'!A105:G1200,6,FALSE),"")</f>
        <v>2.764272559852669E-2</v>
      </c>
      <c r="AV107" s="221">
        <f ca="1">IFERROR(
   IF(
      OR(Table1[[#This Row],[Operating Time]]=0, (Table1[[#This Row],[Operating Time]]/IF(AC107&lt;=1,AC107+1,AC107))*60=0),
      1,
      ((Table1[[#This Row],[Operating Time]])/IF(AC107&lt;=1,AC107+1,AC107))*60
   ),
"_")</f>
        <v>1255.8689684210526</v>
      </c>
      <c r="AW107" s="221">
        <f>COUNTIFS('Downtime Data'!A:A,Table1[[#This Row],[Date]])</f>
        <v>0</v>
      </c>
      <c r="AX107" s="219" t="str">
        <f>IFERROR((SUM(Table1[[#This Row],[Minor Stoppages]:[Material Shortages]])/Table1[[#This Row],['# Stops]])*60,"")</f>
        <v/>
      </c>
      <c r="AY107" s="219"/>
      <c r="AZ107" s="33">
        <v>46138</v>
      </c>
    </row>
    <row r="108" spans="1:52" ht="20.149999999999999" customHeight="1" x14ac:dyDescent="0.35">
      <c r="A108" s="21">
        <v>46125</v>
      </c>
      <c r="B108" s="22" t="str">
        <f t="shared" si="2"/>
        <v>Monday</v>
      </c>
      <c r="C108" s="23" t="s">
        <v>108</v>
      </c>
      <c r="D108" s="24" cm="1">
        <f t="array" aca="1" ref="D108" ca="1">IFERROR(INDIRECT(C108),"")</f>
        <v>34.200000000000003</v>
      </c>
      <c r="E108" s="26">
        <v>29.2</v>
      </c>
      <c r="F108" s="26">
        <v>28.278696000000004</v>
      </c>
      <c r="G108" s="27">
        <f ca="1">IFERROR((Table1[[#This Row],[Plan]]/Table1[[#This Row],[Hours Used]])/(Table1[[#This Row],[SOC (TPD)]]/24),"")</f>
        <v>0.85380116959064323</v>
      </c>
      <c r="H108" s="27">
        <f ca="1">IFERROR((Table1[[#This Row],[Volume Delivered (T)]]/Table1[[#This Row],[Hours Used]])/(Table1[[#This Row],[SOC (TPD)]]/24),"")</f>
        <v>0.82686245614035092</v>
      </c>
      <c r="I108" s="28"/>
      <c r="J108" s="28"/>
      <c r="K108" s="28"/>
      <c r="L108" s="25">
        <f>0.48+1.13+0.17+0.28-0.29-0.53</f>
        <v>1.2399999999999995</v>
      </c>
      <c r="M108" s="29">
        <v>4.8000000000000001E-2</v>
      </c>
      <c r="N108" s="84"/>
      <c r="O108" s="25"/>
      <c r="P108" s="25"/>
      <c r="Q108" s="70"/>
      <c r="R108" s="71"/>
      <c r="S108" s="30">
        <f>IF(Table1[[#This Row],[SKU]]="",0,24-Table1[[#This Row],[Legal Non-Operating Time]]-Table1[[#This Row],[No Demand Time]]-Table1[[#This Row],[Force Majeure]])</f>
        <v>24</v>
      </c>
      <c r="T108" s="26">
        <v>1</v>
      </c>
      <c r="U108" s="26"/>
      <c r="V108" s="26"/>
      <c r="W108" s="26"/>
      <c r="X108" s="26"/>
      <c r="Y108" s="26"/>
      <c r="Z108" s="26"/>
      <c r="AA108" s="30">
        <f>Table1[[#This Row],[Hours Used]]-SUM(Table1[[#This Row],[Planned Maintenance]:[Start and Finish Production]])</f>
        <v>23</v>
      </c>
      <c r="AB108" s="26"/>
      <c r="AC108" s="26"/>
      <c r="AD108" s="26">
        <v>0.25</v>
      </c>
      <c r="AE108" s="26"/>
      <c r="AF108" s="26"/>
      <c r="AG108" s="26"/>
      <c r="AH108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2.0351256140350884</v>
      </c>
      <c r="AI108" s="24">
        <f ca="1">IFERROR(IF(Table1[[#This Row],[SKU]]="",0,Table1[[#This Row],[Quality Loss (T)]]/(Table1[[#This Row],[SOC (TPD)]]/24)),"")</f>
        <v>0.87017543859649094</v>
      </c>
      <c r="AJ108" s="31">
        <f ca="1">IFERROR(IF(Table1[[#This Row],[SKU]]="",0,Table1[[#This Row],[Volume Delivered (T)]]/(Table1[[#This Row],[SOC (TPD)]]/24)),"")</f>
        <v>19.844698947368421</v>
      </c>
      <c r="AK108" s="31">
        <f ca="1">IFERROR(Table1[[#This Row],[Operating Time]]/Table1[[#This Row],[PRODUCTION HOURS]],"")</f>
        <v>0.86281299771167053</v>
      </c>
      <c r="AL108" s="32">
        <v>84</v>
      </c>
      <c r="AM108" s="32" t="s">
        <v>107</v>
      </c>
      <c r="AN108" s="32" t="s">
        <v>107</v>
      </c>
      <c r="AO108" s="32">
        <v>46</v>
      </c>
      <c r="AP108" s="32">
        <v>46</v>
      </c>
      <c r="AQ108" s="32"/>
      <c r="AR108" s="32" t="str">
        <f>IFERROR(SUMIFS(#REF!,#REF!,'Data Sheet'!A:A,#REF!,"Samridhi Perk Line")/SUMIFS(#REF!,#REF!,'Data Sheet'!A:A,#REF!,"Samridhi Perk Line"),"")</f>
        <v/>
      </c>
      <c r="AS108" s="32"/>
      <c r="AT108" s="32"/>
      <c r="AU108" s="211">
        <f>IFERROR(VLOOKUP(Table1[[#This Row],[Date]],'Overweight Data'!A106:G1201,6,FALSE),"")</f>
        <v>2.0966850828729289E-2</v>
      </c>
      <c r="AV108" s="221">
        <f ca="1">IFERROR(
   IF(
      OR(Table1[[#This Row],[Operating Time]]=0, (Table1[[#This Row],[Operating Time]]/IF(AC108&lt;=1,AC108+1,AC108))*60=0),
      1,
      ((Table1[[#This Row],[Operating Time]])/IF(AC108&lt;=1,AC108+1,AC108))*60
   ),
"_")</f>
        <v>1190.6819368421052</v>
      </c>
      <c r="AW108" s="221">
        <f>COUNTIFS('Downtime Data'!A:A,Table1[[#This Row],[Date]])</f>
        <v>1</v>
      </c>
      <c r="AX108" s="219">
        <f>IFERROR((SUM(Table1[[#This Row],[Minor Stoppages]:[Material Shortages]])/Table1[[#This Row],['# Stops]])*60,"")</f>
        <v>15</v>
      </c>
      <c r="AY108" s="219"/>
      <c r="AZ108" s="33">
        <v>46138</v>
      </c>
    </row>
    <row r="109" spans="1:52" ht="20.149999999999999" customHeight="1" x14ac:dyDescent="0.35">
      <c r="A109" s="21">
        <v>46126</v>
      </c>
      <c r="B109" s="22" t="str">
        <f t="shared" si="2"/>
        <v>Tuesday</v>
      </c>
      <c r="C109" s="23" t="s">
        <v>108</v>
      </c>
      <c r="D109" s="24" cm="1">
        <f t="array" aca="1" ref="D109" ca="1">IFERROR(INDIRECT(C109),"")</f>
        <v>34.200000000000003</v>
      </c>
      <c r="E109" s="26">
        <v>29.2</v>
      </c>
      <c r="F109" s="26">
        <v>30.227856000000003</v>
      </c>
      <c r="G109" s="27">
        <f ca="1">IFERROR((Table1[[#This Row],[Plan]]/Table1[[#This Row],[Hours Used]])/(Table1[[#This Row],[SOC (TPD)]]/24),"")</f>
        <v>0.85380116959064323</v>
      </c>
      <c r="H109" s="27">
        <f ca="1">IFERROR((Table1[[#This Row],[Volume Delivered (T)]]/Table1[[#This Row],[Hours Used]])/(Table1[[#This Row],[SOC (TPD)]]/24),"")</f>
        <v>0.88385543859649129</v>
      </c>
      <c r="I109" s="28"/>
      <c r="J109" s="28"/>
      <c r="K109" s="28"/>
      <c r="L109" s="25">
        <f>0.52+1.16+0.17+0.32-0.28-0.65</f>
        <v>1.2399999999999998</v>
      </c>
      <c r="M109" s="29">
        <v>4.8000000000000001E-2</v>
      </c>
      <c r="N109" s="84"/>
      <c r="O109" s="25"/>
      <c r="P109" s="25"/>
      <c r="Q109" s="70"/>
      <c r="R109" s="71"/>
      <c r="S109" s="30">
        <f>IF(Table1[[#This Row],[SKU]]="",0,24-Table1[[#This Row],[Legal Non-Operating Time]]-Table1[[#This Row],[No Demand Time]]-Table1[[#This Row],[Force Majeure]])</f>
        <v>24</v>
      </c>
      <c r="T109" s="26"/>
      <c r="U109" s="26">
        <v>1</v>
      </c>
      <c r="V109" s="26"/>
      <c r="W109" s="26"/>
      <c r="X109" s="26"/>
      <c r="Y109" s="26"/>
      <c r="Z109" s="26"/>
      <c r="AA109" s="30">
        <f>Table1[[#This Row],[Hours Used]]-SUM(Table1[[#This Row],[Planned Maintenance]:[Start and Finish Production]])</f>
        <v>23</v>
      </c>
      <c r="AB109" s="26"/>
      <c r="AC109" s="26"/>
      <c r="AD109" s="26"/>
      <c r="AE109" s="26"/>
      <c r="AF109" s="26"/>
      <c r="AG109" s="26"/>
      <c r="AH109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0.91729403508771767</v>
      </c>
      <c r="AI109" s="24">
        <f ca="1">IFERROR(IF(Table1[[#This Row],[SKU]]="",0,Table1[[#This Row],[Quality Loss (T)]]/(Table1[[#This Row],[SOC (TPD)]]/24)),"")</f>
        <v>0.87017543859649105</v>
      </c>
      <c r="AJ109" s="31">
        <f ca="1">IFERROR(IF(Table1[[#This Row],[SKU]]="",0,Table1[[#This Row],[Volume Delivered (T)]]/(Table1[[#This Row],[SOC (TPD)]]/24)),"")</f>
        <v>21.212530526315792</v>
      </c>
      <c r="AK109" s="31">
        <f ca="1">IFERROR(Table1[[#This Row],[Operating Time]]/Table1[[#This Row],[PRODUCTION HOURS]],"")</f>
        <v>0.9222839359267736</v>
      </c>
      <c r="AL109" s="32">
        <v>83</v>
      </c>
      <c r="AM109" s="32" t="s">
        <v>107</v>
      </c>
      <c r="AN109" s="32" t="s">
        <v>107</v>
      </c>
      <c r="AO109" s="32">
        <v>0</v>
      </c>
      <c r="AP109" s="32">
        <v>0</v>
      </c>
      <c r="AQ109" s="32"/>
      <c r="AR109" s="32" t="str">
        <f>IFERROR(SUMIFS(#REF!,#REF!,'Data Sheet'!A:A,#REF!,"Samridhi Perk Line")/SUMIFS(#REF!,#REF!,'Data Sheet'!A:A,#REF!,"Samridhi Perk Line"),"")</f>
        <v/>
      </c>
      <c r="AS109" s="32"/>
      <c r="AT109" s="32"/>
      <c r="AU109" s="211">
        <f>IFERROR(VLOOKUP(Table1[[#This Row],[Date]],'Overweight Data'!A107:G1202,6,FALSE),"")</f>
        <v>2.9539594843462233E-2</v>
      </c>
      <c r="AV109" s="221">
        <f ca="1">IFERROR(
   IF(
      OR(Table1[[#This Row],[Operating Time]]=0, (Table1[[#This Row],[Operating Time]]/IF(AC109&lt;=1,AC109+1,AC109))*60=0),
      1,
      ((Table1[[#This Row],[Operating Time]])/IF(AC109&lt;=1,AC109+1,AC109))*60
   ),
"_")</f>
        <v>1272.7518315789475</v>
      </c>
      <c r="AW109" s="221">
        <f>COUNTIFS('Downtime Data'!A:A,Table1[[#This Row],[Date]])</f>
        <v>0</v>
      </c>
      <c r="AX109" s="219" t="str">
        <f>IFERROR((SUM(Table1[[#This Row],[Minor Stoppages]:[Material Shortages]])/Table1[[#This Row],['# Stops]])*60,"")</f>
        <v/>
      </c>
      <c r="AY109" s="219"/>
      <c r="AZ109" s="33">
        <v>46138</v>
      </c>
    </row>
    <row r="110" spans="1:52" ht="20.149999999999999" customHeight="1" x14ac:dyDescent="0.35">
      <c r="A110" s="21">
        <v>46127</v>
      </c>
      <c r="B110" s="22" t="str">
        <f t="shared" si="2"/>
        <v>Wednesday</v>
      </c>
      <c r="C110" s="23" t="s">
        <v>108</v>
      </c>
      <c r="D110" s="24" cm="1">
        <f t="array" aca="1" ref="D110" ca="1">IFERROR(INDIRECT(C110),"")</f>
        <v>34.200000000000003</v>
      </c>
      <c r="E110" s="26">
        <v>29.2</v>
      </c>
      <c r="F110" s="26">
        <v>27.380880000000001</v>
      </c>
      <c r="G110" s="27">
        <f ca="1">IFERROR((Table1[[#This Row],[Plan]]/Table1[[#This Row],[Hours Used]])/(Table1[[#This Row],[SOC (TPD)]]/24),"")</f>
        <v>0.85380116959064323</v>
      </c>
      <c r="H110" s="27">
        <f ca="1">IFERROR((Table1[[#This Row],[Volume Delivered (T)]]/Table1[[#This Row],[Hours Used]])/(Table1[[#This Row],[SOC (TPD)]]/24),"")</f>
        <v>0.80061052631578944</v>
      </c>
      <c r="I110" s="28"/>
      <c r="J110" s="28"/>
      <c r="K110" s="28"/>
      <c r="L110" s="25">
        <f>0.52+1.19+0.16+0.34-0.23-0.53</f>
        <v>1.45</v>
      </c>
      <c r="M110" s="29">
        <v>4.8000000000000001E-2</v>
      </c>
      <c r="N110" s="84"/>
      <c r="O110" s="25"/>
      <c r="P110" s="25"/>
      <c r="Q110" s="70"/>
      <c r="R110" s="71"/>
      <c r="S110" s="30">
        <f>IF(Table1[[#This Row],[SKU]]="",0,24-Table1[[#This Row],[Legal Non-Operating Time]]-Table1[[#This Row],[No Demand Time]]-Table1[[#This Row],[Force Majeure]])</f>
        <v>24</v>
      </c>
      <c r="T110" s="26"/>
      <c r="U110" s="26"/>
      <c r="V110" s="26"/>
      <c r="W110" s="26"/>
      <c r="X110" s="26"/>
      <c r="Y110" s="26"/>
      <c r="Z110" s="26"/>
      <c r="AA110" s="30">
        <f>Table1[[#This Row],[Hours Used]]-SUM(Table1[[#This Row],[Planned Maintenance]:[Start and Finish Production]])</f>
        <v>24</v>
      </c>
      <c r="AB110" s="26"/>
      <c r="AC110" s="26">
        <v>0.6</v>
      </c>
      <c r="AD110" s="26"/>
      <c r="AE110" s="26"/>
      <c r="AF110" s="26"/>
      <c r="AG110" s="26"/>
      <c r="AH110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3.1678035087719287</v>
      </c>
      <c r="AI110" s="24">
        <f ca="1">IFERROR(IF(Table1[[#This Row],[SKU]]="",0,Table1[[#This Row],[Quality Loss (T)]]/(Table1[[#This Row],[SOC (TPD)]]/24)),"")</f>
        <v>1.0175438596491226</v>
      </c>
      <c r="AJ110" s="31">
        <f ca="1">IFERROR(IF(Table1[[#This Row],[SKU]]="",0,Table1[[#This Row],[Volume Delivered (T)]]/(Table1[[#This Row],[SOC (TPD)]]/24)),"")</f>
        <v>19.214652631578947</v>
      </c>
      <c r="AK110" s="31">
        <f ca="1">IFERROR(Table1[[#This Row],[Operating Time]]/Table1[[#This Row],[PRODUCTION HOURS]],"")</f>
        <v>0.80061052631578944</v>
      </c>
      <c r="AL110" s="32">
        <v>76</v>
      </c>
      <c r="AM110" s="32" t="s">
        <v>107</v>
      </c>
      <c r="AN110" s="32" t="s">
        <v>105</v>
      </c>
      <c r="AO110" s="32">
        <v>3</v>
      </c>
      <c r="AP110" s="32">
        <v>2</v>
      </c>
      <c r="AQ110" s="32"/>
      <c r="AR110" s="32" t="str">
        <f>IFERROR(SUMIFS(#REF!,#REF!,'Data Sheet'!A:A,#REF!,"Samridhi Perk Line")/SUMIFS(#REF!,#REF!,'Data Sheet'!A:A,#REF!,"Samridhi Perk Line"),"")</f>
        <v/>
      </c>
      <c r="AS110" s="32"/>
      <c r="AT110" s="32"/>
      <c r="AU110" s="211">
        <f>IFERROR(VLOOKUP(Table1[[#This Row],[Date]],'Overweight Data'!A108:G1203,6,FALSE),"")</f>
        <v>2.8139963167587479E-2</v>
      </c>
      <c r="AV110" s="221">
        <f ca="1">IFERROR(
   IF(
      OR(Table1[[#This Row],[Operating Time]]=0, (Table1[[#This Row],[Operating Time]]/IF(AC110&lt;=1,AC110+1,AC110))*60=0),
      1,
      ((Table1[[#This Row],[Operating Time]])/IF(AC110&lt;=1,AC110+1,AC110))*60
   ),
"_")</f>
        <v>720.54947368421051</v>
      </c>
      <c r="AW110" s="221">
        <f>COUNTIFS('Downtime Data'!A:A,Table1[[#This Row],[Date]])</f>
        <v>2</v>
      </c>
      <c r="AX110" s="219">
        <f>IFERROR((SUM(Table1[[#This Row],[Minor Stoppages]:[Material Shortages]])/Table1[[#This Row],['# Stops]])*60,"")</f>
        <v>18</v>
      </c>
      <c r="AY110" s="219"/>
      <c r="AZ110" s="33">
        <v>46138</v>
      </c>
    </row>
    <row r="111" spans="1:52" ht="20.149999999999999" customHeight="1" x14ac:dyDescent="0.35">
      <c r="A111" s="21">
        <v>46128</v>
      </c>
      <c r="B111" s="22" t="str">
        <f t="shared" si="2"/>
        <v>Thursday</v>
      </c>
      <c r="C111" s="23" t="s">
        <v>108</v>
      </c>
      <c r="D111" s="24" cm="1">
        <f t="array" aca="1" ref="D111" ca="1">IFERROR(INDIRECT(C111),"")</f>
        <v>34.200000000000003</v>
      </c>
      <c r="E111" s="25">
        <v>13.5</v>
      </c>
      <c r="F111" s="26">
        <v>12.110404000000001</v>
      </c>
      <c r="G111" s="27">
        <f ca="1">IFERROR((Table1[[#This Row],[Plan]]/Table1[[#This Row],[Hours Used]])/(Table1[[#This Row],[SOC (TPD)]]/24),"")</f>
        <v>0.39473684210526316</v>
      </c>
      <c r="H111" s="27">
        <f ca="1">IFERROR((Table1[[#This Row],[Volume Delivered (T)]]/Table1[[#This Row],[Hours Used]])/(Table1[[#This Row],[SOC (TPD)]]/24),"")</f>
        <v>0.35410538011695908</v>
      </c>
      <c r="I111" s="28"/>
      <c r="J111" s="28"/>
      <c r="K111" s="28"/>
      <c r="L111" s="25">
        <f>0.32+0.8+0.1+0.32-0.15-0.46</f>
        <v>0.93000000000000038</v>
      </c>
      <c r="M111" s="29">
        <v>4.8000000000000001E-2</v>
      </c>
      <c r="N111" s="84">
        <v>18.5</v>
      </c>
      <c r="O111" s="25"/>
      <c r="P111" s="25"/>
      <c r="Q111" s="70"/>
      <c r="R111" s="71"/>
      <c r="S111" s="30">
        <f>IF(Table1[[#This Row],[SKU]]="",0,24-Table1[[#This Row],[Legal Non-Operating Time]]-Table1[[#This Row],[No Demand Time]]-Table1[[#This Row],[Force Majeure]])</f>
        <v>24</v>
      </c>
      <c r="T111" s="26"/>
      <c r="U111" s="26"/>
      <c r="V111" s="26">
        <v>12</v>
      </c>
      <c r="W111" s="26"/>
      <c r="X111" s="26"/>
      <c r="Y111" s="26"/>
      <c r="Z111" s="26"/>
      <c r="AA111" s="30">
        <f>Table1[[#This Row],[Hours Used]]-SUM(Table1[[#This Row],[Planned Maintenance]:[Start and Finish Production]])</f>
        <v>12</v>
      </c>
      <c r="AB111" s="26"/>
      <c r="AC111" s="26">
        <v>2</v>
      </c>
      <c r="AD111" s="26"/>
      <c r="AE111" s="26"/>
      <c r="AF111" s="26"/>
      <c r="AG111" s="26"/>
      <c r="AH111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0.84883929824561477</v>
      </c>
      <c r="AI111" s="24">
        <f ca="1">IFERROR(IF(Table1[[#This Row],[SKU]]="",0,Table1[[#This Row],[Quality Loss (T)]]/(Table1[[#This Row],[SOC (TPD)]]/24)),"")</f>
        <v>0.65263157894736867</v>
      </c>
      <c r="AJ111" s="31">
        <f ca="1">IFERROR(IF(Table1[[#This Row],[SKU]]="",0,Table1[[#This Row],[Volume Delivered (T)]]/(Table1[[#This Row],[SOC (TPD)]]/24)),"")</f>
        <v>8.4985291228070174</v>
      </c>
      <c r="AK111" s="31">
        <f ca="1">IFERROR(Table1[[#This Row],[Operating Time]]/Table1[[#This Row],[PRODUCTION HOURS]],"")</f>
        <v>0.70821076023391816</v>
      </c>
      <c r="AL111" s="32">
        <v>76</v>
      </c>
      <c r="AM111" s="32" t="s">
        <v>107</v>
      </c>
      <c r="AN111" s="32" t="s">
        <v>105</v>
      </c>
      <c r="AO111" s="32">
        <v>13</v>
      </c>
      <c r="AP111" s="32">
        <v>12</v>
      </c>
      <c r="AQ111" s="32"/>
      <c r="AR111" s="32" t="str">
        <f>IFERROR(SUMIFS(#REF!,#REF!,'Data Sheet'!A:A,#REF!,"Samridhi Perk Line")/SUMIFS(#REF!,#REF!,'Data Sheet'!A:A,#REF!,"Samridhi Perk Line"),"")</f>
        <v/>
      </c>
      <c r="AS111" s="32"/>
      <c r="AT111" s="32"/>
      <c r="AU111" s="211">
        <f>IFERROR(VLOOKUP(Table1[[#This Row],[Date]],'Overweight Data'!A109:G1204,6,FALSE),"")</f>
        <v>2.6519337016574596E-2</v>
      </c>
      <c r="AV111" s="221">
        <f ca="1">IFERROR(
   IF(
      OR(Table1[[#This Row],[Operating Time]]=0, (Table1[[#This Row],[Operating Time]]/IF(AC111&lt;=1,AC111+1,AC111))*60=0),
      1,
      ((Table1[[#This Row],[Operating Time]])/IF(AC111&lt;=1,AC111+1,AC111))*60
   ),
"_")</f>
        <v>254.95587368421053</v>
      </c>
      <c r="AW111" s="221">
        <f>COUNTIFS('Downtime Data'!A:A,Table1[[#This Row],[Date]])</f>
        <v>1</v>
      </c>
      <c r="AX111" s="219">
        <f>IFERROR((SUM(Table1[[#This Row],[Minor Stoppages]:[Material Shortages]])/Table1[[#This Row],['# Stops]])*60,"")</f>
        <v>120</v>
      </c>
      <c r="AY111" s="219"/>
      <c r="AZ111" s="33">
        <v>46138</v>
      </c>
    </row>
    <row r="112" spans="1:52" ht="20.149999999999999" customHeight="1" x14ac:dyDescent="0.35">
      <c r="A112" s="21">
        <v>46129</v>
      </c>
      <c r="B112" s="22" t="str">
        <f t="shared" si="2"/>
        <v>Friday</v>
      </c>
      <c r="C112" s="23" t="s">
        <v>108</v>
      </c>
      <c r="D112" s="24" cm="1">
        <f t="array" aca="1" ref="D112" ca="1">IFERROR(INDIRECT(C112),"")</f>
        <v>34.200000000000003</v>
      </c>
      <c r="E112" s="25">
        <v>24.5</v>
      </c>
      <c r="F112" s="26">
        <v>23.328498</v>
      </c>
      <c r="G112" s="27">
        <f ca="1">IFERROR((Table1[[#This Row],[Plan]]/Table1[[#This Row],[Hours Used]])/(Table1[[#This Row],[SOC (TPD)]]/24),"")</f>
        <v>0.71637426900584789</v>
      </c>
      <c r="H112" s="27">
        <f ca="1">IFERROR((Table1[[#This Row],[Volume Delivered (T)]]/Table1[[#This Row],[Hours Used]])/(Table1[[#This Row],[SOC (TPD)]]/24),"")</f>
        <v>0.68211982456140352</v>
      </c>
      <c r="I112" s="28"/>
      <c r="J112" s="28"/>
      <c r="K112" s="28"/>
      <c r="L112" s="25">
        <f>0.54+1.41+0.16+0.27-0.3-0.71</f>
        <v>1.37</v>
      </c>
      <c r="M112" s="29">
        <v>4.5999999999999999E-2</v>
      </c>
      <c r="N112" s="84">
        <v>26.5</v>
      </c>
      <c r="O112" s="25"/>
      <c r="P112" s="25"/>
      <c r="Q112" s="70"/>
      <c r="R112" s="71"/>
      <c r="S112" s="30">
        <f>IF(Table1[[#This Row],[SKU]]="",0,24-Table1[[#This Row],[Legal Non-Operating Time]]-Table1[[#This Row],[No Demand Time]]-Table1[[#This Row],[Force Majeure]])</f>
        <v>24</v>
      </c>
      <c r="T112" s="26">
        <v>2</v>
      </c>
      <c r="U112" s="26"/>
      <c r="V112" s="26"/>
      <c r="W112" s="26"/>
      <c r="X112" s="26"/>
      <c r="Y112" s="26"/>
      <c r="Z112" s="26"/>
      <c r="AA112" s="30">
        <f>Table1[[#This Row],[Hours Used]]-SUM(Table1[[#This Row],[Planned Maintenance]:[Start and Finish Production]])</f>
        <v>22</v>
      </c>
      <c r="AB112" s="26"/>
      <c r="AC112" s="26">
        <f>66/60</f>
        <v>1.1000000000000001</v>
      </c>
      <c r="AD112" s="26"/>
      <c r="AE112" s="26"/>
      <c r="AF112" s="26"/>
      <c r="AG112" s="26"/>
      <c r="AH112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3.5677207017543857</v>
      </c>
      <c r="AI112" s="24">
        <f ca="1">IFERROR(IF(Table1[[#This Row],[SKU]]="",0,Table1[[#This Row],[Quality Loss (T)]]/(Table1[[#This Row],[SOC (TPD)]]/24)),"")</f>
        <v>0.96140350877192982</v>
      </c>
      <c r="AJ112" s="31">
        <f ca="1">IFERROR(IF(Table1[[#This Row],[SKU]]="",0,Table1[[#This Row],[Volume Delivered (T)]]/(Table1[[#This Row],[SOC (TPD)]]/24)),"")</f>
        <v>16.370875789473683</v>
      </c>
      <c r="AK112" s="31">
        <f ca="1">IFERROR(Table1[[#This Row],[Operating Time]]/Table1[[#This Row],[PRODUCTION HOURS]],"")</f>
        <v>0.74413071770334926</v>
      </c>
      <c r="AL112" s="32">
        <v>78</v>
      </c>
      <c r="AM112" s="32" t="s">
        <v>107</v>
      </c>
      <c r="AN112" s="32" t="s">
        <v>105</v>
      </c>
      <c r="AO112" s="32">
        <v>0</v>
      </c>
      <c r="AP112" s="32">
        <v>0</v>
      </c>
      <c r="AQ112" s="32"/>
      <c r="AR112" s="32" t="str">
        <f>IFERROR(SUMIFS(#REF!,#REF!,'Data Sheet'!A:A,#REF!,"Samridhi Perk Line")/SUMIFS(#REF!,#REF!,'Data Sheet'!A:A,#REF!,"Samridhi Perk Line"),"")</f>
        <v/>
      </c>
      <c r="AS112" s="32"/>
      <c r="AT112" s="32"/>
      <c r="AU112" s="211">
        <f>IFERROR(VLOOKUP(Table1[[#This Row],[Date]],'Overweight Data'!A110:G1205,6,FALSE),"")</f>
        <v>2.4388111888111835E-2</v>
      </c>
      <c r="AV112" s="221">
        <f ca="1">IFERROR(
   IF(
      OR(Table1[[#This Row],[Operating Time]]=0, (Table1[[#This Row],[Operating Time]]/IF(AC112&lt;=1,AC112+1,AC112))*60=0),
      1,
      ((Table1[[#This Row],[Operating Time]])/IF(AC112&lt;=1,AC112+1,AC112))*60
   ),
"_")</f>
        <v>892.95686124401902</v>
      </c>
      <c r="AW112" s="221">
        <f>COUNTIFS('Downtime Data'!A:A,Table1[[#This Row],[Date]])</f>
        <v>1</v>
      </c>
      <c r="AX112" s="219">
        <f>IFERROR((SUM(Table1[[#This Row],[Minor Stoppages]:[Material Shortages]])/Table1[[#This Row],['# Stops]])*60,"")</f>
        <v>66</v>
      </c>
      <c r="AY112" s="219"/>
      <c r="AZ112" s="33">
        <v>46138</v>
      </c>
    </row>
    <row r="113" spans="1:52" ht="20.149999999999999" customHeight="1" x14ac:dyDescent="0.35">
      <c r="A113" s="21">
        <v>46130</v>
      </c>
      <c r="B113" s="22" t="str">
        <f t="shared" si="2"/>
        <v>Saturday</v>
      </c>
      <c r="C113" s="23" t="s">
        <v>108</v>
      </c>
      <c r="D113" s="24" cm="1">
        <f t="array" aca="1" ref="D113" ca="1">IFERROR(INDIRECT(C113),"")</f>
        <v>34.200000000000003</v>
      </c>
      <c r="E113" s="25">
        <v>27.5</v>
      </c>
      <c r="F113" s="26">
        <v>27.9</v>
      </c>
      <c r="G113" s="27">
        <f ca="1">IFERROR((Table1[[#This Row],[Plan]]/Table1[[#This Row],[Hours Used]])/(Table1[[#This Row],[SOC (TPD)]]/24),"")</f>
        <v>0.80409356725146186</v>
      </c>
      <c r="H113" s="27">
        <f ca="1">IFERROR((Table1[[#This Row],[Volume Delivered (T)]]/Table1[[#This Row],[Hours Used]])/(Table1[[#This Row],[SOC (TPD)]]/24),"")</f>
        <v>0.8157894736842104</v>
      </c>
      <c r="I113" s="28"/>
      <c r="J113" s="28"/>
      <c r="K113" s="28"/>
      <c r="L113" s="25">
        <v>1.3</v>
      </c>
      <c r="M113" s="29">
        <v>4.3999999999999997E-2</v>
      </c>
      <c r="N113" s="84">
        <v>26.5</v>
      </c>
      <c r="O113" s="25"/>
      <c r="P113" s="25"/>
      <c r="Q113" s="70"/>
      <c r="R113" s="71"/>
      <c r="S113" s="30">
        <f>IF(Table1[[#This Row],[SKU]]="",0,24-Table1[[#This Row],[Legal Non-Operating Time]]-Table1[[#This Row],[No Demand Time]]-Table1[[#This Row],[Force Majeure]])</f>
        <v>24</v>
      </c>
      <c r="T113" s="26">
        <v>1</v>
      </c>
      <c r="U113" s="26"/>
      <c r="V113" s="26"/>
      <c r="W113" s="26"/>
      <c r="X113" s="26"/>
      <c r="Y113" s="26"/>
      <c r="Z113" s="26"/>
      <c r="AA113" s="30">
        <f>Table1[[#This Row],[Hours Used]]-SUM(Table1[[#This Row],[Planned Maintenance]:[Start and Finish Production]])</f>
        <v>23</v>
      </c>
      <c r="AB113" s="26"/>
      <c r="AC113" s="26"/>
      <c r="AD113" s="26"/>
      <c r="AE113" s="26"/>
      <c r="AF113" s="26"/>
      <c r="AG113" s="26"/>
      <c r="AH113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2.5087719298245617</v>
      </c>
      <c r="AI113" s="24">
        <f ca="1">IFERROR(IF(Table1[[#This Row],[SKU]]="",0,Table1[[#This Row],[Quality Loss (T)]]/(Table1[[#This Row],[SOC (TPD)]]/24)),"")</f>
        <v>0.91228070175438591</v>
      </c>
      <c r="AJ113" s="31">
        <f ca="1">IFERROR(IF(Table1[[#This Row],[SKU]]="",0,Table1[[#This Row],[Volume Delivered (T)]]/(Table1[[#This Row],[SOC (TPD)]]/24)),"")</f>
        <v>19.578947368421051</v>
      </c>
      <c r="AK113" s="31">
        <f ca="1">IFERROR(Table1[[#This Row],[Operating Time]]/Table1[[#This Row],[PRODUCTION HOURS]],"")</f>
        <v>0.85125858123569786</v>
      </c>
      <c r="AL113" s="32">
        <v>80</v>
      </c>
      <c r="AM113" s="32" t="s">
        <v>107</v>
      </c>
      <c r="AN113" s="32" t="s">
        <v>105</v>
      </c>
      <c r="AO113" s="32">
        <v>0</v>
      </c>
      <c r="AP113" s="32">
        <v>0</v>
      </c>
      <c r="AQ113" s="32"/>
      <c r="AR113" s="32" t="str">
        <f>IFERROR(SUMIFS(#REF!,#REF!,'Data Sheet'!A:A,#REF!,"Samridhi Perk Line")/SUMIFS(#REF!,#REF!,'Data Sheet'!A:A,#REF!,"Samridhi Perk Line"),"")</f>
        <v/>
      </c>
      <c r="AS113" s="32"/>
      <c r="AT113" s="32"/>
      <c r="AU113" s="211">
        <f>IFERROR(VLOOKUP(Table1[[#This Row],[Date]],'Overweight Data'!A111:G1206,6,FALSE),"")</f>
        <v>1.6118881118881101E-2</v>
      </c>
      <c r="AV113" s="221">
        <f ca="1">IFERROR(
   IF(
      OR(Table1[[#This Row],[Operating Time]]=0, (Table1[[#This Row],[Operating Time]]/IF(AC113&lt;=1,AC113+1,AC113))*60=0),
      1,
      ((Table1[[#This Row],[Operating Time]])/IF(AC113&lt;=1,AC113+1,AC113))*60
   ),
"_")</f>
        <v>1174.7368421052631</v>
      </c>
      <c r="AW113" s="221">
        <f>COUNTIFS('Downtime Data'!A:A,Table1[[#This Row],[Date]])</f>
        <v>2</v>
      </c>
      <c r="AX113" s="219">
        <f>IFERROR((SUM(Table1[[#This Row],[Minor Stoppages]:[Material Shortages]])/Table1[[#This Row],['# Stops]])*60,"")</f>
        <v>0</v>
      </c>
      <c r="AY113" s="219"/>
      <c r="AZ113" s="33">
        <v>46138</v>
      </c>
    </row>
    <row r="114" spans="1:52" ht="20.149999999999999" customHeight="1" x14ac:dyDescent="0.35">
      <c r="A114" s="21">
        <v>46131</v>
      </c>
      <c r="B114" s="22" t="str">
        <f t="shared" si="2"/>
        <v>Sunday</v>
      </c>
      <c r="C114" s="23" t="s">
        <v>108</v>
      </c>
      <c r="D114" s="24" cm="1">
        <f t="array" aca="1" ref="D114" ca="1">IFERROR(INDIRECT(C114),"")</f>
        <v>34.200000000000003</v>
      </c>
      <c r="E114" s="25">
        <v>33</v>
      </c>
      <c r="F114" s="26">
        <v>29.921830000000003</v>
      </c>
      <c r="G114" s="27">
        <f ca="1">IFERROR((Table1[[#This Row],[Plan]]/Table1[[#This Row],[Hours Used]])/(Table1[[#This Row],[SOC (TPD)]]/24),"")</f>
        <v>0.96491228070175439</v>
      </c>
      <c r="H114" s="27">
        <f ca="1">IFERROR((Table1[[#This Row],[Volume Delivered (T)]]/Table1[[#This Row],[Hours Used]])/(Table1[[#This Row],[SOC (TPD)]]/24),"")</f>
        <v>0.87490730994152055</v>
      </c>
      <c r="I114" s="28"/>
      <c r="J114" s="28"/>
      <c r="K114" s="28"/>
      <c r="L114" s="25">
        <v>1.3</v>
      </c>
      <c r="M114" s="29">
        <v>4.2999999999999997E-2</v>
      </c>
      <c r="N114" s="84">
        <v>26.5</v>
      </c>
      <c r="O114" s="25"/>
      <c r="P114" s="25"/>
      <c r="Q114" s="70"/>
      <c r="R114" s="71"/>
      <c r="S114" s="30">
        <f>IF(Table1[[#This Row],[SKU]]="",0,24-Table1[[#This Row],[Legal Non-Operating Time]]-Table1[[#This Row],[No Demand Time]]-Table1[[#This Row],[Force Majeure]])</f>
        <v>24</v>
      </c>
      <c r="T114" s="26"/>
      <c r="U114" s="26"/>
      <c r="V114" s="26"/>
      <c r="W114" s="26"/>
      <c r="X114" s="26"/>
      <c r="Y114" s="26"/>
      <c r="Z114" s="26"/>
      <c r="AA114" s="30">
        <f>Table1[[#This Row],[Hours Used]]-SUM(Table1[[#This Row],[Planned Maintenance]:[Start and Finish Production]])</f>
        <v>24</v>
      </c>
      <c r="AB114" s="26"/>
      <c r="AC114" s="26"/>
      <c r="AD114" s="26"/>
      <c r="AE114" s="26"/>
      <c r="AF114" s="26">
        <v>2.2000000000000002</v>
      </c>
      <c r="AG114" s="26"/>
      <c r="AH114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-0.11005614035087774</v>
      </c>
      <c r="AI114" s="24">
        <f ca="1">IFERROR(IF(Table1[[#This Row],[SKU]]="",0,Table1[[#This Row],[Quality Loss (T)]]/(Table1[[#This Row],[SOC (TPD)]]/24)),"")</f>
        <v>0.91228070175438591</v>
      </c>
      <c r="AJ114" s="31">
        <f ca="1">IFERROR(IF(Table1[[#This Row],[SKU]]="",0,Table1[[#This Row],[Volume Delivered (T)]]/(Table1[[#This Row],[SOC (TPD)]]/24)),"")</f>
        <v>20.997775438596491</v>
      </c>
      <c r="AK114" s="31">
        <f ca="1">IFERROR(Table1[[#This Row],[Operating Time]]/Table1[[#This Row],[PRODUCTION HOURS]],"")</f>
        <v>0.87490730994152044</v>
      </c>
      <c r="AL114" s="32">
        <v>101</v>
      </c>
      <c r="AM114" s="32" t="s">
        <v>107</v>
      </c>
      <c r="AN114" s="32" t="s">
        <v>105</v>
      </c>
      <c r="AO114" s="32">
        <v>3</v>
      </c>
      <c r="AP114" s="32">
        <v>0</v>
      </c>
      <c r="AQ114" s="32"/>
      <c r="AR114" s="32" t="str">
        <f>IFERROR(SUMIFS(#REF!,#REF!,'Data Sheet'!A:A,#REF!,"Samridhi Perk Line")/SUMIFS(#REF!,#REF!,'Data Sheet'!A:A,#REF!,"Samridhi Perk Line"),"")</f>
        <v/>
      </c>
      <c r="AS114" s="32"/>
      <c r="AT114" s="32"/>
      <c r="AU114" s="211">
        <f>IFERROR(VLOOKUP(Table1[[#This Row],[Date]],'Overweight Data'!A112:G1207,6,FALSE),"")</f>
        <v>1.6864801864801899E-2</v>
      </c>
      <c r="AV114" s="221">
        <f ca="1">IFERROR(
   IF(
      OR(Table1[[#This Row],[Operating Time]]=0, (Table1[[#This Row],[Operating Time]]/IF(AC114&lt;=1,AC114+1,AC114))*60=0),
      1,
      ((Table1[[#This Row],[Operating Time]])/IF(AC114&lt;=1,AC114+1,AC114))*60
   ),
"_")</f>
        <v>1259.8665263157895</v>
      </c>
      <c r="AW114" s="221">
        <f>COUNTIFS('Downtime Data'!A:A,Table1[[#This Row],[Date]])</f>
        <v>2</v>
      </c>
      <c r="AX114" s="219">
        <f>IFERROR((SUM(Table1[[#This Row],[Minor Stoppages]:[Material Shortages]])/Table1[[#This Row],['# Stops]])*60,"")</f>
        <v>66</v>
      </c>
      <c r="AY114" s="219"/>
      <c r="AZ114" s="33">
        <v>46138</v>
      </c>
    </row>
    <row r="115" spans="1:52" ht="20.149999999999999" customHeight="1" x14ac:dyDescent="0.35">
      <c r="A115" s="21">
        <v>46132</v>
      </c>
      <c r="B115" s="22" t="str">
        <f t="shared" si="2"/>
        <v>Monday</v>
      </c>
      <c r="C115" s="23" t="s">
        <v>108</v>
      </c>
      <c r="D115" s="24" cm="1">
        <f t="array" aca="1" ref="D115" ca="1">IFERROR(INDIRECT(C115),"")</f>
        <v>34.200000000000003</v>
      </c>
      <c r="E115" s="25">
        <v>33</v>
      </c>
      <c r="F115" s="26">
        <v>28.5</v>
      </c>
      <c r="G115" s="27">
        <f ca="1">IFERROR((Table1[[#This Row],[Plan]]/Table1[[#This Row],[Hours Used]])/(Table1[[#This Row],[SOC (TPD)]]/24),"")</f>
        <v>0.96491228070175439</v>
      </c>
      <c r="H115" s="27">
        <f ca="1">IFERROR((Table1[[#This Row],[Volume Delivered (T)]]/Table1[[#This Row],[Hours Used]])/(Table1[[#This Row],[SOC (TPD)]]/24),"")</f>
        <v>0.83333333333333326</v>
      </c>
      <c r="I115" s="28"/>
      <c r="J115" s="28"/>
      <c r="K115" s="28"/>
      <c r="L115" s="25"/>
      <c r="M115" s="29">
        <v>0.04</v>
      </c>
      <c r="N115" s="84">
        <v>26.5</v>
      </c>
      <c r="O115" s="25"/>
      <c r="P115" s="25"/>
      <c r="Q115" s="70"/>
      <c r="R115" s="71"/>
      <c r="S115" s="30">
        <f>IF(Table1[[#This Row],[SKU]]="",0,24-Table1[[#This Row],[Legal Non-Operating Time]]-Table1[[#This Row],[No Demand Time]]-Table1[[#This Row],[Force Majeure]])</f>
        <v>24</v>
      </c>
      <c r="T115" s="26"/>
      <c r="U115" s="26"/>
      <c r="V115" s="26"/>
      <c r="W115" s="26"/>
      <c r="X115" s="26"/>
      <c r="Y115" s="26"/>
      <c r="Z115" s="26"/>
      <c r="AA115" s="30">
        <f>Table1[[#This Row],[Hours Used]]-SUM(Table1[[#This Row],[Planned Maintenance]:[Start and Finish Production]])</f>
        <v>24</v>
      </c>
      <c r="AB115" s="26"/>
      <c r="AC115" s="26">
        <v>2.6</v>
      </c>
      <c r="AD115" s="26"/>
      <c r="AE115" s="26"/>
      <c r="AF115" s="26">
        <v>1.5</v>
      </c>
      <c r="AG115" s="26"/>
      <c r="AH115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-0.10000000000000142</v>
      </c>
      <c r="AI115" s="24">
        <f ca="1">IFERROR(IF(Table1[[#This Row],[SKU]]="",0,Table1[[#This Row],[Quality Loss (T)]]/(Table1[[#This Row],[SOC (TPD)]]/24)),"")</f>
        <v>0</v>
      </c>
      <c r="AJ115" s="31">
        <f ca="1">IFERROR(IF(Table1[[#This Row],[SKU]]="",0,Table1[[#This Row],[Volume Delivered (T)]]/(Table1[[#This Row],[SOC (TPD)]]/24)),"")</f>
        <v>20</v>
      </c>
      <c r="AK115" s="31">
        <f ca="1">IFERROR(Table1[[#This Row],[Operating Time]]/Table1[[#This Row],[PRODUCTION HOURS]],"")</f>
        <v>0.83333333333333337</v>
      </c>
      <c r="AL115" s="32">
        <v>72</v>
      </c>
      <c r="AM115" s="32" t="s">
        <v>107</v>
      </c>
      <c r="AN115" s="32" t="s">
        <v>105</v>
      </c>
      <c r="AO115" s="32">
        <v>0</v>
      </c>
      <c r="AP115" s="32">
        <v>0</v>
      </c>
      <c r="AQ115" s="32"/>
      <c r="AR115" s="32" t="str">
        <f>IFERROR(SUMIFS(#REF!,#REF!,'Data Sheet'!A:A,#REF!,"Samridhi Perk Line")/SUMIFS(#REF!,#REF!,'Data Sheet'!A:A,#REF!,"Samridhi Perk Line"),"")</f>
        <v/>
      </c>
      <c r="AS115" s="32"/>
      <c r="AT115" s="32"/>
      <c r="AU115" s="211">
        <f>IFERROR(VLOOKUP(Table1[[#This Row],[Date]],'Overweight Data'!A113:G1208,6,FALSE),"")</f>
        <v>1.6497668997668965E-2</v>
      </c>
      <c r="AV115" s="221">
        <f ca="1">IFERROR(
   IF(
      OR(Table1[[#This Row],[Operating Time]]=0, (Table1[[#This Row],[Operating Time]]/IF(AC115&lt;=1,AC115+1,AC115))*60=0),
      1,
      ((Table1[[#This Row],[Operating Time]])/IF(AC115&lt;=1,AC115+1,AC115))*60
   ),
"_")</f>
        <v>461.53846153846149</v>
      </c>
      <c r="AW115" s="221">
        <f>COUNTIFS('Downtime Data'!A:A,Table1[[#This Row],[Date]])</f>
        <v>2</v>
      </c>
      <c r="AX115" s="219">
        <f>IFERROR((SUM(Table1[[#This Row],[Minor Stoppages]:[Material Shortages]])/Table1[[#This Row],['# Stops]])*60,"")</f>
        <v>122.99999999999999</v>
      </c>
      <c r="AY115" s="219"/>
      <c r="AZ115" s="33">
        <v>46138</v>
      </c>
    </row>
    <row r="116" spans="1:52" ht="20.149999999999999" customHeight="1" x14ac:dyDescent="0.35">
      <c r="A116" s="21">
        <v>46133</v>
      </c>
      <c r="B116" s="22" t="str">
        <f t="shared" si="2"/>
        <v>Tuesday</v>
      </c>
      <c r="C116" s="23" t="s">
        <v>106</v>
      </c>
      <c r="D116" s="24" cm="1">
        <f t="array" aca="1" ref="D116" ca="1">IFERROR(INDIRECT(C116),"")</f>
        <v>39.200000000000003</v>
      </c>
      <c r="E116" s="25">
        <v>30</v>
      </c>
      <c r="F116" s="26">
        <f>25.898831+5.03</f>
        <v>30.928831000000002</v>
      </c>
      <c r="G116" s="27">
        <f ca="1">IFERROR((Table1[[#This Row],[Plan]]/Table1[[#This Row],[Hours Used]])/(Table1[[#This Row],[SOC (TPD)]]/24),"")</f>
        <v>0.76530612244897955</v>
      </c>
      <c r="H116" s="27">
        <f ca="1">IFERROR((Table1[[#This Row],[Volume Delivered (T)]]/Table1[[#This Row],[Hours Used]])/(Table1[[#This Row],[SOC (TPD)]]/24),"")</f>
        <v>0.78900079081632646</v>
      </c>
      <c r="I116" s="28"/>
      <c r="J116" s="28"/>
      <c r="K116" s="28"/>
      <c r="L116" s="25">
        <v>1.5</v>
      </c>
      <c r="M116" s="29">
        <v>3.9E-2</v>
      </c>
      <c r="N116" s="84">
        <v>26.5</v>
      </c>
      <c r="O116" s="25"/>
      <c r="P116" s="25"/>
      <c r="Q116" s="70"/>
      <c r="R116" s="71"/>
      <c r="S116" s="30">
        <f>IF(Table1[[#This Row],[SKU]]="",0,24-Table1[[#This Row],[Legal Non-Operating Time]]-Table1[[#This Row],[No Demand Time]]-Table1[[#This Row],[Force Majeure]])</f>
        <v>24</v>
      </c>
      <c r="T116" s="26">
        <v>1</v>
      </c>
      <c r="U116" s="26">
        <v>1</v>
      </c>
      <c r="V116" s="26"/>
      <c r="W116" s="26"/>
      <c r="X116" s="26"/>
      <c r="Y116" s="26"/>
      <c r="Z116" s="26"/>
      <c r="AA116" s="30">
        <f>Table1[[#This Row],[Hours Used]]-SUM(Table1[[#This Row],[Planned Maintenance]:[Start and Finish Production]])</f>
        <v>22</v>
      </c>
      <c r="AB116" s="26"/>
      <c r="AC116" s="26"/>
      <c r="AD116" s="26">
        <v>0.8</v>
      </c>
      <c r="AE116" s="26"/>
      <c r="AF116" s="26">
        <v>1.1000000000000001</v>
      </c>
      <c r="AG116" s="26"/>
      <c r="AH116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0.24561367346938923</v>
      </c>
      <c r="AI116" s="24">
        <f ca="1">IFERROR(IF(Table1[[#This Row],[SKU]]="",0,Table1[[#This Row],[Quality Loss (T)]]/(Table1[[#This Row],[SOC (TPD)]]/24)),"")</f>
        <v>0.91836734693877542</v>
      </c>
      <c r="AJ116" s="31">
        <f ca="1">IFERROR(IF(Table1[[#This Row],[SKU]]="",0,Table1[[#This Row],[Volume Delivered (T)]]/(Table1[[#This Row],[SOC (TPD)]]/24)),"")</f>
        <v>18.936018979591836</v>
      </c>
      <c r="AK116" s="31">
        <f ca="1">IFERROR(Table1[[#This Row],[Operating Time]]/Table1[[#This Row],[PRODUCTION HOURS]],"")</f>
        <v>0.86072813543599258</v>
      </c>
      <c r="AL116" s="32">
        <v>80</v>
      </c>
      <c r="AM116" s="32" t="s">
        <v>107</v>
      </c>
      <c r="AN116" s="32" t="s">
        <v>105</v>
      </c>
      <c r="AO116" s="32">
        <v>18</v>
      </c>
      <c r="AP116" s="32">
        <v>14</v>
      </c>
      <c r="AQ116" s="32"/>
      <c r="AR116" s="32" t="str">
        <f>IFERROR(SUMIFS(#REF!,#REF!,'Data Sheet'!A:A,#REF!,"Samridhi Perk Line")/SUMIFS(#REF!,#REF!,'Data Sheet'!A:A,#REF!,"Samridhi Perk Line"),"")</f>
        <v/>
      </c>
      <c r="AS116" s="32"/>
      <c r="AT116" s="32"/>
      <c r="AU116" s="211">
        <f>IFERROR(VLOOKUP(Table1[[#This Row],[Date]],'Overweight Data'!A114:G1209,6,FALSE),"")</f>
        <v>2.3698952980720896E-2</v>
      </c>
      <c r="AV116" s="221">
        <f ca="1">IFERROR(
   IF(
      OR(Table1[[#This Row],[Operating Time]]=0, (Table1[[#This Row],[Operating Time]]/IF(AC116&lt;=1,AC116+1,AC116))*60=0),
      1,
      ((Table1[[#This Row],[Operating Time]])/IF(AC116&lt;=1,AC116+1,AC116))*60
   ),
"_")</f>
        <v>1136.1611387755102</v>
      </c>
      <c r="AW116" s="221">
        <f>COUNTIFS('Downtime Data'!A:A,Table1[[#This Row],[Date]])</f>
        <v>1</v>
      </c>
      <c r="AX116" s="219">
        <f>IFERROR((SUM(Table1[[#This Row],[Minor Stoppages]:[Material Shortages]])/Table1[[#This Row],['# Stops]])*60,"")</f>
        <v>114.00000000000001</v>
      </c>
      <c r="AY116" s="219"/>
      <c r="AZ116" s="33">
        <v>46138</v>
      </c>
    </row>
    <row r="117" spans="1:52" ht="20.149999999999999" customHeight="1" x14ac:dyDescent="0.35">
      <c r="A117" s="21">
        <v>46134</v>
      </c>
      <c r="B117" s="22" t="str">
        <f t="shared" si="2"/>
        <v>Wednesday</v>
      </c>
      <c r="C117" s="23" t="s">
        <v>106</v>
      </c>
      <c r="D117" s="24" cm="1">
        <f t="array" aca="1" ref="D117" ca="1">IFERROR(INDIRECT(C117),"")</f>
        <v>39.200000000000003</v>
      </c>
      <c r="E117" s="25">
        <v>33</v>
      </c>
      <c r="F117" s="26">
        <v>26.594889000000002</v>
      </c>
      <c r="G117" s="27">
        <f ca="1">IFERROR((Table1[[#This Row],[Plan]]/Table1[[#This Row],[Hours Used]])/(Table1[[#This Row],[SOC (TPD)]]/24),"")</f>
        <v>0.84183673469387743</v>
      </c>
      <c r="H117" s="27">
        <f ca="1">IFERROR((Table1[[#This Row],[Volume Delivered (T)]]/Table1[[#This Row],[Hours Used]])/(Table1[[#This Row],[SOC (TPD)]]/24),"")</f>
        <v>0.6784410459183674</v>
      </c>
      <c r="I117" s="28"/>
      <c r="J117" s="28"/>
      <c r="K117" s="28"/>
      <c r="L117" s="25">
        <v>1.4</v>
      </c>
      <c r="M117" s="29">
        <v>3.6999999999999998E-2</v>
      </c>
      <c r="N117" s="84">
        <v>26</v>
      </c>
      <c r="O117" s="25"/>
      <c r="P117" s="25"/>
      <c r="Q117" s="70"/>
      <c r="R117" s="71"/>
      <c r="S117" s="30">
        <f>IF(Table1[[#This Row],[SKU]]="",0,24-Table1[[#This Row],[Legal Non-Operating Time]]-Table1[[#This Row],[No Demand Time]]-Table1[[#This Row],[Force Majeure]])</f>
        <v>24</v>
      </c>
      <c r="T117" s="26"/>
      <c r="U117" s="26"/>
      <c r="V117" s="26"/>
      <c r="W117" s="26"/>
      <c r="X117" s="26"/>
      <c r="Y117" s="26"/>
      <c r="Z117" s="26"/>
      <c r="AA117" s="30">
        <f>Table1[[#This Row],[Hours Used]]-SUM(Table1[[#This Row],[Planned Maintenance]:[Start and Finish Production]])</f>
        <v>24</v>
      </c>
      <c r="AB117" s="26"/>
      <c r="AC117" s="26">
        <v>2</v>
      </c>
      <c r="AD117" s="26">
        <v>2.5</v>
      </c>
      <c r="AE117" s="26"/>
      <c r="AF117" s="26">
        <v>2.2000000000000002</v>
      </c>
      <c r="AG117" s="26"/>
      <c r="AH117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0.16027204081632718</v>
      </c>
      <c r="AI117" s="24">
        <f ca="1">IFERROR(IF(Table1[[#This Row],[SKU]]="",0,Table1[[#This Row],[Quality Loss (T)]]/(Table1[[#This Row],[SOC (TPD)]]/24)),"")</f>
        <v>0.85714285714285698</v>
      </c>
      <c r="AJ117" s="31">
        <f ca="1">IFERROR(IF(Table1[[#This Row],[SKU]]="",0,Table1[[#This Row],[Volume Delivered (T)]]/(Table1[[#This Row],[SOC (TPD)]]/24)),"")</f>
        <v>16.282585102040816</v>
      </c>
      <c r="AK117" s="31">
        <f ca="1">IFERROR(Table1[[#This Row],[Operating Time]]/Table1[[#This Row],[PRODUCTION HOURS]],"")</f>
        <v>0.67844104591836729</v>
      </c>
      <c r="AL117" s="32">
        <v>95</v>
      </c>
      <c r="AM117" s="32" t="s">
        <v>107</v>
      </c>
      <c r="AN117" s="32" t="s">
        <v>105</v>
      </c>
      <c r="AO117" s="32">
        <v>1</v>
      </c>
      <c r="AP117" s="32">
        <v>0</v>
      </c>
      <c r="AQ117" s="32"/>
      <c r="AR117" s="32" t="str">
        <f>IFERROR(SUMIFS(#REF!,#REF!,'Data Sheet'!A:A,#REF!,"Samridhi Perk Line")/SUMIFS(#REF!,#REF!,'Data Sheet'!A:A,#REF!,"Samridhi Perk Line"),"")</f>
        <v/>
      </c>
      <c r="AS117" s="32"/>
      <c r="AT117" s="32"/>
      <c r="AU117" s="211">
        <f>IFERROR(VLOOKUP(Table1[[#This Row],[Date]],'Overweight Data'!A115:G1210,6,FALSE),"")</f>
        <v>2.2338858195211777E-2</v>
      </c>
      <c r="AV117" s="221">
        <f ca="1">IFERROR(
   IF(
      OR(Table1[[#This Row],[Operating Time]]=0, (Table1[[#This Row],[Operating Time]]/IF(AC117&lt;=1,AC117+1,AC117))*60=0),
      1,
      ((Table1[[#This Row],[Operating Time]])/IF(AC117&lt;=1,AC117+1,AC117))*60
   ),
"_")</f>
        <v>488.47755306122446</v>
      </c>
      <c r="AW117" s="221">
        <f>COUNTIFS('Downtime Data'!A:A,Table1[[#This Row],[Date]])</f>
        <v>1</v>
      </c>
      <c r="AX117" s="219">
        <f>IFERROR((SUM(Table1[[#This Row],[Minor Stoppages]:[Material Shortages]])/Table1[[#This Row],['# Stops]])*60,"")</f>
        <v>402</v>
      </c>
      <c r="AY117" s="219"/>
      <c r="AZ117" s="33">
        <v>46138</v>
      </c>
    </row>
    <row r="118" spans="1:52" ht="20.149999999999999" customHeight="1" x14ac:dyDescent="0.35">
      <c r="A118" s="21">
        <v>46135</v>
      </c>
      <c r="B118" s="22" t="str">
        <f t="shared" si="2"/>
        <v>Thursday</v>
      </c>
      <c r="C118" s="23" t="s">
        <v>106</v>
      </c>
      <c r="D118" s="24" cm="1">
        <f t="array" aca="1" ref="D118" ca="1">IFERROR(INDIRECT(C118),"")</f>
        <v>39.200000000000003</v>
      </c>
      <c r="E118" s="25">
        <v>33</v>
      </c>
      <c r="F118" s="26">
        <v>30.049741000000001</v>
      </c>
      <c r="G118" s="27">
        <f ca="1">IFERROR((Table1[[#This Row],[Plan]]/Table1[[#This Row],[Hours Used]])/(Table1[[#This Row],[SOC (TPD)]]/24),"")</f>
        <v>0.84183673469387743</v>
      </c>
      <c r="H118" s="27">
        <f ca="1">IFERROR((Table1[[#This Row],[Volume Delivered (T)]]/Table1[[#This Row],[Hours Used]])/(Table1[[#This Row],[SOC (TPD)]]/24),"")</f>
        <v>0.76657502551020407</v>
      </c>
      <c r="I118" s="28"/>
      <c r="J118" s="28"/>
      <c r="K118" s="28"/>
      <c r="L118" s="25">
        <v>1.4</v>
      </c>
      <c r="M118" s="29">
        <v>3.6999999999999998E-2</v>
      </c>
      <c r="N118" s="84">
        <v>26</v>
      </c>
      <c r="O118" s="25"/>
      <c r="P118" s="25"/>
      <c r="Q118" s="70"/>
      <c r="R118" s="71"/>
      <c r="S118" s="30">
        <f>IF(Table1[[#This Row],[SKU]]="",0,24-Table1[[#This Row],[Legal Non-Operating Time]]-Table1[[#This Row],[No Demand Time]]-Table1[[#This Row],[Force Majeure]])</f>
        <v>24</v>
      </c>
      <c r="T118" s="26"/>
      <c r="U118" s="26"/>
      <c r="V118" s="26"/>
      <c r="W118" s="26"/>
      <c r="X118" s="26"/>
      <c r="Y118" s="26"/>
      <c r="Z118" s="26"/>
      <c r="AA118" s="30">
        <f>Table1[[#This Row],[Hours Used]]-SUM(Table1[[#This Row],[Planned Maintenance]:[Start and Finish Production]])</f>
        <v>24</v>
      </c>
      <c r="AB118" s="26"/>
      <c r="AC118" s="26">
        <v>1.6</v>
      </c>
      <c r="AD118" s="26">
        <v>2</v>
      </c>
      <c r="AE118" s="26"/>
      <c r="AF118" s="26"/>
      <c r="AG118" s="26"/>
      <c r="AH118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1.1450565306122442</v>
      </c>
      <c r="AI118" s="24">
        <f ca="1">IFERROR(IF(Table1[[#This Row],[SKU]]="",0,Table1[[#This Row],[Quality Loss (T)]]/(Table1[[#This Row],[SOC (TPD)]]/24)),"")</f>
        <v>0.85714285714285698</v>
      </c>
      <c r="AJ118" s="31">
        <f ca="1">IFERROR(IF(Table1[[#This Row],[SKU]]="",0,Table1[[#This Row],[Volume Delivered (T)]]/(Table1[[#This Row],[SOC (TPD)]]/24)),"")</f>
        <v>18.397800612244897</v>
      </c>
      <c r="AK118" s="31">
        <f ca="1">IFERROR(Table1[[#This Row],[Operating Time]]/Table1[[#This Row],[PRODUCTION HOURS]],"")</f>
        <v>0.76657502551020407</v>
      </c>
      <c r="AL118" s="32">
        <v>89</v>
      </c>
      <c r="AM118" s="32" t="s">
        <v>107</v>
      </c>
      <c r="AN118" s="32" t="s">
        <v>105</v>
      </c>
      <c r="AO118" s="32">
        <v>0</v>
      </c>
      <c r="AP118" s="32">
        <v>0</v>
      </c>
      <c r="AQ118" s="32"/>
      <c r="AR118" s="32" t="str">
        <f>IFERROR(SUMIFS(#REF!,#REF!,'Data Sheet'!A:A,#REF!,"Samridhi Perk Line")/SUMIFS(#REF!,#REF!,'Data Sheet'!A:A,#REF!,"Samridhi Perk Line"),"")</f>
        <v/>
      </c>
      <c r="AS118" s="32"/>
      <c r="AT118" s="32"/>
      <c r="AU118" s="211">
        <f>IFERROR(VLOOKUP(Table1[[#This Row],[Date]],'Overweight Data'!A116:G1211,6,FALSE),"")</f>
        <v>3.1381215469613193E-2</v>
      </c>
      <c r="AV118" s="221">
        <f ca="1">IFERROR(
   IF(
      OR(Table1[[#This Row],[Operating Time]]=0, (Table1[[#This Row],[Operating Time]]/IF(AC118&lt;=1,AC118+1,AC118))*60=0),
      1,
      ((Table1[[#This Row],[Operating Time]])/IF(AC118&lt;=1,AC118+1,AC118))*60
   ),
"_")</f>
        <v>689.91752295918354</v>
      </c>
      <c r="AW118" s="221">
        <f>COUNTIFS('Downtime Data'!A:A,Table1[[#This Row],[Date]])</f>
        <v>0</v>
      </c>
      <c r="AX118" s="219" t="str">
        <f>IFERROR((SUM(Table1[[#This Row],[Minor Stoppages]:[Material Shortages]])/Table1[[#This Row],['# Stops]])*60,"")</f>
        <v/>
      </c>
      <c r="AY118" s="219"/>
      <c r="AZ118" s="33">
        <v>46138</v>
      </c>
    </row>
    <row r="119" spans="1:52" ht="20.149999999999999" customHeight="1" x14ac:dyDescent="0.35">
      <c r="A119" s="21">
        <v>46136</v>
      </c>
      <c r="B119" s="22" t="str">
        <f t="shared" si="2"/>
        <v>Friday</v>
      </c>
      <c r="C119" s="23" t="s">
        <v>106</v>
      </c>
      <c r="D119" s="24" cm="1">
        <f t="array" aca="1" ref="D119" ca="1">IFERROR(INDIRECT(C119),"")</f>
        <v>39.200000000000003</v>
      </c>
      <c r="E119" s="25">
        <v>33</v>
      </c>
      <c r="F119" s="26">
        <v>31.231839000000001</v>
      </c>
      <c r="G119" s="27">
        <f ca="1">IFERROR((Table1[[#This Row],[Plan]]/Table1[[#This Row],[Hours Used]])/(Table1[[#This Row],[SOC (TPD)]]/24),"")</f>
        <v>0.84183673469387743</v>
      </c>
      <c r="H119" s="27">
        <f ca="1">IFERROR((Table1[[#This Row],[Volume Delivered (T)]]/Table1[[#This Row],[Hours Used]])/(Table1[[#This Row],[SOC (TPD)]]/24),"")</f>
        <v>0.79673058673469377</v>
      </c>
      <c r="I119" s="28"/>
      <c r="J119" s="28"/>
      <c r="K119" s="28"/>
      <c r="L119" s="25">
        <v>1.3</v>
      </c>
      <c r="M119" s="29">
        <v>3.6999999999999998E-2</v>
      </c>
      <c r="N119" s="84">
        <v>24</v>
      </c>
      <c r="O119" s="25"/>
      <c r="P119" s="25"/>
      <c r="Q119" s="70"/>
      <c r="R119" s="71"/>
      <c r="S119" s="30">
        <f>IF(Table1[[#This Row],[SKU]]="",0,24-Table1[[#This Row],[Legal Non-Operating Time]]-Table1[[#This Row],[No Demand Time]]-Table1[[#This Row],[Force Majeure]])</f>
        <v>24</v>
      </c>
      <c r="T119" s="26"/>
      <c r="U119" s="26"/>
      <c r="V119" s="26"/>
      <c r="W119" s="26"/>
      <c r="X119" s="26"/>
      <c r="Y119" s="26"/>
      <c r="Z119" s="26"/>
      <c r="AA119" s="30">
        <f>Table1[[#This Row],[Hours Used]]-SUM(Table1[[#This Row],[Planned Maintenance]:[Start and Finish Production]])</f>
        <v>24</v>
      </c>
      <c r="AB119" s="26">
        <v>0.5</v>
      </c>
      <c r="AC119" s="26">
        <v>1.5</v>
      </c>
      <c r="AD119" s="26">
        <v>0.5</v>
      </c>
      <c r="AE119" s="26"/>
      <c r="AF119" s="26"/>
      <c r="AG119" s="26"/>
      <c r="AH119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1.5825475510204114</v>
      </c>
      <c r="AI119" s="24">
        <f ca="1">IFERROR(IF(Table1[[#This Row],[SKU]]="",0,Table1[[#This Row],[Quality Loss (T)]]/(Table1[[#This Row],[SOC (TPD)]]/24)),"")</f>
        <v>0.79591836734693866</v>
      </c>
      <c r="AJ119" s="31">
        <f ca="1">IFERROR(IF(Table1[[#This Row],[SKU]]="",0,Table1[[#This Row],[Volume Delivered (T)]]/(Table1[[#This Row],[SOC (TPD)]]/24)),"")</f>
        <v>19.12153408163265</v>
      </c>
      <c r="AK119" s="31">
        <f ca="1">IFERROR(Table1[[#This Row],[Operating Time]]/Table1[[#This Row],[PRODUCTION HOURS]],"")</f>
        <v>0.79673058673469377</v>
      </c>
      <c r="AL119" s="32">
        <v>104</v>
      </c>
      <c r="AM119" s="32" t="s">
        <v>107</v>
      </c>
      <c r="AN119" s="32" t="s">
        <v>105</v>
      </c>
      <c r="AO119" s="32">
        <v>0</v>
      </c>
      <c r="AP119" s="32">
        <v>0</v>
      </c>
      <c r="AQ119" s="32"/>
      <c r="AR119" s="32" t="str">
        <f>IFERROR(SUMIFS(#REF!,#REF!,'Data Sheet'!A:A,#REF!,"Samridhi Perk Line")/SUMIFS(#REF!,#REF!,'Data Sheet'!A:A,#REF!,"Samridhi Perk Line"),"")</f>
        <v/>
      </c>
      <c r="AS119" s="32"/>
      <c r="AT119" s="32"/>
      <c r="AU119" s="211">
        <f>IFERROR(VLOOKUP(Table1[[#This Row],[Date]],'Overweight Data'!A117:G1212,6,FALSE),"")</f>
        <v>2.7790055248618842E-2</v>
      </c>
      <c r="AV119" s="221">
        <f ca="1">IFERROR(
   IF(
      OR(Table1[[#This Row],[Operating Time]]=0, (Table1[[#This Row],[Operating Time]]/IF(AC119&lt;=1,AC119+1,AC119))*60=0),
      1,
      ((Table1[[#This Row],[Operating Time]])/IF(AC119&lt;=1,AC119+1,AC119))*60
   ),
"_")</f>
        <v>764.86136326530607</v>
      </c>
      <c r="AW119" s="221">
        <f>COUNTIFS('Downtime Data'!A:A,Table1[[#This Row],[Date]])</f>
        <v>0</v>
      </c>
      <c r="AX119" s="219" t="str">
        <f>IFERROR((SUM(Table1[[#This Row],[Minor Stoppages]:[Material Shortages]])/Table1[[#This Row],['# Stops]])*60,"")</f>
        <v/>
      </c>
      <c r="AY119" s="219"/>
      <c r="AZ119" s="33">
        <v>46138</v>
      </c>
    </row>
    <row r="120" spans="1:52" ht="20.149999999999999" customHeight="1" x14ac:dyDescent="0.35">
      <c r="A120" s="21">
        <v>46137</v>
      </c>
      <c r="B120" s="22" t="str">
        <f t="shared" si="2"/>
        <v>Saturday</v>
      </c>
      <c r="C120" s="23" t="s">
        <v>106</v>
      </c>
      <c r="D120" s="24" cm="1">
        <f t="array" aca="1" ref="D120" ca="1">IFERROR(INDIRECT(C120),"")</f>
        <v>39.200000000000003</v>
      </c>
      <c r="E120" s="25">
        <v>35</v>
      </c>
      <c r="F120" s="26">
        <v>29.562647999999999</v>
      </c>
      <c r="G120" s="27">
        <f ca="1">IFERROR((Table1[[#This Row],[Plan]]/Table1[[#This Row],[Hours Used]])/(Table1[[#This Row],[SOC (TPD)]]/24),"")</f>
        <v>0.89285714285714268</v>
      </c>
      <c r="H120" s="27">
        <f ca="1">IFERROR((Table1[[#This Row],[Volume Delivered (T)]]/Table1[[#This Row],[Hours Used]])/(Table1[[#This Row],[SOC (TPD)]]/24),"")</f>
        <v>0.75414918367346928</v>
      </c>
      <c r="I120" s="28"/>
      <c r="J120" s="28"/>
      <c r="K120" s="28"/>
      <c r="L120" s="25">
        <v>1.2</v>
      </c>
      <c r="M120" s="29">
        <v>3.6999999999999998E-2</v>
      </c>
      <c r="N120" s="84">
        <v>20</v>
      </c>
      <c r="O120" s="25"/>
      <c r="P120" s="25"/>
      <c r="Q120" s="70"/>
      <c r="R120" s="71"/>
      <c r="S120" s="30">
        <f>IF(Table1[[#This Row],[SKU]]="",0,24-Table1[[#This Row],[Legal Non-Operating Time]]-Table1[[#This Row],[No Demand Time]]-Table1[[#This Row],[Force Majeure]])</f>
        <v>24</v>
      </c>
      <c r="T120" s="26"/>
      <c r="U120" s="26"/>
      <c r="V120" s="26"/>
      <c r="W120" s="26"/>
      <c r="X120" s="26"/>
      <c r="Y120" s="26"/>
      <c r="Z120" s="26"/>
      <c r="AA120" s="30">
        <f>Table1[[#This Row],[Hours Used]]-SUM(Table1[[#This Row],[Planned Maintenance]:[Start and Finish Production]])</f>
        <v>24</v>
      </c>
      <c r="AB120" s="26"/>
      <c r="AC120" s="26">
        <v>1.5</v>
      </c>
      <c r="AD120" s="26">
        <v>0.5</v>
      </c>
      <c r="AE120" s="26"/>
      <c r="AF120" s="26"/>
      <c r="AG120" s="26"/>
      <c r="AH120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3.1657257142857169</v>
      </c>
      <c r="AI120" s="24">
        <f ca="1">IFERROR(IF(Table1[[#This Row],[SKU]]="",0,Table1[[#This Row],[Quality Loss (T)]]/(Table1[[#This Row],[SOC (TPD)]]/24)),"")</f>
        <v>0.73469387755102034</v>
      </c>
      <c r="AJ120" s="31">
        <f ca="1">IFERROR(IF(Table1[[#This Row],[SKU]]="",0,Table1[[#This Row],[Volume Delivered (T)]]/(Table1[[#This Row],[SOC (TPD)]]/24)),"")</f>
        <v>18.099580408163263</v>
      </c>
      <c r="AK120" s="31">
        <f ca="1">IFERROR(Table1[[#This Row],[Operating Time]]/Table1[[#This Row],[PRODUCTION HOURS]],"")</f>
        <v>0.75414918367346928</v>
      </c>
      <c r="AL120" s="32">
        <v>91</v>
      </c>
      <c r="AM120" s="32" t="s">
        <v>107</v>
      </c>
      <c r="AN120" s="32" t="s">
        <v>105</v>
      </c>
      <c r="AO120" s="32">
        <v>0</v>
      </c>
      <c r="AP120" s="32">
        <v>0</v>
      </c>
      <c r="AQ120" s="32"/>
      <c r="AR120" s="32" t="str">
        <f>IFERROR(SUMIFS(#REF!,#REF!,'Data Sheet'!A:A,#REF!,"Samridhi Perk Line")/SUMIFS(#REF!,#REF!,'Data Sheet'!A:A,#REF!,"Samridhi Perk Line"),"")</f>
        <v/>
      </c>
      <c r="AS120" s="32"/>
      <c r="AT120" s="32"/>
      <c r="AU120" s="211">
        <f>IFERROR(VLOOKUP(Table1[[#This Row],[Date]],'Overweight Data'!A118:G1213,6,FALSE),"")</f>
        <v>2.4088397790055272E-2</v>
      </c>
      <c r="AV120" s="221">
        <f ca="1">IFERROR(
   IF(
      OR(Table1[[#This Row],[Operating Time]]=0, (Table1[[#This Row],[Operating Time]]/IF(AC120&lt;=1,AC120+1,AC120))*60=0),
      1,
      ((Table1[[#This Row],[Operating Time]])/IF(AC120&lt;=1,AC120+1,AC120))*60
   ),
"_")</f>
        <v>723.98321632653051</v>
      </c>
      <c r="AW120" s="221">
        <f>COUNTIFS('Downtime Data'!A:A,Table1[[#This Row],[Date]])</f>
        <v>0</v>
      </c>
      <c r="AX120" s="219" t="str">
        <f>IFERROR((SUM(Table1[[#This Row],[Minor Stoppages]:[Material Shortages]])/Table1[[#This Row],['# Stops]])*60,"")</f>
        <v/>
      </c>
      <c r="AY120" s="219"/>
      <c r="AZ120" s="33">
        <v>46138</v>
      </c>
    </row>
    <row r="121" spans="1:52" ht="20.149999999999999" customHeight="1" x14ac:dyDescent="0.35">
      <c r="A121" s="21">
        <v>46138</v>
      </c>
      <c r="B121" s="22" t="str">
        <f t="shared" si="2"/>
        <v>Sunday</v>
      </c>
      <c r="C121" s="23" t="s">
        <v>106</v>
      </c>
      <c r="D121" s="24" cm="1">
        <f t="array" aca="1" ref="D121" ca="1">IFERROR(INDIRECT(C121),"")</f>
        <v>39.200000000000003</v>
      </c>
      <c r="E121" s="25">
        <v>33</v>
      </c>
      <c r="F121" s="26">
        <f>38.972064-5.03</f>
        <v>33.942064000000002</v>
      </c>
      <c r="G121" s="27">
        <f ca="1">IFERROR((Table1[[#This Row],[Plan]]/Table1[[#This Row],[Hours Used]])/(Table1[[#This Row],[SOC (TPD)]]/24),"")</f>
        <v>0.84183673469387743</v>
      </c>
      <c r="H121" s="27">
        <f ca="1">IFERROR((Table1[[#This Row],[Volume Delivered (T)]]/Table1[[#This Row],[Hours Used]])/(Table1[[#This Row],[SOC (TPD)]]/24),"")</f>
        <v>0.86586897959183673</v>
      </c>
      <c r="I121" s="28"/>
      <c r="J121" s="28"/>
      <c r="K121" s="28"/>
      <c r="L121" s="25">
        <v>1.3</v>
      </c>
      <c r="M121" s="29">
        <v>3.6999999999999998E-2</v>
      </c>
      <c r="N121" s="84">
        <v>32</v>
      </c>
      <c r="O121" s="25"/>
      <c r="P121" s="25"/>
      <c r="Q121" s="70"/>
      <c r="R121" s="71"/>
      <c r="S121" s="30">
        <f>IF(Table1[[#This Row],[SKU]]="",0,24-Table1[[#This Row],[Legal Non-Operating Time]]-Table1[[#This Row],[No Demand Time]]-Table1[[#This Row],[Force Majeure]])</f>
        <v>24</v>
      </c>
      <c r="T121" s="26"/>
      <c r="U121" s="26"/>
      <c r="V121" s="26"/>
      <c r="W121" s="26"/>
      <c r="X121" s="26"/>
      <c r="Y121" s="26"/>
      <c r="Z121" s="26"/>
      <c r="AA121" s="30">
        <f>Table1[[#This Row],[Hours Used]]-SUM(Table1[[#This Row],[Planned Maintenance]:[Start and Finish Production]])</f>
        <v>24</v>
      </c>
      <c r="AB121" s="26"/>
      <c r="AC121" s="26"/>
      <c r="AD121" s="26">
        <v>1</v>
      </c>
      <c r="AE121" s="26"/>
      <c r="AF121" s="26">
        <v>1</v>
      </c>
      <c r="AG121" s="26"/>
      <c r="AH121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0.42322612244898039</v>
      </c>
      <c r="AI121" s="24">
        <f ca="1">IFERROR(IF(Table1[[#This Row],[SKU]]="",0,Table1[[#This Row],[Quality Loss (T)]]/(Table1[[#This Row],[SOC (TPD)]]/24)),"")</f>
        <v>0.79591836734693866</v>
      </c>
      <c r="AJ121" s="31">
        <f ca="1">IFERROR(IF(Table1[[#This Row],[SKU]]="",0,Table1[[#This Row],[Volume Delivered (T)]]/(Table1[[#This Row],[SOC (TPD)]]/24)),"")</f>
        <v>20.780855510204081</v>
      </c>
      <c r="AK121" s="31">
        <f ca="1">IFERROR(Table1[[#This Row],[Operating Time]]/Table1[[#This Row],[PRODUCTION HOURS]],"")</f>
        <v>0.86586897959183673</v>
      </c>
      <c r="AL121" s="32">
        <v>94</v>
      </c>
      <c r="AM121" s="32" t="s">
        <v>107</v>
      </c>
      <c r="AN121" s="32" t="s">
        <v>105</v>
      </c>
      <c r="AO121" s="32">
        <v>0</v>
      </c>
      <c r="AP121" s="32">
        <v>0</v>
      </c>
      <c r="AQ121" s="32"/>
      <c r="AR121" s="32" t="str">
        <f>IFERROR(SUMIFS(#REF!,#REF!,'Data Sheet'!A:A,#REF!,"Samridhi Perk Line")/SUMIFS(#REF!,#REF!,'Data Sheet'!A:A,#REF!,"Samridhi Perk Line"),"")</f>
        <v/>
      </c>
      <c r="AS121" s="32"/>
      <c r="AT121" s="32"/>
      <c r="AU121" s="211">
        <f>IFERROR(VLOOKUP(Table1[[#This Row],[Date]],'Overweight Data'!A119:G1214,6,FALSE),"")</f>
        <v>2.7808471454880284E-2</v>
      </c>
      <c r="AV121" s="221">
        <f ca="1">IFERROR(
   IF(
      OR(Table1[[#This Row],[Operating Time]]=0, (Table1[[#This Row],[Operating Time]]/IF(AC121&lt;=1,AC121+1,AC121))*60=0),
      1,
      ((Table1[[#This Row],[Operating Time]])/IF(AC121&lt;=1,AC121+1,AC121))*60
   ),
"_")</f>
        <v>1246.8513306122447</v>
      </c>
      <c r="AW121" s="221">
        <f>COUNTIFS('Downtime Data'!A:A,Table1[[#This Row],[Date]])</f>
        <v>0</v>
      </c>
      <c r="AX121" s="219" t="str">
        <f>IFERROR((SUM(Table1[[#This Row],[Minor Stoppages]:[Material Shortages]])/Table1[[#This Row],['# Stops]])*60,"")</f>
        <v/>
      </c>
      <c r="AY121" s="219"/>
      <c r="AZ121" s="33">
        <v>46138</v>
      </c>
    </row>
    <row r="122" spans="1:52" ht="20.149999999999999" customHeight="1" x14ac:dyDescent="0.35">
      <c r="A122" s="21">
        <v>46139</v>
      </c>
      <c r="B122" s="22" t="str">
        <f t="shared" si="2"/>
        <v>Monday</v>
      </c>
      <c r="C122" s="23" t="s">
        <v>108</v>
      </c>
      <c r="D122" s="24" cm="1">
        <f t="array" aca="1" ref="D122" ca="1">IFERROR(INDIRECT(C122),"")</f>
        <v>34.200000000000003</v>
      </c>
      <c r="E122" s="25">
        <v>33</v>
      </c>
      <c r="F122" s="25">
        <v>33.4</v>
      </c>
      <c r="G122" s="27">
        <f ca="1">IFERROR((Table1[[#This Row],[Plan]]/Table1[[#This Row],[Hours Used]])/(Table1[[#This Row],[SOC (TPD)]]/24),"")</f>
        <v>0.96491228070175439</v>
      </c>
      <c r="H122" s="27">
        <f ca="1">IFERROR((Table1[[#This Row],[Volume Delivered (T)]]/Table1[[#This Row],[Hours Used]])/(Table1[[#This Row],[SOC (TPD)]]/24),"")</f>
        <v>0.97660818713450281</v>
      </c>
      <c r="I122" s="28"/>
      <c r="J122" s="28"/>
      <c r="K122" s="28"/>
      <c r="L122" s="25">
        <v>1</v>
      </c>
      <c r="M122" s="29">
        <v>3.9E-2</v>
      </c>
      <c r="N122" s="84">
        <v>25</v>
      </c>
      <c r="O122" s="25"/>
      <c r="P122" s="25"/>
      <c r="Q122" s="70"/>
      <c r="R122" s="71"/>
      <c r="S122" s="30">
        <f>IF(Table1[[#This Row],[SKU]]="",0,24-Table1[[#This Row],[Legal Non-Operating Time]]-Table1[[#This Row],[No Demand Time]]-Table1[[#This Row],[Force Majeure]])</f>
        <v>24</v>
      </c>
      <c r="T122" s="26"/>
      <c r="U122" s="26"/>
      <c r="V122" s="26"/>
      <c r="W122" s="26"/>
      <c r="X122" s="26"/>
      <c r="Y122" s="26"/>
      <c r="Z122" s="26"/>
      <c r="AA122" s="30">
        <f>Table1[[#This Row],[Hours Used]]-SUM(Table1[[#This Row],[Planned Maintenance]:[Start and Finish Production]])</f>
        <v>24</v>
      </c>
      <c r="AB122" s="26"/>
      <c r="AC122" s="26"/>
      <c r="AD122" s="26"/>
      <c r="AE122" s="26"/>
      <c r="AF122" s="26"/>
      <c r="AG122" s="26"/>
      <c r="AH122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-0.14035087719297934</v>
      </c>
      <c r="AI122" s="24">
        <f ca="1">IFERROR(IF(Table1[[#This Row],[SKU]]="",0,Table1[[#This Row],[Quality Loss (T)]]/(Table1[[#This Row],[SOC (TPD)]]/24)),"")</f>
        <v>0.70175438596491224</v>
      </c>
      <c r="AJ122" s="31">
        <f ca="1">IFERROR(IF(Table1[[#This Row],[SKU]]="",0,Table1[[#This Row],[Volume Delivered (T)]]/(Table1[[#This Row],[SOC (TPD)]]/24)),"")</f>
        <v>23.438596491228068</v>
      </c>
      <c r="AK122" s="31">
        <f ca="1">IFERROR(Table1[[#This Row],[Operating Time]]/Table1[[#This Row],[PRODUCTION HOURS]],"")</f>
        <v>0.97660818713450281</v>
      </c>
      <c r="AL122" s="32">
        <v>113</v>
      </c>
      <c r="AM122" s="32" t="s">
        <v>107</v>
      </c>
      <c r="AN122" s="32" t="s">
        <v>105</v>
      </c>
      <c r="AO122" s="32">
        <v>0</v>
      </c>
      <c r="AP122" s="32">
        <v>0</v>
      </c>
      <c r="AQ122" s="32"/>
      <c r="AR122" s="32" t="str">
        <f>IFERROR(SUMIFS(#REF!,#REF!,'Data Sheet'!A:A,#REF!,"Samridhi Perk Line")/SUMIFS(#REF!,#REF!,'Data Sheet'!A:A,#REF!,"Samridhi Perk Line"),"")</f>
        <v/>
      </c>
      <c r="AS122" s="32"/>
      <c r="AT122" s="32"/>
      <c r="AU122" s="211">
        <f>IFERROR(VLOOKUP(Table1[[#This Row],[Date]],'Overweight Data'!A120:G1215,6,FALSE),"")</f>
        <v>3.5580110497237555E-2</v>
      </c>
      <c r="AV122" s="221">
        <f ca="1">IFERROR(
   IF(
      OR(Table1[[#This Row],[Operating Time]]=0, (Table1[[#This Row],[Operating Time]]/IF(AC122&lt;=1,AC122+1,AC122))*60=0),
      1,
      ((Table1[[#This Row],[Operating Time]])/IF(AC122&lt;=1,AC122+1,AC122))*60
   ),
"_")</f>
        <v>1406.3157894736842</v>
      </c>
      <c r="AW122" s="221">
        <f>COUNTIFS('Downtime Data'!A:A,Table1[[#This Row],[Date]])</f>
        <v>0</v>
      </c>
      <c r="AX122" s="219" t="str">
        <f>IFERROR((SUM(Table1[[#This Row],[Minor Stoppages]:[Material Shortages]])/Table1[[#This Row],['# Stops]])*60,"")</f>
        <v/>
      </c>
      <c r="AY122" s="219"/>
      <c r="AZ122" s="33">
        <v>46138</v>
      </c>
    </row>
    <row r="123" spans="1:52" ht="20.149999999999999" customHeight="1" x14ac:dyDescent="0.35">
      <c r="A123" s="21">
        <v>46140</v>
      </c>
      <c r="B123" s="22" t="str">
        <f t="shared" si="2"/>
        <v>Tuesday</v>
      </c>
      <c r="C123" s="23" t="s">
        <v>108</v>
      </c>
      <c r="D123" s="24" cm="1">
        <f t="array" aca="1" ref="D123" ca="1">IFERROR(INDIRECT(C123),"")</f>
        <v>34.200000000000003</v>
      </c>
      <c r="E123" s="25">
        <v>20</v>
      </c>
      <c r="F123" s="25">
        <v>24.8</v>
      </c>
      <c r="G123" s="27">
        <f ca="1">IFERROR((Table1[[#This Row],[Plan]]/Table1[[#This Row],[Hours Used]])/(Table1[[#This Row],[SOC (TPD)]]/24),"")</f>
        <v>0.58479532163742687</v>
      </c>
      <c r="H123" s="27">
        <f ca="1">IFERROR((Table1[[#This Row],[Volume Delivered (T)]]/Table1[[#This Row],[Hours Used]])/(Table1[[#This Row],[SOC (TPD)]]/24),"")</f>
        <v>0.72514619883040943</v>
      </c>
      <c r="I123" s="28"/>
      <c r="J123" s="28"/>
      <c r="K123" s="28"/>
      <c r="L123" s="25"/>
      <c r="M123" s="29">
        <v>3.9E-2</v>
      </c>
      <c r="N123" s="84">
        <v>25</v>
      </c>
      <c r="O123" s="25"/>
      <c r="P123" s="25"/>
      <c r="Q123" s="70"/>
      <c r="R123" s="71"/>
      <c r="S123" s="30">
        <f>IF(Table1[[#This Row],[SKU]]="",0,24-Table1[[#This Row],[Legal Non-Operating Time]]-Table1[[#This Row],[No Demand Time]]-Table1[[#This Row],[Force Majeure]])</f>
        <v>24</v>
      </c>
      <c r="T123" s="26"/>
      <c r="U123" s="26"/>
      <c r="V123" s="26">
        <v>6.6</v>
      </c>
      <c r="W123" s="26"/>
      <c r="X123" s="26"/>
      <c r="Y123" s="26"/>
      <c r="Z123" s="26"/>
      <c r="AA123" s="30">
        <f>Table1[[#This Row],[Hours Used]]-SUM(Table1[[#This Row],[Planned Maintenance]:[Start and Finish Production]])</f>
        <v>17.399999999999999</v>
      </c>
      <c r="AB123" s="26"/>
      <c r="AC123" s="26"/>
      <c r="AD123" s="26"/>
      <c r="AE123" s="26"/>
      <c r="AF123" s="26"/>
      <c r="AG123" s="26"/>
      <c r="AH123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-3.5087719298267928E-3</v>
      </c>
      <c r="AI123" s="24">
        <f ca="1">IFERROR(IF(Table1[[#This Row],[SKU]]="",0,Table1[[#This Row],[Quality Loss (T)]]/(Table1[[#This Row],[SOC (TPD)]]/24)),"")</f>
        <v>0</v>
      </c>
      <c r="AJ123" s="31">
        <f ca="1">IFERROR(IF(Table1[[#This Row],[SKU]]="",0,Table1[[#This Row],[Volume Delivered (T)]]/(Table1[[#This Row],[SOC (TPD)]]/24)),"")</f>
        <v>17.403508771929825</v>
      </c>
      <c r="AK123" s="31">
        <f ca="1">IFERROR(Table1[[#This Row],[Operating Time]]/Table1[[#This Row],[PRODUCTION HOURS]],"")</f>
        <v>1.0002016535591856</v>
      </c>
      <c r="AL123" s="32">
        <v>94</v>
      </c>
      <c r="AM123" s="32" t="s">
        <v>107</v>
      </c>
      <c r="AN123" s="32" t="s">
        <v>105</v>
      </c>
      <c r="AO123" s="32">
        <v>18</v>
      </c>
      <c r="AP123" s="32">
        <v>18</v>
      </c>
      <c r="AQ123" s="32"/>
      <c r="AR123" s="32" t="str">
        <f>IFERROR(SUMIFS(#REF!,#REF!,'Data Sheet'!A:A,#REF!,"Samridhi Perk Line")/SUMIFS(#REF!,#REF!,'Data Sheet'!A:A,#REF!,"Samridhi Perk Line"),"")</f>
        <v/>
      </c>
      <c r="AS123" s="32"/>
      <c r="AT123" s="32"/>
      <c r="AU123" s="211">
        <f>IFERROR(VLOOKUP(Table1[[#This Row],[Date]],'Overweight Data'!A121:G1216,6,FALSE),"")</f>
        <v>3.0151933701657516E-2</v>
      </c>
      <c r="AV123" s="221">
        <f ca="1">IFERROR(
   IF(
      OR(Table1[[#This Row],[Operating Time]]=0, (Table1[[#This Row],[Operating Time]]/IF(AC123&lt;=1,AC123+1,AC123))*60=0),
      1,
      ((Table1[[#This Row],[Operating Time]])/IF(AC123&lt;=1,AC123+1,AC123))*60
   ),
"_")</f>
        <v>1044.2105263157896</v>
      </c>
      <c r="AW123" s="221">
        <f>COUNTIFS('Downtime Data'!A:A,Table1[[#This Row],[Date]])</f>
        <v>0</v>
      </c>
      <c r="AX123" s="219" t="str">
        <f>IFERROR((SUM(Table1[[#This Row],[Minor Stoppages]:[Material Shortages]])/Table1[[#This Row],['# Stops]])*60,"")</f>
        <v/>
      </c>
      <c r="AY123" s="219"/>
      <c r="AZ123" s="33">
        <v>46138</v>
      </c>
    </row>
    <row r="124" spans="1:52" ht="20.149999999999999" customHeight="1" x14ac:dyDescent="0.35">
      <c r="A124" s="21">
        <v>46141</v>
      </c>
      <c r="B124" s="22" t="str">
        <f t="shared" si="2"/>
        <v>Wednesday</v>
      </c>
      <c r="C124" s="23" t="s">
        <v>108</v>
      </c>
      <c r="D124" s="24" cm="1">
        <f t="array" aca="1" ref="D124" ca="1">IFERROR(INDIRECT(C124),"")</f>
        <v>34.200000000000003</v>
      </c>
      <c r="E124" s="25">
        <v>33</v>
      </c>
      <c r="F124" s="25">
        <v>31</v>
      </c>
      <c r="G124" s="27">
        <f ca="1">IFERROR((Table1[[#This Row],[Plan]]/Table1[[#This Row],[Hours Used]])/(Table1[[#This Row],[SOC (TPD)]]/24),"")</f>
        <v>0.96491228070175439</v>
      </c>
      <c r="H124" s="27">
        <f ca="1">IFERROR((Table1[[#This Row],[Volume Delivered (T)]]/Table1[[#This Row],[Hours Used]])/(Table1[[#This Row],[SOC (TPD)]]/24),"")</f>
        <v>0.9064327485380117</v>
      </c>
      <c r="I124" s="28"/>
      <c r="J124" s="28"/>
      <c r="K124" s="28"/>
      <c r="L124" s="25"/>
      <c r="M124" s="29">
        <v>3.9E-2</v>
      </c>
      <c r="N124" s="84">
        <v>12</v>
      </c>
      <c r="O124" s="25"/>
      <c r="P124" s="25"/>
      <c r="Q124" s="70"/>
      <c r="R124" s="71"/>
      <c r="S124" s="30">
        <f>IF(Table1[[#This Row],[SKU]]="",0,24-Table1[[#This Row],[Legal Non-Operating Time]]-Table1[[#This Row],[No Demand Time]]-Table1[[#This Row],[Force Majeure]])</f>
        <v>24</v>
      </c>
      <c r="T124" s="26"/>
      <c r="U124" s="26"/>
      <c r="V124" s="26"/>
      <c r="W124" s="26">
        <v>1</v>
      </c>
      <c r="X124" s="26"/>
      <c r="Y124" s="26"/>
      <c r="Z124" s="26"/>
      <c r="AA124" s="30">
        <f>Table1[[#This Row],[Hours Used]]-SUM(Table1[[#This Row],[Planned Maintenance]:[Start and Finish Production]])</f>
        <v>23</v>
      </c>
      <c r="AB124" s="26"/>
      <c r="AC124" s="26"/>
      <c r="AD124" s="26"/>
      <c r="AE124" s="26"/>
      <c r="AF124" s="26">
        <v>1.3</v>
      </c>
      <c r="AG124" s="26"/>
      <c r="AH124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-5.4385964912281537E-2</v>
      </c>
      <c r="AI124" s="24">
        <f ca="1">IFERROR(IF(Table1[[#This Row],[SKU]]="",0,Table1[[#This Row],[Quality Loss (T)]]/(Table1[[#This Row],[SOC (TPD)]]/24)),"")</f>
        <v>0</v>
      </c>
      <c r="AJ124" s="31">
        <f ca="1">IFERROR(IF(Table1[[#This Row],[SKU]]="",0,Table1[[#This Row],[Volume Delivered (T)]]/(Table1[[#This Row],[SOC (TPD)]]/24)),"")</f>
        <v>21.754385964912281</v>
      </c>
      <c r="AK124" s="31">
        <f ca="1">IFERROR(Table1[[#This Row],[Operating Time]]/Table1[[#This Row],[PRODUCTION HOURS]],"")</f>
        <v>0.94584286803966433</v>
      </c>
      <c r="AL124" s="32">
        <v>113</v>
      </c>
      <c r="AM124" s="32" t="s">
        <v>105</v>
      </c>
      <c r="AN124" s="32" t="s">
        <v>105</v>
      </c>
      <c r="AO124" s="32">
        <v>1</v>
      </c>
      <c r="AP124" s="32">
        <v>0</v>
      </c>
      <c r="AQ124" s="32"/>
      <c r="AR124" s="32" t="str">
        <f>IFERROR(SUMIFS(#REF!,#REF!,'Data Sheet'!A:A,#REF!,"Samridhi Perk Line")/SUMIFS(#REF!,#REF!,'Data Sheet'!A:A,#REF!,"Samridhi Perk Line"),"")</f>
        <v/>
      </c>
      <c r="AS124" s="32"/>
      <c r="AT124" s="32"/>
      <c r="AU124" s="211">
        <f>IFERROR(VLOOKUP(Table1[[#This Row],[Date]],'Overweight Data'!A122:G1217,6,FALSE),"")</f>
        <v>1.9523190897500285E-2</v>
      </c>
      <c r="AV124" s="221">
        <f ca="1">IFERROR(
   IF(
      OR(Table1[[#This Row],[Operating Time]]=0, (Table1[[#This Row],[Operating Time]]/IF(AC124&lt;=1,AC124+1,AC124))*60=0),
      1,
      ((Table1[[#This Row],[Operating Time]])/IF(AC124&lt;=1,AC124+1,AC124))*60
   ),
"_")</f>
        <v>1305.2631578947369</v>
      </c>
      <c r="AW124" s="221">
        <f>COUNTIFS('Downtime Data'!A:A,Table1[[#This Row],[Date]])</f>
        <v>3</v>
      </c>
      <c r="AX124" s="219">
        <f>IFERROR((SUM(Table1[[#This Row],[Minor Stoppages]:[Material Shortages]])/Table1[[#This Row],['# Stops]])*60,"")</f>
        <v>26</v>
      </c>
      <c r="AY124" s="219"/>
      <c r="AZ124" s="33">
        <v>46138</v>
      </c>
    </row>
    <row r="125" spans="1:52" ht="20.149999999999999" customHeight="1" x14ac:dyDescent="0.35">
      <c r="A125" s="21">
        <v>46142</v>
      </c>
      <c r="B125" s="22" t="str">
        <f t="shared" si="2"/>
        <v>Thursday</v>
      </c>
      <c r="C125" s="23" t="s">
        <v>106</v>
      </c>
      <c r="D125" s="24" cm="1">
        <f t="array" aca="1" ref="D125" ca="1">IFERROR(INDIRECT(C125),"")</f>
        <v>39.200000000000003</v>
      </c>
      <c r="E125" s="25">
        <v>33</v>
      </c>
      <c r="F125" s="25">
        <v>23.811349999999997</v>
      </c>
      <c r="G125" s="27">
        <f ca="1">IFERROR((Table1[[#This Row],[Plan]]/Table1[[#This Row],[Hours Used]])/(Table1[[#This Row],[SOC (TPD)]]/24),"")</f>
        <v>0.84183673469387743</v>
      </c>
      <c r="H125" s="27">
        <f ca="1">IFERROR((Table1[[#This Row],[Volume Delivered (T)]]/Table1[[#This Row],[Hours Used]])/(Table1[[#This Row],[SOC (TPD)]]/24),"")</f>
        <v>0.60743239795918347</v>
      </c>
      <c r="I125" s="28"/>
      <c r="J125" s="28"/>
      <c r="K125" s="28"/>
      <c r="L125" s="25">
        <f>0.6+1.1+0.16+0.53-0.17-0.82</f>
        <v>1.4000000000000004</v>
      </c>
      <c r="M125" s="29">
        <v>3.9E-2</v>
      </c>
      <c r="N125" s="84">
        <v>9</v>
      </c>
      <c r="O125" s="25"/>
      <c r="P125" s="25"/>
      <c r="Q125" s="70"/>
      <c r="R125" s="71"/>
      <c r="S125" s="30">
        <f>IF(Table1[[#This Row],[SKU]]="",0,24-Table1[[#This Row],[Legal Non-Operating Time]]-Table1[[#This Row],[No Demand Time]]-Table1[[#This Row],[Force Majeure]])</f>
        <v>24</v>
      </c>
      <c r="T125" s="26"/>
      <c r="U125" s="26"/>
      <c r="V125" s="26"/>
      <c r="W125" s="26">
        <v>1</v>
      </c>
      <c r="X125" s="26"/>
      <c r="Y125" s="26"/>
      <c r="Z125" s="26"/>
      <c r="AA125" s="30">
        <f>Table1[[#This Row],[Hours Used]]-SUM(Table1[[#This Row],[Planned Maintenance]:[Start and Finish Production]])</f>
        <v>23</v>
      </c>
      <c r="AB125" s="26"/>
      <c r="AC125" s="26">
        <v>4.5</v>
      </c>
      <c r="AD125" s="26"/>
      <c r="AE125" s="26"/>
      <c r="AF125" s="26">
        <v>2.8</v>
      </c>
      <c r="AG125" s="26"/>
      <c r="AH125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0.26447959183673753</v>
      </c>
      <c r="AI125" s="24">
        <f ca="1">IFERROR(IF(Table1[[#This Row],[SKU]]="",0,Table1[[#This Row],[Quality Loss (T)]]/(Table1[[#This Row],[SOC (TPD)]]/24)),"")</f>
        <v>0.85714285714285721</v>
      </c>
      <c r="AJ125" s="31">
        <f ca="1">IFERROR(IF(Table1[[#This Row],[SKU]]="",0,Table1[[#This Row],[Volume Delivered (T)]]/(Table1[[#This Row],[SOC (TPD)]]/24)),"")</f>
        <v>14.578377551020404</v>
      </c>
      <c r="AK125" s="31">
        <f ca="1">IFERROR(Table1[[#This Row],[Operating Time]]/Table1[[#This Row],[PRODUCTION HOURS]],"")</f>
        <v>0.63384250221827843</v>
      </c>
      <c r="AL125" s="32">
        <v>109</v>
      </c>
      <c r="AM125" s="32" t="s">
        <v>107</v>
      </c>
      <c r="AN125" s="32" t="s">
        <v>105</v>
      </c>
      <c r="AO125" s="32">
        <v>1</v>
      </c>
      <c r="AP125" s="32">
        <v>0</v>
      </c>
      <c r="AQ125" s="32"/>
      <c r="AR125" s="32" t="str">
        <f>IFERROR(SUMIFS(#REF!,#REF!,'Data Sheet'!A:A,#REF!,"Samridhi Perk Line")/SUMIFS(#REF!,#REF!,'Data Sheet'!A:A,#REF!,"Samridhi Perk Line"),"")</f>
        <v/>
      </c>
      <c r="AS125" s="32"/>
      <c r="AT125" s="32"/>
      <c r="AU125" s="211">
        <f>IFERROR(VLOOKUP(Table1[[#This Row],[Date]],'Overweight Data'!A123:G1218,6,FALSE),"")</f>
        <v>2.0273892773892754E-2</v>
      </c>
      <c r="AV125" s="221">
        <f ca="1">IFERROR(
   IF(
      OR(Table1[[#This Row],[Operating Time]]=0, (Table1[[#This Row],[Operating Time]]/IF(AC125&lt;=1,AC125+1,AC125))*60=0),
      1,
      ((Table1[[#This Row],[Operating Time]])/IF(AC125&lt;=1,AC125+1,AC125))*60
   ),
"_")</f>
        <v>194.37836734693872</v>
      </c>
      <c r="AW125" s="221">
        <f>COUNTIFS('Downtime Data'!A:A,Table1[[#This Row],[Date]])</f>
        <v>2</v>
      </c>
      <c r="AX125" s="219">
        <f>IFERROR((SUM(Table1[[#This Row],[Minor Stoppages]:[Material Shortages]])/Table1[[#This Row],['# Stops]])*60,"")</f>
        <v>219</v>
      </c>
      <c r="AY125" s="219"/>
      <c r="AZ125" s="33">
        <v>46138</v>
      </c>
    </row>
    <row r="126" spans="1:52" ht="20.149999999999999" customHeight="1" x14ac:dyDescent="0.35">
      <c r="A126" s="21">
        <v>46143</v>
      </c>
      <c r="B126" s="22" t="str">
        <f t="shared" si="2"/>
        <v>Friday</v>
      </c>
      <c r="C126" s="23" t="s">
        <v>108</v>
      </c>
      <c r="D126" s="24" cm="1">
        <f t="array" aca="1" ref="D126" ca="1">IFERROR(INDIRECT(C126),"")</f>
        <v>34.200000000000003</v>
      </c>
      <c r="E126" s="25">
        <v>30</v>
      </c>
      <c r="F126" s="25">
        <v>32.799999999999997</v>
      </c>
      <c r="G126" s="27">
        <f ca="1">IFERROR((Table1[[#This Row],[Plan]]/Table1[[#This Row],[Hours Used]])/(Table1[[#This Row],[SOC (TPD)]]/24),"")</f>
        <v>0.8771929824561403</v>
      </c>
      <c r="H126" s="27">
        <f ca="1">IFERROR((Table1[[#This Row],[Volume Delivered (T)]]/Table1[[#This Row],[Hours Used]])/(Table1[[#This Row],[SOC (TPD)]]/24),"")</f>
        <v>0.95906432748537995</v>
      </c>
      <c r="I126" s="28"/>
      <c r="J126" s="28"/>
      <c r="K126" s="28"/>
      <c r="L126" s="25"/>
      <c r="M126" s="29">
        <v>3.9E-2</v>
      </c>
      <c r="N126" s="84"/>
      <c r="O126" s="25"/>
      <c r="P126" s="25"/>
      <c r="Q126" s="70"/>
      <c r="R126" s="71"/>
      <c r="S126" s="30">
        <f>IF(Table1[[#This Row],[SKU]]="",0,24-Table1[[#This Row],[Legal Non-Operating Time]]-Table1[[#This Row],[No Demand Time]]-Table1[[#This Row],[Force Majeure]])</f>
        <v>24</v>
      </c>
      <c r="T126" s="26"/>
      <c r="U126" s="26"/>
      <c r="V126" s="26"/>
      <c r="W126" s="26">
        <v>1</v>
      </c>
      <c r="X126" s="26"/>
      <c r="Y126" s="26"/>
      <c r="Z126" s="26"/>
      <c r="AA126" s="30">
        <f>Table1[[#This Row],[Hours Used]]-SUM(Table1[[#This Row],[Planned Maintenance]:[Start and Finish Production]])</f>
        <v>23</v>
      </c>
      <c r="AB126" s="26"/>
      <c r="AC126" s="26"/>
      <c r="AD126" s="26"/>
      <c r="AE126" s="26"/>
      <c r="AF126" s="26"/>
      <c r="AG126" s="26"/>
      <c r="AH126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-1.7543859649119753E-2</v>
      </c>
      <c r="AI126" s="24">
        <f ca="1">IFERROR(IF(Table1[[#This Row],[SKU]]="",0,Table1[[#This Row],[Quality Loss (T)]]/(Table1[[#This Row],[SOC (TPD)]]/24)),"")</f>
        <v>0</v>
      </c>
      <c r="AJ126" s="31">
        <f ca="1">IFERROR(IF(Table1[[#This Row],[SKU]]="",0,Table1[[#This Row],[Volume Delivered (T)]]/(Table1[[#This Row],[SOC (TPD)]]/24)),"")</f>
        <v>23.01754385964912</v>
      </c>
      <c r="AK126" s="31">
        <f ca="1">IFERROR(Table1[[#This Row],[Operating Time]]/Table1[[#This Row],[PRODUCTION HOURS]],"")</f>
        <v>1.0007627765064835</v>
      </c>
      <c r="AL126" s="32">
        <v>99</v>
      </c>
      <c r="AM126" s="32" t="s">
        <v>107</v>
      </c>
      <c r="AN126" s="32" t="s">
        <v>105</v>
      </c>
      <c r="AO126" s="32">
        <v>0</v>
      </c>
      <c r="AP126" s="32">
        <v>0</v>
      </c>
      <c r="AQ126" s="32"/>
      <c r="AR126" s="32" t="str">
        <f>IFERROR(SUMIFS(#REF!,#REF!,'Data Sheet'!A:A,#REF!,"Samridhi Perk Line")/SUMIFS(#REF!,#REF!,'Data Sheet'!A:A,#REF!,"Samridhi Perk Line"),"")</f>
        <v/>
      </c>
      <c r="AS126" s="32"/>
      <c r="AT126" s="32"/>
      <c r="AU126" s="211">
        <f>IFERROR(VLOOKUP(Table1[[#This Row],[Date]],'Overweight Data'!A124:G1219,6,FALSE),"")</f>
        <v>1.8350815850815858E-2</v>
      </c>
      <c r="AV126" s="221">
        <f ca="1">IFERROR(
   IF(
      OR(Table1[[#This Row],[Operating Time]]=0, (Table1[[#This Row],[Operating Time]]/IF(AC126&lt;=1,AC126+1,AC126))*60=0),
      1,
      ((Table1[[#This Row],[Operating Time]])/IF(AC126&lt;=1,AC126+1,AC126))*60
   ),
"_")</f>
        <v>1381.0526315789473</v>
      </c>
      <c r="AW126" s="221">
        <f>COUNTIFS('Downtime Data'!A:A,Table1[[#This Row],[Date]])</f>
        <v>0</v>
      </c>
      <c r="AX126" s="219" t="str">
        <f>IFERROR((SUM(Table1[[#This Row],[Minor Stoppages]:[Material Shortages]])/Table1[[#This Row],['# Stops]])*60,"")</f>
        <v/>
      </c>
      <c r="AY126" s="219"/>
      <c r="AZ126" s="33">
        <v>46138</v>
      </c>
    </row>
    <row r="127" spans="1:52" ht="20.149999999999999" customHeight="1" x14ac:dyDescent="0.35">
      <c r="A127" s="21">
        <v>46144</v>
      </c>
      <c r="B127" s="22" t="str">
        <f t="shared" si="2"/>
        <v>Saturday</v>
      </c>
      <c r="C127" s="23" t="s">
        <v>108</v>
      </c>
      <c r="D127" s="24" cm="1">
        <f t="array" aca="1" ref="D127" ca="1">IFERROR(INDIRECT(C127),"")</f>
        <v>34.200000000000003</v>
      </c>
      <c r="E127" s="25">
        <v>30</v>
      </c>
      <c r="F127" s="25">
        <v>30.8</v>
      </c>
      <c r="G127" s="27">
        <f ca="1">IFERROR((Table1[[#This Row],[Plan]]/Table1[[#This Row],[Hours Used]])/(Table1[[#This Row],[SOC (TPD)]]/24),"")</f>
        <v>0.8771929824561403</v>
      </c>
      <c r="H127" s="27">
        <f ca="1">IFERROR((Table1[[#This Row],[Volume Delivered (T)]]/Table1[[#This Row],[Hours Used]])/(Table1[[#This Row],[SOC (TPD)]]/24),"")</f>
        <v>0.90058479532163749</v>
      </c>
      <c r="I127" s="28"/>
      <c r="J127" s="28"/>
      <c r="K127" s="28"/>
      <c r="L127" s="25">
        <f>0.47+1.29+0.17+0.3-0.15-0.61</f>
        <v>1.4700000000000002</v>
      </c>
      <c r="M127" s="29">
        <v>3.9E-2</v>
      </c>
      <c r="N127" s="84"/>
      <c r="O127" s="25"/>
      <c r="P127" s="25"/>
      <c r="Q127" s="70"/>
      <c r="R127" s="71"/>
      <c r="S127" s="30">
        <f>IF(Table1[[#This Row],[SKU]]="",0,24-Table1[[#This Row],[Legal Non-Operating Time]]-Table1[[#This Row],[No Demand Time]]-Table1[[#This Row],[Force Majeure]])</f>
        <v>24</v>
      </c>
      <c r="T127" s="26"/>
      <c r="U127" s="26">
        <v>1</v>
      </c>
      <c r="V127" s="26"/>
      <c r="W127" s="26"/>
      <c r="X127" s="26"/>
      <c r="Y127" s="26"/>
      <c r="Z127" s="26"/>
      <c r="AA127" s="30">
        <f>Table1[[#This Row],[Hours Used]]-SUM(Table1[[#This Row],[Planned Maintenance]:[Start and Finish Production]])</f>
        <v>23</v>
      </c>
      <c r="AB127" s="26"/>
      <c r="AC127" s="26">
        <v>0.5</v>
      </c>
      <c r="AD127" s="26"/>
      <c r="AE127" s="26"/>
      <c r="AF127" s="26"/>
      <c r="AG127" s="26"/>
      <c r="AH127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-0.14561403508771775</v>
      </c>
      <c r="AI127" s="24">
        <f ca="1">IFERROR(IF(Table1[[#This Row],[SKU]]="",0,Table1[[#This Row],[Quality Loss (T)]]/(Table1[[#This Row],[SOC (TPD)]]/24)),"")</f>
        <v>1.0315789473684212</v>
      </c>
      <c r="AJ127" s="31">
        <f ca="1">IFERROR(IF(Table1[[#This Row],[SKU]]="",0,Table1[[#This Row],[Volume Delivered (T)]]/(Table1[[#This Row],[SOC (TPD)]]/24)),"")</f>
        <v>21.614035087719298</v>
      </c>
      <c r="AK127" s="31">
        <f ca="1">IFERROR(Table1[[#This Row],[Operating Time]]/Table1[[#This Row],[PRODUCTION HOURS]],"")</f>
        <v>0.93974065598779555</v>
      </c>
      <c r="AL127" s="32">
        <v>100</v>
      </c>
      <c r="AM127" s="32" t="s">
        <v>107</v>
      </c>
      <c r="AN127" s="32" t="s">
        <v>105</v>
      </c>
      <c r="AO127" s="32">
        <v>1</v>
      </c>
      <c r="AP127" s="32">
        <v>1</v>
      </c>
      <c r="AQ127" s="32"/>
      <c r="AR127" s="32" t="str">
        <f>IFERROR(SUMIFS(#REF!,#REF!,'Data Sheet'!A:A,#REF!,"Samridhi Perk Line")/SUMIFS(#REF!,#REF!,'Data Sheet'!A:A,#REF!,"Samridhi Perk Line"),"")</f>
        <v/>
      </c>
      <c r="AS127" s="32"/>
      <c r="AT127" s="32"/>
      <c r="AU127" s="211">
        <f>IFERROR(VLOOKUP(Table1[[#This Row],[Date]],'Overweight Data'!A125:G1220,6,FALSE),"")</f>
        <v>2.9254079254079284E-2</v>
      </c>
      <c r="AV127" s="221">
        <f ca="1">IFERROR(
   IF(
      OR(Table1[[#This Row],[Operating Time]]=0, (Table1[[#This Row],[Operating Time]]/IF(AC127&lt;=1,AC127+1,AC127))*60=0),
      1,
      ((Table1[[#This Row],[Operating Time]])/IF(AC127&lt;=1,AC127+1,AC127))*60
   ),
"_")</f>
        <v>864.56140350877183</v>
      </c>
      <c r="AW127" s="221">
        <f>COUNTIFS('Downtime Data'!A:A,Table1[[#This Row],[Date]])</f>
        <v>0</v>
      </c>
      <c r="AX127" s="219" t="str">
        <f>IFERROR((SUM(Table1[[#This Row],[Minor Stoppages]:[Material Shortages]])/Table1[[#This Row],['# Stops]])*60,"")</f>
        <v/>
      </c>
      <c r="AY127" s="219"/>
      <c r="AZ127" s="33">
        <v>46138</v>
      </c>
    </row>
    <row r="128" spans="1:52" ht="20.149999999999999" customHeight="1" x14ac:dyDescent="0.35">
      <c r="A128" s="21">
        <v>46145</v>
      </c>
      <c r="B128" s="22" t="str">
        <f t="shared" si="2"/>
        <v>Sunday</v>
      </c>
      <c r="C128" s="23" t="s">
        <v>108</v>
      </c>
      <c r="D128" s="24" cm="1">
        <f t="array" aca="1" ref="D128" ca="1">IFERROR(INDIRECT(C128),"")</f>
        <v>34.200000000000003</v>
      </c>
      <c r="E128" s="25">
        <v>30</v>
      </c>
      <c r="F128" s="25">
        <v>30.5</v>
      </c>
      <c r="G128" s="27">
        <f ca="1">IFERROR((Table1[[#This Row],[Plan]]/Table1[[#This Row],[Hours Used]])/(Table1[[#This Row],[SOC (TPD)]]/24),"")</f>
        <v>0.8771929824561403</v>
      </c>
      <c r="H128" s="27">
        <f ca="1">IFERROR((Table1[[#This Row],[Volume Delivered (T)]]/Table1[[#This Row],[Hours Used]])/(Table1[[#This Row],[SOC (TPD)]]/24),"")</f>
        <v>0.89181286549707595</v>
      </c>
      <c r="I128" s="28"/>
      <c r="J128" s="28"/>
      <c r="K128" s="28"/>
      <c r="L128" s="25"/>
      <c r="M128" s="29"/>
      <c r="N128" s="84">
        <v>12</v>
      </c>
      <c r="O128" s="25"/>
      <c r="P128" s="25"/>
      <c r="Q128" s="70"/>
      <c r="R128" s="71"/>
      <c r="S128" s="30">
        <f>IF(Table1[[#This Row],[SKU]]="",0,24-Table1[[#This Row],[Legal Non-Operating Time]]-Table1[[#This Row],[No Demand Time]]-Table1[[#This Row],[Force Majeure]])</f>
        <v>24</v>
      </c>
      <c r="T128" s="26"/>
      <c r="U128" s="26"/>
      <c r="V128" s="26"/>
      <c r="W128" s="26"/>
      <c r="X128" s="26"/>
      <c r="Y128" s="26"/>
      <c r="Z128" s="26"/>
      <c r="AA128" s="30">
        <f>Table1[[#This Row],[Hours Used]]-SUM(Table1[[#This Row],[Planned Maintenance]:[Start and Finish Production]])</f>
        <v>24</v>
      </c>
      <c r="AB128" s="26"/>
      <c r="AC128" s="26"/>
      <c r="AD128" s="26"/>
      <c r="AE128" s="26"/>
      <c r="AF128" s="26"/>
      <c r="AG128" s="26"/>
      <c r="AH128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2.5964912280701746</v>
      </c>
      <c r="AI128" s="24">
        <f ca="1">IFERROR(IF(Table1[[#This Row],[SKU]]="",0,Table1[[#This Row],[Quality Loss (T)]]/(Table1[[#This Row],[SOC (TPD)]]/24)),"")</f>
        <v>0</v>
      </c>
      <c r="AJ128" s="31">
        <f ca="1">IFERROR(IF(Table1[[#This Row],[SKU]]="",0,Table1[[#This Row],[Volume Delivered (T)]]/(Table1[[#This Row],[SOC (TPD)]]/24)),"")</f>
        <v>21.403508771929825</v>
      </c>
      <c r="AK128" s="31">
        <f ca="1">IFERROR(Table1[[#This Row],[Operating Time]]/Table1[[#This Row],[PRODUCTION HOURS]],"")</f>
        <v>0.89181286549707606</v>
      </c>
      <c r="AL128" s="32">
        <v>103</v>
      </c>
      <c r="AM128" s="32" t="s">
        <v>105</v>
      </c>
      <c r="AN128" s="32" t="s">
        <v>105</v>
      </c>
      <c r="AO128" s="32">
        <v>5</v>
      </c>
      <c r="AP128" s="32">
        <v>5</v>
      </c>
      <c r="AQ128" s="32"/>
      <c r="AR128" s="32" t="str">
        <f>IFERROR(SUMIFS(#REF!,#REF!,'Data Sheet'!A:A,#REF!,"Samridhi Perk Line")/SUMIFS(#REF!,#REF!,'Data Sheet'!A:A,#REF!,"Samridhi Perk Line"),"")</f>
        <v/>
      </c>
      <c r="AS128" s="32"/>
      <c r="AT128" s="32"/>
      <c r="AU128" s="211">
        <f>IFERROR(VLOOKUP(Table1[[#This Row],[Date]],'Overweight Data'!A126:G1221,6,FALSE),"")</f>
        <v>2.7495605223505751E-2</v>
      </c>
      <c r="AV128" s="221">
        <f ca="1">IFERROR(
   IF(
      OR(Table1[[#This Row],[Operating Time]]=0, (Table1[[#This Row],[Operating Time]]/IF(AC128&lt;=1,AC128+1,AC128))*60=0),
      1,
      ((Table1[[#This Row],[Operating Time]])/IF(AC128&lt;=1,AC128+1,AC128))*60
   ),
"_")</f>
        <v>1284.2105263157896</v>
      </c>
      <c r="AW128" s="221">
        <f>COUNTIFS('Downtime Data'!A:A,Table1[[#This Row],[Date]])</f>
        <v>1</v>
      </c>
      <c r="AX128" s="219">
        <f>IFERROR((SUM(Table1[[#This Row],[Minor Stoppages]:[Material Shortages]])/Table1[[#This Row],['# Stops]])*60,"")</f>
        <v>0</v>
      </c>
      <c r="AY128" s="219"/>
      <c r="AZ128" s="33">
        <v>46138</v>
      </c>
    </row>
    <row r="129" spans="1:52" ht="20.149999999999999" customHeight="1" x14ac:dyDescent="0.35">
      <c r="A129" s="21">
        <v>46146</v>
      </c>
      <c r="B129" s="22" t="str">
        <f t="shared" si="2"/>
        <v>Monday</v>
      </c>
      <c r="C129" s="23" t="s">
        <v>108</v>
      </c>
      <c r="D129" s="24" cm="1">
        <f t="array" aca="1" ref="D129" ca="1">IFERROR(INDIRECT(C129),"")</f>
        <v>34.200000000000003</v>
      </c>
      <c r="E129" s="25">
        <v>30</v>
      </c>
      <c r="F129" s="25">
        <f>28.9+4.7</f>
        <v>33.6</v>
      </c>
      <c r="G129" s="27">
        <f ca="1">IFERROR((Table1[[#This Row],[Plan]]/Table1[[#This Row],[Hours Used]])/(Table1[[#This Row],[SOC (TPD)]]/24),"")</f>
        <v>0.8771929824561403</v>
      </c>
      <c r="H129" s="27">
        <f ca="1">IFERROR((Table1[[#This Row],[Volume Delivered (T)]]/Table1[[#This Row],[Hours Used]])/(Table1[[#This Row],[SOC (TPD)]]/24),"")</f>
        <v>0.98245614035087725</v>
      </c>
      <c r="I129" s="28"/>
      <c r="J129" s="28"/>
      <c r="K129" s="28"/>
      <c r="L129" s="25">
        <v>0.8</v>
      </c>
      <c r="M129" s="29">
        <v>3.9E-2</v>
      </c>
      <c r="N129" s="84">
        <v>10</v>
      </c>
      <c r="O129" s="25"/>
      <c r="P129" s="25"/>
      <c r="Q129" s="70"/>
      <c r="R129" s="71"/>
      <c r="S129" s="30">
        <f>IF(Table1[[#This Row],[SKU]]="",0,24-Table1[[#This Row],[Legal Non-Operating Time]]-Table1[[#This Row],[No Demand Time]]-Table1[[#This Row],[Force Majeure]])</f>
        <v>24</v>
      </c>
      <c r="T129" s="26"/>
      <c r="U129" s="26"/>
      <c r="V129" s="26"/>
      <c r="W129" s="26"/>
      <c r="X129" s="26"/>
      <c r="Y129" s="26"/>
      <c r="Z129" s="26"/>
      <c r="AA129" s="30">
        <f>Table1[[#This Row],[Hours Used]]-SUM(Table1[[#This Row],[Planned Maintenance]:[Start and Finish Production]])</f>
        <v>24</v>
      </c>
      <c r="AB129" s="26"/>
      <c r="AC129" s="26"/>
      <c r="AD129" s="26"/>
      <c r="AE129" s="26"/>
      <c r="AF129" s="26"/>
      <c r="AG129" s="26"/>
      <c r="AH129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-0.14035087719298289</v>
      </c>
      <c r="AI129" s="24">
        <f ca="1">IFERROR(IF(Table1[[#This Row],[SKU]]="",0,Table1[[#This Row],[Quality Loss (T)]]/(Table1[[#This Row],[SOC (TPD)]]/24)),"")</f>
        <v>0.56140350877192979</v>
      </c>
      <c r="AJ129" s="31">
        <f ca="1">IFERROR(IF(Table1[[#This Row],[SKU]]="",0,Table1[[#This Row],[Volume Delivered (T)]]/(Table1[[#This Row],[SOC (TPD)]]/24)),"")</f>
        <v>23.578947368421051</v>
      </c>
      <c r="AK129" s="31">
        <f ca="1">IFERROR(Table1[[#This Row],[Operating Time]]/Table1[[#This Row],[PRODUCTION HOURS]],"")</f>
        <v>0.98245614035087714</v>
      </c>
      <c r="AL129" s="32">
        <v>103</v>
      </c>
      <c r="AM129" s="32" t="s">
        <v>107</v>
      </c>
      <c r="AN129" s="32" t="s">
        <v>107</v>
      </c>
      <c r="AO129" s="32">
        <v>0</v>
      </c>
      <c r="AP129" s="32">
        <v>0</v>
      </c>
      <c r="AQ129" s="32"/>
      <c r="AR129" s="32" t="str">
        <f>IFERROR(SUMIFS(#REF!,#REF!,'Data Sheet'!A:A,#REF!,"Samridhi Perk Line")/SUMIFS(#REF!,#REF!,'Data Sheet'!A:A,#REF!,"Samridhi Perk Line"),"")</f>
        <v/>
      </c>
      <c r="AS129" s="32"/>
      <c r="AT129" s="32"/>
      <c r="AU129" s="211">
        <f>IFERROR(VLOOKUP(Table1[[#This Row],[Date]],'Overweight Data'!A127:G1222,6,FALSE),"")</f>
        <v>3.4640883977900556E-2</v>
      </c>
      <c r="AV129" s="221">
        <f ca="1">IFERROR(
   IF(
      OR(Table1[[#This Row],[Operating Time]]=0, (Table1[[#This Row],[Operating Time]]/IF(AC129&lt;=1,AC129+1,AC129))*60=0),
      1,
      ((Table1[[#This Row],[Operating Time]])/IF(AC129&lt;=1,AC129+1,AC129))*60
   ),
"_")</f>
        <v>1414.7368421052631</v>
      </c>
      <c r="AW129" s="221">
        <f>COUNTIFS('Downtime Data'!A:A,Table1[[#This Row],[Date]])</f>
        <v>1</v>
      </c>
      <c r="AX129" s="219">
        <f>IFERROR((SUM(Table1[[#This Row],[Minor Stoppages]:[Material Shortages]])/Table1[[#This Row],['# Stops]])*60,"")</f>
        <v>0</v>
      </c>
      <c r="AY129" s="219"/>
      <c r="AZ129" s="33">
        <v>46168</v>
      </c>
    </row>
    <row r="130" spans="1:52" ht="20.149999999999999" customHeight="1" x14ac:dyDescent="0.35">
      <c r="A130" s="21">
        <v>46147</v>
      </c>
      <c r="B130" s="22" t="str">
        <f t="shared" si="2"/>
        <v>Tuesday</v>
      </c>
      <c r="C130" s="23" t="s">
        <v>108</v>
      </c>
      <c r="D130" s="24" cm="1">
        <f t="array" aca="1" ref="D130" ca="1">IFERROR(INDIRECT(C130),"")</f>
        <v>34.200000000000003</v>
      </c>
      <c r="E130" s="25">
        <v>30</v>
      </c>
      <c r="F130" s="26">
        <f>30.2-8+5.7+3.1</f>
        <v>31</v>
      </c>
      <c r="G130" s="27">
        <f ca="1">IFERROR((Table1[[#This Row],[Plan]]/Table1[[#This Row],[Hours Used]])/(Table1[[#This Row],[SOC (TPD)]]/24),"")</f>
        <v>0.8771929824561403</v>
      </c>
      <c r="H130" s="27">
        <f ca="1">IFERROR((Table1[[#This Row],[Volume Delivered (T)]]/Table1[[#This Row],[Hours Used]])/(Table1[[#This Row],[SOC (TPD)]]/24),"")</f>
        <v>0.9064327485380117</v>
      </c>
      <c r="I130" s="28"/>
      <c r="J130" s="28"/>
      <c r="K130" s="28"/>
      <c r="L130" s="25">
        <v>1</v>
      </c>
      <c r="M130" s="29">
        <v>3.9E-2</v>
      </c>
      <c r="N130" s="84">
        <v>13</v>
      </c>
      <c r="O130" s="25"/>
      <c r="P130" s="25"/>
      <c r="Q130" s="70"/>
      <c r="R130" s="71"/>
      <c r="S130" s="30">
        <f>IF(Table1[[#This Row],[SKU]]="",0,24-Table1[[#This Row],[Legal Non-Operating Time]]-Table1[[#This Row],[No Demand Time]]-Table1[[#This Row],[Force Majeure]])</f>
        <v>24</v>
      </c>
      <c r="T130" s="26"/>
      <c r="U130" s="26">
        <v>1</v>
      </c>
      <c r="V130" s="26"/>
      <c r="W130" s="26"/>
      <c r="X130" s="26"/>
      <c r="Y130" s="26"/>
      <c r="Z130" s="26"/>
      <c r="AA130" s="30">
        <f>Table1[[#This Row],[Hours Used]]-SUM(Table1[[#This Row],[Planned Maintenance]:[Start and Finish Production]])</f>
        <v>23</v>
      </c>
      <c r="AB130" s="26"/>
      <c r="AC130" s="26">
        <v>0.6</v>
      </c>
      <c r="AD130" s="26"/>
      <c r="AE130" s="26"/>
      <c r="AF130" s="26"/>
      <c r="AG130" s="26"/>
      <c r="AH130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-5.6140350877193157E-2</v>
      </c>
      <c r="AI130" s="24">
        <f ca="1">IFERROR(IF(Table1[[#This Row],[SKU]]="",0,Table1[[#This Row],[Quality Loss (T)]]/(Table1[[#This Row],[SOC (TPD)]]/24)),"")</f>
        <v>0.70175438596491224</v>
      </c>
      <c r="AJ130" s="31">
        <f ca="1">IFERROR(IF(Table1[[#This Row],[SKU]]="",0,Table1[[#This Row],[Volume Delivered (T)]]/(Table1[[#This Row],[SOC (TPD)]]/24)),"")</f>
        <v>21.754385964912281</v>
      </c>
      <c r="AK130" s="31">
        <f ca="1">IFERROR(Table1[[#This Row],[Operating Time]]/Table1[[#This Row],[PRODUCTION HOURS]],"")</f>
        <v>0.94584286803966433</v>
      </c>
      <c r="AL130" s="32">
        <v>80</v>
      </c>
      <c r="AM130" s="32" t="s">
        <v>107</v>
      </c>
      <c r="AN130" s="32" t="s">
        <v>105</v>
      </c>
      <c r="AO130" s="32">
        <v>0</v>
      </c>
      <c r="AP130" s="32">
        <v>0</v>
      </c>
      <c r="AQ130" s="32"/>
      <c r="AR130" s="32" t="str">
        <f>IFERROR(SUMIFS(#REF!,#REF!,'Data Sheet'!A:A,#REF!,"Samridhi Perk Line")/SUMIFS(#REF!,#REF!,'Data Sheet'!A:A,#REF!,"Samridhi Perk Line"),"")</f>
        <v/>
      </c>
      <c r="AS130" s="32"/>
      <c r="AT130" s="32"/>
      <c r="AU130" s="211">
        <f>IFERROR(VLOOKUP(Table1[[#This Row],[Date]],'Overweight Data'!A128:G1223,6,FALSE),"")</f>
        <v>3.9217311233885853E-2</v>
      </c>
      <c r="AV130" s="221">
        <f ca="1">IFERROR(
   IF(
      OR(Table1[[#This Row],[Operating Time]]=0, (Table1[[#This Row],[Operating Time]]/IF(AC130&lt;=1,AC130+1,AC130))*60=0),
      1,
      ((Table1[[#This Row],[Operating Time]])/IF(AC130&lt;=1,AC130+1,AC130))*60
   ),
"_")</f>
        <v>815.78947368421052</v>
      </c>
      <c r="AW130" s="221">
        <f>COUNTIFS('Downtime Data'!A:A,Table1[[#This Row],[Date]])</f>
        <v>0</v>
      </c>
      <c r="AX130" s="219" t="str">
        <f>IFERROR((SUM(Table1[[#This Row],[Minor Stoppages]:[Material Shortages]])/Table1[[#This Row],['# Stops]])*60,"")</f>
        <v/>
      </c>
      <c r="AY130" s="219"/>
      <c r="AZ130" s="33">
        <v>46168</v>
      </c>
    </row>
    <row r="131" spans="1:52" ht="20.149999999999999" customHeight="1" x14ac:dyDescent="0.35">
      <c r="A131" s="21">
        <v>46148</v>
      </c>
      <c r="B131" s="22" t="str">
        <f t="shared" si="2"/>
        <v>Wednesday</v>
      </c>
      <c r="C131" s="23" t="s">
        <v>108</v>
      </c>
      <c r="D131" s="24" cm="1">
        <f t="array" aca="1" ref="D131" ca="1">IFERROR(INDIRECT(C131),"")</f>
        <v>34.200000000000003</v>
      </c>
      <c r="E131" s="25">
        <v>30</v>
      </c>
      <c r="F131" s="26">
        <v>30.2</v>
      </c>
      <c r="G131" s="27">
        <f ca="1">IFERROR((Table1[[#This Row],[Plan]]/Table1[[#This Row],[Hours Used]])/(Table1[[#This Row],[SOC (TPD)]]/24),"")</f>
        <v>0.8771929824561403</v>
      </c>
      <c r="H131" s="27">
        <f ca="1">IFERROR((Table1[[#This Row],[Volume Delivered (T)]]/Table1[[#This Row],[Hours Used]])/(Table1[[#This Row],[SOC (TPD)]]/24),"")</f>
        <v>0.88304093567251463</v>
      </c>
      <c r="I131" s="28"/>
      <c r="J131" s="28"/>
      <c r="K131" s="28"/>
      <c r="L131" s="25">
        <v>1.1000000000000001</v>
      </c>
      <c r="M131" s="29">
        <v>3.9E-2</v>
      </c>
      <c r="N131" s="84">
        <v>15</v>
      </c>
      <c r="O131" s="25"/>
      <c r="P131" s="25"/>
      <c r="Q131" s="70"/>
      <c r="R131" s="71"/>
      <c r="S131" s="30">
        <f>IF(Table1[[#This Row],[SKU]]="",0,24-Table1[[#This Row],[Legal Non-Operating Time]]-Table1[[#This Row],[No Demand Time]]-Table1[[#This Row],[Force Majeure]])</f>
        <v>24</v>
      </c>
      <c r="T131" s="26"/>
      <c r="U131" s="26">
        <v>1</v>
      </c>
      <c r="V131" s="26"/>
      <c r="W131" s="26"/>
      <c r="X131" s="26"/>
      <c r="Y131" s="26"/>
      <c r="Z131" s="26"/>
      <c r="AA131" s="30">
        <f>Table1[[#This Row],[Hours Used]]-SUM(Table1[[#This Row],[Planned Maintenance]:[Start and Finish Production]])</f>
        <v>23</v>
      </c>
      <c r="AB131" s="26"/>
      <c r="AC131" s="26">
        <v>1</v>
      </c>
      <c r="AD131" s="26"/>
      <c r="AE131" s="26"/>
      <c r="AF131" s="26"/>
      <c r="AG131" s="26"/>
      <c r="AH131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3.5087719298246611E-2</v>
      </c>
      <c r="AI131" s="24">
        <f ca="1">IFERROR(IF(Table1[[#This Row],[SKU]]="",0,Table1[[#This Row],[Quality Loss (T)]]/(Table1[[#This Row],[SOC (TPD)]]/24)),"")</f>
        <v>0.77192982456140358</v>
      </c>
      <c r="AJ131" s="31">
        <f ca="1">IFERROR(IF(Table1[[#This Row],[SKU]]="",0,Table1[[#This Row],[Volume Delivered (T)]]/(Table1[[#This Row],[SOC (TPD)]]/24)),"")</f>
        <v>21.192982456140349</v>
      </c>
      <c r="AK131" s="31">
        <f ca="1">IFERROR(Table1[[#This Row],[Operating Time]]/Table1[[#This Row],[PRODUCTION HOURS]],"")</f>
        <v>0.92143401983218909</v>
      </c>
      <c r="AL131" s="32">
        <v>92</v>
      </c>
      <c r="AM131" s="32" t="s">
        <v>107</v>
      </c>
      <c r="AN131" s="32" t="s">
        <v>107</v>
      </c>
      <c r="AO131" s="32">
        <v>0</v>
      </c>
      <c r="AP131" s="32">
        <v>0</v>
      </c>
      <c r="AQ131" s="32"/>
      <c r="AR131" s="32" t="str">
        <f>IFERROR(SUMIFS(#REF!,#REF!,'Data Sheet'!A:A,#REF!,"Samridhi Perk Line")/SUMIFS(#REF!,#REF!,'Data Sheet'!A:A,#REF!,"Samridhi Perk Line"),"")</f>
        <v/>
      </c>
      <c r="AS131" s="32"/>
      <c r="AT131" s="32"/>
      <c r="AU131" s="211">
        <f>IFERROR(VLOOKUP(Table1[[#This Row],[Date]],'Overweight Data'!A129:G1224,6,FALSE),"")</f>
        <v>2.7412523020257814E-2</v>
      </c>
      <c r="AV131" s="221">
        <f ca="1">IFERROR(
   IF(
      OR(Table1[[#This Row],[Operating Time]]=0, (Table1[[#This Row],[Operating Time]]/IF(AC131&lt;=1,AC131+1,AC131))*60=0),
      1,
      ((Table1[[#This Row],[Operating Time]])/IF(AC131&lt;=1,AC131+1,AC131))*60
   ),
"_")</f>
        <v>635.78947368421052</v>
      </c>
      <c r="AW131" s="221">
        <f>COUNTIFS('Downtime Data'!A:A,Table1[[#This Row],[Date]])</f>
        <v>0</v>
      </c>
      <c r="AX131" s="219" t="str">
        <f>IFERROR((SUM(Table1[[#This Row],[Minor Stoppages]:[Material Shortages]])/Table1[[#This Row],['# Stops]])*60,"")</f>
        <v/>
      </c>
      <c r="AY131" s="219"/>
      <c r="AZ131" s="33">
        <v>46168</v>
      </c>
    </row>
    <row r="132" spans="1:52" ht="20.149999999999999" customHeight="1" x14ac:dyDescent="0.35">
      <c r="A132" s="21">
        <v>46149</v>
      </c>
      <c r="B132" s="22" t="str">
        <f t="shared" si="2"/>
        <v>Thursday</v>
      </c>
      <c r="C132" s="23" t="s">
        <v>108</v>
      </c>
      <c r="D132" s="24" cm="1">
        <f t="array" aca="1" ref="D132" ca="1">IFERROR(INDIRECT(C132),"")</f>
        <v>34.200000000000003</v>
      </c>
      <c r="E132" s="25">
        <v>30</v>
      </c>
      <c r="F132" s="26">
        <v>32.5</v>
      </c>
      <c r="G132" s="27">
        <f ca="1">IFERROR((Table1[[#This Row],[Plan]]/Table1[[#This Row],[Hours Used]])/(Table1[[#This Row],[SOC (TPD)]]/24),"")</f>
        <v>0.8771929824561403</v>
      </c>
      <c r="H132" s="27">
        <f ca="1">IFERROR((Table1[[#This Row],[Volume Delivered (T)]]/Table1[[#This Row],[Hours Used]])/(Table1[[#This Row],[SOC (TPD)]]/24),"")</f>
        <v>0.95029239766081874</v>
      </c>
      <c r="I132" s="28"/>
      <c r="J132" s="28"/>
      <c r="K132" s="28"/>
      <c r="L132" s="25">
        <f>0.37+1.16+0.16+0.27-0.18-0.51</f>
        <v>1.2699999999999998</v>
      </c>
      <c r="M132" s="29">
        <v>3.9E-2</v>
      </c>
      <c r="N132" s="84">
        <v>17</v>
      </c>
      <c r="O132" s="25"/>
      <c r="P132" s="25"/>
      <c r="Q132" s="70"/>
      <c r="R132" s="71"/>
      <c r="S132" s="30">
        <f>IF(Table1[[#This Row],[SKU]]="",0,24-Table1[[#This Row],[Legal Non-Operating Time]]-Table1[[#This Row],[No Demand Time]]-Table1[[#This Row],[Force Majeure]])</f>
        <v>24</v>
      </c>
      <c r="T132" s="26"/>
      <c r="U132" s="26"/>
      <c r="V132" s="26"/>
      <c r="W132" s="26"/>
      <c r="X132" s="26"/>
      <c r="Y132" s="26"/>
      <c r="Z132" s="26"/>
      <c r="AA132" s="30">
        <f>Table1[[#This Row],[Hours Used]]-SUM(Table1[[#This Row],[Planned Maintenance]:[Start and Finish Production]])</f>
        <v>24</v>
      </c>
      <c r="AB132" s="26"/>
      <c r="AC132" s="26">
        <v>0.4</v>
      </c>
      <c r="AD132" s="26"/>
      <c r="AE132" s="26"/>
      <c r="AF132" s="26"/>
      <c r="AG132" s="26"/>
      <c r="AH132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-9.8245614035082696E-2</v>
      </c>
      <c r="AI132" s="24">
        <f ca="1">IFERROR(IF(Table1[[#This Row],[SKU]]="",0,Table1[[#This Row],[Quality Loss (T)]]/(Table1[[#This Row],[SOC (TPD)]]/24)),"")</f>
        <v>0.89122807017543848</v>
      </c>
      <c r="AJ132" s="31">
        <f ca="1">IFERROR(IF(Table1[[#This Row],[SKU]]="",0,Table1[[#This Row],[Volume Delivered (T)]]/(Table1[[#This Row],[SOC (TPD)]]/24)),"")</f>
        <v>22.807017543859647</v>
      </c>
      <c r="AK132" s="31">
        <f ca="1">IFERROR(Table1[[#This Row],[Operating Time]]/Table1[[#This Row],[PRODUCTION HOURS]],"")</f>
        <v>0.95029239766081863</v>
      </c>
      <c r="AL132" s="32">
        <v>96</v>
      </c>
      <c r="AM132" s="32" t="s">
        <v>107</v>
      </c>
      <c r="AN132" s="32" t="s">
        <v>105</v>
      </c>
      <c r="AO132" s="32">
        <v>18</v>
      </c>
      <c r="AP132" s="32">
        <v>14</v>
      </c>
      <c r="AQ132" s="32"/>
      <c r="AR132" s="32" t="str">
        <f>IFERROR(SUMIFS(#REF!,#REF!,'Data Sheet'!A:A,#REF!,"Samridhi Perk Line")/SUMIFS(#REF!,#REF!,'Data Sheet'!A:A,#REF!,"Samridhi Perk Line"),"")</f>
        <v/>
      </c>
      <c r="AS132" s="32"/>
      <c r="AT132" s="32"/>
      <c r="AU132" s="211">
        <f>IFERROR(VLOOKUP(Table1[[#This Row],[Date]],'Overweight Data'!A130:G1225,6,FALSE),"")</f>
        <v>2.9005524861878455E-2</v>
      </c>
      <c r="AV132" s="221">
        <f ca="1">IFERROR(
   IF(
      OR(Table1[[#This Row],[Operating Time]]=0, (Table1[[#This Row],[Operating Time]]/IF(AC132&lt;=1,AC132+1,AC132))*60=0),
      1,
      ((Table1[[#This Row],[Operating Time]])/IF(AC132&lt;=1,AC132+1,AC132))*60
   ),
"_")</f>
        <v>977.44360902255642</v>
      </c>
      <c r="AW132" s="221">
        <f>COUNTIFS('Downtime Data'!A:A,Table1[[#This Row],[Date]])</f>
        <v>1</v>
      </c>
      <c r="AX132" s="219">
        <f>IFERROR((SUM(Table1[[#This Row],[Minor Stoppages]:[Material Shortages]])/Table1[[#This Row],['# Stops]])*60,"")</f>
        <v>24</v>
      </c>
      <c r="AY132" s="219">
        <v>5</v>
      </c>
      <c r="AZ132" s="33">
        <v>46168</v>
      </c>
    </row>
    <row r="133" spans="1:52" ht="20.149999999999999" customHeight="1" x14ac:dyDescent="0.35">
      <c r="A133" s="21">
        <v>46150</v>
      </c>
      <c r="B133" s="22" t="str">
        <f t="shared" si="2"/>
        <v>Friday</v>
      </c>
      <c r="C133" s="23" t="s">
        <v>108</v>
      </c>
      <c r="D133" s="24" cm="1">
        <f t="array" aca="1" ref="D133" ca="1">IFERROR(INDIRECT(C133),"")</f>
        <v>34.200000000000003</v>
      </c>
      <c r="E133" s="25">
        <v>30</v>
      </c>
      <c r="F133" s="26">
        <v>32.4</v>
      </c>
      <c r="G133" s="27">
        <f ca="1">IFERROR((Table1[[#This Row],[Plan]]/Table1[[#This Row],[Hours Used]])/(Table1[[#This Row],[SOC (TPD)]]/24),"")</f>
        <v>0.8771929824561403</v>
      </c>
      <c r="H133" s="27">
        <f ca="1">IFERROR((Table1[[#This Row],[Volume Delivered (T)]]/Table1[[#This Row],[Hours Used]])/(Table1[[#This Row],[SOC (TPD)]]/24),"")</f>
        <v>0.94736842105263142</v>
      </c>
      <c r="I133" s="28"/>
      <c r="J133" s="28"/>
      <c r="K133" s="28"/>
      <c r="L133" s="25"/>
      <c r="M133" s="29">
        <v>3.9E-2</v>
      </c>
      <c r="N133" s="84">
        <v>15</v>
      </c>
      <c r="O133" s="25"/>
      <c r="P133" s="25"/>
      <c r="Q133" s="70"/>
      <c r="R133" s="71"/>
      <c r="S133" s="30">
        <f>IF(Table1[[#This Row],[SKU]]="",0,24-Table1[[#This Row],[Legal Non-Operating Time]]-Table1[[#This Row],[No Demand Time]]-Table1[[#This Row],[Force Majeure]])</f>
        <v>24</v>
      </c>
      <c r="T133" s="26"/>
      <c r="U133" s="26"/>
      <c r="V133" s="26"/>
      <c r="W133" s="26">
        <v>1</v>
      </c>
      <c r="X133" s="26"/>
      <c r="Y133" s="26"/>
      <c r="Z133" s="26"/>
      <c r="AA133" s="30">
        <f>Table1[[#This Row],[Hours Used]]-SUM(Table1[[#This Row],[Planned Maintenance]:[Start and Finish Production]])</f>
        <v>23</v>
      </c>
      <c r="AB133" s="26"/>
      <c r="AC133" s="26"/>
      <c r="AD133" s="26"/>
      <c r="AE133" s="26"/>
      <c r="AF133" s="26"/>
      <c r="AG133" s="26"/>
      <c r="AH133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0.26315789473684248</v>
      </c>
      <c r="AI133" s="24">
        <f ca="1">IFERROR(IF(Table1[[#This Row],[SKU]]="",0,Table1[[#This Row],[Quality Loss (T)]]/(Table1[[#This Row],[SOC (TPD)]]/24)),"")</f>
        <v>0</v>
      </c>
      <c r="AJ133" s="31">
        <f ca="1">IFERROR(IF(Table1[[#This Row],[SKU]]="",0,Table1[[#This Row],[Volume Delivered (T)]]/(Table1[[#This Row],[SOC (TPD)]]/24)),"")</f>
        <v>22.736842105263158</v>
      </c>
      <c r="AK133" s="31">
        <f ca="1">IFERROR(Table1[[#This Row],[Operating Time]]/Table1[[#This Row],[PRODUCTION HOURS]],"")</f>
        <v>0.98855835240274603</v>
      </c>
      <c r="AL133" s="32">
        <v>103</v>
      </c>
      <c r="AM133" s="32" t="s">
        <v>107</v>
      </c>
      <c r="AN133" s="32" t="s">
        <v>107</v>
      </c>
      <c r="AO133" s="32">
        <v>2</v>
      </c>
      <c r="AP133" s="32">
        <v>2</v>
      </c>
      <c r="AQ133" s="32"/>
      <c r="AR133" s="32" t="str">
        <f>IFERROR(SUMIFS(#REF!,#REF!,'Data Sheet'!A:A,#REF!,"Samridhi Perk Line")/SUMIFS(#REF!,#REF!,'Data Sheet'!A:A,#REF!,"Samridhi Perk Line"),"")</f>
        <v/>
      </c>
      <c r="AS133" s="32"/>
      <c r="AT133" s="32"/>
      <c r="AU133" s="211">
        <f>IFERROR(VLOOKUP(Table1[[#This Row],[Date]],'Overweight Data'!A131:G1226,6,FALSE),"")</f>
        <v>3.0920810313075493E-2</v>
      </c>
      <c r="AV133" s="221">
        <f ca="1">IFERROR(
   IF(
      OR(Table1[[#This Row],[Operating Time]]=0, (Table1[[#This Row],[Operating Time]]/IF(AC133&lt;=1,AC133+1,AC133))*60=0),
      1,
      ((Table1[[#This Row],[Operating Time]])/IF(AC133&lt;=1,AC133+1,AC133))*60
   ),
"_")</f>
        <v>1364.2105263157894</v>
      </c>
      <c r="AW133" s="221">
        <f>COUNTIFS('Downtime Data'!A:A,Table1[[#This Row],[Date]])</f>
        <v>2</v>
      </c>
      <c r="AX133" s="219">
        <f>IFERROR((SUM(Table1[[#This Row],[Minor Stoppages]:[Material Shortages]])/Table1[[#This Row],['# Stops]])*60,"")</f>
        <v>0</v>
      </c>
      <c r="AY133" s="219"/>
      <c r="AZ133" s="33">
        <v>46168</v>
      </c>
    </row>
    <row r="134" spans="1:52" ht="20.149999999999999" customHeight="1" x14ac:dyDescent="0.35">
      <c r="A134" s="21">
        <v>46151</v>
      </c>
      <c r="B134" s="22" t="str">
        <f t="shared" si="2"/>
        <v>Saturday</v>
      </c>
      <c r="C134" s="23" t="s">
        <v>106</v>
      </c>
      <c r="D134" s="24" cm="1">
        <f t="array" aca="1" ref="D134" ca="1">IFERROR(INDIRECT(C134),"")</f>
        <v>39.200000000000003</v>
      </c>
      <c r="E134" s="25">
        <v>30</v>
      </c>
      <c r="F134" s="26">
        <v>30.8</v>
      </c>
      <c r="G134" s="27">
        <f ca="1">IFERROR((Table1[[#This Row],[Plan]]/Table1[[#This Row],[Hours Used]])/(Table1[[#This Row],[SOC (TPD)]]/24),"")</f>
        <v>0.76530612244897955</v>
      </c>
      <c r="H134" s="27">
        <f ca="1">IFERROR((Table1[[#This Row],[Volume Delivered (T)]]/Table1[[#This Row],[Hours Used]])/(Table1[[#This Row],[SOC (TPD)]]/24),"")</f>
        <v>0.7857142857142857</v>
      </c>
      <c r="I134" s="28"/>
      <c r="J134" s="28"/>
      <c r="K134" s="28"/>
      <c r="L134" s="25"/>
      <c r="M134" s="29"/>
      <c r="N134" s="84"/>
      <c r="O134" s="25"/>
      <c r="P134" s="25"/>
      <c r="Q134" s="70"/>
      <c r="R134" s="71"/>
      <c r="S134" s="30">
        <f>IF(Table1[[#This Row],[SKU]]="",0,24-Table1[[#This Row],[Legal Non-Operating Time]]-Table1[[#This Row],[No Demand Time]]-Table1[[#This Row],[Force Majeure]])</f>
        <v>24</v>
      </c>
      <c r="T134" s="26"/>
      <c r="U134" s="26"/>
      <c r="V134" s="26"/>
      <c r="W134" s="26"/>
      <c r="X134" s="26"/>
      <c r="Y134" s="26"/>
      <c r="Z134" s="26"/>
      <c r="AA134" s="30">
        <f>Table1[[#This Row],[Hours Used]]-SUM(Table1[[#This Row],[Planned Maintenance]:[Start and Finish Production]])</f>
        <v>24</v>
      </c>
      <c r="AB134" s="26"/>
      <c r="AC134" s="26">
        <v>2</v>
      </c>
      <c r="AD134" s="26"/>
      <c r="AE134" s="26">
        <f>20/60</f>
        <v>0.33333333333333331</v>
      </c>
      <c r="AF134" s="26"/>
      <c r="AG134" s="26"/>
      <c r="AH134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2.8095238095238138</v>
      </c>
      <c r="AI134" s="24">
        <f ca="1">IFERROR(IF(Table1[[#This Row],[SKU]]="",0,Table1[[#This Row],[Quality Loss (T)]]/(Table1[[#This Row],[SOC (TPD)]]/24)),"")</f>
        <v>0</v>
      </c>
      <c r="AJ134" s="31">
        <f ca="1">IFERROR(IF(Table1[[#This Row],[SKU]]="",0,Table1[[#This Row],[Volume Delivered (T)]]/(Table1[[#This Row],[SOC (TPD)]]/24)),"")</f>
        <v>18.857142857142854</v>
      </c>
      <c r="AK134" s="31">
        <f ca="1">IFERROR(Table1[[#This Row],[Operating Time]]/Table1[[#This Row],[PRODUCTION HOURS]],"")</f>
        <v>0.78571428571428559</v>
      </c>
      <c r="AL134" s="32">
        <v>112</v>
      </c>
      <c r="AM134" s="32" t="s">
        <v>107</v>
      </c>
      <c r="AN134" s="32" t="s">
        <v>107</v>
      </c>
      <c r="AO134" s="32">
        <v>0</v>
      </c>
      <c r="AP134" s="32">
        <v>0</v>
      </c>
      <c r="AQ134" s="32"/>
      <c r="AR134" s="32" t="str">
        <f>IFERROR(SUMIFS(#REF!,#REF!,'Data Sheet'!A:A,#REF!,"Samridhi Perk Line")/SUMIFS(#REF!,#REF!,'Data Sheet'!A:A,#REF!,"Samridhi Perk Line"),"")</f>
        <v/>
      </c>
      <c r="AS134" s="32"/>
      <c r="AT134" s="32"/>
      <c r="AU134" s="211">
        <f>IFERROR(VLOOKUP(Table1[[#This Row],[Date]],'Overweight Data'!A132:G1227,6,FALSE),"")</f>
        <v>2.6169429097605907E-2</v>
      </c>
      <c r="AV134" s="221">
        <f ca="1">IFERROR(
   IF(
      OR(Table1[[#This Row],[Operating Time]]=0, (Table1[[#This Row],[Operating Time]]/IF(AC134&lt;=1,AC134+1,AC134))*60=0),
      1,
      ((Table1[[#This Row],[Operating Time]])/IF(AC134&lt;=1,AC134+1,AC134))*60
   ),
"_")</f>
        <v>565.71428571428567</v>
      </c>
      <c r="AW134" s="221">
        <f>COUNTIFS('Downtime Data'!A:A,Table1[[#This Row],[Date]])</f>
        <v>2</v>
      </c>
      <c r="AX134" s="219">
        <f>IFERROR((SUM(Table1[[#This Row],[Minor Stoppages]:[Material Shortages]])/Table1[[#This Row],['# Stops]])*60,"")</f>
        <v>70</v>
      </c>
      <c r="AY134" s="219"/>
      <c r="AZ134" s="33">
        <v>46168</v>
      </c>
    </row>
    <row r="135" spans="1:52" ht="20.149999999999999" customHeight="1" x14ac:dyDescent="0.35">
      <c r="A135" s="21">
        <v>46152</v>
      </c>
      <c r="B135" s="22" t="str">
        <f t="shared" si="2"/>
        <v>Sunday</v>
      </c>
      <c r="C135" s="23" t="s">
        <v>106</v>
      </c>
      <c r="D135" s="24" cm="1">
        <f t="array" aca="1" ref="D135" ca="1">IFERROR(INDIRECT(C135),"")</f>
        <v>39.200000000000003</v>
      </c>
      <c r="E135" s="25">
        <v>30</v>
      </c>
      <c r="F135" s="26">
        <f>27.9+2.5</f>
        <v>30.4</v>
      </c>
      <c r="G135" s="27">
        <f ca="1">IFERROR((Table1[[#This Row],[Plan]]/Table1[[#This Row],[Hours Used]])/(Table1[[#This Row],[SOC (TPD)]]/24),"")</f>
        <v>0.76530612244897955</v>
      </c>
      <c r="H135" s="27">
        <f ca="1">IFERROR((Table1[[#This Row],[Volume Delivered (T)]]/Table1[[#This Row],[Hours Used]])/(Table1[[#This Row],[SOC (TPD)]]/24),"")</f>
        <v>0.77551020408163251</v>
      </c>
      <c r="I135" s="28"/>
      <c r="J135" s="28"/>
      <c r="K135" s="28"/>
      <c r="L135" s="25">
        <f>0.43+1.02+0.18+0.57-0.25-0.7</f>
        <v>1.2499999999999998</v>
      </c>
      <c r="M135" s="29">
        <v>4.9000000000000002E-2</v>
      </c>
      <c r="N135" s="84"/>
      <c r="O135" s="25"/>
      <c r="P135" s="25"/>
      <c r="Q135" s="70"/>
      <c r="R135" s="71"/>
      <c r="S135" s="30">
        <f>IF(Table1[[#This Row],[SKU]]="",0,24-Table1[[#This Row],[Legal Non-Operating Time]]-Table1[[#This Row],[No Demand Time]]-Table1[[#This Row],[Force Majeure]])</f>
        <v>24</v>
      </c>
      <c r="T135" s="26"/>
      <c r="U135" s="26"/>
      <c r="V135" s="26">
        <v>1.9</v>
      </c>
      <c r="W135" s="26"/>
      <c r="X135" s="26"/>
      <c r="Y135" s="26"/>
      <c r="Z135" s="26"/>
      <c r="AA135" s="30">
        <f>Table1[[#This Row],[Hours Used]]-SUM(Table1[[#This Row],[Planned Maintenance]:[Start and Finish Production]])</f>
        <v>22.1</v>
      </c>
      <c r="AB135" s="26"/>
      <c r="AC135" s="26"/>
      <c r="AD135" s="26"/>
      <c r="AE135" s="26"/>
      <c r="AF135" s="26"/>
      <c r="AG135" s="26"/>
      <c r="AH135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2.7224489795918423</v>
      </c>
      <c r="AI135" s="24">
        <f ca="1">IFERROR(IF(Table1[[#This Row],[SKU]]="",0,Table1[[#This Row],[Quality Loss (T)]]/(Table1[[#This Row],[SOC (TPD)]]/24)),"")</f>
        <v>0.76530612244897933</v>
      </c>
      <c r="AJ135" s="31">
        <f ca="1">IFERROR(IF(Table1[[#This Row],[SKU]]="",0,Table1[[#This Row],[Volume Delivered (T)]]/(Table1[[#This Row],[SOC (TPD)]]/24)),"")</f>
        <v>18.612244897959179</v>
      </c>
      <c r="AK135" s="31">
        <f ca="1">IFERROR(Table1[[#This Row],[Operating Time]]/Table1[[#This Row],[PRODUCTION HOURS]],"")</f>
        <v>0.84218302705697634</v>
      </c>
      <c r="AL135" s="32">
        <v>106</v>
      </c>
      <c r="AM135" s="32" t="s">
        <v>107</v>
      </c>
      <c r="AN135" s="32" t="s">
        <v>107</v>
      </c>
      <c r="AO135" s="32">
        <v>0</v>
      </c>
      <c r="AP135" s="32">
        <v>0</v>
      </c>
      <c r="AQ135" s="32"/>
      <c r="AR135" s="32" t="str">
        <f>IFERROR(SUMIFS(#REF!,#REF!,'Data Sheet'!A:A,#REF!,"Samridhi Perk Line")/SUMIFS(#REF!,#REF!,'Data Sheet'!A:A,#REF!,"Samridhi Perk Line"),"")</f>
        <v/>
      </c>
      <c r="AS135" s="32"/>
      <c r="AT135" s="32"/>
      <c r="AU135" s="211">
        <f>IFERROR(VLOOKUP(Table1[[#This Row],[Date]],'Overweight Data'!A133:G1228,6,FALSE),"")</f>
        <v>5.749539594843462E-2</v>
      </c>
      <c r="AV135" s="221">
        <f ca="1">IFERROR(
   IF(
      OR(Table1[[#This Row],[Operating Time]]=0, (Table1[[#This Row],[Operating Time]]/IF(AC135&lt;=1,AC135+1,AC135))*60=0),
      1,
      ((Table1[[#This Row],[Operating Time]])/IF(AC135&lt;=1,AC135+1,AC135))*60
   ),
"_")</f>
        <v>1116.7346938775509</v>
      </c>
      <c r="AW135" s="221">
        <f>COUNTIFS('Downtime Data'!A:A,Table1[[#This Row],[Date]])</f>
        <v>1</v>
      </c>
      <c r="AX135" s="219">
        <f>IFERROR((SUM(Table1[[#This Row],[Minor Stoppages]:[Material Shortages]])/Table1[[#This Row],['# Stops]])*60,"")</f>
        <v>0</v>
      </c>
      <c r="AY135" s="219"/>
      <c r="AZ135" s="33">
        <v>46168</v>
      </c>
    </row>
    <row r="136" spans="1:52" ht="20.149999999999999" customHeight="1" x14ac:dyDescent="0.35">
      <c r="A136" s="21">
        <v>46153</v>
      </c>
      <c r="B136" s="22" t="str">
        <f t="shared" si="2"/>
        <v>Monday</v>
      </c>
      <c r="C136" s="23" t="s">
        <v>106</v>
      </c>
      <c r="D136" s="24" cm="1">
        <f t="array" aca="1" ref="D136" ca="1">IFERROR(INDIRECT(C136),"")</f>
        <v>39.200000000000003</v>
      </c>
      <c r="E136" s="25">
        <v>17</v>
      </c>
      <c r="F136" s="26">
        <v>12</v>
      </c>
      <c r="G136" s="27">
        <f ca="1">IFERROR((Table1[[#This Row],[Plan]]/Table1[[#This Row],[Hours Used]])/(Table1[[#This Row],[SOC (TPD)]]/24),"")</f>
        <v>0.43367346938775508</v>
      </c>
      <c r="H136" s="27">
        <f ca="1">IFERROR((Table1[[#This Row],[Volume Delivered (T)]]/Table1[[#This Row],[Hours Used]])/(Table1[[#This Row],[SOC (TPD)]]/24),"")</f>
        <v>0.30612244897959179</v>
      </c>
      <c r="I136" s="28"/>
      <c r="J136" s="28"/>
      <c r="K136" s="28"/>
      <c r="L136" s="25">
        <f>0.25+0.83+0.12+0.48-0.17-0.36</f>
        <v>1.1500000000000004</v>
      </c>
      <c r="M136" s="29">
        <v>4.9000000000000002E-2</v>
      </c>
      <c r="N136" s="84"/>
      <c r="O136" s="25"/>
      <c r="P136" s="25"/>
      <c r="Q136" s="70"/>
      <c r="R136" s="71"/>
      <c r="S136" s="30">
        <f>IF(Table1[[#This Row],[SKU]]="",0,24-Table1[[#This Row],[Legal Non-Operating Time]]-Table1[[#This Row],[No Demand Time]]-Table1[[#This Row],[Force Majeure]])</f>
        <v>24</v>
      </c>
      <c r="T136" s="26"/>
      <c r="U136" s="26"/>
      <c r="V136" s="26">
        <v>14</v>
      </c>
      <c r="W136" s="26"/>
      <c r="X136" s="26"/>
      <c r="Y136" s="26"/>
      <c r="Z136" s="26"/>
      <c r="AA136" s="30">
        <f>Table1[[#This Row],[Hours Used]]-SUM(Table1[[#This Row],[Planned Maintenance]:[Start and Finish Production]])</f>
        <v>10</v>
      </c>
      <c r="AB136" s="26">
        <v>0.5</v>
      </c>
      <c r="AC136" s="26"/>
      <c r="AD136" s="26"/>
      <c r="AE136" s="26"/>
      <c r="AF136" s="26"/>
      <c r="AG136" s="26"/>
      <c r="AH136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1.4489795918367356</v>
      </c>
      <c r="AI136" s="24">
        <f ca="1">IFERROR(IF(Table1[[#This Row],[SKU]]="",0,Table1[[#This Row],[Quality Loss (T)]]/(Table1[[#This Row],[SOC (TPD)]]/24)),"")</f>
        <v>0.70408163265306134</v>
      </c>
      <c r="AJ136" s="31">
        <f ca="1">IFERROR(IF(Table1[[#This Row],[SKU]]="",0,Table1[[#This Row],[Volume Delivered (T)]]/(Table1[[#This Row],[SOC (TPD)]]/24)),"")</f>
        <v>7.3469387755102034</v>
      </c>
      <c r="AK136" s="31">
        <f ca="1">IFERROR(Table1[[#This Row],[Operating Time]]/Table1[[#This Row],[PRODUCTION HOURS]],"")</f>
        <v>0.73469387755102034</v>
      </c>
      <c r="AL136" s="32">
        <v>71</v>
      </c>
      <c r="AM136" s="32" t="s">
        <v>107</v>
      </c>
      <c r="AN136" s="32" t="s">
        <v>105</v>
      </c>
      <c r="AO136" s="32">
        <v>1</v>
      </c>
      <c r="AP136" s="32">
        <v>1</v>
      </c>
      <c r="AQ136" s="32"/>
      <c r="AR136" s="32" t="str">
        <f>IFERROR(SUMIFS(#REF!,#REF!,'Data Sheet'!A:A,#REF!,"Samridhi Perk Line")/SUMIFS(#REF!,#REF!,'Data Sheet'!A:A,#REF!,"Samridhi Perk Line"),"")</f>
        <v/>
      </c>
      <c r="AS136" s="32"/>
      <c r="AT136" s="32"/>
      <c r="AU136" s="211">
        <f>IFERROR(VLOOKUP(Table1[[#This Row],[Date]],'Overweight Data'!A134:G1229,6,FALSE),"")</f>
        <v>4.9861878453038702E-2</v>
      </c>
      <c r="AV136" s="221">
        <f ca="1">IFERROR(
   IF(
      OR(Table1[[#This Row],[Operating Time]]=0, (Table1[[#This Row],[Operating Time]]/IF(AC136&lt;=1,AC136+1,AC136))*60=0),
      1,
      ((Table1[[#This Row],[Operating Time]])/IF(AC136&lt;=1,AC136+1,AC136))*60
   ),
"_")</f>
        <v>440.81632653061217</v>
      </c>
      <c r="AW136" s="221">
        <f>COUNTIFS('Downtime Data'!A:A,Table1[[#This Row],[Date]])</f>
        <v>0</v>
      </c>
      <c r="AX136" s="219" t="str">
        <f>IFERROR((SUM(Table1[[#This Row],[Minor Stoppages]:[Material Shortages]])/Table1[[#This Row],['# Stops]])*60,"")</f>
        <v/>
      </c>
      <c r="AY136" s="219"/>
      <c r="AZ136" s="33">
        <v>46168</v>
      </c>
    </row>
    <row r="137" spans="1:52" ht="20.149999999999999" customHeight="1" x14ac:dyDescent="0.35">
      <c r="A137" s="21">
        <v>46154</v>
      </c>
      <c r="B137" s="22" t="str">
        <f t="shared" si="2"/>
        <v>Tuesday</v>
      </c>
      <c r="C137" s="23" t="s">
        <v>106</v>
      </c>
      <c r="D137" s="24" cm="1">
        <f t="array" aca="1" ref="D137" ca="1">IFERROR(INDIRECT(C137),"")</f>
        <v>39.200000000000003</v>
      </c>
      <c r="E137" s="25">
        <v>32.5</v>
      </c>
      <c r="F137" s="26">
        <v>28.5</v>
      </c>
      <c r="G137" s="27">
        <f ca="1">IFERROR((Table1[[#This Row],[Plan]]/Table1[[#This Row],[Hours Used]])/(Table1[[#This Row],[SOC (TPD)]]/24),"")</f>
        <v>0.82908163265306112</v>
      </c>
      <c r="H137" s="27">
        <f ca="1">IFERROR((Table1[[#This Row],[Volume Delivered (T)]]/Table1[[#This Row],[Hours Used]])/(Table1[[#This Row],[SOC (TPD)]]/24),"")</f>
        <v>0.7270408163265305</v>
      </c>
      <c r="I137" s="28"/>
      <c r="J137" s="28"/>
      <c r="K137" s="28"/>
      <c r="L137" s="25">
        <f>0.42+1.24+0.16+0.31-0.36-0.75</f>
        <v>1.02</v>
      </c>
      <c r="M137" s="29">
        <v>5.0999999999999997E-2</v>
      </c>
      <c r="N137" s="84"/>
      <c r="O137" s="25"/>
      <c r="P137" s="25"/>
      <c r="Q137" s="70"/>
      <c r="R137" s="71"/>
      <c r="S137" s="30">
        <f>IF(Table1[[#This Row],[SKU]]="",0,24-Table1[[#This Row],[Legal Non-Operating Time]]-Table1[[#This Row],[No Demand Time]]-Table1[[#This Row],[Force Majeure]])</f>
        <v>24</v>
      </c>
      <c r="T137" s="26">
        <v>1</v>
      </c>
      <c r="U137" s="26">
        <v>1</v>
      </c>
      <c r="V137" s="26"/>
      <c r="W137" s="26"/>
      <c r="X137" s="26">
        <v>0.5</v>
      </c>
      <c r="Y137" s="26"/>
      <c r="Z137" s="26"/>
      <c r="AA137" s="30">
        <f>Table1[[#This Row],[Hours Used]]-SUM(Table1[[#This Row],[Planned Maintenance]:[Start and Finish Production]])</f>
        <v>21.5</v>
      </c>
      <c r="AB137" s="26"/>
      <c r="AC137" s="26">
        <v>1.5</v>
      </c>
      <c r="AD137" s="26"/>
      <c r="AE137" s="26">
        <v>0.75</v>
      </c>
      <c r="AF137" s="26"/>
      <c r="AG137" s="26"/>
      <c r="AH137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1.1765306122448997</v>
      </c>
      <c r="AI137" s="24">
        <f ca="1">IFERROR(IF(Table1[[#This Row],[SKU]]="",0,Table1[[#This Row],[Quality Loss (T)]]/(Table1[[#This Row],[SOC (TPD)]]/24)),"")</f>
        <v>0.62448979591836729</v>
      </c>
      <c r="AJ137" s="31">
        <f ca="1">IFERROR(IF(Table1[[#This Row],[SKU]]="",0,Table1[[#This Row],[Volume Delivered (T)]]/(Table1[[#This Row],[SOC (TPD)]]/24)),"")</f>
        <v>17.448979591836732</v>
      </c>
      <c r="AK137" s="31">
        <f ca="1">IFERROR(Table1[[#This Row],[Operating Time]]/Table1[[#This Row],[PRODUCTION HOURS]],"")</f>
        <v>0.81158044613194102</v>
      </c>
      <c r="AL137" s="32">
        <v>78</v>
      </c>
      <c r="AM137" s="32" t="s">
        <v>107</v>
      </c>
      <c r="AN137" s="32" t="s">
        <v>107</v>
      </c>
      <c r="AO137" s="32">
        <v>0</v>
      </c>
      <c r="AP137" s="32">
        <v>0</v>
      </c>
      <c r="AQ137" s="32"/>
      <c r="AR137" s="32" t="str">
        <f>IFERROR(SUMIFS(#REF!,#REF!,'Data Sheet'!A:A,#REF!,"Samridhi Perk Line")/SUMIFS(#REF!,#REF!,'Data Sheet'!A:A,#REF!,"Samridhi Perk Line"),"")</f>
        <v/>
      </c>
      <c r="AS137" s="32"/>
      <c r="AT137" s="32"/>
      <c r="AU137" s="211">
        <f>IFERROR(VLOOKUP(Table1[[#This Row],[Date]],'Overweight Data'!A135:G1230,6,FALSE),"")</f>
        <v>3.8480662983425375E-2</v>
      </c>
      <c r="AV137" s="221">
        <f ca="1">IFERROR(
   IF(
      OR(Table1[[#This Row],[Operating Time]]=0, (Table1[[#This Row],[Operating Time]]/IF(AC137&lt;=1,AC137+1,AC137))*60=0),
      1,
      ((Table1[[#This Row],[Operating Time]])/IF(AC137&lt;=1,AC137+1,AC137))*60
   ),
"_")</f>
        <v>697.95918367346928</v>
      </c>
      <c r="AW137" s="221">
        <f>COUNTIFS('Downtime Data'!A:A,Table1[[#This Row],[Date]])</f>
        <v>4</v>
      </c>
      <c r="AX137" s="219">
        <f>IFERROR((SUM(Table1[[#This Row],[Minor Stoppages]:[Material Shortages]])/Table1[[#This Row],['# Stops]])*60,"")</f>
        <v>33.75</v>
      </c>
      <c r="AY137" s="219"/>
      <c r="AZ137" s="33">
        <v>46168</v>
      </c>
    </row>
    <row r="138" spans="1:52" ht="20.149999999999999" customHeight="1" x14ac:dyDescent="0.35">
      <c r="A138" s="21">
        <v>46155</v>
      </c>
      <c r="B138" s="22" t="str">
        <f t="shared" si="2"/>
        <v>Wednesday</v>
      </c>
      <c r="C138" s="23" t="s">
        <v>106</v>
      </c>
      <c r="D138" s="24" cm="1">
        <f t="array" aca="1" ref="D138" ca="1">IFERROR(INDIRECT(C138),"")</f>
        <v>39.200000000000003</v>
      </c>
      <c r="E138" s="25">
        <v>32.5</v>
      </c>
      <c r="F138" s="26">
        <v>34</v>
      </c>
      <c r="G138" s="27">
        <f ca="1">IFERROR((Table1[[#This Row],[Plan]]/Table1[[#This Row],[Hours Used]])/(Table1[[#This Row],[SOC (TPD)]]/24),"")</f>
        <v>0.82908163265306112</v>
      </c>
      <c r="H138" s="27">
        <f ca="1">IFERROR((Table1[[#This Row],[Volume Delivered (T)]]/Table1[[#This Row],[Hours Used]])/(Table1[[#This Row],[SOC (TPD)]]/24),"")</f>
        <v>0.86734693877551017</v>
      </c>
      <c r="I138" s="28"/>
      <c r="J138" s="28"/>
      <c r="K138" s="28"/>
      <c r="L138" s="25">
        <f>0.24+1.12+0.2+0.55-0.24-0.53</f>
        <v>1.3400000000000003</v>
      </c>
      <c r="M138" s="29">
        <v>4.9000000000000002E-2</v>
      </c>
      <c r="N138" s="84">
        <v>14</v>
      </c>
      <c r="O138" s="25"/>
      <c r="P138" s="25"/>
      <c r="Q138" s="70"/>
      <c r="R138" s="71"/>
      <c r="S138" s="30">
        <f>IF(Table1[[#This Row],[SKU]]="",0,24-Table1[[#This Row],[Legal Non-Operating Time]]-Table1[[#This Row],[No Demand Time]]-Table1[[#This Row],[Force Majeure]])</f>
        <v>24</v>
      </c>
      <c r="T138" s="26">
        <v>1</v>
      </c>
      <c r="U138" s="26"/>
      <c r="V138" s="26"/>
      <c r="W138" s="26"/>
      <c r="X138" s="26"/>
      <c r="Y138" s="26"/>
      <c r="Z138" s="26"/>
      <c r="AA138" s="30">
        <f>Table1[[#This Row],[Hours Used]]-SUM(Table1[[#This Row],[Planned Maintenance]:[Start and Finish Production]])</f>
        <v>23</v>
      </c>
      <c r="AB138" s="26"/>
      <c r="AC138" s="26">
        <v>1</v>
      </c>
      <c r="AD138" s="26"/>
      <c r="AE138" s="26"/>
      <c r="AF138" s="26"/>
      <c r="AG138" s="26"/>
      <c r="AH138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0.36326530612245023</v>
      </c>
      <c r="AI138" s="24">
        <f ca="1">IFERROR(IF(Table1[[#This Row],[SKU]]="",0,Table1[[#This Row],[Quality Loss (T)]]/(Table1[[#This Row],[SOC (TPD)]]/24)),"")</f>
        <v>0.82040816326530619</v>
      </c>
      <c r="AJ138" s="31">
        <f ca="1">IFERROR(IF(Table1[[#This Row],[SKU]]="",0,Table1[[#This Row],[Volume Delivered (T)]]/(Table1[[#This Row],[SOC (TPD)]]/24)),"")</f>
        <v>20.816326530612244</v>
      </c>
      <c r="AK138" s="31">
        <f ca="1">IFERROR(Table1[[#This Row],[Operating Time]]/Table1[[#This Row],[PRODUCTION HOURS]],"")</f>
        <v>0.9050576752440106</v>
      </c>
      <c r="AL138" s="32">
        <v>86</v>
      </c>
      <c r="AM138" s="32" t="s">
        <v>107</v>
      </c>
      <c r="AN138" s="32" t="s">
        <v>107</v>
      </c>
      <c r="AO138" s="32">
        <v>1</v>
      </c>
      <c r="AP138" s="32">
        <v>1</v>
      </c>
      <c r="AQ138" s="32"/>
      <c r="AR138" s="32" t="str">
        <f>IFERROR(SUMIFS(#REF!,#REF!,'Data Sheet'!A:A,#REF!,"Samridhi Perk Line")/SUMIFS(#REF!,#REF!,'Data Sheet'!A:A,#REF!,"Samridhi Perk Line"),"")</f>
        <v/>
      </c>
      <c r="AS138" s="32"/>
      <c r="AT138" s="32"/>
      <c r="AU138" s="211">
        <f>IFERROR(VLOOKUP(Table1[[#This Row],[Date]],'Overweight Data'!A136:G1231,6,FALSE),"")</f>
        <v>2.7154696132596693E-2</v>
      </c>
      <c r="AV138" s="221">
        <f ca="1">IFERROR(
   IF(
      OR(Table1[[#This Row],[Operating Time]]=0, (Table1[[#This Row],[Operating Time]]/IF(AC138&lt;=1,AC138+1,AC138))*60=0),
      1,
      ((Table1[[#This Row],[Operating Time]])/IF(AC138&lt;=1,AC138+1,AC138))*60
   ),
"_")</f>
        <v>624.48979591836735</v>
      </c>
      <c r="AW138" s="221">
        <f>COUNTIFS('Downtime Data'!A:A,Table1[[#This Row],[Date]])</f>
        <v>1</v>
      </c>
      <c r="AX138" s="219">
        <f>IFERROR((SUM(Table1[[#This Row],[Minor Stoppages]:[Material Shortages]])/Table1[[#This Row],['# Stops]])*60,"")</f>
        <v>60</v>
      </c>
      <c r="AY138" s="219"/>
      <c r="AZ138" s="33">
        <v>46168</v>
      </c>
    </row>
    <row r="139" spans="1:52" ht="20.149999999999999" customHeight="1" x14ac:dyDescent="0.35">
      <c r="A139" s="21">
        <v>46156</v>
      </c>
      <c r="B139" s="22" t="str">
        <f t="shared" ref="B139:B202" si="3">IF(A139="","",TEXT(A139,"dddddd"))</f>
        <v>Thursday</v>
      </c>
      <c r="C139" s="23" t="s">
        <v>106</v>
      </c>
      <c r="D139" s="24" cm="1">
        <f t="array" aca="1" ref="D139" ca="1">IFERROR(INDIRECT(C139),"")</f>
        <v>39.200000000000003</v>
      </c>
      <c r="E139" s="25">
        <v>32.5</v>
      </c>
      <c r="F139" s="26">
        <v>33</v>
      </c>
      <c r="G139" s="27">
        <f ca="1">IFERROR((Table1[[#This Row],[Plan]]/Table1[[#This Row],[Hours Used]])/(Table1[[#This Row],[SOC (TPD)]]/24),"")</f>
        <v>0.82908163265306112</v>
      </c>
      <c r="H139" s="27">
        <f ca="1">IFERROR((Table1[[#This Row],[Volume Delivered (T)]]/Table1[[#This Row],[Hours Used]])/(Table1[[#This Row],[SOC (TPD)]]/24),"")</f>
        <v>0.84183673469387743</v>
      </c>
      <c r="I139" s="28"/>
      <c r="J139" s="28"/>
      <c r="K139" s="28"/>
      <c r="L139" s="25">
        <f>0.38+1.13+0.15+0.4-0.3-0.68</f>
        <v>1.0799999999999996</v>
      </c>
      <c r="M139" s="29">
        <v>4.9000000000000002E-2</v>
      </c>
      <c r="N139" s="84">
        <v>14</v>
      </c>
      <c r="O139" s="25"/>
      <c r="P139" s="25"/>
      <c r="Q139" s="70"/>
      <c r="R139" s="71"/>
      <c r="S139" s="30">
        <f>IF(Table1[[#This Row],[SKU]]="",0,24-Table1[[#This Row],[Legal Non-Operating Time]]-Table1[[#This Row],[No Demand Time]]-Table1[[#This Row],[Force Majeure]])</f>
        <v>24</v>
      </c>
      <c r="T139" s="26"/>
      <c r="U139" s="26">
        <v>1</v>
      </c>
      <c r="V139" s="26"/>
      <c r="W139" s="26"/>
      <c r="X139" s="26"/>
      <c r="Y139" s="26"/>
      <c r="Z139" s="26"/>
      <c r="AA139" s="30">
        <f>Table1[[#This Row],[Hours Used]]-SUM(Table1[[#This Row],[Planned Maintenance]:[Start and Finish Production]])</f>
        <v>23</v>
      </c>
      <c r="AB139" s="26">
        <v>0.5</v>
      </c>
      <c r="AC139" s="26"/>
      <c r="AD139" s="26">
        <v>0.5</v>
      </c>
      <c r="AE139" s="26"/>
      <c r="AF139" s="26"/>
      <c r="AG139" s="26"/>
      <c r="AH139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1.134693877551026</v>
      </c>
      <c r="AI139" s="24">
        <f ca="1">IFERROR(IF(Table1[[#This Row],[SKU]]="",0,Table1[[#This Row],[Quality Loss (T)]]/(Table1[[#This Row],[SOC (TPD)]]/24)),"")</f>
        <v>0.66122448979591808</v>
      </c>
      <c r="AJ139" s="31">
        <f ca="1">IFERROR(IF(Table1[[#This Row],[SKU]]="",0,Table1[[#This Row],[Volume Delivered (T)]]/(Table1[[#This Row],[SOC (TPD)]]/24)),"")</f>
        <v>20.204081632653057</v>
      </c>
      <c r="AK139" s="31">
        <f ca="1">IFERROR(Table1[[#This Row],[Operating Time]]/Table1[[#This Row],[PRODUCTION HOURS]],"")</f>
        <v>0.87843833185448073</v>
      </c>
      <c r="AL139" s="32">
        <v>73</v>
      </c>
      <c r="AM139" s="32" t="s">
        <v>107</v>
      </c>
      <c r="AN139" s="32" t="s">
        <v>107</v>
      </c>
      <c r="AO139" s="32">
        <v>23</v>
      </c>
      <c r="AP139" s="32">
        <v>21</v>
      </c>
      <c r="AQ139" s="32"/>
      <c r="AR139" s="32" t="str">
        <f>IFERROR(SUMIFS(#REF!,#REF!,'Data Sheet'!A:A,#REF!,"Samridhi Perk Line")/SUMIFS(#REF!,#REF!,'Data Sheet'!A:A,#REF!,"Samridhi Perk Line"),"")</f>
        <v/>
      </c>
      <c r="AS139" s="32"/>
      <c r="AT139" s="32"/>
      <c r="AU139" s="211">
        <f>IFERROR(VLOOKUP(Table1[[#This Row],[Date]],'Overweight Data'!A137:G1232,6,FALSE),"")</f>
        <v>2.6721915285451231E-2</v>
      </c>
      <c r="AV139" s="221">
        <f ca="1">IFERROR(
   IF(
      OR(Table1[[#This Row],[Operating Time]]=0, (Table1[[#This Row],[Operating Time]]/IF(AC139&lt;=1,AC139+1,AC139))*60=0),
      1,
      ((Table1[[#This Row],[Operating Time]])/IF(AC139&lt;=1,AC139+1,AC139))*60
   ),
"_")</f>
        <v>1212.2448979591834</v>
      </c>
      <c r="AW139" s="221">
        <f>COUNTIFS('Downtime Data'!A:A,Table1[[#This Row],[Date]])</f>
        <v>2</v>
      </c>
      <c r="AX139" s="219">
        <f>IFERROR((SUM(Table1[[#This Row],[Minor Stoppages]:[Material Shortages]])/Table1[[#This Row],['# Stops]])*60,"")</f>
        <v>30</v>
      </c>
      <c r="AY139" s="219"/>
      <c r="AZ139" s="33">
        <v>46168</v>
      </c>
    </row>
    <row r="140" spans="1:52" ht="20.149999999999999" customHeight="1" x14ac:dyDescent="0.35">
      <c r="A140" s="21">
        <v>46157</v>
      </c>
      <c r="B140" s="22" t="str">
        <f t="shared" si="3"/>
        <v>Friday</v>
      </c>
      <c r="C140" s="23" t="s">
        <v>106</v>
      </c>
      <c r="D140" s="24" cm="1">
        <f t="array" aca="1" ref="D140" ca="1">IFERROR(INDIRECT(C140),"")</f>
        <v>39.200000000000003</v>
      </c>
      <c r="E140" s="25">
        <v>30.5</v>
      </c>
      <c r="F140" s="26">
        <v>30.1</v>
      </c>
      <c r="G140" s="27">
        <f ca="1">IFERROR((Table1[[#This Row],[Plan]]/Table1[[#This Row],[Hours Used]])/(Table1[[#This Row],[SOC (TPD)]]/24),"")</f>
        <v>0.77806122448979576</v>
      </c>
      <c r="H140" s="27">
        <f ca="1">IFERROR((Table1[[#This Row],[Volume Delivered (T)]]/Table1[[#This Row],[Hours Used]])/(Table1[[#This Row],[SOC (TPD)]]/24),"")</f>
        <v>0.76785714285714279</v>
      </c>
      <c r="I140" s="28"/>
      <c r="J140" s="28"/>
      <c r="K140" s="28"/>
      <c r="L140" s="25">
        <v>1.2</v>
      </c>
      <c r="M140" s="29">
        <v>4.8000000000000001E-2</v>
      </c>
      <c r="N140" s="84">
        <v>14</v>
      </c>
      <c r="O140" s="25"/>
      <c r="P140" s="25"/>
      <c r="Q140" s="70"/>
      <c r="R140" s="71"/>
      <c r="S140" s="30">
        <f>IF(Table1[[#This Row],[SKU]]="",0,24-Table1[[#This Row],[Legal Non-Operating Time]]-Table1[[#This Row],[No Demand Time]]-Table1[[#This Row],[Force Majeure]])</f>
        <v>24</v>
      </c>
      <c r="T140" s="26"/>
      <c r="U140" s="26"/>
      <c r="V140" s="26"/>
      <c r="W140" s="26">
        <v>2</v>
      </c>
      <c r="X140" s="26">
        <v>1</v>
      </c>
      <c r="Y140" s="26"/>
      <c r="Z140" s="26"/>
      <c r="AA140" s="30">
        <f>Table1[[#This Row],[Hours Used]]-SUM(Table1[[#This Row],[Planned Maintenance]:[Start and Finish Production]])</f>
        <v>21</v>
      </c>
      <c r="AB140" s="26">
        <v>0.5</v>
      </c>
      <c r="AC140" s="26">
        <v>0.3</v>
      </c>
      <c r="AD140" s="26">
        <f>35/60</f>
        <v>0.58333333333333337</v>
      </c>
      <c r="AE140" s="26"/>
      <c r="AF140" s="26"/>
      <c r="AG140" s="26"/>
      <c r="AH140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0.45340136054421976</v>
      </c>
      <c r="AI140" s="24">
        <f ca="1">IFERROR(IF(Table1[[#This Row],[SKU]]="",0,Table1[[#This Row],[Quality Loss (T)]]/(Table1[[#This Row],[SOC (TPD)]]/24)),"")</f>
        <v>0.73469387755102034</v>
      </c>
      <c r="AJ140" s="31">
        <f ca="1">IFERROR(IF(Table1[[#This Row],[SKU]]="",0,Table1[[#This Row],[Volume Delivered (T)]]/(Table1[[#This Row],[SOC (TPD)]]/24)),"")</f>
        <v>18.428571428571427</v>
      </c>
      <c r="AK140" s="31">
        <f ca="1">IFERROR(Table1[[#This Row],[Operating Time]]/Table1[[#This Row],[PRODUCTION HOURS]],"")</f>
        <v>0.87755102040816324</v>
      </c>
      <c r="AL140" s="32">
        <v>77</v>
      </c>
      <c r="AM140" s="32" t="s">
        <v>107</v>
      </c>
      <c r="AN140" s="32" t="s">
        <v>107</v>
      </c>
      <c r="AO140" s="32">
        <v>0</v>
      </c>
      <c r="AP140" s="32">
        <v>0</v>
      </c>
      <c r="AQ140" s="32"/>
      <c r="AR140" s="32" t="str">
        <f>IFERROR(SUMIFS(#REF!,#REF!,'Data Sheet'!A:A,#REF!,"Samridhi Perk Line")/SUMIFS(#REF!,#REF!,'Data Sheet'!A:A,#REF!,"Samridhi Perk Line"),"")</f>
        <v/>
      </c>
      <c r="AS140" s="32"/>
      <c r="AT140" s="32"/>
      <c r="AU140" s="211" t="str">
        <f>IFERROR(VLOOKUP(Table1[[#This Row],[Date]],'Overweight Data'!A138:G1233,6,FALSE),"")</f>
        <v/>
      </c>
      <c r="AV140" s="221">
        <f ca="1">IFERROR(
   IF(
      OR(Table1[[#This Row],[Operating Time]]=0, (Table1[[#This Row],[Operating Time]]/IF(AC140&lt;=1,AC140+1,AC140))*60=0),
      1,
      ((Table1[[#This Row],[Operating Time]])/IF(AC140&lt;=1,AC140+1,AC140))*60
   ),
"_")</f>
        <v>850.5494505494504</v>
      </c>
      <c r="AW140" s="221">
        <f>COUNTIFS('Downtime Data'!A:A,Table1[[#This Row],[Date]])</f>
        <v>3</v>
      </c>
      <c r="AX140" s="219">
        <f>IFERROR((SUM(Table1[[#This Row],[Minor Stoppages]:[Material Shortages]])/Table1[[#This Row],['# Stops]])*60,"")</f>
        <v>27.666666666666664</v>
      </c>
      <c r="AY140" s="219"/>
      <c r="AZ140" s="33">
        <v>46168</v>
      </c>
    </row>
    <row r="141" spans="1:52" ht="20.149999999999999" customHeight="1" x14ac:dyDescent="0.35">
      <c r="A141" s="21">
        <v>46158</v>
      </c>
      <c r="B141" s="22" t="str">
        <f t="shared" si="3"/>
        <v>Saturday</v>
      </c>
      <c r="C141" s="23" t="s">
        <v>106</v>
      </c>
      <c r="D141" s="24" cm="1">
        <f t="array" aca="1" ref="D141" ca="1">IFERROR(INDIRECT(C141),"")</f>
        <v>39.200000000000003</v>
      </c>
      <c r="E141" s="25">
        <v>32.5</v>
      </c>
      <c r="F141" s="26">
        <f>30.8-2.5</f>
        <v>28.3</v>
      </c>
      <c r="G141" s="27">
        <f ca="1">IFERROR((Table1[[#This Row],[Plan]]/Table1[[#This Row],[Hours Used]])/(Table1[[#This Row],[SOC (TPD)]]/24),"")</f>
        <v>0.82908163265306112</v>
      </c>
      <c r="H141" s="27">
        <f ca="1">IFERROR((Table1[[#This Row],[Volume Delivered (T)]]/Table1[[#This Row],[Hours Used]])/(Table1[[#This Row],[SOC (TPD)]]/24),"")</f>
        <v>0.72193877551020402</v>
      </c>
      <c r="I141" s="28"/>
      <c r="J141" s="28"/>
      <c r="K141" s="28"/>
      <c r="L141" s="25">
        <f>0.49+1.22+0.16+0.37-0.27-0.65</f>
        <v>1.3199999999999998</v>
      </c>
      <c r="M141" s="29">
        <v>4.9000000000000002E-2</v>
      </c>
      <c r="N141" s="84">
        <v>5</v>
      </c>
      <c r="O141" s="25"/>
      <c r="P141" s="25"/>
      <c r="Q141" s="70"/>
      <c r="R141" s="71"/>
      <c r="S141" s="30">
        <f>IF(Table1[[#This Row],[SKU]]="",0,24-Table1[[#This Row],[Legal Non-Operating Time]]-Table1[[#This Row],[No Demand Time]]-Table1[[#This Row],[Force Majeure]])</f>
        <v>24</v>
      </c>
      <c r="T141" s="26"/>
      <c r="U141" s="26">
        <v>1</v>
      </c>
      <c r="V141" s="26"/>
      <c r="W141" s="26"/>
      <c r="X141" s="26"/>
      <c r="Y141" s="26"/>
      <c r="Z141" s="26"/>
      <c r="AA141" s="30">
        <f>Table1[[#This Row],[Hours Used]]-SUM(Table1[[#This Row],[Planned Maintenance]:[Start and Finish Production]])</f>
        <v>23</v>
      </c>
      <c r="AB141" s="26">
        <v>0.5</v>
      </c>
      <c r="AC141" s="26">
        <v>3</v>
      </c>
      <c r="AD141" s="26"/>
      <c r="AE141" s="26"/>
      <c r="AF141" s="26"/>
      <c r="AG141" s="26"/>
      <c r="AH141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1.3653061224489846</v>
      </c>
      <c r="AI141" s="24">
        <f ca="1">IFERROR(IF(Table1[[#This Row],[SKU]]="",0,Table1[[#This Row],[Quality Loss (T)]]/(Table1[[#This Row],[SOC (TPD)]]/24)),"")</f>
        <v>0.80816326530612226</v>
      </c>
      <c r="AJ141" s="31">
        <f ca="1">IFERROR(IF(Table1[[#This Row],[SKU]]="",0,Table1[[#This Row],[Volume Delivered (T)]]/(Table1[[#This Row],[SOC (TPD)]]/24)),"")</f>
        <v>17.326530612244895</v>
      </c>
      <c r="AK141" s="31">
        <f ca="1">IFERROR(Table1[[#This Row],[Operating Time]]/Table1[[#This Row],[PRODUCTION HOURS]],"")</f>
        <v>0.75332741792369107</v>
      </c>
      <c r="AL141" s="32">
        <v>79</v>
      </c>
      <c r="AM141" s="32" t="s">
        <v>107</v>
      </c>
      <c r="AN141" s="32" t="s">
        <v>107</v>
      </c>
      <c r="AO141" s="32">
        <v>0</v>
      </c>
      <c r="AP141" s="32">
        <v>0</v>
      </c>
      <c r="AQ141" s="32"/>
      <c r="AR141" s="32" t="str">
        <f>IFERROR(SUMIFS(#REF!,#REF!,'Data Sheet'!A:A,#REF!,"Samridhi Perk Line")/SUMIFS(#REF!,#REF!,'Data Sheet'!A:A,#REF!,"Samridhi Perk Line"),"")</f>
        <v/>
      </c>
      <c r="AS141" s="32"/>
      <c r="AT141" s="32"/>
      <c r="AU141" s="211">
        <f>IFERROR(VLOOKUP(Table1[[#This Row],[Date]],'Overweight Data'!A139:G1234,6,FALSE),"")</f>
        <v>3.0512820512820588E-2</v>
      </c>
      <c r="AV141" s="221">
        <f ca="1">IFERROR(
   IF(
      OR(Table1[[#This Row],[Operating Time]]=0, (Table1[[#This Row],[Operating Time]]/IF(AC141&lt;=1,AC141+1,AC141))*60=0),
      1,
      ((Table1[[#This Row],[Operating Time]])/IF(AC141&lt;=1,AC141+1,AC141))*60
   ),
"_")</f>
        <v>346.5306122448979</v>
      </c>
      <c r="AW141" s="221">
        <f>COUNTIFS('Downtime Data'!A:A,Table1[[#This Row],[Date]])</f>
        <v>2</v>
      </c>
      <c r="AX141" s="219">
        <f>IFERROR((SUM(Table1[[#This Row],[Minor Stoppages]:[Material Shortages]])/Table1[[#This Row],['# Stops]])*60,"")</f>
        <v>105</v>
      </c>
      <c r="AY141" s="219"/>
      <c r="AZ141" s="33">
        <v>46168</v>
      </c>
    </row>
    <row r="142" spans="1:52" ht="20.149999999999999" customHeight="1" x14ac:dyDescent="0.35">
      <c r="A142" s="21">
        <v>46159</v>
      </c>
      <c r="B142" s="22" t="str">
        <f t="shared" si="3"/>
        <v>Sunday</v>
      </c>
      <c r="C142" s="23" t="s">
        <v>106</v>
      </c>
      <c r="D142" s="24" cm="1">
        <f t="array" aca="1" ref="D142" ca="1">IFERROR(INDIRECT(C142),"")</f>
        <v>39.200000000000003</v>
      </c>
      <c r="E142" s="25">
        <v>35.5</v>
      </c>
      <c r="F142" s="26">
        <f>42.8-5.7</f>
        <v>37.099999999999994</v>
      </c>
      <c r="G142" s="27">
        <f ca="1">IFERROR((Table1[[#This Row],[Plan]]/Table1[[#This Row],[Hours Used]])/(Table1[[#This Row],[SOC (TPD)]]/24),"")</f>
        <v>0.90561224489795911</v>
      </c>
      <c r="H142" s="27">
        <f ca="1">IFERROR((Table1[[#This Row],[Volume Delivered (T)]]/Table1[[#This Row],[Hours Used]])/(Table1[[#This Row],[SOC (TPD)]]/24),"")</f>
        <v>0.94642857142857117</v>
      </c>
      <c r="I142" s="28"/>
      <c r="J142" s="28"/>
      <c r="K142" s="28"/>
      <c r="L142" s="25">
        <f>0.36+1.16+0.16+0.37-0.27-0.65</f>
        <v>1.1299999999999999</v>
      </c>
      <c r="M142" s="29">
        <v>4.9000000000000002E-2</v>
      </c>
      <c r="N142" s="84">
        <v>5</v>
      </c>
      <c r="O142" s="25"/>
      <c r="P142" s="25"/>
      <c r="Q142" s="70"/>
      <c r="R142" s="71"/>
      <c r="S142" s="30">
        <f>IF(Table1[[#This Row],[SKU]]="",0,24-Table1[[#This Row],[Legal Non-Operating Time]]-Table1[[#This Row],[No Demand Time]]-Table1[[#This Row],[Force Majeure]])</f>
        <v>24</v>
      </c>
      <c r="T142" s="26"/>
      <c r="U142" s="26"/>
      <c r="V142" s="26"/>
      <c r="W142" s="26"/>
      <c r="X142" s="26"/>
      <c r="Y142" s="26"/>
      <c r="Z142" s="26"/>
      <c r="AA142" s="30">
        <f>Table1[[#This Row],[Hours Used]]-SUM(Table1[[#This Row],[Planned Maintenance]:[Start and Finish Production]])</f>
        <v>24</v>
      </c>
      <c r="AB142" s="26">
        <v>0.4</v>
      </c>
      <c r="AC142" s="26"/>
      <c r="AD142" s="26"/>
      <c r="AE142" s="26"/>
      <c r="AF142" s="26"/>
      <c r="AG142" s="26"/>
      <c r="AH142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0.19387755102041737</v>
      </c>
      <c r="AI142" s="24">
        <f ca="1">IFERROR(IF(Table1[[#This Row],[SKU]]="",0,Table1[[#This Row],[Quality Loss (T)]]/(Table1[[#This Row],[SOC (TPD)]]/24)),"")</f>
        <v>0.69183673469387741</v>
      </c>
      <c r="AJ142" s="31">
        <f ca="1">IFERROR(IF(Table1[[#This Row],[SKU]]="",0,Table1[[#This Row],[Volume Delivered (T)]]/(Table1[[#This Row],[SOC (TPD)]]/24)),"")</f>
        <v>22.714285714285708</v>
      </c>
      <c r="AK142" s="31">
        <f ca="1">IFERROR(Table1[[#This Row],[Operating Time]]/Table1[[#This Row],[PRODUCTION HOURS]],"")</f>
        <v>0.94642857142857117</v>
      </c>
      <c r="AL142" s="32">
        <v>84</v>
      </c>
      <c r="AM142" s="32" t="s">
        <v>107</v>
      </c>
      <c r="AN142" s="32" t="s">
        <v>107</v>
      </c>
      <c r="AO142" s="32">
        <v>0</v>
      </c>
      <c r="AP142" s="32">
        <v>0</v>
      </c>
      <c r="AQ142" s="32"/>
      <c r="AR142" s="32" t="str">
        <f>IFERROR(SUMIFS(#REF!,#REF!,'Data Sheet'!A:A,#REF!,"Samridhi Perk Line")/SUMIFS(#REF!,#REF!,'Data Sheet'!A:A,#REF!,"Samridhi Perk Line"),"")</f>
        <v/>
      </c>
      <c r="AS142" s="32"/>
      <c r="AT142" s="32"/>
      <c r="AU142" s="211">
        <f>IFERROR(VLOOKUP(Table1[[#This Row],[Date]],'Overweight Data'!A140:G1235,6,FALSE),"")</f>
        <v>2.8869463869463916E-2</v>
      </c>
      <c r="AV142" s="221">
        <f ca="1">IFERROR(
   IF(
      OR(Table1[[#This Row],[Operating Time]]=0, (Table1[[#This Row],[Operating Time]]/IF(AC142&lt;=1,AC142+1,AC142))*60=0),
      1,
      ((Table1[[#This Row],[Operating Time]])/IF(AC142&lt;=1,AC142+1,AC142))*60
   ),
"_")</f>
        <v>1362.8571428571424</v>
      </c>
      <c r="AW142" s="221">
        <f>COUNTIFS('Downtime Data'!A:A,Table1[[#This Row],[Date]])</f>
        <v>0</v>
      </c>
      <c r="AX142" s="219" t="str">
        <f>IFERROR((SUM(Table1[[#This Row],[Minor Stoppages]:[Material Shortages]])/Table1[[#This Row],['# Stops]])*60,"")</f>
        <v/>
      </c>
      <c r="AY142" s="219"/>
      <c r="AZ142" s="33">
        <v>46168</v>
      </c>
    </row>
    <row r="143" spans="1:52" ht="20.149999999999999" customHeight="1" x14ac:dyDescent="0.35">
      <c r="A143" s="21">
        <v>46160</v>
      </c>
      <c r="B143" s="22" t="str">
        <f t="shared" si="3"/>
        <v>Monday</v>
      </c>
      <c r="C143" s="23" t="s">
        <v>108</v>
      </c>
      <c r="D143" s="24" cm="1">
        <f t="array" aca="1" ref="D143" ca="1">IFERROR(INDIRECT(C143),"")</f>
        <v>34.200000000000003</v>
      </c>
      <c r="E143" s="25">
        <v>30</v>
      </c>
      <c r="F143" s="26">
        <f>22.3+7.9</f>
        <v>30.200000000000003</v>
      </c>
      <c r="G143" s="27">
        <f ca="1">IFERROR((Table1[[#This Row],[Plan]]/Table1[[#This Row],[Hours Used]])/(Table1[[#This Row],[SOC (TPD)]]/24),"")</f>
        <v>0.8771929824561403</v>
      </c>
      <c r="H143" s="27">
        <f ca="1">IFERROR((Table1[[#This Row],[Volume Delivered (T)]]/Table1[[#This Row],[Hours Used]])/(Table1[[#This Row],[SOC (TPD)]]/24),"")</f>
        <v>0.88304093567251474</v>
      </c>
      <c r="I143" s="28"/>
      <c r="J143" s="28"/>
      <c r="K143" s="28"/>
      <c r="L143" s="25">
        <f>0.39+1.05+0.17+0.37-0.3-0.63</f>
        <v>1.0499999999999998</v>
      </c>
      <c r="M143" s="29">
        <v>4.9000000000000002E-2</v>
      </c>
      <c r="N143" s="84">
        <v>7</v>
      </c>
      <c r="O143" s="25"/>
      <c r="P143" s="25"/>
      <c r="Q143" s="70"/>
      <c r="R143" s="71"/>
      <c r="S143" s="30">
        <f>IF(Table1[[#This Row],[SKU]]="",0,24-Table1[[#This Row],[Legal Non-Operating Time]]-Table1[[#This Row],[No Demand Time]]-Table1[[#This Row],[Force Majeure]])</f>
        <v>24</v>
      </c>
      <c r="T143" s="26"/>
      <c r="U143" s="26">
        <v>0.4</v>
      </c>
      <c r="V143" s="26"/>
      <c r="W143" s="26"/>
      <c r="X143" s="26"/>
      <c r="Y143" s="26"/>
      <c r="Z143" s="26"/>
      <c r="AA143" s="30">
        <f>Table1[[#This Row],[Hours Used]]-SUM(Table1[[#This Row],[Planned Maintenance]:[Start and Finish Production]])</f>
        <v>23.6</v>
      </c>
      <c r="AB143" s="26"/>
      <c r="AC143" s="26">
        <v>1.7</v>
      </c>
      <c r="AD143" s="26"/>
      <c r="AE143" s="26"/>
      <c r="AF143" s="26"/>
      <c r="AG143" s="26"/>
      <c r="AH143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-2.9824561403508199E-2</v>
      </c>
      <c r="AI143" s="24">
        <f ca="1">IFERROR(IF(Table1[[#This Row],[SKU]]="",0,Table1[[#This Row],[Quality Loss (T)]]/(Table1[[#This Row],[SOC (TPD)]]/24)),"")</f>
        <v>0.73684210526315774</v>
      </c>
      <c r="AJ143" s="31">
        <f ca="1">IFERROR(IF(Table1[[#This Row],[SKU]]="",0,Table1[[#This Row],[Volume Delivered (T)]]/(Table1[[#This Row],[SOC (TPD)]]/24)),"")</f>
        <v>21.192982456140353</v>
      </c>
      <c r="AK143" s="31">
        <f ca="1">IFERROR(Table1[[#This Row],[Operating Time]]/Table1[[#This Row],[PRODUCTION HOURS]],"")</f>
        <v>0.89800773119238775</v>
      </c>
      <c r="AL143" s="32">
        <v>69</v>
      </c>
      <c r="AM143" s="32" t="s">
        <v>107</v>
      </c>
      <c r="AN143" s="32" t="s">
        <v>107</v>
      </c>
      <c r="AO143" s="32">
        <v>0</v>
      </c>
      <c r="AP143" s="32">
        <v>0</v>
      </c>
      <c r="AQ143" s="32"/>
      <c r="AR143" s="32" t="str">
        <f>IFERROR(SUMIFS(#REF!,#REF!,'Data Sheet'!A:A,#REF!,"Samridhi Perk Line")/SUMIFS(#REF!,#REF!,'Data Sheet'!A:A,#REF!,"Samridhi Perk Line"),"")</f>
        <v/>
      </c>
      <c r="AS143" s="32"/>
      <c r="AT143" s="32"/>
      <c r="AU143" s="211">
        <f>IFERROR(VLOOKUP(Table1[[#This Row],[Date]],'Overweight Data'!A141:G1236,6,FALSE),"")</f>
        <v>2.9632867132867152E-2</v>
      </c>
      <c r="AV143" s="221">
        <f ca="1">IFERROR(
   IF(
      OR(Table1[[#This Row],[Operating Time]]=0, (Table1[[#This Row],[Operating Time]]/IF(AC143&lt;=1,AC143+1,AC143))*60=0),
      1,
      ((Table1[[#This Row],[Operating Time]])/IF(AC143&lt;=1,AC143+1,AC143))*60
   ),
"_")</f>
        <v>747.98761609907126</v>
      </c>
      <c r="AW143" s="221">
        <f>COUNTIFS('Downtime Data'!A:A,Table1[[#This Row],[Date]])</f>
        <v>1</v>
      </c>
      <c r="AX143" s="219">
        <f>IFERROR((SUM(Table1[[#This Row],[Minor Stoppages]:[Material Shortages]])/Table1[[#This Row],['# Stops]])*60,"")</f>
        <v>102</v>
      </c>
      <c r="AY143" s="219"/>
      <c r="AZ143" s="33">
        <v>46168</v>
      </c>
    </row>
    <row r="144" spans="1:52" ht="20.149999999999999" customHeight="1" x14ac:dyDescent="0.35">
      <c r="A144" s="21">
        <v>46161</v>
      </c>
      <c r="B144" s="22" t="str">
        <f t="shared" si="3"/>
        <v>Tuesday</v>
      </c>
      <c r="C144" s="23" t="s">
        <v>108</v>
      </c>
      <c r="D144" s="24" cm="1">
        <f t="array" aca="1" ref="D144" ca="1">IFERROR(INDIRECT(C144),"")</f>
        <v>34.200000000000003</v>
      </c>
      <c r="E144" s="25">
        <v>30.5</v>
      </c>
      <c r="F144" s="26">
        <v>29.8</v>
      </c>
      <c r="G144" s="27">
        <f ca="1">IFERROR((Table1[[#This Row],[Plan]]/Table1[[#This Row],[Hours Used]])/(Table1[[#This Row],[SOC (TPD)]]/24),"")</f>
        <v>0.89181286549707595</v>
      </c>
      <c r="H144" s="27">
        <f ca="1">IFERROR((Table1[[#This Row],[Volume Delivered (T)]]/Table1[[#This Row],[Hours Used]])/(Table1[[#This Row],[SOC (TPD)]]/24),"")</f>
        <v>0.87134502923976609</v>
      </c>
      <c r="I144" s="28"/>
      <c r="J144" s="28"/>
      <c r="K144" s="28"/>
      <c r="L144" s="25">
        <v>1.1000000000000001</v>
      </c>
      <c r="M144" s="29">
        <v>4.8000000000000001E-2</v>
      </c>
      <c r="N144" s="84">
        <v>6</v>
      </c>
      <c r="O144" s="25"/>
      <c r="P144" s="25"/>
      <c r="Q144" s="70"/>
      <c r="R144" s="71"/>
      <c r="S144" s="30">
        <f>IF(Table1[[#This Row],[SKU]]="",0,24-Table1[[#This Row],[Legal Non-Operating Time]]-Table1[[#This Row],[No Demand Time]]-Table1[[#This Row],[Force Majeure]])</f>
        <v>24</v>
      </c>
      <c r="T144" s="26"/>
      <c r="U144" s="26">
        <v>0.8</v>
      </c>
      <c r="V144" s="26"/>
      <c r="W144" s="26"/>
      <c r="X144" s="26"/>
      <c r="Y144" s="26"/>
      <c r="Z144" s="26"/>
      <c r="AA144" s="30">
        <f>Table1[[#This Row],[Hours Used]]-SUM(Table1[[#This Row],[Planned Maintenance]:[Start and Finish Production]])</f>
        <v>23.2</v>
      </c>
      <c r="AB144" s="26">
        <v>0.5</v>
      </c>
      <c r="AC144" s="26"/>
      <c r="AD144" s="26">
        <v>1</v>
      </c>
      <c r="AE144" s="26"/>
      <c r="AF144" s="26"/>
      <c r="AG144" s="26"/>
      <c r="AH144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1.5789473684208133E-2</v>
      </c>
      <c r="AI144" s="24">
        <f ca="1">IFERROR(IF(Table1[[#This Row],[SKU]]="",0,Table1[[#This Row],[Quality Loss (T)]]/(Table1[[#This Row],[SOC (TPD)]]/24)),"")</f>
        <v>0.77192982456140358</v>
      </c>
      <c r="AJ144" s="31">
        <f ca="1">IFERROR(IF(Table1[[#This Row],[SKU]]="",0,Table1[[#This Row],[Volume Delivered (T)]]/(Table1[[#This Row],[SOC (TPD)]]/24)),"")</f>
        <v>20.912280701754387</v>
      </c>
      <c r="AK144" s="31">
        <f ca="1">IFERROR(Table1[[#This Row],[Operating Time]]/Table1[[#This Row],[PRODUCTION HOURS]],"")</f>
        <v>0.90139140955837882</v>
      </c>
      <c r="AL144" s="32">
        <v>77</v>
      </c>
      <c r="AM144" s="32" t="s">
        <v>107</v>
      </c>
      <c r="AN144" s="32" t="s">
        <v>107</v>
      </c>
      <c r="AO144" s="32">
        <v>4</v>
      </c>
      <c r="AP144" s="32">
        <v>4</v>
      </c>
      <c r="AQ144" s="32"/>
      <c r="AR144" s="32" t="str">
        <f>IFERROR(SUMIFS(#REF!,#REF!,'Data Sheet'!A:A,#REF!,"Samridhi Perk Line")/SUMIFS(#REF!,#REF!,'Data Sheet'!A:A,#REF!,"Samridhi Perk Line"),"")</f>
        <v/>
      </c>
      <c r="AS144" s="32"/>
      <c r="AT144" s="32"/>
      <c r="AU144" s="211">
        <f>IFERROR(VLOOKUP(Table1[[#This Row],[Date]],'Overweight Data'!A142:G1237,6,FALSE),"")</f>
        <v>2.3717948717948745E-2</v>
      </c>
      <c r="AV144" s="221">
        <f ca="1">IFERROR(
   IF(
      OR(Table1[[#This Row],[Operating Time]]=0, (Table1[[#This Row],[Operating Time]]/IF(AC144&lt;=1,AC144+1,AC144))*60=0),
      1,
      ((Table1[[#This Row],[Operating Time]])/IF(AC144&lt;=1,AC144+1,AC144))*60
   ),
"_")</f>
        <v>1254.7368421052631</v>
      </c>
      <c r="AW144" s="221">
        <f>COUNTIFS('Downtime Data'!A:A,Table1[[#This Row],[Date]])</f>
        <v>2</v>
      </c>
      <c r="AX144" s="219">
        <f>IFERROR((SUM(Table1[[#This Row],[Minor Stoppages]:[Material Shortages]])/Table1[[#This Row],['# Stops]])*60,"")</f>
        <v>45</v>
      </c>
      <c r="AY144" s="219"/>
      <c r="AZ144" s="33">
        <v>46168</v>
      </c>
    </row>
    <row r="145" spans="1:52" ht="20.149999999999999" customHeight="1" x14ac:dyDescent="0.35">
      <c r="A145" s="21">
        <v>46162</v>
      </c>
      <c r="B145" s="22" t="str">
        <f t="shared" si="3"/>
        <v>Wednesday</v>
      </c>
      <c r="C145" s="23" t="s">
        <v>108</v>
      </c>
      <c r="D145" s="24" cm="1">
        <f t="array" aca="1" ref="D145" ca="1">IFERROR(INDIRECT(C145),"")</f>
        <v>34.200000000000003</v>
      </c>
      <c r="E145" s="25">
        <v>30.5</v>
      </c>
      <c r="F145" s="26">
        <f>23.8+8.8</f>
        <v>32.6</v>
      </c>
      <c r="G145" s="27">
        <f ca="1">IFERROR((Table1[[#This Row],[Plan]]/Table1[[#This Row],[Hours Used]])/(Table1[[#This Row],[SOC (TPD)]]/24),"")</f>
        <v>0.89181286549707595</v>
      </c>
      <c r="H145" s="27">
        <f ca="1">IFERROR((Table1[[#This Row],[Volume Delivered (T)]]/Table1[[#This Row],[Hours Used]])/(Table1[[#This Row],[SOC (TPD)]]/24),"")</f>
        <v>0.95321637426900585</v>
      </c>
      <c r="I145" s="28"/>
      <c r="J145" s="28"/>
      <c r="K145" s="28"/>
      <c r="L145" s="25">
        <f>0.46+1.21+0.18+0.4-0.27-0.53</f>
        <v>1.45</v>
      </c>
      <c r="M145" s="29">
        <v>4.8000000000000001E-2</v>
      </c>
      <c r="N145" s="84">
        <v>6</v>
      </c>
      <c r="O145" s="25"/>
      <c r="P145" s="25"/>
      <c r="Q145" s="70"/>
      <c r="R145" s="71"/>
      <c r="S145" s="30">
        <f>IF(Table1[[#This Row],[SKU]]="",0,24-Table1[[#This Row],[Legal Non-Operating Time]]-Table1[[#This Row],[No Demand Time]]-Table1[[#This Row],[Force Majeure]])</f>
        <v>24</v>
      </c>
      <c r="T145" s="26"/>
      <c r="U145" s="26"/>
      <c r="V145" s="26"/>
      <c r="W145" s="26"/>
      <c r="X145" s="26"/>
      <c r="Y145" s="26"/>
      <c r="Z145" s="26"/>
      <c r="AA145" s="30">
        <f>Table1[[#This Row],[Hours Used]]-SUM(Table1[[#This Row],[Planned Maintenance]:[Start and Finish Production]])</f>
        <v>24</v>
      </c>
      <c r="AB145" s="26"/>
      <c r="AC145" s="26"/>
      <c r="AD145" s="26"/>
      <c r="AE145" s="26"/>
      <c r="AF145" s="26"/>
      <c r="AG145" s="26"/>
      <c r="AH145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0.10526315789473628</v>
      </c>
      <c r="AI145" s="24">
        <f ca="1">IFERROR(IF(Table1[[#This Row],[SKU]]="",0,Table1[[#This Row],[Quality Loss (T)]]/(Table1[[#This Row],[SOC (TPD)]]/24)),"")</f>
        <v>1.0175438596491226</v>
      </c>
      <c r="AJ145" s="31">
        <f ca="1">IFERROR(IF(Table1[[#This Row],[SKU]]="",0,Table1[[#This Row],[Volume Delivered (T)]]/(Table1[[#This Row],[SOC (TPD)]]/24)),"")</f>
        <v>22.87719298245614</v>
      </c>
      <c r="AK145" s="31">
        <f ca="1">IFERROR(Table1[[#This Row],[Operating Time]]/Table1[[#This Row],[PRODUCTION HOURS]],"")</f>
        <v>0.95321637426900585</v>
      </c>
      <c r="AL145" s="32">
        <v>73</v>
      </c>
      <c r="AM145" s="32" t="s">
        <v>107</v>
      </c>
      <c r="AN145" s="32" t="s">
        <v>107</v>
      </c>
      <c r="AO145" s="32">
        <v>0</v>
      </c>
      <c r="AP145" s="32">
        <v>0</v>
      </c>
      <c r="AQ145" s="32"/>
      <c r="AR145" s="32" t="str">
        <f>IFERROR(SUMIFS(#REF!,#REF!,'Data Sheet'!A:A,#REF!,"Samridhi Perk Line")/SUMIFS(#REF!,#REF!,'Data Sheet'!A:A,#REF!,"Samridhi Perk Line"),"")</f>
        <v/>
      </c>
      <c r="AS145" s="32"/>
      <c r="AT145" s="32"/>
      <c r="AU145" s="211">
        <f>IFERROR(VLOOKUP(Table1[[#This Row],[Date]],'Overweight Data'!A143:G1238,6,FALSE),"")</f>
        <v>2.2115384615384575E-2</v>
      </c>
      <c r="AV145" s="221">
        <f ca="1">IFERROR(
   IF(
      OR(Table1[[#This Row],[Operating Time]]=0, (Table1[[#This Row],[Operating Time]]/IF(AC145&lt;=1,AC145+1,AC145))*60=0),
      1,
      ((Table1[[#This Row],[Operating Time]])/IF(AC145&lt;=1,AC145+1,AC145))*60
   ),
"_")</f>
        <v>1372.6315789473683</v>
      </c>
      <c r="AW145" s="221">
        <f>COUNTIFS('Downtime Data'!A:A,Table1[[#This Row],[Date]])</f>
        <v>0</v>
      </c>
      <c r="AX145" s="219" t="str">
        <f>IFERROR((SUM(Table1[[#This Row],[Minor Stoppages]:[Material Shortages]])/Table1[[#This Row],['# Stops]])*60,"")</f>
        <v/>
      </c>
      <c r="AY145" s="219"/>
      <c r="AZ145" s="33">
        <v>46168</v>
      </c>
    </row>
    <row r="146" spans="1:52" ht="20.149999999999999" customHeight="1" x14ac:dyDescent="0.35">
      <c r="A146" s="21">
        <v>46163</v>
      </c>
      <c r="B146" s="22" t="str">
        <f t="shared" si="3"/>
        <v>Thursday</v>
      </c>
      <c r="C146" s="23" t="s">
        <v>108</v>
      </c>
      <c r="D146" s="24" cm="1">
        <f t="array" aca="1" ref="D146" ca="1">IFERROR(INDIRECT(C146),"")</f>
        <v>34.200000000000003</v>
      </c>
      <c r="E146" s="25">
        <v>30.5</v>
      </c>
      <c r="F146" s="26">
        <f>23.5+4.6</f>
        <v>28.1</v>
      </c>
      <c r="G146" s="27">
        <f ca="1">IFERROR((Table1[[#This Row],[Plan]]/Table1[[#This Row],[Hours Used]])/(Table1[[#This Row],[SOC (TPD)]]/24),"")</f>
        <v>0.89181286549707595</v>
      </c>
      <c r="H146" s="27">
        <f ca="1">IFERROR((Table1[[#This Row],[Volume Delivered (T)]]/Table1[[#This Row],[Hours Used]])/(Table1[[#This Row],[SOC (TPD)]]/24),"")</f>
        <v>0.82163742690058483</v>
      </c>
      <c r="I146" s="28"/>
      <c r="J146" s="28"/>
      <c r="K146" s="28"/>
      <c r="L146" s="25">
        <f>0.52+1.1+0.16+0.37-0.32-0.53</f>
        <v>1.2999999999999998</v>
      </c>
      <c r="M146" s="29">
        <v>4.8000000000000001E-2</v>
      </c>
      <c r="N146" s="84">
        <v>2</v>
      </c>
      <c r="O146" s="25"/>
      <c r="P146" s="25"/>
      <c r="Q146" s="70"/>
      <c r="R146" s="71"/>
      <c r="S146" s="30">
        <f>IF(Table1[[#This Row],[SKU]]="",0,24-Table1[[#This Row],[Legal Non-Operating Time]]-Table1[[#This Row],[No Demand Time]]-Table1[[#This Row],[Force Majeure]])</f>
        <v>24</v>
      </c>
      <c r="T146" s="26"/>
      <c r="U146" s="26">
        <v>0.5</v>
      </c>
      <c r="V146" s="26"/>
      <c r="W146" s="26"/>
      <c r="X146" s="26"/>
      <c r="Y146" s="26"/>
      <c r="Z146" s="26"/>
      <c r="AA146" s="30">
        <f>Table1[[#This Row],[Hours Used]]-SUM(Table1[[#This Row],[Planned Maintenance]:[Start and Finish Production]])</f>
        <v>23.5</v>
      </c>
      <c r="AB146" s="26">
        <v>0.5</v>
      </c>
      <c r="AC146" s="26"/>
      <c r="AD146" s="26">
        <v>1.5</v>
      </c>
      <c r="AE146" s="26">
        <v>0.5</v>
      </c>
      <c r="AF146" s="26"/>
      <c r="AG146" s="26"/>
      <c r="AH146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0.36842105263157876</v>
      </c>
      <c r="AI146" s="24">
        <f ca="1">IFERROR(IF(Table1[[#This Row],[SKU]]="",0,Table1[[#This Row],[Quality Loss (T)]]/(Table1[[#This Row],[SOC (TPD)]]/24)),"")</f>
        <v>0.9122807017543858</v>
      </c>
      <c r="AJ146" s="31">
        <f ca="1">IFERROR(IF(Table1[[#This Row],[SKU]]="",0,Table1[[#This Row],[Volume Delivered (T)]]/(Table1[[#This Row],[SOC (TPD)]]/24)),"")</f>
        <v>19.719298245614034</v>
      </c>
      <c r="AK146" s="31">
        <f ca="1">IFERROR(Table1[[#This Row],[Operating Time]]/Table1[[#This Row],[PRODUCTION HOURS]],"")</f>
        <v>0.83911907428144827</v>
      </c>
      <c r="AL146" s="32">
        <v>92</v>
      </c>
      <c r="AM146" s="32" t="s">
        <v>107</v>
      </c>
      <c r="AN146" s="32" t="s">
        <v>107</v>
      </c>
      <c r="AO146" s="32">
        <v>0</v>
      </c>
      <c r="AP146" s="32">
        <v>0</v>
      </c>
      <c r="AQ146" s="32"/>
      <c r="AR146" s="32" t="str">
        <f>IFERROR(SUMIFS(#REF!,#REF!,'Data Sheet'!A:A,#REF!,"Samridhi Perk Line")/SUMIFS(#REF!,#REF!,'Data Sheet'!A:A,#REF!,"Samridhi Perk Line"),"")</f>
        <v/>
      </c>
      <c r="AS146" s="32"/>
      <c r="AT146" s="32"/>
      <c r="AU146" s="211">
        <f>IFERROR(VLOOKUP(Table1[[#This Row],[Date]],'Overweight Data'!A144:G1239,6,FALSE),"")</f>
        <v>2.0064102564102602E-2</v>
      </c>
      <c r="AV146" s="221">
        <f ca="1">IFERROR(
   IF(
      OR(Table1[[#This Row],[Operating Time]]=0, (Table1[[#This Row],[Operating Time]]/IF(AC146&lt;=1,AC146+1,AC146))*60=0),
      1,
      ((Table1[[#This Row],[Operating Time]])/IF(AC146&lt;=1,AC146+1,AC146))*60
   ),
"_")</f>
        <v>1183.1578947368421</v>
      </c>
      <c r="AW146" s="221">
        <f>COUNTIFS('Downtime Data'!A:A,Table1[[#This Row],[Date]])</f>
        <v>2</v>
      </c>
      <c r="AX146" s="219">
        <f>IFERROR((SUM(Table1[[#This Row],[Minor Stoppages]:[Material Shortages]])/Table1[[#This Row],['# Stops]])*60,"")</f>
        <v>75</v>
      </c>
      <c r="AY146" s="219"/>
      <c r="AZ146" s="33">
        <v>46168</v>
      </c>
    </row>
    <row r="147" spans="1:52" ht="20.149999999999999" customHeight="1" x14ac:dyDescent="0.35">
      <c r="A147" s="21">
        <v>46164</v>
      </c>
      <c r="B147" s="22" t="str">
        <f t="shared" si="3"/>
        <v>Friday</v>
      </c>
      <c r="C147" s="23" t="s">
        <v>108</v>
      </c>
      <c r="D147" s="24" cm="1">
        <f t="array" aca="1" ref="D147" ca="1">IFERROR(INDIRECT(C147),"")</f>
        <v>34.200000000000003</v>
      </c>
      <c r="E147" s="25">
        <v>15</v>
      </c>
      <c r="F147" s="26">
        <f>24.2+3.8</f>
        <v>28</v>
      </c>
      <c r="G147" s="27">
        <f ca="1">IFERROR((Table1[[#This Row],[Plan]]/Table1[[#This Row],[Hours Used]])/(Table1[[#This Row],[SOC (TPD)]]/24),"")</f>
        <v>0.43859649122807015</v>
      </c>
      <c r="H147" s="27">
        <f ca="1">IFERROR((Table1[[#This Row],[Volume Delivered (T)]]/Table1[[#This Row],[Hours Used]])/(Table1[[#This Row],[SOC (TPD)]]/24),"")</f>
        <v>0.81871345029239773</v>
      </c>
      <c r="I147" s="28"/>
      <c r="J147" s="28"/>
      <c r="K147" s="28"/>
      <c r="L147" s="25">
        <f>0.45+1.12+0.17+0.35-0.3-0.6</f>
        <v>1.19</v>
      </c>
      <c r="M147" s="29">
        <v>4.5999999999999999E-2</v>
      </c>
      <c r="N147" s="84">
        <v>6</v>
      </c>
      <c r="O147" s="25"/>
      <c r="P147" s="25"/>
      <c r="Q147" s="70"/>
      <c r="R147" s="71"/>
      <c r="S147" s="30">
        <f>IF(Table1[[#This Row],[SKU]]="",0,24-Table1[[#This Row],[Legal Non-Operating Time]]-Table1[[#This Row],[No Demand Time]]-Table1[[#This Row],[Force Majeure]])</f>
        <v>24</v>
      </c>
      <c r="T147" s="26"/>
      <c r="U147" s="26"/>
      <c r="V147" s="26"/>
      <c r="W147" s="26"/>
      <c r="X147" s="26"/>
      <c r="Y147" s="26"/>
      <c r="Z147" s="26"/>
      <c r="AA147" s="30">
        <f>Table1[[#This Row],[Hours Used]]-SUM(Table1[[#This Row],[Planned Maintenance]:[Start and Finish Production]])</f>
        <v>24</v>
      </c>
      <c r="AB147" s="26"/>
      <c r="AC147" s="26"/>
      <c r="AD147" s="26"/>
      <c r="AE147" s="26"/>
      <c r="AF147" s="26"/>
      <c r="AG147" s="26"/>
      <c r="AH147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3.5157894736842117</v>
      </c>
      <c r="AI147" s="24">
        <f ca="1">IFERROR(IF(Table1[[#This Row],[SKU]]="",0,Table1[[#This Row],[Quality Loss (T)]]/(Table1[[#This Row],[SOC (TPD)]]/24)),"")</f>
        <v>0.83508771929824555</v>
      </c>
      <c r="AJ147" s="31">
        <f ca="1">IFERROR(IF(Table1[[#This Row],[SKU]]="",0,Table1[[#This Row],[Volume Delivered (T)]]/(Table1[[#This Row],[SOC (TPD)]]/24)),"")</f>
        <v>19.649122807017545</v>
      </c>
      <c r="AK147" s="31">
        <f ca="1">IFERROR(Table1[[#This Row],[Operating Time]]/Table1[[#This Row],[PRODUCTION HOURS]],"")</f>
        <v>0.81871345029239773</v>
      </c>
      <c r="AL147" s="32">
        <v>90</v>
      </c>
      <c r="AM147" s="32" t="s">
        <v>107</v>
      </c>
      <c r="AN147" s="32" t="s">
        <v>107</v>
      </c>
      <c r="AO147" s="32">
        <v>0</v>
      </c>
      <c r="AP147" s="32">
        <v>0</v>
      </c>
      <c r="AQ147" s="32"/>
      <c r="AR147" s="32" t="str">
        <f>IFERROR(SUMIFS(#REF!,#REF!,'Data Sheet'!A:A,#REF!,"Samridhi Perk Line")/SUMIFS(#REF!,#REF!,'Data Sheet'!A:A,#REF!,"Samridhi Perk Line"),"")</f>
        <v/>
      </c>
      <c r="AS147" s="32"/>
      <c r="AT147" s="32"/>
      <c r="AU147" s="211">
        <f>IFERROR(VLOOKUP(Table1[[#This Row],[Date]],'Overweight Data'!A145:G1240,6,FALSE),"")</f>
        <v>1.9283216783216803E-2</v>
      </c>
      <c r="AV147" s="221">
        <f ca="1">IFERROR(
   IF(
      OR(Table1[[#This Row],[Operating Time]]=0, (Table1[[#This Row],[Operating Time]]/IF(AC147&lt;=1,AC147+1,AC147))*60=0),
      1,
      ((Table1[[#This Row],[Operating Time]])/IF(AC147&lt;=1,AC147+1,AC147))*60
   ),
"_")</f>
        <v>1178.9473684210527</v>
      </c>
      <c r="AW147" s="221">
        <f>COUNTIFS('Downtime Data'!A:A,Table1[[#This Row],[Date]])</f>
        <v>0</v>
      </c>
      <c r="AX147" s="219" t="str">
        <f>IFERROR((SUM(Table1[[#This Row],[Minor Stoppages]:[Material Shortages]])/Table1[[#This Row],['# Stops]])*60,"")</f>
        <v/>
      </c>
      <c r="AY147" s="219"/>
      <c r="AZ147" s="33">
        <v>46168</v>
      </c>
    </row>
    <row r="148" spans="1:52" ht="20.149999999999999" customHeight="1" x14ac:dyDescent="0.35">
      <c r="A148" s="21">
        <v>46165</v>
      </c>
      <c r="B148" s="22" t="str">
        <f t="shared" si="3"/>
        <v>Saturday</v>
      </c>
      <c r="C148" s="23" t="s">
        <v>108</v>
      </c>
      <c r="D148" s="24" cm="1">
        <f t="array" aca="1" ref="D148" ca="1">IFERROR(INDIRECT(C148),"")</f>
        <v>34.200000000000003</v>
      </c>
      <c r="E148" s="25">
        <v>31</v>
      </c>
      <c r="F148" s="26">
        <f>13.3+4.3</f>
        <v>17.600000000000001</v>
      </c>
      <c r="G148" s="27">
        <f ca="1">IFERROR((Table1[[#This Row],[Plan]]/Table1[[#This Row],[Hours Used]])/(Table1[[#This Row],[SOC (TPD)]]/24),"")</f>
        <v>0.9064327485380117</v>
      </c>
      <c r="H148" s="27">
        <f ca="1">IFERROR((Table1[[#This Row],[Volume Delivered (T)]]/Table1[[#This Row],[Hours Used]])/(Table1[[#This Row],[SOC (TPD)]]/24),"")</f>
        <v>0.51461988304093564</v>
      </c>
      <c r="I148" s="28"/>
      <c r="J148" s="28"/>
      <c r="K148" s="28"/>
      <c r="L148" s="25">
        <f>0.34+1.02+0.13+0.29-0.2-0.39</f>
        <v>1.1900000000000004</v>
      </c>
      <c r="M148" s="29">
        <v>4.5999999999999999E-2</v>
      </c>
      <c r="N148" s="84">
        <v>4</v>
      </c>
      <c r="O148" s="25"/>
      <c r="P148" s="25"/>
      <c r="Q148" s="70"/>
      <c r="R148" s="71"/>
      <c r="S148" s="30">
        <f>IF(Table1[[#This Row],[SKU]]="",0,24-Table1[[#This Row],[Legal Non-Operating Time]]-Table1[[#This Row],[No Demand Time]]-Table1[[#This Row],[Force Majeure]])</f>
        <v>24</v>
      </c>
      <c r="T148" s="26"/>
      <c r="U148" s="26"/>
      <c r="V148" s="26">
        <v>10.8</v>
      </c>
      <c r="W148" s="26"/>
      <c r="X148" s="26"/>
      <c r="Y148" s="26"/>
      <c r="Z148" s="26"/>
      <c r="AA148" s="30">
        <f>Table1[[#This Row],[Hours Used]]-SUM(Table1[[#This Row],[Planned Maintenance]:[Start and Finish Production]])</f>
        <v>13.2</v>
      </c>
      <c r="AB148" s="26"/>
      <c r="AC148" s="26"/>
      <c r="AD148" s="26"/>
      <c r="AE148" s="26"/>
      <c r="AF148" s="26"/>
      <c r="AG148" s="26"/>
      <c r="AH148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1.4035087719296513E-2</v>
      </c>
      <c r="AI148" s="24">
        <f ca="1">IFERROR(IF(Table1[[#This Row],[SKU]]="",0,Table1[[#This Row],[Quality Loss (T)]]/(Table1[[#This Row],[SOC (TPD)]]/24)),"")</f>
        <v>0.83508771929824588</v>
      </c>
      <c r="AJ148" s="31">
        <f ca="1">IFERROR(IF(Table1[[#This Row],[SKU]]="",0,Table1[[#This Row],[Volume Delivered (T)]]/(Table1[[#This Row],[SOC (TPD)]]/24)),"")</f>
        <v>12.350877192982457</v>
      </c>
      <c r="AK148" s="31">
        <f ca="1">IFERROR(Table1[[#This Row],[Operating Time]]/Table1[[#This Row],[PRODUCTION HOURS]],"")</f>
        <v>0.93567251461988321</v>
      </c>
      <c r="AL148" s="32">
        <v>85</v>
      </c>
      <c r="AM148" s="32" t="s">
        <v>107</v>
      </c>
      <c r="AN148" s="32" t="s">
        <v>107</v>
      </c>
      <c r="AO148" s="32">
        <v>0</v>
      </c>
      <c r="AP148" s="32">
        <v>0</v>
      </c>
      <c r="AQ148" s="32"/>
      <c r="AR148" s="32" t="str">
        <f>IFERROR(SUMIFS(#REF!,#REF!,'Data Sheet'!A:A,#REF!,"Samridhi Perk Line")/SUMIFS(#REF!,#REF!,'Data Sheet'!A:A,#REF!,"Samridhi Perk Line"),"")</f>
        <v/>
      </c>
      <c r="AS148" s="32"/>
      <c r="AT148" s="32"/>
      <c r="AU148" s="211">
        <f>IFERROR(VLOOKUP(Table1[[#This Row],[Date]],'Overweight Data'!A146:G1241,6,FALSE),"")</f>
        <v>3.2744014732964961E-2</v>
      </c>
      <c r="AV148" s="221">
        <f ca="1">IFERROR(
   IF(
      OR(Table1[[#This Row],[Operating Time]]=0, (Table1[[#This Row],[Operating Time]]/IF(AC148&lt;=1,AC148+1,AC148))*60=0),
      1,
      ((Table1[[#This Row],[Operating Time]])/IF(AC148&lt;=1,AC148+1,AC148))*60
   ),
"_")</f>
        <v>741.0526315789474</v>
      </c>
      <c r="AW148" s="221">
        <f>COUNTIFS('Downtime Data'!A:A,Table1[[#This Row],[Date]])</f>
        <v>0</v>
      </c>
      <c r="AX148" s="219" t="str">
        <f>IFERROR((SUM(Table1[[#This Row],[Minor Stoppages]:[Material Shortages]])/Table1[[#This Row],['# Stops]])*60,"")</f>
        <v/>
      </c>
      <c r="AY148" s="219"/>
      <c r="AZ148" s="33">
        <v>46168</v>
      </c>
    </row>
    <row r="149" spans="1:52" ht="20.149999999999999" customHeight="1" x14ac:dyDescent="0.35">
      <c r="A149" s="21">
        <v>46166</v>
      </c>
      <c r="B149" s="22" t="str">
        <f t="shared" si="3"/>
        <v>Sunday</v>
      </c>
      <c r="C149" s="23" t="s">
        <v>108</v>
      </c>
      <c r="D149" s="24" cm="1">
        <f t="array" aca="1" ref="D149" ca="1">IFERROR(INDIRECT(C149),"")</f>
        <v>34.200000000000003</v>
      </c>
      <c r="E149" s="25">
        <v>31</v>
      </c>
      <c r="F149" s="26">
        <f>20.7+8</f>
        <v>28.7</v>
      </c>
      <c r="G149" s="27">
        <f ca="1">IFERROR((Table1[[#This Row],[Plan]]/Table1[[#This Row],[Hours Used]])/(Table1[[#This Row],[SOC (TPD)]]/24),"")</f>
        <v>0.9064327485380117</v>
      </c>
      <c r="H149" s="27">
        <f ca="1">IFERROR((Table1[[#This Row],[Volume Delivered (T)]]/Table1[[#This Row],[Hours Used]])/(Table1[[#This Row],[SOC (TPD)]]/24),"")</f>
        <v>0.83918128654970758</v>
      </c>
      <c r="I149" s="28"/>
      <c r="J149" s="28"/>
      <c r="K149" s="28"/>
      <c r="L149" s="25">
        <f>0.36+1.16+0.16+0.38-0.26-0.48</f>
        <v>1.32</v>
      </c>
      <c r="M149" s="29">
        <v>4.5999999999999999E-2</v>
      </c>
      <c r="N149" s="84">
        <v>4</v>
      </c>
      <c r="O149" s="25"/>
      <c r="P149" s="25"/>
      <c r="Q149" s="70"/>
      <c r="R149" s="71"/>
      <c r="S149" s="30">
        <f>IF(Table1[[#This Row],[SKU]]="",0,24-Table1[[#This Row],[Legal Non-Operating Time]]-Table1[[#This Row],[No Demand Time]]-Table1[[#This Row],[Force Majeure]])</f>
        <v>24</v>
      </c>
      <c r="T149" s="26"/>
      <c r="U149" s="26"/>
      <c r="V149" s="26"/>
      <c r="W149" s="26">
        <v>1</v>
      </c>
      <c r="X149" s="26"/>
      <c r="Y149" s="26"/>
      <c r="Z149" s="26"/>
      <c r="AA149" s="30">
        <f>Table1[[#This Row],[Hours Used]]-SUM(Table1[[#This Row],[Planned Maintenance]:[Start and Finish Production]])</f>
        <v>23</v>
      </c>
      <c r="AB149" s="26"/>
      <c r="AC149" s="26">
        <v>2</v>
      </c>
      <c r="AD149" s="26"/>
      <c r="AE149" s="26"/>
      <c r="AF149" s="26"/>
      <c r="AG149" s="26"/>
      <c r="AH149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-6.666666666666643E-2</v>
      </c>
      <c r="AI149" s="24">
        <f ca="1">IFERROR(IF(Table1[[#This Row],[SKU]]="",0,Table1[[#This Row],[Quality Loss (T)]]/(Table1[[#This Row],[SOC (TPD)]]/24)),"")</f>
        <v>0.9263157894736842</v>
      </c>
      <c r="AJ149" s="31">
        <f ca="1">IFERROR(IF(Table1[[#This Row],[SKU]]="",0,Table1[[#This Row],[Volume Delivered (T)]]/(Table1[[#This Row],[SOC (TPD)]]/24)),"")</f>
        <v>20.140350877192983</v>
      </c>
      <c r="AK149" s="31">
        <f ca="1">IFERROR(Table1[[#This Row],[Operating Time]]/Table1[[#This Row],[PRODUCTION HOURS]],"")</f>
        <v>0.87566742944317322</v>
      </c>
      <c r="AL149" s="32">
        <v>94</v>
      </c>
      <c r="AM149" s="32" t="s">
        <v>107</v>
      </c>
      <c r="AN149" s="32" t="s">
        <v>107</v>
      </c>
      <c r="AO149" s="32">
        <v>0</v>
      </c>
      <c r="AP149" s="32">
        <v>4</v>
      </c>
      <c r="AQ149" s="32"/>
      <c r="AR149" s="32" t="str">
        <f>IFERROR(SUMIFS(#REF!,#REF!,'Data Sheet'!A:A,#REF!,"Samridhi Perk Line")/SUMIFS(#REF!,#REF!,'Data Sheet'!A:A,#REF!,"Samridhi Perk Line"),"")</f>
        <v/>
      </c>
      <c r="AS149" s="32"/>
      <c r="AT149" s="32"/>
      <c r="AU149" s="211">
        <f>IFERROR(VLOOKUP(Table1[[#This Row],[Date]],'Overweight Data'!A147:G1242,6,FALSE),"")</f>
        <v>2.3287292817679578E-2</v>
      </c>
      <c r="AV149" s="221">
        <f ca="1">IFERROR(
   IF(
      OR(Table1[[#This Row],[Operating Time]]=0, (Table1[[#This Row],[Operating Time]]/IF(AC149&lt;=1,AC149+1,AC149))*60=0),
      1,
      ((Table1[[#This Row],[Operating Time]])/IF(AC149&lt;=1,AC149+1,AC149))*60
   ),
"_")</f>
        <v>604.21052631578948</v>
      </c>
      <c r="AW149" s="221">
        <f>COUNTIFS('Downtime Data'!A:A,Table1[[#This Row],[Date]])</f>
        <v>1</v>
      </c>
      <c r="AX149" s="219">
        <f>IFERROR((SUM(Table1[[#This Row],[Minor Stoppages]:[Material Shortages]])/Table1[[#This Row],['# Stops]])*60,"")</f>
        <v>120</v>
      </c>
      <c r="AY149" s="219"/>
      <c r="AZ149" s="33">
        <v>46168</v>
      </c>
    </row>
    <row r="150" spans="1:52" ht="20.149999999999999" customHeight="1" x14ac:dyDescent="0.35">
      <c r="A150" s="21">
        <v>46167</v>
      </c>
      <c r="B150" s="22" t="str">
        <f t="shared" si="3"/>
        <v>Monday</v>
      </c>
      <c r="C150" s="23" t="s">
        <v>106</v>
      </c>
      <c r="D150" s="24" cm="1">
        <f t="array" aca="1" ref="D150" ca="1">IFERROR(INDIRECT(C150),"")</f>
        <v>39.200000000000003</v>
      </c>
      <c r="E150" s="25">
        <v>31</v>
      </c>
      <c r="F150" s="26">
        <v>30.06</v>
      </c>
      <c r="G150" s="27">
        <f ca="1">IFERROR((Table1[[#This Row],[Plan]]/Table1[[#This Row],[Hours Used]])/(Table1[[#This Row],[SOC (TPD)]]/24),"")</f>
        <v>0.79081632653061218</v>
      </c>
      <c r="H150" s="27">
        <f ca="1">IFERROR((Table1[[#This Row],[Volume Delivered (T)]]/Table1[[#This Row],[Hours Used]])/(Table1[[#This Row],[SOC (TPD)]]/24),"")</f>
        <v>0.76683673469387748</v>
      </c>
      <c r="I150" s="28"/>
      <c r="J150" s="28"/>
      <c r="K150" s="28"/>
      <c r="L150" s="25">
        <f>0.46+1.44+0.15+0.26-0.3-0.4</f>
        <v>1.6099999999999999</v>
      </c>
      <c r="M150" s="29">
        <v>4.5999999999999999E-2</v>
      </c>
      <c r="N150" s="84">
        <v>6</v>
      </c>
      <c r="O150" s="25"/>
      <c r="P150" s="25"/>
      <c r="Q150" s="70"/>
      <c r="R150" s="71"/>
      <c r="S150" s="30">
        <f>IF(Table1[[#This Row],[SKU]]="",0,24-Table1[[#This Row],[Legal Non-Operating Time]]-Table1[[#This Row],[No Demand Time]]-Table1[[#This Row],[Force Majeure]])</f>
        <v>24</v>
      </c>
      <c r="T150" s="26">
        <v>0.5</v>
      </c>
      <c r="U150" s="26">
        <v>1</v>
      </c>
      <c r="V150" s="26"/>
      <c r="W150" s="26"/>
      <c r="X150" s="26"/>
      <c r="Y150" s="26"/>
      <c r="Z150" s="26"/>
      <c r="AA150" s="30">
        <f>Table1[[#This Row],[Hours Used]]-SUM(Table1[[#This Row],[Planned Maintenance]:[Start and Finish Production]])</f>
        <v>22.5</v>
      </c>
      <c r="AB150" s="26"/>
      <c r="AC150" s="26">
        <v>2.5</v>
      </c>
      <c r="AD150" s="26"/>
      <c r="AE150" s="26"/>
      <c r="AF150" s="26"/>
      <c r="AG150" s="26"/>
      <c r="AH150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0.61020408163265927</v>
      </c>
      <c r="AI150" s="24">
        <f ca="1">IFERROR(IF(Table1[[#This Row],[SKU]]="",0,Table1[[#This Row],[Quality Loss (T)]]/(Table1[[#This Row],[SOC (TPD)]]/24)),"")</f>
        <v>0.98571428571428554</v>
      </c>
      <c r="AJ150" s="31">
        <f ca="1">IFERROR(IF(Table1[[#This Row],[SKU]]="",0,Table1[[#This Row],[Volume Delivered (T)]]/(Table1[[#This Row],[SOC (TPD)]]/24)),"")</f>
        <v>18.404081632653057</v>
      </c>
      <c r="AK150" s="31">
        <f ca="1">IFERROR(Table1[[#This Row],[Operating Time]]/Table1[[#This Row],[PRODUCTION HOURS]],"")</f>
        <v>0.8179591836734692</v>
      </c>
      <c r="AL150" s="32">
        <v>78</v>
      </c>
      <c r="AM150" s="32" t="s">
        <v>107</v>
      </c>
      <c r="AN150" s="32" t="s">
        <v>107</v>
      </c>
      <c r="AO150" s="32">
        <v>0</v>
      </c>
      <c r="AP150" s="32">
        <v>0</v>
      </c>
      <c r="AQ150" s="32"/>
      <c r="AR150" s="32" t="str">
        <f>IFERROR(SUMIFS(#REF!,#REF!,'Data Sheet'!A:A,#REF!,"Samridhi Perk Line")/SUMIFS(#REF!,#REF!,'Data Sheet'!A:A,#REF!,"Samridhi Perk Line"),"")</f>
        <v/>
      </c>
      <c r="AS150" s="32"/>
      <c r="AT150" s="32"/>
      <c r="AU150" s="211">
        <f>IFERROR(VLOOKUP(Table1[[#This Row],[Date]],'Overweight Data'!A148:G1243,6,FALSE),"")</f>
        <v>2.1408839779005526E-2</v>
      </c>
      <c r="AV150" s="221">
        <f ca="1">IFERROR(
   IF(
      OR(Table1[[#This Row],[Operating Time]]=0, (Table1[[#This Row],[Operating Time]]/IF(AC150&lt;=1,AC150+1,AC150))*60=0),
      1,
      ((Table1[[#This Row],[Operating Time]])/IF(AC150&lt;=1,AC150+1,AC150))*60
   ),
"_")</f>
        <v>441.69795918367339</v>
      </c>
      <c r="AW150" s="221">
        <f>COUNTIFS('Downtime Data'!A:A,Table1[[#This Row],[Date]])</f>
        <v>2</v>
      </c>
      <c r="AX150" s="219">
        <f>IFERROR((SUM(Table1[[#This Row],[Minor Stoppages]:[Material Shortages]])/Table1[[#This Row],['# Stops]])*60,"")</f>
        <v>75</v>
      </c>
      <c r="AY150" s="219"/>
      <c r="AZ150" s="33">
        <v>46168</v>
      </c>
    </row>
    <row r="151" spans="1:52" ht="20.149999999999999" customHeight="1" x14ac:dyDescent="0.35">
      <c r="A151" s="21">
        <v>46168</v>
      </c>
      <c r="B151" s="22" t="str">
        <f t="shared" si="3"/>
        <v>Tuesday</v>
      </c>
      <c r="C151" s="23" t="s">
        <v>106</v>
      </c>
      <c r="D151" s="24" cm="1">
        <f t="array" aca="1" ref="D151" ca="1">IFERROR(INDIRECT(C151),"")</f>
        <v>39.200000000000003</v>
      </c>
      <c r="E151" s="25">
        <v>31</v>
      </c>
      <c r="F151" s="26">
        <v>33.9</v>
      </c>
      <c r="G151" s="27">
        <f ca="1">IFERROR((Table1[[#This Row],[Plan]]/Table1[[#This Row],[Hours Used]])/(Table1[[#This Row],[SOC (TPD)]]/24),"")</f>
        <v>0.79081632653061218</v>
      </c>
      <c r="H151" s="27">
        <f ca="1">IFERROR((Table1[[#This Row],[Volume Delivered (T)]]/Table1[[#This Row],[Hours Used]])/(Table1[[#This Row],[SOC (TPD)]]/24),"")</f>
        <v>0.86479591836734671</v>
      </c>
      <c r="I151" s="28"/>
      <c r="J151" s="28"/>
      <c r="K151" s="28"/>
      <c r="L151" s="25">
        <v>1.59</v>
      </c>
      <c r="M151" s="29">
        <v>4.2999999999999997E-2</v>
      </c>
      <c r="N151" s="84">
        <v>3</v>
      </c>
      <c r="O151" s="25"/>
      <c r="P151" s="25"/>
      <c r="Q151" s="70"/>
      <c r="R151" s="71"/>
      <c r="S151" s="30">
        <f>IF(Table1[[#This Row],[SKU]]="",0,24-Table1[[#This Row],[Legal Non-Operating Time]]-Table1[[#This Row],[No Demand Time]]-Table1[[#This Row],[Force Majeure]])</f>
        <v>24</v>
      </c>
      <c r="T151" s="26">
        <v>1</v>
      </c>
      <c r="U151" s="26">
        <v>0.5</v>
      </c>
      <c r="V151" s="26"/>
      <c r="W151" s="26"/>
      <c r="X151" s="26"/>
      <c r="Y151" s="26"/>
      <c r="Z151" s="26"/>
      <c r="AA151" s="30">
        <f>Table1[[#This Row],[Hours Used]]-SUM(Table1[[#This Row],[Planned Maintenance]:[Start and Finish Production]])</f>
        <v>22.5</v>
      </c>
      <c r="AB151" s="26"/>
      <c r="AC151" s="26"/>
      <c r="AD151" s="26">
        <v>0.5</v>
      </c>
      <c r="AE151" s="26"/>
      <c r="AF151" s="26"/>
      <c r="AG151" s="26"/>
      <c r="AH151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0.27142857142857579</v>
      </c>
      <c r="AI151" s="24">
        <f ca="1">IFERROR(IF(Table1[[#This Row],[SKU]]="",0,Table1[[#This Row],[Quality Loss (T)]]/(Table1[[#This Row],[SOC (TPD)]]/24)),"")</f>
        <v>0.97346938775510194</v>
      </c>
      <c r="AJ151" s="31">
        <f ca="1">IFERROR(IF(Table1[[#This Row],[SKU]]="",0,Table1[[#This Row],[Volume Delivered (T)]]/(Table1[[#This Row],[SOC (TPD)]]/24)),"")</f>
        <v>20.755102040816322</v>
      </c>
      <c r="AK151" s="31">
        <f ca="1">IFERROR(Table1[[#This Row],[Operating Time]]/Table1[[#This Row],[PRODUCTION HOURS]],"")</f>
        <v>0.92244897959183647</v>
      </c>
      <c r="AL151" s="32">
        <v>92</v>
      </c>
      <c r="AM151" s="32" t="s">
        <v>107</v>
      </c>
      <c r="AN151" s="32" t="s">
        <v>107</v>
      </c>
      <c r="AO151" s="32">
        <v>6</v>
      </c>
      <c r="AP151" s="32">
        <v>6</v>
      </c>
      <c r="AQ151" s="32"/>
      <c r="AR151" s="32" t="str">
        <f>IFERROR(SUMIFS(#REF!,#REF!,'Data Sheet'!A:A,#REF!,"Samridhi Perk Line")/SUMIFS(#REF!,#REF!,'Data Sheet'!A:A,#REF!,"Samridhi Perk Line"),"")</f>
        <v/>
      </c>
      <c r="AS151" s="32"/>
      <c r="AT151" s="32"/>
      <c r="AU151" s="211">
        <f>IFERROR(VLOOKUP(Table1[[#This Row],[Date]],'Overweight Data'!A149:G1244,6,FALSE),"")</f>
        <v>1.9953959484346188E-2</v>
      </c>
      <c r="AV151" s="221">
        <f ca="1">IFERROR(
   IF(
      OR(Table1[[#This Row],[Operating Time]]=0, (Table1[[#This Row],[Operating Time]]/IF(AC151&lt;=1,AC151+1,AC151))*60=0),
      1,
      ((Table1[[#This Row],[Operating Time]])/IF(AC151&lt;=1,AC151+1,AC151))*60
   ),
"_")</f>
        <v>1245.3061224489793</v>
      </c>
      <c r="AW151" s="221">
        <f>COUNTIFS('Downtime Data'!A:A,Table1[[#This Row],[Date]])</f>
        <v>1</v>
      </c>
      <c r="AX151" s="219">
        <f>IFERROR((SUM(Table1[[#This Row],[Minor Stoppages]:[Material Shortages]])/Table1[[#This Row],['# Stops]])*60,"")</f>
        <v>30</v>
      </c>
      <c r="AY151" s="219"/>
      <c r="AZ151" s="33">
        <v>46168</v>
      </c>
    </row>
    <row r="152" spans="1:52" ht="20.149999999999999" customHeight="1" x14ac:dyDescent="0.35">
      <c r="A152" s="21">
        <v>46169</v>
      </c>
      <c r="B152" s="22" t="str">
        <f t="shared" si="3"/>
        <v>Wednesday</v>
      </c>
      <c r="C152" s="23" t="str">
        <f>VLOOKUP(Table1[[#This Row],[Date]],[2]Sheet1!$A$1:$P$86,7,TRUE)</f>
        <v>_10.3GM</v>
      </c>
      <c r="D152" s="24" cm="1">
        <f t="array" aca="1" ref="D152" ca="1">IFERROR(INDIRECT(C152),"")</f>
        <v>39.200000000000003</v>
      </c>
      <c r="E152" s="25">
        <v>31</v>
      </c>
      <c r="F152" s="26">
        <v>27.9</v>
      </c>
      <c r="G152" s="27">
        <f ca="1">IFERROR((Table1[[#This Row],[Plan]]/Table1[[#This Row],[Hours Used]])/(Table1[[#This Row],[SOC (TPD)]]/24),"")</f>
        <v>0.79081632653061218</v>
      </c>
      <c r="H152" s="27">
        <f ca="1">IFERROR((Table1[[#This Row],[Volume Delivered (T)]]/Table1[[#This Row],[Hours Used]])/(Table1[[#This Row],[SOC (TPD)]]/24),"")</f>
        <v>0.71173469387755084</v>
      </c>
      <c r="I152" s="28"/>
      <c r="J152" s="28"/>
      <c r="K152" s="28"/>
      <c r="L152" s="25">
        <f>VLOOKUP(Table1[[#This Row],[Date]],[2]Sheet1!$A$1:$P$555,9,TRUE)</f>
        <v>1.7</v>
      </c>
      <c r="M152" s="29">
        <v>4.2999999999999997E-2</v>
      </c>
      <c r="N152" s="84">
        <v>3</v>
      </c>
      <c r="O152" s="25"/>
      <c r="P152" s="25"/>
      <c r="Q152" s="70"/>
      <c r="R152" s="71"/>
      <c r="S152" s="30">
        <f>IF(Table1[[#This Row],[SKU]]="",0,24-Table1[[#This Row],[Legal Non-Operating Time]]-Table1[[#This Row],[No Demand Time]]-Table1[[#This Row],[Force Majeure]])</f>
        <v>24</v>
      </c>
      <c r="T152" s="26">
        <f>VLOOKUP(Table1[[#This Row],[Date]],[2]Sheet1!$A$1:$P$555,10,TRUE)</f>
        <v>1</v>
      </c>
      <c r="U152" s="26">
        <f>VLOOKUP(Table1[[#This Row],[Date]],[2]Sheet1!$A$1:$P$555,12,TRUE)</f>
        <v>0.5</v>
      </c>
      <c r="V152" s="26">
        <f>VLOOKUP(Table1[[#This Row],[Date]],[2]Sheet1!$A$1:$P$555,13,TRUE)</f>
        <v>0</v>
      </c>
      <c r="W152" s="26">
        <f>VLOOKUP(Table1[[#This Row],[Date]],[2]Sheet1!$A$1:$P$555,14,TRUE)</f>
        <v>0</v>
      </c>
      <c r="X152" s="26"/>
      <c r="Y152" s="26"/>
      <c r="Z152" s="26"/>
      <c r="AA152" s="30">
        <f>Table1[[#This Row],[Hours Used]]-SUM(Table1[[#This Row],[Planned Maintenance]:[Start and Finish Production]])</f>
        <v>22.5</v>
      </c>
      <c r="AB152" s="26"/>
      <c r="AC152" s="26">
        <f>VLOOKUP(Table1[[#This Row],[Date]],[2]Sheet1!$A$1:$P$555,15,TRUE)</f>
        <v>4</v>
      </c>
      <c r="AD152" s="26">
        <f>VLOOKUP(Table1[[#This Row],[Date]],[2]Sheet1!$A$1:$P$555,16,TRUE)</f>
        <v>0</v>
      </c>
      <c r="AE152" s="26"/>
      <c r="AF152" s="26"/>
      <c r="AG152" s="26"/>
      <c r="AH152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0.37755102040816624</v>
      </c>
      <c r="AI152" s="24">
        <f ca="1">IFERROR(IF(Table1[[#This Row],[SKU]]="",0,Table1[[#This Row],[Quality Loss (T)]]/(Table1[[#This Row],[SOC (TPD)]]/24)),"")</f>
        <v>1.0408163265306121</v>
      </c>
      <c r="AJ152" s="31">
        <f ca="1">IFERROR(IF(Table1[[#This Row],[SKU]]="",0,Table1[[#This Row],[Volume Delivered (T)]]/(Table1[[#This Row],[SOC (TPD)]]/24)),"")</f>
        <v>17.08163265306122</v>
      </c>
      <c r="AK152" s="31">
        <f ca="1">IFERROR(Table1[[#This Row],[Operating Time]]/Table1[[#This Row],[PRODUCTION HOURS]],"")</f>
        <v>0.75918367346938753</v>
      </c>
      <c r="AL152" s="32">
        <v>85</v>
      </c>
      <c r="AM152" s="32" t="s">
        <v>107</v>
      </c>
      <c r="AN152" s="32" t="s">
        <v>107</v>
      </c>
      <c r="AO152" s="32">
        <v>0</v>
      </c>
      <c r="AP152" s="32">
        <v>0</v>
      </c>
      <c r="AQ152" s="32"/>
      <c r="AR152" s="32" t="str">
        <f>IFERROR(SUMIFS(#REF!,#REF!,'Data Sheet'!A:A,#REF!,"Samridhi Perk Line")/SUMIFS(#REF!,#REF!,'Data Sheet'!A:A,#REF!,"Samridhi Perk Line"),"")</f>
        <v/>
      </c>
      <c r="AS152" s="32"/>
      <c r="AT152" s="32"/>
      <c r="AU152" s="211">
        <f>IFERROR(VLOOKUP(Table1[[#This Row],[Date]],'Overweight Data'!A150:G1245,6,FALSE),"")</f>
        <v>1.9208103130755026E-2</v>
      </c>
      <c r="AV152" s="221">
        <f ca="1">IFERROR(
   IF(
      OR(Table1[[#This Row],[Operating Time]]=0, (Table1[[#This Row],[Operating Time]]/IF(AC152&lt;=1,AC152+1,AC152))*60=0),
      1,
      ((Table1[[#This Row],[Operating Time]])/IF(AC152&lt;=1,AC152+1,AC152))*60
   ),
"_")</f>
        <v>256.22448979591832</v>
      </c>
      <c r="AW152" s="221">
        <f>COUNTIFS('Downtime Data'!A:A,Table1[[#This Row],[Date]])</f>
        <v>2</v>
      </c>
      <c r="AX152" s="219">
        <f>IFERROR((SUM(Table1[[#This Row],[Minor Stoppages]:[Material Shortages]])/Table1[[#This Row],['# Stops]])*60,"")</f>
        <v>120</v>
      </c>
      <c r="AY152" s="219"/>
      <c r="AZ152" s="33">
        <v>46168</v>
      </c>
    </row>
    <row r="153" spans="1:52" ht="20.149999999999999" customHeight="1" x14ac:dyDescent="0.35">
      <c r="A153" s="21">
        <v>46170</v>
      </c>
      <c r="B153" s="22" t="str">
        <f t="shared" si="3"/>
        <v>Thursday</v>
      </c>
      <c r="C153" s="23" t="str">
        <f>VLOOKUP(Table1[[#This Row],[Date]],[2]Sheet1!$A$1:$P$86,7,TRUE)</f>
        <v>_10.3GM</v>
      </c>
      <c r="D153" s="24" cm="1">
        <f t="array" aca="1" ref="D153" ca="1">IFERROR(INDIRECT(C153),"")</f>
        <v>39.200000000000003</v>
      </c>
      <c r="E153" s="25">
        <v>31</v>
      </c>
      <c r="F153" s="26">
        <v>34</v>
      </c>
      <c r="G153" s="27">
        <f ca="1">IFERROR((Table1[[#This Row],[Plan]]/Table1[[#This Row],[Hours Used]])/(Table1[[#This Row],[SOC (TPD)]]/24),"")</f>
        <v>0.79081632653061218</v>
      </c>
      <c r="H153" s="27">
        <f ca="1">IFERROR((Table1[[#This Row],[Volume Delivered (T)]]/Table1[[#This Row],[Hours Used]])/(Table1[[#This Row],[SOC (TPD)]]/24),"")</f>
        <v>0.86734693877551017</v>
      </c>
      <c r="I153" s="28"/>
      <c r="J153" s="28"/>
      <c r="K153" s="28"/>
      <c r="L153" s="25">
        <f>0.35+1.25+0.16+0.32-0.24-0.61</f>
        <v>1.23</v>
      </c>
      <c r="M153" s="29">
        <v>4.2999999999999997E-2</v>
      </c>
      <c r="N153" s="84">
        <v>4</v>
      </c>
      <c r="O153" s="25"/>
      <c r="P153" s="25"/>
      <c r="Q153" s="70"/>
      <c r="R153" s="71"/>
      <c r="S153" s="30">
        <f>IF(Table1[[#This Row],[SKU]]="",0,24-Table1[[#This Row],[Legal Non-Operating Time]]-Table1[[#This Row],[No Demand Time]]-Table1[[#This Row],[Force Majeure]])</f>
        <v>24</v>
      </c>
      <c r="T153" s="26">
        <v>1</v>
      </c>
      <c r="U153" s="26">
        <v>1</v>
      </c>
      <c r="V153" s="26"/>
      <c r="W153" s="26"/>
      <c r="X153" s="26"/>
      <c r="Y153" s="26"/>
      <c r="Z153" s="26"/>
      <c r="AA153" s="30">
        <f>Table1[[#This Row],[Hours Used]]-SUM(Table1[[#This Row],[Planned Maintenance]:[Start and Finish Production]])</f>
        <v>22</v>
      </c>
      <c r="AB153" s="26"/>
      <c r="AC153" s="26"/>
      <c r="AD153" s="26"/>
      <c r="AE153" s="26"/>
      <c r="AF153" s="26"/>
      <c r="AG153" s="26"/>
      <c r="AH153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0.43061224489796146</v>
      </c>
      <c r="AI153" s="24">
        <f ca="1">IFERROR(IF(Table1[[#This Row],[SKU]]="",0,Table1[[#This Row],[Quality Loss (T)]]/(Table1[[#This Row],[SOC (TPD)]]/24)),"")</f>
        <v>0.75306122448979584</v>
      </c>
      <c r="AJ153" s="31">
        <f ca="1">IFERROR(IF(Table1[[#This Row],[SKU]]="",0,Table1[[#This Row],[Volume Delivered (T)]]/(Table1[[#This Row],[SOC (TPD)]]/24)),"")</f>
        <v>20.816326530612244</v>
      </c>
      <c r="AK153" s="31">
        <f ca="1">IFERROR(Table1[[#This Row],[Operating Time]]/Table1[[#This Row],[PRODUCTION HOURS]],"")</f>
        <v>0.94619666048237472</v>
      </c>
      <c r="AL153" s="32">
        <v>85</v>
      </c>
      <c r="AM153" s="32" t="s">
        <v>107</v>
      </c>
      <c r="AN153" s="32" t="s">
        <v>107</v>
      </c>
      <c r="AO153" s="32">
        <v>0</v>
      </c>
      <c r="AP153" s="32">
        <v>0</v>
      </c>
      <c r="AQ153" s="32"/>
      <c r="AR153" s="32" t="str">
        <f>IFERROR(SUMIFS(#REF!,#REF!,'Data Sheet'!A:A,#REF!,"Samridhi Perk Line")/SUMIFS(#REF!,#REF!,'Data Sheet'!A:A,#REF!,"Samridhi Perk Line"),"")</f>
        <v/>
      </c>
      <c r="AS153" s="32"/>
      <c r="AT153" s="32"/>
      <c r="AU153" s="211">
        <f>IFERROR(VLOOKUP(Table1[[#This Row],[Date]],'Overweight Data'!A151:G1246,6,FALSE),"")</f>
        <v>2.6740331491712722E-2</v>
      </c>
      <c r="AV153" s="221">
        <f ca="1">IFERROR(
   IF(
      OR(Table1[[#This Row],[Operating Time]]=0, (Table1[[#This Row],[Operating Time]]/IF(AC153&lt;=1,AC153+1,AC153))*60=0),
      1,
      ((Table1[[#This Row],[Operating Time]])/IF(AC153&lt;=1,AC153+1,AC153))*60
   ),
"_")</f>
        <v>1248.9795918367347</v>
      </c>
      <c r="AW153" s="221">
        <f>COUNTIFS('Downtime Data'!A:A,Table1[[#This Row],[Date]])</f>
        <v>1</v>
      </c>
      <c r="AX153" s="219">
        <f>IFERROR((SUM(Table1[[#This Row],[Minor Stoppages]:[Material Shortages]])/Table1[[#This Row],['# Stops]])*60,"")</f>
        <v>0</v>
      </c>
      <c r="AY153" s="219"/>
      <c r="AZ153" s="33">
        <v>46168</v>
      </c>
    </row>
    <row r="154" spans="1:52" ht="20.149999999999999" customHeight="1" x14ac:dyDescent="0.35">
      <c r="A154" s="21">
        <v>46171</v>
      </c>
      <c r="B154" s="22" t="str">
        <f t="shared" si="3"/>
        <v>Friday</v>
      </c>
      <c r="C154" s="23" t="str">
        <f>VLOOKUP(Table1[[#This Row],[Date]],[2]Sheet1!$A$1:$P$86,7,TRUE)</f>
        <v>_10.3GM</v>
      </c>
      <c r="D154" s="24" cm="1">
        <f t="array" aca="1" ref="D154" ca="1">IFERROR(INDIRECT(C154),"")</f>
        <v>39.200000000000003</v>
      </c>
      <c r="E154" s="25">
        <v>33</v>
      </c>
      <c r="F154" s="26">
        <v>29.55</v>
      </c>
      <c r="G154" s="27">
        <f ca="1">IFERROR((Table1[[#This Row],[Plan]]/Table1[[#This Row],[Hours Used]])/(Table1[[#This Row],[SOC (TPD)]]/24),"")</f>
        <v>0.84183673469387743</v>
      </c>
      <c r="H154" s="27">
        <f ca="1">IFERROR((Table1[[#This Row],[Volume Delivered (T)]]/Table1[[#This Row],[Hours Used]])/(Table1[[#This Row],[SOC (TPD)]]/24),"")</f>
        <v>0.75382653061224481</v>
      </c>
      <c r="I154" s="28"/>
      <c r="J154" s="28"/>
      <c r="K154" s="28"/>
      <c r="L154" s="25">
        <f>0.34+1.6+0.16+0.35-0.25-0.68</f>
        <v>1.52</v>
      </c>
      <c r="M154" s="29">
        <v>4.1000000000000002E-2</v>
      </c>
      <c r="N154" s="84">
        <v>6</v>
      </c>
      <c r="O154" s="25"/>
      <c r="P154" s="25"/>
      <c r="Q154" s="70"/>
      <c r="R154" s="71"/>
      <c r="S154" s="30">
        <f>IF(Table1[[#This Row],[SKU]]="",0,24-Table1[[#This Row],[Legal Non-Operating Time]]-Table1[[#This Row],[No Demand Time]]-Table1[[#This Row],[Force Majeure]])</f>
        <v>24</v>
      </c>
      <c r="T154" s="26">
        <v>1</v>
      </c>
      <c r="U154" s="26">
        <v>1</v>
      </c>
      <c r="V154" s="26"/>
      <c r="W154" s="26"/>
      <c r="X154" s="26"/>
      <c r="Y154" s="26"/>
      <c r="Z154" s="26"/>
      <c r="AA154" s="30">
        <f>Table1[[#This Row],[Hours Used]]-SUM(Table1[[#This Row],[Planned Maintenance]:[Start and Finish Production]])</f>
        <v>22</v>
      </c>
      <c r="AB154" s="26">
        <v>0.5</v>
      </c>
      <c r="AC154" s="26">
        <v>0.5</v>
      </c>
      <c r="AD154" s="26">
        <v>0.5</v>
      </c>
      <c r="AE154" s="26">
        <v>0.25</v>
      </c>
      <c r="AF154" s="26"/>
      <c r="AG154" s="26"/>
      <c r="AH154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1.2275510204081677</v>
      </c>
      <c r="AI154" s="24">
        <f ca="1">IFERROR(IF(Table1[[#This Row],[SKU]]="",0,Table1[[#This Row],[Quality Loss (T)]]/(Table1[[#This Row],[SOC (TPD)]]/24)),"")</f>
        <v>0.93061224489795913</v>
      </c>
      <c r="AJ154" s="31">
        <f ca="1">IFERROR(IF(Table1[[#This Row],[SKU]]="",0,Table1[[#This Row],[Volume Delivered (T)]]/(Table1[[#This Row],[SOC (TPD)]]/24)),"")</f>
        <v>18.091836734693874</v>
      </c>
      <c r="AK154" s="31">
        <f ca="1">IFERROR(Table1[[#This Row],[Operating Time]]/Table1[[#This Row],[PRODUCTION HOURS]],"")</f>
        <v>0.82235621521335789</v>
      </c>
      <c r="AL154" s="32">
        <v>85</v>
      </c>
      <c r="AM154" s="32" t="s">
        <v>107</v>
      </c>
      <c r="AN154" s="32" t="s">
        <v>107</v>
      </c>
      <c r="AO154" s="32">
        <v>1</v>
      </c>
      <c r="AP154" s="32">
        <v>1</v>
      </c>
      <c r="AQ154" s="32"/>
      <c r="AR154" s="32" t="str">
        <f>IFERROR(SUMIFS(#REF!,#REF!,'Data Sheet'!A:A,#REF!,"Samridhi Perk Line")/SUMIFS(#REF!,#REF!,'Data Sheet'!A:A,#REF!,"Samridhi Perk Line"),"")</f>
        <v/>
      </c>
      <c r="AS154" s="32"/>
      <c r="AT154" s="32"/>
      <c r="AU154" s="211">
        <f>IFERROR(VLOOKUP(Table1[[#This Row],[Date]],'Overweight Data'!A152:G1247,6,FALSE),"")</f>
        <v>2.1243093922651928E-2</v>
      </c>
      <c r="AV154" s="221">
        <f ca="1">IFERROR(
   IF(
      OR(Table1[[#This Row],[Operating Time]]=0, (Table1[[#This Row],[Operating Time]]/IF(AC154&lt;=1,AC154+1,AC154))*60=0),
      1,
      ((Table1[[#This Row],[Operating Time]])/IF(AC154&lt;=1,AC154+1,AC154))*60
   ),
"_")</f>
        <v>723.67346938775506</v>
      </c>
      <c r="AW154" s="221">
        <f>COUNTIFS('Downtime Data'!A:A,Table1[[#This Row],[Date]])</f>
        <v>2</v>
      </c>
      <c r="AX154" s="219">
        <f>IFERROR((SUM(Table1[[#This Row],[Minor Stoppages]:[Material Shortages]])/Table1[[#This Row],['# Stops]])*60,"")</f>
        <v>52.5</v>
      </c>
      <c r="AY154" s="219"/>
      <c r="AZ154" s="33">
        <v>46168</v>
      </c>
    </row>
    <row r="155" spans="1:52" ht="20.149999999999999" customHeight="1" x14ac:dyDescent="0.35">
      <c r="A155" s="21">
        <v>46172</v>
      </c>
      <c r="B155" s="22" t="str">
        <f t="shared" si="3"/>
        <v>Saturday</v>
      </c>
      <c r="C155" s="23" t="s">
        <v>108</v>
      </c>
      <c r="D155" s="24" cm="1">
        <f t="array" aca="1" ref="D155" ca="1">IFERROR(INDIRECT(C155),"")</f>
        <v>34.200000000000003</v>
      </c>
      <c r="E155" s="25">
        <v>33</v>
      </c>
      <c r="F155" s="26">
        <v>30.47</v>
      </c>
      <c r="G155" s="27">
        <f ca="1">IFERROR((Table1[[#This Row],[Plan]]/Table1[[#This Row],[Hours Used]])/(Table1[[#This Row],[SOC (TPD)]]/24),"")</f>
        <v>0.96491228070175439</v>
      </c>
      <c r="H155" s="27">
        <f ca="1">IFERROR((Table1[[#This Row],[Volume Delivered (T)]]/Table1[[#This Row],[Hours Used]])/(Table1[[#This Row],[SOC (TPD)]]/24),"")</f>
        <v>0.8909356725146198</v>
      </c>
      <c r="I155" s="28"/>
      <c r="J155" s="28"/>
      <c r="K155" s="28"/>
      <c r="L155" s="25">
        <f>0.44+1.22+0.16+0.42-0.31-0.56</f>
        <v>1.3699999999999997</v>
      </c>
      <c r="M155" s="29">
        <v>3.7999999999999999E-2</v>
      </c>
      <c r="N155" s="84">
        <v>14</v>
      </c>
      <c r="O155" s="25"/>
      <c r="P155" s="25"/>
      <c r="Q155" s="70"/>
      <c r="R155" s="71"/>
      <c r="S155" s="30">
        <f>IF(Table1[[#This Row],[SKU]]="",0,24-Table1[[#This Row],[Legal Non-Operating Time]]-Table1[[#This Row],[No Demand Time]]-Table1[[#This Row],[Force Majeure]])</f>
        <v>24</v>
      </c>
      <c r="T155" s="26"/>
      <c r="U155" s="26"/>
      <c r="V155" s="26"/>
      <c r="W155" s="26"/>
      <c r="X155" s="26"/>
      <c r="Y155" s="26"/>
      <c r="Z155" s="26"/>
      <c r="AA155" s="30">
        <f>Table1[[#This Row],[Hours Used]]-SUM(Table1[[#This Row],[Planned Maintenance]:[Start and Finish Production]])</f>
        <v>24</v>
      </c>
      <c r="AB155" s="26"/>
      <c r="AC155" s="26">
        <v>1.7</v>
      </c>
      <c r="AD155" s="26"/>
      <c r="AE155" s="26"/>
      <c r="AF155" s="26"/>
      <c r="AG155" s="26"/>
      <c r="AH155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-4.3859649122804711E-2</v>
      </c>
      <c r="AI155" s="24">
        <f ca="1">IFERROR(IF(Table1[[#This Row],[SKU]]="",0,Table1[[#This Row],[Quality Loss (T)]]/(Table1[[#This Row],[SOC (TPD)]]/24)),"")</f>
        <v>0.96140350877192959</v>
      </c>
      <c r="AJ155" s="31">
        <f ca="1">IFERROR(IF(Table1[[#This Row],[SKU]]="",0,Table1[[#This Row],[Volume Delivered (T)]]/(Table1[[#This Row],[SOC (TPD)]]/24)),"")</f>
        <v>21.382456140350875</v>
      </c>
      <c r="AK155" s="31">
        <f ca="1">IFERROR(Table1[[#This Row],[Operating Time]]/Table1[[#This Row],[PRODUCTION HOURS]],"")</f>
        <v>0.8909356725146198</v>
      </c>
      <c r="AL155" s="32">
        <v>85</v>
      </c>
      <c r="AM155" s="32" t="s">
        <v>107</v>
      </c>
      <c r="AN155" s="32" t="s">
        <v>107</v>
      </c>
      <c r="AO155" s="32">
        <v>1</v>
      </c>
      <c r="AP155" s="32">
        <v>0</v>
      </c>
      <c r="AQ155" s="32"/>
      <c r="AR155" s="32" t="str">
        <f>IFERROR(SUMIFS(#REF!,#REF!,'Data Sheet'!A:A,#REF!,"Samridhi Perk Line")/SUMIFS(#REF!,#REF!,'Data Sheet'!A:A,#REF!,"Samridhi Perk Line"),"")</f>
        <v/>
      </c>
      <c r="AS155" s="32"/>
      <c r="AT155" s="32"/>
      <c r="AU155" s="211">
        <f>IFERROR(VLOOKUP(Table1[[#This Row],[Date]],'Overweight Data'!A153:G1248,6,FALSE),"")</f>
        <v>2.5593922651933741E-2</v>
      </c>
      <c r="AV155" s="221">
        <f ca="1">IFERROR(
   IF(
      OR(Table1[[#This Row],[Operating Time]]=0, (Table1[[#This Row],[Operating Time]]/IF(AC155&lt;=1,AC155+1,AC155))*60=0),
      1,
      ((Table1[[#This Row],[Operating Time]])/IF(AC155&lt;=1,AC155+1,AC155))*60
   ),
"_")</f>
        <v>754.67492260061908</v>
      </c>
      <c r="AW155" s="221">
        <f>COUNTIFS('Downtime Data'!A:A,Table1[[#This Row],[Date]])</f>
        <v>1</v>
      </c>
      <c r="AX155" s="219">
        <f>IFERROR((SUM(Table1[[#This Row],[Minor Stoppages]:[Material Shortages]])/Table1[[#This Row],['# Stops]])*60,"")</f>
        <v>102</v>
      </c>
      <c r="AY155" s="219"/>
      <c r="AZ155" s="33">
        <v>46168</v>
      </c>
    </row>
    <row r="156" spans="1:52" ht="20.149999999999999" customHeight="1" x14ac:dyDescent="0.35">
      <c r="A156" s="21">
        <v>46173</v>
      </c>
      <c r="B156" s="22" t="str">
        <f t="shared" si="3"/>
        <v>Sunday</v>
      </c>
      <c r="C156" s="23" t="s">
        <v>108</v>
      </c>
      <c r="D156" s="24" cm="1">
        <f t="array" aca="1" ref="D156" ca="1">IFERROR(INDIRECT(C156),"")</f>
        <v>34.200000000000003</v>
      </c>
      <c r="E156" s="25">
        <v>18</v>
      </c>
      <c r="F156" s="26">
        <v>25.3</v>
      </c>
      <c r="G156" s="27">
        <f ca="1">IFERROR((Table1[[#This Row],[Plan]]/Table1[[#This Row],[Hours Used]])/(Table1[[#This Row],[SOC (TPD)]]/24),"")</f>
        <v>0.52631578947368418</v>
      </c>
      <c r="H156" s="27">
        <f ca="1">IFERROR((Table1[[#This Row],[Volume Delivered (T)]]/Table1[[#This Row],[Hours Used]])/(Table1[[#This Row],[SOC (TPD)]]/24),"")</f>
        <v>0.73976608187134507</v>
      </c>
      <c r="I156" s="28"/>
      <c r="J156" s="28"/>
      <c r="K156" s="28"/>
      <c r="L156" s="25">
        <f>0.49+1.43+0.16+0.65-0.25-0.58</f>
        <v>1.9</v>
      </c>
      <c r="M156" s="29">
        <v>3.7999999999999999E-2</v>
      </c>
      <c r="N156" s="84">
        <v>14</v>
      </c>
      <c r="O156" s="25"/>
      <c r="P156" s="25"/>
      <c r="Q156" s="70"/>
      <c r="R156" s="71"/>
      <c r="S156" s="30">
        <f>IF(Table1[[#This Row],[SKU]]="",0,24-Table1[[#This Row],[Legal Non-Operating Time]]-Table1[[#This Row],[No Demand Time]]-Table1[[#This Row],[Force Majeure]])</f>
        <v>24</v>
      </c>
      <c r="T156" s="26"/>
      <c r="U156" s="26">
        <v>1</v>
      </c>
      <c r="V156" s="26">
        <v>2</v>
      </c>
      <c r="W156" s="26"/>
      <c r="X156" s="26"/>
      <c r="Y156" s="26"/>
      <c r="Z156" s="26"/>
      <c r="AA156" s="30">
        <f>Table1[[#This Row],[Hours Used]]-SUM(Table1[[#This Row],[Planned Maintenance]:[Start and Finish Production]])</f>
        <v>21</v>
      </c>
      <c r="AB156" s="26"/>
      <c r="AC156" s="26">
        <v>2</v>
      </c>
      <c r="AD156" s="26"/>
      <c r="AE156" s="26"/>
      <c r="AF156" s="26"/>
      <c r="AG156" s="26"/>
      <c r="AH156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-8.7719298245612976E-2</v>
      </c>
      <c r="AI156" s="24">
        <f ca="1">IFERROR(IF(Table1[[#This Row],[SKU]]="",0,Table1[[#This Row],[Quality Loss (T)]]/(Table1[[#This Row],[SOC (TPD)]]/24)),"")</f>
        <v>1.3333333333333333</v>
      </c>
      <c r="AJ156" s="31">
        <f ca="1">IFERROR(IF(Table1[[#This Row],[SKU]]="",0,Table1[[#This Row],[Volume Delivered (T)]]/(Table1[[#This Row],[SOC (TPD)]]/24)),"")</f>
        <v>17.754385964912281</v>
      </c>
      <c r="AK156" s="31">
        <f ca="1">IFERROR(Table1[[#This Row],[Operating Time]]/Table1[[#This Row],[PRODUCTION HOURS]],"")</f>
        <v>0.84544695071010856</v>
      </c>
      <c r="AL156" s="32">
        <v>85</v>
      </c>
      <c r="AM156" s="32" t="s">
        <v>107</v>
      </c>
      <c r="AN156" s="32" t="s">
        <v>107</v>
      </c>
      <c r="AO156" s="32">
        <v>26</v>
      </c>
      <c r="AP156" s="32">
        <v>26</v>
      </c>
      <c r="AQ156" s="32"/>
      <c r="AR156" s="32" t="str">
        <f>IFERROR(SUMIFS(#REF!,#REF!,'Data Sheet'!A:A,#REF!,"Samridhi Perk Line")/SUMIFS(#REF!,#REF!,'Data Sheet'!A:A,#REF!,"Samridhi Perk Line"),"")</f>
        <v/>
      </c>
      <c r="AS156" s="32"/>
      <c r="AT156" s="32"/>
      <c r="AU156" s="211" t="str">
        <f>IFERROR(VLOOKUP(Table1[[#This Row],[Date]],'Overweight Data'!A154:G1249,6,FALSE),"")</f>
        <v/>
      </c>
      <c r="AV156" s="221">
        <f ca="1">IFERROR(
   IF(
      OR(Table1[[#This Row],[Operating Time]]=0, (Table1[[#This Row],[Operating Time]]/IF(AC156&lt;=1,AC156+1,AC156))*60=0),
      1,
      ((Table1[[#This Row],[Operating Time]])/IF(AC156&lt;=1,AC156+1,AC156))*60
   ),
"_")</f>
        <v>532.63157894736844</v>
      </c>
      <c r="AW156" s="221">
        <f>COUNTIFS('Downtime Data'!A:A,Table1[[#This Row],[Date]])</f>
        <v>0</v>
      </c>
      <c r="AX156" s="219" t="str">
        <f>IFERROR((SUM(Table1[[#This Row],[Minor Stoppages]:[Material Shortages]])/Table1[[#This Row],['# Stops]])*60,"")</f>
        <v/>
      </c>
      <c r="AY156" s="219"/>
      <c r="AZ156" s="33">
        <v>46168</v>
      </c>
    </row>
    <row r="157" spans="1:52" ht="20.149999999999999" customHeight="1" x14ac:dyDescent="0.35">
      <c r="A157" s="21">
        <v>46174</v>
      </c>
      <c r="B157" s="22" t="str">
        <f t="shared" si="3"/>
        <v>Monday</v>
      </c>
      <c r="C157" s="23" t="s">
        <v>111</v>
      </c>
      <c r="D157" s="24" cm="1">
        <f t="array" aca="1" ref="D157" ca="1">IFERROR(INDIRECT(C157),"")</f>
        <v>24.5</v>
      </c>
      <c r="E157" s="25">
        <v>4</v>
      </c>
      <c r="F157" s="26"/>
      <c r="G157" s="27">
        <f ca="1">IFERROR((Table1[[#This Row],[Plan]]/Table1[[#This Row],[Hours Used]])/(Table1[[#This Row],[SOC (TPD)]]/24),"")</f>
        <v>0.16326530612244899</v>
      </c>
      <c r="H157" s="27">
        <f ca="1">IFERROR((Table1[[#This Row],[Volume Delivered (T)]]/Table1[[#This Row],[Hours Used]])/(Table1[[#This Row],[SOC (TPD)]]/24),"")</f>
        <v>0</v>
      </c>
      <c r="I157" s="28"/>
      <c r="J157" s="28"/>
      <c r="K157" s="28"/>
      <c r="L157" s="25"/>
      <c r="M157" s="29"/>
      <c r="N157" s="84"/>
      <c r="O157" s="25"/>
      <c r="P157" s="25"/>
      <c r="Q157" s="70"/>
      <c r="R157" s="71"/>
      <c r="S157" s="30">
        <f>IF(Table1[[#This Row],[SKU]]="",0,24-Table1[[#This Row],[Legal Non-Operating Time]]-Table1[[#This Row],[No Demand Time]]-Table1[[#This Row],[Force Majeure]])</f>
        <v>24</v>
      </c>
      <c r="T157" s="26"/>
      <c r="U157" s="26"/>
      <c r="V157" s="26">
        <v>24</v>
      </c>
      <c r="W157" s="26"/>
      <c r="X157" s="26"/>
      <c r="Y157" s="26"/>
      <c r="Z157" s="26"/>
      <c r="AA157" s="30">
        <f>Table1[[#This Row],[Hours Used]]-SUM(Table1[[#This Row],[Planned Maintenance]:[Start and Finish Production]])</f>
        <v>0</v>
      </c>
      <c r="AB157" s="26"/>
      <c r="AC157" s="26"/>
      <c r="AD157" s="26"/>
      <c r="AE157" s="26"/>
      <c r="AF157" s="26"/>
      <c r="AG157" s="26"/>
      <c r="AH157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157" s="24">
        <f ca="1">IFERROR(IF(Table1[[#This Row],[SKU]]="",0,Table1[[#This Row],[Quality Loss (T)]]/(Table1[[#This Row],[SOC (TPD)]]/24)),"")</f>
        <v>0</v>
      </c>
      <c r="AJ157" s="31">
        <f ca="1">IFERROR(IF(Table1[[#This Row],[SKU]]="",0,Table1[[#This Row],[Volume Delivered (T)]]/(Table1[[#This Row],[SOC (TPD)]]/24)),"")</f>
        <v>0</v>
      </c>
      <c r="AK157" s="31" t="str">
        <f ca="1">IFERROR(Table1[[#This Row],[Operating Time]]/Table1[[#This Row],[PRODUCTION HOURS]],"")</f>
        <v/>
      </c>
      <c r="AL157" s="32">
        <v>54</v>
      </c>
      <c r="AM157" s="32"/>
      <c r="AN157" s="32"/>
      <c r="AO157" s="32">
        <v>25</v>
      </c>
      <c r="AP157" s="32">
        <v>25</v>
      </c>
      <c r="AQ157" s="32"/>
      <c r="AR157" s="32" t="str">
        <f>IFERROR(SUMIFS(#REF!,#REF!,'Data Sheet'!A:A,#REF!,"Samridhi Perk Line")/SUMIFS(#REF!,#REF!,'Data Sheet'!A:A,#REF!,"Samridhi Perk Line"),"")</f>
        <v/>
      </c>
      <c r="AS157" s="32"/>
      <c r="AT157" s="32"/>
      <c r="AU157" s="211" t="str">
        <f>IFERROR(VLOOKUP(Table1[[#This Row],[Date]],'Overweight Data'!A155:G1250,6,FALSE),"")</f>
        <v/>
      </c>
      <c r="AV157" s="221">
        <f ca="1">IFERROR(
   IF(
      OR(Table1[[#This Row],[Operating Time]]=0, (Table1[[#This Row],[Operating Time]]/IF(AC157&lt;=1,AC157+1,AC157))*60=0),
      1,
      ((Table1[[#This Row],[Operating Time]])/IF(AC157&lt;=1,AC157+1,AC157))*60
   ),
"_")</f>
        <v>1</v>
      </c>
      <c r="AW157" s="221">
        <f>COUNTIFS('Downtime Data'!A:A,Table1[[#This Row],[Date]])</f>
        <v>0</v>
      </c>
      <c r="AX157" s="219" t="str">
        <f>IFERROR((SUM(Table1[[#This Row],[Minor Stoppages]:[Material Shortages]])/Table1[[#This Row],['# Stops]])*60,"")</f>
        <v/>
      </c>
      <c r="AY157" s="219"/>
      <c r="AZ157" s="33">
        <v>46199</v>
      </c>
    </row>
    <row r="158" spans="1:52" ht="20.149999999999999" customHeight="1" x14ac:dyDescent="0.35">
      <c r="A158" s="21">
        <v>46175</v>
      </c>
      <c r="B158" s="22" t="str">
        <f t="shared" si="3"/>
        <v>Tuesday</v>
      </c>
      <c r="C158" s="23" t="s">
        <v>111</v>
      </c>
      <c r="D158" s="24" cm="1">
        <f t="array" aca="1" ref="D158" ca="1">IFERROR(INDIRECT(C158),"")</f>
        <v>24.5</v>
      </c>
      <c r="E158" s="25">
        <v>4</v>
      </c>
      <c r="F158" s="26"/>
      <c r="G158" s="27">
        <f ca="1">IFERROR((Table1[[#This Row],[Plan]]/Table1[[#This Row],[Hours Used]])/(Table1[[#This Row],[SOC (TPD)]]/24),"")</f>
        <v>0.16326530612244899</v>
      </c>
      <c r="H158" s="27">
        <f ca="1">IFERROR((Table1[[#This Row],[Volume Delivered (T)]]/Table1[[#This Row],[Hours Used]])/(Table1[[#This Row],[SOC (TPD)]]/24),"")</f>
        <v>0</v>
      </c>
      <c r="I158" s="28"/>
      <c r="J158" s="28"/>
      <c r="K158" s="28"/>
      <c r="L158" s="25"/>
      <c r="M158" s="29"/>
      <c r="N158" s="84"/>
      <c r="O158" s="25"/>
      <c r="P158" s="25"/>
      <c r="Q158" s="70"/>
      <c r="R158" s="71"/>
      <c r="S158" s="30">
        <f>IF(Table1[[#This Row],[SKU]]="",0,24-Table1[[#This Row],[Legal Non-Operating Time]]-Table1[[#This Row],[No Demand Time]]-Table1[[#This Row],[Force Majeure]])</f>
        <v>24</v>
      </c>
      <c r="T158" s="26"/>
      <c r="U158" s="26"/>
      <c r="V158" s="26">
        <v>24</v>
      </c>
      <c r="W158" s="26"/>
      <c r="X158" s="26"/>
      <c r="Y158" s="26"/>
      <c r="Z158" s="26"/>
      <c r="AA158" s="30">
        <f>Table1[[#This Row],[Hours Used]]-SUM(Table1[[#This Row],[Planned Maintenance]:[Start and Finish Production]])</f>
        <v>0</v>
      </c>
      <c r="AB158" s="26"/>
      <c r="AC158" s="26"/>
      <c r="AD158" s="26"/>
      <c r="AE158" s="26"/>
      <c r="AF158" s="26"/>
      <c r="AG158" s="26"/>
      <c r="AH158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158" s="24">
        <f ca="1">IFERROR(IF(Table1[[#This Row],[SKU]]="",0,Table1[[#This Row],[Quality Loss (T)]]/(Table1[[#This Row],[SOC (TPD)]]/24)),"")</f>
        <v>0</v>
      </c>
      <c r="AJ158" s="31">
        <f ca="1">IFERROR(IF(Table1[[#This Row],[SKU]]="",0,Table1[[#This Row],[Volume Delivered (T)]]/(Table1[[#This Row],[SOC (TPD)]]/24)),"")</f>
        <v>0</v>
      </c>
      <c r="AK158" s="31" t="str">
        <f ca="1">IFERROR(Table1[[#This Row],[Operating Time]]/Table1[[#This Row],[PRODUCTION HOURS]],"")</f>
        <v/>
      </c>
      <c r="AL158" s="32">
        <v>51</v>
      </c>
      <c r="AM158" s="32"/>
      <c r="AN158" s="32"/>
      <c r="AO158" s="32">
        <v>2</v>
      </c>
      <c r="AP158" s="32">
        <v>0</v>
      </c>
      <c r="AQ158" s="32"/>
      <c r="AR158" s="32" t="str">
        <f>IFERROR(SUMIFS(#REF!,#REF!,'Data Sheet'!A:A,#REF!,"Samridhi Perk Line")/SUMIFS(#REF!,#REF!,'Data Sheet'!A:A,#REF!,"Samridhi Perk Line"),"")</f>
        <v/>
      </c>
      <c r="AS158" s="32"/>
      <c r="AT158" s="32"/>
      <c r="AU158" s="211" t="str">
        <f>IFERROR(VLOOKUP(Table1[[#This Row],[Date]],'Overweight Data'!A156:G1251,6,FALSE),"")</f>
        <v/>
      </c>
      <c r="AV158" s="221">
        <f ca="1">IFERROR(
   IF(
      OR(Table1[[#This Row],[Operating Time]]=0, (Table1[[#This Row],[Operating Time]]/IF(AC158&lt;=1,AC158+1,AC158))*60=0),
      1,
      ((Table1[[#This Row],[Operating Time]])/IF(AC158&lt;=1,AC158+1,AC158))*60
   ),
"_")</f>
        <v>1</v>
      </c>
      <c r="AW158" s="221">
        <f>COUNTIFS('Downtime Data'!A:A,Table1[[#This Row],[Date]])</f>
        <v>0</v>
      </c>
      <c r="AX158" s="219" t="str">
        <f>IFERROR((SUM(Table1[[#This Row],[Minor Stoppages]:[Material Shortages]])/Table1[[#This Row],['# Stops]])*60,"")</f>
        <v/>
      </c>
      <c r="AY158" s="219"/>
      <c r="AZ158" s="33">
        <v>46199</v>
      </c>
    </row>
    <row r="159" spans="1:52" ht="20.149999999999999" customHeight="1" x14ac:dyDescent="0.35">
      <c r="A159" s="21">
        <v>46176</v>
      </c>
      <c r="B159" s="22" t="str">
        <f t="shared" si="3"/>
        <v>Wednesday</v>
      </c>
      <c r="C159" s="23" t="s">
        <v>111</v>
      </c>
      <c r="D159" s="24" cm="1">
        <f t="array" aca="1" ref="D159" ca="1">IFERROR(INDIRECT(C159),"")</f>
        <v>24.5</v>
      </c>
      <c r="E159" s="25">
        <v>3</v>
      </c>
      <c r="F159" s="26"/>
      <c r="G159" s="27">
        <f ca="1">IFERROR((Table1[[#This Row],[Plan]]/Table1[[#This Row],[Hours Used]])/(Table1[[#This Row],[SOC (TPD)]]/24),"")</f>
        <v>0.12244897959183675</v>
      </c>
      <c r="H159" s="27">
        <f ca="1">IFERROR((Table1[[#This Row],[Volume Delivered (T)]]/Table1[[#This Row],[Hours Used]])/(Table1[[#This Row],[SOC (TPD)]]/24),"")</f>
        <v>0</v>
      </c>
      <c r="I159" s="28"/>
      <c r="J159" s="28"/>
      <c r="K159" s="28"/>
      <c r="L159" s="25"/>
      <c r="M159" s="29"/>
      <c r="N159" s="84"/>
      <c r="O159" s="25"/>
      <c r="P159" s="25"/>
      <c r="Q159" s="70"/>
      <c r="R159" s="71"/>
      <c r="S159" s="30">
        <f>IF(Table1[[#This Row],[SKU]]="",0,24-Table1[[#This Row],[Legal Non-Operating Time]]-Table1[[#This Row],[No Demand Time]]-Table1[[#This Row],[Force Majeure]])</f>
        <v>24</v>
      </c>
      <c r="T159" s="26"/>
      <c r="U159" s="26"/>
      <c r="V159" s="26">
        <v>24</v>
      </c>
      <c r="W159" s="26"/>
      <c r="X159" s="26"/>
      <c r="Y159" s="26"/>
      <c r="Z159" s="26"/>
      <c r="AA159" s="30">
        <f>Table1[[#This Row],[Hours Used]]-SUM(Table1[[#This Row],[Planned Maintenance]:[Start and Finish Production]])</f>
        <v>0</v>
      </c>
      <c r="AB159" s="26"/>
      <c r="AC159" s="26"/>
      <c r="AD159" s="26"/>
      <c r="AE159" s="26"/>
      <c r="AF159" s="26"/>
      <c r="AG159" s="26"/>
      <c r="AH159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159" s="24">
        <f ca="1">IFERROR(IF(Table1[[#This Row],[SKU]]="",0,Table1[[#This Row],[Quality Loss (T)]]/(Table1[[#This Row],[SOC (TPD)]]/24)),"")</f>
        <v>0</v>
      </c>
      <c r="AJ159" s="31">
        <f ca="1">IFERROR(IF(Table1[[#This Row],[SKU]]="",0,Table1[[#This Row],[Volume Delivered (T)]]/(Table1[[#This Row],[SOC (TPD)]]/24)),"")</f>
        <v>0</v>
      </c>
      <c r="AK159" s="31" t="str">
        <f ca="1">IFERROR(Table1[[#This Row],[Operating Time]]/Table1[[#This Row],[PRODUCTION HOURS]],"")</f>
        <v/>
      </c>
      <c r="AL159" s="32">
        <v>49</v>
      </c>
      <c r="AM159" s="32"/>
      <c r="AN159" s="32"/>
      <c r="AO159" s="32">
        <v>4</v>
      </c>
      <c r="AP159" s="32">
        <v>4</v>
      </c>
      <c r="AQ159" s="32"/>
      <c r="AR159" s="32" t="str">
        <f>IFERROR(SUMIFS(#REF!,#REF!,'Data Sheet'!A:A,#REF!,"Samridhi Perk Line")/SUMIFS(#REF!,#REF!,'Data Sheet'!A:A,#REF!,"Samridhi Perk Line"),"")</f>
        <v/>
      </c>
      <c r="AS159" s="32"/>
      <c r="AT159" s="32"/>
      <c r="AU159" s="211" t="str">
        <f>IFERROR(VLOOKUP(Table1[[#This Row],[Date]],'Overweight Data'!A157:G1252,6,FALSE),"")</f>
        <v/>
      </c>
      <c r="AV159" s="221">
        <f ca="1">IFERROR(
   IF(
      OR(Table1[[#This Row],[Operating Time]]=0, (Table1[[#This Row],[Operating Time]]/IF(AC159&lt;=1,AC159+1,AC159))*60=0),
      1,
      ((Table1[[#This Row],[Operating Time]])/IF(AC159&lt;=1,AC159+1,AC159))*60
   ),
"_")</f>
        <v>1</v>
      </c>
      <c r="AW159" s="221">
        <f>COUNTIFS('Downtime Data'!A:A,Table1[[#This Row],[Date]])</f>
        <v>0</v>
      </c>
      <c r="AX159" s="219" t="str">
        <f>IFERROR((SUM(Table1[[#This Row],[Minor Stoppages]:[Material Shortages]])/Table1[[#This Row],['# Stops]])*60,"")</f>
        <v/>
      </c>
      <c r="AY159" s="219"/>
      <c r="AZ159" s="33">
        <v>46199</v>
      </c>
    </row>
    <row r="160" spans="1:52" ht="20.149999999999999" customHeight="1" x14ac:dyDescent="0.35">
      <c r="A160" s="21">
        <v>46177</v>
      </c>
      <c r="B160" s="22" t="str">
        <f t="shared" si="3"/>
        <v>Thursday</v>
      </c>
      <c r="C160" s="23" t="s">
        <v>111</v>
      </c>
      <c r="D160" s="24" cm="1">
        <f t="array" aca="1" ref="D160" ca="1">IFERROR(INDIRECT(C160),"")</f>
        <v>24.5</v>
      </c>
      <c r="E160" s="25">
        <v>0</v>
      </c>
      <c r="F160" s="26"/>
      <c r="G160" s="27">
        <f ca="1">IFERROR((Table1[[#This Row],[Plan]]/Table1[[#This Row],[Hours Used]])/(Table1[[#This Row],[SOC (TPD)]]/24),"")</f>
        <v>0</v>
      </c>
      <c r="H160" s="27">
        <f ca="1">IFERROR((Table1[[#This Row],[Volume Delivered (T)]]/Table1[[#This Row],[Hours Used]])/(Table1[[#This Row],[SOC (TPD)]]/24),"")</f>
        <v>0</v>
      </c>
      <c r="I160" s="28"/>
      <c r="J160" s="28"/>
      <c r="K160" s="28"/>
      <c r="L160" s="25"/>
      <c r="M160" s="29"/>
      <c r="N160" s="84"/>
      <c r="O160" s="25"/>
      <c r="P160" s="25"/>
      <c r="Q160" s="70"/>
      <c r="R160" s="71"/>
      <c r="S160" s="30">
        <f>IF(Table1[[#This Row],[SKU]]="",0,24-Table1[[#This Row],[Legal Non-Operating Time]]-Table1[[#This Row],[No Demand Time]]-Table1[[#This Row],[Force Majeure]])</f>
        <v>24</v>
      </c>
      <c r="T160" s="26"/>
      <c r="U160" s="26"/>
      <c r="V160" s="26">
        <v>24</v>
      </c>
      <c r="W160" s="26"/>
      <c r="X160" s="26"/>
      <c r="Y160" s="26"/>
      <c r="Z160" s="26"/>
      <c r="AA160" s="30">
        <f>Table1[[#This Row],[Hours Used]]-SUM(Table1[[#This Row],[Planned Maintenance]:[Start and Finish Production]])</f>
        <v>0</v>
      </c>
      <c r="AB160" s="26"/>
      <c r="AC160" s="26"/>
      <c r="AD160" s="26"/>
      <c r="AE160" s="26"/>
      <c r="AF160" s="26"/>
      <c r="AG160" s="26"/>
      <c r="AH160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160" s="24">
        <f ca="1">IFERROR(IF(Table1[[#This Row],[SKU]]="",0,Table1[[#This Row],[Quality Loss (T)]]/(Table1[[#This Row],[SOC (TPD)]]/24)),"")</f>
        <v>0</v>
      </c>
      <c r="AJ160" s="31">
        <f ca="1">IFERROR(IF(Table1[[#This Row],[SKU]]="",0,Table1[[#This Row],[Volume Delivered (T)]]/(Table1[[#This Row],[SOC (TPD)]]/24)),"")</f>
        <v>0</v>
      </c>
      <c r="AK160" s="31" t="str">
        <f ca="1">IFERROR(Table1[[#This Row],[Operating Time]]/Table1[[#This Row],[PRODUCTION HOURS]],"")</f>
        <v/>
      </c>
      <c r="AL160" s="32">
        <v>53</v>
      </c>
      <c r="AM160" s="32"/>
      <c r="AN160" s="32"/>
      <c r="AO160" s="32">
        <v>0</v>
      </c>
      <c r="AP160" s="32">
        <v>0</v>
      </c>
      <c r="AQ160" s="32"/>
      <c r="AR160" s="32" t="str">
        <f>IFERROR(SUMIFS(#REF!,#REF!,'Data Sheet'!A:A,#REF!,"Samridhi Perk Line")/SUMIFS(#REF!,#REF!,'Data Sheet'!A:A,#REF!,"Samridhi Perk Line"),"")</f>
        <v/>
      </c>
      <c r="AS160" s="32"/>
      <c r="AT160" s="32"/>
      <c r="AU160" s="211" t="str">
        <f>IFERROR(VLOOKUP(Table1[[#This Row],[Date]],'Overweight Data'!A158:G1253,6,FALSE),"")</f>
        <v/>
      </c>
      <c r="AV160" s="221">
        <f ca="1">IFERROR(
   IF(
      OR(Table1[[#This Row],[Operating Time]]=0, (Table1[[#This Row],[Operating Time]]/IF(AC160&lt;=1,AC160+1,AC160))*60=0),
      1,
      ((Table1[[#This Row],[Operating Time]])/IF(AC160&lt;=1,AC160+1,AC160))*60
   ),
"_")</f>
        <v>1</v>
      </c>
      <c r="AW160" s="221">
        <f>COUNTIFS('Downtime Data'!A:A,Table1[[#This Row],[Date]])</f>
        <v>0</v>
      </c>
      <c r="AX160" s="219" t="str">
        <f>IFERROR((SUM(Table1[[#This Row],[Minor Stoppages]:[Material Shortages]])/Table1[[#This Row],['# Stops]])*60,"")</f>
        <v/>
      </c>
      <c r="AY160" s="219"/>
      <c r="AZ160" s="33">
        <v>46199</v>
      </c>
    </row>
    <row r="161" spans="1:52" ht="20.149999999999999" customHeight="1" x14ac:dyDescent="0.35">
      <c r="A161" s="21">
        <v>46178</v>
      </c>
      <c r="B161" s="22" t="str">
        <f t="shared" si="3"/>
        <v>Friday</v>
      </c>
      <c r="C161" s="23" t="s">
        <v>111</v>
      </c>
      <c r="D161" s="24" cm="1">
        <f t="array" aca="1" ref="D161" ca="1">IFERROR(INDIRECT(C161),"")</f>
        <v>24.5</v>
      </c>
      <c r="E161" s="25">
        <v>11.5</v>
      </c>
      <c r="F161" s="26">
        <f>6.7+2.2+3.1+2.7+3.3</f>
        <v>18</v>
      </c>
      <c r="G161" s="27">
        <f ca="1">IFERROR((Table1[[#This Row],[Plan]]/Table1[[#This Row],[Hours Used]])/(Table1[[#This Row],[SOC (TPD)]]/24),"")</f>
        <v>0.46938775510204089</v>
      </c>
      <c r="H161" s="27">
        <f ca="1">IFERROR((Table1[[#This Row],[Volume Delivered (T)]]/Table1[[#This Row],[Hours Used]])/(Table1[[#This Row],[SOC (TPD)]]/24),"")</f>
        <v>0.73469387755102045</v>
      </c>
      <c r="I161" s="28"/>
      <c r="J161" s="28"/>
      <c r="K161" s="28"/>
      <c r="L161" s="25">
        <f>(VLOOKUP(Table1[[#This Row],[Date]],'Coated Rework Data'!$A:$F,5)/1000)</f>
        <v>1.415</v>
      </c>
      <c r="M161" s="29">
        <v>4.3999999999999997E-2</v>
      </c>
      <c r="N161" s="84"/>
      <c r="O161" s="25"/>
      <c r="P161" s="25"/>
      <c r="Q161" s="70"/>
      <c r="R161" s="71"/>
      <c r="S161" s="30">
        <f>IF(Table1[[#This Row],[SKU]]="",0,24-Table1[[#This Row],[Legal Non-Operating Time]]-Table1[[#This Row],[No Demand Time]]-Table1[[#This Row],[Force Majeure]])</f>
        <v>24</v>
      </c>
      <c r="T161" s="26"/>
      <c r="U161" s="26"/>
      <c r="V161" s="26">
        <v>8</v>
      </c>
      <c r="W161" s="26"/>
      <c r="X161" s="26"/>
      <c r="Y161" s="26"/>
      <c r="Z161" s="26"/>
      <c r="AA161" s="30">
        <f>Table1[[#This Row],[Hours Used]]-SUM(Table1[[#This Row],[Planned Maintenance]:[Start and Finish Production]])</f>
        <v>16</v>
      </c>
      <c r="AB161" s="26"/>
      <c r="AC161" s="26"/>
      <c r="AD161" s="26"/>
      <c r="AE161" s="26"/>
      <c r="AF161" s="26"/>
      <c r="AG161" s="26"/>
      <c r="AH161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-3.0187755102040832</v>
      </c>
      <c r="AI161" s="24">
        <f ca="1">IFERROR(IF(Table1[[#This Row],[SKU]]="",0,Table1[[#This Row],[Quality Loss (T)]]/(Table1[[#This Row],[SOC (TPD)]]/24)),"")</f>
        <v>1.386122448979592</v>
      </c>
      <c r="AJ161" s="31">
        <f ca="1">IFERROR(IF(Table1[[#This Row],[SKU]]="",0,Table1[[#This Row],[Volume Delivered (T)]]/(Table1[[#This Row],[SOC (TPD)]]/24)),"")</f>
        <v>17.632653061224492</v>
      </c>
      <c r="AK161" s="31">
        <f ca="1">IFERROR(Table1[[#This Row],[Operating Time]]/Table1[[#This Row],[PRODUCTION HOURS]],"")</f>
        <v>1.1020408163265307</v>
      </c>
      <c r="AL161" s="32">
        <v>76</v>
      </c>
      <c r="AM161" s="32" t="s">
        <v>107</v>
      </c>
      <c r="AN161" s="32" t="s">
        <v>107</v>
      </c>
      <c r="AO161" s="32">
        <v>0</v>
      </c>
      <c r="AP161" s="32">
        <v>0</v>
      </c>
      <c r="AQ161" s="32"/>
      <c r="AR161" s="32" t="str">
        <f>IFERROR(SUMIFS(#REF!,#REF!,'Data Sheet'!A:A,#REF!,"Samridhi Perk Line")/SUMIFS(#REF!,#REF!,'Data Sheet'!A:A,#REF!,"Samridhi Perk Line"),"")</f>
        <v/>
      </c>
      <c r="AS161" s="32"/>
      <c r="AT161" s="32"/>
      <c r="AU161" s="211" t="str">
        <f>IFERROR(VLOOKUP(Table1[[#This Row],[Date]],'Overweight Data'!A159:G1254,6,FALSE),"")</f>
        <v/>
      </c>
      <c r="AV161" s="221">
        <f ca="1">IFERROR(
   IF(
      OR(Table1[[#This Row],[Operating Time]]=0, (Table1[[#This Row],[Operating Time]]/IF(AC161&lt;=1,AC161+1,AC161))*60=0),
      1,
      ((Table1[[#This Row],[Operating Time]])/IF(AC161&lt;=1,AC161+1,AC161))*60
   ),
"_")</f>
        <v>1057.9591836734694</v>
      </c>
      <c r="AW161" s="221">
        <f>COUNTIFS('Downtime Data'!A:A,Table1[[#This Row],[Date]])</f>
        <v>1</v>
      </c>
      <c r="AX161" s="219">
        <f>IFERROR((SUM(Table1[[#This Row],[Minor Stoppages]:[Material Shortages]])/Table1[[#This Row],['# Stops]])*60,"")</f>
        <v>0</v>
      </c>
      <c r="AY161" s="219"/>
      <c r="AZ161" s="33">
        <v>46199</v>
      </c>
    </row>
    <row r="162" spans="1:52" ht="20.149999999999999" customHeight="1" x14ac:dyDescent="0.35">
      <c r="A162" s="21">
        <v>46179</v>
      </c>
      <c r="B162" s="22" t="str">
        <f t="shared" si="3"/>
        <v>Saturday</v>
      </c>
      <c r="C162" s="23" t="s">
        <v>111</v>
      </c>
      <c r="D162" s="24" cm="1">
        <f t="array" aca="1" ref="D162" ca="1">IFERROR(INDIRECT(C162),"")</f>
        <v>24.5</v>
      </c>
      <c r="E162" s="25">
        <v>13</v>
      </c>
      <c r="F162" s="26">
        <f>20.2+2</f>
        <v>22.2</v>
      </c>
      <c r="G162" s="27">
        <f ca="1">IFERROR((Table1[[#This Row],[Plan]]/Table1[[#This Row],[Hours Used]])/(Table1[[#This Row],[SOC (TPD)]]/24),"")</f>
        <v>0.53061224489795922</v>
      </c>
      <c r="H162" s="27">
        <f ca="1">IFERROR((Table1[[#This Row],[Volume Delivered (T)]]/Table1[[#This Row],[Hours Used]])/(Table1[[#This Row],[SOC (TPD)]]/24),"")</f>
        <v>0.90612244897959182</v>
      </c>
      <c r="I162" s="28"/>
      <c r="J162" s="28"/>
      <c r="K162" s="28"/>
      <c r="L162" s="25">
        <f>(VLOOKUP(Table1[[#This Row],[Date]],'Coated Rework Data'!$A:$F,5)/1000)</f>
        <v>1.526</v>
      </c>
      <c r="M162" s="29">
        <v>4.3999999999999997E-2</v>
      </c>
      <c r="N162" s="84"/>
      <c r="O162" s="25"/>
      <c r="P162" s="25"/>
      <c r="Q162" s="70"/>
      <c r="R162" s="71"/>
      <c r="S162" s="30">
        <f>IF(Table1[[#This Row],[SKU]]="",0,24-Table1[[#This Row],[Legal Non-Operating Time]]-Table1[[#This Row],[No Demand Time]]-Table1[[#This Row],[Force Majeure]])</f>
        <v>24</v>
      </c>
      <c r="T162" s="26"/>
      <c r="U162" s="26"/>
      <c r="V162" s="26"/>
      <c r="W162" s="26"/>
      <c r="X162" s="26"/>
      <c r="Y162" s="26"/>
      <c r="Z162" s="26"/>
      <c r="AA162" s="30">
        <f>Table1[[#This Row],[Hours Used]]-SUM(Table1[[#This Row],[Planned Maintenance]:[Start and Finish Production]])</f>
        <v>24</v>
      </c>
      <c r="AB162" s="26"/>
      <c r="AC162" s="26">
        <v>0.75</v>
      </c>
      <c r="AD162" s="26"/>
      <c r="AE162" s="26"/>
      <c r="AF162" s="26"/>
      <c r="AG162" s="26"/>
      <c r="AH162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8.2040816326518495E-3</v>
      </c>
      <c r="AI162" s="24">
        <f ca="1">IFERROR(IF(Table1[[#This Row],[SKU]]="",0,Table1[[#This Row],[Quality Loss (T)]]/(Table1[[#This Row],[SOC (TPD)]]/24)),"")</f>
        <v>1.4948571428571429</v>
      </c>
      <c r="AJ162" s="31">
        <f ca="1">IFERROR(IF(Table1[[#This Row],[SKU]]="",0,Table1[[#This Row],[Volume Delivered (T)]]/(Table1[[#This Row],[SOC (TPD)]]/24)),"")</f>
        <v>21.746938775510205</v>
      </c>
      <c r="AK162" s="31">
        <f ca="1">IFERROR(Table1[[#This Row],[Operating Time]]/Table1[[#This Row],[PRODUCTION HOURS]],"")</f>
        <v>0.90612244897959193</v>
      </c>
      <c r="AL162" s="32">
        <v>100</v>
      </c>
      <c r="AM162" s="32" t="s">
        <v>107</v>
      </c>
      <c r="AN162" s="32" t="s">
        <v>107</v>
      </c>
      <c r="AO162" s="32">
        <v>0</v>
      </c>
      <c r="AP162" s="32">
        <v>0</v>
      </c>
      <c r="AQ162" s="32"/>
      <c r="AR162" s="32" t="str">
        <f>IFERROR(SUMIFS(#REF!,#REF!,'Data Sheet'!A:A,#REF!,"Samridhi Perk Line")/SUMIFS(#REF!,#REF!,'Data Sheet'!A:A,#REF!,"Samridhi Perk Line"),"")</f>
        <v/>
      </c>
      <c r="AS162" s="32"/>
      <c r="AT162" s="32"/>
      <c r="AU162" s="211" t="str">
        <f>IFERROR(VLOOKUP(Table1[[#This Row],[Date]],'Overweight Data'!A160:G1255,6,FALSE),"")</f>
        <v/>
      </c>
      <c r="AV162" s="221">
        <f ca="1">IFERROR(
   IF(
      OR(Table1[[#This Row],[Operating Time]]=0, (Table1[[#This Row],[Operating Time]]/IF(AC162&lt;=1,AC162+1,AC162))*60=0),
      1,
      ((Table1[[#This Row],[Operating Time]])/IF(AC162&lt;=1,AC162+1,AC162))*60
   ),
"_")</f>
        <v>745.60932944606418</v>
      </c>
      <c r="AW162" s="221">
        <f>COUNTIFS('Downtime Data'!A:A,Table1[[#This Row],[Date]])</f>
        <v>1</v>
      </c>
      <c r="AX162" s="219">
        <f>IFERROR((SUM(Table1[[#This Row],[Minor Stoppages]:[Material Shortages]])/Table1[[#This Row],['# Stops]])*60,"")</f>
        <v>45</v>
      </c>
      <c r="AY162" s="219"/>
      <c r="AZ162" s="33">
        <v>46199</v>
      </c>
    </row>
    <row r="163" spans="1:52" ht="20.149999999999999" customHeight="1" x14ac:dyDescent="0.35">
      <c r="A163" s="21">
        <v>46180</v>
      </c>
      <c r="B163" s="22" t="str">
        <f t="shared" si="3"/>
        <v>Sunday</v>
      </c>
      <c r="C163" s="23" t="s">
        <v>111</v>
      </c>
      <c r="D163" s="24" cm="1">
        <f t="array" aca="1" ref="D163" ca="1">IFERROR(INDIRECT(C163),"")</f>
        <v>24.5</v>
      </c>
      <c r="E163" s="25">
        <v>17</v>
      </c>
      <c r="F163" s="26">
        <f>17.463492+4</f>
        <v>21.463491999999999</v>
      </c>
      <c r="G163" s="27">
        <f ca="1">IFERROR((Table1[[#This Row],[Plan]]/Table1[[#This Row],[Hours Used]])/(Table1[[#This Row],[SOC (TPD)]]/24),"")</f>
        <v>0.69387755102040827</v>
      </c>
      <c r="H163" s="27">
        <f ca="1">IFERROR((Table1[[#This Row],[Volume Delivered (T)]]/Table1[[#This Row],[Hours Used]])/(Table1[[#This Row],[SOC (TPD)]]/24),"")</f>
        <v>0.87606089795918363</v>
      </c>
      <c r="I163" s="28"/>
      <c r="J163" s="28"/>
      <c r="K163" s="28"/>
      <c r="L163" s="25">
        <f>(VLOOKUP(Table1[[#This Row],[Date]],'Coated Rework Data'!$A:$F,5)/1000)</f>
        <v>1.5549999999999999</v>
      </c>
      <c r="M163" s="29">
        <v>4.3999999999999997E-2</v>
      </c>
      <c r="N163" s="84"/>
      <c r="O163" s="25"/>
      <c r="P163" s="25"/>
      <c r="Q163" s="70"/>
      <c r="R163" s="71"/>
      <c r="S163" s="30">
        <f>IF(Table1[[#This Row],[SKU]]="",0,24-Table1[[#This Row],[Legal Non-Operating Time]]-Table1[[#This Row],[No Demand Time]]-Table1[[#This Row],[Force Majeure]])</f>
        <v>24</v>
      </c>
      <c r="T163" s="26"/>
      <c r="U163" s="26"/>
      <c r="V163" s="26"/>
      <c r="W163" s="26"/>
      <c r="X163" s="26"/>
      <c r="Y163" s="26"/>
      <c r="Z163" s="26"/>
      <c r="AA163" s="30">
        <f>Table1[[#This Row],[Hours Used]]-SUM(Table1[[#This Row],[Planned Maintenance]:[Start and Finish Production]])</f>
        <v>24</v>
      </c>
      <c r="AB163" s="26"/>
      <c r="AC163" s="26">
        <f>70/60</f>
        <v>1.1666666666666667</v>
      </c>
      <c r="AD163" s="26"/>
      <c r="AE163" s="26"/>
      <c r="AF163" s="26"/>
      <c r="AG163" s="26"/>
      <c r="AH163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0.28460647619047208</v>
      </c>
      <c r="AI163" s="24">
        <f ca="1">IFERROR(IF(Table1[[#This Row],[SKU]]="",0,Table1[[#This Row],[Quality Loss (T)]]/(Table1[[#This Row],[SOC (TPD)]]/24)),"")</f>
        <v>1.523265306122449</v>
      </c>
      <c r="AJ163" s="31">
        <f ca="1">IFERROR(IF(Table1[[#This Row],[SKU]]="",0,Table1[[#This Row],[Volume Delivered (T)]]/(Table1[[#This Row],[SOC (TPD)]]/24)),"")</f>
        <v>21.02546155102041</v>
      </c>
      <c r="AK163" s="31">
        <f ca="1">IFERROR(Table1[[#This Row],[Operating Time]]/Table1[[#This Row],[PRODUCTION HOURS]],"")</f>
        <v>0.87606089795918374</v>
      </c>
      <c r="AL163" s="32">
        <v>105</v>
      </c>
      <c r="AM163" s="32" t="s">
        <v>107</v>
      </c>
      <c r="AN163" s="32" t="s">
        <v>107</v>
      </c>
      <c r="AO163" s="32">
        <v>1</v>
      </c>
      <c r="AP163" s="32">
        <v>1</v>
      </c>
      <c r="AQ163" s="32"/>
      <c r="AR163" s="32" t="str">
        <f>IFERROR(SUMIFS(#REF!,#REF!,'Data Sheet'!A:A,#REF!,"Samridhi Perk Line")/SUMIFS(#REF!,#REF!,'Data Sheet'!A:A,#REF!,"Samridhi Perk Line"),"")</f>
        <v/>
      </c>
      <c r="AS163" s="32"/>
      <c r="AT163" s="32"/>
      <c r="AU163" s="211" t="str">
        <f>IFERROR(VLOOKUP(Table1[[#This Row],[Date]],'Overweight Data'!A161:G1256,6,FALSE),"")</f>
        <v/>
      </c>
      <c r="AV163" s="221">
        <f ca="1">IFERROR(
   IF(
      OR(Table1[[#This Row],[Operating Time]]=0, (Table1[[#This Row],[Operating Time]]/IF(AC163&lt;=1,AC163+1,AC163))*60=0),
      1,
      ((Table1[[#This Row],[Operating Time]])/IF(AC163&lt;=1,AC163+1,AC163))*60
   ),
"_")</f>
        <v>1081.3094511953354</v>
      </c>
      <c r="AW163" s="221">
        <f>COUNTIFS('Downtime Data'!A:A,Table1[[#This Row],[Date]])</f>
        <v>3</v>
      </c>
      <c r="AX163" s="219">
        <f>IFERROR((SUM(Table1[[#This Row],[Minor Stoppages]:[Material Shortages]])/Table1[[#This Row],['# Stops]])*60,"")</f>
        <v>23.333333333333332</v>
      </c>
      <c r="AY163" s="219"/>
      <c r="AZ163" s="33">
        <v>46199</v>
      </c>
    </row>
    <row r="164" spans="1:52" ht="20.149999999999999" customHeight="1" x14ac:dyDescent="0.35">
      <c r="A164" s="21">
        <v>46181</v>
      </c>
      <c r="B164" s="22" t="str">
        <f t="shared" si="3"/>
        <v>Monday</v>
      </c>
      <c r="C164" s="23" t="s">
        <v>111</v>
      </c>
      <c r="D164" s="24" cm="1">
        <f t="array" aca="1" ref="D164" ca="1">IFERROR(INDIRECT(C164),"")</f>
        <v>24.5</v>
      </c>
      <c r="E164" s="25">
        <v>17</v>
      </c>
      <c r="F164" s="26">
        <f>17.351644+2+2</f>
        <v>21.351644</v>
      </c>
      <c r="G164" s="27">
        <f ca="1">IFERROR((Table1[[#This Row],[Plan]]/Table1[[#This Row],[Hours Used]])/(Table1[[#This Row],[SOC (TPD)]]/24),"")</f>
        <v>0.69387755102040827</v>
      </c>
      <c r="H164" s="27">
        <f ca="1">IFERROR((Table1[[#This Row],[Volume Delivered (T)]]/Table1[[#This Row],[Hours Used]])/(Table1[[#This Row],[SOC (TPD)]]/24),"")</f>
        <v>0.87149567346938783</v>
      </c>
      <c r="I164" s="28"/>
      <c r="J164" s="28"/>
      <c r="K164" s="28"/>
      <c r="L164" s="25">
        <f>(VLOOKUP(Table1[[#This Row],[Date]],'Coated Rework Data'!$A:$F,5)/1000)</f>
        <v>1.696</v>
      </c>
      <c r="M164" s="29">
        <v>4.3999999999999997E-2</v>
      </c>
      <c r="N164" s="84">
        <v>10</v>
      </c>
      <c r="O164" s="25"/>
      <c r="P164" s="25"/>
      <c r="Q164" s="70"/>
      <c r="R164" s="71"/>
      <c r="S164" s="30">
        <f>IF(Table1[[#This Row],[SKU]]="",0,24-Table1[[#This Row],[Legal Non-Operating Time]]-Table1[[#This Row],[No Demand Time]]-Table1[[#This Row],[Force Majeure]])</f>
        <v>24</v>
      </c>
      <c r="T164" s="26"/>
      <c r="U164" s="26"/>
      <c r="V164" s="26"/>
      <c r="W164" s="26"/>
      <c r="X164" s="26"/>
      <c r="Y164" s="26"/>
      <c r="Z164" s="26"/>
      <c r="AA164" s="30">
        <f>Table1[[#This Row],[Hours Used]]-SUM(Table1[[#This Row],[Planned Maintenance]:[Start and Finish Production]])</f>
        <v>24</v>
      </c>
      <c r="AB164" s="26"/>
      <c r="AC164" s="26">
        <v>1.4</v>
      </c>
      <c r="AD164" s="26"/>
      <c r="AE164" s="26"/>
      <c r="AF164" s="26"/>
      <c r="AG164" s="26"/>
      <c r="AH164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2.2716081632651708E-2</v>
      </c>
      <c r="AI164" s="24">
        <f ca="1">IFERROR(IF(Table1[[#This Row],[SKU]]="",0,Table1[[#This Row],[Quality Loss (T)]]/(Table1[[#This Row],[SOC (TPD)]]/24)),"")</f>
        <v>1.6613877551020408</v>
      </c>
      <c r="AJ164" s="31">
        <f ca="1">IFERROR(IF(Table1[[#This Row],[SKU]]="",0,Table1[[#This Row],[Volume Delivered (T)]]/(Table1[[#This Row],[SOC (TPD)]]/24)),"")</f>
        <v>20.915896163265309</v>
      </c>
      <c r="AK164" s="31">
        <f ca="1">IFERROR(Table1[[#This Row],[Operating Time]]/Table1[[#This Row],[PRODUCTION HOURS]],"")</f>
        <v>0.87149567346938783</v>
      </c>
      <c r="AL164" s="32">
        <v>92</v>
      </c>
      <c r="AM164" s="32" t="s">
        <v>107</v>
      </c>
      <c r="AN164" s="32" t="s">
        <v>107</v>
      </c>
      <c r="AO164" s="32">
        <v>0</v>
      </c>
      <c r="AP164" s="32">
        <v>0</v>
      </c>
      <c r="AQ164" s="32"/>
      <c r="AR164" s="32" t="str">
        <f>IFERROR(SUMIFS(#REF!,#REF!,'Data Sheet'!A:A,#REF!,"Samridhi Perk Line")/SUMIFS(#REF!,#REF!,'Data Sheet'!A:A,#REF!,"Samridhi Perk Line"),"")</f>
        <v/>
      </c>
      <c r="AS164" s="32"/>
      <c r="AT164" s="32"/>
      <c r="AU164" s="211" t="str">
        <f>IFERROR(VLOOKUP(Table1[[#This Row],[Date]],'Overweight Data'!A162:G1257,6,FALSE),"")</f>
        <v/>
      </c>
      <c r="AV164" s="221">
        <f ca="1">IFERROR(
   IF(
      OR(Table1[[#This Row],[Operating Time]]=0, (Table1[[#This Row],[Operating Time]]/IF(AC164&lt;=1,AC164+1,AC164))*60=0),
      1,
      ((Table1[[#This Row],[Operating Time]])/IF(AC164&lt;=1,AC164+1,AC164))*60
   ),
"_")</f>
        <v>896.39554985422751</v>
      </c>
      <c r="AW164" s="221">
        <f>COUNTIFS('Downtime Data'!A:A,Table1[[#This Row],[Date]])</f>
        <v>1</v>
      </c>
      <c r="AX164" s="219">
        <f>IFERROR((SUM(Table1[[#This Row],[Minor Stoppages]:[Material Shortages]])/Table1[[#This Row],['# Stops]])*60,"")</f>
        <v>84</v>
      </c>
      <c r="AY164" s="219"/>
      <c r="AZ164" s="33">
        <v>46199</v>
      </c>
    </row>
    <row r="165" spans="1:52" ht="20.149999999999999" customHeight="1" x14ac:dyDescent="0.35">
      <c r="A165" s="21">
        <v>46182</v>
      </c>
      <c r="B165" s="22" t="str">
        <f t="shared" si="3"/>
        <v>Tuesday</v>
      </c>
      <c r="C165" s="23" t="s">
        <v>111</v>
      </c>
      <c r="D165" s="24" cm="1">
        <f t="array" aca="1" ref="D165" ca="1">IFERROR(INDIRECT(C165),"")</f>
        <v>24.5</v>
      </c>
      <c r="E165" s="25">
        <v>17</v>
      </c>
      <c r="F165" s="26">
        <v>21</v>
      </c>
      <c r="G165" s="27">
        <f ca="1">IFERROR((Table1[[#This Row],[Plan]]/Table1[[#This Row],[Hours Used]])/(Table1[[#This Row],[SOC (TPD)]]/24),"")</f>
        <v>0.69387755102040827</v>
      </c>
      <c r="H165" s="27">
        <f ca="1">IFERROR((Table1[[#This Row],[Volume Delivered (T)]]/Table1[[#This Row],[Hours Used]])/(Table1[[#This Row],[SOC (TPD)]]/24),"")</f>
        <v>0.85714285714285721</v>
      </c>
      <c r="I165" s="28"/>
      <c r="J165" s="28"/>
      <c r="K165" s="28"/>
      <c r="L165" s="25">
        <f>(VLOOKUP(Table1[[#This Row],[Date]],'Coated Rework Data'!$A:$F,5)/1000)</f>
        <v>1.3959999999999999</v>
      </c>
      <c r="M165" s="29">
        <v>4.3999999999999997E-2</v>
      </c>
      <c r="N165" s="84">
        <v>15</v>
      </c>
      <c r="O165" s="25"/>
      <c r="P165" s="25"/>
      <c r="Q165" s="70"/>
      <c r="R165" s="71"/>
      <c r="S165" s="30">
        <f>IF(Table1[[#This Row],[SKU]]="",0,24-Table1[[#This Row],[Legal Non-Operating Time]]-Table1[[#This Row],[No Demand Time]]-Table1[[#This Row],[Force Majeure]])</f>
        <v>24</v>
      </c>
      <c r="T165" s="26"/>
      <c r="U165" s="26"/>
      <c r="V165" s="26"/>
      <c r="W165" s="26"/>
      <c r="X165" s="26"/>
      <c r="Y165" s="26"/>
      <c r="Z165" s="26"/>
      <c r="AA165" s="30">
        <f>Table1[[#This Row],[Hours Used]]-SUM(Table1[[#This Row],[Planned Maintenance]:[Start and Finish Production]])</f>
        <v>24</v>
      </c>
      <c r="AB165" s="26"/>
      <c r="AC165" s="26"/>
      <c r="AD165" s="26"/>
      <c r="AE165" s="26"/>
      <c r="AF165" s="26"/>
      <c r="AG165" s="26"/>
      <c r="AH165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2.0610612244897943</v>
      </c>
      <c r="AI165" s="24">
        <f ca="1">IFERROR(IF(Table1[[#This Row],[SKU]]="",0,Table1[[#This Row],[Quality Loss (T)]]/(Table1[[#This Row],[SOC (TPD)]]/24)),"")</f>
        <v>1.3675102040816327</v>
      </c>
      <c r="AJ165" s="31">
        <f ca="1">IFERROR(IF(Table1[[#This Row],[SKU]]="",0,Table1[[#This Row],[Volume Delivered (T)]]/(Table1[[#This Row],[SOC (TPD)]]/24)),"")</f>
        <v>20.571428571428573</v>
      </c>
      <c r="AK165" s="31">
        <f ca="1">IFERROR(Table1[[#This Row],[Operating Time]]/Table1[[#This Row],[PRODUCTION HOURS]],"")</f>
        <v>0.85714285714285721</v>
      </c>
      <c r="AL165" s="32">
        <v>102</v>
      </c>
      <c r="AM165" s="32" t="s">
        <v>107</v>
      </c>
      <c r="AN165" s="32" t="s">
        <v>107</v>
      </c>
      <c r="AO165" s="32">
        <v>0</v>
      </c>
      <c r="AP165" s="32">
        <v>0</v>
      </c>
      <c r="AQ165" s="32"/>
      <c r="AR165" s="32" t="str">
        <f>IFERROR(SUMIFS(#REF!,#REF!,'Data Sheet'!A:A,#REF!,"Samridhi Perk Line")/SUMIFS(#REF!,#REF!,'Data Sheet'!A:A,#REF!,"Samridhi Perk Line"),"")</f>
        <v/>
      </c>
      <c r="AS165" s="32"/>
      <c r="AT165" s="32"/>
      <c r="AU165" s="211" t="str">
        <f>IFERROR(VLOOKUP(Table1[[#This Row],[Date]],'Overweight Data'!A163:G1258,6,FALSE),"")</f>
        <v/>
      </c>
      <c r="AV165" s="221">
        <f ca="1">IFERROR(
   IF(
      OR(Table1[[#This Row],[Operating Time]]=0, (Table1[[#This Row],[Operating Time]]/IF(AC165&lt;=1,AC165+1,AC165))*60=0),
      1,
      ((Table1[[#This Row],[Operating Time]])/IF(AC165&lt;=1,AC165+1,AC165))*60
   ),
"_")</f>
        <v>1234.2857142857144</v>
      </c>
      <c r="AW165" s="221">
        <f>COUNTIFS('Downtime Data'!A:A,Table1[[#This Row],[Date]])</f>
        <v>2</v>
      </c>
      <c r="AX165" s="219">
        <f>IFERROR((SUM(Table1[[#This Row],[Minor Stoppages]:[Material Shortages]])/Table1[[#This Row],['# Stops]])*60,"")</f>
        <v>0</v>
      </c>
      <c r="AY165" s="219"/>
      <c r="AZ165" s="33">
        <v>46199</v>
      </c>
    </row>
    <row r="166" spans="1:52" ht="20.149999999999999" customHeight="1" x14ac:dyDescent="0.35">
      <c r="A166" s="21">
        <v>46183</v>
      </c>
      <c r="B166" s="22" t="str">
        <f t="shared" si="3"/>
        <v>Wednesday</v>
      </c>
      <c r="C166" s="23" t="s">
        <v>111</v>
      </c>
      <c r="D166" s="24" cm="1">
        <f t="array" aca="1" ref="D166" ca="1">IFERROR(INDIRECT(C166),"")</f>
        <v>24.5</v>
      </c>
      <c r="E166" s="25">
        <v>17</v>
      </c>
      <c r="F166" s="26">
        <v>20.399999999999999</v>
      </c>
      <c r="G166" s="27">
        <f ca="1">IFERROR((Table1[[#This Row],[Plan]]/Table1[[#This Row],[Hours Used]])/(Table1[[#This Row],[SOC (TPD)]]/24),"")</f>
        <v>0.69387755102040827</v>
      </c>
      <c r="H166" s="27">
        <f ca="1">IFERROR((Table1[[#This Row],[Volume Delivered (T)]]/Table1[[#This Row],[Hours Used]])/(Table1[[#This Row],[SOC (TPD)]]/24),"")</f>
        <v>0.83265306122448979</v>
      </c>
      <c r="I166" s="28"/>
      <c r="J166" s="28"/>
      <c r="K166" s="28"/>
      <c r="L166" s="25">
        <f>(VLOOKUP(Table1[[#This Row],[Date]],'Coated Rework Data'!$A:$F,5)/1000)</f>
        <v>1.012</v>
      </c>
      <c r="M166" s="29">
        <v>4.3999999999999997E-2</v>
      </c>
      <c r="N166" s="84"/>
      <c r="O166" s="25"/>
      <c r="P166" s="25"/>
      <c r="Q166" s="70"/>
      <c r="R166" s="71"/>
      <c r="S166" s="30">
        <f>IF(Table1[[#This Row],[SKU]]="",0,24-Table1[[#This Row],[Legal Non-Operating Time]]-Table1[[#This Row],[No Demand Time]]-Table1[[#This Row],[Force Majeure]])</f>
        <v>24</v>
      </c>
      <c r="T166" s="26"/>
      <c r="U166" s="26"/>
      <c r="V166" s="26"/>
      <c r="W166" s="26"/>
      <c r="X166" s="26"/>
      <c r="Y166" s="26"/>
      <c r="Z166" s="26"/>
      <c r="AA166" s="30">
        <f>Table1[[#This Row],[Hours Used]]-SUM(Table1[[#This Row],[Planned Maintenance]:[Start and Finish Production]])</f>
        <v>24</v>
      </c>
      <c r="AB166" s="26"/>
      <c r="AC166" s="26">
        <v>3</v>
      </c>
      <c r="AD166" s="26"/>
      <c r="AE166" s="26"/>
      <c r="AF166" s="26"/>
      <c r="AG166" s="26"/>
      <c r="AH166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2.4979591836732595E-2</v>
      </c>
      <c r="AI166" s="24">
        <f ca="1">IFERROR(IF(Table1[[#This Row],[SKU]]="",0,Table1[[#This Row],[Quality Loss (T)]]/(Table1[[#This Row],[SOC (TPD)]]/24)),"")</f>
        <v>0.99134693877551028</v>
      </c>
      <c r="AJ166" s="31">
        <f ca="1">IFERROR(IF(Table1[[#This Row],[SKU]]="",0,Table1[[#This Row],[Volume Delivered (T)]]/(Table1[[#This Row],[SOC (TPD)]]/24)),"")</f>
        <v>19.983673469387757</v>
      </c>
      <c r="AK166" s="31">
        <f ca="1">IFERROR(Table1[[#This Row],[Operating Time]]/Table1[[#This Row],[PRODUCTION HOURS]],"")</f>
        <v>0.8326530612244899</v>
      </c>
      <c r="AL166" s="32">
        <v>95</v>
      </c>
      <c r="AM166" s="32" t="s">
        <v>107</v>
      </c>
      <c r="AN166" s="32" t="s">
        <v>107</v>
      </c>
      <c r="AO166" s="32">
        <v>0</v>
      </c>
      <c r="AP166" s="32">
        <v>0</v>
      </c>
      <c r="AQ166" s="32"/>
      <c r="AR166" s="32" t="str">
        <f>IFERROR(SUMIFS(#REF!,#REF!,'Data Sheet'!A:A,#REF!,"Samridhi Perk Line")/SUMIFS(#REF!,#REF!,'Data Sheet'!A:A,#REF!,"Samridhi Perk Line"),"")</f>
        <v/>
      </c>
      <c r="AS166" s="32"/>
      <c r="AT166" s="32"/>
      <c r="AU166" s="211" t="str">
        <f>IFERROR(VLOOKUP(Table1[[#This Row],[Date]],'Overweight Data'!A164:G1259,6,FALSE),"")</f>
        <v/>
      </c>
      <c r="AV166" s="221">
        <f ca="1">IFERROR(
   IF(
      OR(Table1[[#This Row],[Operating Time]]=0, (Table1[[#This Row],[Operating Time]]/IF(AC166&lt;=1,AC166+1,AC166))*60=0),
      1,
      ((Table1[[#This Row],[Operating Time]])/IF(AC166&lt;=1,AC166+1,AC166))*60
   ),
"_")</f>
        <v>399.67346938775518</v>
      </c>
      <c r="AW166" s="221">
        <f>COUNTIFS('Downtime Data'!A:A,Table1[[#This Row],[Date]])</f>
        <v>1</v>
      </c>
      <c r="AX166" s="219">
        <f>IFERROR((SUM(Table1[[#This Row],[Minor Stoppages]:[Material Shortages]])/Table1[[#This Row],['# Stops]])*60,"")</f>
        <v>180</v>
      </c>
      <c r="AY166" s="219"/>
      <c r="AZ166" s="33">
        <v>46199</v>
      </c>
    </row>
    <row r="167" spans="1:52" ht="20.149999999999999" customHeight="1" x14ac:dyDescent="0.35">
      <c r="A167" s="21">
        <v>46184</v>
      </c>
      <c r="B167" s="22" t="str">
        <f t="shared" si="3"/>
        <v>Thursday</v>
      </c>
      <c r="C167" s="23" t="s">
        <v>111</v>
      </c>
      <c r="D167" s="24" cm="1">
        <f t="array" aca="1" ref="D167" ca="1">IFERROR(INDIRECT(C167),"")</f>
        <v>24.5</v>
      </c>
      <c r="E167" s="25">
        <v>11</v>
      </c>
      <c r="F167" s="26">
        <f>9.965368+6+6</f>
        <v>21.965367999999998</v>
      </c>
      <c r="G167" s="27">
        <f ca="1">IFERROR((Table1[[#This Row],[Plan]]/Table1[[#This Row],[Hours Used]])/(Table1[[#This Row],[SOC (TPD)]]/24),"")</f>
        <v>0.44897959183673469</v>
      </c>
      <c r="H167" s="27">
        <f ca="1">IFERROR((Table1[[#This Row],[Volume Delivered (T)]]/Table1[[#This Row],[Hours Used]])/(Table1[[#This Row],[SOC (TPD)]]/24),"")</f>
        <v>0.8965456326530612</v>
      </c>
      <c r="I167" s="28"/>
      <c r="J167" s="28"/>
      <c r="K167" s="28"/>
      <c r="L167" s="25">
        <f>(VLOOKUP(Table1[[#This Row],[Date]],'Coated Rework Data'!$A:$F,5)/1000)</f>
        <v>1.1040000000000001</v>
      </c>
      <c r="M167" s="29">
        <v>4.3999999999999997E-2</v>
      </c>
      <c r="N167" s="84"/>
      <c r="O167" s="25"/>
      <c r="P167" s="25"/>
      <c r="Q167" s="70"/>
      <c r="R167" s="71"/>
      <c r="S167" s="30">
        <f>IF(Table1[[#This Row],[SKU]]="",0,24-Table1[[#This Row],[Legal Non-Operating Time]]-Table1[[#This Row],[No Demand Time]]-Table1[[#This Row],[Force Majeure]])</f>
        <v>24</v>
      </c>
      <c r="T167" s="26"/>
      <c r="U167" s="26"/>
      <c r="V167" s="26"/>
      <c r="W167" s="26"/>
      <c r="X167" s="26"/>
      <c r="Y167" s="26"/>
      <c r="Z167" s="26"/>
      <c r="AA167" s="30">
        <f>Table1[[#This Row],[Hours Used]]-SUM(Table1[[#This Row],[Planned Maintenance]:[Start and Finish Production]])</f>
        <v>24</v>
      </c>
      <c r="AB167" s="26"/>
      <c r="AC167" s="26"/>
      <c r="AD167" s="26">
        <v>1.4</v>
      </c>
      <c r="AE167" s="26"/>
      <c r="AF167" s="26"/>
      <c r="AG167" s="26"/>
      <c r="AH167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1.4354285714297532E-3</v>
      </c>
      <c r="AI167" s="24">
        <f ca="1">IFERROR(IF(Table1[[#This Row],[SKU]]="",0,Table1[[#This Row],[Quality Loss (T)]]/(Table1[[#This Row],[SOC (TPD)]]/24)),"")</f>
        <v>1.0814693877551023</v>
      </c>
      <c r="AJ167" s="31">
        <f ca="1">IFERROR(IF(Table1[[#This Row],[SKU]]="",0,Table1[[#This Row],[Volume Delivered (T)]]/(Table1[[#This Row],[SOC (TPD)]]/24)),"")</f>
        <v>21.517095183673469</v>
      </c>
      <c r="AK167" s="31">
        <f ca="1">IFERROR(Table1[[#This Row],[Operating Time]]/Table1[[#This Row],[PRODUCTION HOURS]],"")</f>
        <v>0.8965456326530612</v>
      </c>
      <c r="AL167" s="32">
        <v>83</v>
      </c>
      <c r="AM167" s="32" t="s">
        <v>107</v>
      </c>
      <c r="AN167" s="32" t="s">
        <v>107</v>
      </c>
      <c r="AO167" s="32">
        <v>0</v>
      </c>
      <c r="AP167" s="32">
        <v>0</v>
      </c>
      <c r="AQ167" s="32"/>
      <c r="AR167" s="32" t="str">
        <f>IFERROR(SUMIFS(#REF!,#REF!,'Data Sheet'!A:A,#REF!,"Samridhi Perk Line")/SUMIFS(#REF!,#REF!,'Data Sheet'!A:A,#REF!,"Samridhi Perk Line"),"")</f>
        <v/>
      </c>
      <c r="AS167" s="32"/>
      <c r="AT167" s="32"/>
      <c r="AU167" s="211" t="str">
        <f>IFERROR(VLOOKUP(Table1[[#This Row],[Date]],'Overweight Data'!A165:G1260,6,FALSE),"")</f>
        <v/>
      </c>
      <c r="AV167" s="221">
        <f ca="1">IFERROR(
   IF(
      OR(Table1[[#This Row],[Operating Time]]=0, (Table1[[#This Row],[Operating Time]]/IF(AC167&lt;=1,AC167+1,AC167))*60=0),
      1,
      ((Table1[[#This Row],[Operating Time]])/IF(AC167&lt;=1,AC167+1,AC167))*60
   ),
"_")</f>
        <v>1291.0257110204082</v>
      </c>
      <c r="AW167" s="221">
        <f>COUNTIFS('Downtime Data'!A:A,Table1[[#This Row],[Date]])</f>
        <v>2</v>
      </c>
      <c r="AX167" s="219">
        <f>IFERROR((SUM(Table1[[#This Row],[Minor Stoppages]:[Material Shortages]])/Table1[[#This Row],['# Stops]])*60,"")</f>
        <v>42</v>
      </c>
      <c r="AY167" s="219"/>
      <c r="AZ167" s="33">
        <v>46199</v>
      </c>
    </row>
    <row r="168" spans="1:52" ht="20.149999999999999" customHeight="1" x14ac:dyDescent="0.35">
      <c r="A168" s="21">
        <v>46185</v>
      </c>
      <c r="B168" s="22" t="str">
        <f t="shared" si="3"/>
        <v>Friday</v>
      </c>
      <c r="C168" s="23" t="s">
        <v>111</v>
      </c>
      <c r="D168" s="24" cm="1">
        <f t="array" aca="1" ref="D168" ca="1">IFERROR(INDIRECT(C168),"")</f>
        <v>24.5</v>
      </c>
      <c r="E168" s="25">
        <v>8</v>
      </c>
      <c r="F168" s="26">
        <f>18.4+1.8</f>
        <v>20.2</v>
      </c>
      <c r="G168" s="27">
        <f ca="1">IFERROR((Table1[[#This Row],[Plan]]/Table1[[#This Row],[Hours Used]])/(Table1[[#This Row],[SOC (TPD)]]/24),"")</f>
        <v>0.32653061224489799</v>
      </c>
      <c r="H168" s="27">
        <f ca="1">IFERROR((Table1[[#This Row],[Volume Delivered (T)]]/Table1[[#This Row],[Hours Used]])/(Table1[[#This Row],[SOC (TPD)]]/24),"")</f>
        <v>0.82448979591836746</v>
      </c>
      <c r="I168" s="28"/>
      <c r="J168" s="28"/>
      <c r="K168" s="28"/>
      <c r="L168" s="25">
        <f>(VLOOKUP(Table1[[#This Row],[Date]],'Coated Rework Data'!$A:$F,5)/1000)</f>
        <v>1.5549999999999999</v>
      </c>
      <c r="M168" s="29">
        <v>4.3999999999999997E-2</v>
      </c>
      <c r="N168" s="84"/>
      <c r="O168" s="25"/>
      <c r="P168" s="25"/>
      <c r="Q168" s="70"/>
      <c r="R168" s="71"/>
      <c r="S168" s="30">
        <f>IF(Table1[[#This Row],[SKU]]="",0,24-Table1[[#This Row],[Legal Non-Operating Time]]-Table1[[#This Row],[No Demand Time]]-Table1[[#This Row],[Force Majeure]])</f>
        <v>24</v>
      </c>
      <c r="T168" s="26"/>
      <c r="U168" s="26"/>
      <c r="V168" s="26"/>
      <c r="W168" s="26"/>
      <c r="X168" s="26"/>
      <c r="Y168" s="26"/>
      <c r="Z168" s="26"/>
      <c r="AA168" s="30">
        <f>Table1[[#This Row],[Hours Used]]-SUM(Table1[[#This Row],[Planned Maintenance]:[Start and Finish Production]])</f>
        <v>24</v>
      </c>
      <c r="AB168" s="26"/>
      <c r="AC168" s="26">
        <v>2.65</v>
      </c>
      <c r="AD168" s="26"/>
      <c r="AE168" s="26"/>
      <c r="AF168" s="26"/>
      <c r="AG168" s="26"/>
      <c r="AH168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3.8979591836735494E-2</v>
      </c>
      <c r="AI168" s="24">
        <f ca="1">IFERROR(IF(Table1[[#This Row],[SKU]]="",0,Table1[[#This Row],[Quality Loss (T)]]/(Table1[[#This Row],[SOC (TPD)]]/24)),"")</f>
        <v>1.523265306122449</v>
      </c>
      <c r="AJ168" s="31">
        <f ca="1">IFERROR(IF(Table1[[#This Row],[SKU]]="",0,Table1[[#This Row],[Volume Delivered (T)]]/(Table1[[#This Row],[SOC (TPD)]]/24)),"")</f>
        <v>19.787755102040816</v>
      </c>
      <c r="AK168" s="31">
        <f ca="1">IFERROR(Table1[[#This Row],[Operating Time]]/Table1[[#This Row],[PRODUCTION HOURS]],"")</f>
        <v>0.82448979591836735</v>
      </c>
      <c r="AL168" s="32">
        <v>75</v>
      </c>
      <c r="AM168" s="32" t="s">
        <v>107</v>
      </c>
      <c r="AN168" s="32" t="s">
        <v>107</v>
      </c>
      <c r="AO168" s="32">
        <v>0</v>
      </c>
      <c r="AP168" s="32">
        <v>0</v>
      </c>
      <c r="AQ168" s="32"/>
      <c r="AR168" s="32" t="str">
        <f>IFERROR(SUMIFS(#REF!,#REF!,'Data Sheet'!A:A,#REF!,"Samridhi Perk Line")/SUMIFS(#REF!,#REF!,'Data Sheet'!A:A,#REF!,"Samridhi Perk Line"),"")</f>
        <v/>
      </c>
      <c r="AS168" s="32"/>
      <c r="AT168" s="32"/>
      <c r="AU168" s="211" t="str">
        <f>IFERROR(VLOOKUP(Table1[[#This Row],[Date]],'Overweight Data'!A166:G1261,6,FALSE),"")</f>
        <v/>
      </c>
      <c r="AV168" s="221">
        <f ca="1">IFERROR(
   IF(
      OR(Table1[[#This Row],[Operating Time]]=0, (Table1[[#This Row],[Operating Time]]/IF(AC168&lt;=1,AC168+1,AC168))*60=0),
      1,
      ((Table1[[#This Row],[Operating Time]])/IF(AC168&lt;=1,AC168+1,AC168))*60
   ),
"_")</f>
        <v>448.02464381979206</v>
      </c>
      <c r="AW168" s="221">
        <f>COUNTIFS('Downtime Data'!A:A,Table1[[#This Row],[Date]])</f>
        <v>0</v>
      </c>
      <c r="AX168" s="219" t="str">
        <f>IFERROR((SUM(Table1[[#This Row],[Minor Stoppages]:[Material Shortages]])/Table1[[#This Row],['# Stops]])*60,"")</f>
        <v/>
      </c>
      <c r="AY168" s="219"/>
      <c r="AZ168" s="33">
        <v>46199</v>
      </c>
    </row>
    <row r="169" spans="1:52" ht="20.149999999999999" customHeight="1" x14ac:dyDescent="0.35">
      <c r="A169" s="21">
        <v>46186</v>
      </c>
      <c r="B169" s="22" t="str">
        <f t="shared" si="3"/>
        <v>Saturday</v>
      </c>
      <c r="C169" s="23" t="s">
        <v>111</v>
      </c>
      <c r="D169" s="24" cm="1">
        <f t="array" aca="1" ref="D169" ca="1">IFERROR(INDIRECT(C169),"")</f>
        <v>24.5</v>
      </c>
      <c r="E169" s="25">
        <v>16</v>
      </c>
      <c r="F169" s="26">
        <v>21.1</v>
      </c>
      <c r="G169" s="27">
        <f ca="1">IFERROR((Table1[[#This Row],[Plan]]/Table1[[#This Row],[Hours Used]])/(Table1[[#This Row],[SOC (TPD)]]/24),"")</f>
        <v>0.65306122448979598</v>
      </c>
      <c r="H169" s="27">
        <f ca="1">IFERROR((Table1[[#This Row],[Volume Delivered (T)]]/Table1[[#This Row],[Hours Used]])/(Table1[[#This Row],[SOC (TPD)]]/24),"")</f>
        <v>0.86122448979591848</v>
      </c>
      <c r="I169" s="28"/>
      <c r="J169" s="28"/>
      <c r="K169" s="28"/>
      <c r="L169" s="25">
        <f>(VLOOKUP(Table1[[#This Row],[Date]],'Coated Rework Data'!$A:$F,5)/1000)</f>
        <v>1.5660000000000001</v>
      </c>
      <c r="M169" s="29">
        <v>4.3999999999999997E-2</v>
      </c>
      <c r="N169" s="84"/>
      <c r="O169" s="25"/>
      <c r="P169" s="25"/>
      <c r="Q169" s="70"/>
      <c r="R169" s="71"/>
      <c r="S169" s="30">
        <f>IF(Table1[[#This Row],[SKU]]="",0,24-Table1[[#This Row],[Legal Non-Operating Time]]-Table1[[#This Row],[No Demand Time]]-Table1[[#This Row],[Force Majeure]])</f>
        <v>24</v>
      </c>
      <c r="T169" s="26"/>
      <c r="U169" s="26"/>
      <c r="V169" s="26">
        <v>2.5</v>
      </c>
      <c r="W169" s="26"/>
      <c r="X169" s="26"/>
      <c r="Y169" s="26"/>
      <c r="Z169" s="26"/>
      <c r="AA169" s="30">
        <f>Table1[[#This Row],[Hours Used]]-SUM(Table1[[#This Row],[Planned Maintenance]:[Start and Finish Production]])</f>
        <v>21.5</v>
      </c>
      <c r="AB169" s="26"/>
      <c r="AC169" s="26"/>
      <c r="AD169" s="26"/>
      <c r="AE169" s="26"/>
      <c r="AF169" s="26"/>
      <c r="AG169" s="26"/>
      <c r="AH169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-0.7034285714285744</v>
      </c>
      <c r="AI169" s="24">
        <f ca="1">IFERROR(IF(Table1[[#This Row],[SKU]]="",0,Table1[[#This Row],[Quality Loss (T)]]/(Table1[[#This Row],[SOC (TPD)]]/24)),"")</f>
        <v>1.5340408163265309</v>
      </c>
      <c r="AJ169" s="31">
        <f ca="1">IFERROR(IF(Table1[[#This Row],[SKU]]="",0,Table1[[#This Row],[Volume Delivered (T)]]/(Table1[[#This Row],[SOC (TPD)]]/24)),"")</f>
        <v>20.669387755102044</v>
      </c>
      <c r="AK169" s="31">
        <f ca="1">IFERROR(Table1[[#This Row],[Operating Time]]/Table1[[#This Row],[PRODUCTION HOURS]],"")</f>
        <v>0.96136687233032758</v>
      </c>
      <c r="AL169" s="32">
        <v>87</v>
      </c>
      <c r="AM169" s="32" t="s">
        <v>107</v>
      </c>
      <c r="AN169" s="32" t="s">
        <v>107</v>
      </c>
      <c r="AO169" s="32">
        <v>0</v>
      </c>
      <c r="AP169" s="32">
        <v>0</v>
      </c>
      <c r="AQ169" s="32"/>
      <c r="AR169" s="32" t="str">
        <f>IFERROR(SUMIFS(#REF!,#REF!,'Data Sheet'!A:A,#REF!,"Samridhi Perk Line")/SUMIFS(#REF!,#REF!,'Data Sheet'!A:A,#REF!,"Samridhi Perk Line"),"")</f>
        <v/>
      </c>
      <c r="AS169" s="32"/>
      <c r="AT169" s="32"/>
      <c r="AU169" s="211">
        <f>IFERROR(VLOOKUP(Table1[[#This Row],[Date]],'Overweight Data'!A167:G1262,6,FALSE),"")</f>
        <v>1.9594843462246752E-2</v>
      </c>
      <c r="AV169" s="221">
        <f ca="1">IFERROR(
   IF(
      OR(Table1[[#This Row],[Operating Time]]=0, (Table1[[#This Row],[Operating Time]]/IF(AC169&lt;=1,AC169+1,AC169))*60=0),
      1,
      ((Table1[[#This Row],[Operating Time]])/IF(AC169&lt;=1,AC169+1,AC169))*60
   ),
"_")</f>
        <v>1240.1632653061226</v>
      </c>
      <c r="AW169" s="221">
        <f>COUNTIFS('Downtime Data'!A:A,Table1[[#This Row],[Date]])</f>
        <v>1</v>
      </c>
      <c r="AX169" s="219">
        <f>IFERROR((SUM(Table1[[#This Row],[Minor Stoppages]:[Material Shortages]])/Table1[[#This Row],['# Stops]])*60,"")</f>
        <v>0</v>
      </c>
      <c r="AY169" s="219"/>
      <c r="AZ169" s="33">
        <v>46199</v>
      </c>
    </row>
    <row r="170" spans="1:52" ht="20.149999999999999" customHeight="1" x14ac:dyDescent="0.35">
      <c r="A170" s="21">
        <v>46187</v>
      </c>
      <c r="B170" s="22" t="str">
        <f t="shared" si="3"/>
        <v>Sunday</v>
      </c>
      <c r="C170" s="23" t="s">
        <v>111</v>
      </c>
      <c r="D170" s="24" cm="1">
        <f t="array" aca="1" ref="D170" ca="1">IFERROR(INDIRECT(C170),"")</f>
        <v>24.5</v>
      </c>
      <c r="E170" s="25">
        <v>22</v>
      </c>
      <c r="F170" s="26">
        <v>24.000197</v>
      </c>
      <c r="G170" s="27">
        <f ca="1">IFERROR((Table1[[#This Row],[Plan]]/Table1[[#This Row],[Hours Used]])/(Table1[[#This Row],[SOC (TPD)]]/24),"")</f>
        <v>0.89795918367346939</v>
      </c>
      <c r="H170" s="27">
        <f ca="1">IFERROR((Table1[[#This Row],[Volume Delivered (T)]]/Table1[[#This Row],[Hours Used]])/(Table1[[#This Row],[SOC (TPD)]]/24),"")</f>
        <v>0.9795998775510204</v>
      </c>
      <c r="I170" s="28"/>
      <c r="J170" s="28"/>
      <c r="K170" s="28"/>
      <c r="L170" s="25"/>
      <c r="M170" s="29">
        <v>4.3999999999999997E-2</v>
      </c>
      <c r="N170" s="84">
        <v>25</v>
      </c>
      <c r="O170" s="25"/>
      <c r="P170" s="25"/>
      <c r="Q170" s="70"/>
      <c r="R170" s="71"/>
      <c r="S170" s="30">
        <f>IF(Table1[[#This Row],[SKU]]="",0,24-Table1[[#This Row],[Legal Non-Operating Time]]-Table1[[#This Row],[No Demand Time]]-Table1[[#This Row],[Force Majeure]])</f>
        <v>24</v>
      </c>
      <c r="T170" s="26"/>
      <c r="U170" s="26"/>
      <c r="V170" s="26"/>
      <c r="W170" s="26"/>
      <c r="X170" s="26"/>
      <c r="Y170" s="26"/>
      <c r="Z170" s="26"/>
      <c r="AA170" s="30">
        <f>Table1[[#This Row],[Hours Used]]-SUM(Table1[[#This Row],[Planned Maintenance]:[Start and Finish Production]])</f>
        <v>24</v>
      </c>
      <c r="AB170" s="26"/>
      <c r="AC170" s="26"/>
      <c r="AD170" s="26"/>
      <c r="AE170" s="26"/>
      <c r="AF170" s="26"/>
      <c r="AG170" s="26"/>
      <c r="AH170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0.48960293877550853</v>
      </c>
      <c r="AI170" s="24">
        <f ca="1">IFERROR(IF(Table1[[#This Row],[SKU]]="",0,Table1[[#This Row],[Quality Loss (T)]]/(Table1[[#This Row],[SOC (TPD)]]/24)),"")</f>
        <v>0</v>
      </c>
      <c r="AJ170" s="31">
        <f ca="1">IFERROR(IF(Table1[[#This Row],[SKU]]="",0,Table1[[#This Row],[Volume Delivered (T)]]/(Table1[[#This Row],[SOC (TPD)]]/24)),"")</f>
        <v>23.510397061224491</v>
      </c>
      <c r="AK170" s="31">
        <f ca="1">IFERROR(Table1[[#This Row],[Operating Time]]/Table1[[#This Row],[PRODUCTION HOURS]],"")</f>
        <v>0.97959987755102051</v>
      </c>
      <c r="AL170" s="32">
        <v>90</v>
      </c>
      <c r="AM170" s="32" t="s">
        <v>107</v>
      </c>
      <c r="AN170" s="32" t="s">
        <v>107</v>
      </c>
      <c r="AO170" s="32">
        <v>1</v>
      </c>
      <c r="AP170" s="32">
        <v>1</v>
      </c>
      <c r="AQ170" s="32"/>
      <c r="AR170" s="32" t="str">
        <f>IFERROR(SUMIFS(#REF!,#REF!,'Data Sheet'!A:A,#REF!,"Samridhi Perk Line")/SUMIFS(#REF!,#REF!,'Data Sheet'!A:A,#REF!,"Samridhi Perk Line"),"")</f>
        <v/>
      </c>
      <c r="AS170" s="32"/>
      <c r="AT170" s="32"/>
      <c r="AU170" s="211">
        <f>IFERROR(VLOOKUP(Table1[[#This Row],[Date]],'Overweight Data'!A168:G1263,6,FALSE),"")</f>
        <v>3.1556169429097593E-2</v>
      </c>
      <c r="AV170" s="221">
        <f ca="1">IFERROR(
   IF(
      OR(Table1[[#This Row],[Operating Time]]=0, (Table1[[#This Row],[Operating Time]]/IF(AC170&lt;=1,AC170+1,AC170))*60=0),
      1,
      ((Table1[[#This Row],[Operating Time]])/IF(AC170&lt;=1,AC170+1,AC170))*60
   ),
"_")</f>
        <v>1410.6238236734696</v>
      </c>
      <c r="AW170" s="221">
        <f>COUNTIFS('Downtime Data'!A:A,Table1[[#This Row],[Date]])</f>
        <v>2</v>
      </c>
      <c r="AX170" s="219">
        <f>IFERROR((SUM(Table1[[#This Row],[Minor Stoppages]:[Material Shortages]])/Table1[[#This Row],['# Stops]])*60,"")</f>
        <v>0</v>
      </c>
      <c r="AY170" s="219"/>
      <c r="AZ170" s="33">
        <v>46199</v>
      </c>
    </row>
    <row r="171" spans="1:52" ht="20.149999999999999" customHeight="1" x14ac:dyDescent="0.35">
      <c r="A171" s="21">
        <v>46188</v>
      </c>
      <c r="B171" s="22" t="str">
        <f t="shared" si="3"/>
        <v>Monday</v>
      </c>
      <c r="C171" s="23" t="s">
        <v>106</v>
      </c>
      <c r="D171" s="24" cm="1">
        <f t="array" aca="1" ref="D171" ca="1">IFERROR(INDIRECT(C171),"")</f>
        <v>39.200000000000003</v>
      </c>
      <c r="E171" s="25">
        <v>34.5</v>
      </c>
      <c r="F171" s="26">
        <v>27.145032</v>
      </c>
      <c r="G171" s="27">
        <f ca="1">IFERROR((Table1[[#This Row],[Plan]]/Table1[[#This Row],[Hours Used]])/(Table1[[#This Row],[SOC (TPD)]]/24),"")</f>
        <v>0.88010204081632648</v>
      </c>
      <c r="H171" s="27">
        <f ca="1">IFERROR((Table1[[#This Row],[Volume Delivered (T)]]/Table1[[#This Row],[Hours Used]])/(Table1[[#This Row],[SOC (TPD)]]/24),"")</f>
        <v>0.6924753061224489</v>
      </c>
      <c r="I171" s="28"/>
      <c r="J171" s="28"/>
      <c r="K171" s="28"/>
      <c r="L171" s="25">
        <f>(VLOOKUP(Table1[[#This Row],[Date]],'Coated Rework Data'!$A:$F,5)/1000)</f>
        <v>1.7589999999999999</v>
      </c>
      <c r="M171" s="29">
        <v>4.3999999999999997E-2</v>
      </c>
      <c r="N171" s="84">
        <v>25</v>
      </c>
      <c r="O171" s="25"/>
      <c r="P171" s="25"/>
      <c r="Q171" s="70"/>
      <c r="R171" s="71"/>
      <c r="S171" s="30">
        <f>IF(Table1[[#This Row],[SKU]]="",0,24-Table1[[#This Row],[Legal Non-Operating Time]]-Table1[[#This Row],[No Demand Time]]-Table1[[#This Row],[Force Majeure]])</f>
        <v>24</v>
      </c>
      <c r="T171" s="26">
        <v>1</v>
      </c>
      <c r="U171" s="26">
        <v>1</v>
      </c>
      <c r="V171" s="26"/>
      <c r="W171" s="26"/>
      <c r="X171" s="26"/>
      <c r="Y171" s="26"/>
      <c r="Z171" s="26"/>
      <c r="AA171" s="30">
        <f>Table1[[#This Row],[Hours Used]]-SUM(Table1[[#This Row],[Planned Maintenance]:[Start and Finish Production]])</f>
        <v>22</v>
      </c>
      <c r="AB171" s="26"/>
      <c r="AC171" s="26">
        <f>135/60</f>
        <v>2.25</v>
      </c>
      <c r="AD171" s="26">
        <v>0.5</v>
      </c>
      <c r="AE171" s="26"/>
      <c r="AF171" s="26"/>
      <c r="AG171" s="26"/>
      <c r="AH171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1.5536538775510209</v>
      </c>
      <c r="AI171" s="24">
        <f ca="1">IFERROR(IF(Table1[[#This Row],[SKU]]="",0,Table1[[#This Row],[Quality Loss (T)]]/(Table1[[#This Row],[SOC (TPD)]]/24)),"")</f>
        <v>1.0769387755102038</v>
      </c>
      <c r="AJ171" s="31">
        <f ca="1">IFERROR(IF(Table1[[#This Row],[SKU]]="",0,Table1[[#This Row],[Volume Delivered (T)]]/(Table1[[#This Row],[SOC (TPD)]]/24)),"")</f>
        <v>16.619407346938775</v>
      </c>
      <c r="AK171" s="31">
        <f ca="1">IFERROR(Table1[[#This Row],[Operating Time]]/Table1[[#This Row],[PRODUCTION HOURS]],"")</f>
        <v>0.75542760667903519</v>
      </c>
      <c r="AL171" s="32">
        <v>94</v>
      </c>
      <c r="AM171" s="32" t="s">
        <v>107</v>
      </c>
      <c r="AN171" s="32" t="s">
        <v>107</v>
      </c>
      <c r="AO171" s="32">
        <v>0</v>
      </c>
      <c r="AP171" s="32">
        <v>0</v>
      </c>
      <c r="AQ171" s="32"/>
      <c r="AR171" s="32" t="str">
        <f>IFERROR(SUMIFS(#REF!,#REF!,'Data Sheet'!A:A,#REF!,"Samridhi Perk Line")/SUMIFS(#REF!,#REF!,'Data Sheet'!A:A,#REF!,"Samridhi Perk Line"),"")</f>
        <v/>
      </c>
      <c r="AS171" s="32"/>
      <c r="AT171" s="32"/>
      <c r="AU171" s="211">
        <f>IFERROR(VLOOKUP(Table1[[#This Row],[Date]],'Overweight Data'!A169:G1264,6,FALSE),"")</f>
        <v>3.6482504604051565E-2</v>
      </c>
      <c r="AV171" s="221">
        <f ca="1">IFERROR(
   IF(
      OR(Table1[[#This Row],[Operating Time]]=0, (Table1[[#This Row],[Operating Time]]/IF(AC171&lt;=1,AC171+1,AC171))*60=0),
      1,
      ((Table1[[#This Row],[Operating Time]])/IF(AC171&lt;=1,AC171+1,AC171))*60
   ),
"_")</f>
        <v>443.18419591836732</v>
      </c>
      <c r="AW171" s="221">
        <f>COUNTIFS('Downtime Data'!A:A,Table1[[#This Row],[Date]])</f>
        <v>3</v>
      </c>
      <c r="AX171" s="219">
        <f>IFERROR((SUM(Table1[[#This Row],[Minor Stoppages]:[Material Shortages]])/Table1[[#This Row],['# Stops]])*60,"")</f>
        <v>55</v>
      </c>
      <c r="AY171" s="219"/>
      <c r="AZ171" s="33">
        <v>46199</v>
      </c>
    </row>
    <row r="172" spans="1:52" ht="20.149999999999999" customHeight="1" x14ac:dyDescent="0.35">
      <c r="A172" s="21">
        <v>46189</v>
      </c>
      <c r="B172" s="22" t="str">
        <f t="shared" si="3"/>
        <v>Tuesday</v>
      </c>
      <c r="C172" s="23" t="s">
        <v>106</v>
      </c>
      <c r="D172" s="24" cm="1">
        <f t="array" aca="1" ref="D172" ca="1">IFERROR(INDIRECT(C172),"")</f>
        <v>39.200000000000003</v>
      </c>
      <c r="E172" s="25">
        <v>16.5</v>
      </c>
      <c r="F172" s="26">
        <v>30</v>
      </c>
      <c r="G172" s="27">
        <f ca="1">IFERROR((Table1[[#This Row],[Plan]]/Table1[[#This Row],[Hours Used]])/(Table1[[#This Row],[SOC (TPD)]]/24),"")</f>
        <v>0.42091836734693872</v>
      </c>
      <c r="H172" s="27">
        <f ca="1">IFERROR((Table1[[#This Row],[Volume Delivered (T)]]/Table1[[#This Row],[Hours Used]])/(Table1[[#This Row],[SOC (TPD)]]/24),"")</f>
        <v>0.76530612244897955</v>
      </c>
      <c r="I172" s="28"/>
      <c r="J172" s="28"/>
      <c r="K172" s="28"/>
      <c r="L172" s="25">
        <f>(VLOOKUP(Table1[[#This Row],[Date]],'Coated Rework Data'!$A:$F,5)/1000)</f>
        <v>1.768</v>
      </c>
      <c r="M172" s="29">
        <v>4.3999999999999997E-2</v>
      </c>
      <c r="N172" s="84"/>
      <c r="O172" s="25"/>
      <c r="P172" s="25"/>
      <c r="Q172" s="70"/>
      <c r="R172" s="71"/>
      <c r="S172" s="30">
        <f>IF(Table1[[#This Row],[SKU]]="",0,24-Table1[[#This Row],[Legal Non-Operating Time]]-Table1[[#This Row],[No Demand Time]]-Table1[[#This Row],[Force Majeure]])</f>
        <v>24</v>
      </c>
      <c r="T172" s="26"/>
      <c r="U172" s="26"/>
      <c r="V172" s="26"/>
      <c r="W172" s="26"/>
      <c r="X172" s="26"/>
      <c r="Y172" s="26"/>
      <c r="Z172" s="26"/>
      <c r="AA172" s="30">
        <f>Table1[[#This Row],[Hours Used]]-SUM(Table1[[#This Row],[Planned Maintenance]:[Start and Finish Production]])</f>
        <v>24</v>
      </c>
      <c r="AB172" s="26"/>
      <c r="AC172" s="26">
        <v>3.35</v>
      </c>
      <c r="AD172" s="26"/>
      <c r="AE172" s="26"/>
      <c r="AF172" s="26"/>
      <c r="AG172" s="26"/>
      <c r="AH172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1.200204081632652</v>
      </c>
      <c r="AI172" s="24">
        <f ca="1">IFERROR(IF(Table1[[#This Row],[SKU]]="",0,Table1[[#This Row],[Quality Loss (T)]]/(Table1[[#This Row],[SOC (TPD)]]/24)),"")</f>
        <v>1.0824489795918366</v>
      </c>
      <c r="AJ172" s="31">
        <f ca="1">IFERROR(IF(Table1[[#This Row],[SKU]]="",0,Table1[[#This Row],[Volume Delivered (T)]]/(Table1[[#This Row],[SOC (TPD)]]/24)),"")</f>
        <v>18.367346938775508</v>
      </c>
      <c r="AK172" s="31">
        <f ca="1">IFERROR(Table1[[#This Row],[Operating Time]]/Table1[[#This Row],[PRODUCTION HOURS]],"")</f>
        <v>0.76530612244897955</v>
      </c>
      <c r="AL172" s="32">
        <v>84</v>
      </c>
      <c r="AM172" s="32" t="s">
        <v>107</v>
      </c>
      <c r="AN172" s="32" t="s">
        <v>107</v>
      </c>
      <c r="AO172" s="32">
        <v>0</v>
      </c>
      <c r="AP172" s="32">
        <v>0</v>
      </c>
      <c r="AQ172" s="32"/>
      <c r="AR172" s="32" t="str">
        <f>IFERROR(SUMIFS(#REF!,#REF!,'Data Sheet'!A:A,#REF!,"Samridhi Perk Line")/SUMIFS(#REF!,#REF!,'Data Sheet'!A:A,#REF!,"Samridhi Perk Line"),"")</f>
        <v/>
      </c>
      <c r="AS172" s="32"/>
      <c r="AT172" s="32"/>
      <c r="AU172" s="211">
        <f>IFERROR(VLOOKUP(Table1[[#This Row],[Date]],'Overweight Data'!A170:G1265,6,FALSE),"")</f>
        <v>2.1146408839779009E-2</v>
      </c>
      <c r="AV172" s="221">
        <f ca="1">IFERROR(
   IF(
      OR(Table1[[#This Row],[Operating Time]]=0, (Table1[[#This Row],[Operating Time]]/IF(AC172&lt;=1,AC172+1,AC172))*60=0),
      1,
      ((Table1[[#This Row],[Operating Time]])/IF(AC172&lt;=1,AC172+1,AC172))*60
   ),
"_")</f>
        <v>328.96740785866581</v>
      </c>
      <c r="AW172" s="221">
        <f>COUNTIFS('Downtime Data'!A:A,Table1[[#This Row],[Date]])</f>
        <v>1</v>
      </c>
      <c r="AX172" s="219">
        <f>IFERROR((SUM(Table1[[#This Row],[Minor Stoppages]:[Material Shortages]])/Table1[[#This Row],['# Stops]])*60,"")</f>
        <v>201</v>
      </c>
      <c r="AY172" s="219"/>
      <c r="AZ172" s="33">
        <v>46199</v>
      </c>
    </row>
    <row r="173" spans="1:52" ht="20.149999999999999" customHeight="1" x14ac:dyDescent="0.35">
      <c r="A173" s="21">
        <v>46190</v>
      </c>
      <c r="B173" s="22" t="str">
        <f t="shared" si="3"/>
        <v>Wednesday</v>
      </c>
      <c r="C173" s="23" t="s">
        <v>106</v>
      </c>
      <c r="D173" s="24" cm="1">
        <f t="array" aca="1" ref="D173" ca="1">IFERROR(INDIRECT(C173),"")</f>
        <v>39.200000000000003</v>
      </c>
      <c r="E173" s="25">
        <v>36.5</v>
      </c>
      <c r="F173" s="26">
        <v>26.9</v>
      </c>
      <c r="G173" s="27">
        <f ca="1">IFERROR((Table1[[#This Row],[Plan]]/Table1[[#This Row],[Hours Used]])/(Table1[[#This Row],[SOC (TPD)]]/24),"")</f>
        <v>0.93112244897959173</v>
      </c>
      <c r="H173" s="27">
        <f ca="1">IFERROR((Table1[[#This Row],[Volume Delivered (T)]]/Table1[[#This Row],[Hours Used]])/(Table1[[#This Row],[SOC (TPD)]]/24),"")</f>
        <v>0.68622448979591832</v>
      </c>
      <c r="I173" s="28"/>
      <c r="J173" s="28"/>
      <c r="K173" s="28"/>
      <c r="L173" s="25">
        <f>(VLOOKUP(Table1[[#This Row],[Date]],'Coated Rework Data'!$A:$F,5)/1000)</f>
        <v>1.575</v>
      </c>
      <c r="M173" s="29">
        <v>4.3999999999999997E-2</v>
      </c>
      <c r="N173" s="84"/>
      <c r="O173" s="25"/>
      <c r="P173" s="25"/>
      <c r="Q173" s="70"/>
      <c r="R173" s="71"/>
      <c r="S173" s="30">
        <f>IF(Table1[[#This Row],[SKU]]="",0,24-Table1[[#This Row],[Legal Non-Operating Time]]-Table1[[#This Row],[No Demand Time]]-Table1[[#This Row],[Force Majeure]])</f>
        <v>24</v>
      </c>
      <c r="T173" s="26"/>
      <c r="U173" s="26"/>
      <c r="V173" s="26"/>
      <c r="W173" s="26"/>
      <c r="X173" s="26"/>
      <c r="Y173" s="26"/>
      <c r="Z173" s="26"/>
      <c r="AA173" s="30">
        <f>Table1[[#This Row],[Hours Used]]-SUM(Table1[[#This Row],[Planned Maintenance]:[Start and Finish Production]])</f>
        <v>24</v>
      </c>
      <c r="AB173" s="26"/>
      <c r="AC173" s="26">
        <v>6</v>
      </c>
      <c r="AD173" s="26">
        <v>0.4</v>
      </c>
      <c r="AE173" s="26"/>
      <c r="AF173" s="26"/>
      <c r="AG173" s="26"/>
      <c r="AH173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0.166326530612249</v>
      </c>
      <c r="AI173" s="24">
        <f ca="1">IFERROR(IF(Table1[[#This Row],[SKU]]="",0,Table1[[#This Row],[Quality Loss (T)]]/(Table1[[#This Row],[SOC (TPD)]]/24)),"")</f>
        <v>0.96428571428571419</v>
      </c>
      <c r="AJ173" s="31">
        <f ca="1">IFERROR(IF(Table1[[#This Row],[SKU]]="",0,Table1[[#This Row],[Volume Delivered (T)]]/(Table1[[#This Row],[SOC (TPD)]]/24)),"")</f>
        <v>16.469387755102037</v>
      </c>
      <c r="AK173" s="31">
        <f ca="1">IFERROR(Table1[[#This Row],[Operating Time]]/Table1[[#This Row],[PRODUCTION HOURS]],"")</f>
        <v>0.68622448979591821</v>
      </c>
      <c r="AL173" s="32">
        <v>74</v>
      </c>
      <c r="AM173" s="32" t="s">
        <v>107</v>
      </c>
      <c r="AN173" s="32" t="s">
        <v>107</v>
      </c>
      <c r="AO173" s="32">
        <v>0</v>
      </c>
      <c r="AP173" s="32">
        <v>0</v>
      </c>
      <c r="AQ173" s="32"/>
      <c r="AR173" s="32" t="str">
        <f>IFERROR(SUMIFS(#REF!,#REF!,'Data Sheet'!A:A,#REF!,"Samridhi Perk Line")/SUMIFS(#REF!,#REF!,'Data Sheet'!A:A,#REF!,"Samridhi Perk Line"),"")</f>
        <v/>
      </c>
      <c r="AS173" s="32"/>
      <c r="AT173" s="32"/>
      <c r="AU173" s="211">
        <f>IFERROR(VLOOKUP(Table1[[#This Row],[Date]],'Overweight Data'!A171:G1266,6,FALSE),"")</f>
        <v>3.6919889502762454E-2</v>
      </c>
      <c r="AV173" s="221">
        <f ca="1">IFERROR(
   IF(
      OR(Table1[[#This Row],[Operating Time]]=0, (Table1[[#This Row],[Operating Time]]/IF(AC173&lt;=1,AC173+1,AC173))*60=0),
      1,
      ((Table1[[#This Row],[Operating Time]])/IF(AC173&lt;=1,AC173+1,AC173))*60
   ),
"_")</f>
        <v>164.69387755102036</v>
      </c>
      <c r="AW173" s="221">
        <f>COUNTIFS('Downtime Data'!A:A,Table1[[#This Row],[Date]])</f>
        <v>5</v>
      </c>
      <c r="AX173" s="219">
        <f>IFERROR((SUM(Table1[[#This Row],[Minor Stoppages]:[Material Shortages]])/Table1[[#This Row],['# Stops]])*60,"")</f>
        <v>76.8</v>
      </c>
      <c r="AY173" s="219"/>
      <c r="AZ173" s="33">
        <v>46199</v>
      </c>
    </row>
    <row r="174" spans="1:52" ht="20.149999999999999" customHeight="1" x14ac:dyDescent="0.35">
      <c r="A174" s="21">
        <v>46191</v>
      </c>
      <c r="B174" s="22" t="str">
        <f t="shared" si="3"/>
        <v>Thursday</v>
      </c>
      <c r="C174" s="23" t="s">
        <v>106</v>
      </c>
      <c r="D174" s="24" cm="1">
        <f t="array" aca="1" ref="D174" ca="1">IFERROR(INDIRECT(C174),"")</f>
        <v>39.200000000000003</v>
      </c>
      <c r="E174" s="25">
        <v>33.5</v>
      </c>
      <c r="F174" s="26">
        <v>30</v>
      </c>
      <c r="G174" s="27">
        <f ca="1">IFERROR((Table1[[#This Row],[Plan]]/Table1[[#This Row],[Hours Used]])/(Table1[[#This Row],[SOC (TPD)]]/24),"")</f>
        <v>0.85459183673469374</v>
      </c>
      <c r="H174" s="27">
        <f ca="1">IFERROR((Table1[[#This Row],[Volume Delivered (T)]]/Table1[[#This Row],[Hours Used]])/(Table1[[#This Row],[SOC (TPD)]]/24),"")</f>
        <v>0.76530612244897955</v>
      </c>
      <c r="I174" s="28"/>
      <c r="J174" s="28"/>
      <c r="K174" s="28"/>
      <c r="L174" s="25">
        <f>(VLOOKUP(Table1[[#This Row],[Date]],'Coated Rework Data'!$A:$F,5)/1000)</f>
        <v>1.4379999999999999</v>
      </c>
      <c r="M174" s="29">
        <v>4.3999999999999997E-2</v>
      </c>
      <c r="N174" s="84">
        <v>22</v>
      </c>
      <c r="O174" s="25"/>
      <c r="P174" s="25"/>
      <c r="Q174" s="70"/>
      <c r="R174" s="71"/>
      <c r="S174" s="30">
        <f>IF(Table1[[#This Row],[SKU]]="",0,24-Table1[[#This Row],[Legal Non-Operating Time]]-Table1[[#This Row],[No Demand Time]]-Table1[[#This Row],[Force Majeure]])</f>
        <v>24</v>
      </c>
      <c r="T174" s="26">
        <v>1</v>
      </c>
      <c r="U174" s="26"/>
      <c r="V174" s="26"/>
      <c r="W174" s="26"/>
      <c r="X174" s="26"/>
      <c r="Y174" s="26"/>
      <c r="Z174" s="26"/>
      <c r="AA174" s="30">
        <f>Table1[[#This Row],[Hours Used]]-SUM(Table1[[#This Row],[Planned Maintenance]:[Start and Finish Production]])</f>
        <v>23</v>
      </c>
      <c r="AB174" s="26"/>
      <c r="AC174" s="26"/>
      <c r="AD174" s="26">
        <v>2</v>
      </c>
      <c r="AE174" s="26"/>
      <c r="AF174" s="26"/>
      <c r="AG174" s="26"/>
      <c r="AH174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1.7522448979591871</v>
      </c>
      <c r="AI174" s="24">
        <f ca="1">IFERROR(IF(Table1[[#This Row],[SKU]]="",0,Table1[[#This Row],[Quality Loss (T)]]/(Table1[[#This Row],[SOC (TPD)]]/24)),"")</f>
        <v>0.88040816326530602</v>
      </c>
      <c r="AJ174" s="31">
        <f ca="1">IFERROR(IF(Table1[[#This Row],[SKU]]="",0,Table1[[#This Row],[Volume Delivered (T)]]/(Table1[[#This Row],[SOC (TPD)]]/24)),"")</f>
        <v>18.367346938775508</v>
      </c>
      <c r="AK174" s="31">
        <f ca="1">IFERROR(Table1[[#This Row],[Operating Time]]/Table1[[#This Row],[PRODUCTION HOURS]],"")</f>
        <v>0.79858030168589167</v>
      </c>
      <c r="AL174" s="32">
        <v>93</v>
      </c>
      <c r="AM174" s="32" t="s">
        <v>107</v>
      </c>
      <c r="AN174" s="32" t="s">
        <v>107</v>
      </c>
      <c r="AO174" s="32">
        <v>3</v>
      </c>
      <c r="AP174" s="32">
        <v>3</v>
      </c>
      <c r="AQ174" s="32"/>
      <c r="AR174" s="32" t="str">
        <f>IFERROR(SUMIFS(#REF!,#REF!,'Data Sheet'!A:A,#REF!,"Samridhi Perk Line")/SUMIFS(#REF!,#REF!,'Data Sheet'!A:A,#REF!,"Samridhi Perk Line"),"")</f>
        <v/>
      </c>
      <c r="AS174" s="32"/>
      <c r="AT174" s="32"/>
      <c r="AU174" s="211">
        <f>IFERROR(VLOOKUP(Table1[[#This Row],[Date]],'Overweight Data'!A172:G1267,6,FALSE),"")</f>
        <v>2.1206261510128888E-2</v>
      </c>
      <c r="AV174" s="221">
        <f ca="1">IFERROR(
   IF(
      OR(Table1[[#This Row],[Operating Time]]=0, (Table1[[#This Row],[Operating Time]]/IF(AC174&lt;=1,AC174+1,AC174))*60=0),
      1,
      ((Table1[[#This Row],[Operating Time]])/IF(AC174&lt;=1,AC174+1,AC174))*60
   ),
"_")</f>
        <v>1102.0408163265306</v>
      </c>
      <c r="AW174" s="221">
        <f>COUNTIFS('Downtime Data'!A:A,Table1[[#This Row],[Date]])</f>
        <v>2</v>
      </c>
      <c r="AX174" s="219">
        <f>IFERROR((SUM(Table1[[#This Row],[Minor Stoppages]:[Material Shortages]])/Table1[[#This Row],['# Stops]])*60,"")</f>
        <v>60</v>
      </c>
      <c r="AY174" s="219"/>
      <c r="AZ174" s="33">
        <v>46199</v>
      </c>
    </row>
    <row r="175" spans="1:52" ht="20.149999999999999" customHeight="1" x14ac:dyDescent="0.35">
      <c r="A175" s="21">
        <v>46192</v>
      </c>
      <c r="B175" s="22" t="str">
        <f t="shared" si="3"/>
        <v>Friday</v>
      </c>
      <c r="C175" s="23" t="s">
        <v>106</v>
      </c>
      <c r="D175" s="24" cm="1">
        <f t="array" aca="1" ref="D175" ca="1">IFERROR(INDIRECT(C175),"")</f>
        <v>39.200000000000003</v>
      </c>
      <c r="E175" s="25">
        <v>37</v>
      </c>
      <c r="F175" s="26">
        <f>34-4</f>
        <v>30</v>
      </c>
      <c r="G175" s="27">
        <f ca="1">IFERROR((Table1[[#This Row],[Plan]]/Table1[[#This Row],[Hours Used]])/(Table1[[#This Row],[SOC (TPD)]]/24),"")</f>
        <v>0.94387755102040805</v>
      </c>
      <c r="H175" s="27">
        <f ca="1">IFERROR((Table1[[#This Row],[Volume Delivered (T)]]/Table1[[#This Row],[Hours Used]])/(Table1[[#This Row],[SOC (TPD)]]/24),"")</f>
        <v>0.76530612244897955</v>
      </c>
      <c r="I175" s="28"/>
      <c r="J175" s="28"/>
      <c r="K175" s="28"/>
      <c r="L175" s="25">
        <f>(VLOOKUP(Table1[[#This Row],[Date]],'Coated Rework Data'!$A:$F,5)/1000)</f>
        <v>1.637</v>
      </c>
      <c r="M175" s="29">
        <v>4.3999999999999997E-2</v>
      </c>
      <c r="N175" s="84"/>
      <c r="O175" s="25"/>
      <c r="P175" s="25"/>
      <c r="Q175" s="70"/>
      <c r="R175" s="71"/>
      <c r="S175" s="30">
        <f>IF(Table1[[#This Row],[SKU]]="",0,24-Table1[[#This Row],[Legal Non-Operating Time]]-Table1[[#This Row],[No Demand Time]]-Table1[[#This Row],[Force Majeure]])</f>
        <v>24</v>
      </c>
      <c r="T175" s="26">
        <v>1</v>
      </c>
      <c r="U175" s="26"/>
      <c r="V175" s="26">
        <v>1</v>
      </c>
      <c r="W175" s="26"/>
      <c r="X175" s="26"/>
      <c r="Y175" s="26"/>
      <c r="Z175" s="26"/>
      <c r="AA175" s="30">
        <f>Table1[[#This Row],[Hours Used]]-SUM(Table1[[#This Row],[Planned Maintenance]:[Start and Finish Production]])</f>
        <v>22</v>
      </c>
      <c r="AB175" s="26"/>
      <c r="AC175" s="26">
        <f>38/60</f>
        <v>0.6333333333333333</v>
      </c>
      <c r="AD175" s="26"/>
      <c r="AE175" s="26"/>
      <c r="AF175" s="26"/>
      <c r="AG175" s="26"/>
      <c r="AH175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1.9970748299319752</v>
      </c>
      <c r="AI175" s="24">
        <f ca="1">IFERROR(IF(Table1[[#This Row],[SKU]]="",0,Table1[[#This Row],[Quality Loss (T)]]/(Table1[[#This Row],[SOC (TPD)]]/24)),"")</f>
        <v>1.0022448979591836</v>
      </c>
      <c r="AJ175" s="31">
        <f ca="1">IFERROR(IF(Table1[[#This Row],[SKU]]="",0,Table1[[#This Row],[Volume Delivered (T)]]/(Table1[[#This Row],[SOC (TPD)]]/24)),"")</f>
        <v>18.367346938775508</v>
      </c>
      <c r="AK175" s="31">
        <f ca="1">IFERROR(Table1[[#This Row],[Operating Time]]/Table1[[#This Row],[PRODUCTION HOURS]],"")</f>
        <v>0.83487940630797763</v>
      </c>
      <c r="AL175" s="32">
        <v>96</v>
      </c>
      <c r="AM175" s="32" t="s">
        <v>107</v>
      </c>
      <c r="AN175" s="32" t="s">
        <v>107</v>
      </c>
      <c r="AO175" s="32">
        <v>0</v>
      </c>
      <c r="AP175" s="32">
        <v>0</v>
      </c>
      <c r="AQ175" s="32"/>
      <c r="AR175" s="32" t="str">
        <f>IFERROR(SUMIFS(#REF!,#REF!,'Data Sheet'!A:A,#REF!,"Samridhi Perk Line")/SUMIFS(#REF!,#REF!,'Data Sheet'!A:A,#REF!,"Samridhi Perk Line"),"")</f>
        <v/>
      </c>
      <c r="AS175" s="32"/>
      <c r="AT175" s="32"/>
      <c r="AU175" s="211">
        <f>IFERROR(VLOOKUP(Table1[[#This Row],[Date]],'Overweight Data'!A173:G1268,6,FALSE),"")</f>
        <v>7.559852670349837E-3</v>
      </c>
      <c r="AV175" s="221">
        <f ca="1">IFERROR(
   IF(
      OR(Table1[[#This Row],[Operating Time]]=0, (Table1[[#This Row],[Operating Time]]/IF(AC175&lt;=1,AC175+1,AC175))*60=0),
      1,
      ((Table1[[#This Row],[Operating Time]])/IF(AC175&lt;=1,AC175+1,AC175))*60
   ),
"_")</f>
        <v>674.71886713869219</v>
      </c>
      <c r="AW175" s="221">
        <f>COUNTIFS('Downtime Data'!A:A,Table1[[#This Row],[Date]])</f>
        <v>1</v>
      </c>
      <c r="AX175" s="219">
        <f>IFERROR((SUM(Table1[[#This Row],[Minor Stoppages]:[Material Shortages]])/Table1[[#This Row],['# Stops]])*60,"")</f>
        <v>38</v>
      </c>
      <c r="AY175" s="219"/>
      <c r="AZ175" s="33">
        <v>46199</v>
      </c>
    </row>
    <row r="176" spans="1:52" ht="20.149999999999999" customHeight="1" x14ac:dyDescent="0.35">
      <c r="A176" s="21">
        <v>46193</v>
      </c>
      <c r="B176" s="22" t="str">
        <f t="shared" si="3"/>
        <v>Saturday</v>
      </c>
      <c r="C176" s="23" t="s">
        <v>106</v>
      </c>
      <c r="D176" s="24" cm="1">
        <f t="array" aca="1" ref="D176" ca="1">IFERROR(INDIRECT(C176),"")</f>
        <v>39.200000000000003</v>
      </c>
      <c r="E176" s="25">
        <v>36</v>
      </c>
      <c r="F176" s="26">
        <v>12.9</v>
      </c>
      <c r="G176" s="27">
        <f ca="1">IFERROR((Table1[[#This Row],[Plan]]/Table1[[#This Row],[Hours Used]])/(Table1[[#This Row],[SOC (TPD)]]/24),"")</f>
        <v>0.91836734693877542</v>
      </c>
      <c r="H176" s="27">
        <f ca="1">IFERROR((Table1[[#This Row],[Volume Delivered (T)]]/Table1[[#This Row],[Hours Used]])/(Table1[[#This Row],[SOC (TPD)]]/24),"")</f>
        <v>0.32908163265306117</v>
      </c>
      <c r="I176" s="28"/>
      <c r="J176" s="28"/>
      <c r="K176" s="28"/>
      <c r="L176" s="25">
        <f>(VLOOKUP(Table1[[#This Row],[Date]],'Coated Rework Data'!$A:$F,5)/1000)</f>
        <v>1.069</v>
      </c>
      <c r="M176" s="29">
        <v>4.3999999999999997E-2</v>
      </c>
      <c r="N176" s="84"/>
      <c r="O176" s="25"/>
      <c r="P176" s="25"/>
      <c r="Q176" s="70"/>
      <c r="R176" s="71"/>
      <c r="S176" s="30">
        <f>IF(Table1[[#This Row],[SKU]]="",0,24-Table1[[#This Row],[Legal Non-Operating Time]]-Table1[[#This Row],[No Demand Time]]-Table1[[#This Row],[Force Majeure]])</f>
        <v>24</v>
      </c>
      <c r="T176" s="26"/>
      <c r="U176" s="26"/>
      <c r="V176" s="26">
        <v>12</v>
      </c>
      <c r="W176" s="26"/>
      <c r="X176" s="26"/>
      <c r="Y176" s="26"/>
      <c r="Z176" s="26"/>
      <c r="AA176" s="30">
        <f>Table1[[#This Row],[Hours Used]]-SUM(Table1[[#This Row],[Planned Maintenance]:[Start and Finish Production]])</f>
        <v>12</v>
      </c>
      <c r="AB176" s="26"/>
      <c r="AC176" s="26"/>
      <c r="AD176" s="26"/>
      <c r="AE176" s="26"/>
      <c r="AF176" s="26"/>
      <c r="AG176" s="26"/>
      <c r="AH176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3.4475510204081639</v>
      </c>
      <c r="AI176" s="24">
        <f ca="1">IFERROR(IF(Table1[[#This Row],[SKU]]="",0,Table1[[#This Row],[Quality Loss (T)]]/(Table1[[#This Row],[SOC (TPD)]]/24)),"")</f>
        <v>0.6544897959183672</v>
      </c>
      <c r="AJ176" s="31">
        <f ca="1">IFERROR(IF(Table1[[#This Row],[SKU]]="",0,Table1[[#This Row],[Volume Delivered (T)]]/(Table1[[#This Row],[SOC (TPD)]]/24)),"")</f>
        <v>7.8979591836734686</v>
      </c>
      <c r="AK176" s="31">
        <f ca="1">IFERROR(Table1[[#This Row],[Operating Time]]/Table1[[#This Row],[PRODUCTION HOURS]],"")</f>
        <v>0.65816326530612235</v>
      </c>
      <c r="AL176" s="32">
        <v>91</v>
      </c>
      <c r="AM176" s="32" t="s">
        <v>107</v>
      </c>
      <c r="AN176" s="32" t="s">
        <v>107</v>
      </c>
      <c r="AO176" s="32">
        <v>0</v>
      </c>
      <c r="AP176" s="32">
        <v>0</v>
      </c>
      <c r="AQ176" s="32"/>
      <c r="AR176" s="32" t="str">
        <f>IFERROR(SUMIFS(#REF!,#REF!,'Data Sheet'!A:A,#REF!,"Samridhi Perk Line")/SUMIFS(#REF!,#REF!,'Data Sheet'!A:A,#REF!,"Samridhi Perk Line"),"")</f>
        <v/>
      </c>
      <c r="AS176" s="32"/>
      <c r="AT176" s="32"/>
      <c r="AU176" s="211">
        <f>IFERROR(VLOOKUP(Table1[[#This Row],[Date]],'Overweight Data'!A174:G1269,6,FALSE),"")</f>
        <v>1.6860036832412478E-2</v>
      </c>
      <c r="AV176" s="221">
        <f ca="1">IFERROR(
   IF(
      OR(Table1[[#This Row],[Operating Time]]=0, (Table1[[#This Row],[Operating Time]]/IF(AC176&lt;=1,AC176+1,AC176))*60=0),
      1,
      ((Table1[[#This Row],[Operating Time]])/IF(AC176&lt;=1,AC176+1,AC176))*60
   ),
"_")</f>
        <v>473.87755102040813</v>
      </c>
      <c r="AW176" s="221">
        <f>COUNTIFS('Downtime Data'!A:A,Table1[[#This Row],[Date]])</f>
        <v>1</v>
      </c>
      <c r="AX176" s="219">
        <f>IFERROR((SUM(Table1[[#This Row],[Minor Stoppages]:[Material Shortages]])/Table1[[#This Row],['# Stops]])*60,"")</f>
        <v>0</v>
      </c>
      <c r="AY176" s="219"/>
      <c r="AZ176" s="33">
        <v>46199</v>
      </c>
    </row>
    <row r="177" spans="1:52" ht="20.149999999999999" customHeight="1" x14ac:dyDescent="0.35">
      <c r="A177" s="21">
        <v>46194</v>
      </c>
      <c r="B177" s="22" t="str">
        <f t="shared" si="3"/>
        <v>Sunday</v>
      </c>
      <c r="C177" s="23" t="s">
        <v>106</v>
      </c>
      <c r="D177" s="24" cm="1">
        <f t="array" aca="1" ref="D177" ca="1">IFERROR(INDIRECT(C177),"")</f>
        <v>39.200000000000003</v>
      </c>
      <c r="E177" s="25">
        <v>38</v>
      </c>
      <c r="F177" s="26">
        <v>30.2</v>
      </c>
      <c r="G177" s="27">
        <f ca="1">IFERROR((Table1[[#This Row],[Plan]]/Table1[[#This Row],[Hours Used]])/(Table1[[#This Row],[SOC (TPD)]]/24),"")</f>
        <v>0.96938775510204067</v>
      </c>
      <c r="H177" s="27">
        <f ca="1">IFERROR((Table1[[#This Row],[Volume Delivered (T)]]/Table1[[#This Row],[Hours Used]])/(Table1[[#This Row],[SOC (TPD)]]/24),"")</f>
        <v>0.77040816326530603</v>
      </c>
      <c r="I177" s="28"/>
      <c r="J177" s="28"/>
      <c r="K177" s="28"/>
      <c r="L177" s="25">
        <f>(VLOOKUP(Table1[[#This Row],[Date]],'Coated Rework Data'!$A:$F,5)/1000)</f>
        <v>1.7689999999999999</v>
      </c>
      <c r="M177" s="29">
        <v>4.3999999999999997E-2</v>
      </c>
      <c r="N177" s="84"/>
      <c r="O177" s="25"/>
      <c r="P177" s="25"/>
      <c r="Q177" s="70"/>
      <c r="R177" s="71"/>
      <c r="S177" s="30">
        <f>IF(Table1[[#This Row],[SKU]]="",0,24-Table1[[#This Row],[Legal Non-Operating Time]]-Table1[[#This Row],[No Demand Time]]-Table1[[#This Row],[Force Majeure]])</f>
        <v>24</v>
      </c>
      <c r="T177" s="26"/>
      <c r="U177" s="26"/>
      <c r="V177" s="26"/>
      <c r="W177" s="26"/>
      <c r="X177" s="26"/>
      <c r="Y177" s="26"/>
      <c r="Z177" s="26"/>
      <c r="AA177" s="30">
        <f>Table1[[#This Row],[Hours Used]]-SUM(Table1[[#This Row],[Planned Maintenance]:[Start and Finish Production]])</f>
        <v>24</v>
      </c>
      <c r="AB177" s="26"/>
      <c r="AC177" s="26"/>
      <c r="AD177" s="26"/>
      <c r="AE177" s="26"/>
      <c r="AF177" s="26"/>
      <c r="AG177" s="26"/>
      <c r="AH177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4.4271428571428579</v>
      </c>
      <c r="AI177" s="24">
        <f ca="1">IFERROR(IF(Table1[[#This Row],[SKU]]="",0,Table1[[#This Row],[Quality Loss (T)]]/(Table1[[#This Row],[SOC (TPD)]]/24)),"")</f>
        <v>1.0830612244897957</v>
      </c>
      <c r="AJ177" s="31">
        <f ca="1">IFERROR(IF(Table1[[#This Row],[SKU]]="",0,Table1[[#This Row],[Volume Delivered (T)]]/(Table1[[#This Row],[SOC (TPD)]]/24)),"")</f>
        <v>18.489795918367346</v>
      </c>
      <c r="AK177" s="31">
        <f ca="1">IFERROR(Table1[[#This Row],[Operating Time]]/Table1[[#This Row],[PRODUCTION HOURS]],"")</f>
        <v>0.77040816326530603</v>
      </c>
      <c r="AL177" s="32">
        <v>98</v>
      </c>
      <c r="AM177" s="32" t="s">
        <v>107</v>
      </c>
      <c r="AN177" s="32" t="s">
        <v>107</v>
      </c>
      <c r="AO177" s="32">
        <v>19</v>
      </c>
      <c r="AP177" s="32">
        <v>19</v>
      </c>
      <c r="AQ177" s="32"/>
      <c r="AR177" s="32" t="str">
        <f>IFERROR(SUMIFS(#REF!,#REF!,'Data Sheet'!A:A,#REF!,"Samridhi Perk Line")/SUMIFS(#REF!,#REF!,'Data Sheet'!A:A,#REF!,"Samridhi Perk Line"),"")</f>
        <v/>
      </c>
      <c r="AS177" s="32"/>
      <c r="AT177" s="32"/>
      <c r="AU177" s="211">
        <f>IFERROR(VLOOKUP(Table1[[#This Row],[Date]],'Overweight Data'!A175:G1270,6,FALSE),"")</f>
        <v>1.9981583793738478E-2</v>
      </c>
      <c r="AV177" s="221">
        <f ca="1">IFERROR(
   IF(
      OR(Table1[[#This Row],[Operating Time]]=0, (Table1[[#This Row],[Operating Time]]/IF(AC177&lt;=1,AC177+1,AC177))*60=0),
      1,
      ((Table1[[#This Row],[Operating Time]])/IF(AC177&lt;=1,AC177+1,AC177))*60
   ),
"_")</f>
        <v>1109.3877551020407</v>
      </c>
      <c r="AW177" s="221">
        <f>COUNTIFS('Downtime Data'!A:A,Table1[[#This Row],[Date]])</f>
        <v>0</v>
      </c>
      <c r="AX177" s="219" t="str">
        <f>IFERROR((SUM(Table1[[#This Row],[Minor Stoppages]:[Material Shortages]])/Table1[[#This Row],['# Stops]])*60,"")</f>
        <v/>
      </c>
      <c r="AY177" s="219"/>
      <c r="AZ177" s="33">
        <v>46199</v>
      </c>
    </row>
    <row r="178" spans="1:52" ht="20.149999999999999" customHeight="1" x14ac:dyDescent="0.35">
      <c r="A178" s="21">
        <v>46195</v>
      </c>
      <c r="B178" s="22" t="str">
        <f t="shared" si="3"/>
        <v>Monday</v>
      </c>
      <c r="C178" s="23" t="s">
        <v>106</v>
      </c>
      <c r="D178" s="24" cm="1">
        <f t="array" aca="1" ref="D178" ca="1">IFERROR(INDIRECT(C178),"")</f>
        <v>39.200000000000003</v>
      </c>
      <c r="E178" s="25">
        <v>33</v>
      </c>
      <c r="F178" s="26">
        <v>30</v>
      </c>
      <c r="G178" s="27">
        <f ca="1">IFERROR((Table1[[#This Row],[Plan]]/Table1[[#This Row],[Hours Used]])/(Table1[[#This Row],[SOC (TPD)]]/24),"")</f>
        <v>0.84183673469387743</v>
      </c>
      <c r="H178" s="27">
        <f ca="1">IFERROR((Table1[[#This Row],[Volume Delivered (T)]]/Table1[[#This Row],[Hours Used]])/(Table1[[#This Row],[SOC (TPD)]]/24),"")</f>
        <v>0.76530612244897955</v>
      </c>
      <c r="I178" s="28"/>
      <c r="J178" s="28"/>
      <c r="K178" s="28"/>
      <c r="L178" s="25">
        <f>(VLOOKUP(Table1[[#This Row],[Date]],'Coated Rework Data'!$A:$F,5)/1000)</f>
        <v>1.4119999999999999</v>
      </c>
      <c r="M178" s="29">
        <v>3.9E-2</v>
      </c>
      <c r="N178" s="84">
        <v>5</v>
      </c>
      <c r="O178" s="25"/>
      <c r="P178" s="25"/>
      <c r="Q178" s="70"/>
      <c r="R178" s="71"/>
      <c r="S178" s="30">
        <f>IF(Table1[[#This Row],[SKU]]="",0,24-Table1[[#This Row],[Legal Non-Operating Time]]-Table1[[#This Row],[No Demand Time]]-Table1[[#This Row],[Force Majeure]])</f>
        <v>24</v>
      </c>
      <c r="T178" s="26">
        <v>1</v>
      </c>
      <c r="U178" s="26">
        <v>1</v>
      </c>
      <c r="V178" s="26"/>
      <c r="W178" s="26"/>
      <c r="X178" s="26"/>
      <c r="Y178" s="26"/>
      <c r="Z178" s="26"/>
      <c r="AA178" s="30">
        <f>Table1[[#This Row],[Hours Used]]-SUM(Table1[[#This Row],[Planned Maintenance]:[Start and Finish Production]])</f>
        <v>22</v>
      </c>
      <c r="AB178" s="26">
        <v>0.5</v>
      </c>
      <c r="AC178" s="26"/>
      <c r="AD178" s="26">
        <v>1</v>
      </c>
      <c r="AE178" s="26"/>
      <c r="AF178" s="26"/>
      <c r="AG178" s="26"/>
      <c r="AH178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1.268163265306125</v>
      </c>
      <c r="AI178" s="24">
        <f ca="1">IFERROR(IF(Table1[[#This Row],[SKU]]="",0,Table1[[#This Row],[Quality Loss (T)]]/(Table1[[#This Row],[SOC (TPD)]]/24)),"")</f>
        <v>0.86448979591836717</v>
      </c>
      <c r="AJ178" s="31">
        <f ca="1">IFERROR(IF(Table1[[#This Row],[SKU]]="",0,Table1[[#This Row],[Volume Delivered (T)]]/(Table1[[#This Row],[SOC (TPD)]]/24)),"")</f>
        <v>18.367346938775508</v>
      </c>
      <c r="AK178" s="31">
        <f ca="1">IFERROR(Table1[[#This Row],[Operating Time]]/Table1[[#This Row],[PRODUCTION HOURS]],"")</f>
        <v>0.83487940630797763</v>
      </c>
      <c r="AL178" s="32">
        <v>86</v>
      </c>
      <c r="AM178" s="32" t="s">
        <v>107</v>
      </c>
      <c r="AN178" s="32" t="s">
        <v>107</v>
      </c>
      <c r="AO178" s="32">
        <v>10</v>
      </c>
      <c r="AP178" s="32">
        <v>10</v>
      </c>
      <c r="AQ178" s="32"/>
      <c r="AR178" s="32" t="str">
        <f>IFERROR(SUMIFS(#REF!,#REF!,'Data Sheet'!A:A,#REF!,"Samridhi Perk Line")/SUMIFS(#REF!,#REF!,'Data Sheet'!A:A,#REF!,"Samridhi Perk Line"),"")</f>
        <v/>
      </c>
      <c r="AS178" s="32"/>
      <c r="AT178" s="32"/>
      <c r="AU178" s="211">
        <f>IFERROR(VLOOKUP(Table1[[#This Row],[Date]],'Overweight Data'!A176:G1271,6,FALSE),"")</f>
        <v>3.1086556169429142E-2</v>
      </c>
      <c r="AV178" s="221">
        <f ca="1">IFERROR(
   IF(
      OR(Table1[[#This Row],[Operating Time]]=0, (Table1[[#This Row],[Operating Time]]/IF(AC178&lt;=1,AC178+1,AC178))*60=0),
      1,
      ((Table1[[#This Row],[Operating Time]])/IF(AC178&lt;=1,AC178+1,AC178))*60
   ),
"_")</f>
        <v>1102.0408163265306</v>
      </c>
      <c r="AW178" s="221">
        <f>COUNTIFS('Downtime Data'!A:A,Table1[[#This Row],[Date]])</f>
        <v>1</v>
      </c>
      <c r="AX178" s="219">
        <f>IFERROR((SUM(Table1[[#This Row],[Minor Stoppages]:[Material Shortages]])/Table1[[#This Row],['# Stops]])*60,"")</f>
        <v>90</v>
      </c>
      <c r="AY178" s="219"/>
      <c r="AZ178" s="33">
        <v>46199</v>
      </c>
    </row>
    <row r="179" spans="1:52" ht="20.149999999999999" customHeight="1" x14ac:dyDescent="0.35">
      <c r="A179" s="21">
        <v>46196</v>
      </c>
      <c r="B179" s="22" t="str">
        <f t="shared" si="3"/>
        <v>Tuesday</v>
      </c>
      <c r="C179" s="23" t="s">
        <v>106</v>
      </c>
      <c r="D179" s="24" cm="1">
        <f t="array" aca="1" ref="D179" ca="1">IFERROR(INDIRECT(C179),"")</f>
        <v>39.200000000000003</v>
      </c>
      <c r="E179" s="25">
        <v>33</v>
      </c>
      <c r="F179" s="26">
        <v>30.1</v>
      </c>
      <c r="G179" s="27">
        <f ca="1">IFERROR((Table1[[#This Row],[Plan]]/Table1[[#This Row],[Hours Used]])/(Table1[[#This Row],[SOC (TPD)]]/24),"")</f>
        <v>0.84183673469387743</v>
      </c>
      <c r="H179" s="27">
        <f ca="1">IFERROR((Table1[[#This Row],[Volume Delivered (T)]]/Table1[[#This Row],[Hours Used]])/(Table1[[#This Row],[SOC (TPD)]]/24),"")</f>
        <v>0.76785714285714279</v>
      </c>
      <c r="I179" s="28"/>
      <c r="J179" s="28"/>
      <c r="K179" s="28"/>
      <c r="L179" s="25">
        <f>(VLOOKUP(Table1[[#This Row],[Date]],'Coated Rework Data'!$A:$F,5)/1000)</f>
        <v>1.397</v>
      </c>
      <c r="M179" s="29">
        <v>3.7999999999999999E-2</v>
      </c>
      <c r="N179" s="84">
        <v>0</v>
      </c>
      <c r="O179" s="25"/>
      <c r="P179" s="25"/>
      <c r="Q179" s="70"/>
      <c r="R179" s="71"/>
      <c r="S179" s="30">
        <f>IF(Table1[[#This Row],[SKU]]="",0,24-Table1[[#This Row],[Legal Non-Operating Time]]-Table1[[#This Row],[No Demand Time]]-Table1[[#This Row],[Force Majeure]])</f>
        <v>24</v>
      </c>
      <c r="T179" s="26">
        <v>1</v>
      </c>
      <c r="U179" s="26">
        <v>1</v>
      </c>
      <c r="V179" s="26"/>
      <c r="W179" s="26"/>
      <c r="X179" s="26"/>
      <c r="Y179" s="26"/>
      <c r="Z179" s="26"/>
      <c r="AA179" s="30">
        <f>Table1[[#This Row],[Hours Used]]-SUM(Table1[[#This Row],[Planned Maintenance]:[Start and Finish Production]])</f>
        <v>22</v>
      </c>
      <c r="AB179" s="26">
        <v>0.5</v>
      </c>
      <c r="AC179" s="26"/>
      <c r="AD179" s="26">
        <v>1</v>
      </c>
      <c r="AE179" s="26"/>
      <c r="AF179" s="26"/>
      <c r="AG179" s="26"/>
      <c r="AH179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1.2161224489795934</v>
      </c>
      <c r="AI179" s="24">
        <f ca="1">IFERROR(IF(Table1[[#This Row],[SKU]]="",0,Table1[[#This Row],[Quality Loss (T)]]/(Table1[[#This Row],[SOC (TPD)]]/24)),"")</f>
        <v>0.85530612244897952</v>
      </c>
      <c r="AJ179" s="31">
        <f ca="1">IFERROR(IF(Table1[[#This Row],[SKU]]="",0,Table1[[#This Row],[Volume Delivered (T)]]/(Table1[[#This Row],[SOC (TPD)]]/24)),"")</f>
        <v>18.428571428571427</v>
      </c>
      <c r="AK179" s="31">
        <f ca="1">IFERROR(Table1[[#This Row],[Operating Time]]/Table1[[#This Row],[PRODUCTION HOURS]],"")</f>
        <v>0.83766233766233755</v>
      </c>
      <c r="AL179" s="32">
        <v>100</v>
      </c>
      <c r="AM179" s="32" t="s">
        <v>107</v>
      </c>
      <c r="AN179" s="32" t="s">
        <v>107</v>
      </c>
      <c r="AO179" s="32">
        <v>0</v>
      </c>
      <c r="AP179" s="32">
        <v>0</v>
      </c>
      <c r="AQ179" s="32"/>
      <c r="AR179" s="32" t="str">
        <f>IFERROR(SUMIFS(#REF!,#REF!,'Data Sheet'!A:A,#REF!,"Samridhi Perk Line")/SUMIFS(#REF!,#REF!,'Data Sheet'!A:A,#REF!,"Samridhi Perk Line"),"")</f>
        <v/>
      </c>
      <c r="AS179" s="32"/>
      <c r="AT179" s="32"/>
      <c r="AU179" s="211">
        <f>IFERROR(VLOOKUP(Table1[[#This Row],[Date]],'Overweight Data'!A177:G1272,6,FALSE),"")</f>
        <v>4.0874769797421773E-2</v>
      </c>
      <c r="AV179" s="221">
        <f ca="1">IFERROR(
   IF(
      OR(Table1[[#This Row],[Operating Time]]=0, (Table1[[#This Row],[Operating Time]]/IF(AC179&lt;=1,AC179+1,AC179))*60=0),
      1,
      ((Table1[[#This Row],[Operating Time]])/IF(AC179&lt;=1,AC179+1,AC179))*60
   ),
"_")</f>
        <v>1105.7142857142856</v>
      </c>
      <c r="AW179" s="221">
        <f>COUNTIFS('Downtime Data'!A:A,Table1[[#This Row],[Date]])</f>
        <v>0</v>
      </c>
      <c r="AX179" s="219" t="str">
        <f>IFERROR((SUM(Table1[[#This Row],[Minor Stoppages]:[Material Shortages]])/Table1[[#This Row],['# Stops]])*60,"")</f>
        <v/>
      </c>
      <c r="AY179" s="219"/>
      <c r="AZ179" s="33">
        <v>46199</v>
      </c>
    </row>
    <row r="180" spans="1:52" ht="20.149999999999999" customHeight="1" x14ac:dyDescent="0.35">
      <c r="A180" s="21">
        <v>46197</v>
      </c>
      <c r="B180" s="22" t="str">
        <f t="shared" si="3"/>
        <v>Wednesday</v>
      </c>
      <c r="C180" s="23" t="s">
        <v>106</v>
      </c>
      <c r="D180" s="24" cm="1">
        <f t="array" aca="1" ref="D180" ca="1">IFERROR(INDIRECT(C180),"")</f>
        <v>39.200000000000003</v>
      </c>
      <c r="E180" s="25">
        <v>29</v>
      </c>
      <c r="F180" s="26">
        <v>30.9</v>
      </c>
      <c r="G180" s="27">
        <f ca="1">IFERROR((Table1[[#This Row],[Plan]]/Table1[[#This Row],[Hours Used]])/(Table1[[#This Row],[SOC (TPD)]]/24),"")</f>
        <v>0.73979591836734682</v>
      </c>
      <c r="H180" s="27">
        <f ca="1">IFERROR((Table1[[#This Row],[Volume Delivered (T)]]/Table1[[#This Row],[Hours Used]])/(Table1[[#This Row],[SOC (TPD)]]/24),"")</f>
        <v>0.78826530612244883</v>
      </c>
      <c r="I180" s="28"/>
      <c r="J180" s="28"/>
      <c r="K180" s="28"/>
      <c r="L180" s="25">
        <f>(VLOOKUP(Table1[[#This Row],[Date]],'Coated Rework Data'!$A:$F,5)/1000)</f>
        <v>1.4870000000000001</v>
      </c>
      <c r="M180" s="29">
        <v>3.7999999999999999E-2</v>
      </c>
      <c r="N180" s="84"/>
      <c r="O180" s="25"/>
      <c r="P180" s="25"/>
      <c r="Q180" s="70"/>
      <c r="R180" s="71"/>
      <c r="S180" s="30">
        <f>IF(Table1[[#This Row],[SKU]]="",0,24-Table1[[#This Row],[Legal Non-Operating Time]]-Table1[[#This Row],[No Demand Time]]-Table1[[#This Row],[Force Majeure]])</f>
        <v>24</v>
      </c>
      <c r="T180" s="26">
        <v>1</v>
      </c>
      <c r="U180" s="26">
        <v>1</v>
      </c>
      <c r="V180" s="26"/>
      <c r="W180" s="26"/>
      <c r="X180" s="26"/>
      <c r="Y180" s="26"/>
      <c r="Z180" s="26"/>
      <c r="AA180" s="30">
        <f>Table1[[#This Row],[Hours Used]]-SUM(Table1[[#This Row],[Planned Maintenance]:[Start and Finish Production]])</f>
        <v>22</v>
      </c>
      <c r="AB180" s="26">
        <v>0.5</v>
      </c>
      <c r="AC180" s="26"/>
      <c r="AD180" s="26">
        <v>0.5</v>
      </c>
      <c r="AE180" s="26"/>
      <c r="AF180" s="26"/>
      <c r="AG180" s="26"/>
      <c r="AH180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1.1712244897959216</v>
      </c>
      <c r="AI180" s="24">
        <f ca="1">IFERROR(IF(Table1[[#This Row],[SKU]]="",0,Table1[[#This Row],[Quality Loss (T)]]/(Table1[[#This Row],[SOC (TPD)]]/24)),"")</f>
        <v>0.91040816326530605</v>
      </c>
      <c r="AJ180" s="31">
        <f ca="1">IFERROR(IF(Table1[[#This Row],[SKU]]="",0,Table1[[#This Row],[Volume Delivered (T)]]/(Table1[[#This Row],[SOC (TPD)]]/24)),"")</f>
        <v>18.918367346938773</v>
      </c>
      <c r="AK180" s="31">
        <f ca="1">IFERROR(Table1[[#This Row],[Operating Time]]/Table1[[#This Row],[PRODUCTION HOURS]],"")</f>
        <v>0.8599257884972169</v>
      </c>
      <c r="AL180" s="32">
        <v>95</v>
      </c>
      <c r="AM180" s="32" t="s">
        <v>107</v>
      </c>
      <c r="AN180" s="32" t="s">
        <v>107</v>
      </c>
      <c r="AO180" s="32">
        <v>0</v>
      </c>
      <c r="AP180" s="32">
        <v>0</v>
      </c>
      <c r="AQ180" s="32"/>
      <c r="AR180" s="32" t="str">
        <f>IFERROR(SUMIFS(#REF!,#REF!,'Data Sheet'!A:A,#REF!,"Samridhi Perk Line")/SUMIFS(#REF!,#REF!,'Data Sheet'!A:A,#REF!,"Samridhi Perk Line"),"")</f>
        <v/>
      </c>
      <c r="AS180" s="32"/>
      <c r="AT180" s="32"/>
      <c r="AU180" s="211">
        <f>IFERROR(VLOOKUP(Table1[[#This Row],[Date]],'Overweight Data'!A178:G1273,6,FALSE),"")</f>
        <v>3.0069930069930084E-2</v>
      </c>
      <c r="AV180" s="221">
        <f ca="1">IFERROR(
   IF(
      OR(Table1[[#This Row],[Operating Time]]=0, (Table1[[#This Row],[Operating Time]]/IF(AC180&lt;=1,AC180+1,AC180))*60=0),
      1,
      ((Table1[[#This Row],[Operating Time]])/IF(AC180&lt;=1,AC180+1,AC180))*60
   ),
"_")</f>
        <v>1135.1020408163263</v>
      </c>
      <c r="AW180" s="221">
        <f>COUNTIFS('Downtime Data'!A:A,Table1[[#This Row],[Date]])</f>
        <v>1</v>
      </c>
      <c r="AX180" s="219">
        <f>IFERROR((SUM(Table1[[#This Row],[Minor Stoppages]:[Material Shortages]])/Table1[[#This Row],['# Stops]])*60,"")</f>
        <v>60</v>
      </c>
      <c r="AY180" s="219"/>
      <c r="AZ180" s="33">
        <v>46199</v>
      </c>
    </row>
    <row r="181" spans="1:52" ht="20.149999999999999" customHeight="1" x14ac:dyDescent="0.35">
      <c r="A181" s="21">
        <v>46198</v>
      </c>
      <c r="B181" s="22" t="str">
        <f t="shared" si="3"/>
        <v>Thursday</v>
      </c>
      <c r="C181" s="23" t="s">
        <v>106</v>
      </c>
      <c r="D181" s="24" cm="1">
        <f t="array" aca="1" ref="D181" ca="1">IFERROR(INDIRECT(C181),"")</f>
        <v>39.200000000000003</v>
      </c>
      <c r="E181" s="25">
        <v>33</v>
      </c>
      <c r="F181" s="26">
        <v>30.5</v>
      </c>
      <c r="G181" s="27">
        <f ca="1">IFERROR((Table1[[#This Row],[Plan]]/Table1[[#This Row],[Hours Used]])/(Table1[[#This Row],[SOC (TPD)]]/24),"")</f>
        <v>0.84183673469387743</v>
      </c>
      <c r="H181" s="27">
        <f ca="1">IFERROR((Table1[[#This Row],[Volume Delivered (T)]]/Table1[[#This Row],[Hours Used]])/(Table1[[#This Row],[SOC (TPD)]]/24),"")</f>
        <v>0.77806122448979576</v>
      </c>
      <c r="I181" s="28"/>
      <c r="J181" s="28"/>
      <c r="K181" s="28"/>
      <c r="L181" s="25">
        <f>(VLOOKUP(Table1[[#This Row],[Date]],'Coated Rework Data'!$A:$F,5)/1000)</f>
        <v>1.4339999999999999</v>
      </c>
      <c r="M181" s="29">
        <v>3.7999999999999999E-2</v>
      </c>
      <c r="N181" s="84"/>
      <c r="O181" s="25"/>
      <c r="P181" s="25"/>
      <c r="Q181" s="70"/>
      <c r="R181" s="71"/>
      <c r="S181" s="30">
        <f>IF(Table1[[#This Row],[SKU]]="",0,24-Table1[[#This Row],[Legal Non-Operating Time]]-Table1[[#This Row],[No Demand Time]]-Table1[[#This Row],[Force Majeure]])</f>
        <v>24</v>
      </c>
      <c r="T181" s="26">
        <v>1</v>
      </c>
      <c r="U181" s="26">
        <v>0.8</v>
      </c>
      <c r="V181" s="26"/>
      <c r="W181" s="26"/>
      <c r="X181" s="26"/>
      <c r="Y181" s="26"/>
      <c r="Z181" s="26"/>
      <c r="AA181" s="30">
        <f>Table1[[#This Row],[Hours Used]]-SUM(Table1[[#This Row],[Planned Maintenance]:[Start and Finish Production]])</f>
        <v>22.2</v>
      </c>
      <c r="AB181" s="26">
        <v>0.5</v>
      </c>
      <c r="AC181" s="26"/>
      <c r="AD181" s="26">
        <v>1</v>
      </c>
      <c r="AE181" s="26"/>
      <c r="AF181" s="26"/>
      <c r="AG181" s="26"/>
      <c r="AH181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1.148571428571433</v>
      </c>
      <c r="AI181" s="24">
        <f ca="1">IFERROR(IF(Table1[[#This Row],[SKU]]="",0,Table1[[#This Row],[Quality Loss (T)]]/(Table1[[#This Row],[SOC (TPD)]]/24)),"")</f>
        <v>0.87795918367346926</v>
      </c>
      <c r="AJ181" s="31">
        <f ca="1">IFERROR(IF(Table1[[#This Row],[SKU]]="",0,Table1[[#This Row],[Volume Delivered (T)]]/(Table1[[#This Row],[SOC (TPD)]]/24)),"")</f>
        <v>18.673469387755098</v>
      </c>
      <c r="AK181" s="31">
        <f ca="1">IFERROR(Table1[[#This Row],[Operating Time]]/Table1[[#This Row],[PRODUCTION HOURS]],"")</f>
        <v>0.84114726971869813</v>
      </c>
      <c r="AL181" s="32">
        <v>89</v>
      </c>
      <c r="AM181" s="32" t="s">
        <v>107</v>
      </c>
      <c r="AN181" s="32" t="s">
        <v>107</v>
      </c>
      <c r="AO181" s="32">
        <v>0</v>
      </c>
      <c r="AP181" s="32">
        <v>0</v>
      </c>
      <c r="AQ181" s="32"/>
      <c r="AR181" s="32" t="str">
        <f>IFERROR(SUMIFS(#REF!,#REF!,'Data Sheet'!A:A,#REF!,"Samridhi Perk Line")/SUMIFS(#REF!,#REF!,'Data Sheet'!A:A,#REF!,"Samridhi Perk Line"),"")</f>
        <v/>
      </c>
      <c r="AS181" s="32"/>
      <c r="AT181" s="32"/>
      <c r="AU181" s="211">
        <f>IFERROR(VLOOKUP(Table1[[#This Row],[Date]],'Overweight Data'!A179:G1274,6,FALSE),"")</f>
        <v>2.3770396270396316E-2</v>
      </c>
      <c r="AV181" s="221">
        <f ca="1">IFERROR(
   IF(
      OR(Table1[[#This Row],[Operating Time]]=0, (Table1[[#This Row],[Operating Time]]/IF(AC181&lt;=1,AC181+1,AC181))*60=0),
      1,
      ((Table1[[#This Row],[Operating Time]])/IF(AC181&lt;=1,AC181+1,AC181))*60
   ),
"_")</f>
        <v>1120.4081632653058</v>
      </c>
      <c r="AW181" s="221">
        <f>COUNTIFS('Downtime Data'!A:A,Table1[[#This Row],[Date]])</f>
        <v>1</v>
      </c>
      <c r="AX181" s="219">
        <f>IFERROR((SUM(Table1[[#This Row],[Minor Stoppages]:[Material Shortages]])/Table1[[#This Row],['# Stops]])*60,"")</f>
        <v>90</v>
      </c>
      <c r="AY181" s="219"/>
      <c r="AZ181" s="33">
        <v>46199</v>
      </c>
    </row>
    <row r="182" spans="1:52" ht="20.149999999999999" customHeight="1" x14ac:dyDescent="0.35">
      <c r="A182" s="21">
        <v>46199</v>
      </c>
      <c r="B182" s="22" t="str">
        <f t="shared" si="3"/>
        <v>Friday</v>
      </c>
      <c r="C182" s="23" t="s">
        <v>106</v>
      </c>
      <c r="D182" s="24" cm="1">
        <f t="array" aca="1" ref="D182" ca="1">IFERROR(INDIRECT(C182),"")</f>
        <v>39.200000000000003</v>
      </c>
      <c r="E182" s="25">
        <v>32</v>
      </c>
      <c r="F182" s="26">
        <v>30</v>
      </c>
      <c r="G182" s="27">
        <f ca="1">IFERROR((Table1[[#This Row],[Plan]]/Table1[[#This Row],[Hours Used]])/(Table1[[#This Row],[SOC (TPD)]]/24),"")</f>
        <v>0.81632653061224481</v>
      </c>
      <c r="H182" s="27">
        <f ca="1">IFERROR((Table1[[#This Row],[Volume Delivered (T)]]/Table1[[#This Row],[Hours Used]])/(Table1[[#This Row],[SOC (TPD)]]/24),"")</f>
        <v>0.76530612244897955</v>
      </c>
      <c r="I182" s="28"/>
      <c r="J182" s="28"/>
      <c r="K182" s="28"/>
      <c r="L182" s="25">
        <f>(VLOOKUP(Table1[[#This Row],[Date]],'Coated Rework Data'!$A:$F,5)/1000)</f>
        <v>1.64</v>
      </c>
      <c r="M182" s="29">
        <v>4.3999999999999997E-2</v>
      </c>
      <c r="N182" s="84"/>
      <c r="O182" s="25"/>
      <c r="P182" s="25"/>
      <c r="Q182" s="70"/>
      <c r="R182" s="71"/>
      <c r="S182" s="30">
        <f>IF(Table1[[#This Row],[SKU]]="",0,24-Table1[[#This Row],[Legal Non-Operating Time]]-Table1[[#This Row],[No Demand Time]]-Table1[[#This Row],[Force Majeure]])</f>
        <v>24</v>
      </c>
      <c r="T182" s="26">
        <v>1</v>
      </c>
      <c r="U182" s="26"/>
      <c r="V182" s="26"/>
      <c r="W182" s="26"/>
      <c r="X182" s="26"/>
      <c r="Y182" s="26"/>
      <c r="Z182" s="26"/>
      <c r="AA182" s="30">
        <f>Table1[[#This Row],[Hours Used]]-SUM(Table1[[#This Row],[Planned Maintenance]:[Start and Finish Production]])</f>
        <v>23</v>
      </c>
      <c r="AB182" s="26"/>
      <c r="AC182" s="26">
        <v>3</v>
      </c>
      <c r="AD182" s="26"/>
      <c r="AE182" s="26"/>
      <c r="AF182" s="26"/>
      <c r="AG182" s="26"/>
      <c r="AH182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0.62857142857142989</v>
      </c>
      <c r="AI182" s="24">
        <f ca="1">IFERROR(IF(Table1[[#This Row],[SKU]]="",0,Table1[[#This Row],[Quality Loss (T)]]/(Table1[[#This Row],[SOC (TPD)]]/24)),"")</f>
        <v>1.0040816326530611</v>
      </c>
      <c r="AJ182" s="31">
        <f ca="1">IFERROR(IF(Table1[[#This Row],[SKU]]="",0,Table1[[#This Row],[Volume Delivered (T)]]/(Table1[[#This Row],[SOC (TPD)]]/24)),"")</f>
        <v>18.367346938775508</v>
      </c>
      <c r="AK182" s="31">
        <f ca="1">IFERROR(Table1[[#This Row],[Operating Time]]/Table1[[#This Row],[PRODUCTION HOURS]],"")</f>
        <v>0.79858030168589167</v>
      </c>
      <c r="AL182" s="32">
        <v>77</v>
      </c>
      <c r="AM182" s="32" t="s">
        <v>107</v>
      </c>
      <c r="AN182" s="32" t="s">
        <v>107</v>
      </c>
      <c r="AO182" s="32">
        <v>0</v>
      </c>
      <c r="AP182" s="32">
        <v>0</v>
      </c>
      <c r="AQ182" s="32"/>
      <c r="AR182" s="32" t="str">
        <f>IFERROR(SUMIFS(#REF!,#REF!,'Data Sheet'!A:A,#REF!,"Samridhi Perk Line")/SUMIFS(#REF!,#REF!,'Data Sheet'!A:A,#REF!,"Samridhi Perk Line"),"")</f>
        <v/>
      </c>
      <c r="AS182" s="32"/>
      <c r="AT182" s="32"/>
      <c r="AU182" s="211">
        <f>IFERROR(VLOOKUP(Table1[[#This Row],[Date]],'Overweight Data'!A180:G1275,6,FALSE),"")</f>
        <v>2.7296037296037315E-2</v>
      </c>
      <c r="AV182" s="221">
        <f ca="1">IFERROR(
   IF(
      OR(Table1[[#This Row],[Operating Time]]=0, (Table1[[#This Row],[Operating Time]]/IF(AC182&lt;=1,AC182+1,AC182))*60=0),
      1,
      ((Table1[[#This Row],[Operating Time]])/IF(AC182&lt;=1,AC182+1,AC182))*60
   ),
"_")</f>
        <v>367.34693877551018</v>
      </c>
      <c r="AW182" s="221">
        <f>COUNTIFS('Downtime Data'!A:A,Table1[[#This Row],[Date]])</f>
        <v>0</v>
      </c>
      <c r="AX182" s="219" t="str">
        <f>IFERROR((SUM(Table1[[#This Row],[Minor Stoppages]:[Material Shortages]])/Table1[[#This Row],['# Stops]])*60,"")</f>
        <v/>
      </c>
      <c r="AY182" s="219"/>
      <c r="AZ182" s="33">
        <v>46199</v>
      </c>
    </row>
    <row r="183" spans="1:52" ht="20.149999999999999" customHeight="1" x14ac:dyDescent="0.35">
      <c r="A183" s="21">
        <v>46200</v>
      </c>
      <c r="B183" s="22" t="str">
        <f t="shared" si="3"/>
        <v>Saturday</v>
      </c>
      <c r="C183" s="23" t="s">
        <v>106</v>
      </c>
      <c r="D183" s="24" cm="1">
        <f t="array" aca="1" ref="D183" ca="1">IFERROR(INDIRECT(C183),"")</f>
        <v>39.200000000000003</v>
      </c>
      <c r="E183" s="25">
        <v>33</v>
      </c>
      <c r="F183" s="26">
        <v>30</v>
      </c>
      <c r="G183" s="27">
        <f ca="1">IFERROR((Table1[[#This Row],[Plan]]/Table1[[#This Row],[Hours Used]])/(Table1[[#This Row],[SOC (TPD)]]/24),"")</f>
        <v>0.84183673469387743</v>
      </c>
      <c r="H183" s="27">
        <f ca="1">IFERROR((Table1[[#This Row],[Volume Delivered (T)]]/Table1[[#This Row],[Hours Used]])/(Table1[[#This Row],[SOC (TPD)]]/24),"")</f>
        <v>0.76530612244897955</v>
      </c>
      <c r="I183" s="28"/>
      <c r="J183" s="28"/>
      <c r="K183" s="28"/>
      <c r="L183" s="25">
        <f>(VLOOKUP(Table1[[#This Row],[Date]],'Coated Rework Data'!$A:$F,5)/1000)</f>
        <v>1.629</v>
      </c>
      <c r="M183" s="29">
        <v>4.3999999999999997E-2</v>
      </c>
      <c r="N183" s="84"/>
      <c r="O183" s="25"/>
      <c r="P183" s="25"/>
      <c r="Q183" s="70"/>
      <c r="R183" s="71"/>
      <c r="S183" s="30">
        <f>IF(Table1[[#This Row],[SKU]]="",0,24-Table1[[#This Row],[Legal Non-Operating Time]]-Table1[[#This Row],[No Demand Time]]-Table1[[#This Row],[Force Majeure]])</f>
        <v>24</v>
      </c>
      <c r="T183" s="26">
        <v>1</v>
      </c>
      <c r="U183" s="26">
        <v>1</v>
      </c>
      <c r="V183" s="26">
        <v>1.5</v>
      </c>
      <c r="W183" s="26"/>
      <c r="X183" s="26"/>
      <c r="Y183" s="26"/>
      <c r="Z183" s="26"/>
      <c r="AA183" s="30">
        <f>Table1[[#This Row],[Hours Used]]-SUM(Table1[[#This Row],[Planned Maintenance]:[Start and Finish Production]])</f>
        <v>20.5</v>
      </c>
      <c r="AB183" s="26">
        <v>0.5</v>
      </c>
      <c r="AC183" s="26"/>
      <c r="AD183" s="26"/>
      <c r="AE183" s="26"/>
      <c r="AF183" s="26"/>
      <c r="AG183" s="26"/>
      <c r="AH183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0.63530612244898066</v>
      </c>
      <c r="AI183" s="24">
        <f ca="1">IFERROR(IF(Table1[[#This Row],[SKU]]="",0,Table1[[#This Row],[Quality Loss (T)]]/(Table1[[#This Row],[SOC (TPD)]]/24)),"")</f>
        <v>0.99734693877551006</v>
      </c>
      <c r="AJ183" s="31">
        <f ca="1">IFERROR(IF(Table1[[#This Row],[SKU]]="",0,Table1[[#This Row],[Volume Delivered (T)]]/(Table1[[#This Row],[SOC (TPD)]]/24)),"")</f>
        <v>18.367346938775508</v>
      </c>
      <c r="AK183" s="31">
        <f ca="1">IFERROR(Table1[[#This Row],[Operating Time]]/Table1[[#This Row],[PRODUCTION HOURS]],"")</f>
        <v>0.89596814335490282</v>
      </c>
      <c r="AL183" s="32">
        <v>75</v>
      </c>
      <c r="AM183" s="32" t="s">
        <v>107</v>
      </c>
      <c r="AN183" s="32" t="s">
        <v>107</v>
      </c>
      <c r="AO183" s="32">
        <v>4</v>
      </c>
      <c r="AP183" s="32">
        <v>4</v>
      </c>
      <c r="AQ183" s="32"/>
      <c r="AR183" s="32" t="str">
        <f>IFERROR(SUMIFS(#REF!,#REF!,'Data Sheet'!A:A,#REF!,"Samridhi Perk Line")/SUMIFS(#REF!,#REF!,'Data Sheet'!A:A,#REF!,"Samridhi Perk Line"),"")</f>
        <v/>
      </c>
      <c r="AS183" s="32"/>
      <c r="AT183" s="32"/>
      <c r="AU183" s="211">
        <f>IFERROR(VLOOKUP(Table1[[#This Row],[Date]],'Overweight Data'!A181:G1276,6,FALSE),"")</f>
        <v>2.5463286713286709E-2</v>
      </c>
      <c r="AV183" s="221">
        <f ca="1">IFERROR(
   IF(
      OR(Table1[[#This Row],[Operating Time]]=0, (Table1[[#This Row],[Operating Time]]/IF(AC183&lt;=1,AC183+1,AC183))*60=0),
      1,
      ((Table1[[#This Row],[Operating Time]])/IF(AC183&lt;=1,AC183+1,AC183))*60
   ),
"_")</f>
        <v>1102.0408163265306</v>
      </c>
      <c r="AW183" s="221">
        <f>COUNTIFS('Downtime Data'!A:A,Table1[[#This Row],[Date]])</f>
        <v>3</v>
      </c>
      <c r="AX183" s="219">
        <f>IFERROR((SUM(Table1[[#This Row],[Minor Stoppages]:[Material Shortages]])/Table1[[#This Row],['# Stops]])*60,"")</f>
        <v>10</v>
      </c>
      <c r="AY183" s="219"/>
      <c r="AZ183" s="33">
        <v>46199</v>
      </c>
    </row>
    <row r="184" spans="1:52" ht="20.149999999999999" customHeight="1" x14ac:dyDescent="0.35">
      <c r="A184" s="21">
        <v>46201</v>
      </c>
      <c r="B184" s="22" t="str">
        <f t="shared" si="3"/>
        <v>Sunday</v>
      </c>
      <c r="C184" s="23" t="s">
        <v>106</v>
      </c>
      <c r="D184" s="24" cm="1">
        <f t="array" aca="1" ref="D184" ca="1">IFERROR(INDIRECT(C184),"")</f>
        <v>39.200000000000003</v>
      </c>
      <c r="E184" s="25">
        <v>33</v>
      </c>
      <c r="F184" s="26">
        <v>30.2</v>
      </c>
      <c r="G184" s="27">
        <f ca="1">IFERROR((Table1[[#This Row],[Plan]]/Table1[[#This Row],[Hours Used]])/(Table1[[#This Row],[SOC (TPD)]]/24),"")</f>
        <v>0.84183673469387743</v>
      </c>
      <c r="H184" s="27">
        <f ca="1">IFERROR((Table1[[#This Row],[Volume Delivered (T)]]/Table1[[#This Row],[Hours Used]])/(Table1[[#This Row],[SOC (TPD)]]/24),"")</f>
        <v>0.77040816326530603</v>
      </c>
      <c r="I184" s="28"/>
      <c r="J184" s="28"/>
      <c r="K184" s="28"/>
      <c r="L184" s="25">
        <f>(VLOOKUP(Table1[[#This Row],[Date]],'Coated Rework Data'!$A:$F,5)/1000)</f>
        <v>1.526</v>
      </c>
      <c r="M184" s="29">
        <v>4.3999999999999997E-2</v>
      </c>
      <c r="N184" s="84"/>
      <c r="O184" s="25"/>
      <c r="P184" s="25"/>
      <c r="Q184" s="70"/>
      <c r="R184" s="71"/>
      <c r="S184" s="30">
        <f>IF(Table1[[#This Row],[SKU]]="",0,24-Table1[[#This Row],[Legal Non-Operating Time]]-Table1[[#This Row],[No Demand Time]]-Table1[[#This Row],[Force Majeure]])</f>
        <v>24</v>
      </c>
      <c r="T184" s="26"/>
      <c r="U184" s="26">
        <v>1</v>
      </c>
      <c r="V184" s="26"/>
      <c r="W184" s="26"/>
      <c r="X184" s="26"/>
      <c r="Y184" s="26"/>
      <c r="Z184" s="26"/>
      <c r="AA184" s="30">
        <f>Table1[[#This Row],[Hours Used]]-SUM(Table1[[#This Row],[Planned Maintenance]:[Start and Finish Production]])</f>
        <v>23</v>
      </c>
      <c r="AB184" s="26">
        <v>0.5</v>
      </c>
      <c r="AC184" s="26">
        <f>50/60</f>
        <v>0.83333333333333337</v>
      </c>
      <c r="AD184" s="26">
        <v>1.5</v>
      </c>
      <c r="AE184" s="26"/>
      <c r="AF184" s="26"/>
      <c r="AG184" s="26"/>
      <c r="AH184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0.74258503401360798</v>
      </c>
      <c r="AI184" s="24">
        <f ca="1">IFERROR(IF(Table1[[#This Row],[SKU]]="",0,Table1[[#This Row],[Quality Loss (T)]]/(Table1[[#This Row],[SOC (TPD)]]/24)),"")</f>
        <v>0.93428571428571416</v>
      </c>
      <c r="AJ184" s="31">
        <f ca="1">IFERROR(IF(Table1[[#This Row],[SKU]]="",0,Table1[[#This Row],[Volume Delivered (T)]]/(Table1[[#This Row],[SOC (TPD)]]/24)),"")</f>
        <v>18.489795918367346</v>
      </c>
      <c r="AK184" s="31">
        <f ca="1">IFERROR(Table1[[#This Row],[Operating Time]]/Table1[[#This Row],[PRODUCTION HOURS]],"")</f>
        <v>0.80390417036379769</v>
      </c>
      <c r="AL184" s="32">
        <v>77</v>
      </c>
      <c r="AM184" s="32" t="s">
        <v>107</v>
      </c>
      <c r="AN184" s="32" t="s">
        <v>107</v>
      </c>
      <c r="AO184" s="32">
        <v>1</v>
      </c>
      <c r="AP184" s="32">
        <v>1</v>
      </c>
      <c r="AQ184" s="32"/>
      <c r="AR184" s="32" t="str">
        <f>IFERROR(SUMIFS(#REF!,#REF!,'Data Sheet'!A:A,#REF!,"Samridhi Perk Line")/SUMIFS(#REF!,#REF!,'Data Sheet'!A:A,#REF!,"Samridhi Perk Line"),"")</f>
        <v/>
      </c>
      <c r="AS184" s="32"/>
      <c r="AT184" s="32"/>
      <c r="AU184" s="211">
        <f>IFERROR(VLOOKUP(Table1[[#This Row],[Date]],'Overweight Data'!A182:G1277,6,FALSE),"")</f>
        <v>3.0174825174825157E-2</v>
      </c>
      <c r="AV184" s="221">
        <f ca="1">IFERROR(
   IF(
      OR(Table1[[#This Row],[Operating Time]]=0, (Table1[[#This Row],[Operating Time]]/IF(AC184&lt;=1,AC184+1,AC184))*60=0),
      1,
      ((Table1[[#This Row],[Operating Time]])/IF(AC184&lt;=1,AC184+1,AC184))*60
   ),
"_")</f>
        <v>605.12059369202211</v>
      </c>
      <c r="AW184" s="221">
        <f>COUNTIFS('Downtime Data'!A:A,Table1[[#This Row],[Date]])</f>
        <v>2</v>
      </c>
      <c r="AX184" s="219">
        <f>IFERROR((SUM(Table1[[#This Row],[Minor Stoppages]:[Material Shortages]])/Table1[[#This Row],['# Stops]])*60,"")</f>
        <v>85</v>
      </c>
      <c r="AY184" s="219"/>
      <c r="AZ184" s="33">
        <v>46199</v>
      </c>
    </row>
    <row r="185" spans="1:52" ht="20.149999999999999" customHeight="1" x14ac:dyDescent="0.35">
      <c r="A185" s="21">
        <v>46202</v>
      </c>
      <c r="B185" s="22" t="str">
        <f t="shared" si="3"/>
        <v>Monday</v>
      </c>
      <c r="C185" s="23" t="s">
        <v>106</v>
      </c>
      <c r="D185" s="24" cm="1">
        <f t="array" aca="1" ref="D185" ca="1">IFERROR(INDIRECT(C185),"")</f>
        <v>39.200000000000003</v>
      </c>
      <c r="E185" s="25">
        <v>32</v>
      </c>
      <c r="F185" s="26">
        <v>32.9</v>
      </c>
      <c r="G185" s="27">
        <f ca="1">IFERROR((Table1[[#This Row],[Plan]]/Table1[[#This Row],[Hours Used]])/(Table1[[#This Row],[SOC (TPD)]]/24),"")</f>
        <v>0.81632653061224481</v>
      </c>
      <c r="H185" s="27">
        <f ca="1">IFERROR((Table1[[#This Row],[Volume Delivered (T)]]/Table1[[#This Row],[Hours Used]])/(Table1[[#This Row],[SOC (TPD)]]/24),"")</f>
        <v>0.83928571428571419</v>
      </c>
      <c r="I185" s="28"/>
      <c r="J185" s="28"/>
      <c r="K185" s="28"/>
      <c r="L185" s="25">
        <f>(VLOOKUP(Table1[[#This Row],[Date]],'Coated Rework Data'!$A:$F,5)/1000)</f>
        <v>1.3280000000000001</v>
      </c>
      <c r="M185" s="29">
        <v>3.7999999999999999E-2</v>
      </c>
      <c r="N185" s="84"/>
      <c r="O185" s="25"/>
      <c r="P185" s="25"/>
      <c r="Q185" s="70"/>
      <c r="R185" s="71"/>
      <c r="S185" s="30">
        <f>IF(Table1[[#This Row],[SKU]]="",0,24-Table1[[#This Row],[Legal Non-Operating Time]]-Table1[[#This Row],[No Demand Time]]-Table1[[#This Row],[Force Majeure]])</f>
        <v>24</v>
      </c>
      <c r="T185" s="26">
        <v>1</v>
      </c>
      <c r="U185" s="26"/>
      <c r="V185" s="26"/>
      <c r="W185" s="26"/>
      <c r="X185" s="26"/>
      <c r="Y185" s="26"/>
      <c r="Z185" s="26"/>
      <c r="AA185" s="30">
        <f>Table1[[#This Row],[Hours Used]]-SUM(Table1[[#This Row],[Planned Maintenance]:[Start and Finish Production]])</f>
        <v>23</v>
      </c>
      <c r="AB185" s="26">
        <v>0.5</v>
      </c>
      <c r="AC185" s="26"/>
      <c r="AD185" s="26">
        <v>0.25</v>
      </c>
      <c r="AE185" s="26"/>
      <c r="AF185" s="26"/>
      <c r="AG185" s="26"/>
      <c r="AH185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1.2940816326530644</v>
      </c>
      <c r="AI185" s="24">
        <f ca="1">IFERROR(IF(Table1[[#This Row],[SKU]]="",0,Table1[[#This Row],[Quality Loss (T)]]/(Table1[[#This Row],[SOC (TPD)]]/24)),"")</f>
        <v>0.8130612244897959</v>
      </c>
      <c r="AJ185" s="31">
        <f ca="1">IFERROR(IF(Table1[[#This Row],[SKU]]="",0,Table1[[#This Row],[Volume Delivered (T)]]/(Table1[[#This Row],[SOC (TPD)]]/24)),"")</f>
        <v>20.142857142857139</v>
      </c>
      <c r="AK185" s="31">
        <f ca="1">IFERROR(Table1[[#This Row],[Operating Time]]/Table1[[#This Row],[PRODUCTION HOURS]],"")</f>
        <v>0.87577639751552783</v>
      </c>
      <c r="AL185" s="32">
        <v>79</v>
      </c>
      <c r="AM185" s="32" t="s">
        <v>107</v>
      </c>
      <c r="AN185" s="32" t="s">
        <v>107</v>
      </c>
      <c r="AO185" s="32">
        <v>0</v>
      </c>
      <c r="AP185" s="32">
        <v>0</v>
      </c>
      <c r="AQ185" s="32"/>
      <c r="AR185" s="32" t="str">
        <f>IFERROR(SUMIFS(#REF!,#REF!,'Data Sheet'!A:A,#REF!,"Samridhi Perk Line")/SUMIFS(#REF!,#REF!,'Data Sheet'!A:A,#REF!,"Samridhi Perk Line"),"")</f>
        <v/>
      </c>
      <c r="AS185" s="32"/>
      <c r="AT185" s="32"/>
      <c r="AU185" s="211">
        <f>IFERROR(VLOOKUP(Table1[[#This Row],[Date]],'Overweight Data'!A183:G1278,6,FALSE),"")</f>
        <v>2.3974358974358966E-2</v>
      </c>
      <c r="AV185" s="221">
        <f ca="1">IFERROR(
   IF(
      OR(Table1[[#This Row],[Operating Time]]=0, (Table1[[#This Row],[Operating Time]]/IF(AC185&lt;=1,AC185+1,AC185))*60=0),
      1,
      ((Table1[[#This Row],[Operating Time]])/IF(AC185&lt;=1,AC185+1,AC185))*60
   ),
"_")</f>
        <v>1208.5714285714284</v>
      </c>
      <c r="AW185" s="221">
        <f>COUNTIFS('Downtime Data'!A:A,Table1[[#This Row],[Date]])</f>
        <v>2</v>
      </c>
      <c r="AX185" s="219">
        <f>IFERROR((SUM(Table1[[#This Row],[Minor Stoppages]:[Material Shortages]])/Table1[[#This Row],['# Stops]])*60,"")</f>
        <v>22.5</v>
      </c>
      <c r="AY185" s="219"/>
      <c r="AZ185" s="33">
        <v>46229</v>
      </c>
    </row>
    <row r="186" spans="1:52" ht="20.149999999999999" customHeight="1" x14ac:dyDescent="0.35">
      <c r="A186" s="21">
        <v>46203</v>
      </c>
      <c r="B186" s="22" t="str">
        <f t="shared" si="3"/>
        <v>Tuesday</v>
      </c>
      <c r="C186" s="23" t="s">
        <v>106</v>
      </c>
      <c r="D186" s="24" cm="1">
        <f t="array" aca="1" ref="D186" ca="1">IFERROR(INDIRECT(C186),"")</f>
        <v>39.200000000000003</v>
      </c>
      <c r="E186" s="25">
        <v>32</v>
      </c>
      <c r="F186" s="26">
        <v>29.5</v>
      </c>
      <c r="G186" s="27">
        <f ca="1">IFERROR((Table1[[#This Row],[Plan]]/Table1[[#This Row],[Hours Used]])/(Table1[[#This Row],[SOC (TPD)]]/24),"")</f>
        <v>0.81632653061224481</v>
      </c>
      <c r="H186" s="27">
        <f ca="1">IFERROR((Table1[[#This Row],[Volume Delivered (T)]]/Table1[[#This Row],[Hours Used]])/(Table1[[#This Row],[SOC (TPD)]]/24),"")</f>
        <v>0.75255102040816324</v>
      </c>
      <c r="I186" s="28"/>
      <c r="J186" s="28"/>
      <c r="K186" s="28"/>
      <c r="L186" s="25">
        <f>(VLOOKUP(Table1[[#This Row],[Date]],'Coated Rework Data'!$A:$F,5)/1000)</f>
        <v>1.5669999999999999</v>
      </c>
      <c r="M186" s="29">
        <v>3.7999999999999999E-2</v>
      </c>
      <c r="N186" s="84"/>
      <c r="O186" s="25"/>
      <c r="P186" s="25"/>
      <c r="Q186" s="70"/>
      <c r="R186" s="71"/>
      <c r="S186" s="30">
        <f>IF(Table1[[#This Row],[SKU]]="",0,24-Table1[[#This Row],[Legal Non-Operating Time]]-Table1[[#This Row],[No Demand Time]]-Table1[[#This Row],[Force Majeure]])</f>
        <v>24</v>
      </c>
      <c r="T186" s="26"/>
      <c r="U186" s="26"/>
      <c r="V186" s="26"/>
      <c r="W186" s="26">
        <v>1.5</v>
      </c>
      <c r="X186" s="26"/>
      <c r="Y186" s="26"/>
      <c r="Z186" s="26"/>
      <c r="AA186" s="30">
        <f>Table1[[#This Row],[Hours Used]]-SUM(Table1[[#This Row],[Planned Maintenance]:[Start and Finish Production]])</f>
        <v>22.5</v>
      </c>
      <c r="AB186" s="26"/>
      <c r="AC186" s="26"/>
      <c r="AD186" s="26">
        <v>3</v>
      </c>
      <c r="AE186" s="26"/>
      <c r="AF186" s="26"/>
      <c r="AG186" s="26"/>
      <c r="AH186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0.47938775510204579</v>
      </c>
      <c r="AI186" s="24">
        <f ca="1">IFERROR(IF(Table1[[#This Row],[SKU]]="",0,Table1[[#This Row],[Quality Loss (T)]]/(Table1[[#This Row],[SOC (TPD)]]/24)),"")</f>
        <v>0.95938775510204066</v>
      </c>
      <c r="AJ186" s="31">
        <f ca="1">IFERROR(IF(Table1[[#This Row],[SKU]]="",0,Table1[[#This Row],[Volume Delivered (T)]]/(Table1[[#This Row],[SOC (TPD)]]/24)),"")</f>
        <v>18.061224489795915</v>
      </c>
      <c r="AK186" s="31">
        <f ca="1">IFERROR(Table1[[#This Row],[Operating Time]]/Table1[[#This Row],[PRODUCTION HOURS]],"")</f>
        <v>0.80272108843537404</v>
      </c>
      <c r="AL186" s="32">
        <v>94</v>
      </c>
      <c r="AM186" s="32" t="s">
        <v>107</v>
      </c>
      <c r="AN186" s="32" t="s">
        <v>107</v>
      </c>
      <c r="AO186" s="32">
        <v>23</v>
      </c>
      <c r="AP186" s="32">
        <v>23</v>
      </c>
      <c r="AQ186" s="32"/>
      <c r="AR186" s="32" t="str">
        <f>IFERROR(SUMIFS(#REF!,#REF!,'Data Sheet'!A:A,#REF!,"Samridhi Perk Line")/SUMIFS(#REF!,#REF!,'Data Sheet'!A:A,#REF!,"Samridhi Perk Line"),"")</f>
        <v/>
      </c>
      <c r="AS186" s="32"/>
      <c r="AT186" s="32"/>
      <c r="AU186" s="211">
        <f>IFERROR(VLOOKUP(Table1[[#This Row],[Date]],'Overweight Data'!A184:G1279,6,FALSE),"")</f>
        <v>1.6454880294659305E-2</v>
      </c>
      <c r="AV186" s="221">
        <f ca="1">IFERROR(
   IF(
      OR(Table1[[#This Row],[Operating Time]]=0, (Table1[[#This Row],[Operating Time]]/IF(AC186&lt;=1,AC186+1,AC186))*60=0),
      1,
      ((Table1[[#This Row],[Operating Time]])/IF(AC186&lt;=1,AC186+1,AC186))*60
   ),
"_")</f>
        <v>1083.6734693877549</v>
      </c>
      <c r="AW186" s="221">
        <f>COUNTIFS('Downtime Data'!A:A,Table1[[#This Row],[Date]])</f>
        <v>2</v>
      </c>
      <c r="AX186" s="219">
        <f>IFERROR((SUM(Table1[[#This Row],[Minor Stoppages]:[Material Shortages]])/Table1[[#This Row],['# Stops]])*60,"")</f>
        <v>90</v>
      </c>
      <c r="AY186" s="219"/>
      <c r="AZ186" s="33">
        <v>46229</v>
      </c>
    </row>
    <row r="187" spans="1:52" ht="20.149999999999999" customHeight="1" x14ac:dyDescent="0.35">
      <c r="A187" s="21">
        <v>46204</v>
      </c>
      <c r="B187" s="22" t="str">
        <f t="shared" si="3"/>
        <v>Wednesday</v>
      </c>
      <c r="C187" s="23" t="s">
        <v>108</v>
      </c>
      <c r="D187" s="24" cm="1">
        <f t="array" aca="1" ref="D187" ca="1">IFERROR(INDIRECT(C187),"")</f>
        <v>34.200000000000003</v>
      </c>
      <c r="E187" s="25">
        <v>28</v>
      </c>
      <c r="F187" s="26">
        <v>30.8</v>
      </c>
      <c r="G187" s="27">
        <f ca="1">IFERROR((Table1[[#This Row],[Plan]]/Table1[[#This Row],[Hours Used]])/(Table1[[#This Row],[SOC (TPD)]]/24),"")</f>
        <v>0.81871345029239773</v>
      </c>
      <c r="H187" s="27">
        <f ca="1">IFERROR((Table1[[#This Row],[Volume Delivered (T)]]/Table1[[#This Row],[Hours Used]])/(Table1[[#This Row],[SOC (TPD)]]/24),"")</f>
        <v>0.90058479532163749</v>
      </c>
      <c r="I187" s="28"/>
      <c r="J187" s="28"/>
      <c r="K187" s="28"/>
      <c r="L187" s="25">
        <f>(VLOOKUP(Table1[[#This Row],[Date]],'Coated Rework Data'!$A:$F,5)/1000)</f>
        <v>1.556</v>
      </c>
      <c r="M187" s="29">
        <v>3.7999999999999999E-2</v>
      </c>
      <c r="N187" s="84"/>
      <c r="O187" s="25"/>
      <c r="P187" s="25"/>
      <c r="Q187" s="70"/>
      <c r="R187" s="71"/>
      <c r="S187" s="30">
        <f>IF(Table1[[#This Row],[SKU]]="",0,24-Table1[[#This Row],[Legal Non-Operating Time]]-Table1[[#This Row],[No Demand Time]]-Table1[[#This Row],[Force Majeure]])</f>
        <v>24</v>
      </c>
      <c r="T187" s="26"/>
      <c r="U187" s="26"/>
      <c r="V187" s="26"/>
      <c r="W187" s="26"/>
      <c r="X187" s="26"/>
      <c r="Y187" s="26"/>
      <c r="Z187" s="26"/>
      <c r="AA187" s="30">
        <f>Table1[[#This Row],[Hours Used]]-SUM(Table1[[#This Row],[Planned Maintenance]:[Start and Finish Production]])</f>
        <v>24</v>
      </c>
      <c r="AB187" s="26"/>
      <c r="AC187" s="26"/>
      <c r="AD187" s="26"/>
      <c r="AE187" s="26"/>
      <c r="AF187" s="26"/>
      <c r="AG187" s="26"/>
      <c r="AH187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1.2940350877192976</v>
      </c>
      <c r="AI187" s="24">
        <f ca="1">IFERROR(IF(Table1[[#This Row],[SKU]]="",0,Table1[[#This Row],[Quality Loss (T)]]/(Table1[[#This Row],[SOC (TPD)]]/24)),"")</f>
        <v>1.0919298245614035</v>
      </c>
      <c r="AJ187" s="31">
        <f ca="1">IFERROR(IF(Table1[[#This Row],[SKU]]="",0,Table1[[#This Row],[Volume Delivered (T)]]/(Table1[[#This Row],[SOC (TPD)]]/24)),"")</f>
        <v>21.614035087719298</v>
      </c>
      <c r="AK187" s="31">
        <f ca="1">IFERROR(Table1[[#This Row],[Operating Time]]/Table1[[#This Row],[PRODUCTION HOURS]],"")</f>
        <v>0.90058479532163738</v>
      </c>
      <c r="AL187" s="32">
        <v>96</v>
      </c>
      <c r="AM187" s="32" t="s">
        <v>107</v>
      </c>
      <c r="AN187" s="32" t="s">
        <v>107</v>
      </c>
      <c r="AO187" s="32">
        <v>26</v>
      </c>
      <c r="AP187" s="32">
        <v>24</v>
      </c>
      <c r="AQ187" s="32"/>
      <c r="AR187" s="32" t="str">
        <f>IFERROR(SUMIFS(#REF!,#REF!,'Data Sheet'!A:A,#REF!,"Samridhi Perk Line")/SUMIFS(#REF!,#REF!,'Data Sheet'!A:A,#REF!,"Samridhi Perk Line"),"")</f>
        <v/>
      </c>
      <c r="AS187" s="32"/>
      <c r="AT187" s="32"/>
      <c r="AU187" s="211">
        <f>IFERROR(VLOOKUP(Table1[[#This Row],[Date]],'Overweight Data'!A185:G1280,6,FALSE),"")</f>
        <v>2.2532228360957612E-2</v>
      </c>
      <c r="AV187" s="221">
        <f ca="1">IFERROR(
   IF(
      OR(Table1[[#This Row],[Operating Time]]=0, (Table1[[#This Row],[Operating Time]]/IF(AC187&lt;=1,AC187+1,AC187))*60=0),
      1,
      ((Table1[[#This Row],[Operating Time]])/IF(AC187&lt;=1,AC187+1,AC187))*60
   ),
"_")</f>
        <v>1296.8421052631579</v>
      </c>
      <c r="AW187" s="221">
        <f>COUNTIFS('Downtime Data'!A:A,Table1[[#This Row],[Date]])</f>
        <v>0</v>
      </c>
      <c r="AX187" s="219" t="str">
        <f>IFERROR((SUM(Table1[[#This Row],[Minor Stoppages]:[Material Shortages]])/Table1[[#This Row],['# Stops]])*60,"")</f>
        <v/>
      </c>
      <c r="AY187" s="219"/>
      <c r="AZ187" s="33">
        <v>46229</v>
      </c>
    </row>
    <row r="188" spans="1:52" ht="20.149999999999999" customHeight="1" x14ac:dyDescent="0.35">
      <c r="A188" s="21">
        <v>46205</v>
      </c>
      <c r="B188" s="22" t="str">
        <f t="shared" si="3"/>
        <v>Thursday</v>
      </c>
      <c r="C188" s="23" t="s">
        <v>108</v>
      </c>
      <c r="D188" s="24" cm="1">
        <f t="array" aca="1" ref="D188" ca="1">IFERROR(INDIRECT(C188),"")</f>
        <v>34.200000000000003</v>
      </c>
      <c r="E188" s="25">
        <v>28</v>
      </c>
      <c r="F188" s="26">
        <v>30.3</v>
      </c>
      <c r="G188" s="27">
        <f ca="1">IFERROR((Table1[[#This Row],[Plan]]/Table1[[#This Row],[Hours Used]])/(Table1[[#This Row],[SOC (TPD)]]/24),"")</f>
        <v>0.81871345029239773</v>
      </c>
      <c r="H188" s="27">
        <f ca="1">IFERROR((Table1[[#This Row],[Volume Delivered (T)]]/Table1[[#This Row],[Hours Used]])/(Table1[[#This Row],[SOC (TPD)]]/24),"")</f>
        <v>0.88596491228070173</v>
      </c>
      <c r="I188" s="28"/>
      <c r="J188" s="28"/>
      <c r="K188" s="28"/>
      <c r="L188" s="25">
        <f>(VLOOKUP(Table1[[#This Row],[Date]],'Coated Rework Data'!$A:$F,5)/1000)</f>
        <v>1.4490000000000001</v>
      </c>
      <c r="M188" s="29">
        <v>3.7999999999999999E-2</v>
      </c>
      <c r="N188" s="84"/>
      <c r="O188" s="25"/>
      <c r="P188" s="25"/>
      <c r="Q188" s="70"/>
      <c r="R188" s="71"/>
      <c r="S188" s="30">
        <f>IF(Table1[[#This Row],[SKU]]="",0,24-Table1[[#This Row],[Legal Non-Operating Time]]-Table1[[#This Row],[No Demand Time]]-Table1[[#This Row],[Force Majeure]])</f>
        <v>24</v>
      </c>
      <c r="T188" s="26"/>
      <c r="U188" s="26"/>
      <c r="V188" s="26"/>
      <c r="W188" s="26"/>
      <c r="X188" s="26"/>
      <c r="Y188" s="26"/>
      <c r="Z188" s="26"/>
      <c r="AA188" s="30">
        <f>Table1[[#This Row],[Hours Used]]-SUM(Table1[[#This Row],[Planned Maintenance]:[Start and Finish Production]])</f>
        <v>24</v>
      </c>
      <c r="AB188" s="26"/>
      <c r="AC188" s="26"/>
      <c r="AD188" s="26"/>
      <c r="AE188" s="26"/>
      <c r="AF188" s="26"/>
      <c r="AG188" s="26"/>
      <c r="AH188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1.7199999999999989</v>
      </c>
      <c r="AI188" s="24">
        <f ca="1">IFERROR(IF(Table1[[#This Row],[SKU]]="",0,Table1[[#This Row],[Quality Loss (T)]]/(Table1[[#This Row],[SOC (TPD)]]/24)),"")</f>
        <v>1.016842105263158</v>
      </c>
      <c r="AJ188" s="31">
        <f ca="1">IFERROR(IF(Table1[[#This Row],[SKU]]="",0,Table1[[#This Row],[Volume Delivered (T)]]/(Table1[[#This Row],[SOC (TPD)]]/24)),"")</f>
        <v>21.263157894736842</v>
      </c>
      <c r="AK188" s="31">
        <f ca="1">IFERROR(Table1[[#This Row],[Operating Time]]/Table1[[#This Row],[PRODUCTION HOURS]],"")</f>
        <v>0.88596491228070173</v>
      </c>
      <c r="AL188" s="32">
        <v>98</v>
      </c>
      <c r="AM188" s="32" t="s">
        <v>107</v>
      </c>
      <c r="AN188" s="32" t="s">
        <v>107</v>
      </c>
      <c r="AO188" s="32">
        <v>0</v>
      </c>
      <c r="AP188" s="32">
        <v>0</v>
      </c>
      <c r="AQ188" s="32"/>
      <c r="AR188" s="32" t="str">
        <f>IFERROR(SUMIFS(#REF!,#REF!,'Data Sheet'!A:A,#REF!,"Samridhi Perk Line")/SUMIFS(#REF!,#REF!,'Data Sheet'!A:A,#REF!,"Samridhi Perk Line"),"")</f>
        <v/>
      </c>
      <c r="AS188" s="32"/>
      <c r="AT188" s="32"/>
      <c r="AU188" s="211">
        <f>IFERROR(VLOOKUP(Table1[[#This Row],[Date]],'Overweight Data'!A186:G1281,6,FALSE),"")</f>
        <v>3.5400552486187842E-2</v>
      </c>
      <c r="AV188" s="221">
        <f ca="1">IFERROR(
   IF(
      OR(Table1[[#This Row],[Operating Time]]=0, (Table1[[#This Row],[Operating Time]]/IF(AC188&lt;=1,AC188+1,AC188))*60=0),
      1,
      ((Table1[[#This Row],[Operating Time]])/IF(AC188&lt;=1,AC188+1,AC188))*60
   ),
"_")</f>
        <v>1275.7894736842106</v>
      </c>
      <c r="AW188" s="221">
        <f>COUNTIFS('Downtime Data'!A:A,Table1[[#This Row],[Date]])</f>
        <v>0</v>
      </c>
      <c r="AX188" s="219" t="str">
        <f>IFERROR((SUM(Table1[[#This Row],[Minor Stoppages]:[Material Shortages]])/Table1[[#This Row],['# Stops]])*60,"")</f>
        <v/>
      </c>
      <c r="AY188" s="219"/>
      <c r="AZ188" s="33">
        <v>46229</v>
      </c>
    </row>
    <row r="189" spans="1:52" ht="20.149999999999999" customHeight="1" x14ac:dyDescent="0.35">
      <c r="A189" s="21">
        <v>46206</v>
      </c>
      <c r="B189" s="22" t="str">
        <f t="shared" si="3"/>
        <v>Friday</v>
      </c>
      <c r="C189" s="23" t="s">
        <v>108</v>
      </c>
      <c r="D189" s="24" cm="1">
        <f t="array" aca="1" ref="D189" ca="1">IFERROR(INDIRECT(C189),"")</f>
        <v>34.200000000000003</v>
      </c>
      <c r="E189" s="25">
        <v>16.5</v>
      </c>
      <c r="F189" s="26">
        <v>16.3</v>
      </c>
      <c r="G189" s="27">
        <f ca="1">IFERROR((Table1[[#This Row],[Plan]]/Table1[[#This Row],[Hours Used]])/(Table1[[#This Row],[SOC (TPD)]]/24),"")</f>
        <v>0.48245614035087719</v>
      </c>
      <c r="H189" s="27">
        <f ca="1">IFERROR((Table1[[#This Row],[Volume Delivered (T)]]/Table1[[#This Row],[Hours Used]])/(Table1[[#This Row],[SOC (TPD)]]/24),"")</f>
        <v>0.47660818713450293</v>
      </c>
      <c r="I189" s="28"/>
      <c r="J189" s="28"/>
      <c r="K189" s="28"/>
      <c r="L189" s="25">
        <f>(VLOOKUP(Table1[[#This Row],[Date]],'Coated Rework Data'!$A:$F,5)/1000)</f>
        <v>1.133</v>
      </c>
      <c r="M189" s="29">
        <v>3.7999999999999999E-2</v>
      </c>
      <c r="N189" s="84"/>
      <c r="O189" s="25"/>
      <c r="P189" s="25"/>
      <c r="Q189" s="70"/>
      <c r="R189" s="71"/>
      <c r="S189" s="30">
        <f>IF(Table1[[#This Row],[SKU]]="",0,24-Table1[[#This Row],[Legal Non-Operating Time]]-Table1[[#This Row],[No Demand Time]]-Table1[[#This Row],[Force Majeure]])</f>
        <v>24</v>
      </c>
      <c r="T189" s="26"/>
      <c r="U189" s="26"/>
      <c r="V189" s="26">
        <v>12</v>
      </c>
      <c r="W189" s="26"/>
      <c r="X189" s="26"/>
      <c r="Y189" s="26"/>
      <c r="Z189" s="26"/>
      <c r="AA189" s="30">
        <f>Table1[[#This Row],[Hours Used]]-SUM(Table1[[#This Row],[Planned Maintenance]:[Start and Finish Production]])</f>
        <v>12</v>
      </c>
      <c r="AB189" s="26"/>
      <c r="AC189" s="26">
        <v>1</v>
      </c>
      <c r="AD189" s="26">
        <v>1</v>
      </c>
      <c r="AE189" s="26"/>
      <c r="AF189" s="26"/>
      <c r="AG189" s="26"/>
      <c r="AH189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-2.2336842105263166</v>
      </c>
      <c r="AI189" s="24">
        <f ca="1">IFERROR(IF(Table1[[#This Row],[SKU]]="",0,Table1[[#This Row],[Quality Loss (T)]]/(Table1[[#This Row],[SOC (TPD)]]/24)),"")</f>
        <v>0.79508771929824562</v>
      </c>
      <c r="AJ189" s="31">
        <f ca="1">IFERROR(IF(Table1[[#This Row],[SKU]]="",0,Table1[[#This Row],[Volume Delivered (T)]]/(Table1[[#This Row],[SOC (TPD)]]/24)),"")</f>
        <v>11.43859649122807</v>
      </c>
      <c r="AK189" s="31">
        <f ca="1">IFERROR(Table1[[#This Row],[Operating Time]]/Table1[[#This Row],[PRODUCTION HOURS]],"")</f>
        <v>0.95321637426900585</v>
      </c>
      <c r="AL189" s="32">
        <v>86</v>
      </c>
      <c r="AM189" s="32" t="s">
        <v>107</v>
      </c>
      <c r="AN189" s="32" t="s">
        <v>107</v>
      </c>
      <c r="AO189" s="32">
        <v>0</v>
      </c>
      <c r="AP189" s="32">
        <v>0</v>
      </c>
      <c r="AQ189" s="32"/>
      <c r="AR189" s="32" t="str">
        <f>IFERROR(SUMIFS(#REF!,#REF!,'Data Sheet'!A:A,#REF!,"Samridhi Perk Line")/SUMIFS(#REF!,#REF!,'Data Sheet'!A:A,#REF!,"Samridhi Perk Line"),"")</f>
        <v/>
      </c>
      <c r="AS189" s="32"/>
      <c r="AT189" s="32"/>
      <c r="AU189" s="211">
        <f>IFERROR(VLOOKUP(Table1[[#This Row],[Date]],'Overweight Data'!A187:G1282,6,FALSE),"")</f>
        <v>3.3936464088397782E-2</v>
      </c>
      <c r="AV189" s="221">
        <f ca="1">IFERROR(
   IF(
      OR(Table1[[#This Row],[Operating Time]]=0, (Table1[[#This Row],[Operating Time]]/IF(AC189&lt;=1,AC189+1,AC189))*60=0),
      1,
      ((Table1[[#This Row],[Operating Time]])/IF(AC189&lt;=1,AC189+1,AC189))*60
   ),
"_")</f>
        <v>343.15789473684208</v>
      </c>
      <c r="AW189" s="221">
        <f>COUNTIFS('Downtime Data'!A:A,Table1[[#This Row],[Date]])</f>
        <v>3</v>
      </c>
      <c r="AX189" s="219">
        <f>IFERROR((SUM(Table1[[#This Row],[Minor Stoppages]:[Material Shortages]])/Table1[[#This Row],['# Stops]])*60,"")</f>
        <v>40</v>
      </c>
      <c r="AY189" s="219"/>
      <c r="AZ189" s="33">
        <v>46229</v>
      </c>
    </row>
    <row r="190" spans="1:52" ht="20.149999999999999" customHeight="1" x14ac:dyDescent="0.35">
      <c r="A190" s="21">
        <v>46207</v>
      </c>
      <c r="B190" s="22" t="str">
        <f t="shared" si="3"/>
        <v>Saturday</v>
      </c>
      <c r="C190" s="23" t="s">
        <v>108</v>
      </c>
      <c r="D190" s="24" cm="1">
        <f t="array" aca="1" ref="D190" ca="1">IFERROR(INDIRECT(C190),"")</f>
        <v>34.200000000000003</v>
      </c>
      <c r="E190" s="25">
        <v>28</v>
      </c>
      <c r="F190" s="26">
        <v>16.39</v>
      </c>
      <c r="G190" s="27">
        <f ca="1">IFERROR((Table1[[#This Row],[Plan]]/Table1[[#This Row],[Hours Used]])/(Table1[[#This Row],[SOC (TPD)]]/24),"")</f>
        <v>0.81871345029239773</v>
      </c>
      <c r="H190" s="27">
        <f ca="1">IFERROR((Table1[[#This Row],[Volume Delivered (T)]]/Table1[[#This Row],[Hours Used]])/(Table1[[#This Row],[SOC (TPD)]]/24),"")</f>
        <v>0.47923976608187135</v>
      </c>
      <c r="I190" s="28"/>
      <c r="J190" s="28"/>
      <c r="K190" s="28"/>
      <c r="L190" s="25">
        <f>(VLOOKUP(Table1[[#This Row],[Date]],'Coated Rework Data'!$A:$F,5)/1000)</f>
        <v>1.2509999999999999</v>
      </c>
      <c r="M190" s="29">
        <v>4.2000000000000003E-2</v>
      </c>
      <c r="N190" s="84"/>
      <c r="O190" s="25"/>
      <c r="P190" s="25"/>
      <c r="Q190" s="70"/>
      <c r="R190" s="71"/>
      <c r="S190" s="30">
        <f>IF(Table1[[#This Row],[SKU]]="",0,24-Table1[[#This Row],[Legal Non-Operating Time]]-Table1[[#This Row],[No Demand Time]]-Table1[[#This Row],[Force Majeure]])</f>
        <v>24</v>
      </c>
      <c r="T190" s="26"/>
      <c r="U190" s="26"/>
      <c r="V190" s="26"/>
      <c r="W190" s="26"/>
      <c r="X190" s="26"/>
      <c r="Y190" s="26"/>
      <c r="Z190" s="26"/>
      <c r="AA190" s="30">
        <f>Table1[[#This Row],[Hours Used]]-SUM(Table1[[#This Row],[Planned Maintenance]:[Start and Finish Production]])</f>
        <v>24</v>
      </c>
      <c r="AB190" s="26"/>
      <c r="AC190" s="26">
        <v>9</v>
      </c>
      <c r="AD190" s="26"/>
      <c r="AE190" s="26"/>
      <c r="AF190" s="26"/>
      <c r="AG190" s="26"/>
      <c r="AH190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2.6203508771929833</v>
      </c>
      <c r="AI190" s="24">
        <f ca="1">IFERROR(IF(Table1[[#This Row],[SKU]]="",0,Table1[[#This Row],[Quality Loss (T)]]/(Table1[[#This Row],[SOC (TPD)]]/24)),"")</f>
        <v>0.87789473684210517</v>
      </c>
      <c r="AJ190" s="31">
        <f ca="1">IFERROR(IF(Table1[[#This Row],[SKU]]="",0,Table1[[#This Row],[Volume Delivered (T)]]/(Table1[[#This Row],[SOC (TPD)]]/24)),"")</f>
        <v>11.501754385964912</v>
      </c>
      <c r="AK190" s="31">
        <f ca="1">IFERROR(Table1[[#This Row],[Operating Time]]/Table1[[#This Row],[PRODUCTION HOURS]],"")</f>
        <v>0.4792397660818713</v>
      </c>
      <c r="AL190" s="32">
        <v>94</v>
      </c>
      <c r="AM190" s="32" t="s">
        <v>107</v>
      </c>
      <c r="AN190" s="32" t="s">
        <v>107</v>
      </c>
      <c r="AO190" s="32">
        <v>0</v>
      </c>
      <c r="AP190" s="32">
        <v>0</v>
      </c>
      <c r="AQ190" s="32"/>
      <c r="AR190" s="32" t="str">
        <f>IFERROR(SUMIFS(#REF!,#REF!,'Data Sheet'!A:A,#REF!,"Samridhi Perk Line")/SUMIFS(#REF!,#REF!,'Data Sheet'!A:A,#REF!,"Samridhi Perk Line"),"")</f>
        <v/>
      </c>
      <c r="AS190" s="32"/>
      <c r="AT190" s="32"/>
      <c r="AU190" s="211">
        <f>IFERROR(VLOOKUP(Table1[[#This Row],[Date]],'Overweight Data'!A188:G1283,6,FALSE),"")</f>
        <v>5.3245856353591095E-2</v>
      </c>
      <c r="AV190" s="221">
        <f ca="1">IFERROR(
   IF(
      OR(Table1[[#This Row],[Operating Time]]=0, (Table1[[#This Row],[Operating Time]]/IF(AC190&lt;=1,AC190+1,AC190))*60=0),
      1,
      ((Table1[[#This Row],[Operating Time]])/IF(AC190&lt;=1,AC190+1,AC190))*60
   ),
"_")</f>
        <v>76.678362573099406</v>
      </c>
      <c r="AW190" s="221">
        <f>COUNTIFS('Downtime Data'!A:A,Table1[[#This Row],[Date]])</f>
        <v>3</v>
      </c>
      <c r="AX190" s="219">
        <f>IFERROR((SUM(Table1[[#This Row],[Minor Stoppages]:[Material Shortages]])/Table1[[#This Row],['# Stops]])*60,"")</f>
        <v>180</v>
      </c>
      <c r="AY190" s="219"/>
      <c r="AZ190" s="33">
        <v>46229</v>
      </c>
    </row>
    <row r="191" spans="1:52" ht="20.149999999999999" customHeight="1" x14ac:dyDescent="0.35">
      <c r="A191" s="21">
        <v>46208</v>
      </c>
      <c r="B191" s="22" t="str">
        <f t="shared" si="3"/>
        <v>Sunday</v>
      </c>
      <c r="C191" s="23" t="s">
        <v>108</v>
      </c>
      <c r="D191" s="24" cm="1">
        <f t="array" aca="1" ref="D191" ca="1">IFERROR(INDIRECT(C191),"")</f>
        <v>34.200000000000003</v>
      </c>
      <c r="E191" s="25">
        <v>28</v>
      </c>
      <c r="F191" s="26">
        <f>15.1+4.7</f>
        <v>19.8</v>
      </c>
      <c r="G191" s="27">
        <f ca="1">IFERROR((Table1[[#This Row],[Plan]]/Table1[[#This Row],[Hours Used]])/(Table1[[#This Row],[SOC (TPD)]]/24),"")</f>
        <v>0.81871345029239773</v>
      </c>
      <c r="H191" s="27">
        <f ca="1">IFERROR((Table1[[#This Row],[Volume Delivered (T)]]/Table1[[#This Row],[Hours Used]])/(Table1[[#This Row],[SOC (TPD)]]/24),"")</f>
        <v>0.57894736842105265</v>
      </c>
      <c r="I191" s="28"/>
      <c r="J191" s="28"/>
      <c r="K191" s="28"/>
      <c r="L191" s="25">
        <f>(VLOOKUP(Table1[[#This Row],[Date]],'Coated Rework Data'!$A:$F,5)/1000)</f>
        <v>1.274</v>
      </c>
      <c r="M191" s="29">
        <v>4.2000000000000003E-2</v>
      </c>
      <c r="N191" s="84"/>
      <c r="O191" s="25"/>
      <c r="P191" s="25"/>
      <c r="Q191" s="70"/>
      <c r="R191" s="71"/>
      <c r="S191" s="30">
        <f>IF(Table1[[#This Row],[SKU]]="",0,24-Table1[[#This Row],[Legal Non-Operating Time]]-Table1[[#This Row],[No Demand Time]]-Table1[[#This Row],[Force Majeure]])</f>
        <v>24</v>
      </c>
      <c r="T191" s="26"/>
      <c r="U191" s="26"/>
      <c r="V191" s="26"/>
      <c r="W191" s="26"/>
      <c r="X191" s="26"/>
      <c r="Y191" s="26"/>
      <c r="Z191" s="26"/>
      <c r="AA191" s="30">
        <f>Table1[[#This Row],[Hours Used]]-SUM(Table1[[#This Row],[Planned Maintenance]:[Start and Finish Production]])</f>
        <v>24</v>
      </c>
      <c r="AB191" s="26"/>
      <c r="AC191" s="26">
        <v>9</v>
      </c>
      <c r="AD191" s="26"/>
      <c r="AE191" s="26"/>
      <c r="AF191" s="26"/>
      <c r="AG191" s="26"/>
      <c r="AH191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0.21122807017543721</v>
      </c>
      <c r="AI191" s="24">
        <f ca="1">IFERROR(IF(Table1[[#This Row],[SKU]]="",0,Table1[[#This Row],[Quality Loss (T)]]/(Table1[[#This Row],[SOC (TPD)]]/24)),"")</f>
        <v>0.89403508771929818</v>
      </c>
      <c r="AJ191" s="31">
        <f ca="1">IFERROR(IF(Table1[[#This Row],[SKU]]="",0,Table1[[#This Row],[Volume Delivered (T)]]/(Table1[[#This Row],[SOC (TPD)]]/24)),"")</f>
        <v>13.894736842105264</v>
      </c>
      <c r="AK191" s="31">
        <f ca="1">IFERROR(Table1[[#This Row],[Operating Time]]/Table1[[#This Row],[PRODUCTION HOURS]],"")</f>
        <v>0.57894736842105265</v>
      </c>
      <c r="AL191" s="32">
        <v>86</v>
      </c>
      <c r="AM191" s="32" t="s">
        <v>107</v>
      </c>
      <c r="AN191" s="32" t="s">
        <v>107</v>
      </c>
      <c r="AO191" s="32">
        <v>60</v>
      </c>
      <c r="AP191" s="32">
        <v>58</v>
      </c>
      <c r="AQ191" s="32"/>
      <c r="AR191" s="32" t="str">
        <f>IFERROR(SUMIFS(#REF!,#REF!,'Data Sheet'!A:A,#REF!,"Samridhi Perk Line")/SUMIFS(#REF!,#REF!,'Data Sheet'!A:A,#REF!,"Samridhi Perk Line"),"")</f>
        <v/>
      </c>
      <c r="AS191" s="32"/>
      <c r="AT191" s="32"/>
      <c r="AU191" s="211">
        <f>IFERROR(VLOOKUP(Table1[[#This Row],[Date]],'Overweight Data'!A189:G1284,6,FALSE),"")</f>
        <v>3.1556169429097641E-2</v>
      </c>
      <c r="AV191" s="221">
        <f ca="1">IFERROR(
   IF(
      OR(Table1[[#This Row],[Operating Time]]=0, (Table1[[#This Row],[Operating Time]]/IF(AC191&lt;=1,AC191+1,AC191))*60=0),
      1,
      ((Table1[[#This Row],[Operating Time]])/IF(AC191&lt;=1,AC191+1,AC191))*60
   ),
"_")</f>
        <v>92.631578947368425</v>
      </c>
      <c r="AW191" s="221">
        <f>COUNTIFS('Downtime Data'!A:A,Table1[[#This Row],[Date]])</f>
        <v>1</v>
      </c>
      <c r="AX191" s="219">
        <f>IFERROR((SUM(Table1[[#This Row],[Minor Stoppages]:[Material Shortages]])/Table1[[#This Row],['# Stops]])*60,"")</f>
        <v>540</v>
      </c>
      <c r="AY191" s="219"/>
      <c r="AZ191" s="33">
        <v>46229</v>
      </c>
    </row>
    <row r="192" spans="1:52" ht="20.149999999999999" customHeight="1" x14ac:dyDescent="0.35">
      <c r="A192" s="21">
        <v>46209</v>
      </c>
      <c r="B192" s="22" t="str">
        <f t="shared" si="3"/>
        <v>Monday</v>
      </c>
      <c r="C192" s="23" t="s">
        <v>108</v>
      </c>
      <c r="D192" s="24" cm="1">
        <f t="array" aca="1" ref="D192" ca="1">IFERROR(INDIRECT(C192),"")</f>
        <v>34.200000000000003</v>
      </c>
      <c r="E192" s="25">
        <v>26.5</v>
      </c>
      <c r="F192" s="26">
        <f>22.8+5.4</f>
        <v>28.200000000000003</v>
      </c>
      <c r="G192" s="27">
        <f ca="1">IFERROR((Table1[[#This Row],[Plan]]/Table1[[#This Row],[Hours Used]])/(Table1[[#This Row],[SOC (TPD)]]/24),"")</f>
        <v>0.77485380116959068</v>
      </c>
      <c r="H192" s="27">
        <f ca="1">IFERROR((Table1[[#This Row],[Volume Delivered (T)]]/Table1[[#This Row],[Hours Used]])/(Table1[[#This Row],[SOC (TPD)]]/24),"")</f>
        <v>0.82456140350877194</v>
      </c>
      <c r="I192" s="28"/>
      <c r="J192" s="28"/>
      <c r="K192" s="28"/>
      <c r="L192" s="25">
        <f>(VLOOKUP(Table1[[#This Row],[Date]],'Coated Rework Data'!$A:$F,5)/1000)</f>
        <v>1.6739999999999999</v>
      </c>
      <c r="M192" s="29">
        <v>4.2000000000000003E-2</v>
      </c>
      <c r="N192" s="84"/>
      <c r="O192" s="25"/>
      <c r="P192" s="25"/>
      <c r="Q192" s="70"/>
      <c r="R192" s="71"/>
      <c r="S192" s="30">
        <f>IF(Table1[[#This Row],[SKU]]="",0,24-Table1[[#This Row],[Legal Non-Operating Time]]-Table1[[#This Row],[No Demand Time]]-Table1[[#This Row],[Force Majeure]])</f>
        <v>24</v>
      </c>
      <c r="T192" s="26">
        <v>1</v>
      </c>
      <c r="U192" s="26"/>
      <c r="V192" s="26"/>
      <c r="W192" s="26"/>
      <c r="X192" s="26"/>
      <c r="Y192" s="26"/>
      <c r="Z192" s="26"/>
      <c r="AA192" s="30">
        <f>Table1[[#This Row],[Hours Used]]-SUM(Table1[[#This Row],[Planned Maintenance]:[Start and Finish Production]])</f>
        <v>23</v>
      </c>
      <c r="AB192" s="26"/>
      <c r="AC192" s="26"/>
      <c r="AD192" s="26">
        <v>1.5</v>
      </c>
      <c r="AE192" s="26"/>
      <c r="AF192" s="26"/>
      <c r="AG192" s="26"/>
      <c r="AH192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0.53578947368421126</v>
      </c>
      <c r="AI192" s="24">
        <f ca="1">IFERROR(IF(Table1[[#This Row],[SKU]]="",0,Table1[[#This Row],[Quality Loss (T)]]/(Table1[[#This Row],[SOC (TPD)]]/24)),"")</f>
        <v>1.1747368421052631</v>
      </c>
      <c r="AJ192" s="31">
        <f ca="1">IFERROR(IF(Table1[[#This Row],[SKU]]="",0,Table1[[#This Row],[Volume Delivered (T)]]/(Table1[[#This Row],[SOC (TPD)]]/24)),"")</f>
        <v>19.789473684210527</v>
      </c>
      <c r="AK192" s="31">
        <f ca="1">IFERROR(Table1[[#This Row],[Operating Time]]/Table1[[#This Row],[PRODUCTION HOURS]],"")</f>
        <v>0.86041189931350115</v>
      </c>
      <c r="AL192" s="32">
        <v>84</v>
      </c>
      <c r="AM192" s="32" t="s">
        <v>107</v>
      </c>
      <c r="AN192" s="32" t="s">
        <v>107</v>
      </c>
      <c r="AO192" s="32">
        <v>0</v>
      </c>
      <c r="AP192" s="32">
        <v>0</v>
      </c>
      <c r="AQ192" s="32"/>
      <c r="AR192" s="32" t="str">
        <f>IFERROR(SUMIFS(#REF!,#REF!,'Data Sheet'!A:A,#REF!,"Samridhi Perk Line")/SUMIFS(#REF!,#REF!,'Data Sheet'!A:A,#REF!,"Samridhi Perk Line"),"")</f>
        <v/>
      </c>
      <c r="AS192" s="32"/>
      <c r="AT192" s="32"/>
      <c r="AU192" s="211">
        <f>IFERROR(VLOOKUP(Table1[[#This Row],[Date]],'Overweight Data'!A190:G1285,6,FALSE),"")</f>
        <v>2.4465930018416199E-2</v>
      </c>
      <c r="AV192" s="221">
        <f ca="1">IFERROR(
   IF(
      OR(Table1[[#This Row],[Operating Time]]=0, (Table1[[#This Row],[Operating Time]]/IF(AC192&lt;=1,AC192+1,AC192))*60=0),
      1,
      ((Table1[[#This Row],[Operating Time]])/IF(AC192&lt;=1,AC192+1,AC192))*60
   ),
"_")</f>
        <v>1187.3684210526317</v>
      </c>
      <c r="AW192" s="221">
        <f>COUNTIFS('Downtime Data'!A:A,Table1[[#This Row],[Date]])</f>
        <v>2</v>
      </c>
      <c r="AX192" s="219">
        <f>IFERROR((SUM(Table1[[#This Row],[Minor Stoppages]:[Material Shortages]])/Table1[[#This Row],['# Stops]])*60,"")</f>
        <v>45</v>
      </c>
      <c r="AY192" s="219"/>
      <c r="AZ192" s="33">
        <v>46229</v>
      </c>
    </row>
    <row r="193" spans="1:52" ht="20.149999999999999" customHeight="1" x14ac:dyDescent="0.35">
      <c r="A193" s="21">
        <v>46210</v>
      </c>
      <c r="B193" s="22" t="str">
        <f t="shared" si="3"/>
        <v>Tuesday</v>
      </c>
      <c r="C193" s="23" t="s">
        <v>108</v>
      </c>
      <c r="D193" s="24" cm="1">
        <f t="array" aca="1" ref="D193" ca="1">IFERROR(INDIRECT(C193),"")</f>
        <v>34.200000000000003</v>
      </c>
      <c r="E193" s="25">
        <v>28.5</v>
      </c>
      <c r="F193" s="26">
        <v>25.5</v>
      </c>
      <c r="G193" s="27">
        <f ca="1">IFERROR((Table1[[#This Row],[Plan]]/Table1[[#This Row],[Hours Used]])/(Table1[[#This Row],[SOC (TPD)]]/24),"")</f>
        <v>0.83333333333333326</v>
      </c>
      <c r="H193" s="27">
        <f ca="1">IFERROR((Table1[[#This Row],[Volume Delivered (T)]]/Table1[[#This Row],[Hours Used]])/(Table1[[#This Row],[SOC (TPD)]]/24),"")</f>
        <v>0.74561403508771928</v>
      </c>
      <c r="I193" s="28"/>
      <c r="J193" s="28"/>
      <c r="K193" s="28"/>
      <c r="L193" s="25">
        <f>(VLOOKUP(Table1[[#This Row],[Date]],'Coated Rework Data'!$A:$F,5)/1000)</f>
        <v>1.385</v>
      </c>
      <c r="M193" s="29">
        <v>5.7000000000000002E-2</v>
      </c>
      <c r="N193" s="84"/>
      <c r="O193" s="25"/>
      <c r="P193" s="25"/>
      <c r="Q193" s="70"/>
      <c r="R193" s="71"/>
      <c r="S193" s="30">
        <f>IF(Table1[[#This Row],[SKU]]="",0,24-Table1[[#This Row],[Legal Non-Operating Time]]-Table1[[#This Row],[No Demand Time]]-Table1[[#This Row],[Force Majeure]])</f>
        <v>24</v>
      </c>
      <c r="T193" s="26"/>
      <c r="U193" s="26">
        <v>1</v>
      </c>
      <c r="V193" s="26"/>
      <c r="W193" s="26"/>
      <c r="X193" s="26"/>
      <c r="Y193" s="26"/>
      <c r="Z193" s="26"/>
      <c r="AA193" s="30">
        <f>Table1[[#This Row],[Hours Used]]-SUM(Table1[[#This Row],[Planned Maintenance]:[Start and Finish Production]])</f>
        <v>23</v>
      </c>
      <c r="AB193" s="26"/>
      <c r="AC193" s="26">
        <v>4</v>
      </c>
      <c r="AD193" s="26"/>
      <c r="AE193" s="26"/>
      <c r="AF193" s="26"/>
      <c r="AG193" s="26"/>
      <c r="AH193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0.13333333333333286</v>
      </c>
      <c r="AI193" s="24">
        <f ca="1">IFERROR(IF(Table1[[#This Row],[SKU]]="",0,Table1[[#This Row],[Quality Loss (T)]]/(Table1[[#This Row],[SOC (TPD)]]/24)),"")</f>
        <v>0.97192982456140353</v>
      </c>
      <c r="AJ193" s="31">
        <f ca="1">IFERROR(IF(Table1[[#This Row],[SKU]]="",0,Table1[[#This Row],[Volume Delivered (T)]]/(Table1[[#This Row],[SOC (TPD)]]/24)),"")</f>
        <v>17.894736842105264</v>
      </c>
      <c r="AK193" s="31">
        <f ca="1">IFERROR(Table1[[#This Row],[Operating Time]]/Table1[[#This Row],[PRODUCTION HOURS]],"")</f>
        <v>0.77803203661327236</v>
      </c>
      <c r="AL193" s="32">
        <v>88</v>
      </c>
      <c r="AM193" s="32" t="s">
        <v>107</v>
      </c>
      <c r="AN193" s="32" t="s">
        <v>107</v>
      </c>
      <c r="AO193" s="32">
        <v>0</v>
      </c>
      <c r="AP193" s="32">
        <v>0</v>
      </c>
      <c r="AQ193" s="32"/>
      <c r="AR193" s="32" t="str">
        <f>IFERROR(SUMIFS(#REF!,#REF!,'Data Sheet'!A:A,#REF!,"Samridhi Perk Line")/SUMIFS(#REF!,#REF!,'Data Sheet'!A:A,#REF!,"Samridhi Perk Line"),"")</f>
        <v/>
      </c>
      <c r="AS193" s="32"/>
      <c r="AT193" s="32"/>
      <c r="AU193" s="211">
        <f>IFERROR(VLOOKUP(Table1[[#This Row],[Date]],'Overweight Data'!A191:G1286,6,FALSE),"")</f>
        <v>2.2513812154696122E-2</v>
      </c>
      <c r="AV193" s="221">
        <f ca="1">IFERROR(
   IF(
      OR(Table1[[#This Row],[Operating Time]]=0, (Table1[[#This Row],[Operating Time]]/IF(AC193&lt;=1,AC193+1,AC193))*60=0),
      1,
      ((Table1[[#This Row],[Operating Time]])/IF(AC193&lt;=1,AC193+1,AC193))*60
   ),
"_")</f>
        <v>268.42105263157896</v>
      </c>
      <c r="AW193" s="221">
        <f>COUNTIFS('Downtime Data'!A:A,Table1[[#This Row],[Date]])</f>
        <v>1</v>
      </c>
      <c r="AX193" s="219">
        <f>IFERROR((SUM(Table1[[#This Row],[Minor Stoppages]:[Material Shortages]])/Table1[[#This Row],['# Stops]])*60,"")</f>
        <v>240</v>
      </c>
      <c r="AY193" s="219"/>
      <c r="AZ193" s="33">
        <v>46229</v>
      </c>
    </row>
    <row r="194" spans="1:52" ht="20.149999999999999" customHeight="1" x14ac:dyDescent="0.35">
      <c r="A194" s="21">
        <v>46211</v>
      </c>
      <c r="B194" s="22" t="str">
        <f t="shared" si="3"/>
        <v>Wednesday</v>
      </c>
      <c r="C194" s="23" t="s">
        <v>108</v>
      </c>
      <c r="D194" s="24" cm="1">
        <f t="array" aca="1" ref="D194" ca="1">IFERROR(INDIRECT(C194),"")</f>
        <v>34.200000000000003</v>
      </c>
      <c r="E194" s="25">
        <v>28.5</v>
      </c>
      <c r="F194" s="26">
        <v>20</v>
      </c>
      <c r="G194" s="27">
        <f ca="1">IFERROR((Table1[[#This Row],[Plan]]/Table1[[#This Row],[Hours Used]])/(Table1[[#This Row],[SOC (TPD)]]/24),"")</f>
        <v>0.83333333333333326</v>
      </c>
      <c r="H194" s="27">
        <f ca="1">IFERROR((Table1[[#This Row],[Volume Delivered (T)]]/Table1[[#This Row],[Hours Used]])/(Table1[[#This Row],[SOC (TPD)]]/24),"")</f>
        <v>0.58479532163742687</v>
      </c>
      <c r="I194" s="28"/>
      <c r="J194" s="28"/>
      <c r="K194" s="28"/>
      <c r="L194" s="25">
        <f>(VLOOKUP(Table1[[#This Row],[Date]],'Coated Rework Data'!$A:$F,5)/1000)</f>
        <v>1.02</v>
      </c>
      <c r="M194" s="29">
        <v>5.7000000000000002E-2</v>
      </c>
      <c r="N194" s="84"/>
      <c r="O194" s="25"/>
      <c r="P194" s="25"/>
      <c r="Q194" s="70"/>
      <c r="R194" s="71"/>
      <c r="S194" s="30">
        <f>IF(Table1[[#This Row],[SKU]]="",0,24-Table1[[#This Row],[Legal Non-Operating Time]]-Table1[[#This Row],[No Demand Time]]-Table1[[#This Row],[Force Majeure]])</f>
        <v>24</v>
      </c>
      <c r="T194" s="26"/>
      <c r="U194" s="26">
        <v>1</v>
      </c>
      <c r="V194" s="26"/>
      <c r="W194" s="26"/>
      <c r="X194" s="26"/>
      <c r="Y194" s="26"/>
      <c r="Z194" s="26"/>
      <c r="AA194" s="30">
        <f>Table1[[#This Row],[Hours Used]]-SUM(Table1[[#This Row],[Planned Maintenance]:[Start and Finish Production]])</f>
        <v>23</v>
      </c>
      <c r="AB194" s="26"/>
      <c r="AC194" s="26">
        <v>7.9</v>
      </c>
      <c r="AD194" s="26"/>
      <c r="AE194" s="26"/>
      <c r="AF194" s="26"/>
      <c r="AG194" s="26"/>
      <c r="AH194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0.34912280701754383</v>
      </c>
      <c r="AI194" s="24">
        <f ca="1">IFERROR(IF(Table1[[#This Row],[SKU]]="",0,Table1[[#This Row],[Quality Loss (T)]]/(Table1[[#This Row],[SOC (TPD)]]/24)),"")</f>
        <v>0.71578947368421053</v>
      </c>
      <c r="AJ194" s="31">
        <f ca="1">IFERROR(IF(Table1[[#This Row],[SKU]]="",0,Table1[[#This Row],[Volume Delivered (T)]]/(Table1[[#This Row],[SOC (TPD)]]/24)),"")</f>
        <v>14.035087719298245</v>
      </c>
      <c r="AK194" s="31">
        <f ca="1">IFERROR(Table1[[#This Row],[Operating Time]]/Table1[[#This Row],[PRODUCTION HOURS]],"")</f>
        <v>0.61022120518688017</v>
      </c>
      <c r="AL194" s="32">
        <v>98</v>
      </c>
      <c r="AM194" s="32" t="s">
        <v>107</v>
      </c>
      <c r="AN194" s="32" t="s">
        <v>107</v>
      </c>
      <c r="AO194" s="32">
        <v>0</v>
      </c>
      <c r="AP194" s="32">
        <v>0</v>
      </c>
      <c r="AQ194" s="32"/>
      <c r="AR194" s="32" t="str">
        <f>IFERROR(SUMIFS(#REF!,#REF!,'Data Sheet'!A:A,#REF!,"Samridhi Perk Line")/SUMIFS(#REF!,#REF!,'Data Sheet'!A:A,#REF!,"Samridhi Perk Line"),"")</f>
        <v/>
      </c>
      <c r="AS194" s="32"/>
      <c r="AT194" s="32"/>
      <c r="AU194" s="211">
        <f>IFERROR(VLOOKUP(Table1[[#This Row],[Date]],'Overweight Data'!A192:G1287,6,FALSE),"")</f>
        <v>3.2891344383057117E-2</v>
      </c>
      <c r="AV194" s="221">
        <f ca="1">IFERROR(
   IF(
      OR(Table1[[#This Row],[Operating Time]]=0, (Table1[[#This Row],[Operating Time]]/IF(AC194&lt;=1,AC194+1,AC194))*60=0),
      1,
      ((Table1[[#This Row],[Operating Time]])/IF(AC194&lt;=1,AC194+1,AC194))*60
   ),
"_")</f>
        <v>106.59560293137906</v>
      </c>
      <c r="AW194" s="221">
        <f>COUNTIFS('Downtime Data'!A:A,Table1[[#This Row],[Date]])</f>
        <v>1</v>
      </c>
      <c r="AX194" s="219">
        <f>IFERROR((SUM(Table1[[#This Row],[Minor Stoppages]:[Material Shortages]])/Table1[[#This Row],['# Stops]])*60,"")</f>
        <v>474</v>
      </c>
      <c r="AY194" s="219"/>
      <c r="AZ194" s="33">
        <v>46229</v>
      </c>
    </row>
    <row r="195" spans="1:52" ht="20.149999999999999" customHeight="1" x14ac:dyDescent="0.35">
      <c r="A195" s="21">
        <v>46212</v>
      </c>
      <c r="B195" s="22" t="str">
        <f t="shared" si="3"/>
        <v>Thursday</v>
      </c>
      <c r="C195" s="23" t="s">
        <v>108</v>
      </c>
      <c r="D195" s="24" cm="1">
        <f t="array" aca="1" ref="D195" ca="1">IFERROR(INDIRECT(C195),"")</f>
        <v>34.200000000000003</v>
      </c>
      <c r="E195" s="25">
        <v>28.5</v>
      </c>
      <c r="F195" s="26">
        <v>26.6</v>
      </c>
      <c r="G195" s="27">
        <f ca="1">IFERROR((Table1[[#This Row],[Plan]]/Table1[[#This Row],[Hours Used]])/(Table1[[#This Row],[SOC (TPD)]]/24),"")</f>
        <v>0.83333333333333326</v>
      </c>
      <c r="H195" s="27">
        <f ca="1">IFERROR((Table1[[#This Row],[Volume Delivered (T)]]/Table1[[#This Row],[Hours Used]])/(Table1[[#This Row],[SOC (TPD)]]/24),"")</f>
        <v>0.77777777777777779</v>
      </c>
      <c r="I195" s="28"/>
      <c r="J195" s="28"/>
      <c r="K195" s="28"/>
      <c r="L195" s="25">
        <f>(VLOOKUP(Table1[[#This Row],[Date]],'Coated Rework Data'!$A:$F,5)/1000)</f>
        <v>1.8520000000000001</v>
      </c>
      <c r="M195" s="29">
        <v>5.7000000000000002E-2</v>
      </c>
      <c r="N195" s="84"/>
      <c r="O195" s="25"/>
      <c r="P195" s="25"/>
      <c r="Q195" s="70"/>
      <c r="R195" s="71"/>
      <c r="S195" s="30">
        <f>IF(Table1[[#This Row],[SKU]]="",0,24-Table1[[#This Row],[Legal Non-Operating Time]]-Table1[[#This Row],[No Demand Time]]-Table1[[#This Row],[Force Majeure]])</f>
        <v>24</v>
      </c>
      <c r="T195" s="26"/>
      <c r="U195" s="26"/>
      <c r="V195" s="26"/>
      <c r="W195" s="26"/>
      <c r="X195" s="26"/>
      <c r="Y195" s="26"/>
      <c r="Z195" s="26"/>
      <c r="AA195" s="30">
        <f>Table1[[#This Row],[Hours Used]]-SUM(Table1[[#This Row],[Planned Maintenance]:[Start and Finish Production]])</f>
        <v>24</v>
      </c>
      <c r="AB195" s="26"/>
      <c r="AC195" s="26"/>
      <c r="AD195" s="26"/>
      <c r="AE195" s="26"/>
      <c r="AF195" s="26"/>
      <c r="AG195" s="26"/>
      <c r="AH195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4.0336842105263138</v>
      </c>
      <c r="AI195" s="24">
        <f ca="1">IFERROR(IF(Table1[[#This Row],[SKU]]="",0,Table1[[#This Row],[Quality Loss (T)]]/(Table1[[#This Row],[SOC (TPD)]]/24)),"")</f>
        <v>1.2996491228070175</v>
      </c>
      <c r="AJ195" s="31">
        <f ca="1">IFERROR(IF(Table1[[#This Row],[SKU]]="",0,Table1[[#This Row],[Volume Delivered (T)]]/(Table1[[#This Row],[SOC (TPD)]]/24)),"")</f>
        <v>18.666666666666668</v>
      </c>
      <c r="AK195" s="31">
        <f ca="1">IFERROR(Table1[[#This Row],[Operating Time]]/Table1[[#This Row],[PRODUCTION HOURS]],"")</f>
        <v>0.77777777777777779</v>
      </c>
      <c r="AL195" s="32">
        <v>95</v>
      </c>
      <c r="AM195" s="32" t="s">
        <v>107</v>
      </c>
      <c r="AN195" s="32" t="s">
        <v>107</v>
      </c>
      <c r="AO195" s="32">
        <v>0</v>
      </c>
      <c r="AP195" s="32">
        <v>0</v>
      </c>
      <c r="AQ195" s="32"/>
      <c r="AR195" s="32" t="str">
        <f>IFERROR(SUMIFS(#REF!,#REF!,'Data Sheet'!A:A,#REF!,"Samridhi Perk Line")/SUMIFS(#REF!,#REF!,'Data Sheet'!A:A,#REF!,"Samridhi Perk Line"),"")</f>
        <v/>
      </c>
      <c r="AS195" s="32"/>
      <c r="AT195" s="32"/>
      <c r="AU195" s="211">
        <f>IFERROR(VLOOKUP(Table1[[#This Row],[Date]],'Overweight Data'!A193:G1288,6,FALSE),"")</f>
        <v>2.4023941068139997E-2</v>
      </c>
      <c r="AV195" s="221">
        <f ca="1">IFERROR(
   IF(
      OR(Table1[[#This Row],[Operating Time]]=0, (Table1[[#This Row],[Operating Time]]/IF(AC195&lt;=1,AC195+1,AC195))*60=0),
      1,
      ((Table1[[#This Row],[Operating Time]])/IF(AC195&lt;=1,AC195+1,AC195))*60
   ),
"_")</f>
        <v>1120</v>
      </c>
      <c r="AW195" s="221">
        <f>COUNTIFS('Downtime Data'!A:A,Table1[[#This Row],[Date]])</f>
        <v>0</v>
      </c>
      <c r="AX195" s="219" t="str">
        <f>IFERROR((SUM(Table1[[#This Row],[Minor Stoppages]:[Material Shortages]])/Table1[[#This Row],['# Stops]])*60,"")</f>
        <v/>
      </c>
      <c r="AY195" s="219"/>
      <c r="AZ195" s="33">
        <v>46229</v>
      </c>
    </row>
    <row r="196" spans="1:52" ht="20.149999999999999" customHeight="1" x14ac:dyDescent="0.35">
      <c r="A196" s="21">
        <v>46213</v>
      </c>
      <c r="B196" s="22" t="str">
        <f t="shared" si="3"/>
        <v>Friday</v>
      </c>
      <c r="C196" s="23" t="s">
        <v>108</v>
      </c>
      <c r="D196" s="24" cm="1">
        <f t="array" aca="1" ref="D196" ca="1">IFERROR(INDIRECT(C196),"")</f>
        <v>34.200000000000003</v>
      </c>
      <c r="E196" s="25">
        <v>34.5</v>
      </c>
      <c r="F196" s="26">
        <v>19.5</v>
      </c>
      <c r="G196" s="27">
        <f ca="1">IFERROR((Table1[[#This Row],[Plan]]/Table1[[#This Row],[Hours Used]])/(Table1[[#This Row],[SOC (TPD)]]/24),"")</f>
        <v>1.0087719298245614</v>
      </c>
      <c r="H196" s="27">
        <f ca="1">IFERROR((Table1[[#This Row],[Volume Delivered (T)]]/Table1[[#This Row],[Hours Used]])/(Table1[[#This Row],[SOC (TPD)]]/24),"")</f>
        <v>0.57017543859649122</v>
      </c>
      <c r="I196" s="28"/>
      <c r="J196" s="28"/>
      <c r="K196" s="28"/>
      <c r="L196" s="25">
        <f>(VLOOKUP(Table1[[#This Row],[Date]],'Coated Rework Data'!$A:$F,5)/1000)</f>
        <v>0.81799999999999995</v>
      </c>
      <c r="M196" s="29">
        <v>5.7000000000000002E-2</v>
      </c>
      <c r="N196" s="84"/>
      <c r="O196" s="25"/>
      <c r="P196" s="25"/>
      <c r="Q196" s="70"/>
      <c r="R196" s="71"/>
      <c r="S196" s="30">
        <f>IF(Table1[[#This Row],[SKU]]="",0,24-Table1[[#This Row],[Legal Non-Operating Time]]-Table1[[#This Row],[No Demand Time]]-Table1[[#This Row],[Force Majeure]])</f>
        <v>24</v>
      </c>
      <c r="T196" s="26"/>
      <c r="U196" s="26">
        <v>0.55000000000000004</v>
      </c>
      <c r="V196" s="26"/>
      <c r="W196" s="26"/>
      <c r="X196" s="26"/>
      <c r="Y196" s="26"/>
      <c r="Z196" s="26"/>
      <c r="AA196" s="30">
        <f>Table1[[#This Row],[Hours Used]]-SUM(Table1[[#This Row],[Planned Maintenance]:[Start and Finish Production]])</f>
        <v>23.45</v>
      </c>
      <c r="AB196" s="26"/>
      <c r="AC196" s="26">
        <v>10.5</v>
      </c>
      <c r="AD196" s="26"/>
      <c r="AE196" s="26"/>
      <c r="AF196" s="26"/>
      <c r="AG196" s="26"/>
      <c r="AH196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-1.3082456140350889</v>
      </c>
      <c r="AI196" s="24">
        <f ca="1">IFERROR(IF(Table1[[#This Row],[SKU]]="",0,Table1[[#This Row],[Quality Loss (T)]]/(Table1[[#This Row],[SOC (TPD)]]/24)),"")</f>
        <v>0.57403508771929823</v>
      </c>
      <c r="AJ196" s="31">
        <f ca="1">IFERROR(IF(Table1[[#This Row],[SKU]]="",0,Table1[[#This Row],[Volume Delivered (T)]]/(Table1[[#This Row],[SOC (TPD)]]/24)),"")</f>
        <v>13.684210526315789</v>
      </c>
      <c r="AK196" s="31">
        <f ca="1">IFERROR(Table1[[#This Row],[Operating Time]]/Table1[[#This Row],[PRODUCTION HOURS]],"")</f>
        <v>0.58354842329704859</v>
      </c>
      <c r="AL196" s="32">
        <v>88</v>
      </c>
      <c r="AM196" s="32" t="s">
        <v>107</v>
      </c>
      <c r="AN196" s="32" t="s">
        <v>107</v>
      </c>
      <c r="AO196" s="32">
        <v>2</v>
      </c>
      <c r="AP196" s="32">
        <v>0</v>
      </c>
      <c r="AQ196" s="32"/>
      <c r="AR196" s="32" t="str">
        <f>IFERROR(SUMIFS(#REF!,#REF!,'Data Sheet'!A:A,#REF!,"Samridhi Perk Line")/SUMIFS(#REF!,#REF!,'Data Sheet'!A:A,#REF!,"Samridhi Perk Line"),"")</f>
        <v/>
      </c>
      <c r="AS196" s="32"/>
      <c r="AT196" s="32"/>
      <c r="AU196" s="211">
        <f>IFERROR(VLOOKUP(Table1[[#This Row],[Date]],'Overweight Data'!A194:G1289,6,FALSE),"")</f>
        <v>3.8130755064456741E-2</v>
      </c>
      <c r="AV196" s="221">
        <f ca="1">IFERROR(
   IF(
      OR(Table1[[#This Row],[Operating Time]]=0, (Table1[[#This Row],[Operating Time]]/IF(AC196&lt;=1,AC196+1,AC196))*60=0),
      1,
      ((Table1[[#This Row],[Operating Time]])/IF(AC196&lt;=1,AC196+1,AC196))*60
   ),
"_")</f>
        <v>78.195488721804509</v>
      </c>
      <c r="AW196" s="221">
        <f>COUNTIFS('Downtime Data'!A:A,Table1[[#This Row],[Date]])</f>
        <v>1</v>
      </c>
      <c r="AX196" s="219">
        <f>IFERROR((SUM(Table1[[#This Row],[Minor Stoppages]:[Material Shortages]])/Table1[[#This Row],['# Stops]])*60,"")</f>
        <v>630</v>
      </c>
      <c r="AY196" s="219"/>
      <c r="AZ196" s="33">
        <v>46229</v>
      </c>
    </row>
    <row r="197" spans="1:52" ht="20.149999999999999" customHeight="1" x14ac:dyDescent="0.35">
      <c r="A197" s="21">
        <v>46214</v>
      </c>
      <c r="B197" s="22" t="str">
        <f t="shared" si="3"/>
        <v>Saturday</v>
      </c>
      <c r="C197" s="23" t="s">
        <v>108</v>
      </c>
      <c r="D197" s="24" cm="1">
        <f t="array" aca="1" ref="D197" ca="1">IFERROR(INDIRECT(C197),"")</f>
        <v>34.200000000000003</v>
      </c>
      <c r="E197" s="25">
        <v>28</v>
      </c>
      <c r="F197" s="26">
        <f>9.3+11+9.4</f>
        <v>29.700000000000003</v>
      </c>
      <c r="G197" s="27">
        <f ca="1">IFERROR((Table1[[#This Row],[Plan]]/Table1[[#This Row],[Hours Used]])/(Table1[[#This Row],[SOC (TPD)]]/24),"")</f>
        <v>0.81871345029239773</v>
      </c>
      <c r="H197" s="27">
        <f ca="1">IFERROR((Table1[[#This Row],[Volume Delivered (T)]]/Table1[[#This Row],[Hours Used]])/(Table1[[#This Row],[SOC (TPD)]]/24),"")</f>
        <v>0.86842105263157898</v>
      </c>
      <c r="I197" s="28"/>
      <c r="J197" s="28"/>
      <c r="K197" s="28"/>
      <c r="L197" s="25">
        <f>(VLOOKUP(Table1[[#This Row],[Date]],'Coated Rework Data'!$A:$F,5)/1000)</f>
        <v>1.59</v>
      </c>
      <c r="M197" s="29">
        <v>5.7000000000000002E-2</v>
      </c>
      <c r="N197" s="84"/>
      <c r="O197" s="25"/>
      <c r="P197" s="25"/>
      <c r="Q197" s="70"/>
      <c r="R197" s="71"/>
      <c r="S197" s="30">
        <f>IF(Table1[[#This Row],[SKU]]="",0,24-Table1[[#This Row],[Legal Non-Operating Time]]-Table1[[#This Row],[No Demand Time]]-Table1[[#This Row],[Force Majeure]])</f>
        <v>24</v>
      </c>
      <c r="T197" s="26"/>
      <c r="U197" s="26"/>
      <c r="V197" s="26"/>
      <c r="W197" s="26"/>
      <c r="X197" s="26"/>
      <c r="Y197" s="26"/>
      <c r="Z197" s="26"/>
      <c r="AA197" s="30">
        <f>Table1[[#This Row],[Hours Used]]-SUM(Table1[[#This Row],[Planned Maintenance]:[Start and Finish Production]])</f>
        <v>24</v>
      </c>
      <c r="AB197" s="26"/>
      <c r="AC197" s="26"/>
      <c r="AD197" s="26"/>
      <c r="AE197" s="26"/>
      <c r="AF197" s="26"/>
      <c r="AG197" s="26"/>
      <c r="AH197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2.0421052631578931</v>
      </c>
      <c r="AI197" s="24">
        <f ca="1">IFERROR(IF(Table1[[#This Row],[SKU]]="",0,Table1[[#This Row],[Quality Loss (T)]]/(Table1[[#This Row],[SOC (TPD)]]/24)),"")</f>
        <v>1.1157894736842104</v>
      </c>
      <c r="AJ197" s="31">
        <f ca="1">IFERROR(IF(Table1[[#This Row],[SKU]]="",0,Table1[[#This Row],[Volume Delivered (T)]]/(Table1[[#This Row],[SOC (TPD)]]/24)),"")</f>
        <v>20.842105263157897</v>
      </c>
      <c r="AK197" s="31">
        <f ca="1">IFERROR(Table1[[#This Row],[Operating Time]]/Table1[[#This Row],[PRODUCTION HOURS]],"")</f>
        <v>0.86842105263157909</v>
      </c>
      <c r="AL197" s="32">
        <v>69</v>
      </c>
      <c r="AM197" s="32" t="s">
        <v>107</v>
      </c>
      <c r="AN197" s="32" t="s">
        <v>107</v>
      </c>
      <c r="AO197" s="32">
        <v>1</v>
      </c>
      <c r="AP197" s="32">
        <v>0</v>
      </c>
      <c r="AQ197" s="32"/>
      <c r="AR197" s="32" t="str">
        <f>IFERROR(SUMIFS(#REF!,#REF!,'Data Sheet'!A:A,#REF!,"Samridhi Perk Line")/SUMIFS(#REF!,#REF!,'Data Sheet'!A:A,#REF!,"Samridhi Perk Line"),"")</f>
        <v/>
      </c>
      <c r="AS197" s="32"/>
      <c r="AT197" s="32"/>
      <c r="AU197" s="211">
        <f>IFERROR(VLOOKUP(Table1[[#This Row],[Date]],'Overweight Data'!A195:G1290,6,FALSE),"")</f>
        <v>2.4860558410282146E-2</v>
      </c>
      <c r="AV197" s="221">
        <f ca="1">IFERROR(
   IF(
      OR(Table1[[#This Row],[Operating Time]]=0, (Table1[[#This Row],[Operating Time]]/IF(AC197&lt;=1,AC197+1,AC197))*60=0),
      1,
      ((Table1[[#This Row],[Operating Time]])/IF(AC197&lt;=1,AC197+1,AC197))*60
   ),
"_")</f>
        <v>1250.5263157894738</v>
      </c>
      <c r="AW197" s="221">
        <f>COUNTIFS('Downtime Data'!A:A,Table1[[#This Row],[Date]])</f>
        <v>0</v>
      </c>
      <c r="AX197" s="219" t="str">
        <f>IFERROR((SUM(Table1[[#This Row],[Minor Stoppages]:[Material Shortages]])/Table1[[#This Row],['# Stops]])*60,"")</f>
        <v/>
      </c>
      <c r="AY197" s="219"/>
      <c r="AZ197" s="33">
        <v>46229</v>
      </c>
    </row>
    <row r="198" spans="1:52" ht="20.149999999999999" customHeight="1" x14ac:dyDescent="0.35">
      <c r="A198" s="21">
        <v>46215</v>
      </c>
      <c r="B198" s="22" t="str">
        <f t="shared" si="3"/>
        <v>Sunday</v>
      </c>
      <c r="C198" s="23" t="s">
        <v>108</v>
      </c>
      <c r="D198" s="24" cm="1">
        <f t="array" aca="1" ref="D198" ca="1">IFERROR(INDIRECT(C198),"")</f>
        <v>34.200000000000003</v>
      </c>
      <c r="E198" s="25">
        <v>32</v>
      </c>
      <c r="F198" s="26">
        <f>25.2+7.1</f>
        <v>32.299999999999997</v>
      </c>
      <c r="G198" s="27">
        <f ca="1">IFERROR((Table1[[#This Row],[Plan]]/Table1[[#This Row],[Hours Used]])/(Table1[[#This Row],[SOC (TPD)]]/24),"")</f>
        <v>0.93567251461988299</v>
      </c>
      <c r="H198" s="27">
        <f ca="1">IFERROR((Table1[[#This Row],[Volume Delivered (T)]]/Table1[[#This Row],[Hours Used]])/(Table1[[#This Row],[SOC (TPD)]]/24),"")</f>
        <v>0.94444444444444431</v>
      </c>
      <c r="I198" s="28"/>
      <c r="J198" s="28"/>
      <c r="K198" s="28"/>
      <c r="L198" s="25">
        <f>(VLOOKUP(Table1[[#This Row],[Date]],'Coated Rework Data'!$A:$F,5)/1000)</f>
        <v>1.4630000000000001</v>
      </c>
      <c r="M198" s="29">
        <v>5.7000000000000002E-2</v>
      </c>
      <c r="N198" s="84"/>
      <c r="O198" s="25"/>
      <c r="P198" s="25"/>
      <c r="Q198" s="70"/>
      <c r="R198" s="71"/>
      <c r="S198" s="30">
        <f>IF(Table1[[#This Row],[SKU]]="",0,24-Table1[[#This Row],[Legal Non-Operating Time]]-Table1[[#This Row],[No Demand Time]]-Table1[[#This Row],[Force Majeure]])</f>
        <v>24</v>
      </c>
      <c r="T198" s="26"/>
      <c r="U198" s="26">
        <v>0.35</v>
      </c>
      <c r="V198" s="26"/>
      <c r="W198" s="26"/>
      <c r="X198" s="26"/>
      <c r="Y198" s="26"/>
      <c r="Z198" s="26"/>
      <c r="AA198" s="30">
        <f>Table1[[#This Row],[Hours Used]]-SUM(Table1[[#This Row],[Planned Maintenance]:[Start and Finish Production]])</f>
        <v>23.65</v>
      </c>
      <c r="AB198" s="26"/>
      <c r="AC198" s="26"/>
      <c r="AD198" s="26"/>
      <c r="AE198" s="26"/>
      <c r="AF198" s="26"/>
      <c r="AG198" s="26"/>
      <c r="AH198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-4.3333333333333002E-2</v>
      </c>
      <c r="AI198" s="24">
        <f ca="1">IFERROR(IF(Table1[[#This Row],[SKU]]="",0,Table1[[#This Row],[Quality Loss (T)]]/(Table1[[#This Row],[SOC (TPD)]]/24)),"")</f>
        <v>1.0266666666666666</v>
      </c>
      <c r="AJ198" s="31">
        <f ca="1">IFERROR(IF(Table1[[#This Row],[SKU]]="",0,Table1[[#This Row],[Volume Delivered (T)]]/(Table1[[#This Row],[SOC (TPD)]]/24)),"")</f>
        <v>22.666666666666664</v>
      </c>
      <c r="AK198" s="31">
        <f ca="1">IFERROR(Table1[[#This Row],[Operating Time]]/Table1[[#This Row],[PRODUCTION HOURS]],"")</f>
        <v>0.95842142353770254</v>
      </c>
      <c r="AL198" s="32">
        <v>79</v>
      </c>
      <c r="AM198" s="32" t="s">
        <v>107</v>
      </c>
      <c r="AN198" s="32" t="s">
        <v>107</v>
      </c>
      <c r="AO198" s="32">
        <v>46</v>
      </c>
      <c r="AP198" s="32">
        <v>43</v>
      </c>
      <c r="AQ198" s="32"/>
      <c r="AR198" s="32" t="str">
        <f>IFERROR(SUMIFS(#REF!,#REF!,'Data Sheet'!A:A,#REF!,"Samridhi Perk Line")/SUMIFS(#REF!,#REF!,'Data Sheet'!A:A,#REF!,"Samridhi Perk Line"),"")</f>
        <v/>
      </c>
      <c r="AS198" s="32"/>
      <c r="AT198" s="32"/>
      <c r="AU198" s="211">
        <f>IFERROR(VLOOKUP(Table1[[#This Row],[Date]],'Overweight Data'!A196:G1291,6,FALSE),"")</f>
        <v>2.2062937062937066E-2</v>
      </c>
      <c r="AV198" s="221">
        <f ca="1">IFERROR(
   IF(
      OR(Table1[[#This Row],[Operating Time]]=0, (Table1[[#This Row],[Operating Time]]/IF(AC198&lt;=1,AC198+1,AC198))*60=0),
      1,
      ((Table1[[#This Row],[Operating Time]])/IF(AC198&lt;=1,AC198+1,AC198))*60
   ),
"_")</f>
        <v>1359.9999999999998</v>
      </c>
      <c r="AW198" s="221">
        <f>COUNTIFS('Downtime Data'!A:A,Table1[[#This Row],[Date]])</f>
        <v>0</v>
      </c>
      <c r="AX198" s="219" t="str">
        <f>IFERROR((SUM(Table1[[#This Row],[Minor Stoppages]:[Material Shortages]])/Table1[[#This Row],['# Stops]])*60,"")</f>
        <v/>
      </c>
      <c r="AY198" s="219"/>
      <c r="AZ198" s="33">
        <v>46229</v>
      </c>
    </row>
    <row r="199" spans="1:52" ht="20.149999999999999" customHeight="1" x14ac:dyDescent="0.35">
      <c r="A199" s="21">
        <v>46216</v>
      </c>
      <c r="B199" s="22" t="str">
        <f t="shared" si="3"/>
        <v>Monday</v>
      </c>
      <c r="C199" s="23" t="s">
        <v>106</v>
      </c>
      <c r="D199" s="24" cm="1">
        <f t="array" aca="1" ref="D199" ca="1">IFERROR(INDIRECT(C199),"")</f>
        <v>39.200000000000003</v>
      </c>
      <c r="E199" s="25">
        <v>32</v>
      </c>
      <c r="F199" s="26">
        <v>31.5</v>
      </c>
      <c r="G199" s="27">
        <f ca="1">IFERROR((Table1[[#This Row],[Plan]]/Table1[[#This Row],[Hours Used]])/(Table1[[#This Row],[SOC (TPD)]]/24),"")</f>
        <v>0.81632653061224481</v>
      </c>
      <c r="H199" s="27">
        <f ca="1">IFERROR((Table1[[#This Row],[Volume Delivered (T)]]/Table1[[#This Row],[Hours Used]])/(Table1[[#This Row],[SOC (TPD)]]/24),"")</f>
        <v>0.80357142857142849</v>
      </c>
      <c r="I199" s="28"/>
      <c r="J199" s="28"/>
      <c r="K199" s="28"/>
      <c r="L199" s="25">
        <f>(VLOOKUP(Table1[[#This Row],[Date]],'Coated Rework Data'!$A:$F,5)/1000)</f>
        <v>1.2869999999999999</v>
      </c>
      <c r="M199" s="29">
        <v>3.5999999999999997E-2</v>
      </c>
      <c r="N199" s="84"/>
      <c r="O199" s="25"/>
      <c r="P199" s="25"/>
      <c r="Q199" s="70"/>
      <c r="R199" s="71"/>
      <c r="S199" s="30">
        <f>IF(Table1[[#This Row],[SKU]]="",0,24-Table1[[#This Row],[Legal Non-Operating Time]]-Table1[[#This Row],[No Demand Time]]-Table1[[#This Row],[Force Majeure]])</f>
        <v>24</v>
      </c>
      <c r="T199" s="26">
        <v>1</v>
      </c>
      <c r="U199" s="26">
        <v>1</v>
      </c>
      <c r="V199" s="26"/>
      <c r="W199" s="26"/>
      <c r="X199" s="26"/>
      <c r="Y199" s="26"/>
      <c r="Z199" s="26"/>
      <c r="AA199" s="30">
        <f>Table1[[#This Row],[Hours Used]]-SUM(Table1[[#This Row],[Planned Maintenance]:[Start and Finish Production]])</f>
        <v>22</v>
      </c>
      <c r="AB199" s="26"/>
      <c r="AC199" s="26"/>
      <c r="AD199" s="26"/>
      <c r="AE199" s="26"/>
      <c r="AF199" s="26"/>
      <c r="AG199" s="26"/>
      <c r="AH199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1.926326530612247</v>
      </c>
      <c r="AI199" s="24">
        <f ca="1">IFERROR(IF(Table1[[#This Row],[SKU]]="",0,Table1[[#This Row],[Quality Loss (T)]]/(Table1[[#This Row],[SOC (TPD)]]/24)),"")</f>
        <v>0.78795918367346929</v>
      </c>
      <c r="AJ199" s="31">
        <f ca="1">IFERROR(IF(Table1[[#This Row],[SKU]]="",0,Table1[[#This Row],[Volume Delivered (T)]]/(Table1[[#This Row],[SOC (TPD)]]/24)),"")</f>
        <v>19.285714285714285</v>
      </c>
      <c r="AK199" s="31">
        <f ca="1">IFERROR(Table1[[#This Row],[Operating Time]]/Table1[[#This Row],[PRODUCTION HOURS]],"")</f>
        <v>0.87662337662337653</v>
      </c>
      <c r="AL199" s="32">
        <v>74</v>
      </c>
      <c r="AM199" s="32" t="s">
        <v>107</v>
      </c>
      <c r="AN199" s="32" t="s">
        <v>107</v>
      </c>
      <c r="AO199" s="32">
        <v>0</v>
      </c>
      <c r="AP199" s="32">
        <v>0</v>
      </c>
      <c r="AQ199" s="32"/>
      <c r="AR199" s="32" t="str">
        <f>IFERROR(SUMIFS(#REF!,#REF!,'Data Sheet'!A:A,#REF!,"Samridhi Perk Line")/SUMIFS(#REF!,#REF!,'Data Sheet'!A:A,#REF!,"Samridhi Perk Line"),"")</f>
        <v/>
      </c>
      <c r="AS199" s="32"/>
      <c r="AT199" s="32"/>
      <c r="AU199" s="211">
        <f>IFERROR(VLOOKUP(Table1[[#This Row],[Date]],'Overweight Data'!A197:G1292,6,FALSE),"")</f>
        <v>2.4090909090909041E-2</v>
      </c>
      <c r="AV199" s="221">
        <f ca="1">IFERROR(
   IF(
      OR(Table1[[#This Row],[Operating Time]]=0, (Table1[[#This Row],[Operating Time]]/IF(AC199&lt;=1,AC199+1,AC199))*60=0),
      1,
      ((Table1[[#This Row],[Operating Time]])/IF(AC199&lt;=1,AC199+1,AC199))*60
   ),
"_")</f>
        <v>1157.1428571428571</v>
      </c>
      <c r="AW199" s="221">
        <f>COUNTIFS('Downtime Data'!A:A,Table1[[#This Row],[Date]])</f>
        <v>0</v>
      </c>
      <c r="AX199" s="219" t="str">
        <f>IFERROR((SUM(Table1[[#This Row],[Minor Stoppages]:[Material Shortages]])/Table1[[#This Row],['# Stops]])*60,"")</f>
        <v/>
      </c>
      <c r="AY199" s="219"/>
      <c r="AZ199" s="33">
        <v>46229</v>
      </c>
    </row>
    <row r="200" spans="1:52" ht="20.149999999999999" customHeight="1" x14ac:dyDescent="0.35">
      <c r="A200" s="21">
        <v>46217</v>
      </c>
      <c r="B200" s="22" t="str">
        <f t="shared" si="3"/>
        <v>Tuesday</v>
      </c>
      <c r="C200" s="23" t="s">
        <v>106</v>
      </c>
      <c r="D200" s="24" cm="1">
        <f t="array" aca="1" ref="D200" ca="1">IFERROR(INDIRECT(C200),"")</f>
        <v>39.200000000000003</v>
      </c>
      <c r="E200" s="25">
        <v>32</v>
      </c>
      <c r="F200" s="26">
        <v>31</v>
      </c>
      <c r="G200" s="27">
        <f ca="1">IFERROR((Table1[[#This Row],[Plan]]/Table1[[#This Row],[Hours Used]])/(Table1[[#This Row],[SOC (TPD)]]/24),"")</f>
        <v>0.81632653061224481</v>
      </c>
      <c r="H200" s="27">
        <f ca="1">IFERROR((Table1[[#This Row],[Volume Delivered (T)]]/Table1[[#This Row],[Hours Used]])/(Table1[[#This Row],[SOC (TPD)]]/24),"")</f>
        <v>0.79081632653061218</v>
      </c>
      <c r="I200" s="28"/>
      <c r="J200" s="28"/>
      <c r="K200" s="28"/>
      <c r="L200" s="25">
        <f>(VLOOKUP(Table1[[#This Row],[Date]],'Coated Rework Data'!$A:$F,5)/1000)</f>
        <v>1.629</v>
      </c>
      <c r="M200" s="29">
        <v>3.5000000000000003E-2</v>
      </c>
      <c r="N200" s="84"/>
      <c r="O200" s="25"/>
      <c r="P200" s="25"/>
      <c r="Q200" s="70"/>
      <c r="R200" s="71"/>
      <c r="S200" s="30">
        <f>IF(Table1[[#This Row],[SKU]]="",0,24-Table1[[#This Row],[Legal Non-Operating Time]]-Table1[[#This Row],[No Demand Time]]-Table1[[#This Row],[Force Majeure]])</f>
        <v>24</v>
      </c>
      <c r="T200" s="26">
        <v>1</v>
      </c>
      <c r="U200" s="26">
        <v>0.5</v>
      </c>
      <c r="V200" s="26"/>
      <c r="W200" s="26"/>
      <c r="X200" s="26"/>
      <c r="Y200" s="26"/>
      <c r="Z200" s="26"/>
      <c r="AA200" s="30">
        <f>Table1[[#This Row],[Hours Used]]-SUM(Table1[[#This Row],[Planned Maintenance]:[Start and Finish Production]])</f>
        <v>22.5</v>
      </c>
      <c r="AB200" s="26"/>
      <c r="AC200" s="26"/>
      <c r="AE200" s="26">
        <v>0.5</v>
      </c>
      <c r="AF200" s="26"/>
      <c r="AG200" s="26"/>
      <c r="AH200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2.0230612244897976</v>
      </c>
      <c r="AI200" s="24">
        <f ca="1">IFERROR(IF(Table1[[#This Row],[SKU]]="",0,Table1[[#This Row],[Quality Loss (T)]]/(Table1[[#This Row],[SOC (TPD)]]/24)),"")</f>
        <v>0.99734693877551006</v>
      </c>
      <c r="AJ200" s="31">
        <f ca="1">IFERROR(IF(Table1[[#This Row],[SKU]]="",0,Table1[[#This Row],[Volume Delivered (T)]]/(Table1[[#This Row],[SOC (TPD)]]/24)),"")</f>
        <v>18.979591836734691</v>
      </c>
      <c r="AK200" s="31">
        <f ca="1">IFERROR(Table1[[#This Row],[Operating Time]]/Table1[[#This Row],[PRODUCTION HOURS]],"")</f>
        <v>0.84353741496598633</v>
      </c>
      <c r="AL200" s="32">
        <v>86</v>
      </c>
      <c r="AM200" s="32" t="s">
        <v>107</v>
      </c>
      <c r="AN200" s="32" t="s">
        <v>107</v>
      </c>
      <c r="AO200" s="32">
        <v>2</v>
      </c>
      <c r="AP200" s="32">
        <v>1</v>
      </c>
      <c r="AQ200" s="32"/>
      <c r="AR200" s="32" t="str">
        <f>IFERROR(SUMIFS(#REF!,#REF!,'Data Sheet'!A:A,#REF!,"Samridhi Perk Line")/SUMIFS(#REF!,#REF!,'Data Sheet'!A:A,#REF!,"Samridhi Perk Line"),"")</f>
        <v/>
      </c>
      <c r="AS200" s="32"/>
      <c r="AT200" s="32"/>
      <c r="AU200" s="211">
        <f>IFERROR(VLOOKUP(Table1[[#This Row],[Date]],'Overweight Data'!A198:G1293,6,FALSE),"")</f>
        <v>2.4090909090909041E-2</v>
      </c>
      <c r="AV200" s="221">
        <f ca="1">IFERROR(
   IF(
      OR(Table1[[#This Row],[Operating Time]]=0, (Table1[[#This Row],[Operating Time]]/IF(AC200&lt;=1,AC200+1,AC200))*60=0),
      1,
      ((Table1[[#This Row],[Operating Time]])/IF(AC200&lt;=1,AC200+1,AC200))*60
   ),
"_")</f>
        <v>1138.7755102040815</v>
      </c>
      <c r="AW200" s="221">
        <f>COUNTIFS('Downtime Data'!A:A,Table1[[#This Row],[Date]])</f>
        <v>1</v>
      </c>
      <c r="AX200" s="219">
        <f>IFERROR((SUM(Table1[[#This Row],[Minor Stoppages]:[Material Shortages]])/Table1[[#This Row],['# Stops]])*60,"")</f>
        <v>30</v>
      </c>
      <c r="AY200" s="219">
        <v>1</v>
      </c>
      <c r="AZ200" s="33">
        <v>46229</v>
      </c>
    </row>
    <row r="201" spans="1:52" ht="20.149999999999999" customHeight="1" x14ac:dyDescent="0.35">
      <c r="A201" s="21">
        <v>46218</v>
      </c>
      <c r="B201" s="22" t="str">
        <f t="shared" si="3"/>
        <v>Wednesday</v>
      </c>
      <c r="C201" s="23" t="s">
        <v>106</v>
      </c>
      <c r="D201" s="24" cm="1">
        <f t="array" aca="1" ref="D201" ca="1">IFERROR(INDIRECT(C201),"")</f>
        <v>39.200000000000003</v>
      </c>
      <c r="E201" s="25">
        <v>15.5</v>
      </c>
      <c r="F201" s="26">
        <v>34.200000000000003</v>
      </c>
      <c r="G201" s="27">
        <f ca="1">IFERROR((Table1[[#This Row],[Plan]]/Table1[[#This Row],[Hours Used]])/(Table1[[#This Row],[SOC (TPD)]]/24),"")</f>
        <v>0.39540816326530609</v>
      </c>
      <c r="H201" s="27">
        <f ca="1">IFERROR((Table1[[#This Row],[Volume Delivered (T)]]/Table1[[#This Row],[Hours Used]])/(Table1[[#This Row],[SOC (TPD)]]/24),"")</f>
        <v>0.87244897959183665</v>
      </c>
      <c r="I201" s="28"/>
      <c r="J201" s="28"/>
      <c r="K201" s="28"/>
      <c r="L201" s="25">
        <f>(VLOOKUP(Table1[[#This Row],[Date]],'Coated Rework Data'!$A:$F,5)/1000)</f>
        <v>1.831</v>
      </c>
      <c r="M201" s="29">
        <v>0.04</v>
      </c>
      <c r="N201" s="84"/>
      <c r="O201" s="25"/>
      <c r="P201" s="25"/>
      <c r="Q201" s="70"/>
      <c r="R201" s="71"/>
      <c r="S201" s="30">
        <f>IF(Table1[[#This Row],[SKU]]="",0,24-Table1[[#This Row],[Legal Non-Operating Time]]-Table1[[#This Row],[No Demand Time]]-Table1[[#This Row],[Force Majeure]])</f>
        <v>24</v>
      </c>
      <c r="T201" s="26">
        <v>1</v>
      </c>
      <c r="U201" s="26">
        <v>0.5</v>
      </c>
      <c r="V201" s="26"/>
      <c r="W201" s="26"/>
      <c r="X201" s="26"/>
      <c r="Y201" s="26"/>
      <c r="Z201" s="26"/>
      <c r="AA201" s="30">
        <f>Table1[[#This Row],[Hours Used]]-SUM(Table1[[#This Row],[Planned Maintenance]:[Start and Finish Production]])</f>
        <v>22.5</v>
      </c>
      <c r="AB201" s="26"/>
      <c r="AC201" s="26">
        <v>0.5</v>
      </c>
      <c r="AD201" s="26"/>
      <c r="AE201" s="26">
        <v>0.25</v>
      </c>
      <c r="AF201" s="26"/>
      <c r="AG201" s="26"/>
      <c r="AH201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-0.30979591836734599</v>
      </c>
      <c r="AI201" s="24">
        <f ca="1">IFERROR(IF(Table1[[#This Row],[SKU]]="",0,Table1[[#This Row],[Quality Loss (T)]]/(Table1[[#This Row],[SOC (TPD)]]/24)),"")</f>
        <v>1.1210204081632651</v>
      </c>
      <c r="AJ201" s="31">
        <f ca="1">IFERROR(IF(Table1[[#This Row],[SKU]]="",0,Table1[[#This Row],[Volume Delivered (T)]]/(Table1[[#This Row],[SOC (TPD)]]/24)),"")</f>
        <v>20.938775510204081</v>
      </c>
      <c r="AK201" s="31">
        <f ca="1">IFERROR(Table1[[#This Row],[Operating Time]]/Table1[[#This Row],[PRODUCTION HOURS]],"")</f>
        <v>0.93061224489795913</v>
      </c>
      <c r="AL201" s="32">
        <v>83</v>
      </c>
      <c r="AM201" s="32" t="s">
        <v>107</v>
      </c>
      <c r="AN201" s="32" t="s">
        <v>107</v>
      </c>
      <c r="AO201" s="32">
        <v>1</v>
      </c>
      <c r="AP201" s="32">
        <v>1</v>
      </c>
      <c r="AQ201" s="32"/>
      <c r="AR201" s="32" t="str">
        <f>IFERROR(SUMIFS(#REF!,#REF!,'Data Sheet'!A:A,#REF!,"Samridhi Perk Line")/SUMIFS(#REF!,#REF!,'Data Sheet'!A:A,#REF!,"Samridhi Perk Line"),"")</f>
        <v/>
      </c>
      <c r="AS201" s="32"/>
      <c r="AT201" s="32"/>
      <c r="AU201" s="211">
        <f>IFERROR(VLOOKUP(Table1[[#This Row],[Date]],'Overweight Data'!A199:G1294,6,FALSE),"")</f>
        <v>2.891608391608385E-2</v>
      </c>
      <c r="AV201" s="221">
        <f ca="1">IFERROR(
   IF(
      OR(Table1[[#This Row],[Operating Time]]=0, (Table1[[#This Row],[Operating Time]]/IF(AC201&lt;=1,AC201+1,AC201))*60=0),
      1,
      ((Table1[[#This Row],[Operating Time]])/IF(AC201&lt;=1,AC201+1,AC201))*60
   ),
"_")</f>
        <v>837.55102040816325</v>
      </c>
      <c r="AW201" s="221">
        <f>COUNTIFS('Downtime Data'!A:A,Table1[[#This Row],[Date]])</f>
        <v>1</v>
      </c>
      <c r="AX201" s="219">
        <f>IFERROR((SUM(Table1[[#This Row],[Minor Stoppages]:[Material Shortages]])/Table1[[#This Row],['# Stops]])*60,"")</f>
        <v>45</v>
      </c>
      <c r="AY201" s="219"/>
      <c r="AZ201" s="33">
        <v>46229</v>
      </c>
    </row>
    <row r="202" spans="1:52" ht="20.149999999999999" customHeight="1" x14ac:dyDescent="0.35">
      <c r="A202" s="21">
        <v>46219</v>
      </c>
      <c r="B202" s="22" t="str">
        <f t="shared" si="3"/>
        <v>Thursday</v>
      </c>
      <c r="C202" s="23" t="s">
        <v>106</v>
      </c>
      <c r="D202" s="24" cm="1">
        <f t="array" aca="1" ref="D202" ca="1">IFERROR(INDIRECT(C202),"")</f>
        <v>39.200000000000003</v>
      </c>
      <c r="E202" s="25">
        <v>16</v>
      </c>
      <c r="F202" s="26">
        <f>5.94+16.1</f>
        <v>22.040000000000003</v>
      </c>
      <c r="G202" s="27">
        <f ca="1">IFERROR((Table1[[#This Row],[Plan]]/Table1[[#This Row],[Hours Used]])/(Table1[[#This Row],[SOC (TPD)]]/24),"")</f>
        <v>0.4081632653061224</v>
      </c>
      <c r="H202" s="27">
        <f ca="1">IFERROR((Table1[[#This Row],[Volume Delivered (T)]]/Table1[[#This Row],[Hours Used]])/(Table1[[#This Row],[SOC (TPD)]]/24),"")</f>
        <v>0.56224489795918364</v>
      </c>
      <c r="I202" s="28"/>
      <c r="J202" s="28"/>
      <c r="K202" s="28"/>
      <c r="L202" s="25">
        <f>(VLOOKUP(Table1[[#This Row],[Date]],'Coated Rework Data'!$A:$F,5)/1000)</f>
        <v>0.748</v>
      </c>
      <c r="M202" s="29">
        <v>0.04</v>
      </c>
      <c r="N202" s="84"/>
      <c r="O202" s="25"/>
      <c r="P202" s="25"/>
      <c r="Q202" s="70"/>
      <c r="R202" s="71"/>
      <c r="S202" s="30">
        <f>IF(Table1[[#This Row],[SKU]]="",0,24-Table1[[#This Row],[Legal Non-Operating Time]]-Table1[[#This Row],[No Demand Time]]-Table1[[#This Row],[Force Majeure]])</f>
        <v>24</v>
      </c>
      <c r="T202" s="26"/>
      <c r="U202" s="26"/>
      <c r="V202" s="26">
        <v>12</v>
      </c>
      <c r="W202" s="26"/>
      <c r="X202" s="26"/>
      <c r="Y202" s="26"/>
      <c r="Z202" s="26">
        <v>7</v>
      </c>
      <c r="AA202" s="30">
        <f>Table1[[#This Row],[Hours Used]]-SUM(Table1[[#This Row],[Planned Maintenance]:[Start and Finish Production]])</f>
        <v>5</v>
      </c>
      <c r="AB202" s="26"/>
      <c r="AC202" s="26"/>
      <c r="AD202" s="26"/>
      <c r="AE202" s="26"/>
      <c r="AF202" s="26"/>
      <c r="AG202" s="26"/>
      <c r="AH202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-8.9518367346938774</v>
      </c>
      <c r="AI202" s="24">
        <f ca="1">IFERROR(IF(Table1[[#This Row],[SKU]]="",0,Table1[[#This Row],[Quality Loss (T)]]/(Table1[[#This Row],[SOC (TPD)]]/24)),"")</f>
        <v>0.45795918367346933</v>
      </c>
      <c r="AJ202" s="31">
        <f ca="1">IFERROR(IF(Table1[[#This Row],[SKU]]="",0,Table1[[#This Row],[Volume Delivered (T)]]/(Table1[[#This Row],[SOC (TPD)]]/24)),"")</f>
        <v>13.493877551020407</v>
      </c>
      <c r="AK202" s="31">
        <f ca="1">IFERROR(Table1[[#This Row],[Operating Time]]/Table1[[#This Row],[PRODUCTION HOURS]],"")</f>
        <v>2.6987755102040816</v>
      </c>
      <c r="AL202" s="32">
        <v>81</v>
      </c>
      <c r="AM202" s="32" t="s">
        <v>107</v>
      </c>
      <c r="AN202" s="32" t="s">
        <v>107</v>
      </c>
      <c r="AO202" s="32">
        <v>0</v>
      </c>
      <c r="AP202" s="32">
        <v>0</v>
      </c>
      <c r="AQ202" s="32"/>
      <c r="AR202" s="32" t="str">
        <f>IFERROR(SUMIFS(#REF!,#REF!,'Data Sheet'!A:A,#REF!,"Samridhi Perk Line")/SUMIFS(#REF!,#REF!,'Data Sheet'!A:A,#REF!,"Samridhi Perk Line"),"")</f>
        <v/>
      </c>
      <c r="AS202" s="32"/>
      <c r="AT202" s="32"/>
      <c r="AU202" s="211">
        <f>IFERROR(VLOOKUP(Table1[[#This Row],[Date]],'Overweight Data'!A200:G1295,6,FALSE),"")</f>
        <v>2.3382867132867132E-2</v>
      </c>
      <c r="AV202" s="221">
        <f ca="1">IFERROR(
   IF(
      OR(Table1[[#This Row],[Operating Time]]=0, (Table1[[#This Row],[Operating Time]]/IF(AC202&lt;=1,AC202+1,AC202))*60=0),
      1,
      ((Table1[[#This Row],[Operating Time]])/IF(AC202&lt;=1,AC202+1,AC202))*60
   ),
"_")</f>
        <v>809.63265306122446</v>
      </c>
      <c r="AW202" s="221">
        <f>COUNTIFS('Downtime Data'!A:A,Table1[[#This Row],[Date]])</f>
        <v>2</v>
      </c>
      <c r="AX202" s="219">
        <f>IFERROR((SUM(Table1[[#This Row],[Minor Stoppages]:[Material Shortages]])/Table1[[#This Row],['# Stops]])*60,"")</f>
        <v>0</v>
      </c>
      <c r="AY202" s="219"/>
      <c r="AZ202" s="33">
        <v>46229</v>
      </c>
    </row>
    <row r="203" spans="1:52" ht="20.149999999999999" customHeight="1" x14ac:dyDescent="0.35">
      <c r="A203" s="21">
        <v>46220</v>
      </c>
      <c r="B203" s="22" t="str">
        <f t="shared" ref="B203:B266" si="4">IF(A203="","",TEXT(A203,"dddddd"))</f>
        <v>Friday</v>
      </c>
      <c r="C203" s="23" t="s">
        <v>106</v>
      </c>
      <c r="D203" s="24" cm="1">
        <f t="array" aca="1" ref="D203" ca="1">IFERROR(INDIRECT(C203),"")</f>
        <v>39.200000000000003</v>
      </c>
      <c r="E203" s="25">
        <v>31</v>
      </c>
      <c r="F203" s="26">
        <v>28.8</v>
      </c>
      <c r="G203" s="27">
        <f ca="1">IFERROR((Table1[[#This Row],[Plan]]/Table1[[#This Row],[Hours Used]])/(Table1[[#This Row],[SOC (TPD)]]/24),"")</f>
        <v>0.79081632653061218</v>
      </c>
      <c r="H203" s="27">
        <f ca="1">IFERROR((Table1[[#This Row],[Volume Delivered (T)]]/Table1[[#This Row],[Hours Used]])/(Table1[[#This Row],[SOC (TPD)]]/24),"")</f>
        <v>0.73469387755102034</v>
      </c>
      <c r="I203" s="28"/>
      <c r="J203" s="28"/>
      <c r="K203" s="28"/>
      <c r="L203" s="25">
        <f>(VLOOKUP(Table1[[#This Row],[Date]],'Coated Rework Data'!$A:$F,5)/1000)</f>
        <v>1.649</v>
      </c>
      <c r="M203" s="29">
        <v>3.7999999999999999E-2</v>
      </c>
      <c r="N203" s="84"/>
      <c r="O203" s="25"/>
      <c r="P203" s="25"/>
      <c r="Q203" s="70"/>
      <c r="R203" s="71"/>
      <c r="S203" s="30">
        <f>IF(Table1[[#This Row],[SKU]]="",0,24-Table1[[#This Row],[Legal Non-Operating Time]]-Table1[[#This Row],[No Demand Time]]-Table1[[#This Row],[Force Majeure]])</f>
        <v>24</v>
      </c>
      <c r="T203" s="26"/>
      <c r="U203" s="26">
        <v>1</v>
      </c>
      <c r="V203" s="26"/>
      <c r="W203" s="26">
        <v>1</v>
      </c>
      <c r="X203" s="26"/>
      <c r="Y203" s="26"/>
      <c r="Z203" s="26"/>
      <c r="AA203" s="30">
        <f>Table1[[#This Row],[Hours Used]]-SUM(Table1[[#This Row],[Planned Maintenance]:[Start and Finish Production]])</f>
        <v>22</v>
      </c>
      <c r="AB203" s="26"/>
      <c r="AC203" s="26">
        <v>2.5</v>
      </c>
      <c r="AD203" s="26"/>
      <c r="AE203" s="26"/>
      <c r="AF203" s="26"/>
      <c r="AG203" s="26"/>
      <c r="AH203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0.85775510204081939</v>
      </c>
      <c r="AI203" s="24">
        <f ca="1">IFERROR(IF(Table1[[#This Row],[SKU]]="",0,Table1[[#This Row],[Quality Loss (T)]]/(Table1[[#This Row],[SOC (TPD)]]/24)),"")</f>
        <v>1.0095918367346939</v>
      </c>
      <c r="AJ203" s="31">
        <f ca="1">IFERROR(IF(Table1[[#This Row],[SKU]]="",0,Table1[[#This Row],[Volume Delivered (T)]]/(Table1[[#This Row],[SOC (TPD)]]/24)),"")</f>
        <v>17.632653061224488</v>
      </c>
      <c r="AK203" s="31">
        <f ca="1">IFERROR(Table1[[#This Row],[Operating Time]]/Table1[[#This Row],[PRODUCTION HOURS]],"")</f>
        <v>0.8014842300556585</v>
      </c>
      <c r="AL203" s="32">
        <v>74</v>
      </c>
      <c r="AM203" s="32" t="s">
        <v>107</v>
      </c>
      <c r="AN203" s="32" t="s">
        <v>107</v>
      </c>
      <c r="AO203" s="32">
        <v>0</v>
      </c>
      <c r="AP203" s="32">
        <v>0</v>
      </c>
      <c r="AQ203" s="32"/>
      <c r="AR203" s="32" t="str">
        <f>IFERROR(SUMIFS(#REF!,#REF!,'Data Sheet'!A:A,#REF!,"Samridhi Perk Line")/SUMIFS(#REF!,#REF!,'Data Sheet'!A:A,#REF!,"Samridhi Perk Line"),"")</f>
        <v/>
      </c>
      <c r="AS203" s="32"/>
      <c r="AT203" s="32"/>
      <c r="AU203" s="211">
        <f>IFERROR(VLOOKUP(Table1[[#This Row],[Date]],'Overweight Data'!A201:G1296,6,FALSE),"")</f>
        <v>2.3382867132867132E-2</v>
      </c>
      <c r="AV203" s="221">
        <f ca="1">IFERROR(
   IF(
      OR(Table1[[#This Row],[Operating Time]]=0, (Table1[[#This Row],[Operating Time]]/IF(AC203&lt;=1,AC203+1,AC203))*60=0),
      1,
      ((Table1[[#This Row],[Operating Time]])/IF(AC203&lt;=1,AC203+1,AC203))*60
   ),
"_")</f>
        <v>423.18367346938771</v>
      </c>
      <c r="AW203" s="221">
        <f>COUNTIFS('Downtime Data'!A:A,Table1[[#This Row],[Date]])</f>
        <v>2</v>
      </c>
      <c r="AX203" s="219">
        <f>IFERROR((SUM(Table1[[#This Row],[Minor Stoppages]:[Material Shortages]])/Table1[[#This Row],['# Stops]])*60,"")</f>
        <v>75</v>
      </c>
      <c r="AY203" s="219"/>
      <c r="AZ203" s="33">
        <v>46229</v>
      </c>
    </row>
    <row r="204" spans="1:52" ht="20.149999999999999" customHeight="1" x14ac:dyDescent="0.35">
      <c r="A204" s="21">
        <v>46221</v>
      </c>
      <c r="B204" s="22" t="str">
        <f t="shared" si="4"/>
        <v>Saturday</v>
      </c>
      <c r="C204" s="23" t="s">
        <v>106</v>
      </c>
      <c r="D204" s="24" cm="1">
        <f t="array" aca="1" ref="D204" ca="1">IFERROR(INDIRECT(C204),"")</f>
        <v>39.200000000000003</v>
      </c>
      <c r="E204" s="25">
        <v>32</v>
      </c>
      <c r="F204" s="26">
        <v>31.5</v>
      </c>
      <c r="G204" s="27">
        <f ca="1">IFERROR((Table1[[#This Row],[Plan]]/Table1[[#This Row],[Hours Used]])/(Table1[[#This Row],[SOC (TPD)]]/24),"")</f>
        <v>0.81632653061224481</v>
      </c>
      <c r="H204" s="27">
        <f ca="1">IFERROR((Table1[[#This Row],[Volume Delivered (T)]]/Table1[[#This Row],[Hours Used]])/(Table1[[#This Row],[SOC (TPD)]]/24),"")</f>
        <v>0.80357142857142849</v>
      </c>
      <c r="I204" s="28"/>
      <c r="J204" s="28"/>
      <c r="K204" s="28"/>
      <c r="L204" s="25">
        <f>(VLOOKUP(Table1[[#This Row],[Date]],'Coated Rework Data'!$A:$F,5)/1000)</f>
        <v>1.32</v>
      </c>
      <c r="M204" s="29">
        <v>3.7999999999999999E-2</v>
      </c>
      <c r="N204" s="84"/>
      <c r="O204" s="25"/>
      <c r="P204" s="25"/>
      <c r="Q204" s="70"/>
      <c r="R204" s="71"/>
      <c r="S204" s="30">
        <f>IF(Table1[[#This Row],[SKU]]="",0,24-Table1[[#This Row],[Legal Non-Operating Time]]-Table1[[#This Row],[No Demand Time]]-Table1[[#This Row],[Force Majeure]])</f>
        <v>24</v>
      </c>
      <c r="T204" s="26"/>
      <c r="U204" s="26">
        <v>1</v>
      </c>
      <c r="V204" s="26"/>
      <c r="W204" s="26"/>
      <c r="X204" s="26"/>
      <c r="Y204" s="26"/>
      <c r="Z204" s="26"/>
      <c r="AA204" s="30">
        <f>Table1[[#This Row],[Hours Used]]-SUM(Table1[[#This Row],[Planned Maintenance]:[Start and Finish Production]])</f>
        <v>23</v>
      </c>
      <c r="AB204" s="26">
        <v>0.5</v>
      </c>
      <c r="AC204" s="26">
        <v>1.5</v>
      </c>
      <c r="AD204" s="26"/>
      <c r="AE204" s="26"/>
      <c r="AF204" s="26"/>
      <c r="AG204" s="26"/>
      <c r="AH204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0.90612244897959471</v>
      </c>
      <c r="AI204" s="24">
        <f ca="1">IFERROR(IF(Table1[[#This Row],[SKU]]="",0,Table1[[#This Row],[Quality Loss (T)]]/(Table1[[#This Row],[SOC (TPD)]]/24)),"")</f>
        <v>0.80816326530612237</v>
      </c>
      <c r="AJ204" s="31">
        <f ca="1">IFERROR(IF(Table1[[#This Row],[SKU]]="",0,Table1[[#This Row],[Volume Delivered (T)]]/(Table1[[#This Row],[SOC (TPD)]]/24)),"")</f>
        <v>19.285714285714285</v>
      </c>
      <c r="AK204" s="31">
        <f ca="1">IFERROR(Table1[[#This Row],[Operating Time]]/Table1[[#This Row],[PRODUCTION HOURS]],"")</f>
        <v>0.83850931677018625</v>
      </c>
      <c r="AL204" s="32">
        <v>74</v>
      </c>
      <c r="AM204" s="32" t="s">
        <v>107</v>
      </c>
      <c r="AN204" s="32" t="s">
        <v>107</v>
      </c>
      <c r="AO204" s="32">
        <v>3</v>
      </c>
      <c r="AP204" s="32">
        <v>0</v>
      </c>
      <c r="AQ204" s="32"/>
      <c r="AR204" s="32" t="str">
        <f>IFERROR(SUMIFS(#REF!,#REF!,'Data Sheet'!A:A,#REF!,"Samridhi Perk Line")/SUMIFS(#REF!,#REF!,'Data Sheet'!A:A,#REF!,"Samridhi Perk Line"),"")</f>
        <v/>
      </c>
      <c r="AS204" s="32"/>
      <c r="AT204" s="32"/>
      <c r="AU204" s="211">
        <f>IFERROR(VLOOKUP(Table1[[#This Row],[Date]],'Overweight Data'!A202:G1297,6,FALSE),"")</f>
        <v>2.734806629834248E-2</v>
      </c>
      <c r="AV204" s="221">
        <f ca="1">IFERROR(
   IF(
      OR(Table1[[#This Row],[Operating Time]]=0, (Table1[[#This Row],[Operating Time]]/IF(AC204&lt;=1,AC204+1,AC204))*60=0),
      1,
      ((Table1[[#This Row],[Operating Time]])/IF(AC204&lt;=1,AC204+1,AC204))*60
   ),
"_")</f>
        <v>771.42857142857133</v>
      </c>
      <c r="AW204" s="221">
        <f>COUNTIFS('Downtime Data'!A:A,Table1[[#This Row],[Date]])</f>
        <v>3</v>
      </c>
      <c r="AX204" s="219">
        <f>IFERROR((SUM(Table1[[#This Row],[Minor Stoppages]:[Material Shortages]])/Table1[[#This Row],['# Stops]])*60,"")</f>
        <v>40</v>
      </c>
      <c r="AY204" s="219"/>
      <c r="AZ204" s="33">
        <v>46229</v>
      </c>
    </row>
    <row r="205" spans="1:52" ht="20.149999999999999" customHeight="1" x14ac:dyDescent="0.35">
      <c r="A205" s="21">
        <v>46222</v>
      </c>
      <c r="B205" s="22" t="str">
        <f t="shared" si="4"/>
        <v>Sunday</v>
      </c>
      <c r="C205" s="23" t="s">
        <v>106</v>
      </c>
      <c r="D205" s="24" cm="1">
        <f t="array" aca="1" ref="D205" ca="1">IFERROR(INDIRECT(C205),"")</f>
        <v>39.200000000000003</v>
      </c>
      <c r="E205" s="25">
        <v>32</v>
      </c>
      <c r="F205" s="26">
        <f>23.4+8.4</f>
        <v>31.799999999999997</v>
      </c>
      <c r="G205" s="27">
        <f ca="1">IFERROR((Table1[[#This Row],[Plan]]/Table1[[#This Row],[Hours Used]])/(Table1[[#This Row],[SOC (TPD)]]/24),"")</f>
        <v>0.81632653061224481</v>
      </c>
      <c r="H205" s="27">
        <f ca="1">IFERROR((Table1[[#This Row],[Volume Delivered (T)]]/Table1[[#This Row],[Hours Used]])/(Table1[[#This Row],[SOC (TPD)]]/24),"")</f>
        <v>0.81122448979591821</v>
      </c>
      <c r="I205" s="28"/>
      <c r="J205" s="28"/>
      <c r="K205" s="28"/>
      <c r="L205" s="25">
        <f>(VLOOKUP(Table1[[#This Row],[Date]],'Coated Rework Data'!$A:$F,5)/1000)</f>
        <v>1.32</v>
      </c>
      <c r="M205" s="29">
        <v>3.7999999999999999E-2</v>
      </c>
      <c r="N205" s="84"/>
      <c r="O205" s="25"/>
      <c r="P205" s="25"/>
      <c r="Q205" s="70"/>
      <c r="R205" s="71"/>
      <c r="S205" s="30">
        <f>IF(Table1[[#This Row],[SKU]]="",0,24-Table1[[#This Row],[Legal Non-Operating Time]]-Table1[[#This Row],[No Demand Time]]-Table1[[#This Row],[Force Majeure]])</f>
        <v>24</v>
      </c>
      <c r="T205" s="26"/>
      <c r="U205" s="26">
        <v>1</v>
      </c>
      <c r="V205" s="26"/>
      <c r="W205" s="26"/>
      <c r="X205" s="26"/>
      <c r="Y205" s="26"/>
      <c r="Z205" s="26"/>
      <c r="AA205" s="30">
        <f>Table1[[#This Row],[Hours Used]]-SUM(Table1[[#This Row],[Planned Maintenance]:[Start and Finish Production]])</f>
        <v>23</v>
      </c>
      <c r="AB205" s="26"/>
      <c r="AC205" s="26">
        <v>1.5</v>
      </c>
      <c r="AD205" s="26"/>
      <c r="AE205" s="26"/>
      <c r="AF205" s="26"/>
      <c r="AG205" s="26"/>
      <c r="AH205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1.2224489795918423</v>
      </c>
      <c r="AI205" s="24">
        <f ca="1">IFERROR(IF(Table1[[#This Row],[SKU]]="",0,Table1[[#This Row],[Quality Loss (T)]]/(Table1[[#This Row],[SOC (TPD)]]/24)),"")</f>
        <v>0.80816326530612237</v>
      </c>
      <c r="AJ205" s="31">
        <f ca="1">IFERROR(IF(Table1[[#This Row],[SKU]]="",0,Table1[[#This Row],[Volume Delivered (T)]]/(Table1[[#This Row],[SOC (TPD)]]/24)),"")</f>
        <v>19.469387755102037</v>
      </c>
      <c r="AK205" s="31">
        <f ca="1">IFERROR(Table1[[#This Row],[Operating Time]]/Table1[[#This Row],[PRODUCTION HOURS]],"")</f>
        <v>0.84649511978704506</v>
      </c>
      <c r="AL205" s="32">
        <v>74</v>
      </c>
      <c r="AM205" s="32" t="s">
        <v>107</v>
      </c>
      <c r="AN205" s="32" t="s">
        <v>107</v>
      </c>
      <c r="AO205" s="32">
        <v>0</v>
      </c>
      <c r="AP205" s="32">
        <v>0</v>
      </c>
      <c r="AQ205" s="32"/>
      <c r="AR205" s="32" t="str">
        <f>IFERROR(SUMIFS(#REF!,#REF!,'Data Sheet'!A:A,#REF!,"Samridhi Perk Line")/SUMIFS(#REF!,#REF!,'Data Sheet'!A:A,#REF!,"Samridhi Perk Line"),"")</f>
        <v/>
      </c>
      <c r="AS205" s="32"/>
      <c r="AT205" s="32"/>
      <c r="AU205" s="211">
        <f>IFERROR(VLOOKUP(Table1[[#This Row],[Date]],'Overweight Data'!A203:G1298,6,FALSE),"")</f>
        <v>2.3351749539594856E-2</v>
      </c>
      <c r="AV205" s="221">
        <f ca="1">IFERROR(
   IF(
      OR(Table1[[#This Row],[Operating Time]]=0, (Table1[[#This Row],[Operating Time]]/IF(AC205&lt;=1,AC205+1,AC205))*60=0),
      1,
      ((Table1[[#This Row],[Operating Time]])/IF(AC205&lt;=1,AC205+1,AC205))*60
   ),
"_")</f>
        <v>778.77551020408146</v>
      </c>
      <c r="AW205" s="221">
        <f>COUNTIFS('Downtime Data'!A:A,Table1[[#This Row],[Date]])</f>
        <v>1</v>
      </c>
      <c r="AX205" s="219">
        <f>IFERROR((SUM(Table1[[#This Row],[Minor Stoppages]:[Material Shortages]])/Table1[[#This Row],['# Stops]])*60,"")</f>
        <v>90</v>
      </c>
      <c r="AY205" s="219"/>
      <c r="AZ205" s="33">
        <v>46229</v>
      </c>
    </row>
    <row r="206" spans="1:52" ht="20.149999999999999" customHeight="1" x14ac:dyDescent="0.35">
      <c r="A206" s="21">
        <v>46223</v>
      </c>
      <c r="B206" s="22" t="str">
        <f t="shared" si="4"/>
        <v>Monday</v>
      </c>
      <c r="C206" s="23" t="s">
        <v>106</v>
      </c>
      <c r="D206" s="24" cm="1">
        <f t="array" aca="1" ref="D206" ca="1">IFERROR(INDIRECT(C206),"")</f>
        <v>39.200000000000003</v>
      </c>
      <c r="E206" s="25">
        <v>32</v>
      </c>
      <c r="F206" s="26">
        <v>34.799999999999997</v>
      </c>
      <c r="G206" s="27">
        <f ca="1">IFERROR((Table1[[#This Row],[Plan]]/Table1[[#This Row],[Hours Used]])/(Table1[[#This Row],[SOC (TPD)]]/24),"")</f>
        <v>0.81632653061224481</v>
      </c>
      <c r="H206" s="27">
        <f ca="1">IFERROR((Table1[[#This Row],[Volume Delivered (T)]]/Table1[[#This Row],[Hours Used]])/(Table1[[#This Row],[SOC (TPD)]]/24),"")</f>
        <v>0.8877551020408162</v>
      </c>
      <c r="I206" s="28"/>
      <c r="J206" s="28"/>
      <c r="K206" s="28"/>
      <c r="L206" s="25">
        <f>(VLOOKUP(Table1[[#This Row],[Date]],'Coated Rework Data'!$A:$F,5)/1000)</f>
        <v>1.32</v>
      </c>
      <c r="M206" s="29">
        <v>3.7999999999999999E-2</v>
      </c>
      <c r="N206" s="84"/>
      <c r="O206" s="25"/>
      <c r="P206" s="25"/>
      <c r="Q206" s="70"/>
      <c r="R206" s="71"/>
      <c r="S206" s="30">
        <f>IF(Table1[[#This Row],[SKU]]="",0,24-Table1[[#This Row],[Legal Non-Operating Time]]-Table1[[#This Row],[No Demand Time]]-Table1[[#This Row],[Force Majeure]])</f>
        <v>24</v>
      </c>
      <c r="T206" s="26"/>
      <c r="U206" s="26">
        <v>1</v>
      </c>
      <c r="V206" s="26"/>
      <c r="W206" s="26"/>
      <c r="X206" s="26"/>
      <c r="Y206" s="26"/>
      <c r="Z206" s="26"/>
      <c r="AA206" s="30">
        <f>Table1[[#This Row],[Hours Used]]-SUM(Table1[[#This Row],[Planned Maintenance]:[Start and Finish Production]])</f>
        <v>23</v>
      </c>
      <c r="AB206" s="26"/>
      <c r="AC206" s="26"/>
      <c r="AD206" s="26"/>
      <c r="AE206" s="26"/>
      <c r="AF206" s="26"/>
      <c r="AG206" s="26"/>
      <c r="AH206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0.88571428571429323</v>
      </c>
      <c r="AI206" s="24">
        <f ca="1">IFERROR(IF(Table1[[#This Row],[SKU]]="",0,Table1[[#This Row],[Quality Loss (T)]]/(Table1[[#This Row],[SOC (TPD)]]/24)),"")</f>
        <v>0.80816326530612237</v>
      </c>
      <c r="AJ206" s="31">
        <f ca="1">IFERROR(IF(Table1[[#This Row],[SKU]]="",0,Table1[[#This Row],[Volume Delivered (T)]]/(Table1[[#This Row],[SOC (TPD)]]/24)),"")</f>
        <v>21.306122448979586</v>
      </c>
      <c r="AK206" s="31">
        <f ca="1">IFERROR(Table1[[#This Row],[Operating Time]]/Table1[[#This Row],[PRODUCTION HOURS]],"")</f>
        <v>0.92635314995563423</v>
      </c>
      <c r="AL206" s="32">
        <v>74</v>
      </c>
      <c r="AM206" s="32" t="s">
        <v>107</v>
      </c>
      <c r="AN206" s="32" t="s">
        <v>107</v>
      </c>
      <c r="AO206" s="32">
        <v>18</v>
      </c>
      <c r="AP206" s="32">
        <v>0</v>
      </c>
      <c r="AQ206" s="32"/>
      <c r="AR206" s="32" t="str">
        <f>IFERROR(SUMIFS(#REF!,#REF!,'Data Sheet'!A:A,#REF!,"Samridhi Perk Line")/SUMIFS(#REF!,#REF!,'Data Sheet'!A:A,#REF!,"Samridhi Perk Line"),"")</f>
        <v/>
      </c>
      <c r="AS206" s="32"/>
      <c r="AT206" s="32"/>
      <c r="AU206" s="211">
        <f>IFERROR(VLOOKUP(Table1[[#This Row],[Date]],'Overweight Data'!A204:G1299,6,FALSE),"")</f>
        <v>2.8655616942909762E-2</v>
      </c>
      <c r="AV206" s="221">
        <f ca="1">IFERROR(
   IF(
      OR(Table1[[#This Row],[Operating Time]]=0, (Table1[[#This Row],[Operating Time]]/IF(AC206&lt;=1,AC206+1,AC206))*60=0),
      1,
      ((Table1[[#This Row],[Operating Time]])/IF(AC206&lt;=1,AC206+1,AC206))*60
   ),
"_")</f>
        <v>1278.3673469387752</v>
      </c>
      <c r="AW206" s="221">
        <f>COUNTIFS('Downtime Data'!A:A,Table1[[#This Row],[Date]])</f>
        <v>0</v>
      </c>
      <c r="AX206" s="219" t="str">
        <f>IFERROR((SUM(Table1[[#This Row],[Minor Stoppages]:[Material Shortages]])/Table1[[#This Row],['# Stops]])*60,"")</f>
        <v/>
      </c>
      <c r="AY206" s="219"/>
      <c r="AZ206" s="33">
        <v>46229</v>
      </c>
    </row>
    <row r="207" spans="1:52" ht="20.149999999999999" customHeight="1" x14ac:dyDescent="0.35">
      <c r="A207" s="21">
        <v>46224</v>
      </c>
      <c r="B207" s="22" t="str">
        <f t="shared" si="4"/>
        <v>Tuesday</v>
      </c>
      <c r="C207" s="23"/>
      <c r="D207" s="24"/>
      <c r="E207" s="25"/>
      <c r="F207" s="26"/>
      <c r="G207" s="27" t="str">
        <f>IFERROR((Table1[[#This Row],[Plan]]/Table1[[#This Row],[Hours Used]])/(Table1[[#This Row],[SOC (TPD)]]/24),"")</f>
        <v/>
      </c>
      <c r="H207" s="27" t="str">
        <f>IFERROR((Table1[[#This Row],[Volume Delivered (T)]]/Table1[[#This Row],[Hours Used]])/(Table1[[#This Row],[SOC (TPD)]]/24),"")</f>
        <v/>
      </c>
      <c r="I207" s="28"/>
      <c r="J207" s="28"/>
      <c r="K207" s="28"/>
      <c r="L207" s="25"/>
      <c r="M207" s="29"/>
      <c r="N207" s="84"/>
      <c r="O207" s="25"/>
      <c r="P207" s="25"/>
      <c r="Q207" s="70"/>
      <c r="R207" s="71"/>
      <c r="S207" s="30">
        <f>IF(Table1[[#This Row],[SKU]]="",0,24-Table1[[#This Row],[Legal Non-Operating Time]]-Table1[[#This Row],[No Demand Time]]-Table1[[#This Row],[Force Majeure]])</f>
        <v>0</v>
      </c>
      <c r="T207" s="26"/>
      <c r="U207" s="26"/>
      <c r="V207" s="26"/>
      <c r="W207" s="26"/>
      <c r="X207" s="26"/>
      <c r="Y207" s="26"/>
      <c r="Z207" s="26"/>
      <c r="AA207" s="30">
        <f>Table1[[#This Row],[Hours Used]]-SUM(Table1[[#This Row],[Planned Maintenance]:[Start and Finish Production]])</f>
        <v>0</v>
      </c>
      <c r="AB207" s="26"/>
      <c r="AC207" s="26"/>
      <c r="AD207" s="26"/>
      <c r="AE207" s="26"/>
      <c r="AF207" s="26"/>
      <c r="AG207" s="26"/>
      <c r="AH207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207" s="24">
        <f>IFERROR(IF(Table1[[#This Row],[SKU]]="",0,Table1[[#This Row],[Quality Loss (T)]]/(Table1[[#This Row],[SOC (TPD)]]/24)),"")</f>
        <v>0</v>
      </c>
      <c r="AJ207" s="31">
        <f>IFERROR(IF(Table1[[#This Row],[SKU]]="",0,Table1[[#This Row],[Volume Delivered (T)]]/(Table1[[#This Row],[SOC (TPD)]]/24)),"")</f>
        <v>0</v>
      </c>
      <c r="AK207" s="31" t="str">
        <f>IFERROR(Table1[[#This Row],[Operating Time]]/Table1[[#This Row],[PRODUCTION HOURS]],"")</f>
        <v/>
      </c>
      <c r="AL207" s="32"/>
      <c r="AM207" s="32"/>
      <c r="AN207" s="32"/>
      <c r="AO207" s="32">
        <v>0</v>
      </c>
      <c r="AP207" s="32">
        <v>0</v>
      </c>
      <c r="AQ207" s="32"/>
      <c r="AR207" s="32" t="str">
        <f>IFERROR(SUMIFS(#REF!,#REF!,'Data Sheet'!A:A,#REF!,"Samridhi Perk Line")/SUMIFS(#REF!,#REF!,'Data Sheet'!A:A,#REF!,"Samridhi Perk Line"),"")</f>
        <v/>
      </c>
      <c r="AS207" s="32"/>
      <c r="AT207" s="32"/>
      <c r="AU207" s="211" t="str">
        <f>IFERROR(VLOOKUP(Table1[[#This Row],[Date]],'Overweight Data'!A205:G1300,6,FALSE),"")</f>
        <v/>
      </c>
      <c r="AV207" s="221">
        <f>IFERROR(
   IF(
      OR(Table1[[#This Row],[Operating Time]]=0, (Table1[[#This Row],[Operating Time]]/IF(AC207&lt;=1,AC207+1,AC207))*60=0),
      1,
      ((Table1[[#This Row],[Operating Time]])/IF(AC207&lt;=1,AC207+1,AC207))*60
   ),
"_")</f>
        <v>1</v>
      </c>
      <c r="AW207" s="221">
        <f>COUNTIFS('Downtime Data'!A:A,Table1[[#This Row],[Date]])</f>
        <v>0</v>
      </c>
      <c r="AX207" s="219" t="str">
        <f>IFERROR((SUM(Table1[[#This Row],[Minor Stoppages]:[Material Shortages]])/Table1[[#This Row],['# Stops]])*60,"")</f>
        <v/>
      </c>
      <c r="AY207" s="219"/>
      <c r="AZ207" s="33">
        <v>46229</v>
      </c>
    </row>
    <row r="208" spans="1:52" ht="20.149999999999999" customHeight="1" x14ac:dyDescent="0.35">
      <c r="A208" s="21">
        <v>46225</v>
      </c>
      <c r="B208" s="22" t="str">
        <f t="shared" si="4"/>
        <v>Wednesday</v>
      </c>
      <c r="C208" s="23"/>
      <c r="D208" s="24"/>
      <c r="E208" s="25"/>
      <c r="F208" s="26"/>
      <c r="G208" s="27"/>
      <c r="H208" s="27"/>
      <c r="I208" s="28"/>
      <c r="J208" s="28"/>
      <c r="K208" s="28"/>
      <c r="L208" s="25"/>
      <c r="M208" s="29"/>
      <c r="N208" s="84"/>
      <c r="O208" s="25"/>
      <c r="P208" s="25"/>
      <c r="Q208" s="70"/>
      <c r="R208" s="71"/>
      <c r="S208" s="30">
        <f>IF(Table1[[#This Row],[SKU]]="",0,24-Table1[[#This Row],[Legal Non-Operating Time]]-Table1[[#This Row],[No Demand Time]]-Table1[[#This Row],[Force Majeure]])</f>
        <v>0</v>
      </c>
      <c r="T208" s="26"/>
      <c r="U208" s="26"/>
      <c r="V208" s="26"/>
      <c r="W208" s="26"/>
      <c r="X208" s="26"/>
      <c r="Y208" s="26"/>
      <c r="Z208" s="26"/>
      <c r="AA208" s="30">
        <f>Table1[[#This Row],[Hours Used]]-SUM(Table1[[#This Row],[Planned Maintenance]:[Start and Finish Production]])</f>
        <v>0</v>
      </c>
      <c r="AB208" s="26"/>
      <c r="AC208" s="26"/>
      <c r="AD208" s="26"/>
      <c r="AE208" s="26"/>
      <c r="AF208" s="26"/>
      <c r="AG208" s="26"/>
      <c r="AH208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208" s="24">
        <f>IFERROR(IF(Table1[[#This Row],[SKU]]="",0,Table1[[#This Row],[Quality Loss (T)]]/(Table1[[#This Row],[SOC (TPD)]]/24)),"")</f>
        <v>0</v>
      </c>
      <c r="AJ208" s="31">
        <f>IFERROR(IF(Table1[[#This Row],[SKU]]="",0,Table1[[#This Row],[Volume Delivered (T)]]/(Table1[[#This Row],[SOC (TPD)]]/24)),"")</f>
        <v>0</v>
      </c>
      <c r="AK208" s="31" t="str">
        <f>IFERROR(Table1[[#This Row],[Operating Time]]/Table1[[#This Row],[PRODUCTION HOURS]],"")</f>
        <v/>
      </c>
      <c r="AL208" s="32"/>
      <c r="AM208" s="32"/>
      <c r="AN208" s="32"/>
      <c r="AO208" s="32">
        <v>0</v>
      </c>
      <c r="AP208" s="32">
        <v>0</v>
      </c>
      <c r="AQ208" s="32"/>
      <c r="AR208" s="32" t="str">
        <f>IFERROR(SUMIFS(#REF!,#REF!,'Data Sheet'!A:A,#REF!,"Samridhi Perk Line")/SUMIFS(#REF!,#REF!,'Data Sheet'!A:A,#REF!,"Samridhi Perk Line"),"")</f>
        <v/>
      </c>
      <c r="AS208" s="32"/>
      <c r="AT208" s="32"/>
      <c r="AU208" s="211" t="str">
        <f>IFERROR(VLOOKUP(Table1[[#This Row],[Date]],'Overweight Data'!A206:G1301,6,FALSE),"")</f>
        <v/>
      </c>
      <c r="AV208" s="221">
        <f>IFERROR(
   IF(
      OR(Table1[[#This Row],[Operating Time]]=0, (Table1[[#This Row],[Operating Time]]/IF(AC208&lt;=1,AC208+1,AC208))*60=0),
      1,
      ((Table1[[#This Row],[Operating Time]])/IF(AC208&lt;=1,AC208+1,AC208))*60
   ),
"_")</f>
        <v>1</v>
      </c>
      <c r="AW208" s="221">
        <f>COUNTIFS('Downtime Data'!A:A,Table1[[#This Row],[Date]])</f>
        <v>0</v>
      </c>
      <c r="AX208" s="219" t="str">
        <f>IFERROR((SUM(Table1[[#This Row],[Minor Stoppages]:[Material Shortages]])/Table1[[#This Row],['# Stops]])*60,"")</f>
        <v/>
      </c>
      <c r="AY208" s="219"/>
      <c r="AZ208" s="33">
        <v>46229</v>
      </c>
    </row>
    <row r="209" spans="1:52" ht="20.149999999999999" customHeight="1" x14ac:dyDescent="0.35">
      <c r="A209" s="21">
        <v>46226</v>
      </c>
      <c r="B209" s="22" t="str">
        <f t="shared" si="4"/>
        <v>Thursday</v>
      </c>
      <c r="C209" s="23"/>
      <c r="D209" s="24"/>
      <c r="E209" s="25"/>
      <c r="F209" s="26"/>
      <c r="G209" s="27"/>
      <c r="H209" s="27"/>
      <c r="I209" s="28"/>
      <c r="J209" s="28"/>
      <c r="K209" s="28"/>
      <c r="L209" s="25"/>
      <c r="M209" s="29"/>
      <c r="N209" s="84"/>
      <c r="O209" s="25"/>
      <c r="P209" s="25"/>
      <c r="Q209" s="70"/>
      <c r="R209" s="71"/>
      <c r="S209" s="30">
        <f>IF(Table1[[#This Row],[SKU]]="",0,24-Table1[[#This Row],[Legal Non-Operating Time]]-Table1[[#This Row],[No Demand Time]]-Table1[[#This Row],[Force Majeure]])</f>
        <v>0</v>
      </c>
      <c r="T209" s="26"/>
      <c r="U209" s="26"/>
      <c r="V209" s="26"/>
      <c r="W209" s="26"/>
      <c r="X209" s="26"/>
      <c r="Y209" s="26"/>
      <c r="Z209" s="26"/>
      <c r="AA209" s="30">
        <f>Table1[[#This Row],[Hours Used]]-SUM(Table1[[#This Row],[Planned Maintenance]:[Start and Finish Production]])</f>
        <v>0</v>
      </c>
      <c r="AB209" s="26"/>
      <c r="AC209" s="26"/>
      <c r="AD209" s="26"/>
      <c r="AE209" s="26"/>
      <c r="AF209" s="26"/>
      <c r="AG209" s="26"/>
      <c r="AH209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209" s="24">
        <f>IFERROR(IF(Table1[[#This Row],[SKU]]="",0,Table1[[#This Row],[Quality Loss (T)]]/(Table1[[#This Row],[SOC (TPD)]]/24)),"")</f>
        <v>0</v>
      </c>
      <c r="AJ209" s="31">
        <f>IFERROR(IF(Table1[[#This Row],[SKU]]="",0,Table1[[#This Row],[Volume Delivered (T)]]/(Table1[[#This Row],[SOC (TPD)]]/24)),"")</f>
        <v>0</v>
      </c>
      <c r="AK209" s="31" t="str">
        <f>IFERROR(Table1[[#This Row],[Operating Time]]/Table1[[#This Row],[PRODUCTION HOURS]],"")</f>
        <v/>
      </c>
      <c r="AL209" s="32"/>
      <c r="AM209" s="32"/>
      <c r="AN209" s="32"/>
      <c r="AO209" s="32">
        <v>0</v>
      </c>
      <c r="AP209" s="32">
        <v>0</v>
      </c>
      <c r="AQ209" s="32"/>
      <c r="AR209" s="32" t="str">
        <f>IFERROR(SUMIFS(#REF!,#REF!,'Data Sheet'!A:A,#REF!,"Samridhi Perk Line")/SUMIFS(#REF!,#REF!,'Data Sheet'!A:A,#REF!,"Samridhi Perk Line"),"")</f>
        <v/>
      </c>
      <c r="AS209" s="32"/>
      <c r="AT209" s="32"/>
      <c r="AU209" s="211" t="str">
        <f>IFERROR(VLOOKUP(Table1[[#This Row],[Date]],'Overweight Data'!A207:G1302,6,FALSE),"")</f>
        <v/>
      </c>
      <c r="AV209" s="221">
        <f>IFERROR(
   IF(
      OR(Table1[[#This Row],[Operating Time]]=0, (Table1[[#This Row],[Operating Time]]/IF(AC209&lt;=1,AC209+1,AC209))*60=0),
      1,
      ((Table1[[#This Row],[Operating Time]])/IF(AC209&lt;=1,AC209+1,AC209))*60
   ),
"_")</f>
        <v>1</v>
      </c>
      <c r="AW209" s="221">
        <f>COUNTIFS('Downtime Data'!A:A,Table1[[#This Row],[Date]])</f>
        <v>0</v>
      </c>
      <c r="AX209" s="219" t="str">
        <f>IFERROR((SUM(Table1[[#This Row],[Minor Stoppages]:[Material Shortages]])/Table1[[#This Row],['# Stops]])*60,"")</f>
        <v/>
      </c>
      <c r="AY209" s="219"/>
      <c r="AZ209" s="33">
        <v>46229</v>
      </c>
    </row>
    <row r="210" spans="1:52" ht="20.149999999999999" customHeight="1" x14ac:dyDescent="0.35">
      <c r="A210" s="21">
        <v>46227</v>
      </c>
      <c r="B210" s="22" t="str">
        <f t="shared" si="4"/>
        <v>Friday</v>
      </c>
      <c r="C210" s="23"/>
      <c r="D210" s="24"/>
      <c r="E210" s="25"/>
      <c r="F210" s="26"/>
      <c r="G210" s="27"/>
      <c r="H210" s="27"/>
      <c r="I210" s="28"/>
      <c r="J210" s="28"/>
      <c r="K210" s="28"/>
      <c r="L210" s="25"/>
      <c r="M210" s="29"/>
      <c r="N210" s="84"/>
      <c r="O210" s="25"/>
      <c r="P210" s="25"/>
      <c r="Q210" s="70"/>
      <c r="R210" s="71"/>
      <c r="S210" s="30">
        <f>IF(Table1[[#This Row],[SKU]]="",0,24-Table1[[#This Row],[Legal Non-Operating Time]]-Table1[[#This Row],[No Demand Time]]-Table1[[#This Row],[Force Majeure]])</f>
        <v>0</v>
      </c>
      <c r="T210" s="26"/>
      <c r="U210" s="26"/>
      <c r="V210" s="26"/>
      <c r="W210" s="26"/>
      <c r="X210" s="26"/>
      <c r="Y210" s="26"/>
      <c r="Z210" s="26"/>
      <c r="AA210" s="30">
        <f>Table1[[#This Row],[Hours Used]]-SUM(Table1[[#This Row],[Planned Maintenance]:[Start and Finish Production]])</f>
        <v>0</v>
      </c>
      <c r="AB210" s="26"/>
      <c r="AC210" s="26"/>
      <c r="AD210" s="26"/>
      <c r="AE210" s="26"/>
      <c r="AF210" s="26"/>
      <c r="AG210" s="26"/>
      <c r="AH210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210" s="24">
        <f>IFERROR(IF(Table1[[#This Row],[SKU]]="",0,Table1[[#This Row],[Quality Loss (T)]]/(Table1[[#This Row],[SOC (TPD)]]/24)),"")</f>
        <v>0</v>
      </c>
      <c r="AJ210" s="31">
        <f>IFERROR(IF(Table1[[#This Row],[SKU]]="",0,Table1[[#This Row],[Volume Delivered (T)]]/(Table1[[#This Row],[SOC (TPD)]]/24)),"")</f>
        <v>0</v>
      </c>
      <c r="AK210" s="31" t="str">
        <f>IFERROR(Table1[[#This Row],[Operating Time]]/Table1[[#This Row],[PRODUCTION HOURS]],"")</f>
        <v/>
      </c>
      <c r="AL210" s="32"/>
      <c r="AM210" s="32"/>
      <c r="AN210" s="32"/>
      <c r="AO210" s="32">
        <v>0</v>
      </c>
      <c r="AP210" s="32">
        <v>0</v>
      </c>
      <c r="AQ210" s="32"/>
      <c r="AR210" s="32" t="str">
        <f>IFERROR(SUMIFS(#REF!,#REF!,'Data Sheet'!A:A,#REF!,"Samridhi Perk Line")/SUMIFS(#REF!,#REF!,'Data Sheet'!A:A,#REF!,"Samridhi Perk Line"),"")</f>
        <v/>
      </c>
      <c r="AS210" s="32"/>
      <c r="AT210" s="32"/>
      <c r="AU210" s="211" t="str">
        <f>IFERROR(VLOOKUP(Table1[[#This Row],[Date]],'Overweight Data'!A208:G1303,6,FALSE),"")</f>
        <v/>
      </c>
      <c r="AV210" s="221">
        <f>IFERROR(
   IF(
      OR(Table1[[#This Row],[Operating Time]]=0, (Table1[[#This Row],[Operating Time]]/IF(AC210&lt;=1,AC210+1,AC210))*60=0),
      1,
      ((Table1[[#This Row],[Operating Time]])/IF(AC210&lt;=1,AC210+1,AC210))*60
   ),
"_")</f>
        <v>1</v>
      </c>
      <c r="AW210" s="221">
        <f>COUNTIFS('Downtime Data'!A:A,Table1[[#This Row],[Date]])</f>
        <v>0</v>
      </c>
      <c r="AX210" s="219" t="str">
        <f>IFERROR((SUM(Table1[[#This Row],[Minor Stoppages]:[Material Shortages]])/Table1[[#This Row],['# Stops]])*60,"")</f>
        <v/>
      </c>
      <c r="AY210" s="219"/>
      <c r="AZ210" s="33">
        <v>46229</v>
      </c>
    </row>
    <row r="211" spans="1:52" ht="20.149999999999999" customHeight="1" x14ac:dyDescent="0.35">
      <c r="A211" s="21">
        <v>46228</v>
      </c>
      <c r="B211" s="22" t="str">
        <f t="shared" si="4"/>
        <v>Saturday</v>
      </c>
      <c r="C211" s="23"/>
      <c r="D211" s="24"/>
      <c r="E211" s="25"/>
      <c r="F211" s="26"/>
      <c r="G211" s="27"/>
      <c r="H211" s="27"/>
      <c r="I211" s="28"/>
      <c r="J211" s="28"/>
      <c r="K211" s="28"/>
      <c r="L211" s="25"/>
      <c r="M211" s="29"/>
      <c r="N211" s="84"/>
      <c r="O211" s="25"/>
      <c r="P211" s="25"/>
      <c r="Q211" s="70"/>
      <c r="R211" s="71"/>
      <c r="S211" s="30">
        <f>IF(Table1[[#This Row],[SKU]]="",0,24-Table1[[#This Row],[Legal Non-Operating Time]]-Table1[[#This Row],[No Demand Time]]-Table1[[#This Row],[Force Majeure]])</f>
        <v>0</v>
      </c>
      <c r="T211" s="26"/>
      <c r="U211" s="26"/>
      <c r="V211" s="26"/>
      <c r="W211" s="26"/>
      <c r="X211" s="26"/>
      <c r="Y211" s="26"/>
      <c r="Z211" s="26"/>
      <c r="AA211" s="30">
        <f>Table1[[#This Row],[Hours Used]]-SUM(Table1[[#This Row],[Planned Maintenance]:[Start and Finish Production]])</f>
        <v>0</v>
      </c>
      <c r="AB211" s="26"/>
      <c r="AC211" s="26"/>
      <c r="AD211" s="26"/>
      <c r="AE211" s="26"/>
      <c r="AF211" s="26"/>
      <c r="AG211" s="26"/>
      <c r="AH211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211" s="24">
        <f>IFERROR(IF(Table1[[#This Row],[SKU]]="",0,Table1[[#This Row],[Quality Loss (T)]]/(Table1[[#This Row],[SOC (TPD)]]/24)),"")</f>
        <v>0</v>
      </c>
      <c r="AJ211" s="31">
        <f>IFERROR(IF(Table1[[#This Row],[SKU]]="",0,Table1[[#This Row],[Volume Delivered (T)]]/(Table1[[#This Row],[SOC (TPD)]]/24)),"")</f>
        <v>0</v>
      </c>
      <c r="AK211" s="31" t="str">
        <f>IFERROR(Table1[[#This Row],[Operating Time]]/Table1[[#This Row],[PRODUCTION HOURS]],"")</f>
        <v/>
      </c>
      <c r="AL211" s="32"/>
      <c r="AM211" s="32"/>
      <c r="AN211" s="32"/>
      <c r="AO211" s="32">
        <v>0</v>
      </c>
      <c r="AP211" s="32">
        <v>0</v>
      </c>
      <c r="AQ211" s="32"/>
      <c r="AR211" s="32" t="str">
        <f>IFERROR(SUMIFS(#REF!,#REF!,'Data Sheet'!A:A,#REF!,"Samridhi Perk Line")/SUMIFS(#REF!,#REF!,'Data Sheet'!A:A,#REF!,"Samridhi Perk Line"),"")</f>
        <v/>
      </c>
      <c r="AS211" s="32"/>
      <c r="AT211" s="32"/>
      <c r="AU211" s="211" t="str">
        <f>IFERROR(VLOOKUP(Table1[[#This Row],[Date]],'Overweight Data'!A209:G1304,6,FALSE),"")</f>
        <v/>
      </c>
      <c r="AV211" s="221">
        <f>IFERROR(
   IF(
      OR(Table1[[#This Row],[Operating Time]]=0, (Table1[[#This Row],[Operating Time]]/IF(AC211&lt;=1,AC211+1,AC211))*60=0),
      1,
      ((Table1[[#This Row],[Operating Time]])/IF(AC211&lt;=1,AC211+1,AC211))*60
   ),
"_")</f>
        <v>1</v>
      </c>
      <c r="AW211" s="221">
        <f>COUNTIFS('Downtime Data'!A:A,Table1[[#This Row],[Date]])</f>
        <v>0</v>
      </c>
      <c r="AX211" s="219" t="str">
        <f>IFERROR((SUM(Table1[[#This Row],[Minor Stoppages]:[Material Shortages]])/Table1[[#This Row],['# Stops]])*60,"")</f>
        <v/>
      </c>
      <c r="AY211" s="219"/>
      <c r="AZ211" s="33">
        <v>46229</v>
      </c>
    </row>
    <row r="212" spans="1:52" ht="20.149999999999999" customHeight="1" x14ac:dyDescent="0.35">
      <c r="A212" s="21">
        <v>46229</v>
      </c>
      <c r="B212" s="22" t="str">
        <f t="shared" si="4"/>
        <v>Sunday</v>
      </c>
      <c r="C212" s="23"/>
      <c r="D212" s="24"/>
      <c r="E212" s="25"/>
      <c r="F212" s="26"/>
      <c r="G212" s="27"/>
      <c r="H212" s="27"/>
      <c r="I212" s="28"/>
      <c r="J212" s="28"/>
      <c r="K212" s="28"/>
      <c r="L212" s="25"/>
      <c r="M212" s="29"/>
      <c r="N212" s="84"/>
      <c r="O212" s="25"/>
      <c r="P212" s="25"/>
      <c r="Q212" s="70"/>
      <c r="R212" s="71"/>
      <c r="S212" s="30">
        <f>IF(Table1[[#This Row],[SKU]]="",0,24-Table1[[#This Row],[Legal Non-Operating Time]]-Table1[[#This Row],[No Demand Time]]-Table1[[#This Row],[Force Majeure]])</f>
        <v>0</v>
      </c>
      <c r="T212" s="26"/>
      <c r="U212" s="26"/>
      <c r="V212" s="26"/>
      <c r="W212" s="26"/>
      <c r="X212" s="26"/>
      <c r="Y212" s="26"/>
      <c r="Z212" s="26"/>
      <c r="AA212" s="30">
        <f>Table1[[#This Row],[Hours Used]]-SUM(Table1[[#This Row],[Planned Maintenance]:[Start and Finish Production]])</f>
        <v>0</v>
      </c>
      <c r="AB212" s="26"/>
      <c r="AC212" s="26"/>
      <c r="AD212" s="26"/>
      <c r="AE212" s="26"/>
      <c r="AF212" s="26"/>
      <c r="AG212" s="26"/>
      <c r="AH212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212" s="24">
        <f>IFERROR(IF(Table1[[#This Row],[SKU]]="",0,Table1[[#This Row],[Quality Loss (T)]]/(Table1[[#This Row],[SOC (TPD)]]/24)),"")</f>
        <v>0</v>
      </c>
      <c r="AJ212" s="31">
        <f>IFERROR(IF(Table1[[#This Row],[SKU]]="",0,Table1[[#This Row],[Volume Delivered (T)]]/(Table1[[#This Row],[SOC (TPD)]]/24)),"")</f>
        <v>0</v>
      </c>
      <c r="AK212" s="31" t="str">
        <f>IFERROR(Table1[[#This Row],[Operating Time]]/Table1[[#This Row],[PRODUCTION HOURS]],"")</f>
        <v/>
      </c>
      <c r="AL212" s="32"/>
      <c r="AM212" s="32"/>
      <c r="AN212" s="32"/>
      <c r="AO212" s="32">
        <v>0</v>
      </c>
      <c r="AP212" s="32">
        <v>0</v>
      </c>
      <c r="AQ212" s="32"/>
      <c r="AR212" s="32" t="str">
        <f>IFERROR(SUMIFS(#REF!,#REF!,'Data Sheet'!A:A,#REF!,"Samridhi Perk Line")/SUMIFS(#REF!,#REF!,'Data Sheet'!A:A,#REF!,"Samridhi Perk Line"),"")</f>
        <v/>
      </c>
      <c r="AS212" s="32"/>
      <c r="AT212" s="32"/>
      <c r="AU212" s="211" t="str">
        <f>IFERROR(VLOOKUP(Table1[[#This Row],[Date]],'Overweight Data'!A210:G1305,6,FALSE),"")</f>
        <v/>
      </c>
      <c r="AV212" s="221">
        <f>IFERROR(
   IF(
      OR(Table1[[#This Row],[Operating Time]]=0, (Table1[[#This Row],[Operating Time]]/IF(AC212&lt;=1,AC212+1,AC212))*60=0),
      1,
      ((Table1[[#This Row],[Operating Time]])/IF(AC212&lt;=1,AC212+1,AC212))*60
   ),
"_")</f>
        <v>1</v>
      </c>
      <c r="AW212" s="221">
        <f>COUNTIFS('Downtime Data'!A:A,Table1[[#This Row],[Date]])</f>
        <v>0</v>
      </c>
      <c r="AX212" s="219" t="str">
        <f>IFERROR((SUM(Table1[[#This Row],[Minor Stoppages]:[Material Shortages]])/Table1[[#This Row],['# Stops]])*60,"")</f>
        <v/>
      </c>
      <c r="AY212" s="219"/>
      <c r="AZ212" s="33">
        <v>46229</v>
      </c>
    </row>
    <row r="213" spans="1:52" ht="20.149999999999999" customHeight="1" x14ac:dyDescent="0.35">
      <c r="A213" s="21">
        <v>46230</v>
      </c>
      <c r="B213" s="22" t="str">
        <f t="shared" si="4"/>
        <v>Monday</v>
      </c>
      <c r="C213" s="23"/>
      <c r="D213" s="24" t="str" cm="1">
        <f t="array" aca="1" ref="D213" ca="1">IFERROR(INDIRECT(C213),"")</f>
        <v/>
      </c>
      <c r="E213" s="25"/>
      <c r="F213" s="26"/>
      <c r="G213" s="27" t="str">
        <f ca="1">IFERROR((Table1[[#This Row],[Plan]]/Table1[[#This Row],[Hours Used]])/(Table1[[#This Row],[SOC (TPD)]]/24),"")</f>
        <v/>
      </c>
      <c r="H213" s="27" t="str">
        <f ca="1">IFERROR((Table1[[#This Row],[Volume Delivered (T)]]/Table1[[#This Row],[Hours Used]])/(Table1[[#This Row],[SOC (TPD)]]/24),"")</f>
        <v/>
      </c>
      <c r="I213" s="28"/>
      <c r="J213" s="28"/>
      <c r="K213" s="28"/>
      <c r="L213" s="25"/>
      <c r="M213" s="29"/>
      <c r="N213" s="84"/>
      <c r="O213" s="25"/>
      <c r="P213" s="25"/>
      <c r="Q213" s="70"/>
      <c r="R213" s="71"/>
      <c r="S213" s="30">
        <f>IF(Table1[[#This Row],[SKU]]="",0,24-Table1[[#This Row],[Legal Non-Operating Time]]-Table1[[#This Row],[No Demand Time]]-Table1[[#This Row],[Force Majeure]])</f>
        <v>0</v>
      </c>
      <c r="T213" s="26"/>
      <c r="U213" s="26"/>
      <c r="V213" s="26"/>
      <c r="W213" s="26"/>
      <c r="X213" s="26"/>
      <c r="Y213" s="26"/>
      <c r="Z213" s="26"/>
      <c r="AA213" s="30">
        <f>Table1[[#This Row],[Hours Used]]-SUM(Table1[[#This Row],[Planned Maintenance]:[Start and Finish Production]])</f>
        <v>0</v>
      </c>
      <c r="AB213" s="26"/>
      <c r="AC213" s="26"/>
      <c r="AD213" s="26"/>
      <c r="AE213" s="26"/>
      <c r="AF213" s="26"/>
      <c r="AG213" s="26"/>
      <c r="AH213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213" s="24">
        <f>IFERROR(IF(Table1[[#This Row],[SKU]]="",0,Table1[[#This Row],[Quality Loss (T)]]/(Table1[[#This Row],[SOC (TPD)]]/24)),"")</f>
        <v>0</v>
      </c>
      <c r="AJ213" s="31">
        <f>IFERROR(IF(Table1[[#This Row],[SKU]]="",0,Table1[[#This Row],[Volume Delivered (T)]]/(Table1[[#This Row],[SOC (TPD)]]/24)),"")</f>
        <v>0</v>
      </c>
      <c r="AK213" s="31" t="str">
        <f>IFERROR(Table1[[#This Row],[Operating Time]]/Table1[[#This Row],[PRODUCTION HOURS]],"")</f>
        <v/>
      </c>
      <c r="AL213" s="32"/>
      <c r="AM213" s="32"/>
      <c r="AN213" s="32"/>
      <c r="AO213" s="32">
        <v>18</v>
      </c>
      <c r="AP213" s="32">
        <v>0</v>
      </c>
      <c r="AQ213" s="32"/>
      <c r="AR213" s="32" t="str">
        <f>IFERROR(SUMIFS(#REF!,#REF!,'Data Sheet'!A:A,#REF!,"Samridhi Perk Line")/SUMIFS(#REF!,#REF!,'Data Sheet'!A:A,#REF!,"Samridhi Perk Line"),"")</f>
        <v/>
      </c>
      <c r="AS213" s="32"/>
      <c r="AT213" s="32"/>
      <c r="AU213" s="211" t="str">
        <f>IFERROR(VLOOKUP(Table1[[#This Row],[Date]],'Overweight Data'!A211:G1306,6,FALSE),"")</f>
        <v/>
      </c>
      <c r="AV213" s="221">
        <f>IFERROR(
   IF(
      OR(Table1[[#This Row],[Operating Time]]=0, (Table1[[#This Row],[Operating Time]]/IF(AC213&lt;=1,AC213+1,AC213))*60=0),
      1,
      ((Table1[[#This Row],[Operating Time]])/IF(AC213&lt;=1,AC213+1,AC213))*60
   ),
"_")</f>
        <v>1</v>
      </c>
      <c r="AW213" s="221">
        <f>COUNTIFS('Downtime Data'!A:A,Table1[[#This Row],[Date]])</f>
        <v>0</v>
      </c>
      <c r="AX213" s="219" t="str">
        <f>IFERROR((SUM(Table1[[#This Row],[Minor Stoppages]:[Material Shortages]])/Table1[[#This Row],['# Stops]])*60,"")</f>
        <v/>
      </c>
      <c r="AY213" s="219"/>
      <c r="AZ213" s="33">
        <v>46229</v>
      </c>
    </row>
    <row r="214" spans="1:52" ht="20.149999999999999" customHeight="1" x14ac:dyDescent="0.35">
      <c r="A214" s="21">
        <v>46231</v>
      </c>
      <c r="B214" s="22" t="str">
        <f t="shared" si="4"/>
        <v>Tuesday</v>
      </c>
      <c r="C214" s="23"/>
      <c r="D214" s="24" t="str" cm="1">
        <f t="array" aca="1" ref="D214" ca="1">IFERROR(INDIRECT(C214),"")</f>
        <v/>
      </c>
      <c r="E214" s="25"/>
      <c r="F214" s="26"/>
      <c r="G214" s="27" t="str">
        <f ca="1">IFERROR((Table1[[#This Row],[Plan]]/Table1[[#This Row],[Hours Used]])/(Table1[[#This Row],[SOC (TPD)]]/24),"")</f>
        <v/>
      </c>
      <c r="H214" s="27" t="str">
        <f ca="1">IFERROR((Table1[[#This Row],[Volume Delivered (T)]]/Table1[[#This Row],[Hours Used]])/(Table1[[#This Row],[SOC (TPD)]]/24),"")</f>
        <v/>
      </c>
      <c r="I214" s="28"/>
      <c r="J214" s="28"/>
      <c r="K214" s="28"/>
      <c r="L214" s="25"/>
      <c r="M214" s="29"/>
      <c r="N214" s="84"/>
      <c r="O214" s="25"/>
      <c r="P214" s="25"/>
      <c r="Q214" s="70"/>
      <c r="R214" s="71"/>
      <c r="S214" s="30">
        <f>IF(Table1[[#This Row],[SKU]]="",0,24-Table1[[#This Row],[Legal Non-Operating Time]]-Table1[[#This Row],[No Demand Time]]-Table1[[#This Row],[Force Majeure]])</f>
        <v>0</v>
      </c>
      <c r="T214" s="26"/>
      <c r="U214" s="26"/>
      <c r="V214" s="26"/>
      <c r="W214" s="26"/>
      <c r="X214" s="26"/>
      <c r="Y214" s="26"/>
      <c r="Z214" s="26"/>
      <c r="AA214" s="30">
        <f>Table1[[#This Row],[Hours Used]]-SUM(Table1[[#This Row],[Planned Maintenance]:[Start and Finish Production]])</f>
        <v>0</v>
      </c>
      <c r="AB214" s="26"/>
      <c r="AC214" s="26"/>
      <c r="AD214" s="26"/>
      <c r="AE214" s="26"/>
      <c r="AF214" s="26"/>
      <c r="AG214" s="26"/>
      <c r="AH214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214" s="24">
        <f>IFERROR(IF(Table1[[#This Row],[SKU]]="",0,Table1[[#This Row],[Quality Loss (T)]]/(Table1[[#This Row],[SOC (TPD)]]/24)),"")</f>
        <v>0</v>
      </c>
      <c r="AJ214" s="31">
        <f>IFERROR(IF(Table1[[#This Row],[SKU]]="",0,Table1[[#This Row],[Volume Delivered (T)]]/(Table1[[#This Row],[SOC (TPD)]]/24)),"")</f>
        <v>0</v>
      </c>
      <c r="AK214" s="31" t="str">
        <f>IFERROR(Table1[[#This Row],[Operating Time]]/Table1[[#This Row],[PRODUCTION HOURS]],"")</f>
        <v/>
      </c>
      <c r="AL214" s="32"/>
      <c r="AM214" s="32"/>
      <c r="AN214" s="32"/>
      <c r="AO214" s="32">
        <v>1</v>
      </c>
      <c r="AP214" s="32">
        <v>0</v>
      </c>
      <c r="AQ214" s="32"/>
      <c r="AR214" s="32" t="str">
        <f>IFERROR(SUMIFS(#REF!,#REF!,'Data Sheet'!A:A,#REF!,"Samridhi Perk Line")/SUMIFS(#REF!,#REF!,'Data Sheet'!A:A,#REF!,"Samridhi Perk Line"),"")</f>
        <v/>
      </c>
      <c r="AS214" s="32"/>
      <c r="AT214" s="32"/>
      <c r="AU214" s="211" t="str">
        <f>IFERROR(VLOOKUP(Table1[[#This Row],[Date]],'Overweight Data'!A212:G1307,6,FALSE),"")</f>
        <v/>
      </c>
      <c r="AV214" s="221">
        <f>IFERROR(
   IF(
      OR(Table1[[#This Row],[Operating Time]]=0, (Table1[[#This Row],[Operating Time]]/IF(AC214&lt;=1,AC214+1,AC214))*60=0),
      1,
      ((Table1[[#This Row],[Operating Time]])/IF(AC214&lt;=1,AC214+1,AC214))*60
   ),
"_")</f>
        <v>1</v>
      </c>
      <c r="AW214" s="221">
        <f>COUNTIFS('Downtime Data'!A:A,Table1[[#This Row],[Date]])</f>
        <v>0</v>
      </c>
      <c r="AX214" s="219" t="str">
        <f>IFERROR((SUM(Table1[[#This Row],[Minor Stoppages]:[Material Shortages]])/Table1[[#This Row],['# Stops]])*60,"")</f>
        <v/>
      </c>
      <c r="AY214" s="219"/>
      <c r="AZ214" s="33">
        <v>46229</v>
      </c>
    </row>
    <row r="215" spans="1:52" ht="20.149999999999999" customHeight="1" x14ac:dyDescent="0.35">
      <c r="A215" s="21">
        <v>46232</v>
      </c>
      <c r="B215" s="22" t="str">
        <f t="shared" si="4"/>
        <v>Wednesday</v>
      </c>
      <c r="C215" s="23"/>
      <c r="D215" s="24" t="str" cm="1">
        <f t="array" aca="1" ref="D215" ca="1">IFERROR(INDIRECT(C215),"")</f>
        <v/>
      </c>
      <c r="E215" s="25"/>
      <c r="F215" s="26"/>
      <c r="G215" s="27" t="str">
        <f ca="1">IFERROR((Table1[[#This Row],[Plan]]/Table1[[#This Row],[Hours Used]])/(Table1[[#This Row],[SOC (TPD)]]/24),"")</f>
        <v/>
      </c>
      <c r="H215" s="27" t="str">
        <f ca="1">IFERROR((Table1[[#This Row],[Volume Delivered (T)]]/Table1[[#This Row],[Hours Used]])/(Table1[[#This Row],[SOC (TPD)]]/24),"")</f>
        <v/>
      </c>
      <c r="I215" s="28"/>
      <c r="J215" s="28"/>
      <c r="K215" s="28"/>
      <c r="L215" s="25"/>
      <c r="M215" s="29"/>
      <c r="N215" s="84"/>
      <c r="O215" s="25"/>
      <c r="P215" s="25"/>
      <c r="Q215" s="70"/>
      <c r="R215" s="71"/>
      <c r="S215" s="30">
        <f>IF(Table1[[#This Row],[SKU]]="",0,24-Table1[[#This Row],[Legal Non-Operating Time]]-Table1[[#This Row],[No Demand Time]]-Table1[[#This Row],[Force Majeure]])</f>
        <v>0</v>
      </c>
      <c r="T215" s="26"/>
      <c r="U215" s="26"/>
      <c r="V215" s="26"/>
      <c r="W215" s="26"/>
      <c r="X215" s="26"/>
      <c r="Y215" s="26"/>
      <c r="Z215" s="26"/>
      <c r="AA215" s="30">
        <f>Table1[[#This Row],[Hours Used]]-SUM(Table1[[#This Row],[Planned Maintenance]:[Start and Finish Production]])</f>
        <v>0</v>
      </c>
      <c r="AB215" s="26"/>
      <c r="AC215" s="26"/>
      <c r="AD215" s="26"/>
      <c r="AE215" s="26"/>
      <c r="AF215" s="26"/>
      <c r="AG215" s="26"/>
      <c r="AH215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215" s="24">
        <f>IFERROR(IF(Table1[[#This Row],[SKU]]="",0,Table1[[#This Row],[Quality Loss (T)]]/(Table1[[#This Row],[SOC (TPD)]]/24)),"")</f>
        <v>0</v>
      </c>
      <c r="AJ215" s="31">
        <f>IFERROR(IF(Table1[[#This Row],[SKU]]="",0,Table1[[#This Row],[Volume Delivered (T)]]/(Table1[[#This Row],[SOC (TPD)]]/24)),"")</f>
        <v>0</v>
      </c>
      <c r="AK215" s="31" t="str">
        <f>IFERROR(Table1[[#This Row],[Operating Time]]/Table1[[#This Row],[PRODUCTION HOURS]],"")</f>
        <v/>
      </c>
      <c r="AL215" s="32"/>
      <c r="AM215" s="32"/>
      <c r="AN215" s="32"/>
      <c r="AO215" s="32">
        <v>1</v>
      </c>
      <c r="AP215" s="32">
        <v>0</v>
      </c>
      <c r="AQ215" s="32"/>
      <c r="AR215" s="32" t="str">
        <f>IFERROR(SUMIFS(#REF!,#REF!,'Data Sheet'!A:A,#REF!,"Samridhi Perk Line")/SUMIFS(#REF!,#REF!,'Data Sheet'!A:A,#REF!,"Samridhi Perk Line"),"")</f>
        <v/>
      </c>
      <c r="AS215" s="32"/>
      <c r="AT215" s="32"/>
      <c r="AU215" s="211" t="str">
        <f>IFERROR(VLOOKUP(Table1[[#This Row],[Date]],'Overweight Data'!A213:G1308,6,FALSE),"")</f>
        <v/>
      </c>
      <c r="AV215" s="221">
        <f>IFERROR(
   IF(
      OR(Table1[[#This Row],[Operating Time]]=0, (Table1[[#This Row],[Operating Time]]/IF(AC215&lt;=1,AC215+1,AC215))*60=0),
      1,
      ((Table1[[#This Row],[Operating Time]])/IF(AC215&lt;=1,AC215+1,AC215))*60
   ),
"_")</f>
        <v>1</v>
      </c>
      <c r="AW215" s="221">
        <f>COUNTIFS('Downtime Data'!A:A,Table1[[#This Row],[Date]])</f>
        <v>0</v>
      </c>
      <c r="AX215" s="219" t="str">
        <f>IFERROR((SUM(Table1[[#This Row],[Minor Stoppages]:[Material Shortages]])/Table1[[#This Row],['# Stops]])*60,"")</f>
        <v/>
      </c>
      <c r="AY215" s="219"/>
      <c r="AZ215" s="33">
        <v>46229</v>
      </c>
    </row>
    <row r="216" spans="1:52" ht="20.149999999999999" customHeight="1" x14ac:dyDescent="0.35">
      <c r="A216" s="21">
        <v>46233</v>
      </c>
      <c r="B216" s="22" t="str">
        <f t="shared" si="4"/>
        <v>Thursday</v>
      </c>
      <c r="C216" s="23"/>
      <c r="D216" s="24" t="str" cm="1">
        <f t="array" aca="1" ref="D216" ca="1">IFERROR(INDIRECT(C216),"")</f>
        <v/>
      </c>
      <c r="E216" s="25"/>
      <c r="F216" s="26"/>
      <c r="G216" s="27" t="str">
        <f ca="1">IFERROR((Table1[[#This Row],[Plan]]/Table1[[#This Row],[Hours Used]])/(Table1[[#This Row],[SOC (TPD)]]/24),"")</f>
        <v/>
      </c>
      <c r="H216" s="27" t="str">
        <f ca="1">IFERROR((Table1[[#This Row],[Volume Delivered (T)]]/Table1[[#This Row],[Hours Used]])/(Table1[[#This Row],[SOC (TPD)]]/24),"")</f>
        <v/>
      </c>
      <c r="I216" s="28"/>
      <c r="J216" s="28"/>
      <c r="K216" s="28"/>
      <c r="L216" s="25"/>
      <c r="M216" s="29"/>
      <c r="N216" s="84"/>
      <c r="O216" s="25"/>
      <c r="P216" s="25"/>
      <c r="Q216" s="70"/>
      <c r="R216" s="71"/>
      <c r="S216" s="30">
        <f>IF(Table1[[#This Row],[SKU]]="",0,24-Table1[[#This Row],[Legal Non-Operating Time]]-Table1[[#This Row],[No Demand Time]]-Table1[[#This Row],[Force Majeure]])</f>
        <v>0</v>
      </c>
      <c r="T216" s="26"/>
      <c r="U216" s="26"/>
      <c r="V216" s="26"/>
      <c r="W216" s="26"/>
      <c r="X216" s="26"/>
      <c r="Y216" s="26"/>
      <c r="Z216" s="26"/>
      <c r="AA216" s="30">
        <f>Table1[[#This Row],[Hours Used]]-SUM(Table1[[#This Row],[Planned Maintenance]:[Start and Finish Production]])</f>
        <v>0</v>
      </c>
      <c r="AB216" s="26"/>
      <c r="AC216" s="26"/>
      <c r="AD216" s="26"/>
      <c r="AE216" s="26"/>
      <c r="AF216" s="26"/>
      <c r="AG216" s="26"/>
      <c r="AH216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216" s="24">
        <f>IFERROR(IF(Table1[[#This Row],[SKU]]="",0,Table1[[#This Row],[Quality Loss (T)]]/(Table1[[#This Row],[SOC (TPD)]]/24)),"")</f>
        <v>0</v>
      </c>
      <c r="AJ216" s="31">
        <f>IFERROR(IF(Table1[[#This Row],[SKU]]="",0,Table1[[#This Row],[Volume Delivered (T)]]/(Table1[[#This Row],[SOC (TPD)]]/24)),"")</f>
        <v>0</v>
      </c>
      <c r="AK216" s="31" t="str">
        <f>IFERROR(Table1[[#This Row],[Operating Time]]/Table1[[#This Row],[PRODUCTION HOURS]],"")</f>
        <v/>
      </c>
      <c r="AL216" s="32"/>
      <c r="AM216" s="32"/>
      <c r="AN216" s="32"/>
      <c r="AO216" s="32">
        <v>0</v>
      </c>
      <c r="AP216" s="32">
        <v>0</v>
      </c>
      <c r="AQ216" s="32"/>
      <c r="AR216" s="32" t="str">
        <f>IFERROR(SUMIFS(#REF!,#REF!,'Data Sheet'!A:A,#REF!,"Samridhi Perk Line")/SUMIFS(#REF!,#REF!,'Data Sheet'!A:A,#REF!,"Samridhi Perk Line"),"")</f>
        <v/>
      </c>
      <c r="AS216" s="32"/>
      <c r="AT216" s="32"/>
      <c r="AU216" s="211" t="str">
        <f>IFERROR(VLOOKUP(Table1[[#This Row],[Date]],'Overweight Data'!A214:G1309,6,FALSE),"")</f>
        <v/>
      </c>
      <c r="AV216" s="221">
        <f>IFERROR(
   IF(
      OR(Table1[[#This Row],[Operating Time]]=0, (Table1[[#This Row],[Operating Time]]/IF(AC216&lt;=1,AC216+1,AC216))*60=0),
      1,
      ((Table1[[#This Row],[Operating Time]])/IF(AC216&lt;=1,AC216+1,AC216))*60
   ),
"_")</f>
        <v>1</v>
      </c>
      <c r="AW216" s="221">
        <f>COUNTIFS('Downtime Data'!A:A,Table1[[#This Row],[Date]])</f>
        <v>0</v>
      </c>
      <c r="AX216" s="219" t="str">
        <f>IFERROR((SUM(Table1[[#This Row],[Minor Stoppages]:[Material Shortages]])/Table1[[#This Row],['# Stops]])*60,"")</f>
        <v/>
      </c>
      <c r="AY216" s="219"/>
      <c r="AZ216" s="33">
        <v>46229</v>
      </c>
    </row>
    <row r="217" spans="1:52" ht="20.149999999999999" customHeight="1" x14ac:dyDescent="0.35">
      <c r="A217" s="21">
        <v>46234</v>
      </c>
      <c r="B217" s="22" t="str">
        <f t="shared" si="4"/>
        <v>Friday</v>
      </c>
      <c r="C217" s="23"/>
      <c r="D217" s="24" t="str" cm="1">
        <f t="array" aca="1" ref="D217" ca="1">IFERROR(INDIRECT(C217),"")</f>
        <v/>
      </c>
      <c r="E217" s="25"/>
      <c r="F217" s="26"/>
      <c r="G217" s="27" t="str">
        <f ca="1">IFERROR((Table1[[#This Row],[Plan]]/Table1[[#This Row],[Hours Used]])/(Table1[[#This Row],[SOC (TPD)]]/24),"")</f>
        <v/>
      </c>
      <c r="H217" s="27" t="str">
        <f ca="1">IFERROR((Table1[[#This Row],[Volume Delivered (T)]]/Table1[[#This Row],[Hours Used]])/(Table1[[#This Row],[SOC (TPD)]]/24),"")</f>
        <v/>
      </c>
      <c r="I217" s="28"/>
      <c r="J217" s="28"/>
      <c r="K217" s="28"/>
      <c r="L217" s="25"/>
      <c r="M217" s="29"/>
      <c r="N217" s="84"/>
      <c r="O217" s="25"/>
      <c r="P217" s="25"/>
      <c r="Q217" s="70"/>
      <c r="R217" s="71"/>
      <c r="S217" s="30">
        <f>IF(Table1[[#This Row],[SKU]]="",0,24-Table1[[#This Row],[Legal Non-Operating Time]]-Table1[[#This Row],[No Demand Time]]-Table1[[#This Row],[Force Majeure]])</f>
        <v>0</v>
      </c>
      <c r="T217" s="26"/>
      <c r="U217" s="26"/>
      <c r="V217" s="26"/>
      <c r="W217" s="26"/>
      <c r="X217" s="26"/>
      <c r="Y217" s="26"/>
      <c r="Z217" s="26"/>
      <c r="AA217" s="30">
        <f>Table1[[#This Row],[Hours Used]]-SUM(Table1[[#This Row],[Planned Maintenance]:[Start and Finish Production]])</f>
        <v>0</v>
      </c>
      <c r="AB217" s="26"/>
      <c r="AC217" s="26"/>
      <c r="AD217" s="26"/>
      <c r="AE217" s="26"/>
      <c r="AF217" s="26"/>
      <c r="AG217" s="26"/>
      <c r="AH217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217" s="24">
        <f>IFERROR(IF(Table1[[#This Row],[SKU]]="",0,Table1[[#This Row],[Quality Loss (T)]]/(Table1[[#This Row],[SOC (TPD)]]/24)),"")</f>
        <v>0</v>
      </c>
      <c r="AJ217" s="31">
        <f>IFERROR(IF(Table1[[#This Row],[SKU]]="",0,Table1[[#This Row],[Volume Delivered (T)]]/(Table1[[#This Row],[SOC (TPD)]]/24)),"")</f>
        <v>0</v>
      </c>
      <c r="AK217" s="31" t="str">
        <f>IFERROR(Table1[[#This Row],[Operating Time]]/Table1[[#This Row],[PRODUCTION HOURS]],"")</f>
        <v/>
      </c>
      <c r="AL217" s="32"/>
      <c r="AM217" s="32"/>
      <c r="AN217" s="32"/>
      <c r="AO217" s="32">
        <v>0</v>
      </c>
      <c r="AP217" s="32">
        <v>0</v>
      </c>
      <c r="AQ217" s="32"/>
      <c r="AR217" s="32" t="str">
        <f>IFERROR(SUMIFS(#REF!,#REF!,'Data Sheet'!A:A,#REF!,"Samridhi Perk Line")/SUMIFS(#REF!,#REF!,'Data Sheet'!A:A,#REF!,"Samridhi Perk Line"),"")</f>
        <v/>
      </c>
      <c r="AS217" s="32"/>
      <c r="AT217" s="32"/>
      <c r="AU217" s="211" t="str">
        <f>IFERROR(VLOOKUP(Table1[[#This Row],[Date]],'Overweight Data'!A215:G1310,6,FALSE),"")</f>
        <v/>
      </c>
      <c r="AV217" s="221">
        <f>IFERROR(
   IF(
      OR(Table1[[#This Row],[Operating Time]]=0, (Table1[[#This Row],[Operating Time]]/IF(AC217&lt;=1,AC217+1,AC217))*60=0),
      1,
      ((Table1[[#This Row],[Operating Time]])/IF(AC217&lt;=1,AC217+1,AC217))*60
   ),
"_")</f>
        <v>1</v>
      </c>
      <c r="AW217" s="221">
        <f>COUNTIFS('Downtime Data'!A:A,Table1[[#This Row],[Date]])</f>
        <v>0</v>
      </c>
      <c r="AX217" s="219" t="str">
        <f>IFERROR((SUM(Table1[[#This Row],[Minor Stoppages]:[Material Shortages]])/Table1[[#This Row],['# Stops]])*60,"")</f>
        <v/>
      </c>
      <c r="AY217" s="219"/>
      <c r="AZ217" s="33">
        <v>46229</v>
      </c>
    </row>
    <row r="218" spans="1:52" ht="20.149999999999999" customHeight="1" x14ac:dyDescent="0.35">
      <c r="A218" s="21">
        <v>46235</v>
      </c>
      <c r="B218" s="22" t="str">
        <f t="shared" si="4"/>
        <v>Saturday</v>
      </c>
      <c r="C218" s="23"/>
      <c r="D218" s="24" t="str" cm="1">
        <f t="array" aca="1" ref="D218" ca="1">IFERROR(INDIRECT(C218),"")</f>
        <v/>
      </c>
      <c r="E218" s="25"/>
      <c r="F218" s="26"/>
      <c r="G218" s="27" t="str">
        <f ca="1">IFERROR((Table1[[#This Row],[Plan]]/Table1[[#This Row],[Hours Used]])/(Table1[[#This Row],[SOC (TPD)]]/24),"")</f>
        <v/>
      </c>
      <c r="H218" s="27" t="str">
        <f ca="1">IFERROR((Table1[[#This Row],[Volume Delivered (T)]]/Table1[[#This Row],[Hours Used]])/(Table1[[#This Row],[SOC (TPD)]]/24),"")</f>
        <v/>
      </c>
      <c r="I218" s="28"/>
      <c r="J218" s="28"/>
      <c r="K218" s="28"/>
      <c r="L218" s="25"/>
      <c r="M218" s="29"/>
      <c r="N218" s="84"/>
      <c r="O218" s="25"/>
      <c r="P218" s="25"/>
      <c r="Q218" s="70"/>
      <c r="R218" s="71"/>
      <c r="S218" s="30">
        <f>IF(Table1[[#This Row],[SKU]]="",0,24-Table1[[#This Row],[Legal Non-Operating Time]]-Table1[[#This Row],[No Demand Time]]-Table1[[#This Row],[Force Majeure]])</f>
        <v>0</v>
      </c>
      <c r="T218" s="26"/>
      <c r="U218" s="26"/>
      <c r="V218" s="26"/>
      <c r="W218" s="26"/>
      <c r="X218" s="26"/>
      <c r="Y218" s="26"/>
      <c r="Z218" s="26"/>
      <c r="AA218" s="30">
        <f>Table1[[#This Row],[Hours Used]]-SUM(Table1[[#This Row],[Planned Maintenance]:[Start and Finish Production]])</f>
        <v>0</v>
      </c>
      <c r="AB218" s="26"/>
      <c r="AC218" s="26"/>
      <c r="AD218" s="26"/>
      <c r="AE218" s="26"/>
      <c r="AF218" s="26"/>
      <c r="AG218" s="26"/>
      <c r="AH218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218" s="24">
        <f>IFERROR(IF(Table1[[#This Row],[SKU]]="",0,Table1[[#This Row],[Quality Loss (T)]]/(Table1[[#This Row],[SOC (TPD)]]/24)),"")</f>
        <v>0</v>
      </c>
      <c r="AJ218" s="31">
        <f>IFERROR(IF(Table1[[#This Row],[SKU]]="",0,Table1[[#This Row],[Volume Delivered (T)]]/(Table1[[#This Row],[SOC (TPD)]]/24)),"")</f>
        <v>0</v>
      </c>
      <c r="AK218" s="31" t="str">
        <f>IFERROR(Table1[[#This Row],[Operating Time]]/Table1[[#This Row],[PRODUCTION HOURS]],"")</f>
        <v/>
      </c>
      <c r="AL218" s="32"/>
      <c r="AM218" s="32"/>
      <c r="AN218" s="32"/>
      <c r="AO218" s="32">
        <v>6</v>
      </c>
      <c r="AP218" s="32">
        <v>0</v>
      </c>
      <c r="AQ218" s="32"/>
      <c r="AR218" s="32" t="str">
        <f>IFERROR(SUMIFS(#REF!,#REF!,'Data Sheet'!A:A,#REF!,"Samridhi Perk Line")/SUMIFS(#REF!,#REF!,'Data Sheet'!A:A,#REF!,"Samridhi Perk Line"),"")</f>
        <v/>
      </c>
      <c r="AS218" s="32"/>
      <c r="AT218" s="32"/>
      <c r="AU218" s="211" t="str">
        <f>IFERROR(VLOOKUP(Table1[[#This Row],[Date]],'Overweight Data'!A216:G1311,6,FALSE),"")</f>
        <v/>
      </c>
      <c r="AV218" s="221">
        <f>IFERROR(
   IF(
      OR(Table1[[#This Row],[Operating Time]]=0, (Table1[[#This Row],[Operating Time]]/IF(AC218&lt;=1,AC218+1,AC218))*60=0),
      1,
      ((Table1[[#This Row],[Operating Time]])/IF(AC218&lt;=1,AC218+1,AC218))*60
   ),
"_")</f>
        <v>1</v>
      </c>
      <c r="AW218" s="221">
        <f>COUNTIFS('Downtime Data'!A:A,Table1[[#This Row],[Date]])</f>
        <v>0</v>
      </c>
      <c r="AX218" s="219" t="str">
        <f>IFERROR((SUM(Table1[[#This Row],[Minor Stoppages]:[Material Shortages]])/Table1[[#This Row],['# Stops]])*60,"")</f>
        <v/>
      </c>
      <c r="AY218" s="219"/>
      <c r="AZ218" s="33">
        <v>46229</v>
      </c>
    </row>
    <row r="219" spans="1:52" ht="20.149999999999999" customHeight="1" x14ac:dyDescent="0.35">
      <c r="A219" s="21">
        <v>46236</v>
      </c>
      <c r="B219" s="22" t="str">
        <f t="shared" si="4"/>
        <v>Sunday</v>
      </c>
      <c r="C219" s="23"/>
      <c r="D219" s="24" t="str" cm="1">
        <f t="array" aca="1" ref="D219" ca="1">IFERROR(INDIRECT(C219),"")</f>
        <v/>
      </c>
      <c r="E219" s="25"/>
      <c r="F219" s="26"/>
      <c r="G219" s="27" t="str">
        <f ca="1">IFERROR((Table1[[#This Row],[Plan]]/Table1[[#This Row],[Hours Used]])/(Table1[[#This Row],[SOC (TPD)]]/24),"")</f>
        <v/>
      </c>
      <c r="H219" s="27" t="str">
        <f ca="1">IFERROR((Table1[[#This Row],[Volume Delivered (T)]]/Table1[[#This Row],[Hours Used]])/(Table1[[#This Row],[SOC (TPD)]]/24),"")</f>
        <v/>
      </c>
      <c r="I219" s="28"/>
      <c r="J219" s="28"/>
      <c r="K219" s="28"/>
      <c r="L219" s="25"/>
      <c r="M219" s="29"/>
      <c r="N219" s="84"/>
      <c r="O219" s="25"/>
      <c r="P219" s="25"/>
      <c r="Q219" s="70"/>
      <c r="R219" s="71"/>
      <c r="S219" s="30">
        <f>IF(Table1[[#This Row],[SKU]]="",0,24-Table1[[#This Row],[Legal Non-Operating Time]]-Table1[[#This Row],[No Demand Time]]-Table1[[#This Row],[Force Majeure]])</f>
        <v>0</v>
      </c>
      <c r="T219" s="26"/>
      <c r="U219" s="26"/>
      <c r="V219" s="26"/>
      <c r="W219" s="26"/>
      <c r="X219" s="26"/>
      <c r="Y219" s="26"/>
      <c r="Z219" s="26"/>
      <c r="AA219" s="30">
        <f>Table1[[#This Row],[Hours Used]]-SUM(Table1[[#This Row],[Planned Maintenance]:[Start and Finish Production]])</f>
        <v>0</v>
      </c>
      <c r="AB219" s="26"/>
      <c r="AC219" s="26"/>
      <c r="AD219" s="26"/>
      <c r="AE219" s="26"/>
      <c r="AF219" s="26"/>
      <c r="AG219" s="26"/>
      <c r="AH219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219" s="24">
        <f>IFERROR(IF(Table1[[#This Row],[SKU]]="",0,Table1[[#This Row],[Quality Loss (T)]]/(Table1[[#This Row],[SOC (TPD)]]/24)),"")</f>
        <v>0</v>
      </c>
      <c r="AJ219" s="31">
        <f>IFERROR(IF(Table1[[#This Row],[SKU]]="",0,Table1[[#This Row],[Volume Delivered (T)]]/(Table1[[#This Row],[SOC (TPD)]]/24)),"")</f>
        <v>0</v>
      </c>
      <c r="AK219" s="31" t="str">
        <f>IFERROR(Table1[[#This Row],[Operating Time]]/Table1[[#This Row],[PRODUCTION HOURS]],"")</f>
        <v/>
      </c>
      <c r="AL219" s="32"/>
      <c r="AM219" s="32"/>
      <c r="AN219" s="32"/>
      <c r="AO219" s="32">
        <v>4</v>
      </c>
      <c r="AP219" s="32">
        <v>0</v>
      </c>
      <c r="AQ219" s="32"/>
      <c r="AR219" s="32" t="str">
        <f>IFERROR(SUMIFS(#REF!,#REF!,'Data Sheet'!A:A,#REF!,"Samridhi Perk Line")/SUMIFS(#REF!,#REF!,'Data Sheet'!A:A,#REF!,"Samridhi Perk Line"),"")</f>
        <v/>
      </c>
      <c r="AS219" s="32"/>
      <c r="AT219" s="32"/>
      <c r="AU219" s="211">
        <f>IFERROR(VLOOKUP(Table1[[#This Row],[Date]],'Overweight Data'!A217:G1312,6,FALSE),"")</f>
        <v>2.9539594843462233E-2</v>
      </c>
      <c r="AV219" s="221">
        <f>IFERROR(
   IF(
      OR(Table1[[#This Row],[Operating Time]]=0, (Table1[[#This Row],[Operating Time]]/IF(AC219&lt;=1,AC219+1,AC219))*60=0),
      1,
      ((Table1[[#This Row],[Operating Time]])/IF(AC219&lt;=1,AC219+1,AC219))*60
   ),
"_")</f>
        <v>1</v>
      </c>
      <c r="AW219" s="221">
        <f>COUNTIFS('Downtime Data'!A:A,Table1[[#This Row],[Date]])</f>
        <v>0</v>
      </c>
      <c r="AX219" s="219" t="str">
        <f>IFERROR((SUM(Table1[[#This Row],[Minor Stoppages]:[Material Shortages]])/Table1[[#This Row],['# Stops]])*60,"")</f>
        <v/>
      </c>
      <c r="AY219" s="219"/>
      <c r="AZ219" s="33">
        <v>46229</v>
      </c>
    </row>
    <row r="220" spans="1:52" ht="20.149999999999999" customHeight="1" x14ac:dyDescent="0.35">
      <c r="A220" s="21">
        <v>46237</v>
      </c>
      <c r="B220" s="22" t="str">
        <f t="shared" si="4"/>
        <v>Monday</v>
      </c>
      <c r="C220" s="23"/>
      <c r="D220" s="24" t="str" cm="1">
        <f t="array" aca="1" ref="D220" ca="1">IFERROR(INDIRECT(C220),"")</f>
        <v/>
      </c>
      <c r="E220" s="25"/>
      <c r="F220" s="26"/>
      <c r="G220" s="27" t="str">
        <f ca="1">IFERROR((Table1[[#This Row],[Plan]]/Table1[[#This Row],[Hours Used]])/(Table1[[#This Row],[SOC (TPD)]]/24),"")</f>
        <v/>
      </c>
      <c r="H220" s="27" t="str">
        <f ca="1">IFERROR((Table1[[#This Row],[Volume Delivered (T)]]/Table1[[#This Row],[Hours Used]])/(Table1[[#This Row],[SOC (TPD)]]/24),"")</f>
        <v/>
      </c>
      <c r="I220" s="28"/>
      <c r="J220" s="28"/>
      <c r="K220" s="28"/>
      <c r="L220" s="25"/>
      <c r="M220" s="29"/>
      <c r="N220" s="84"/>
      <c r="O220" s="25"/>
      <c r="P220" s="25"/>
      <c r="Q220" s="70"/>
      <c r="R220" s="71"/>
      <c r="S220" s="30">
        <f>IF(Table1[[#This Row],[SKU]]="",0,24-Table1[[#This Row],[Legal Non-Operating Time]]-Table1[[#This Row],[No Demand Time]]-Table1[[#This Row],[Force Majeure]])</f>
        <v>0</v>
      </c>
      <c r="T220" s="26"/>
      <c r="U220" s="26"/>
      <c r="V220" s="26"/>
      <c r="W220" s="26"/>
      <c r="X220" s="26"/>
      <c r="Y220" s="26"/>
      <c r="Z220" s="26"/>
      <c r="AA220" s="30">
        <f>Table1[[#This Row],[Hours Used]]-SUM(Table1[[#This Row],[Planned Maintenance]:[Start and Finish Production]])</f>
        <v>0</v>
      </c>
      <c r="AB220" s="26"/>
      <c r="AC220" s="26"/>
      <c r="AD220" s="26"/>
      <c r="AE220" s="26"/>
      <c r="AF220" s="26"/>
      <c r="AG220" s="26"/>
      <c r="AH220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220" s="24">
        <f>IFERROR(IF(Table1[[#This Row],[SKU]]="",0,Table1[[#This Row],[Quality Loss (T)]]/(Table1[[#This Row],[SOC (TPD)]]/24)),"")</f>
        <v>0</v>
      </c>
      <c r="AJ220" s="31">
        <f>IFERROR(IF(Table1[[#This Row],[SKU]]="",0,Table1[[#This Row],[Volume Delivered (T)]]/(Table1[[#This Row],[SOC (TPD)]]/24)),"")</f>
        <v>0</v>
      </c>
      <c r="AK220" s="31" t="str">
        <f>IFERROR(Table1[[#This Row],[Operating Time]]/Table1[[#This Row],[PRODUCTION HOURS]],"")</f>
        <v/>
      </c>
      <c r="AL220" s="32"/>
      <c r="AM220" s="32"/>
      <c r="AN220" s="32"/>
      <c r="AO220" s="32">
        <v>0</v>
      </c>
      <c r="AP220" s="32">
        <v>0</v>
      </c>
      <c r="AQ220" s="32"/>
      <c r="AR220" s="32" t="str">
        <f>IFERROR(SUMIFS(#REF!,#REF!,'Data Sheet'!A:A,#REF!,"Samridhi Perk Line")/SUMIFS(#REF!,#REF!,'Data Sheet'!A:A,#REF!,"Samridhi Perk Line"),"")</f>
        <v/>
      </c>
      <c r="AS220" s="32"/>
      <c r="AT220" s="32"/>
      <c r="AU220" s="211" t="str">
        <f>IFERROR(VLOOKUP(Table1[[#This Row],[Date]],'Overweight Data'!A218:G1313,6,FALSE),"")</f>
        <v/>
      </c>
      <c r="AV220" s="221">
        <f>IFERROR(
   IF(
      OR(Table1[[#This Row],[Operating Time]]=0, (Table1[[#This Row],[Operating Time]]/IF(AC220&lt;=1,AC220+1,AC220))*60=0),
      1,
      ((Table1[[#This Row],[Operating Time]])/IF(AC220&lt;=1,AC220+1,AC220))*60
   ),
"_")</f>
        <v>1</v>
      </c>
      <c r="AW220" s="221">
        <f>COUNTIFS('Downtime Data'!A:A,Table1[[#This Row],[Date]])</f>
        <v>0</v>
      </c>
      <c r="AX220" s="219" t="str">
        <f>IFERROR((SUM(Table1[[#This Row],[Minor Stoppages]:[Material Shortages]])/Table1[[#This Row],['# Stops]])*60,"")</f>
        <v/>
      </c>
      <c r="AY220" s="219"/>
      <c r="AZ220" s="33">
        <v>46260</v>
      </c>
    </row>
    <row r="221" spans="1:52" ht="20.149999999999999" customHeight="1" x14ac:dyDescent="0.35">
      <c r="A221" s="21">
        <v>46238</v>
      </c>
      <c r="B221" s="22" t="str">
        <f t="shared" si="4"/>
        <v>Tuesday</v>
      </c>
      <c r="C221" s="23"/>
      <c r="D221" s="24" t="str" cm="1">
        <f t="array" aca="1" ref="D221" ca="1">IFERROR(INDIRECT(C221),"")</f>
        <v/>
      </c>
      <c r="E221" s="25"/>
      <c r="F221" s="26"/>
      <c r="G221" s="27" t="str">
        <f ca="1">IFERROR((Table1[[#This Row],[Plan]]/Table1[[#This Row],[Hours Used]])/(Table1[[#This Row],[SOC (TPD)]]/24),"")</f>
        <v/>
      </c>
      <c r="H221" s="27" t="str">
        <f ca="1">IFERROR((Table1[[#This Row],[Volume Delivered (T)]]/Table1[[#This Row],[Hours Used]])/(Table1[[#This Row],[SOC (TPD)]]/24),"")</f>
        <v/>
      </c>
      <c r="I221" s="28"/>
      <c r="J221" s="28"/>
      <c r="K221" s="28"/>
      <c r="L221" s="25"/>
      <c r="M221" s="29"/>
      <c r="N221" s="84"/>
      <c r="O221" s="25"/>
      <c r="P221" s="25"/>
      <c r="Q221" s="70"/>
      <c r="R221" s="71"/>
      <c r="S221" s="30">
        <f>IF(Table1[[#This Row],[SKU]]="",0,24-Table1[[#This Row],[Legal Non-Operating Time]]-Table1[[#This Row],[No Demand Time]]-Table1[[#This Row],[Force Majeure]])</f>
        <v>0</v>
      </c>
      <c r="T221" s="26"/>
      <c r="U221" s="26"/>
      <c r="V221" s="26"/>
      <c r="W221" s="26"/>
      <c r="X221" s="26"/>
      <c r="Y221" s="26"/>
      <c r="Z221" s="26"/>
      <c r="AA221" s="30">
        <f>Table1[[#This Row],[Hours Used]]-SUM(Table1[[#This Row],[Planned Maintenance]:[Start and Finish Production]])</f>
        <v>0</v>
      </c>
      <c r="AB221" s="26"/>
      <c r="AC221" s="26"/>
      <c r="AD221" s="26"/>
      <c r="AE221" s="26"/>
      <c r="AF221" s="26"/>
      <c r="AG221" s="26"/>
      <c r="AH221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221" s="24">
        <f>IFERROR(IF(Table1[[#This Row],[SKU]]="",0,Table1[[#This Row],[Quality Loss (T)]]/(Table1[[#This Row],[SOC (TPD)]]/24)),"")</f>
        <v>0</v>
      </c>
      <c r="AJ221" s="31">
        <f>IFERROR(IF(Table1[[#This Row],[SKU]]="",0,Table1[[#This Row],[Volume Delivered (T)]]/(Table1[[#This Row],[SOC (TPD)]]/24)),"")</f>
        <v>0</v>
      </c>
      <c r="AK221" s="31" t="str">
        <f>IFERROR(Table1[[#This Row],[Operating Time]]/Table1[[#This Row],[PRODUCTION HOURS]],"")</f>
        <v/>
      </c>
      <c r="AL221" s="32"/>
      <c r="AM221" s="32"/>
      <c r="AN221" s="32"/>
      <c r="AO221" s="32">
        <v>0</v>
      </c>
      <c r="AP221" s="32">
        <v>0</v>
      </c>
      <c r="AQ221" s="32"/>
      <c r="AR221" s="32" t="str">
        <f>IFERROR(SUMIFS(#REF!,#REF!,'Data Sheet'!A:A,#REF!,"Samridhi Perk Line")/SUMIFS(#REF!,#REF!,'Data Sheet'!A:A,#REF!,"Samridhi Perk Line"),"")</f>
        <v/>
      </c>
      <c r="AS221" s="32"/>
      <c r="AT221" s="32"/>
      <c r="AU221" s="211" t="str">
        <f>IFERROR(VLOOKUP(Table1[[#This Row],[Date]],'Overweight Data'!A219:G1314,6,FALSE),"")</f>
        <v/>
      </c>
      <c r="AV221" s="221">
        <f>IFERROR(
   IF(
      OR(Table1[[#This Row],[Operating Time]]=0, (Table1[[#This Row],[Operating Time]]/IF(AC221&lt;=1,AC221+1,AC221))*60=0),
      1,
      ((Table1[[#This Row],[Operating Time]])/IF(AC221&lt;=1,AC221+1,AC221))*60
   ),
"_")</f>
        <v>1</v>
      </c>
      <c r="AW221" s="221">
        <f>COUNTIFS('Downtime Data'!A:A,Table1[[#This Row],[Date]])</f>
        <v>0</v>
      </c>
      <c r="AX221" s="219" t="str">
        <f>IFERROR((SUM(Table1[[#This Row],[Minor Stoppages]:[Material Shortages]])/Table1[[#This Row],['# Stops]])*60,"")</f>
        <v/>
      </c>
      <c r="AY221" s="219"/>
      <c r="AZ221" s="33">
        <v>46260</v>
      </c>
    </row>
    <row r="222" spans="1:52" ht="20.149999999999999" customHeight="1" x14ac:dyDescent="0.35">
      <c r="A222" s="21">
        <v>46239</v>
      </c>
      <c r="B222" s="22" t="str">
        <f t="shared" si="4"/>
        <v>Wednesday</v>
      </c>
      <c r="C222" s="23"/>
      <c r="D222" s="24" t="str" cm="1">
        <f t="array" aca="1" ref="D222" ca="1">IFERROR(INDIRECT(C222),"")</f>
        <v/>
      </c>
      <c r="E222" s="25"/>
      <c r="F222" s="26"/>
      <c r="G222" s="27" t="str">
        <f ca="1">IFERROR((Table1[[#This Row],[Plan]]/Table1[[#This Row],[Hours Used]])/(Table1[[#This Row],[SOC (TPD)]]/24),"")</f>
        <v/>
      </c>
      <c r="H222" s="27" t="str">
        <f ca="1">IFERROR((Table1[[#This Row],[Volume Delivered (T)]]/Table1[[#This Row],[Hours Used]])/(Table1[[#This Row],[SOC (TPD)]]/24),"")</f>
        <v/>
      </c>
      <c r="I222" s="28"/>
      <c r="J222" s="28"/>
      <c r="K222" s="28"/>
      <c r="L222" s="25"/>
      <c r="M222" s="29"/>
      <c r="N222" s="84"/>
      <c r="O222" s="25"/>
      <c r="P222" s="25"/>
      <c r="Q222" s="70"/>
      <c r="R222" s="71"/>
      <c r="S222" s="30">
        <f>IF(Table1[[#This Row],[SKU]]="",0,24-Table1[[#This Row],[Legal Non-Operating Time]]-Table1[[#This Row],[No Demand Time]]-Table1[[#This Row],[Force Majeure]])</f>
        <v>0</v>
      </c>
      <c r="T222" s="26"/>
      <c r="U222" s="26"/>
      <c r="V222" s="26"/>
      <c r="W222" s="26"/>
      <c r="X222" s="26"/>
      <c r="Y222" s="26"/>
      <c r="Z222" s="26"/>
      <c r="AA222" s="30">
        <f>Table1[[#This Row],[Hours Used]]-SUM(Table1[[#This Row],[Planned Maintenance]:[Start and Finish Production]])</f>
        <v>0</v>
      </c>
      <c r="AB222" s="26"/>
      <c r="AC222" s="26"/>
      <c r="AD222" s="26"/>
      <c r="AE222" s="26"/>
      <c r="AF222" s="26"/>
      <c r="AG222" s="26"/>
      <c r="AH222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222" s="24">
        <f>IFERROR(IF(Table1[[#This Row],[SKU]]="",0,Table1[[#This Row],[Quality Loss (T)]]/(Table1[[#This Row],[SOC (TPD)]]/24)),"")</f>
        <v>0</v>
      </c>
      <c r="AJ222" s="31">
        <f>IFERROR(IF(Table1[[#This Row],[SKU]]="",0,Table1[[#This Row],[Volume Delivered (T)]]/(Table1[[#This Row],[SOC (TPD)]]/24)),"")</f>
        <v>0</v>
      </c>
      <c r="AK222" s="31" t="str">
        <f>IFERROR(Table1[[#This Row],[Operating Time]]/Table1[[#This Row],[PRODUCTION HOURS]],"")</f>
        <v/>
      </c>
      <c r="AL222" s="32"/>
      <c r="AM222" s="32"/>
      <c r="AN222" s="32"/>
      <c r="AO222" s="32">
        <v>18</v>
      </c>
      <c r="AP222" s="32">
        <v>0</v>
      </c>
      <c r="AQ222" s="32"/>
      <c r="AR222" s="32" t="str">
        <f>IFERROR(SUMIFS(#REF!,#REF!,'Data Sheet'!A:A,#REF!,"Samridhi Perk Line")/SUMIFS(#REF!,#REF!,'Data Sheet'!A:A,#REF!,"Samridhi Perk Line"),"")</f>
        <v/>
      </c>
      <c r="AS222" s="32"/>
      <c r="AT222" s="32"/>
      <c r="AU222" s="211" t="str">
        <f>IFERROR(VLOOKUP(Table1[[#This Row],[Date]],'Overweight Data'!A220:G1315,6,FALSE),"")</f>
        <v/>
      </c>
      <c r="AV222" s="221">
        <f>IFERROR(
   IF(
      OR(Table1[[#This Row],[Operating Time]]=0, (Table1[[#This Row],[Operating Time]]/IF(AC222&lt;=1,AC222+1,AC222))*60=0),
      1,
      ((Table1[[#This Row],[Operating Time]])/IF(AC222&lt;=1,AC222+1,AC222))*60
   ),
"_")</f>
        <v>1</v>
      </c>
      <c r="AW222" s="221">
        <f>COUNTIFS('Downtime Data'!A:A,Table1[[#This Row],[Date]])</f>
        <v>0</v>
      </c>
      <c r="AX222" s="219" t="str">
        <f>IFERROR((SUM(Table1[[#This Row],[Minor Stoppages]:[Material Shortages]])/Table1[[#This Row],['# Stops]])*60,"")</f>
        <v/>
      </c>
      <c r="AY222" s="219"/>
      <c r="AZ222" s="33">
        <v>46260</v>
      </c>
    </row>
    <row r="223" spans="1:52" ht="20.149999999999999" customHeight="1" x14ac:dyDescent="0.35">
      <c r="A223" s="21">
        <v>46240</v>
      </c>
      <c r="B223" s="22" t="str">
        <f t="shared" si="4"/>
        <v>Thursday</v>
      </c>
      <c r="C223" s="23"/>
      <c r="D223" s="24" t="str" cm="1">
        <f t="array" aca="1" ref="D223" ca="1">IFERROR(INDIRECT(C223),"")</f>
        <v/>
      </c>
      <c r="E223" s="25"/>
      <c r="F223" s="26"/>
      <c r="G223" s="27" t="str">
        <f ca="1">IFERROR((Table1[[#This Row],[Plan]]/Table1[[#This Row],[Hours Used]])/(Table1[[#This Row],[SOC (TPD)]]/24),"")</f>
        <v/>
      </c>
      <c r="H223" s="27" t="str">
        <f ca="1">IFERROR((Table1[[#This Row],[Volume Delivered (T)]]/Table1[[#This Row],[Hours Used]])/(Table1[[#This Row],[SOC (TPD)]]/24),"")</f>
        <v/>
      </c>
      <c r="I223" s="28"/>
      <c r="J223" s="28"/>
      <c r="K223" s="28"/>
      <c r="L223" s="25"/>
      <c r="M223" s="29"/>
      <c r="N223" s="84"/>
      <c r="O223" s="25"/>
      <c r="P223" s="25"/>
      <c r="Q223" s="70"/>
      <c r="R223" s="71"/>
      <c r="S223" s="30">
        <f>IF(Table1[[#This Row],[SKU]]="",0,24-Table1[[#This Row],[Legal Non-Operating Time]]-Table1[[#This Row],[No Demand Time]]-Table1[[#This Row],[Force Majeure]])</f>
        <v>0</v>
      </c>
      <c r="T223" s="26"/>
      <c r="U223" s="26"/>
      <c r="V223" s="26"/>
      <c r="W223" s="26"/>
      <c r="X223" s="26"/>
      <c r="Y223" s="26"/>
      <c r="Z223" s="26"/>
      <c r="AA223" s="30">
        <f>Table1[[#This Row],[Hours Used]]-SUM(Table1[[#This Row],[Planned Maintenance]:[Start and Finish Production]])</f>
        <v>0</v>
      </c>
      <c r="AB223" s="26"/>
      <c r="AC223" s="26"/>
      <c r="AD223" s="26"/>
      <c r="AE223" s="26"/>
      <c r="AF223" s="26"/>
      <c r="AG223" s="26"/>
      <c r="AH223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223" s="24">
        <f>IFERROR(IF(Table1[[#This Row],[SKU]]="",0,Table1[[#This Row],[Quality Loss (T)]]/(Table1[[#This Row],[SOC (TPD)]]/24)),"")</f>
        <v>0</v>
      </c>
      <c r="AJ223" s="31">
        <f>IFERROR(IF(Table1[[#This Row],[SKU]]="",0,Table1[[#This Row],[Volume Delivered (T)]]/(Table1[[#This Row],[SOC (TPD)]]/24)),"")</f>
        <v>0</v>
      </c>
      <c r="AK223" s="31" t="str">
        <f>IFERROR(Table1[[#This Row],[Operating Time]]/Table1[[#This Row],[PRODUCTION HOURS]],"")</f>
        <v/>
      </c>
      <c r="AL223" s="32"/>
      <c r="AM223" s="32"/>
      <c r="AN223" s="32"/>
      <c r="AO223" s="32">
        <v>7</v>
      </c>
      <c r="AP223" s="32">
        <v>0</v>
      </c>
      <c r="AQ223" s="32"/>
      <c r="AR223" s="32" t="str">
        <f>IFERROR(SUMIFS(#REF!,#REF!,'Data Sheet'!A:A,#REF!,"Samridhi Perk Line")/SUMIFS(#REF!,#REF!,'Data Sheet'!A:A,#REF!,"Samridhi Perk Line"),"")</f>
        <v/>
      </c>
      <c r="AS223" s="32"/>
      <c r="AT223" s="32"/>
      <c r="AU223" s="211" t="str">
        <f>IFERROR(VLOOKUP(Table1[[#This Row],[Date]],'Overweight Data'!A221:G1316,6,FALSE),"")</f>
        <v/>
      </c>
      <c r="AV223" s="221">
        <f>IFERROR(
   IF(
      OR(Table1[[#This Row],[Operating Time]]=0, (Table1[[#This Row],[Operating Time]]/IF(AC223&lt;=1,AC223+1,AC223))*60=0),
      1,
      ((Table1[[#This Row],[Operating Time]])/IF(AC223&lt;=1,AC223+1,AC223))*60
   ),
"_")</f>
        <v>1</v>
      </c>
      <c r="AW223" s="221">
        <f>COUNTIFS('Downtime Data'!A:A,Table1[[#This Row],[Date]])</f>
        <v>0</v>
      </c>
      <c r="AX223" s="219" t="str">
        <f>IFERROR((SUM(Table1[[#This Row],[Minor Stoppages]:[Material Shortages]])/Table1[[#This Row],['# Stops]])*60,"")</f>
        <v/>
      </c>
      <c r="AY223" s="219"/>
      <c r="AZ223" s="33">
        <v>46260</v>
      </c>
    </row>
    <row r="224" spans="1:52" ht="20.149999999999999" customHeight="1" x14ac:dyDescent="0.35">
      <c r="A224" s="21">
        <v>46241</v>
      </c>
      <c r="B224" s="22" t="str">
        <f t="shared" si="4"/>
        <v>Friday</v>
      </c>
      <c r="C224" s="23"/>
      <c r="D224" s="24" t="str" cm="1">
        <f t="array" aca="1" ref="D224" ca="1">IFERROR(INDIRECT(C224),"")</f>
        <v/>
      </c>
      <c r="E224" s="25"/>
      <c r="F224" s="26"/>
      <c r="G224" s="27" t="str">
        <f ca="1">IFERROR((Table1[[#This Row],[Plan]]/Table1[[#This Row],[Hours Used]])/(Table1[[#This Row],[SOC (TPD)]]/24),"")</f>
        <v/>
      </c>
      <c r="H224" s="27" t="str">
        <f ca="1">IFERROR((Table1[[#This Row],[Volume Delivered (T)]]/Table1[[#This Row],[Hours Used]])/(Table1[[#This Row],[SOC (TPD)]]/24),"")</f>
        <v/>
      </c>
      <c r="I224" s="28"/>
      <c r="J224" s="28"/>
      <c r="K224" s="28"/>
      <c r="L224" s="25"/>
      <c r="M224" s="29"/>
      <c r="N224" s="84"/>
      <c r="O224" s="25"/>
      <c r="P224" s="25"/>
      <c r="Q224" s="70"/>
      <c r="R224" s="71"/>
      <c r="S224" s="30">
        <f>IF(Table1[[#This Row],[SKU]]="",0,24-Table1[[#This Row],[Legal Non-Operating Time]]-Table1[[#This Row],[No Demand Time]]-Table1[[#This Row],[Force Majeure]])</f>
        <v>0</v>
      </c>
      <c r="T224" s="26"/>
      <c r="U224" s="26"/>
      <c r="V224" s="26"/>
      <c r="W224" s="26"/>
      <c r="X224" s="26"/>
      <c r="Y224" s="26"/>
      <c r="Z224" s="26"/>
      <c r="AA224" s="30">
        <f>Table1[[#This Row],[Hours Used]]-SUM(Table1[[#This Row],[Planned Maintenance]:[Start and Finish Production]])</f>
        <v>0</v>
      </c>
      <c r="AB224" s="26"/>
      <c r="AC224" s="26"/>
      <c r="AD224" s="26"/>
      <c r="AE224" s="26"/>
      <c r="AF224" s="26"/>
      <c r="AG224" s="26"/>
      <c r="AH224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224" s="24">
        <f>IFERROR(IF(Table1[[#This Row],[SKU]]="",0,Table1[[#This Row],[Quality Loss (T)]]/(Table1[[#This Row],[SOC (TPD)]]/24)),"")</f>
        <v>0</v>
      </c>
      <c r="AJ224" s="31">
        <f>IFERROR(IF(Table1[[#This Row],[SKU]]="",0,Table1[[#This Row],[Volume Delivered (T)]]/(Table1[[#This Row],[SOC (TPD)]]/24)),"")</f>
        <v>0</v>
      </c>
      <c r="AK224" s="31" t="str">
        <f>IFERROR(Table1[[#This Row],[Operating Time]]/Table1[[#This Row],[PRODUCTION HOURS]],"")</f>
        <v/>
      </c>
      <c r="AL224" s="32"/>
      <c r="AM224" s="32"/>
      <c r="AN224" s="32"/>
      <c r="AO224" s="32">
        <v>0</v>
      </c>
      <c r="AP224" s="32">
        <v>0</v>
      </c>
      <c r="AQ224" s="32"/>
      <c r="AR224" s="32" t="str">
        <f>IFERROR(SUMIFS(#REF!,#REF!,'Data Sheet'!A:A,#REF!,"Samridhi Perk Line")/SUMIFS(#REF!,#REF!,'Data Sheet'!A:A,#REF!,"Samridhi Perk Line"),"")</f>
        <v/>
      </c>
      <c r="AS224" s="32"/>
      <c r="AT224" s="32"/>
      <c r="AU224" s="211" t="str">
        <f>IFERROR(VLOOKUP(Table1[[#This Row],[Date]],'Overweight Data'!A222:G1317,6,FALSE),"")</f>
        <v/>
      </c>
      <c r="AV224" s="221">
        <f>IFERROR(
   IF(
      OR(Table1[[#This Row],[Operating Time]]=0, (Table1[[#This Row],[Operating Time]]/IF(AC224&lt;=1,AC224+1,AC224))*60=0),
      1,
      ((Table1[[#This Row],[Operating Time]])/IF(AC224&lt;=1,AC224+1,AC224))*60
   ),
"_")</f>
        <v>1</v>
      </c>
      <c r="AW224" s="221">
        <f>COUNTIFS('Downtime Data'!A:A,Table1[[#This Row],[Date]])</f>
        <v>0</v>
      </c>
      <c r="AX224" s="219" t="str">
        <f>IFERROR((SUM(Table1[[#This Row],[Minor Stoppages]:[Material Shortages]])/Table1[[#This Row],['# Stops]])*60,"")</f>
        <v/>
      </c>
      <c r="AY224" s="219"/>
      <c r="AZ224" s="33">
        <v>46260</v>
      </c>
    </row>
    <row r="225" spans="1:52" ht="20.149999999999999" customHeight="1" x14ac:dyDescent="0.35">
      <c r="A225" s="21">
        <v>46242</v>
      </c>
      <c r="B225" s="22" t="str">
        <f t="shared" si="4"/>
        <v>Saturday</v>
      </c>
      <c r="C225" s="23"/>
      <c r="D225" s="24" t="str" cm="1">
        <f t="array" aca="1" ref="D225" ca="1">IFERROR(INDIRECT(C225),"")</f>
        <v/>
      </c>
      <c r="E225" s="25"/>
      <c r="F225" s="26"/>
      <c r="G225" s="27" t="str">
        <f ca="1">IFERROR((Table1[[#This Row],[Plan]]/Table1[[#This Row],[Hours Used]])/(Table1[[#This Row],[SOC (TPD)]]/24),"")</f>
        <v/>
      </c>
      <c r="H225" s="27" t="str">
        <f ca="1">IFERROR((Table1[[#This Row],[Volume Delivered (T)]]/Table1[[#This Row],[Hours Used]])/(Table1[[#This Row],[SOC (TPD)]]/24),"")</f>
        <v/>
      </c>
      <c r="I225" s="28"/>
      <c r="J225" s="28"/>
      <c r="K225" s="28"/>
      <c r="L225" s="25"/>
      <c r="M225" s="29"/>
      <c r="N225" s="84"/>
      <c r="O225" s="25"/>
      <c r="P225" s="25"/>
      <c r="Q225" s="70"/>
      <c r="R225" s="71"/>
      <c r="S225" s="30">
        <f>IF(Table1[[#This Row],[SKU]]="",0,24-Table1[[#This Row],[Legal Non-Operating Time]]-Table1[[#This Row],[No Demand Time]]-Table1[[#This Row],[Force Majeure]])</f>
        <v>0</v>
      </c>
      <c r="T225" s="26"/>
      <c r="U225" s="26"/>
      <c r="V225" s="26"/>
      <c r="W225" s="26"/>
      <c r="X225" s="26"/>
      <c r="Y225" s="26"/>
      <c r="Z225" s="26"/>
      <c r="AA225" s="30">
        <f>Table1[[#This Row],[Hours Used]]-SUM(Table1[[#This Row],[Planned Maintenance]:[Start and Finish Production]])</f>
        <v>0</v>
      </c>
      <c r="AB225" s="26"/>
      <c r="AC225" s="26"/>
      <c r="AD225" s="26"/>
      <c r="AE225" s="26"/>
      <c r="AF225" s="26"/>
      <c r="AG225" s="26"/>
      <c r="AH225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225" s="24">
        <f>IFERROR(IF(Table1[[#This Row],[SKU]]="",0,Table1[[#This Row],[Quality Loss (T)]]/(Table1[[#This Row],[SOC (TPD)]]/24)),"")</f>
        <v>0</v>
      </c>
      <c r="AJ225" s="31">
        <f>IFERROR(IF(Table1[[#This Row],[SKU]]="",0,Table1[[#This Row],[Volume Delivered (T)]]/(Table1[[#This Row],[SOC (TPD)]]/24)),"")</f>
        <v>0</v>
      </c>
      <c r="AK225" s="31" t="str">
        <f>IFERROR(Table1[[#This Row],[Operating Time]]/Table1[[#This Row],[PRODUCTION HOURS]],"")</f>
        <v/>
      </c>
      <c r="AL225" s="32"/>
      <c r="AM225" s="32"/>
      <c r="AN225" s="32"/>
      <c r="AO225" s="32">
        <v>0</v>
      </c>
      <c r="AP225" s="32">
        <v>0</v>
      </c>
      <c r="AQ225" s="32"/>
      <c r="AR225" s="32" t="str">
        <f>IFERROR(SUMIFS(#REF!,#REF!,'Data Sheet'!A:A,#REF!,"Samridhi Perk Line")/SUMIFS(#REF!,#REF!,'Data Sheet'!A:A,#REF!,"Samridhi Perk Line"),"")</f>
        <v/>
      </c>
      <c r="AS225" s="32"/>
      <c r="AT225" s="32"/>
      <c r="AU225" s="211" t="str">
        <f>IFERROR(VLOOKUP(Table1[[#This Row],[Date]],'Overweight Data'!A223:G1318,6,FALSE),"")</f>
        <v/>
      </c>
      <c r="AV225" s="221">
        <f>IFERROR(
   IF(
      OR(Table1[[#This Row],[Operating Time]]=0, (Table1[[#This Row],[Operating Time]]/IF(AC225&lt;=1,AC225+1,AC225))*60=0),
      1,
      ((Table1[[#This Row],[Operating Time]])/IF(AC225&lt;=1,AC225+1,AC225))*60
   ),
"_")</f>
        <v>1</v>
      </c>
      <c r="AW225" s="221">
        <f>COUNTIFS('Downtime Data'!A:A,Table1[[#This Row],[Date]])</f>
        <v>0</v>
      </c>
      <c r="AX225" s="219" t="str">
        <f>IFERROR((SUM(Table1[[#This Row],[Minor Stoppages]:[Material Shortages]])/Table1[[#This Row],['# Stops]])*60,"")</f>
        <v/>
      </c>
      <c r="AY225" s="219"/>
      <c r="AZ225" s="33">
        <v>46260</v>
      </c>
    </row>
    <row r="226" spans="1:52" ht="20.149999999999999" customHeight="1" x14ac:dyDescent="0.35">
      <c r="A226" s="21">
        <v>46243</v>
      </c>
      <c r="B226" s="22" t="str">
        <f t="shared" si="4"/>
        <v>Sunday</v>
      </c>
      <c r="C226" s="23"/>
      <c r="D226" s="24" t="str" cm="1">
        <f t="array" aca="1" ref="D226" ca="1">IFERROR(INDIRECT(C226),"")</f>
        <v/>
      </c>
      <c r="E226" s="25"/>
      <c r="F226" s="26"/>
      <c r="G226" s="27" t="str">
        <f ca="1">IFERROR((Table1[[#This Row],[Plan]]/Table1[[#This Row],[Hours Used]])/(Table1[[#This Row],[SOC (TPD)]]/24),"")</f>
        <v/>
      </c>
      <c r="H226" s="27" t="str">
        <f ca="1">IFERROR((Table1[[#This Row],[Volume Delivered (T)]]/Table1[[#This Row],[Hours Used]])/(Table1[[#This Row],[SOC (TPD)]]/24),"")</f>
        <v/>
      </c>
      <c r="I226" s="28"/>
      <c r="J226" s="28"/>
      <c r="K226" s="28"/>
      <c r="L226" s="25"/>
      <c r="M226" s="29"/>
      <c r="N226" s="84"/>
      <c r="O226" s="25"/>
      <c r="P226" s="25"/>
      <c r="Q226" s="70"/>
      <c r="R226" s="71"/>
      <c r="S226" s="30">
        <f>IF(Table1[[#This Row],[SKU]]="",0,24-Table1[[#This Row],[Legal Non-Operating Time]]-Table1[[#This Row],[No Demand Time]]-Table1[[#This Row],[Force Majeure]])</f>
        <v>0</v>
      </c>
      <c r="T226" s="26"/>
      <c r="U226" s="26"/>
      <c r="V226" s="26"/>
      <c r="W226" s="26"/>
      <c r="X226" s="26"/>
      <c r="Y226" s="26"/>
      <c r="Z226" s="26"/>
      <c r="AA226" s="30">
        <f>Table1[[#This Row],[Hours Used]]-SUM(Table1[[#This Row],[Planned Maintenance]:[Start and Finish Production]])</f>
        <v>0</v>
      </c>
      <c r="AB226" s="26"/>
      <c r="AC226" s="26"/>
      <c r="AD226" s="26"/>
      <c r="AE226" s="26"/>
      <c r="AF226" s="26"/>
      <c r="AG226" s="26"/>
      <c r="AH226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226" s="24">
        <f>IFERROR(IF(Table1[[#This Row],[SKU]]="",0,Table1[[#This Row],[Quality Loss (T)]]/(Table1[[#This Row],[SOC (TPD)]]/24)),"")</f>
        <v>0</v>
      </c>
      <c r="AJ226" s="31">
        <f>IFERROR(IF(Table1[[#This Row],[SKU]]="",0,Table1[[#This Row],[Volume Delivered (T)]]/(Table1[[#This Row],[SOC (TPD)]]/24)),"")</f>
        <v>0</v>
      </c>
      <c r="AK226" s="31" t="str">
        <f>IFERROR(Table1[[#This Row],[Operating Time]]/Table1[[#This Row],[PRODUCTION HOURS]],"")</f>
        <v/>
      </c>
      <c r="AL226" s="32"/>
      <c r="AM226" s="32"/>
      <c r="AN226" s="32"/>
      <c r="AO226" s="32">
        <v>0</v>
      </c>
      <c r="AP226" s="32">
        <v>0</v>
      </c>
      <c r="AQ226" s="32"/>
      <c r="AR226" s="32" t="str">
        <f>IFERROR(SUMIFS(#REF!,#REF!,'Data Sheet'!A:A,#REF!,"Samridhi Perk Line")/SUMIFS(#REF!,#REF!,'Data Sheet'!A:A,#REF!,"Samridhi Perk Line"),"")</f>
        <v/>
      </c>
      <c r="AS226" s="32"/>
      <c r="AT226" s="32"/>
      <c r="AU226" s="211" t="str">
        <f>IFERROR(VLOOKUP(Table1[[#This Row],[Date]],'Overweight Data'!A224:G1319,6,FALSE),"")</f>
        <v/>
      </c>
      <c r="AV226" s="221">
        <f>IFERROR(
   IF(
      OR(Table1[[#This Row],[Operating Time]]=0, (Table1[[#This Row],[Operating Time]]/IF(AC226&lt;=1,AC226+1,AC226))*60=0),
      1,
      ((Table1[[#This Row],[Operating Time]])/IF(AC226&lt;=1,AC226+1,AC226))*60
   ),
"_")</f>
        <v>1</v>
      </c>
      <c r="AW226" s="221">
        <f>COUNTIFS('Downtime Data'!A:A,Table1[[#This Row],[Date]])</f>
        <v>0</v>
      </c>
      <c r="AX226" s="219" t="str">
        <f>IFERROR((SUM(Table1[[#This Row],[Minor Stoppages]:[Material Shortages]])/Table1[[#This Row],['# Stops]])*60,"")</f>
        <v/>
      </c>
      <c r="AY226" s="219"/>
      <c r="AZ226" s="33">
        <v>46260</v>
      </c>
    </row>
    <row r="227" spans="1:52" ht="20.149999999999999" customHeight="1" x14ac:dyDescent="0.35">
      <c r="A227" s="21">
        <v>46244</v>
      </c>
      <c r="B227" s="22" t="str">
        <f t="shared" si="4"/>
        <v>Monday</v>
      </c>
      <c r="C227" s="23"/>
      <c r="D227" s="24" t="str" cm="1">
        <f t="array" aca="1" ref="D227" ca="1">IFERROR(INDIRECT(C227),"")</f>
        <v/>
      </c>
      <c r="E227" s="25"/>
      <c r="F227" s="26"/>
      <c r="G227" s="27" t="str">
        <f ca="1">IFERROR((Table1[[#This Row],[Plan]]/Table1[[#This Row],[Hours Used]])/(Table1[[#This Row],[SOC (TPD)]]/24),"")</f>
        <v/>
      </c>
      <c r="H227" s="27" t="str">
        <f ca="1">IFERROR((Table1[[#This Row],[Volume Delivered (T)]]/Table1[[#This Row],[Hours Used]])/(Table1[[#This Row],[SOC (TPD)]]/24),"")</f>
        <v/>
      </c>
      <c r="I227" s="28"/>
      <c r="J227" s="28"/>
      <c r="K227" s="28"/>
      <c r="L227" s="25"/>
      <c r="M227" s="29"/>
      <c r="N227" s="84"/>
      <c r="O227" s="25"/>
      <c r="P227" s="25"/>
      <c r="Q227" s="70"/>
      <c r="R227" s="71"/>
      <c r="S227" s="30">
        <f>IF(Table1[[#This Row],[SKU]]="",0,24-Table1[[#This Row],[Legal Non-Operating Time]]-Table1[[#This Row],[No Demand Time]]-Table1[[#This Row],[Force Majeure]])</f>
        <v>0</v>
      </c>
      <c r="T227" s="26"/>
      <c r="U227" s="26"/>
      <c r="V227" s="26"/>
      <c r="W227" s="26"/>
      <c r="X227" s="26"/>
      <c r="Y227" s="26"/>
      <c r="Z227" s="26"/>
      <c r="AA227" s="30">
        <f>Table1[[#This Row],[Hours Used]]-SUM(Table1[[#This Row],[Planned Maintenance]:[Start and Finish Production]])</f>
        <v>0</v>
      </c>
      <c r="AB227" s="26"/>
      <c r="AC227" s="26"/>
      <c r="AD227" s="26"/>
      <c r="AE227" s="26"/>
      <c r="AF227" s="26"/>
      <c r="AG227" s="26"/>
      <c r="AH227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227" s="24">
        <f>IFERROR(IF(Table1[[#This Row],[SKU]]="",0,Table1[[#This Row],[Quality Loss (T)]]/(Table1[[#This Row],[SOC (TPD)]]/24)),"")</f>
        <v>0</v>
      </c>
      <c r="AJ227" s="31">
        <f>IFERROR(IF(Table1[[#This Row],[SKU]]="",0,Table1[[#This Row],[Volume Delivered (T)]]/(Table1[[#This Row],[SOC (TPD)]]/24)),"")</f>
        <v>0</v>
      </c>
      <c r="AK227" s="31" t="str">
        <f>IFERROR(Table1[[#This Row],[Operating Time]]/Table1[[#This Row],[PRODUCTION HOURS]],"")</f>
        <v/>
      </c>
      <c r="AL227" s="32"/>
      <c r="AM227" s="32"/>
      <c r="AN227" s="32"/>
      <c r="AO227" s="32">
        <v>0</v>
      </c>
      <c r="AP227" s="32">
        <v>0</v>
      </c>
      <c r="AQ227" s="32"/>
      <c r="AR227" s="32" t="str">
        <f>IFERROR(SUMIFS(#REF!,#REF!,'Data Sheet'!A:A,#REF!,"Samridhi Perk Line")/SUMIFS(#REF!,#REF!,'Data Sheet'!A:A,#REF!,"Samridhi Perk Line"),"")</f>
        <v/>
      </c>
      <c r="AS227" s="32"/>
      <c r="AT227" s="32"/>
      <c r="AU227" s="211">
        <f>IFERROR(VLOOKUP(Table1[[#This Row],[Date]],'Overweight Data'!A225:G1320,6,FALSE),"")</f>
        <v>0</v>
      </c>
      <c r="AV227" s="221">
        <f>IFERROR(
   IF(
      OR(Table1[[#This Row],[Operating Time]]=0, (Table1[[#This Row],[Operating Time]]/IF(AC227&lt;=1,AC227+1,AC227))*60=0),
      1,
      ((Table1[[#This Row],[Operating Time]])/IF(AC227&lt;=1,AC227+1,AC227))*60
   ),
"_")</f>
        <v>1</v>
      </c>
      <c r="AW227" s="221">
        <f>COUNTIFS('Downtime Data'!A:A,Table1[[#This Row],[Date]])</f>
        <v>0</v>
      </c>
      <c r="AX227" s="219" t="str">
        <f>IFERROR((SUM(Table1[[#This Row],[Minor Stoppages]:[Material Shortages]])/Table1[[#This Row],['# Stops]])*60,"")</f>
        <v/>
      </c>
      <c r="AY227" s="219"/>
      <c r="AZ227" s="33">
        <v>46260</v>
      </c>
    </row>
    <row r="228" spans="1:52" ht="20.149999999999999" customHeight="1" x14ac:dyDescent="0.35">
      <c r="A228" s="21">
        <v>46245</v>
      </c>
      <c r="B228" s="22" t="str">
        <f t="shared" si="4"/>
        <v>Tuesday</v>
      </c>
      <c r="C228" s="23"/>
      <c r="D228" s="24" t="str" cm="1">
        <f t="array" aca="1" ref="D228" ca="1">IFERROR(INDIRECT(C228),"")</f>
        <v/>
      </c>
      <c r="E228" s="25"/>
      <c r="F228" s="26"/>
      <c r="G228" s="27" t="str">
        <f ca="1">IFERROR((Table1[[#This Row],[Plan]]/Table1[[#This Row],[Hours Used]])/(Table1[[#This Row],[SOC (TPD)]]/24),"")</f>
        <v/>
      </c>
      <c r="H228" s="27" t="str">
        <f ca="1">IFERROR((Table1[[#This Row],[Volume Delivered (T)]]/Table1[[#This Row],[Hours Used]])/(Table1[[#This Row],[SOC (TPD)]]/24),"")</f>
        <v/>
      </c>
      <c r="I228" s="28"/>
      <c r="J228" s="28"/>
      <c r="K228" s="28"/>
      <c r="L228" s="25"/>
      <c r="M228" s="29"/>
      <c r="N228" s="84"/>
      <c r="O228" s="25"/>
      <c r="P228" s="25"/>
      <c r="Q228" s="70"/>
      <c r="R228" s="71"/>
      <c r="S228" s="30">
        <f>IF(Table1[[#This Row],[SKU]]="",0,24-Table1[[#This Row],[Legal Non-Operating Time]]-Table1[[#This Row],[No Demand Time]]-Table1[[#This Row],[Force Majeure]])</f>
        <v>0</v>
      </c>
      <c r="T228" s="26"/>
      <c r="U228" s="26"/>
      <c r="V228" s="26"/>
      <c r="W228" s="26"/>
      <c r="X228" s="26"/>
      <c r="Y228" s="26"/>
      <c r="Z228" s="26"/>
      <c r="AA228" s="30">
        <f>Table1[[#This Row],[Hours Used]]-SUM(Table1[[#This Row],[Planned Maintenance]:[Start and Finish Production]])</f>
        <v>0</v>
      </c>
      <c r="AB228" s="26"/>
      <c r="AC228" s="26"/>
      <c r="AD228" s="26"/>
      <c r="AE228" s="26"/>
      <c r="AF228" s="26"/>
      <c r="AG228" s="26"/>
      <c r="AH228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228" s="24">
        <f>IFERROR(IF(Table1[[#This Row],[SKU]]="",0,Table1[[#This Row],[Quality Loss (T)]]/(Table1[[#This Row],[SOC (TPD)]]/24)),"")</f>
        <v>0</v>
      </c>
      <c r="AJ228" s="31">
        <f>IFERROR(IF(Table1[[#This Row],[SKU]]="",0,Table1[[#This Row],[Volume Delivered (T)]]/(Table1[[#This Row],[SOC (TPD)]]/24)),"")</f>
        <v>0</v>
      </c>
      <c r="AK228" s="31" t="str">
        <f>IFERROR(Table1[[#This Row],[Operating Time]]/Table1[[#This Row],[PRODUCTION HOURS]],"")</f>
        <v/>
      </c>
      <c r="AL228" s="32"/>
      <c r="AM228" s="32"/>
      <c r="AN228" s="32"/>
      <c r="AO228" s="32">
        <v>0</v>
      </c>
      <c r="AP228" s="32">
        <v>0</v>
      </c>
      <c r="AQ228" s="32"/>
      <c r="AR228" s="32" t="str">
        <f>IFERROR(SUMIFS(#REF!,#REF!,'Data Sheet'!A:A,#REF!,"Samridhi Perk Line")/SUMIFS(#REF!,#REF!,'Data Sheet'!A:A,#REF!,"Samridhi Perk Line"),"")</f>
        <v/>
      </c>
      <c r="AS228" s="32"/>
      <c r="AT228" s="32"/>
      <c r="AU228" s="211" t="str">
        <f>IFERROR(VLOOKUP(Table1[[#This Row],[Date]],'Overweight Data'!A226:G1321,6,FALSE),"")</f>
        <v/>
      </c>
      <c r="AV228" s="221">
        <f>IFERROR(
   IF(
      OR(Table1[[#This Row],[Operating Time]]=0, (Table1[[#This Row],[Operating Time]]/IF(AC228&lt;=1,AC228+1,AC228))*60=0),
      1,
      ((Table1[[#This Row],[Operating Time]])/IF(AC228&lt;=1,AC228+1,AC228))*60
   ),
"_")</f>
        <v>1</v>
      </c>
      <c r="AW228" s="221">
        <f>COUNTIFS('Downtime Data'!A:A,Table1[[#This Row],[Date]])</f>
        <v>0</v>
      </c>
      <c r="AX228" s="219" t="str">
        <f>IFERROR((SUM(Table1[[#This Row],[Minor Stoppages]:[Material Shortages]])/Table1[[#This Row],['# Stops]])*60,"")</f>
        <v/>
      </c>
      <c r="AY228" s="219"/>
      <c r="AZ228" s="33">
        <v>46260</v>
      </c>
    </row>
    <row r="229" spans="1:52" ht="20.149999999999999" customHeight="1" x14ac:dyDescent="0.35">
      <c r="A229" s="21">
        <v>46246</v>
      </c>
      <c r="B229" s="22" t="str">
        <f t="shared" si="4"/>
        <v>Wednesday</v>
      </c>
      <c r="C229" s="23"/>
      <c r="D229" s="24" t="str" cm="1">
        <f t="array" aca="1" ref="D229" ca="1">IFERROR(INDIRECT(C229),"")</f>
        <v/>
      </c>
      <c r="E229" s="25"/>
      <c r="F229" s="26"/>
      <c r="G229" s="27" t="str">
        <f ca="1">IFERROR((Table1[[#This Row],[Plan]]/Table1[[#This Row],[Hours Used]])/(Table1[[#This Row],[SOC (TPD)]]/24),"")</f>
        <v/>
      </c>
      <c r="H229" s="27" t="str">
        <f ca="1">IFERROR((Table1[[#This Row],[Volume Delivered (T)]]/Table1[[#This Row],[Hours Used]])/(Table1[[#This Row],[SOC (TPD)]]/24),"")</f>
        <v/>
      </c>
      <c r="I229" s="28"/>
      <c r="J229" s="28"/>
      <c r="K229" s="28"/>
      <c r="L229" s="25"/>
      <c r="M229" s="29"/>
      <c r="N229" s="84"/>
      <c r="O229" s="25"/>
      <c r="P229" s="25"/>
      <c r="Q229" s="70"/>
      <c r="R229" s="71"/>
      <c r="S229" s="30">
        <f>IF(Table1[[#This Row],[SKU]]="",0,24-Table1[[#This Row],[Legal Non-Operating Time]]-Table1[[#This Row],[No Demand Time]]-Table1[[#This Row],[Force Majeure]])</f>
        <v>0</v>
      </c>
      <c r="T229" s="26"/>
      <c r="U229" s="26"/>
      <c r="V229" s="26"/>
      <c r="W229" s="26"/>
      <c r="X229" s="26"/>
      <c r="Y229" s="26"/>
      <c r="Z229" s="26"/>
      <c r="AA229" s="30">
        <f>Table1[[#This Row],[Hours Used]]-SUM(Table1[[#This Row],[Planned Maintenance]:[Start and Finish Production]])</f>
        <v>0</v>
      </c>
      <c r="AB229" s="26"/>
      <c r="AC229" s="26"/>
      <c r="AD229" s="26"/>
      <c r="AE229" s="26"/>
      <c r="AF229" s="26"/>
      <c r="AG229" s="26"/>
      <c r="AH229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229" s="24">
        <f>IFERROR(IF(Table1[[#This Row],[SKU]]="",0,Table1[[#This Row],[Quality Loss (T)]]/(Table1[[#This Row],[SOC (TPD)]]/24)),"")</f>
        <v>0</v>
      </c>
      <c r="AJ229" s="31">
        <f>IFERROR(IF(Table1[[#This Row],[SKU]]="",0,Table1[[#This Row],[Volume Delivered (T)]]/(Table1[[#This Row],[SOC (TPD)]]/24)),"")</f>
        <v>0</v>
      </c>
      <c r="AK229" s="31" t="str">
        <f>IFERROR(Table1[[#This Row],[Operating Time]]/Table1[[#This Row],[PRODUCTION HOURS]],"")</f>
        <v/>
      </c>
      <c r="AL229" s="32"/>
      <c r="AM229" s="32"/>
      <c r="AN229" s="32"/>
      <c r="AO229" s="32">
        <v>19</v>
      </c>
      <c r="AP229" s="32">
        <v>0</v>
      </c>
      <c r="AQ229" s="32"/>
      <c r="AR229" s="32" t="str">
        <f>IFERROR(SUMIFS(#REF!,#REF!,'Data Sheet'!A:A,#REF!,"Samridhi Perk Line")/SUMIFS(#REF!,#REF!,'Data Sheet'!A:A,#REF!,"Samridhi Perk Line"),"")</f>
        <v/>
      </c>
      <c r="AS229" s="32"/>
      <c r="AT229" s="32"/>
      <c r="AU229" s="211" t="str">
        <f>IFERROR(VLOOKUP(Table1[[#This Row],[Date]],'Overweight Data'!A227:G1322,6,FALSE),"")</f>
        <v/>
      </c>
      <c r="AV229" s="221">
        <f>IFERROR(
   IF(
      OR(Table1[[#This Row],[Operating Time]]=0, (Table1[[#This Row],[Operating Time]]/IF(AC229&lt;=1,AC229+1,AC229))*60=0),
      1,
      ((Table1[[#This Row],[Operating Time]])/IF(AC229&lt;=1,AC229+1,AC229))*60
   ),
"_")</f>
        <v>1</v>
      </c>
      <c r="AW229" s="221">
        <f>COUNTIFS('Downtime Data'!A:A,Table1[[#This Row],[Date]])</f>
        <v>0</v>
      </c>
      <c r="AX229" s="219" t="str">
        <f>IFERROR((SUM(Table1[[#This Row],[Minor Stoppages]:[Material Shortages]])/Table1[[#This Row],['# Stops]])*60,"")</f>
        <v/>
      </c>
      <c r="AY229" s="219"/>
      <c r="AZ229" s="33">
        <v>46260</v>
      </c>
    </row>
    <row r="230" spans="1:52" ht="20.149999999999999" customHeight="1" x14ac:dyDescent="0.35">
      <c r="A230" s="21">
        <v>46247</v>
      </c>
      <c r="B230" s="22" t="str">
        <f t="shared" si="4"/>
        <v>Thursday</v>
      </c>
      <c r="C230" s="23"/>
      <c r="D230" s="24" t="str" cm="1">
        <f t="array" aca="1" ref="D230" ca="1">IFERROR(INDIRECT(C230),"")</f>
        <v/>
      </c>
      <c r="E230" s="25"/>
      <c r="F230" s="26"/>
      <c r="G230" s="27" t="str">
        <f ca="1">IFERROR((Table1[[#This Row],[Plan]]/Table1[[#This Row],[Hours Used]])/(Table1[[#This Row],[SOC (TPD)]]/24),"")</f>
        <v/>
      </c>
      <c r="H230" s="27" t="str">
        <f ca="1">IFERROR((Table1[[#This Row],[Volume Delivered (T)]]/Table1[[#This Row],[Hours Used]])/(Table1[[#This Row],[SOC (TPD)]]/24),"")</f>
        <v/>
      </c>
      <c r="I230" s="28"/>
      <c r="J230" s="28"/>
      <c r="K230" s="28"/>
      <c r="L230" s="25"/>
      <c r="M230" s="29"/>
      <c r="N230" s="84"/>
      <c r="O230" s="25"/>
      <c r="P230" s="25"/>
      <c r="Q230" s="70"/>
      <c r="R230" s="71"/>
      <c r="S230" s="30">
        <f>IF(Table1[[#This Row],[SKU]]="",0,24-Table1[[#This Row],[Legal Non-Operating Time]]-Table1[[#This Row],[No Demand Time]]-Table1[[#This Row],[Force Majeure]])</f>
        <v>0</v>
      </c>
      <c r="T230" s="26"/>
      <c r="U230" s="26"/>
      <c r="V230" s="26"/>
      <c r="W230" s="26"/>
      <c r="X230" s="26"/>
      <c r="Y230" s="26"/>
      <c r="Z230" s="26"/>
      <c r="AA230" s="30">
        <f>Table1[[#This Row],[Hours Used]]-SUM(Table1[[#This Row],[Planned Maintenance]:[Start and Finish Production]])</f>
        <v>0</v>
      </c>
      <c r="AB230" s="26"/>
      <c r="AC230" s="26"/>
      <c r="AD230" s="26"/>
      <c r="AE230" s="26"/>
      <c r="AF230" s="26"/>
      <c r="AG230" s="26"/>
      <c r="AH230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230" s="24">
        <f>IFERROR(IF(Table1[[#This Row],[SKU]]="",0,Table1[[#This Row],[Quality Loss (T)]]/(Table1[[#This Row],[SOC (TPD)]]/24)),"")</f>
        <v>0</v>
      </c>
      <c r="AJ230" s="31">
        <f>IFERROR(IF(Table1[[#This Row],[SKU]]="",0,Table1[[#This Row],[Volume Delivered (T)]]/(Table1[[#This Row],[SOC (TPD)]]/24)),"")</f>
        <v>0</v>
      </c>
      <c r="AK230" s="31" t="str">
        <f>IFERROR(Table1[[#This Row],[Operating Time]]/Table1[[#This Row],[PRODUCTION HOURS]],"")</f>
        <v/>
      </c>
      <c r="AL230" s="32"/>
      <c r="AM230" s="32"/>
      <c r="AN230" s="32"/>
      <c r="AO230" s="32">
        <v>4</v>
      </c>
      <c r="AP230" s="32">
        <v>0</v>
      </c>
      <c r="AQ230" s="32"/>
      <c r="AR230" s="32" t="str">
        <f>IFERROR(SUMIFS(#REF!,#REF!,'Data Sheet'!A:A,#REF!,"Samridhi Perk Line")/SUMIFS(#REF!,#REF!,'Data Sheet'!A:A,#REF!,"Samridhi Perk Line"),"")</f>
        <v/>
      </c>
      <c r="AS230" s="32"/>
      <c r="AT230" s="32"/>
      <c r="AU230" s="211" t="str">
        <f>IFERROR(VLOOKUP(Table1[[#This Row],[Date]],'Overweight Data'!A228:G1323,6,FALSE),"")</f>
        <v/>
      </c>
      <c r="AV230" s="221">
        <f>IFERROR(
   IF(
      OR(Table1[[#This Row],[Operating Time]]=0, (Table1[[#This Row],[Operating Time]]/IF(AC230&lt;=1,AC230+1,AC230))*60=0),
      1,
      ((Table1[[#This Row],[Operating Time]])/IF(AC230&lt;=1,AC230+1,AC230))*60
   ),
"_")</f>
        <v>1</v>
      </c>
      <c r="AW230" s="221">
        <f>COUNTIFS('Downtime Data'!A:A,Table1[[#This Row],[Date]])</f>
        <v>0</v>
      </c>
      <c r="AX230" s="219" t="str">
        <f>IFERROR((SUM(Table1[[#This Row],[Minor Stoppages]:[Material Shortages]])/Table1[[#This Row],['# Stops]])*60,"")</f>
        <v/>
      </c>
      <c r="AY230" s="219"/>
      <c r="AZ230" s="33">
        <v>46260</v>
      </c>
    </row>
    <row r="231" spans="1:52" ht="20.149999999999999" customHeight="1" x14ac:dyDescent="0.35">
      <c r="A231" s="21">
        <v>46248</v>
      </c>
      <c r="B231" s="22" t="str">
        <f t="shared" si="4"/>
        <v>Friday</v>
      </c>
      <c r="C231" s="23"/>
      <c r="D231" s="24" t="str" cm="1">
        <f t="array" aca="1" ref="D231" ca="1">IFERROR(INDIRECT(C231),"")</f>
        <v/>
      </c>
      <c r="E231" s="25"/>
      <c r="F231" s="26"/>
      <c r="G231" s="27" t="str">
        <f ca="1">IFERROR((Table1[[#This Row],[Plan]]/Table1[[#This Row],[Hours Used]])/(Table1[[#This Row],[SOC (TPD)]]/24),"")</f>
        <v/>
      </c>
      <c r="H231" s="27" t="str">
        <f ca="1">IFERROR((Table1[[#This Row],[Volume Delivered (T)]]/Table1[[#This Row],[Hours Used]])/(Table1[[#This Row],[SOC (TPD)]]/24),"")</f>
        <v/>
      </c>
      <c r="I231" s="28"/>
      <c r="J231" s="28"/>
      <c r="K231" s="28"/>
      <c r="L231" s="25"/>
      <c r="M231" s="29"/>
      <c r="N231" s="84"/>
      <c r="O231" s="25"/>
      <c r="P231" s="25"/>
      <c r="Q231" s="70"/>
      <c r="R231" s="71"/>
      <c r="S231" s="30">
        <f>IF(Table1[[#This Row],[SKU]]="",0,24-Table1[[#This Row],[Legal Non-Operating Time]]-Table1[[#This Row],[No Demand Time]]-Table1[[#This Row],[Force Majeure]])</f>
        <v>0</v>
      </c>
      <c r="T231" s="26"/>
      <c r="U231" s="26"/>
      <c r="V231" s="26"/>
      <c r="W231" s="26"/>
      <c r="X231" s="26"/>
      <c r="Y231" s="26"/>
      <c r="Z231" s="26"/>
      <c r="AA231" s="30">
        <f>Table1[[#This Row],[Hours Used]]-SUM(Table1[[#This Row],[Planned Maintenance]:[Start and Finish Production]])</f>
        <v>0</v>
      </c>
      <c r="AB231" s="26"/>
      <c r="AC231" s="26"/>
      <c r="AD231" s="26"/>
      <c r="AE231" s="26"/>
      <c r="AF231" s="26"/>
      <c r="AG231" s="26"/>
      <c r="AH231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231" s="24">
        <f>IFERROR(IF(Table1[[#This Row],[SKU]]="",0,Table1[[#This Row],[Quality Loss (T)]]/(Table1[[#This Row],[SOC (TPD)]]/24)),"")</f>
        <v>0</v>
      </c>
      <c r="AJ231" s="31">
        <f>IFERROR(IF(Table1[[#This Row],[SKU]]="",0,Table1[[#This Row],[Volume Delivered (T)]]/(Table1[[#This Row],[SOC (TPD)]]/24)),"")</f>
        <v>0</v>
      </c>
      <c r="AK231" s="31" t="str">
        <f>IFERROR(Table1[[#This Row],[Operating Time]]/Table1[[#This Row],[PRODUCTION HOURS]],"")</f>
        <v/>
      </c>
      <c r="AL231" s="32"/>
      <c r="AM231" s="32"/>
      <c r="AN231" s="32"/>
      <c r="AO231" s="32">
        <v>0</v>
      </c>
      <c r="AP231" s="32">
        <v>0</v>
      </c>
      <c r="AQ231" s="32"/>
      <c r="AR231" s="32" t="str">
        <f>IFERROR(SUMIFS(#REF!,#REF!,'Data Sheet'!A:A,#REF!,"Samridhi Perk Line")/SUMIFS(#REF!,#REF!,'Data Sheet'!A:A,#REF!,"Samridhi Perk Line"),"")</f>
        <v/>
      </c>
      <c r="AS231" s="32"/>
      <c r="AT231" s="32"/>
      <c r="AU231" s="211" t="str">
        <f>IFERROR(VLOOKUP(Table1[[#This Row],[Date]],'Overweight Data'!A229:G1324,6,FALSE),"")</f>
        <v/>
      </c>
      <c r="AV231" s="221">
        <f>IFERROR(
   IF(
      OR(Table1[[#This Row],[Operating Time]]=0, (Table1[[#This Row],[Operating Time]]/IF(AC231&lt;=1,AC231+1,AC231))*60=0),
      1,
      ((Table1[[#This Row],[Operating Time]])/IF(AC231&lt;=1,AC231+1,AC231))*60
   ),
"_")</f>
        <v>1</v>
      </c>
      <c r="AW231" s="221">
        <f>COUNTIFS('Downtime Data'!A:A,Table1[[#This Row],[Date]])</f>
        <v>0</v>
      </c>
      <c r="AX231" s="219" t="str">
        <f>IFERROR((SUM(Table1[[#This Row],[Minor Stoppages]:[Material Shortages]])/Table1[[#This Row],['# Stops]])*60,"")</f>
        <v/>
      </c>
      <c r="AY231" s="219"/>
      <c r="AZ231" s="33">
        <v>46260</v>
      </c>
    </row>
    <row r="232" spans="1:52" ht="20.149999999999999" customHeight="1" x14ac:dyDescent="0.35">
      <c r="A232" s="21">
        <v>46249</v>
      </c>
      <c r="B232" s="22" t="str">
        <f t="shared" si="4"/>
        <v>Saturday</v>
      </c>
      <c r="C232" s="23"/>
      <c r="D232" s="24" t="str" cm="1">
        <f t="array" aca="1" ref="D232" ca="1">IFERROR(INDIRECT(C232),"")</f>
        <v/>
      </c>
      <c r="E232" s="25"/>
      <c r="F232" s="26"/>
      <c r="G232" s="27" t="str">
        <f ca="1">IFERROR((Table1[[#This Row],[Plan]]/Table1[[#This Row],[Hours Used]])/(Table1[[#This Row],[SOC (TPD)]]/24),"")</f>
        <v/>
      </c>
      <c r="H232" s="27" t="str">
        <f ca="1">IFERROR((Table1[[#This Row],[Volume Delivered (T)]]/Table1[[#This Row],[Hours Used]])/(Table1[[#This Row],[SOC (TPD)]]/24),"")</f>
        <v/>
      </c>
      <c r="I232" s="28"/>
      <c r="J232" s="28"/>
      <c r="K232" s="28"/>
      <c r="L232" s="25"/>
      <c r="M232" s="29"/>
      <c r="N232" s="84"/>
      <c r="O232" s="25"/>
      <c r="P232" s="25"/>
      <c r="Q232" s="70"/>
      <c r="R232" s="71"/>
      <c r="S232" s="30">
        <f>IF(Table1[[#This Row],[SKU]]="",0,24-Table1[[#This Row],[Legal Non-Operating Time]]-Table1[[#This Row],[No Demand Time]]-Table1[[#This Row],[Force Majeure]])</f>
        <v>0</v>
      </c>
      <c r="T232" s="26"/>
      <c r="U232" s="26"/>
      <c r="V232" s="26"/>
      <c r="W232" s="26"/>
      <c r="X232" s="26"/>
      <c r="Y232" s="26"/>
      <c r="Z232" s="26"/>
      <c r="AA232" s="30">
        <f>Table1[[#This Row],[Hours Used]]-SUM(Table1[[#This Row],[Planned Maintenance]:[Start and Finish Production]])</f>
        <v>0</v>
      </c>
      <c r="AB232" s="26"/>
      <c r="AC232" s="26"/>
      <c r="AD232" s="26"/>
      <c r="AE232" s="26"/>
      <c r="AF232" s="26"/>
      <c r="AG232" s="26"/>
      <c r="AH232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232" s="24">
        <f>IFERROR(IF(Table1[[#This Row],[SKU]]="",0,Table1[[#This Row],[Quality Loss (T)]]/(Table1[[#This Row],[SOC (TPD)]]/24)),"")</f>
        <v>0</v>
      </c>
      <c r="AJ232" s="31">
        <f>IFERROR(IF(Table1[[#This Row],[SKU]]="",0,Table1[[#This Row],[Volume Delivered (T)]]/(Table1[[#This Row],[SOC (TPD)]]/24)),"")</f>
        <v>0</v>
      </c>
      <c r="AK232" s="31" t="str">
        <f>IFERROR(Table1[[#This Row],[Operating Time]]/Table1[[#This Row],[PRODUCTION HOURS]],"")</f>
        <v/>
      </c>
      <c r="AL232" s="32"/>
      <c r="AM232" s="32"/>
      <c r="AN232" s="32"/>
      <c r="AO232" s="32">
        <v>0</v>
      </c>
      <c r="AP232" s="32">
        <v>0</v>
      </c>
      <c r="AQ232" s="32"/>
      <c r="AR232" s="32" t="str">
        <f>IFERROR(SUMIFS(#REF!,#REF!,'Data Sheet'!A:A,#REF!,"Samridhi Perk Line")/SUMIFS(#REF!,#REF!,'Data Sheet'!A:A,#REF!,"Samridhi Perk Line"),"")</f>
        <v/>
      </c>
      <c r="AS232" s="32"/>
      <c r="AT232" s="32"/>
      <c r="AU232" s="211" t="str">
        <f>IFERROR(VLOOKUP(Table1[[#This Row],[Date]],'Overweight Data'!A230:G1325,6,FALSE),"")</f>
        <v/>
      </c>
      <c r="AV232" s="221">
        <f>IFERROR(
   IF(
      OR(Table1[[#This Row],[Operating Time]]=0, (Table1[[#This Row],[Operating Time]]/IF(AC232&lt;=1,AC232+1,AC232))*60=0),
      1,
      ((Table1[[#This Row],[Operating Time]])/IF(AC232&lt;=1,AC232+1,AC232))*60
   ),
"_")</f>
        <v>1</v>
      </c>
      <c r="AW232" s="221">
        <f>COUNTIFS('Downtime Data'!A:A,Table1[[#This Row],[Date]])</f>
        <v>0</v>
      </c>
      <c r="AX232" s="219" t="str">
        <f>IFERROR((SUM(Table1[[#This Row],[Minor Stoppages]:[Material Shortages]])/Table1[[#This Row],['# Stops]])*60,"")</f>
        <v/>
      </c>
      <c r="AY232" s="219"/>
      <c r="AZ232" s="33">
        <v>46260</v>
      </c>
    </row>
    <row r="233" spans="1:52" ht="20.149999999999999" customHeight="1" x14ac:dyDescent="0.35">
      <c r="A233" s="21">
        <v>46250</v>
      </c>
      <c r="B233" s="22" t="str">
        <f t="shared" si="4"/>
        <v>Sunday</v>
      </c>
      <c r="C233" s="23"/>
      <c r="D233" s="24"/>
      <c r="E233" s="25"/>
      <c r="F233" s="26"/>
      <c r="G233" s="27"/>
      <c r="H233" s="27"/>
      <c r="I233" s="28"/>
      <c r="J233" s="28"/>
      <c r="K233" s="28"/>
      <c r="L233" s="25"/>
      <c r="M233" s="29"/>
      <c r="N233" s="84"/>
      <c r="O233" s="25"/>
      <c r="P233" s="25"/>
      <c r="Q233" s="70"/>
      <c r="R233" s="71"/>
      <c r="S233" s="30">
        <f>IF(Table1[[#This Row],[SKU]]="",0,24-Table1[[#This Row],[Legal Non-Operating Time]]-Table1[[#This Row],[No Demand Time]]-Table1[[#This Row],[Force Majeure]])</f>
        <v>0</v>
      </c>
      <c r="T233" s="26"/>
      <c r="U233" s="26"/>
      <c r="V233" s="26"/>
      <c r="W233" s="26"/>
      <c r="X233" s="26"/>
      <c r="Y233" s="26"/>
      <c r="Z233" s="26"/>
      <c r="AA233" s="30">
        <f>Table1[[#This Row],[Hours Used]]-SUM(Table1[[#This Row],[Planned Maintenance]:[Start and Finish Production]])</f>
        <v>0</v>
      </c>
      <c r="AB233" s="26"/>
      <c r="AC233" s="26"/>
      <c r="AD233" s="26"/>
      <c r="AE233" s="26"/>
      <c r="AF233" s="26"/>
      <c r="AG233" s="26"/>
      <c r="AH233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233" s="24">
        <f>IFERROR(IF(Table1[[#This Row],[SKU]]="",0,Table1[[#This Row],[Quality Loss (T)]]/(Table1[[#This Row],[SOC (TPD)]]/24)),"")</f>
        <v>0</v>
      </c>
      <c r="AJ233" s="31">
        <f>IFERROR(IF(Table1[[#This Row],[SKU]]="",0,Table1[[#This Row],[Volume Delivered (T)]]/(Table1[[#This Row],[SOC (TPD)]]/24)),"")</f>
        <v>0</v>
      </c>
      <c r="AK233" s="31" t="str">
        <f>IFERROR(Table1[[#This Row],[Operating Time]]/Table1[[#This Row],[PRODUCTION HOURS]],"")</f>
        <v/>
      </c>
      <c r="AL233" s="32"/>
      <c r="AM233" s="32"/>
      <c r="AN233" s="32"/>
      <c r="AO233" s="32">
        <v>0</v>
      </c>
      <c r="AP233" s="32">
        <v>0</v>
      </c>
      <c r="AQ233" s="32"/>
      <c r="AR233" s="32" t="str">
        <f>IFERROR(SUMIFS(#REF!,#REF!,'Data Sheet'!A:A,#REF!,"Samridhi Perk Line")/SUMIFS(#REF!,#REF!,'Data Sheet'!A:A,#REF!,"Samridhi Perk Line"),"")</f>
        <v/>
      </c>
      <c r="AS233" s="32"/>
      <c r="AT233" s="32"/>
      <c r="AU233" s="211" t="str">
        <f>IFERROR(VLOOKUP(Table1[[#This Row],[Date]],'Overweight Data'!A231:G1326,6,FALSE),"")</f>
        <v/>
      </c>
      <c r="AV233" s="221">
        <f>IFERROR(
   IF(
      OR(Table1[[#This Row],[Operating Time]]=0, (Table1[[#This Row],[Operating Time]]/IF(AC233&lt;=1,AC233+1,AC233))*60=0),
      1,
      ((Table1[[#This Row],[Operating Time]])/IF(AC233&lt;=1,AC233+1,AC233))*60
   ),
"_")</f>
        <v>1</v>
      </c>
      <c r="AW233" s="221">
        <f>COUNTIFS('Downtime Data'!A:A,Table1[[#This Row],[Date]])</f>
        <v>0</v>
      </c>
      <c r="AX233" s="219" t="str">
        <f>IFERROR((SUM(Table1[[#This Row],[Minor Stoppages]:[Material Shortages]])/Table1[[#This Row],['# Stops]])*60,"")</f>
        <v/>
      </c>
      <c r="AY233" s="219"/>
      <c r="AZ233" s="33">
        <v>46260</v>
      </c>
    </row>
    <row r="234" spans="1:52" ht="20.149999999999999" customHeight="1" x14ac:dyDescent="0.35">
      <c r="A234" s="21">
        <v>46251</v>
      </c>
      <c r="B234" s="22" t="str">
        <f t="shared" si="4"/>
        <v>Monday</v>
      </c>
      <c r="C234" s="23"/>
      <c r="D234" s="24" t="str" cm="1">
        <f t="array" aca="1" ref="D234" ca="1">IFERROR(INDIRECT(C234),"")</f>
        <v/>
      </c>
      <c r="E234" s="25"/>
      <c r="F234" s="26"/>
      <c r="G234" s="27" t="str">
        <f ca="1">IFERROR((Table1[[#This Row],[Plan]]/Table1[[#This Row],[Hours Used]])/(Table1[[#This Row],[SOC (TPD)]]/24),"")</f>
        <v/>
      </c>
      <c r="H234" s="27" t="str">
        <f ca="1">IFERROR((Table1[[#This Row],[Volume Delivered (T)]]/Table1[[#This Row],[Hours Used]])/(Table1[[#This Row],[SOC (TPD)]]/24),"")</f>
        <v/>
      </c>
      <c r="I234" s="28"/>
      <c r="J234" s="28"/>
      <c r="K234" s="28"/>
      <c r="L234" s="25"/>
      <c r="M234" s="29"/>
      <c r="N234" s="84"/>
      <c r="O234" s="25"/>
      <c r="P234" s="25"/>
      <c r="Q234" s="70"/>
      <c r="R234" s="71"/>
      <c r="S234" s="30">
        <f>IF(Table1[[#This Row],[SKU]]="",0,24-Table1[[#This Row],[Legal Non-Operating Time]]-Table1[[#This Row],[No Demand Time]]-Table1[[#This Row],[Force Majeure]])</f>
        <v>0</v>
      </c>
      <c r="T234" s="26"/>
      <c r="U234" s="26"/>
      <c r="V234" s="26"/>
      <c r="W234" s="26"/>
      <c r="X234" s="26"/>
      <c r="Y234" s="26"/>
      <c r="Z234" s="26"/>
      <c r="AA234" s="30">
        <f>Table1[[#This Row],[Hours Used]]-SUM(Table1[[#This Row],[Planned Maintenance]:[Start and Finish Production]])</f>
        <v>0</v>
      </c>
      <c r="AB234" s="26"/>
      <c r="AC234" s="26"/>
      <c r="AD234" s="26"/>
      <c r="AE234" s="26"/>
      <c r="AF234" s="26"/>
      <c r="AG234" s="26"/>
      <c r="AH234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234" s="24">
        <f>IFERROR(IF(Table1[[#This Row],[SKU]]="",0,Table1[[#This Row],[Quality Loss (T)]]/(Table1[[#This Row],[SOC (TPD)]]/24)),"")</f>
        <v>0</v>
      </c>
      <c r="AJ234" s="31">
        <f>IFERROR(IF(Table1[[#This Row],[SKU]]="",0,Table1[[#This Row],[Volume Delivered (T)]]/(Table1[[#This Row],[SOC (TPD)]]/24)),"")</f>
        <v>0</v>
      </c>
      <c r="AK234" s="31" t="str">
        <f>IFERROR(Table1[[#This Row],[Operating Time]]/Table1[[#This Row],[PRODUCTION HOURS]],"")</f>
        <v/>
      </c>
      <c r="AL234" s="32"/>
      <c r="AM234" s="32"/>
      <c r="AN234" s="32"/>
      <c r="AO234" s="32">
        <v>3</v>
      </c>
      <c r="AP234" s="32">
        <v>0</v>
      </c>
      <c r="AQ234" s="32"/>
      <c r="AR234" s="32" t="str">
        <f>IFERROR(SUMIFS(#REF!,#REF!,'Data Sheet'!A:A,#REF!,"Samridhi Perk Line")/SUMIFS(#REF!,#REF!,'Data Sheet'!A:A,#REF!,"Samridhi Perk Line"),"")</f>
        <v/>
      </c>
      <c r="AS234" s="32"/>
      <c r="AT234" s="32"/>
      <c r="AU234" s="211" t="str">
        <f>IFERROR(VLOOKUP(Table1[[#This Row],[Date]],'Overweight Data'!A232:G1327,6,FALSE),"")</f>
        <v/>
      </c>
      <c r="AV234" s="221">
        <f>IFERROR(
   IF(
      OR(Table1[[#This Row],[Operating Time]]=0, (Table1[[#This Row],[Operating Time]]/IF(AC234&lt;=1,AC234+1,AC234))*60=0),
      1,
      ((Table1[[#This Row],[Operating Time]])/IF(AC234&lt;=1,AC234+1,AC234))*60
   ),
"_")</f>
        <v>1</v>
      </c>
      <c r="AW234" s="221">
        <f>COUNTIFS('Downtime Data'!A:A,Table1[[#This Row],[Date]])</f>
        <v>0</v>
      </c>
      <c r="AX234" s="219" t="str">
        <f>IFERROR((SUM(Table1[[#This Row],[Minor Stoppages]:[Material Shortages]])/Table1[[#This Row],['# Stops]])*60,"")</f>
        <v/>
      </c>
      <c r="AY234" s="219"/>
      <c r="AZ234" s="33">
        <v>46260</v>
      </c>
    </row>
    <row r="235" spans="1:52" ht="20.149999999999999" customHeight="1" x14ac:dyDescent="0.35">
      <c r="A235" s="21">
        <v>46252</v>
      </c>
      <c r="B235" s="22" t="str">
        <f t="shared" si="4"/>
        <v>Tuesday</v>
      </c>
      <c r="C235" s="23"/>
      <c r="D235" s="24" t="str" cm="1">
        <f t="array" aca="1" ref="D235" ca="1">IFERROR(INDIRECT(C235),"")</f>
        <v/>
      </c>
      <c r="E235" s="25"/>
      <c r="F235" s="26"/>
      <c r="G235" s="27" t="str">
        <f ca="1">IFERROR((Table1[[#This Row],[Plan]]/Table1[[#This Row],[Hours Used]])/(Table1[[#This Row],[SOC (TPD)]]/24),"")</f>
        <v/>
      </c>
      <c r="H235" s="27" t="str">
        <f ca="1">IFERROR((Table1[[#This Row],[Volume Delivered (T)]]/Table1[[#This Row],[Hours Used]])/(Table1[[#This Row],[SOC (TPD)]]/24),"")</f>
        <v/>
      </c>
      <c r="I235" s="28"/>
      <c r="J235" s="28"/>
      <c r="K235" s="28"/>
      <c r="L235" s="25"/>
      <c r="M235" s="29"/>
      <c r="N235" s="84"/>
      <c r="O235" s="25"/>
      <c r="P235" s="25"/>
      <c r="Q235" s="70"/>
      <c r="R235" s="71"/>
      <c r="S235" s="30">
        <f>IF(Table1[[#This Row],[SKU]]="",0,24-Table1[[#This Row],[Legal Non-Operating Time]]-Table1[[#This Row],[No Demand Time]]-Table1[[#This Row],[Force Majeure]])</f>
        <v>0</v>
      </c>
      <c r="T235" s="26"/>
      <c r="U235" s="26"/>
      <c r="V235" s="26"/>
      <c r="W235" s="26"/>
      <c r="X235" s="26"/>
      <c r="Y235" s="26"/>
      <c r="Z235" s="26"/>
      <c r="AA235" s="30">
        <f>Table1[[#This Row],[Hours Used]]-SUM(Table1[[#This Row],[Planned Maintenance]:[Start and Finish Production]])</f>
        <v>0</v>
      </c>
      <c r="AB235" s="26"/>
      <c r="AC235" s="26"/>
      <c r="AD235" s="26"/>
      <c r="AE235" s="26"/>
      <c r="AF235" s="26"/>
      <c r="AG235" s="26"/>
      <c r="AH235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235" s="24">
        <f>IFERROR(IF(Table1[[#This Row],[SKU]]="",0,Table1[[#This Row],[Quality Loss (T)]]/(Table1[[#This Row],[SOC (TPD)]]/24)),"")</f>
        <v>0</v>
      </c>
      <c r="AJ235" s="31">
        <f>IFERROR(IF(Table1[[#This Row],[SKU]]="",0,Table1[[#This Row],[Volume Delivered (T)]]/(Table1[[#This Row],[SOC (TPD)]]/24)),"")</f>
        <v>0</v>
      </c>
      <c r="AK235" s="31" t="str">
        <f>IFERROR(Table1[[#This Row],[Operating Time]]/Table1[[#This Row],[PRODUCTION HOURS]],"")</f>
        <v/>
      </c>
      <c r="AL235" s="32"/>
      <c r="AM235" s="32"/>
      <c r="AN235" s="32"/>
      <c r="AO235" s="32">
        <v>0</v>
      </c>
      <c r="AP235" s="32">
        <v>0</v>
      </c>
      <c r="AQ235" s="32"/>
      <c r="AR235" s="32" t="str">
        <f>IFERROR(SUMIFS(#REF!,#REF!,'Data Sheet'!A:A,#REF!,"Samridhi Perk Line")/SUMIFS(#REF!,#REF!,'Data Sheet'!A:A,#REF!,"Samridhi Perk Line"),"")</f>
        <v/>
      </c>
      <c r="AS235" s="32"/>
      <c r="AT235" s="32"/>
      <c r="AU235" s="211" t="str">
        <f>IFERROR(VLOOKUP(Table1[[#This Row],[Date]],'Overweight Data'!A233:G1328,6,FALSE),"")</f>
        <v/>
      </c>
      <c r="AV235" s="221">
        <f>IFERROR(
   IF(
      OR(Table1[[#This Row],[Operating Time]]=0, (Table1[[#This Row],[Operating Time]]/IF(AC235&lt;=1,AC235+1,AC235))*60=0),
      1,
      ((Table1[[#This Row],[Operating Time]])/IF(AC235&lt;=1,AC235+1,AC235))*60
   ),
"_")</f>
        <v>1</v>
      </c>
      <c r="AW235" s="221">
        <f>COUNTIFS('Downtime Data'!A:A,Table1[[#This Row],[Date]])</f>
        <v>0</v>
      </c>
      <c r="AX235" s="219" t="str">
        <f>IFERROR((SUM(Table1[[#This Row],[Minor Stoppages]:[Material Shortages]])/Table1[[#This Row],['# Stops]])*60,"")</f>
        <v/>
      </c>
      <c r="AY235" s="219"/>
      <c r="AZ235" s="33">
        <v>46260</v>
      </c>
    </row>
    <row r="236" spans="1:52" ht="20.149999999999999" customHeight="1" x14ac:dyDescent="0.35">
      <c r="A236" s="21">
        <v>46253</v>
      </c>
      <c r="B236" s="22" t="str">
        <f t="shared" si="4"/>
        <v>Wednesday</v>
      </c>
      <c r="C236" s="23"/>
      <c r="D236" s="24" t="str" cm="1">
        <f t="array" aca="1" ref="D236" ca="1">IFERROR(INDIRECT(C236),"")</f>
        <v/>
      </c>
      <c r="E236" s="25"/>
      <c r="F236" s="26"/>
      <c r="G236" s="27" t="str">
        <f ca="1">IFERROR((Table1[[#This Row],[Plan]]/Table1[[#This Row],[Hours Used]])/(Table1[[#This Row],[SOC (TPD)]]/24),"")</f>
        <v/>
      </c>
      <c r="H236" s="27" t="str">
        <f ca="1">IFERROR((Table1[[#This Row],[Volume Delivered (T)]]/Table1[[#This Row],[Hours Used]])/(Table1[[#This Row],[SOC (TPD)]]/24),"")</f>
        <v/>
      </c>
      <c r="I236" s="28"/>
      <c r="J236" s="28"/>
      <c r="K236" s="28"/>
      <c r="L236" s="25"/>
      <c r="M236" s="29"/>
      <c r="N236" s="84"/>
      <c r="O236" s="25"/>
      <c r="P236" s="25"/>
      <c r="Q236" s="70"/>
      <c r="R236" s="71"/>
      <c r="S236" s="30">
        <f>IF(Table1[[#This Row],[SKU]]="",0,24-Table1[[#This Row],[Legal Non-Operating Time]]-Table1[[#This Row],[No Demand Time]]-Table1[[#This Row],[Force Majeure]])</f>
        <v>0</v>
      </c>
      <c r="T236" s="26"/>
      <c r="U236" s="26"/>
      <c r="V236" s="26"/>
      <c r="W236" s="26"/>
      <c r="X236" s="26"/>
      <c r="Y236" s="26"/>
      <c r="Z236" s="26"/>
      <c r="AA236" s="30">
        <f>Table1[[#This Row],[Hours Used]]-SUM(Table1[[#This Row],[Planned Maintenance]:[Start and Finish Production]])</f>
        <v>0</v>
      </c>
      <c r="AB236" s="26"/>
      <c r="AC236" s="26"/>
      <c r="AD236" s="26"/>
      <c r="AE236" s="26"/>
      <c r="AF236" s="26"/>
      <c r="AG236" s="26"/>
      <c r="AH236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236" s="24">
        <f>IFERROR(IF(Table1[[#This Row],[SKU]]="",0,Table1[[#This Row],[Quality Loss (T)]]/(Table1[[#This Row],[SOC (TPD)]]/24)),"")</f>
        <v>0</v>
      </c>
      <c r="AJ236" s="31">
        <f>IFERROR(IF(Table1[[#This Row],[SKU]]="",0,Table1[[#This Row],[Volume Delivered (T)]]/(Table1[[#This Row],[SOC (TPD)]]/24)),"")</f>
        <v>0</v>
      </c>
      <c r="AK236" s="31" t="str">
        <f>IFERROR(Table1[[#This Row],[Operating Time]]/Table1[[#This Row],[PRODUCTION HOURS]],"")</f>
        <v/>
      </c>
      <c r="AL236" s="32"/>
      <c r="AM236" s="32"/>
      <c r="AN236" s="32"/>
      <c r="AO236" s="32">
        <v>0</v>
      </c>
      <c r="AP236" s="32">
        <v>0</v>
      </c>
      <c r="AQ236" s="32"/>
      <c r="AR236" s="32" t="str">
        <f>IFERROR(SUMIFS(#REF!,#REF!,'Data Sheet'!A:A,#REF!,"Samridhi Perk Line")/SUMIFS(#REF!,#REF!,'Data Sheet'!A:A,#REF!,"Samridhi Perk Line"),"")</f>
        <v/>
      </c>
      <c r="AS236" s="32"/>
      <c r="AT236" s="32"/>
      <c r="AU236" s="211" t="str">
        <f>IFERROR(VLOOKUP(Table1[[#This Row],[Date]],'Overweight Data'!A234:G1329,6,FALSE),"")</f>
        <v/>
      </c>
      <c r="AV236" s="221">
        <f>IFERROR(
   IF(
      OR(Table1[[#This Row],[Operating Time]]=0, (Table1[[#This Row],[Operating Time]]/IF(AC236&lt;=1,AC236+1,AC236))*60=0),
      1,
      ((Table1[[#This Row],[Operating Time]])/IF(AC236&lt;=1,AC236+1,AC236))*60
   ),
"_")</f>
        <v>1</v>
      </c>
      <c r="AW236" s="221">
        <f>COUNTIFS('Downtime Data'!A:A,Table1[[#This Row],[Date]])</f>
        <v>0</v>
      </c>
      <c r="AX236" s="219" t="str">
        <f>IFERROR((SUM(Table1[[#This Row],[Minor Stoppages]:[Material Shortages]])/Table1[[#This Row],['# Stops]])*60,"")</f>
        <v/>
      </c>
      <c r="AY236" s="219"/>
      <c r="AZ236" s="33">
        <v>46260</v>
      </c>
    </row>
    <row r="237" spans="1:52" ht="20.149999999999999" customHeight="1" x14ac:dyDescent="0.35">
      <c r="A237" s="21">
        <v>46254</v>
      </c>
      <c r="B237" s="22" t="str">
        <f t="shared" si="4"/>
        <v>Thursday</v>
      </c>
      <c r="C237" s="23"/>
      <c r="D237" s="24" t="str" cm="1">
        <f t="array" aca="1" ref="D237" ca="1">IFERROR(INDIRECT(C237),"")</f>
        <v/>
      </c>
      <c r="E237" s="25"/>
      <c r="F237" s="26"/>
      <c r="G237" s="27" t="str">
        <f ca="1">IFERROR((Table1[[#This Row],[Plan]]/Table1[[#This Row],[Hours Used]])/(Table1[[#This Row],[SOC (TPD)]]/24),"")</f>
        <v/>
      </c>
      <c r="H237" s="27" t="str">
        <f ca="1">IFERROR((Table1[[#This Row],[Volume Delivered (T)]]/Table1[[#This Row],[Hours Used]])/(Table1[[#This Row],[SOC (TPD)]]/24),"")</f>
        <v/>
      </c>
      <c r="I237" s="28"/>
      <c r="J237" s="28"/>
      <c r="K237" s="28"/>
      <c r="L237" s="25"/>
      <c r="M237" s="29"/>
      <c r="N237" s="84"/>
      <c r="O237" s="25"/>
      <c r="P237" s="25"/>
      <c r="Q237" s="70"/>
      <c r="R237" s="71"/>
      <c r="S237" s="30">
        <f>IF(Table1[[#This Row],[SKU]]="",0,24-Table1[[#This Row],[Legal Non-Operating Time]]-Table1[[#This Row],[No Demand Time]]-Table1[[#This Row],[Force Majeure]])</f>
        <v>0</v>
      </c>
      <c r="T237" s="26"/>
      <c r="U237" s="26"/>
      <c r="V237" s="26"/>
      <c r="W237" s="26"/>
      <c r="X237" s="26"/>
      <c r="Y237" s="26"/>
      <c r="Z237" s="26"/>
      <c r="AA237" s="30">
        <f>Table1[[#This Row],[Hours Used]]-SUM(Table1[[#This Row],[Planned Maintenance]:[Start and Finish Production]])</f>
        <v>0</v>
      </c>
      <c r="AB237" s="26"/>
      <c r="AC237" s="26"/>
      <c r="AD237" s="26"/>
      <c r="AE237" s="26"/>
      <c r="AF237" s="26"/>
      <c r="AG237" s="26"/>
      <c r="AH237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237" s="24">
        <f>IFERROR(IF(Table1[[#This Row],[SKU]]="",0,Table1[[#This Row],[Quality Loss (T)]]/(Table1[[#This Row],[SOC (TPD)]]/24)),"")</f>
        <v>0</v>
      </c>
      <c r="AJ237" s="31">
        <f>IFERROR(IF(Table1[[#This Row],[SKU]]="",0,Table1[[#This Row],[Volume Delivered (T)]]/(Table1[[#This Row],[SOC (TPD)]]/24)),"")</f>
        <v>0</v>
      </c>
      <c r="AK237" s="31" t="str">
        <f>IFERROR(Table1[[#This Row],[Operating Time]]/Table1[[#This Row],[PRODUCTION HOURS]],"")</f>
        <v/>
      </c>
      <c r="AL237" s="32"/>
      <c r="AM237" s="32"/>
      <c r="AN237" s="32"/>
      <c r="AO237" s="32">
        <v>2</v>
      </c>
      <c r="AP237" s="32">
        <v>0</v>
      </c>
      <c r="AQ237" s="32"/>
      <c r="AR237" s="32" t="str">
        <f>IFERROR(SUMIFS(#REF!,#REF!,'Data Sheet'!A:A,#REF!,"Samridhi Perk Line")/SUMIFS(#REF!,#REF!,'Data Sheet'!A:A,#REF!,"Samridhi Perk Line"),"")</f>
        <v/>
      </c>
      <c r="AS237" s="32"/>
      <c r="AT237" s="32"/>
      <c r="AU237" s="211" t="str">
        <f>IFERROR(VLOOKUP(Table1[[#This Row],[Date]],'Overweight Data'!A235:G1330,6,FALSE),"")</f>
        <v/>
      </c>
      <c r="AV237" s="221">
        <f>IFERROR(
   IF(
      OR(Table1[[#This Row],[Operating Time]]=0, (Table1[[#This Row],[Operating Time]]/IF(AC237&lt;=1,AC237+1,AC237))*60=0),
      1,
      ((Table1[[#This Row],[Operating Time]])/IF(AC237&lt;=1,AC237+1,AC237))*60
   ),
"_")</f>
        <v>1</v>
      </c>
      <c r="AW237" s="221">
        <f>COUNTIFS('Downtime Data'!A:A,Table1[[#This Row],[Date]])</f>
        <v>0</v>
      </c>
      <c r="AX237" s="219" t="str">
        <f>IFERROR((SUM(Table1[[#This Row],[Minor Stoppages]:[Material Shortages]])/Table1[[#This Row],['# Stops]])*60,"")</f>
        <v/>
      </c>
      <c r="AY237" s="219"/>
      <c r="AZ237" s="33">
        <v>46260</v>
      </c>
    </row>
    <row r="238" spans="1:52" ht="20.149999999999999" customHeight="1" x14ac:dyDescent="0.35">
      <c r="A238" s="21">
        <v>46255</v>
      </c>
      <c r="B238" s="22" t="str">
        <f t="shared" si="4"/>
        <v>Friday</v>
      </c>
      <c r="C238" s="23"/>
      <c r="D238" s="24" t="str" cm="1">
        <f t="array" aca="1" ref="D238" ca="1">IFERROR(INDIRECT(C238),"")</f>
        <v/>
      </c>
      <c r="E238" s="25"/>
      <c r="F238" s="26"/>
      <c r="G238" s="27" t="str">
        <f ca="1">IFERROR((Table1[[#This Row],[Plan]]/Table1[[#This Row],[Hours Used]])/(Table1[[#This Row],[SOC (TPD)]]/24),"")</f>
        <v/>
      </c>
      <c r="H238" s="27"/>
      <c r="I238" s="28"/>
      <c r="J238" s="28"/>
      <c r="K238" s="28"/>
      <c r="L238" s="25"/>
      <c r="M238" s="29"/>
      <c r="N238" s="84"/>
      <c r="O238" s="25"/>
      <c r="P238" s="25"/>
      <c r="Q238" s="70"/>
      <c r="R238" s="71"/>
      <c r="S238" s="30">
        <f>IF(Table1[[#This Row],[SKU]]="",0,24-Table1[[#This Row],[Legal Non-Operating Time]]-Table1[[#This Row],[No Demand Time]]-Table1[[#This Row],[Force Majeure]])</f>
        <v>0</v>
      </c>
      <c r="T238" s="26"/>
      <c r="U238" s="26"/>
      <c r="V238" s="26"/>
      <c r="W238" s="26"/>
      <c r="X238" s="26"/>
      <c r="Y238" s="26"/>
      <c r="Z238" s="26"/>
      <c r="AA238" s="30">
        <f>Table1[[#This Row],[Hours Used]]-SUM(Table1[[#This Row],[Planned Maintenance]:[Start and Finish Production]])</f>
        <v>0</v>
      </c>
      <c r="AB238" s="26"/>
      <c r="AC238" s="26"/>
      <c r="AD238" s="26"/>
      <c r="AE238" s="26"/>
      <c r="AF238" s="26"/>
      <c r="AG238" s="26"/>
      <c r="AH238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238" s="24">
        <f>IFERROR(IF(Table1[[#This Row],[SKU]]="",0,Table1[[#This Row],[Quality Loss (T)]]/(Table1[[#This Row],[SOC (TPD)]]/24)),"")</f>
        <v>0</v>
      </c>
      <c r="AJ238" s="31">
        <f>IFERROR(IF(Table1[[#This Row],[SKU]]="",0,Table1[[#This Row],[Volume Delivered (T)]]/(Table1[[#This Row],[SOC (TPD)]]/24)),"")</f>
        <v>0</v>
      </c>
      <c r="AK238" s="31" t="str">
        <f>IFERROR(Table1[[#This Row],[Operating Time]]/Table1[[#This Row],[PRODUCTION HOURS]],"")</f>
        <v/>
      </c>
      <c r="AL238" s="32"/>
      <c r="AM238" s="32" t="s">
        <v>107</v>
      </c>
      <c r="AN238" s="32" t="s">
        <v>107</v>
      </c>
      <c r="AO238" s="32">
        <v>0</v>
      </c>
      <c r="AP238" s="32">
        <v>0</v>
      </c>
      <c r="AQ238" s="32"/>
      <c r="AR238" s="32" t="str">
        <f>IFERROR(SUMIFS(#REF!,#REF!,'Data Sheet'!A:A,#REF!,"Samridhi Perk Line")/SUMIFS(#REF!,#REF!,'Data Sheet'!A:A,#REF!,"Samridhi Perk Line"),"")</f>
        <v/>
      </c>
      <c r="AS238" s="32"/>
      <c r="AT238" s="32"/>
      <c r="AU238" s="211" t="str">
        <f>IFERROR(VLOOKUP(Table1[[#This Row],[Date]],'Overweight Data'!A236:G1331,6,FALSE),"")</f>
        <v/>
      </c>
      <c r="AV238" s="221">
        <f>IFERROR(
   IF(
      OR(Table1[[#This Row],[Operating Time]]=0, (Table1[[#This Row],[Operating Time]]/IF(AC238&lt;=1,AC238+1,AC238))*60=0),
      1,
      ((Table1[[#This Row],[Operating Time]])/IF(AC238&lt;=1,AC238+1,AC238))*60
   ),
"_")</f>
        <v>1</v>
      </c>
      <c r="AW238" s="221">
        <f>COUNTIFS('Downtime Data'!A:A,Table1[[#This Row],[Date]])</f>
        <v>0</v>
      </c>
      <c r="AX238" s="219" t="str">
        <f>IFERROR((SUM(Table1[[#This Row],[Minor Stoppages]:[Material Shortages]])/Table1[[#This Row],['# Stops]])*60,"")</f>
        <v/>
      </c>
      <c r="AY238" s="219"/>
      <c r="AZ238" s="33">
        <v>46260</v>
      </c>
    </row>
    <row r="239" spans="1:52" ht="20.149999999999999" customHeight="1" x14ac:dyDescent="0.35">
      <c r="A239" s="21">
        <v>46256</v>
      </c>
      <c r="B239" s="22" t="str">
        <f t="shared" si="4"/>
        <v>Saturday</v>
      </c>
      <c r="C239" s="23" t="s">
        <v>108</v>
      </c>
      <c r="D239" s="24" cm="1">
        <f t="array" aca="1" ref="D239" ca="1">IFERROR(INDIRECT(C239),"")</f>
        <v>34.200000000000003</v>
      </c>
      <c r="E239" s="25"/>
      <c r="F239" s="26">
        <v>0</v>
      </c>
      <c r="G239" s="27">
        <f ca="1">IFERROR((Table1[[#This Row],[Plan]]/Table1[[#This Row],[Hours Used]])/(Table1[[#This Row],[SOC (TPD)]]/24),"")</f>
        <v>0</v>
      </c>
      <c r="H239" s="27">
        <v>0</v>
      </c>
      <c r="I239" s="28"/>
      <c r="J239" s="28"/>
      <c r="K239" s="28"/>
      <c r="L239" s="25"/>
      <c r="M239" s="29"/>
      <c r="N239" s="84"/>
      <c r="O239" s="25"/>
      <c r="P239" s="25"/>
      <c r="Q239" s="70"/>
      <c r="R239" s="71"/>
      <c r="S239" s="30">
        <f>IF(Table1[[#This Row],[SKU]]="",0,24-Table1[[#This Row],[Legal Non-Operating Time]]-Table1[[#This Row],[No Demand Time]]-Table1[[#This Row],[Force Majeure]])</f>
        <v>24</v>
      </c>
      <c r="T239" s="26"/>
      <c r="U239" s="26"/>
      <c r="V239" s="26"/>
      <c r="W239" s="26"/>
      <c r="X239" s="26"/>
      <c r="Y239" s="26"/>
      <c r="Z239" s="26"/>
      <c r="AA239" s="30">
        <f>Table1[[#This Row],[Hours Used]]-SUM(Table1[[#This Row],[Planned Maintenance]:[Start and Finish Production]])</f>
        <v>24</v>
      </c>
      <c r="AB239" s="26"/>
      <c r="AC239" s="26"/>
      <c r="AD239" s="26"/>
      <c r="AE239" s="26"/>
      <c r="AF239" s="26"/>
      <c r="AG239" s="26"/>
      <c r="AH239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24</v>
      </c>
      <c r="AI239" s="24">
        <f ca="1">IFERROR(IF(Table1[[#This Row],[SKU]]="",0,Table1[[#This Row],[Quality Loss (T)]]/(Table1[[#This Row],[SOC (TPD)]]/24)),"")</f>
        <v>0</v>
      </c>
      <c r="AJ239" s="31">
        <f ca="1">IFERROR(IF(Table1[[#This Row],[SKU]]="",0,Table1[[#This Row],[Volume Delivered (T)]]/(Table1[[#This Row],[SOC (TPD)]]/24)),"")</f>
        <v>0</v>
      </c>
      <c r="AK239" s="31">
        <f ca="1">IFERROR(Table1[[#This Row],[Operating Time]]/Table1[[#This Row],[PRODUCTION HOURS]],"")</f>
        <v>0</v>
      </c>
      <c r="AL239" s="32"/>
      <c r="AM239" s="32" t="s">
        <v>107</v>
      </c>
      <c r="AN239" s="32" t="s">
        <v>107</v>
      </c>
      <c r="AO239" s="32">
        <v>4</v>
      </c>
      <c r="AP239" s="32">
        <v>0</v>
      </c>
      <c r="AQ239" s="32"/>
      <c r="AR239" s="32" t="str">
        <f>IFERROR(SUMIFS(#REF!,#REF!,'Data Sheet'!A:A,#REF!,"Samridhi Perk Line")/SUMIFS(#REF!,#REF!,'Data Sheet'!A:A,#REF!,"Samridhi Perk Line"),"")</f>
        <v/>
      </c>
      <c r="AS239" s="32"/>
      <c r="AT239" s="32"/>
      <c r="AU239" s="211" t="str">
        <f>IFERROR(VLOOKUP(Table1[[#This Row],[Date]],'Overweight Data'!A237:G1332,6,FALSE),"")</f>
        <v/>
      </c>
      <c r="AV239" s="221">
        <f ca="1">IFERROR(
   IF(
      OR(Table1[[#This Row],[Operating Time]]=0, (Table1[[#This Row],[Operating Time]]/IF(AC239&lt;=1,AC239+1,AC239))*60=0),
      1,
      ((Table1[[#This Row],[Operating Time]])/IF(AC239&lt;=1,AC239+1,AC239))*60
   ),
"_")</f>
        <v>1</v>
      </c>
      <c r="AW239" s="221">
        <f>COUNTIFS('Downtime Data'!A:A,Table1[[#This Row],[Date]])</f>
        <v>0</v>
      </c>
      <c r="AX239" s="219" t="str">
        <f>IFERROR((SUM(Table1[[#This Row],[Minor Stoppages]:[Material Shortages]])/Table1[[#This Row],['# Stops]])*60,"")</f>
        <v/>
      </c>
      <c r="AY239" s="219"/>
      <c r="AZ239" s="33">
        <v>46260</v>
      </c>
    </row>
    <row r="240" spans="1:52" ht="20.149999999999999" customHeight="1" x14ac:dyDescent="0.35">
      <c r="A240" s="21">
        <v>46257</v>
      </c>
      <c r="B240" s="22" t="str">
        <f t="shared" si="4"/>
        <v>Sunday</v>
      </c>
      <c r="C240" s="23" t="s">
        <v>108</v>
      </c>
      <c r="D240" s="24" cm="1">
        <f t="array" aca="1" ref="D240" ca="1">IFERROR(INDIRECT(C240),"")</f>
        <v>34.200000000000003</v>
      </c>
      <c r="E240" s="25"/>
      <c r="F240" s="26">
        <v>20.260000000000002</v>
      </c>
      <c r="G240" s="27">
        <f ca="1">IFERROR((Table1[[#This Row],[Plan]]/Table1[[#This Row],[Hours Used]])/(Table1[[#This Row],[SOC (TPD)]]/24),"")</f>
        <v>0</v>
      </c>
      <c r="H240" s="27">
        <f ca="1">IFERROR((Table1[[#This Row],[Volume Delivered (T)]]/Table1[[#This Row],[Hours Used]])/(Table1[[#This Row],[SOC (TPD)]]/24),"")</f>
        <v>0.59239766081871348</v>
      </c>
      <c r="I240" s="28"/>
      <c r="J240" s="28"/>
      <c r="K240" s="28"/>
      <c r="L240" s="25"/>
      <c r="M240" s="29"/>
      <c r="N240" s="84"/>
      <c r="O240" s="25"/>
      <c r="P240" s="25"/>
      <c r="Q240" s="70"/>
      <c r="R240" s="71"/>
      <c r="S240" s="30">
        <f>IF(Table1[[#This Row],[SKU]]="",0,24-Table1[[#This Row],[Legal Non-Operating Time]]-Table1[[#This Row],[No Demand Time]]-Table1[[#This Row],[Force Majeure]])</f>
        <v>24</v>
      </c>
      <c r="T240" s="26"/>
      <c r="U240" s="26"/>
      <c r="V240" s="26"/>
      <c r="W240" s="26"/>
      <c r="X240" s="26"/>
      <c r="Y240" s="26"/>
      <c r="Z240" s="26"/>
      <c r="AA240" s="30">
        <f>Table1[[#This Row],[Hours Used]]-SUM(Table1[[#This Row],[Planned Maintenance]:[Start and Finish Production]])</f>
        <v>24</v>
      </c>
      <c r="AB240" s="26"/>
      <c r="AC240" s="26"/>
      <c r="AD240" s="26"/>
      <c r="AE240" s="26"/>
      <c r="AF240" s="26"/>
      <c r="AG240" s="26"/>
      <c r="AH240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9.7824561403508774</v>
      </c>
      <c r="AI240" s="24">
        <f ca="1">IFERROR(IF(Table1[[#This Row],[SKU]]="",0,Table1[[#This Row],[Quality Loss (T)]]/(Table1[[#This Row],[SOC (TPD)]]/24)),"")</f>
        <v>0</v>
      </c>
      <c r="AJ240" s="31">
        <f ca="1">IFERROR(IF(Table1[[#This Row],[SKU]]="",0,Table1[[#This Row],[Volume Delivered (T)]]/(Table1[[#This Row],[SOC (TPD)]]/24)),"")</f>
        <v>14.217543859649123</v>
      </c>
      <c r="AK240" s="31">
        <f ca="1">IFERROR(Table1[[#This Row],[Operating Time]]/Table1[[#This Row],[PRODUCTION HOURS]],"")</f>
        <v>0.59239766081871348</v>
      </c>
      <c r="AL240" s="32"/>
      <c r="AM240" s="32" t="s">
        <v>107</v>
      </c>
      <c r="AN240" s="32" t="s">
        <v>107</v>
      </c>
      <c r="AO240" s="32">
        <v>0</v>
      </c>
      <c r="AP240" s="32">
        <v>0</v>
      </c>
      <c r="AQ240" s="32"/>
      <c r="AR240" s="32" t="str">
        <f>IFERROR(SUMIFS(#REF!,#REF!,'Data Sheet'!A:A,#REF!,"Samridhi Perk Line")/SUMIFS(#REF!,#REF!,'Data Sheet'!A:A,#REF!,"Samridhi Perk Line"),"")</f>
        <v/>
      </c>
      <c r="AS240" s="32"/>
      <c r="AT240" s="32"/>
      <c r="AU240" s="211" t="str">
        <f>IFERROR(VLOOKUP(Table1[[#This Row],[Date]],'Overweight Data'!A238:G1333,6,FALSE),"")</f>
        <v/>
      </c>
      <c r="AV240" s="221">
        <f ca="1">IFERROR(
   IF(
      OR(Table1[[#This Row],[Operating Time]]=0, (Table1[[#This Row],[Operating Time]]/IF(AC240&lt;=1,AC240+1,AC240))*60=0),
      1,
      ((Table1[[#This Row],[Operating Time]])/IF(AC240&lt;=1,AC240+1,AC240))*60
   ),
"_")</f>
        <v>853.0526315789474</v>
      </c>
      <c r="AW240" s="221">
        <f>COUNTIFS('Downtime Data'!A:A,Table1[[#This Row],[Date]])</f>
        <v>0</v>
      </c>
      <c r="AX240" s="219" t="str">
        <f>IFERROR((SUM(Table1[[#This Row],[Minor Stoppages]:[Material Shortages]])/Table1[[#This Row],['# Stops]])*60,"")</f>
        <v/>
      </c>
      <c r="AY240" s="219"/>
      <c r="AZ240" s="33">
        <v>46260</v>
      </c>
    </row>
    <row r="241" spans="1:52" ht="20.149999999999999" customHeight="1" x14ac:dyDescent="0.35">
      <c r="A241" s="21">
        <v>46258</v>
      </c>
      <c r="B241" s="22" t="str">
        <f t="shared" si="4"/>
        <v>Monday</v>
      </c>
      <c r="C241" s="23" t="s">
        <v>108</v>
      </c>
      <c r="D241" s="24" cm="1">
        <f t="array" aca="1" ref="D241" ca="1">IFERROR(INDIRECT(C241),"")</f>
        <v>34.200000000000003</v>
      </c>
      <c r="E241" s="25"/>
      <c r="F241" s="26">
        <v>23.83</v>
      </c>
      <c r="G241" s="27">
        <f ca="1">IFERROR((Table1[[#This Row],[Plan]]/Table1[[#This Row],[Hours Used]])/(Table1[[#This Row],[SOC (TPD)]]/24),"")</f>
        <v>0</v>
      </c>
      <c r="H241" s="27">
        <f ca="1">IFERROR((Table1[[#This Row],[Volume Delivered (T)]]/Table1[[#This Row],[Hours Used]])/(Table1[[#This Row],[SOC (TPD)]]/24),"")</f>
        <v>0.69678362573099406</v>
      </c>
      <c r="I241" s="28"/>
      <c r="J241" s="28"/>
      <c r="K241" s="28"/>
      <c r="L241" s="25"/>
      <c r="M241" s="29"/>
      <c r="N241" s="84"/>
      <c r="O241" s="25"/>
      <c r="P241" s="25"/>
      <c r="Q241" s="70"/>
      <c r="R241" s="71"/>
      <c r="S241" s="30">
        <f>IF(Table1[[#This Row],[SKU]]="",0,24-Table1[[#This Row],[Legal Non-Operating Time]]-Table1[[#This Row],[No Demand Time]]-Table1[[#This Row],[Force Majeure]])</f>
        <v>24</v>
      </c>
      <c r="T241" s="26"/>
      <c r="U241" s="26"/>
      <c r="V241" s="26"/>
      <c r="W241" s="26"/>
      <c r="X241" s="26"/>
      <c r="Y241" s="26"/>
      <c r="Z241" s="26"/>
      <c r="AA241" s="30">
        <f>Table1[[#This Row],[Hours Used]]-SUM(Table1[[#This Row],[Planned Maintenance]:[Start and Finish Production]])</f>
        <v>24</v>
      </c>
      <c r="AB241" s="26"/>
      <c r="AC241" s="26"/>
      <c r="AD241" s="26"/>
      <c r="AE241" s="26"/>
      <c r="AF241" s="26"/>
      <c r="AG241" s="26"/>
      <c r="AH241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7.2771929824561425</v>
      </c>
      <c r="AI241" s="24">
        <f ca="1">IFERROR(IF(Table1[[#This Row],[SKU]]="",0,Table1[[#This Row],[Quality Loss (T)]]/(Table1[[#This Row],[SOC (TPD)]]/24)),"")</f>
        <v>0</v>
      </c>
      <c r="AJ241" s="31">
        <f ca="1">IFERROR(IF(Table1[[#This Row],[SKU]]="",0,Table1[[#This Row],[Volume Delivered (T)]]/(Table1[[#This Row],[SOC (TPD)]]/24)),"")</f>
        <v>16.722807017543857</v>
      </c>
      <c r="AK241" s="31">
        <f ca="1">IFERROR(Table1[[#This Row],[Operating Time]]/Table1[[#This Row],[PRODUCTION HOURS]],"")</f>
        <v>0.69678362573099406</v>
      </c>
      <c r="AL241" s="32"/>
      <c r="AM241" s="32" t="s">
        <v>107</v>
      </c>
      <c r="AN241" s="32" t="s">
        <v>107</v>
      </c>
      <c r="AO241" s="32">
        <v>0</v>
      </c>
      <c r="AP241" s="32">
        <v>0</v>
      </c>
      <c r="AQ241" s="32"/>
      <c r="AR241" s="32" t="str">
        <f>IFERROR(SUMIFS(#REF!,#REF!,'Data Sheet'!A:A,#REF!,"Samridhi Perk Line")/SUMIFS(#REF!,#REF!,'Data Sheet'!A:A,#REF!,"Samridhi Perk Line"),"")</f>
        <v/>
      </c>
      <c r="AS241" s="32"/>
      <c r="AT241" s="32"/>
      <c r="AU241" s="211" t="str">
        <f>IFERROR(VLOOKUP(Table1[[#This Row],[Date]],'Overweight Data'!A239:G1334,6,FALSE),"")</f>
        <v/>
      </c>
      <c r="AV241" s="221">
        <f ca="1">IFERROR(
   IF(
      OR(Table1[[#This Row],[Operating Time]]=0, (Table1[[#This Row],[Operating Time]]/IF(AC241&lt;=1,AC241+1,AC241))*60=0),
      1,
      ((Table1[[#This Row],[Operating Time]])/IF(AC241&lt;=1,AC241+1,AC241))*60
   ),
"_")</f>
        <v>1003.3684210526314</v>
      </c>
      <c r="AW241" s="221">
        <f>COUNTIFS('Downtime Data'!A:A,Table1[[#This Row],[Date]])</f>
        <v>0</v>
      </c>
      <c r="AX241" s="219" t="str">
        <f>IFERROR((SUM(Table1[[#This Row],[Minor Stoppages]:[Material Shortages]])/Table1[[#This Row],['# Stops]])*60,"")</f>
        <v/>
      </c>
      <c r="AY241" s="219"/>
      <c r="AZ241" s="33">
        <v>46260</v>
      </c>
    </row>
    <row r="242" spans="1:52" ht="20.149999999999999" customHeight="1" x14ac:dyDescent="0.35">
      <c r="A242" s="21">
        <v>46259</v>
      </c>
      <c r="B242" s="22" t="str">
        <f t="shared" si="4"/>
        <v>Tuesday</v>
      </c>
      <c r="C242" s="23" t="s">
        <v>108</v>
      </c>
      <c r="D242" s="24" cm="1">
        <f t="array" aca="1" ref="D242" ca="1">IFERROR(INDIRECT(C242),"")</f>
        <v>34.200000000000003</v>
      </c>
      <c r="E242" s="25"/>
      <c r="F242" s="26">
        <v>14.63</v>
      </c>
      <c r="G242" s="27">
        <f ca="1">IFERROR((Table1[[#This Row],[Plan]]/Table1[[#This Row],[Hours Used]])/(Table1[[#This Row],[SOC (TPD)]]/24),"")</f>
        <v>0</v>
      </c>
      <c r="H242" s="27">
        <f ca="1">IFERROR((Table1[[#This Row],[Volume Delivered (T)]]/Table1[[#This Row],[Hours Used]])/(Table1[[#This Row],[SOC (TPD)]]/24),"")</f>
        <v>0.42777777777777781</v>
      </c>
      <c r="I242" s="28"/>
      <c r="J242" s="28"/>
      <c r="K242" s="28"/>
      <c r="L242" s="25"/>
      <c r="M242" s="29"/>
      <c r="N242" s="84"/>
      <c r="O242" s="25"/>
      <c r="P242" s="25"/>
      <c r="Q242" s="70"/>
      <c r="R242" s="71"/>
      <c r="S242" s="30">
        <f>IF(Table1[[#This Row],[SKU]]="",0,24-Table1[[#This Row],[Legal Non-Operating Time]]-Table1[[#This Row],[No Demand Time]]-Table1[[#This Row],[Force Majeure]])</f>
        <v>24</v>
      </c>
      <c r="T242" s="26"/>
      <c r="U242" s="26"/>
      <c r="V242" s="26"/>
      <c r="W242" s="26"/>
      <c r="X242" s="26"/>
      <c r="Y242" s="26"/>
      <c r="Z242" s="26"/>
      <c r="AA242" s="30">
        <f>Table1[[#This Row],[Hours Used]]-SUM(Table1[[#This Row],[Planned Maintenance]:[Start and Finish Production]])</f>
        <v>24</v>
      </c>
      <c r="AB242" s="26"/>
      <c r="AC242" s="26"/>
      <c r="AD242" s="26"/>
      <c r="AE242" s="26"/>
      <c r="AF242" s="26"/>
      <c r="AG242" s="26"/>
      <c r="AH242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13.733333333333333</v>
      </c>
      <c r="AI242" s="24">
        <f ca="1">IFERROR(IF(Table1[[#This Row],[SKU]]="",0,Table1[[#This Row],[Quality Loss (T)]]/(Table1[[#This Row],[SOC (TPD)]]/24)),"")</f>
        <v>0</v>
      </c>
      <c r="AJ242" s="31">
        <f ca="1">IFERROR(IF(Table1[[#This Row],[SKU]]="",0,Table1[[#This Row],[Volume Delivered (T)]]/(Table1[[#This Row],[SOC (TPD)]]/24)),"")</f>
        <v>10.266666666666667</v>
      </c>
      <c r="AK242" s="31">
        <f ca="1">IFERROR(Table1[[#This Row],[Operating Time]]/Table1[[#This Row],[PRODUCTION HOURS]],"")</f>
        <v>0.42777777777777781</v>
      </c>
      <c r="AL242" s="32"/>
      <c r="AM242" s="32" t="s">
        <v>107</v>
      </c>
      <c r="AN242" s="32" t="s">
        <v>107</v>
      </c>
      <c r="AO242" s="32">
        <v>0</v>
      </c>
      <c r="AP242" s="32">
        <v>0</v>
      </c>
      <c r="AQ242" s="32"/>
      <c r="AR242" s="32" t="str">
        <f>IFERROR(SUMIFS(#REF!,#REF!,'Data Sheet'!A:A,#REF!,"Samridhi Perk Line")/SUMIFS(#REF!,#REF!,'Data Sheet'!A:A,#REF!,"Samridhi Perk Line"),"")</f>
        <v/>
      </c>
      <c r="AS242" s="32"/>
      <c r="AT242" s="32"/>
      <c r="AU242" s="211" t="str">
        <f>IFERROR(VLOOKUP(Table1[[#This Row],[Date]],'Overweight Data'!A240:G1335,6,FALSE),"")</f>
        <v/>
      </c>
      <c r="AV242" s="221">
        <f ca="1">IFERROR(
   IF(
      OR(Table1[[#This Row],[Operating Time]]=0, (Table1[[#This Row],[Operating Time]]/IF(AC242&lt;=1,AC242+1,AC242))*60=0),
      1,
      ((Table1[[#This Row],[Operating Time]])/IF(AC242&lt;=1,AC242+1,AC242))*60
   ),
"_")</f>
        <v>616</v>
      </c>
      <c r="AW242" s="221">
        <f>COUNTIFS('Downtime Data'!A:A,Table1[[#This Row],[Date]])</f>
        <v>0</v>
      </c>
      <c r="AX242" s="219" t="str">
        <f>IFERROR((SUM(Table1[[#This Row],[Minor Stoppages]:[Material Shortages]])/Table1[[#This Row],['# Stops]])*60,"")</f>
        <v/>
      </c>
      <c r="AY242" s="219"/>
      <c r="AZ242" s="33">
        <v>46260</v>
      </c>
    </row>
    <row r="243" spans="1:52" ht="20.149999999999999" customHeight="1" x14ac:dyDescent="0.35">
      <c r="A243" s="21">
        <v>46260</v>
      </c>
      <c r="B243" s="22" t="str">
        <f t="shared" si="4"/>
        <v>Wednesday</v>
      </c>
      <c r="C243" s="23" t="s">
        <v>108</v>
      </c>
      <c r="D243" s="24" cm="1">
        <f t="array" aca="1" ref="D243" ca="1">IFERROR(INDIRECT(C243),"")</f>
        <v>34.200000000000003</v>
      </c>
      <c r="E243" s="25"/>
      <c r="F243" s="26">
        <v>19.100000000000001</v>
      </c>
      <c r="G243" s="27">
        <f ca="1">IFERROR((Table1[[#This Row],[Plan]]/Table1[[#This Row],[Hours Used]])/(Table1[[#This Row],[SOC (TPD)]]/24),"")</f>
        <v>0</v>
      </c>
      <c r="H243" s="27">
        <f ca="1">IFERROR((Table1[[#This Row],[Volume Delivered (T)]]/Table1[[#This Row],[Hours Used]])/(Table1[[#This Row],[SOC (TPD)]]/24),"")</f>
        <v>0.55847953216374269</v>
      </c>
      <c r="I243" s="28"/>
      <c r="J243" s="28"/>
      <c r="K243" s="28"/>
      <c r="L243" s="25"/>
      <c r="M243" s="29"/>
      <c r="N243" s="84"/>
      <c r="O243" s="25"/>
      <c r="P243" s="25"/>
      <c r="Q243" s="70"/>
      <c r="R243" s="71"/>
      <c r="S243" s="30">
        <f>IF(Table1[[#This Row],[SKU]]="",0,24-Table1[[#This Row],[Legal Non-Operating Time]]-Table1[[#This Row],[No Demand Time]]-Table1[[#This Row],[Force Majeure]])</f>
        <v>24</v>
      </c>
      <c r="T243" s="26"/>
      <c r="U243" s="26"/>
      <c r="V243" s="26"/>
      <c r="W243" s="26"/>
      <c r="X243" s="26"/>
      <c r="Y243" s="26"/>
      <c r="Z243" s="26"/>
      <c r="AA243" s="30">
        <f>Table1[[#This Row],[Hours Used]]-SUM(Table1[[#This Row],[Planned Maintenance]:[Start and Finish Production]])</f>
        <v>24</v>
      </c>
      <c r="AB243" s="26"/>
      <c r="AC243" s="26"/>
      <c r="AD243" s="26"/>
      <c r="AE243" s="26"/>
      <c r="AF243" s="26"/>
      <c r="AG243" s="26"/>
      <c r="AH243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10.596491228070175</v>
      </c>
      <c r="AI243" s="24">
        <f ca="1">IFERROR(IF(Table1[[#This Row],[SKU]]="",0,Table1[[#This Row],[Quality Loss (T)]]/(Table1[[#This Row],[SOC (TPD)]]/24)),"")</f>
        <v>0</v>
      </c>
      <c r="AJ243" s="31">
        <f ca="1">IFERROR(IF(Table1[[#This Row],[SKU]]="",0,Table1[[#This Row],[Volume Delivered (T)]]/(Table1[[#This Row],[SOC (TPD)]]/24)),"")</f>
        <v>13.403508771929825</v>
      </c>
      <c r="AK243" s="31">
        <f ca="1">IFERROR(Table1[[#This Row],[Operating Time]]/Table1[[#This Row],[PRODUCTION HOURS]],"")</f>
        <v>0.55847953216374269</v>
      </c>
      <c r="AL243" s="32"/>
      <c r="AM243" s="32" t="s">
        <v>107</v>
      </c>
      <c r="AN243" s="32" t="s">
        <v>107</v>
      </c>
      <c r="AO243" s="32">
        <v>0</v>
      </c>
      <c r="AP243" s="32">
        <v>0</v>
      </c>
      <c r="AQ243" s="32"/>
      <c r="AR243" s="32" t="str">
        <f>IFERROR(SUMIFS(#REF!,#REF!,'Data Sheet'!A:A,#REF!,"Samridhi Perk Line")/SUMIFS(#REF!,#REF!,'Data Sheet'!A:A,#REF!,"Samridhi Perk Line"),"")</f>
        <v/>
      </c>
      <c r="AS243" s="32"/>
      <c r="AT243" s="32"/>
      <c r="AU243" s="211" t="str">
        <f>IFERROR(VLOOKUP(Table1[[#This Row],[Date]],'Overweight Data'!A241:G1336,6,FALSE),"")</f>
        <v/>
      </c>
      <c r="AV243" s="221">
        <f ca="1">IFERROR(
   IF(
      OR(Table1[[#This Row],[Operating Time]]=0, (Table1[[#This Row],[Operating Time]]/IF(AC243&lt;=1,AC243+1,AC243))*60=0),
      1,
      ((Table1[[#This Row],[Operating Time]])/IF(AC243&lt;=1,AC243+1,AC243))*60
   ),
"_")</f>
        <v>804.21052631578948</v>
      </c>
      <c r="AW243" s="221">
        <f>COUNTIFS('Downtime Data'!A:A,Table1[[#This Row],[Date]])</f>
        <v>0</v>
      </c>
      <c r="AX243" s="219" t="str">
        <f>IFERROR((SUM(Table1[[#This Row],[Minor Stoppages]:[Material Shortages]])/Table1[[#This Row],['# Stops]])*60,"")</f>
        <v/>
      </c>
      <c r="AY243" s="219"/>
      <c r="AZ243" s="33">
        <v>46260</v>
      </c>
    </row>
    <row r="244" spans="1:52" ht="20.149999999999999" customHeight="1" x14ac:dyDescent="0.35">
      <c r="A244" s="21">
        <v>46261</v>
      </c>
      <c r="B244" s="22" t="str">
        <f t="shared" si="4"/>
        <v>Thursday</v>
      </c>
      <c r="C244" s="23" t="s">
        <v>108</v>
      </c>
      <c r="D244" s="24" cm="1">
        <f t="array" aca="1" ref="D244" ca="1">IFERROR(INDIRECT(C244),"")</f>
        <v>34.200000000000003</v>
      </c>
      <c r="E244" s="25"/>
      <c r="F244" s="26">
        <v>24.6</v>
      </c>
      <c r="G244" s="27">
        <f ca="1">IFERROR((Table1[[#This Row],[Plan]]/Table1[[#This Row],[Hours Used]])/(Table1[[#This Row],[SOC (TPD)]]/24),"")</f>
        <v>0</v>
      </c>
      <c r="H244" s="27">
        <f ca="1">IFERROR((Table1[[#This Row],[Volume Delivered (T)]]/Table1[[#This Row],[Hours Used]])/(Table1[[#This Row],[SOC (TPD)]]/24),"")</f>
        <v>0.7192982456140351</v>
      </c>
      <c r="I244" s="28"/>
      <c r="J244" s="28"/>
      <c r="K244" s="28"/>
      <c r="L244" s="25"/>
      <c r="M244" s="29"/>
      <c r="N244" s="84"/>
      <c r="O244" s="25"/>
      <c r="P244" s="25"/>
      <c r="Q244" s="70"/>
      <c r="R244" s="71"/>
      <c r="S244" s="30">
        <f>IF(Table1[[#This Row],[SKU]]="",0,24-Table1[[#This Row],[Legal Non-Operating Time]]-Table1[[#This Row],[No Demand Time]]-Table1[[#This Row],[Force Majeure]])</f>
        <v>24</v>
      </c>
      <c r="T244" s="26"/>
      <c r="U244" s="26"/>
      <c r="V244" s="26"/>
      <c r="W244" s="26"/>
      <c r="X244" s="26"/>
      <c r="Y244" s="26"/>
      <c r="Z244" s="26"/>
      <c r="AA244" s="30">
        <f>Table1[[#This Row],[Hours Used]]-SUM(Table1[[#This Row],[Planned Maintenance]:[Start and Finish Production]])</f>
        <v>24</v>
      </c>
      <c r="AB244" s="26"/>
      <c r="AC244" s="26"/>
      <c r="AD244" s="26"/>
      <c r="AE244" s="26"/>
      <c r="AF244" s="26"/>
      <c r="AG244" s="26"/>
      <c r="AH244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6.7368421052631575</v>
      </c>
      <c r="AI244" s="24">
        <f ca="1">IFERROR(IF(Table1[[#This Row],[SKU]]="",0,Table1[[#This Row],[Quality Loss (T)]]/(Table1[[#This Row],[SOC (TPD)]]/24)),"")</f>
        <v>0</v>
      </c>
      <c r="AJ244" s="31">
        <f ca="1">IFERROR(IF(Table1[[#This Row],[SKU]]="",0,Table1[[#This Row],[Volume Delivered (T)]]/(Table1[[#This Row],[SOC (TPD)]]/24)),"")</f>
        <v>17.263157894736842</v>
      </c>
      <c r="AK244" s="31">
        <f ca="1">IFERROR(Table1[[#This Row],[Operating Time]]/Table1[[#This Row],[PRODUCTION HOURS]],"")</f>
        <v>0.7192982456140351</v>
      </c>
      <c r="AL244" s="32"/>
      <c r="AM244" s="32" t="s">
        <v>107</v>
      </c>
      <c r="AN244" s="32" t="s">
        <v>107</v>
      </c>
      <c r="AO244" s="32">
        <v>4</v>
      </c>
      <c r="AP244" s="32">
        <v>0</v>
      </c>
      <c r="AQ244" s="32"/>
      <c r="AR244" s="32" t="str">
        <f>IFERROR(SUMIFS(#REF!,#REF!,'Data Sheet'!A:A,#REF!,"Samridhi Perk Line")/SUMIFS(#REF!,#REF!,'Data Sheet'!A:A,#REF!,"Samridhi Perk Line"),"")</f>
        <v/>
      </c>
      <c r="AS244" s="32"/>
      <c r="AT244" s="32"/>
      <c r="AU244" s="211" t="str">
        <f>IFERROR(VLOOKUP(Table1[[#This Row],[Date]],'Overweight Data'!A242:G1337,6,FALSE),"")</f>
        <v/>
      </c>
      <c r="AV244" s="221">
        <f ca="1">IFERROR(
   IF(
      OR(Table1[[#This Row],[Operating Time]]=0, (Table1[[#This Row],[Operating Time]]/IF(AC244&lt;=1,AC244+1,AC244))*60=0),
      1,
      ((Table1[[#This Row],[Operating Time]])/IF(AC244&lt;=1,AC244+1,AC244))*60
   ),
"_")</f>
        <v>1035.7894736842106</v>
      </c>
      <c r="AW244" s="221">
        <f>COUNTIFS('Downtime Data'!A:A,Table1[[#This Row],[Date]])</f>
        <v>0</v>
      </c>
      <c r="AX244" s="219" t="str">
        <f>IFERROR((SUM(Table1[[#This Row],[Minor Stoppages]:[Material Shortages]])/Table1[[#This Row],['# Stops]])*60,"")</f>
        <v/>
      </c>
      <c r="AY244" s="219"/>
      <c r="AZ244" s="33">
        <v>46260</v>
      </c>
    </row>
    <row r="245" spans="1:52" ht="20.149999999999999" customHeight="1" x14ac:dyDescent="0.35">
      <c r="A245" s="21">
        <v>46262</v>
      </c>
      <c r="B245" s="22" t="str">
        <f t="shared" si="4"/>
        <v>Friday</v>
      </c>
      <c r="C245" s="23"/>
      <c r="D245" s="24" t="str" cm="1">
        <f t="array" aca="1" ref="D245" ca="1">IFERROR(INDIRECT(C245),"")</f>
        <v/>
      </c>
      <c r="E245" s="25"/>
      <c r="F245" s="26"/>
      <c r="G245" s="27" t="str">
        <f ca="1">IFERROR((Table1[[#This Row],[Plan]]/Table1[[#This Row],[Hours Used]])/(Table1[[#This Row],[SOC (TPD)]]/24),"")</f>
        <v/>
      </c>
      <c r="H245" s="27" t="str">
        <f ca="1">IFERROR((Table1[[#This Row],[Volume Delivered (T)]]/Table1[[#This Row],[Hours Used]])/(Table1[[#This Row],[SOC (TPD)]]/24),"")</f>
        <v/>
      </c>
      <c r="I245" s="28"/>
      <c r="J245" s="28"/>
      <c r="K245" s="28"/>
      <c r="L245" s="25"/>
      <c r="M245" s="29"/>
      <c r="N245" s="84"/>
      <c r="O245" s="25"/>
      <c r="P245" s="25"/>
      <c r="Q245" s="70"/>
      <c r="R245" s="71"/>
      <c r="S245" s="30">
        <f>IF(Table1[[#This Row],[SKU]]="",0,24-Table1[[#This Row],[Legal Non-Operating Time]]-Table1[[#This Row],[No Demand Time]]-Table1[[#This Row],[Force Majeure]])</f>
        <v>0</v>
      </c>
      <c r="T245" s="26"/>
      <c r="U245" s="26"/>
      <c r="V245" s="26"/>
      <c r="W245" s="26"/>
      <c r="X245" s="26"/>
      <c r="Y245" s="26"/>
      <c r="Z245" s="26"/>
      <c r="AA245" s="30">
        <f>Table1[[#This Row],[Hours Used]]-SUM(Table1[[#This Row],[Planned Maintenance]:[Start and Finish Production]])</f>
        <v>0</v>
      </c>
      <c r="AB245" s="26"/>
      <c r="AC245" s="26"/>
      <c r="AD245" s="26"/>
      <c r="AE245" s="26"/>
      <c r="AF245" s="26"/>
      <c r="AG245" s="26"/>
      <c r="AH245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245" s="24">
        <f>IFERROR(IF(Table1[[#This Row],[SKU]]="",0,Table1[[#This Row],[Quality Loss (T)]]/(Table1[[#This Row],[SOC (TPD)]]/24)),"")</f>
        <v>0</v>
      </c>
      <c r="AJ245" s="31">
        <f>IFERROR(IF(Table1[[#This Row],[SKU]]="",0,Table1[[#This Row],[Volume Delivered (T)]]/(Table1[[#This Row],[SOC (TPD)]]/24)),"")</f>
        <v>0</v>
      </c>
      <c r="AK245" s="31" t="str">
        <f>IFERROR(Table1[[#This Row],[Operating Time]]/Table1[[#This Row],[PRODUCTION HOURS]],"")</f>
        <v/>
      </c>
      <c r="AL245" s="32"/>
      <c r="AM245" s="32" t="s">
        <v>107</v>
      </c>
      <c r="AN245" s="32" t="s">
        <v>107</v>
      </c>
      <c r="AO245" s="32">
        <v>0</v>
      </c>
      <c r="AP245" s="32">
        <v>0</v>
      </c>
      <c r="AQ245" s="32"/>
      <c r="AR245" s="32" t="str">
        <f>IFERROR(SUMIFS(#REF!,#REF!,'Data Sheet'!A:A,#REF!,"Samridhi Perk Line")/SUMIFS(#REF!,#REF!,'Data Sheet'!A:A,#REF!,"Samridhi Perk Line"),"")</f>
        <v/>
      </c>
      <c r="AS245" s="32"/>
      <c r="AT245" s="32"/>
      <c r="AU245" s="211" t="str">
        <f>IFERROR(VLOOKUP(Table1[[#This Row],[Date]],'Overweight Data'!A243:G1338,6,FALSE),"")</f>
        <v/>
      </c>
      <c r="AV245" s="221">
        <f>IFERROR(
   IF(
      OR(Table1[[#This Row],[Operating Time]]=0, (Table1[[#This Row],[Operating Time]]/IF(AC245&lt;=1,AC245+1,AC245))*60=0),
      1,
      ((Table1[[#This Row],[Operating Time]])/IF(AC245&lt;=1,AC245+1,AC245))*60
   ),
"_")</f>
        <v>1</v>
      </c>
      <c r="AW245" s="221">
        <f>COUNTIFS('Downtime Data'!A:A,Table1[[#This Row],[Date]])</f>
        <v>0</v>
      </c>
      <c r="AX245" s="219" t="str">
        <f>IFERROR((SUM(Table1[[#This Row],[Minor Stoppages]:[Material Shortages]])/Table1[[#This Row],['# Stops]])*60,"")</f>
        <v/>
      </c>
      <c r="AY245" s="219"/>
      <c r="AZ245" s="33">
        <v>46260</v>
      </c>
    </row>
    <row r="246" spans="1:52" ht="20.149999999999999" customHeight="1" x14ac:dyDescent="0.35">
      <c r="A246" s="21">
        <v>46263</v>
      </c>
      <c r="B246" s="22" t="str">
        <f t="shared" si="4"/>
        <v>Saturday</v>
      </c>
      <c r="C246" s="23" t="s">
        <v>108</v>
      </c>
      <c r="D246" s="24" cm="1">
        <f t="array" aca="1" ref="D246" ca="1">IFERROR(INDIRECT(C246),"")</f>
        <v>34.200000000000003</v>
      </c>
      <c r="E246" s="25"/>
      <c r="F246" s="26">
        <v>4.3</v>
      </c>
      <c r="G246" s="27">
        <f ca="1">IFERROR((Table1[[#This Row],[Plan]]/Table1[[#This Row],[Hours Used]])/(Table1[[#This Row],[SOC (TPD)]]/24),"")</f>
        <v>0</v>
      </c>
      <c r="H246" s="27">
        <f ca="1">IFERROR((Table1[[#This Row],[Volume Delivered (T)]]/Table1[[#This Row],[Hours Used]])/(Table1[[#This Row],[SOC (TPD)]]/24),"")</f>
        <v>0.12573099415204678</v>
      </c>
      <c r="I246" s="28"/>
      <c r="J246" s="28"/>
      <c r="K246" s="28"/>
      <c r="L246" s="25"/>
      <c r="M246" s="29"/>
      <c r="N246" s="84"/>
      <c r="O246" s="25"/>
      <c r="P246" s="25"/>
      <c r="Q246" s="70"/>
      <c r="R246" s="71"/>
      <c r="S246" s="30">
        <f>IF(Table1[[#This Row],[SKU]]="",0,24-Table1[[#This Row],[Legal Non-Operating Time]]-Table1[[#This Row],[No Demand Time]]-Table1[[#This Row],[Force Majeure]])</f>
        <v>24</v>
      </c>
      <c r="T246" s="26"/>
      <c r="U246" s="26"/>
      <c r="V246" s="26"/>
      <c r="W246" s="26"/>
      <c r="X246" s="26"/>
      <c r="Y246" s="26"/>
      <c r="Z246" s="26"/>
      <c r="AA246" s="30">
        <f>Table1[[#This Row],[Hours Used]]-SUM(Table1[[#This Row],[Planned Maintenance]:[Start and Finish Production]])</f>
        <v>24</v>
      </c>
      <c r="AB246" s="26"/>
      <c r="AC246" s="26"/>
      <c r="AD246" s="26"/>
      <c r="AE246" s="26"/>
      <c r="AF246" s="26"/>
      <c r="AG246" s="26"/>
      <c r="AH246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20.982456140350877</v>
      </c>
      <c r="AI246" s="24">
        <f ca="1">IFERROR(IF(Table1[[#This Row],[SKU]]="",0,Table1[[#This Row],[Quality Loss (T)]]/(Table1[[#This Row],[SOC (TPD)]]/24)),"")</f>
        <v>0</v>
      </c>
      <c r="AJ246" s="31">
        <f ca="1">IFERROR(IF(Table1[[#This Row],[SKU]]="",0,Table1[[#This Row],[Volume Delivered (T)]]/(Table1[[#This Row],[SOC (TPD)]]/24)),"")</f>
        <v>3.0175438596491224</v>
      </c>
      <c r="AK246" s="31">
        <f ca="1">IFERROR(Table1[[#This Row],[Operating Time]]/Table1[[#This Row],[PRODUCTION HOURS]],"")</f>
        <v>0.12573099415204678</v>
      </c>
      <c r="AL246" s="32"/>
      <c r="AM246" s="32" t="s">
        <v>107</v>
      </c>
      <c r="AN246" s="32" t="s">
        <v>107</v>
      </c>
      <c r="AO246" s="32">
        <v>0</v>
      </c>
      <c r="AP246" s="32">
        <v>0</v>
      </c>
      <c r="AQ246" s="32"/>
      <c r="AR246" s="32" t="str">
        <f>IFERROR(SUMIFS(#REF!,#REF!,'Data Sheet'!A:A,#REF!,"Samridhi Perk Line")/SUMIFS(#REF!,#REF!,'Data Sheet'!A:A,#REF!,"Samridhi Perk Line"),"")</f>
        <v/>
      </c>
      <c r="AS246" s="32"/>
      <c r="AT246" s="32"/>
      <c r="AU246" s="211" t="str">
        <f>IFERROR(VLOOKUP(Table1[[#This Row],[Date]],'Overweight Data'!A244:G1339,6,FALSE),"")</f>
        <v/>
      </c>
      <c r="AV246" s="221">
        <f ca="1">IFERROR(
   IF(
      OR(Table1[[#This Row],[Operating Time]]=0, (Table1[[#This Row],[Operating Time]]/IF(AC246&lt;=1,AC246+1,AC246))*60=0),
      1,
      ((Table1[[#This Row],[Operating Time]])/IF(AC246&lt;=1,AC246+1,AC246))*60
   ),
"_")</f>
        <v>181.05263157894734</v>
      </c>
      <c r="AW246" s="221">
        <f>COUNTIFS('Downtime Data'!A:A,Table1[[#This Row],[Date]])</f>
        <v>0</v>
      </c>
      <c r="AX246" s="219" t="str">
        <f>IFERROR((SUM(Table1[[#This Row],[Minor Stoppages]:[Material Shortages]])/Table1[[#This Row],['# Stops]])*60,"")</f>
        <v/>
      </c>
      <c r="AY246" s="219"/>
      <c r="AZ246" s="33">
        <v>46260</v>
      </c>
    </row>
    <row r="247" spans="1:52" ht="20.149999999999999" customHeight="1" x14ac:dyDescent="0.35">
      <c r="A247" s="21">
        <v>46264</v>
      </c>
      <c r="B247" s="22" t="str">
        <f t="shared" si="4"/>
        <v>Sunday</v>
      </c>
      <c r="C247" s="23" t="s">
        <v>108</v>
      </c>
      <c r="D247" s="24" cm="1">
        <f t="array" aca="1" ref="D247" ca="1">IFERROR(INDIRECT(C247),"")</f>
        <v>34.200000000000003</v>
      </c>
      <c r="E247" s="25"/>
      <c r="F247" s="26">
        <v>20</v>
      </c>
      <c r="G247" s="27">
        <f ca="1">IFERROR((Table1[[#This Row],[Plan]]/Table1[[#This Row],[Hours Used]])/(Table1[[#This Row],[SOC (TPD)]]/24),"")</f>
        <v>0</v>
      </c>
      <c r="H247" s="27">
        <f ca="1">IFERROR((Table1[[#This Row],[Volume Delivered (T)]]/Table1[[#This Row],[Hours Used]])/(Table1[[#This Row],[SOC (TPD)]]/24),"")</f>
        <v>0.58479532163742687</v>
      </c>
      <c r="I247" s="28"/>
      <c r="J247" s="28"/>
      <c r="K247" s="28"/>
      <c r="L247" s="25"/>
      <c r="M247" s="29"/>
      <c r="N247" s="84"/>
      <c r="O247" s="25"/>
      <c r="P247" s="25"/>
      <c r="Q247" s="70"/>
      <c r="R247" s="71"/>
      <c r="S247" s="30">
        <f>IF(Table1[[#This Row],[SKU]]="",0,24-Table1[[#This Row],[Legal Non-Operating Time]]-Table1[[#This Row],[No Demand Time]]-Table1[[#This Row],[Force Majeure]])</f>
        <v>24</v>
      </c>
      <c r="T247" s="26"/>
      <c r="U247" s="26"/>
      <c r="V247" s="26"/>
      <c r="W247" s="26"/>
      <c r="X247" s="26"/>
      <c r="Y247" s="26"/>
      <c r="Z247" s="26"/>
      <c r="AA247" s="30">
        <f>Table1[[#This Row],[Hours Used]]-SUM(Table1[[#This Row],[Planned Maintenance]:[Start and Finish Production]])</f>
        <v>24</v>
      </c>
      <c r="AB247" s="26"/>
      <c r="AC247" s="26"/>
      <c r="AD247" s="26"/>
      <c r="AE247" s="26"/>
      <c r="AF247" s="26"/>
      <c r="AG247" s="26"/>
      <c r="AH247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9.9649122807017552</v>
      </c>
      <c r="AI247" s="24">
        <f ca="1">IFERROR(IF(Table1[[#This Row],[SKU]]="",0,Table1[[#This Row],[Quality Loss (T)]]/(Table1[[#This Row],[SOC (TPD)]]/24)),"")</f>
        <v>0</v>
      </c>
      <c r="AJ247" s="31">
        <f ca="1">IFERROR(IF(Table1[[#This Row],[SKU]]="",0,Table1[[#This Row],[Volume Delivered (T)]]/(Table1[[#This Row],[SOC (TPD)]]/24)),"")</f>
        <v>14.035087719298245</v>
      </c>
      <c r="AK247" s="31">
        <f ca="1">IFERROR(Table1[[#This Row],[Operating Time]]/Table1[[#This Row],[PRODUCTION HOURS]],"")</f>
        <v>0.58479532163742687</v>
      </c>
      <c r="AL247" s="32"/>
      <c r="AM247" s="32" t="s">
        <v>107</v>
      </c>
      <c r="AN247" s="32" t="s">
        <v>107</v>
      </c>
      <c r="AO247" s="32">
        <v>14</v>
      </c>
      <c r="AP247" s="32">
        <v>0</v>
      </c>
      <c r="AQ247" s="32"/>
      <c r="AR247" s="32" t="str">
        <f>IFERROR(SUMIFS(#REF!,#REF!,'Data Sheet'!A:A,#REF!,"Samridhi Perk Line")/SUMIFS(#REF!,#REF!,'Data Sheet'!A:A,#REF!,"Samridhi Perk Line"),"")</f>
        <v/>
      </c>
      <c r="AS247" s="32"/>
      <c r="AT247" s="32"/>
      <c r="AU247" s="211" t="str">
        <f>IFERROR(VLOOKUP(Table1[[#This Row],[Date]],'Overweight Data'!A245:G1340,6,FALSE),"")</f>
        <v/>
      </c>
      <c r="AV247" s="221">
        <f ca="1">IFERROR(
   IF(
      OR(Table1[[#This Row],[Operating Time]]=0, (Table1[[#This Row],[Operating Time]]/IF(AC247&lt;=1,AC247+1,AC247))*60=0),
      1,
      ((Table1[[#This Row],[Operating Time]])/IF(AC247&lt;=1,AC247+1,AC247))*60
   ),
"_")</f>
        <v>842.10526315789468</v>
      </c>
      <c r="AW247" s="221">
        <f>COUNTIFS('Downtime Data'!A:A,Table1[[#This Row],[Date]])</f>
        <v>0</v>
      </c>
      <c r="AX247" s="219" t="str">
        <f>IFERROR((SUM(Table1[[#This Row],[Minor Stoppages]:[Material Shortages]])/Table1[[#This Row],['# Stops]])*60,"")</f>
        <v/>
      </c>
      <c r="AY247" s="219"/>
      <c r="AZ247" s="33">
        <v>46260</v>
      </c>
    </row>
    <row r="248" spans="1:52" ht="20.149999999999999" customHeight="1" x14ac:dyDescent="0.35">
      <c r="A248" s="21">
        <v>46265</v>
      </c>
      <c r="B248" s="22" t="str">
        <f t="shared" si="4"/>
        <v>Monday</v>
      </c>
      <c r="C248" s="23" t="s">
        <v>108</v>
      </c>
      <c r="D248" s="24" cm="1">
        <f t="array" aca="1" ref="D248" ca="1">IFERROR(INDIRECT(C248),"")</f>
        <v>34.200000000000003</v>
      </c>
      <c r="E248" s="25"/>
      <c r="F248" s="26">
        <v>26.9</v>
      </c>
      <c r="G248" s="27">
        <f ca="1">IFERROR((Table1[[#This Row],[Plan]]/Table1[[#This Row],[Hours Used]])/(Table1[[#This Row],[SOC (TPD)]]/24),"")</f>
        <v>0</v>
      </c>
      <c r="H248" s="27">
        <f ca="1">IFERROR((Table1[[#This Row],[Volume Delivered (T)]]/Table1[[#This Row],[Hours Used]])/(Table1[[#This Row],[SOC (TPD)]]/24),"")</f>
        <v>0.78654970760233922</v>
      </c>
      <c r="I248" s="28"/>
      <c r="J248" s="28"/>
      <c r="K248" s="28"/>
      <c r="L248" s="25"/>
      <c r="M248" s="29"/>
      <c r="N248" s="84"/>
      <c r="O248" s="25"/>
      <c r="P248" s="25"/>
      <c r="Q248" s="70"/>
      <c r="R248" s="71"/>
      <c r="S248" s="30">
        <f>IF(Table1[[#This Row],[SKU]]="",0,24-Table1[[#This Row],[Legal Non-Operating Time]]-Table1[[#This Row],[No Demand Time]]-Table1[[#This Row],[Force Majeure]])</f>
        <v>24</v>
      </c>
      <c r="T248" s="26"/>
      <c r="U248" s="26"/>
      <c r="V248" s="26"/>
      <c r="W248" s="26"/>
      <c r="X248" s="26"/>
      <c r="Y248" s="26"/>
      <c r="Z248" s="26"/>
      <c r="AA248" s="30">
        <f>Table1[[#This Row],[Hours Used]]-SUM(Table1[[#This Row],[Planned Maintenance]:[Start and Finish Production]])</f>
        <v>24</v>
      </c>
      <c r="AB248" s="26"/>
      <c r="AC248" s="26"/>
      <c r="AD248" s="26"/>
      <c r="AE248" s="26"/>
      <c r="AF248" s="26"/>
      <c r="AG248" s="26"/>
      <c r="AH248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5.1228070175438596</v>
      </c>
      <c r="AI248" s="24">
        <f ca="1">IFERROR(IF(Table1[[#This Row],[SKU]]="",0,Table1[[#This Row],[Quality Loss (T)]]/(Table1[[#This Row],[SOC (TPD)]]/24)),"")</f>
        <v>0</v>
      </c>
      <c r="AJ248" s="31">
        <f ca="1">IFERROR(IF(Table1[[#This Row],[SKU]]="",0,Table1[[#This Row],[Volume Delivered (T)]]/(Table1[[#This Row],[SOC (TPD)]]/24)),"")</f>
        <v>18.87719298245614</v>
      </c>
      <c r="AK248" s="31">
        <f ca="1">IFERROR(Table1[[#This Row],[Operating Time]]/Table1[[#This Row],[PRODUCTION HOURS]],"")</f>
        <v>0.78654970760233922</v>
      </c>
      <c r="AL248" s="32"/>
      <c r="AM248" s="32" t="s">
        <v>107</v>
      </c>
      <c r="AN248" s="32" t="s">
        <v>107</v>
      </c>
      <c r="AO248" s="32">
        <v>0</v>
      </c>
      <c r="AP248" s="32">
        <v>0</v>
      </c>
      <c r="AQ248" s="32"/>
      <c r="AR248" s="32" t="str">
        <f>IFERROR(SUMIFS(#REF!,#REF!,'Data Sheet'!A:A,#REF!,"Samridhi Perk Line")/SUMIFS(#REF!,#REF!,'Data Sheet'!A:A,#REF!,"Samridhi Perk Line"),"")</f>
        <v/>
      </c>
      <c r="AS248" s="32"/>
      <c r="AT248" s="32"/>
      <c r="AU248" s="211" t="str">
        <f>IFERROR(VLOOKUP(Table1[[#This Row],[Date]],'Overweight Data'!A246:G1341,6,FALSE),"")</f>
        <v/>
      </c>
      <c r="AV248" s="221">
        <f ca="1">IFERROR(
   IF(
      OR(Table1[[#This Row],[Operating Time]]=0, (Table1[[#This Row],[Operating Time]]/IF(AC248&lt;=1,AC248+1,AC248))*60=0),
      1,
      ((Table1[[#This Row],[Operating Time]])/IF(AC248&lt;=1,AC248+1,AC248))*60
   ),
"_")</f>
        <v>1132.6315789473683</v>
      </c>
      <c r="AW248" s="221">
        <f>COUNTIFS('Downtime Data'!A:A,Table1[[#This Row],[Date]])</f>
        <v>29</v>
      </c>
      <c r="AX248" s="219">
        <f>IFERROR((SUM(Table1[[#This Row],[Minor Stoppages]:[Material Shortages]])/Table1[[#This Row],['# Stops]])*60,"")</f>
        <v>0</v>
      </c>
      <c r="AY248" s="219"/>
      <c r="AZ248" s="33">
        <v>46291</v>
      </c>
    </row>
    <row r="249" spans="1:52" ht="20.149999999999999" customHeight="1" x14ac:dyDescent="0.35">
      <c r="A249" s="21">
        <v>46266</v>
      </c>
      <c r="B249" s="22" t="str">
        <f t="shared" si="4"/>
        <v>Tuesday</v>
      </c>
      <c r="C249" s="23" t="s">
        <v>108</v>
      </c>
      <c r="D249" s="24" cm="1">
        <f t="array" aca="1" ref="D249" ca="1">IFERROR(INDIRECT(C249),"")</f>
        <v>34.200000000000003</v>
      </c>
      <c r="E249" s="25">
        <v>30</v>
      </c>
      <c r="F249" s="26">
        <v>21.4</v>
      </c>
      <c r="G249" s="27">
        <f ca="1">IFERROR((Table1[[#This Row],[Plan]]/Table1[[#This Row],[Hours Used]])/(Table1[[#This Row],[SOC (TPD)]]/24),"")</f>
        <v>0.8771929824561403</v>
      </c>
      <c r="H249" s="27">
        <f ca="1">IFERROR((Table1[[#This Row],[Volume Delivered (T)]]/Table1[[#This Row],[Hours Used]])/(Table1[[#This Row],[SOC (TPD)]]/24),"")</f>
        <v>0.62573099415204669</v>
      </c>
      <c r="I249" s="28"/>
      <c r="J249" s="28"/>
      <c r="K249" s="28"/>
      <c r="L249" s="25"/>
      <c r="M249" s="29"/>
      <c r="N249" s="84"/>
      <c r="O249" s="25"/>
      <c r="P249" s="25"/>
      <c r="Q249" s="70"/>
      <c r="R249" s="71"/>
      <c r="S249" s="30">
        <f>IF(Table1[[#This Row],[SKU]]="",0,24-Table1[[#This Row],[Legal Non-Operating Time]]-Table1[[#This Row],[No Demand Time]]-Table1[[#This Row],[Force Majeure]])</f>
        <v>24</v>
      </c>
      <c r="T249" s="26"/>
      <c r="U249" s="26"/>
      <c r="V249" s="26"/>
      <c r="W249" s="26"/>
      <c r="X249" s="26"/>
      <c r="Y249" s="26"/>
      <c r="Z249" s="26"/>
      <c r="AA249" s="30">
        <f>Table1[[#This Row],[Hours Used]]-SUM(Table1[[#This Row],[Planned Maintenance]:[Start and Finish Production]])</f>
        <v>24</v>
      </c>
      <c r="AB249" s="26"/>
      <c r="AC249" s="26"/>
      <c r="AD249" s="26"/>
      <c r="AE249" s="26"/>
      <c r="AF249" s="26"/>
      <c r="AG249" s="26"/>
      <c r="AH249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8.9824561403508785</v>
      </c>
      <c r="AI249" s="24">
        <f ca="1">IFERROR(IF(Table1[[#This Row],[SKU]]="",0,Table1[[#This Row],[Quality Loss (T)]]/(Table1[[#This Row],[SOC (TPD)]]/24)),"")</f>
        <v>0</v>
      </c>
      <c r="AJ249" s="31">
        <f ca="1">IFERROR(IF(Table1[[#This Row],[SKU]]="",0,Table1[[#This Row],[Volume Delivered (T)]]/(Table1[[#This Row],[SOC (TPD)]]/24)),"")</f>
        <v>15.017543859649122</v>
      </c>
      <c r="AK249" s="31">
        <f ca="1">IFERROR(Table1[[#This Row],[Operating Time]]/Table1[[#This Row],[PRODUCTION HOURS]],"")</f>
        <v>0.62573099415204669</v>
      </c>
      <c r="AL249" s="32"/>
      <c r="AM249" s="32" t="s">
        <v>107</v>
      </c>
      <c r="AN249" s="32" t="s">
        <v>107</v>
      </c>
      <c r="AO249" s="32">
        <v>0</v>
      </c>
      <c r="AP249" s="32">
        <v>0</v>
      </c>
      <c r="AQ249" s="32"/>
      <c r="AR249" s="32" t="str">
        <f>IFERROR(SUMIFS(#REF!,#REF!,'Data Sheet'!A:A,#REF!,"Samridhi Perk Line")/SUMIFS(#REF!,#REF!,'Data Sheet'!A:A,#REF!,"Samridhi Perk Line"),"")</f>
        <v/>
      </c>
      <c r="AS249" s="32"/>
      <c r="AT249" s="32"/>
      <c r="AU249" s="211" t="str">
        <f>IFERROR(VLOOKUP(Table1[[#This Row],[Date]],'Overweight Data'!A247:G1342,6,FALSE),"")</f>
        <v/>
      </c>
      <c r="AV249" s="221">
        <f ca="1">IFERROR(
   IF(
      OR(Table1[[#This Row],[Operating Time]]=0, (Table1[[#This Row],[Operating Time]]/IF(AC249&lt;=1,AC249+1,AC249))*60=0),
      1,
      ((Table1[[#This Row],[Operating Time]])/IF(AC249&lt;=1,AC249+1,AC249))*60
   ),
"_")</f>
        <v>901.05263157894728</v>
      </c>
      <c r="AW249" s="221">
        <f>COUNTIFS('Downtime Data'!A:A,Table1[[#This Row],[Date]])</f>
        <v>28</v>
      </c>
      <c r="AX249" s="219">
        <f>IFERROR((SUM(Table1[[#This Row],[Minor Stoppages]:[Material Shortages]])/Table1[[#This Row],['# Stops]])*60,"")</f>
        <v>0</v>
      </c>
      <c r="AY249" s="219"/>
      <c r="AZ249" s="33">
        <v>46291</v>
      </c>
    </row>
    <row r="250" spans="1:52" ht="20.149999999999999" customHeight="1" x14ac:dyDescent="0.35">
      <c r="A250" s="21">
        <v>46267</v>
      </c>
      <c r="B250" s="22" t="str">
        <f t="shared" si="4"/>
        <v>Wednesday</v>
      </c>
      <c r="C250" s="23" t="s">
        <v>108</v>
      </c>
      <c r="D250" s="24" cm="1">
        <f t="array" aca="1" ref="D250" ca="1">IFERROR(INDIRECT(C250),"")</f>
        <v>34.200000000000003</v>
      </c>
      <c r="E250" s="25">
        <v>30</v>
      </c>
      <c r="F250" s="26">
        <v>22.8</v>
      </c>
      <c r="G250" s="27">
        <f ca="1">IFERROR((Table1[[#This Row],[Plan]]/Table1[[#This Row],[Hours Used]])/(Table1[[#This Row],[SOC (TPD)]]/24),"")</f>
        <v>0.8771929824561403</v>
      </c>
      <c r="H250" s="27">
        <f ca="1">IFERROR((Table1[[#This Row],[Volume Delivered (T)]]/Table1[[#This Row],[Hours Used]])/(Table1[[#This Row],[SOC (TPD)]]/24),"")</f>
        <v>0.66666666666666674</v>
      </c>
      <c r="I250" s="28"/>
      <c r="J250" s="28"/>
      <c r="K250" s="28"/>
      <c r="L250" s="25">
        <f>0.6+1.5+0.17+0.34-0.2-0.66</f>
        <v>1.7499999999999996</v>
      </c>
      <c r="M250" s="29"/>
      <c r="N250" s="84"/>
      <c r="O250" s="25"/>
      <c r="P250" s="25"/>
      <c r="Q250" s="70"/>
      <c r="R250" s="71"/>
      <c r="S250" s="30">
        <f>IF(Table1[[#This Row],[SKU]]="",0,24-Table1[[#This Row],[Legal Non-Operating Time]]-Table1[[#This Row],[No Demand Time]]-Table1[[#This Row],[Force Majeure]])</f>
        <v>24</v>
      </c>
      <c r="T250" s="26"/>
      <c r="U250" s="26">
        <v>0.75</v>
      </c>
      <c r="V250" s="26"/>
      <c r="W250" s="26"/>
      <c r="X250" s="26"/>
      <c r="Y250" s="26"/>
      <c r="Z250" s="26"/>
      <c r="AA250" s="30">
        <f>Table1[[#This Row],[Hours Used]]-SUM(Table1[[#This Row],[Planned Maintenance]:[Start and Finish Production]])</f>
        <v>23.25</v>
      </c>
      <c r="AB250" s="26">
        <v>1.5</v>
      </c>
      <c r="AC250" s="26">
        <f>170/60</f>
        <v>2.8333333333333335</v>
      </c>
      <c r="AD250" s="26">
        <f>47/60</f>
        <v>0.78333333333333333</v>
      </c>
      <c r="AE250" s="26"/>
      <c r="AF250" s="26"/>
      <c r="AG250" s="26"/>
      <c r="AH250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0.90526315789473699</v>
      </c>
      <c r="AI250" s="24">
        <f ca="1">IFERROR(IF(Table1[[#This Row],[SKU]]="",0,Table1[[#This Row],[Quality Loss (T)]]/(Table1[[#This Row],[SOC (TPD)]]/24)),"")</f>
        <v>1.2280701754385961</v>
      </c>
      <c r="AJ250" s="31">
        <f ca="1">IFERROR(IF(Table1[[#This Row],[SKU]]="",0,Table1[[#This Row],[Volume Delivered (T)]]/(Table1[[#This Row],[SOC (TPD)]]/24)),"")</f>
        <v>16</v>
      </c>
      <c r="AK250" s="31">
        <f ca="1">IFERROR(Table1[[#This Row],[Operating Time]]/Table1[[#This Row],[PRODUCTION HOURS]],"")</f>
        <v>0.68817204301075274</v>
      </c>
      <c r="AL250" s="32"/>
      <c r="AM250" s="32" t="s">
        <v>107</v>
      </c>
      <c r="AN250" s="32" t="s">
        <v>107</v>
      </c>
      <c r="AO250" s="32">
        <v>0</v>
      </c>
      <c r="AP250" s="32">
        <v>0</v>
      </c>
      <c r="AQ250" s="32"/>
      <c r="AR250" s="32" t="str">
        <f>IFERROR(SUMIFS(#REF!,#REF!,'Data Sheet'!A:A,#REF!,"Samridhi Perk Line")/SUMIFS(#REF!,#REF!,'Data Sheet'!A:A,#REF!,"Samridhi Perk Line"),"")</f>
        <v/>
      </c>
      <c r="AS250" s="32"/>
      <c r="AT250" s="32"/>
      <c r="AU250" s="211">
        <f>IFERROR(VLOOKUP(Table1[[#This Row],[Date]],'Overweight Data'!A248:G1343,6,FALSE),"")</f>
        <v>2.9539594843462233E-2</v>
      </c>
      <c r="AV250" s="221">
        <f ca="1">IFERROR(
   IF(
      OR(Table1[[#This Row],[Operating Time]]=0, (Table1[[#This Row],[Operating Time]]/IF(AC250&lt;=1,AC250+1,AC250))*60=0),
      1,
      ((Table1[[#This Row],[Operating Time]])/IF(AC250&lt;=1,AC250+1,AC250))*60
   ),
"_")</f>
        <v>338.8235294117647</v>
      </c>
      <c r="AW250" s="221">
        <f>COUNTIFS('Downtime Data'!A:A,Table1[[#This Row],[Date]])</f>
        <v>37</v>
      </c>
      <c r="AX250" s="219">
        <f>IFERROR((SUM(Table1[[#This Row],[Minor Stoppages]:[Material Shortages]])/Table1[[#This Row],['# Stops]])*60,"")</f>
        <v>8.2972972972972983</v>
      </c>
      <c r="AY250" s="219"/>
      <c r="AZ250" s="33">
        <v>46291</v>
      </c>
    </row>
    <row r="251" spans="1:52" ht="20.149999999999999" customHeight="1" x14ac:dyDescent="0.35">
      <c r="A251" s="21">
        <v>46268</v>
      </c>
      <c r="B251" s="22" t="str">
        <f t="shared" si="4"/>
        <v>Thursday</v>
      </c>
      <c r="C251" s="23" t="s">
        <v>108</v>
      </c>
      <c r="D251" s="24" cm="1">
        <f t="array" aca="1" ref="D251" ca="1">IFERROR(INDIRECT(C251),"")</f>
        <v>34.200000000000003</v>
      </c>
      <c r="E251" s="25">
        <v>20</v>
      </c>
      <c r="F251" s="26">
        <v>15.7</v>
      </c>
      <c r="G251" s="27">
        <f ca="1">IFERROR((Table1[[#This Row],[Plan]]/Table1[[#This Row],[Hours Used]])/(Table1[[#This Row],[SOC (TPD)]]/24),"")</f>
        <v>0.58479532163742687</v>
      </c>
      <c r="H251" s="27">
        <f ca="1">IFERROR((Table1[[#This Row],[Volume Delivered (T)]]/Table1[[#This Row],[Hours Used]])/(Table1[[#This Row],[SOC (TPD)]]/24),"")</f>
        <v>0.45906432748538012</v>
      </c>
      <c r="I251" s="28"/>
      <c r="J251" s="28"/>
      <c r="K251" s="28"/>
      <c r="L251" s="25">
        <f>0.77+1.68+0.18+0.08-0.32-0.71</f>
        <v>1.6800000000000006</v>
      </c>
      <c r="M251" s="29"/>
      <c r="N251" s="84"/>
      <c r="O251" s="25"/>
      <c r="P251" s="25"/>
      <c r="Q251" s="70"/>
      <c r="R251" s="71"/>
      <c r="S251" s="30">
        <f>IF(Table1[[#This Row],[SKU]]="",0,24-Table1[[#This Row],[Legal Non-Operating Time]]-Table1[[#This Row],[No Demand Time]]-Table1[[#This Row],[Force Majeure]])</f>
        <v>24</v>
      </c>
      <c r="T251" s="26"/>
      <c r="U251" s="26">
        <v>1</v>
      </c>
      <c r="V251" s="26"/>
      <c r="W251" s="26"/>
      <c r="X251" s="26"/>
      <c r="Y251" s="26"/>
      <c r="Z251" s="26">
        <v>2.5</v>
      </c>
      <c r="AA251" s="30">
        <f>Table1[[#This Row],[Hours Used]]-SUM(Table1[[#This Row],[Planned Maintenance]:[Start and Finish Production]])</f>
        <v>20.5</v>
      </c>
      <c r="AB251" s="26">
        <f>152/60</f>
        <v>2.5333333333333332</v>
      </c>
      <c r="AC251" s="26">
        <v>1.5</v>
      </c>
      <c r="AD251" s="26">
        <v>1.5</v>
      </c>
      <c r="AE251" s="26">
        <f>100/60</f>
        <v>1.6666666666666667</v>
      </c>
      <c r="AF251" s="26"/>
      <c r="AG251" s="26"/>
      <c r="AH251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1.1035087719298264</v>
      </c>
      <c r="AI251" s="24">
        <f ca="1">IFERROR(IF(Table1[[#This Row],[SKU]]="",0,Table1[[#This Row],[Quality Loss (T)]]/(Table1[[#This Row],[SOC (TPD)]]/24)),"")</f>
        <v>1.178947368421053</v>
      </c>
      <c r="AJ251" s="31">
        <f ca="1">IFERROR(IF(Table1[[#This Row],[SKU]]="",0,Table1[[#This Row],[Volume Delivered (T)]]/(Table1[[#This Row],[SOC (TPD)]]/24)),"")</f>
        <v>11.017543859649122</v>
      </c>
      <c r="AK251" s="31">
        <f ca="1">IFERROR(Table1[[#This Row],[Operating Time]]/Table1[[#This Row],[PRODUCTION HOURS]],"")</f>
        <v>0.53744116388532304</v>
      </c>
      <c r="AL251" s="32"/>
      <c r="AM251" s="32" t="s">
        <v>107</v>
      </c>
      <c r="AN251" s="32" t="s">
        <v>107</v>
      </c>
      <c r="AO251" s="32">
        <v>0</v>
      </c>
      <c r="AP251" s="32">
        <v>0</v>
      </c>
      <c r="AQ251" s="32"/>
      <c r="AR251" s="32" t="str">
        <f>IFERROR(SUMIFS(#REF!,#REF!,'Data Sheet'!A:A,#REF!,"Samridhi Perk Line")/SUMIFS(#REF!,#REF!,'Data Sheet'!A:A,#REF!,"Samridhi Perk Line"),"")</f>
        <v/>
      </c>
      <c r="AS251" s="32"/>
      <c r="AT251" s="32"/>
      <c r="AU251" s="211">
        <f>IFERROR(VLOOKUP(Table1[[#This Row],[Date]],'Overweight Data'!A249:G1344,6,FALSE),"")</f>
        <v>2.9539594843462233E-2</v>
      </c>
      <c r="AV251" s="221">
        <f ca="1">IFERROR(
   IF(
      OR(Table1[[#This Row],[Operating Time]]=0, (Table1[[#This Row],[Operating Time]]/IF(AC251&lt;=1,AC251+1,AC251))*60=0),
      1,
      ((Table1[[#This Row],[Operating Time]])/IF(AC251&lt;=1,AC251+1,AC251))*60
   ),
"_")</f>
        <v>440.70175438596488</v>
      </c>
      <c r="AW251" s="221">
        <f>COUNTIFS('Downtime Data'!A:A,Table1[[#This Row],[Date]])</f>
        <v>32</v>
      </c>
      <c r="AX251" s="219">
        <f>IFERROR((SUM(Table1[[#This Row],[Minor Stoppages]:[Material Shortages]])/Table1[[#This Row],['# Stops]])*60,"")</f>
        <v>13.5</v>
      </c>
      <c r="AY251" s="219"/>
      <c r="AZ251" s="33">
        <v>46291</v>
      </c>
    </row>
    <row r="252" spans="1:52" ht="20.149999999999999" customHeight="1" x14ac:dyDescent="0.35">
      <c r="A252" s="21">
        <v>46269</v>
      </c>
      <c r="B252" s="22" t="str">
        <f t="shared" si="4"/>
        <v>Friday</v>
      </c>
      <c r="C252" s="23"/>
      <c r="D252" s="24" t="str" cm="1">
        <f t="array" aca="1" ref="D252" ca="1">IFERROR(INDIRECT(C252),"")</f>
        <v/>
      </c>
      <c r="E252" s="25"/>
      <c r="F252" s="26"/>
      <c r="G252" s="27" t="str">
        <f ca="1">IFERROR((Table1[[#This Row],[Plan]]/Table1[[#This Row],[Hours Used]])/(Table1[[#This Row],[SOC (TPD)]]/24),"")</f>
        <v/>
      </c>
      <c r="H252" s="27" t="str">
        <f ca="1">IFERROR((Table1[[#This Row],[Volume Delivered (T)]]/Table1[[#This Row],[Hours Used]])/(Table1[[#This Row],[SOC (TPD)]]/24),"")</f>
        <v/>
      </c>
      <c r="I252" s="28"/>
      <c r="J252" s="28"/>
      <c r="K252" s="28"/>
      <c r="L252" s="25"/>
      <c r="M252" s="29"/>
      <c r="N252" s="84"/>
      <c r="O252" s="25"/>
      <c r="P252" s="25"/>
      <c r="Q252" s="70"/>
      <c r="R252" s="71"/>
      <c r="S252" s="30">
        <f>IF(Table1[[#This Row],[SKU]]="",0,24-Table1[[#This Row],[Legal Non-Operating Time]]-Table1[[#This Row],[No Demand Time]]-Table1[[#This Row],[Force Majeure]])</f>
        <v>0</v>
      </c>
      <c r="T252" s="26"/>
      <c r="U252" s="26"/>
      <c r="V252" s="26"/>
      <c r="W252" s="26"/>
      <c r="X252" s="26"/>
      <c r="Y252" s="26"/>
      <c r="Z252" s="26"/>
      <c r="AA252" s="30">
        <f>Table1[[#This Row],[Hours Used]]-SUM(Table1[[#This Row],[Planned Maintenance]:[Start and Finish Production]])</f>
        <v>0</v>
      </c>
      <c r="AB252" s="26"/>
      <c r="AC252" s="26"/>
      <c r="AD252" s="26"/>
      <c r="AE252" s="26"/>
      <c r="AF252" s="26"/>
      <c r="AG252" s="26"/>
      <c r="AH252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252" s="24">
        <f>IFERROR(IF(Table1[[#This Row],[SKU]]="",0,Table1[[#This Row],[Quality Loss (T)]]/(Table1[[#This Row],[SOC (TPD)]]/24)),"")</f>
        <v>0</v>
      </c>
      <c r="AJ252" s="31">
        <f>IFERROR(IF(Table1[[#This Row],[SKU]]="",0,Table1[[#This Row],[Volume Delivered (T)]]/(Table1[[#This Row],[SOC (TPD)]]/24)),"")</f>
        <v>0</v>
      </c>
      <c r="AK252" s="31" t="str">
        <f>IFERROR(Table1[[#This Row],[Operating Time]]/Table1[[#This Row],[PRODUCTION HOURS]],"")</f>
        <v/>
      </c>
      <c r="AL252" s="32"/>
      <c r="AM252" s="32" t="s">
        <v>107</v>
      </c>
      <c r="AN252" s="32" t="s">
        <v>107</v>
      </c>
      <c r="AO252" s="32">
        <v>0</v>
      </c>
      <c r="AP252" s="32">
        <v>0</v>
      </c>
      <c r="AQ252" s="32"/>
      <c r="AR252" s="32" t="str">
        <f>IFERROR(SUMIFS(#REF!,#REF!,'Data Sheet'!A:A,#REF!,"Samridhi Perk Line")/SUMIFS(#REF!,#REF!,'Data Sheet'!A:A,#REF!,"Samridhi Perk Line"),"")</f>
        <v/>
      </c>
      <c r="AS252" s="32"/>
      <c r="AT252" s="32"/>
      <c r="AU252" s="211" t="str">
        <f>IFERROR(VLOOKUP(Table1[[#This Row],[Date]],'Overweight Data'!A250:G1345,6,FALSE),"")</f>
        <v/>
      </c>
      <c r="AV252" s="221">
        <f>IFERROR(
   IF(
      OR(Table1[[#This Row],[Operating Time]]=0, (Table1[[#This Row],[Operating Time]]/IF(AC252&lt;=1,AC252+1,AC252))*60=0),
      1,
      ((Table1[[#This Row],[Operating Time]])/IF(AC252&lt;=1,AC252+1,AC252))*60
   ),
"_")</f>
        <v>1</v>
      </c>
      <c r="AW252" s="221">
        <f>COUNTIFS('Downtime Data'!A:A,Table1[[#This Row],[Date]])</f>
        <v>0</v>
      </c>
      <c r="AX252" s="219" t="str">
        <f>IFERROR((SUM(Table1[[#This Row],[Minor Stoppages]:[Material Shortages]])/Table1[[#This Row],['# Stops]])*60,"")</f>
        <v/>
      </c>
      <c r="AY252" s="219"/>
      <c r="AZ252" s="33">
        <v>46291</v>
      </c>
    </row>
    <row r="253" spans="1:52" ht="20.149999999999999" customHeight="1" x14ac:dyDescent="0.35">
      <c r="A253" s="21">
        <v>46270</v>
      </c>
      <c r="B253" s="22" t="str">
        <f t="shared" si="4"/>
        <v>Saturday</v>
      </c>
      <c r="C253" s="23" t="s">
        <v>108</v>
      </c>
      <c r="D253" s="24" cm="1">
        <f t="array" aca="1" ref="D253" ca="1">IFERROR(INDIRECT(C253),"")</f>
        <v>34.200000000000003</v>
      </c>
      <c r="E253" s="25">
        <f>17.3+4.4</f>
        <v>21.700000000000003</v>
      </c>
      <c r="F253" s="26">
        <v>21.7</v>
      </c>
      <c r="G253" s="27">
        <f ca="1">IFERROR((Table1[[#This Row],[Plan]]/Table1[[#This Row],[Hours Used]])/(Table1[[#This Row],[SOC (TPD)]]/24),"")</f>
        <v>0.63450292397660824</v>
      </c>
      <c r="H253" s="27">
        <f ca="1">IFERROR((Table1[[#This Row],[Volume Delivered (T)]]/Table1[[#This Row],[Hours Used]])/(Table1[[#This Row],[SOC (TPD)]]/24),"")</f>
        <v>0.63450292397660812</v>
      </c>
      <c r="I253" s="28"/>
      <c r="J253" s="28"/>
      <c r="K253" s="28"/>
      <c r="L253" s="25">
        <f>0.5+1.26+0.11+0.27-0.1-0.37</f>
        <v>1.67</v>
      </c>
      <c r="M253" s="29"/>
      <c r="N253" s="84"/>
      <c r="O253" s="25"/>
      <c r="P253" s="25"/>
      <c r="Q253" s="70"/>
      <c r="R253" s="71"/>
      <c r="S253" s="30">
        <f>IF(Table1[[#This Row],[SKU]]="",0,24-Table1[[#This Row],[Legal Non-Operating Time]]-Table1[[#This Row],[No Demand Time]]-Table1[[#This Row],[Force Majeure]])</f>
        <v>24</v>
      </c>
      <c r="T253" s="26"/>
      <c r="U253" s="26"/>
      <c r="V253" s="26"/>
      <c r="W253" s="26"/>
      <c r="X253" s="26"/>
      <c r="Y253" s="26"/>
      <c r="Z253" s="26">
        <v>4.5</v>
      </c>
      <c r="AA253" s="30">
        <f>Table1[[#This Row],[Hours Used]]-SUM(Table1[[#This Row],[Planned Maintenance]:[Start and Finish Production]])</f>
        <v>19.5</v>
      </c>
      <c r="AB253" s="26">
        <v>1.1000000000000001</v>
      </c>
      <c r="AC253" s="26">
        <v>2</v>
      </c>
      <c r="AD253" s="26"/>
      <c r="AE253" s="26"/>
      <c r="AF253" s="26"/>
      <c r="AG253" s="26"/>
      <c r="AH253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253" s="24">
        <f ca="1">IFERROR(IF(Table1[[#This Row],[SKU]]="",0,Table1[[#This Row],[Quality Loss (T)]]/(Table1[[#This Row],[SOC (TPD)]]/24)),"")</f>
        <v>1.1719298245614034</v>
      </c>
      <c r="AJ253" s="31">
        <f ca="1">IFERROR(IF(Table1[[#This Row],[SKU]]="",0,Table1[[#This Row],[Volume Delivered (T)]]/(Table1[[#This Row],[SOC (TPD)]]/24)),"")</f>
        <v>15.228070175438596</v>
      </c>
      <c r="AK253" s="31">
        <f ca="1">IFERROR(Table1[[#This Row],[Operating Time]]/Table1[[#This Row],[PRODUCTION HOURS]],"")</f>
        <v>0.7809266756635177</v>
      </c>
      <c r="AL253" s="32"/>
      <c r="AM253" s="32" t="s">
        <v>107</v>
      </c>
      <c r="AN253" s="32" t="s">
        <v>107</v>
      </c>
      <c r="AO253" s="32">
        <v>0</v>
      </c>
      <c r="AP253" s="32">
        <v>0</v>
      </c>
      <c r="AQ253" s="32"/>
      <c r="AR253" s="32" t="str">
        <f>IFERROR(SUMIFS(#REF!,#REF!,'Data Sheet'!A:A,#REF!,"Samridhi Perk Line")/SUMIFS(#REF!,#REF!,'Data Sheet'!A:A,#REF!,"Samridhi Perk Line"),"")</f>
        <v/>
      </c>
      <c r="AS253" s="32"/>
      <c r="AT253" s="32"/>
      <c r="AU253" s="211">
        <f>IFERROR(VLOOKUP(Table1[[#This Row],[Date]],'Overweight Data'!A251:G1346,6,FALSE),"")</f>
        <v>2.6813996316758754E-2</v>
      </c>
      <c r="AV253" s="221">
        <f ca="1">IFERROR(
   IF(
      OR(Table1[[#This Row],[Operating Time]]=0, (Table1[[#This Row],[Operating Time]]/IF(AC253&lt;=1,AC253+1,AC253))*60=0),
      1,
      ((Table1[[#This Row],[Operating Time]])/IF(AC253&lt;=1,AC253+1,AC253))*60
   ),
"_")</f>
        <v>456.84210526315786</v>
      </c>
      <c r="AW253" s="221">
        <f>COUNTIFS('Downtime Data'!A:A,Table1[[#This Row],[Date]])</f>
        <v>30</v>
      </c>
      <c r="AX253" s="219">
        <f>IFERROR((SUM(Table1[[#This Row],[Minor Stoppages]:[Material Shortages]])/Table1[[#This Row],['# Stops]])*60,"")</f>
        <v>6.2</v>
      </c>
      <c r="AY253" s="219"/>
      <c r="AZ253" s="33">
        <v>46291</v>
      </c>
    </row>
    <row r="254" spans="1:52" ht="20.149999999999999" customHeight="1" x14ac:dyDescent="0.35">
      <c r="A254" s="21">
        <v>46271</v>
      </c>
      <c r="B254" s="22" t="str">
        <f t="shared" si="4"/>
        <v>Sunday</v>
      </c>
      <c r="C254" s="23" t="s">
        <v>106</v>
      </c>
      <c r="D254" s="24" cm="1">
        <f t="array" aca="1" ref="D254" ca="1">IFERROR(INDIRECT(C254),"")</f>
        <v>39.200000000000003</v>
      </c>
      <c r="E254" s="25">
        <v>31</v>
      </c>
      <c r="F254" s="26">
        <v>26.7</v>
      </c>
      <c r="G254" s="27">
        <f ca="1">IFERROR((Table1[[#This Row],[Plan]]/Table1[[#This Row],[Hours Used]])/(Table1[[#This Row],[SOC (TPD)]]/24),"")</f>
        <v>0.79081632653061218</v>
      </c>
      <c r="H254" s="27">
        <f ca="1">IFERROR((Table1[[#This Row],[Volume Delivered (T)]]/Table1[[#This Row],[Hours Used]])/(Table1[[#This Row],[SOC (TPD)]]/24),"")</f>
        <v>0.68112244897959173</v>
      </c>
      <c r="I254" s="28"/>
      <c r="J254" s="28"/>
      <c r="K254" s="28"/>
      <c r="L254" s="25">
        <f>0.57+1.8+0.17+0.33-0.3-0.6</f>
        <v>1.9700000000000002</v>
      </c>
      <c r="M254" s="29"/>
      <c r="N254" s="84"/>
      <c r="O254" s="25"/>
      <c r="P254" s="25"/>
      <c r="Q254" s="70"/>
      <c r="R254" s="71"/>
      <c r="S254" s="30">
        <f>IF(Table1[[#This Row],[SKU]]="",0,24-Table1[[#This Row],[Legal Non-Operating Time]]-Table1[[#This Row],[No Demand Time]]-Table1[[#This Row],[Force Majeure]])</f>
        <v>24</v>
      </c>
      <c r="T254" s="26"/>
      <c r="U254" s="26">
        <v>0.5</v>
      </c>
      <c r="V254" s="26"/>
      <c r="W254" s="26"/>
      <c r="X254" s="26"/>
      <c r="Y254" s="26"/>
      <c r="Z254" s="26"/>
      <c r="AA254" s="30">
        <f>Table1[[#This Row],[Hours Used]]-SUM(Table1[[#This Row],[Planned Maintenance]:[Start and Finish Production]])</f>
        <v>23.5</v>
      </c>
      <c r="AB254" s="26">
        <v>2</v>
      </c>
      <c r="AC254" s="26">
        <f>206/60</f>
        <v>3.4333333333333331</v>
      </c>
      <c r="AD254" s="26"/>
      <c r="AE254" s="26"/>
      <c r="AF254" s="26"/>
      <c r="AG254" s="26">
        <v>0.5</v>
      </c>
      <c r="AH254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1.3605442176871207E-2</v>
      </c>
      <c r="AI254" s="24">
        <f ca="1">IFERROR(IF(Table1[[#This Row],[SKU]]="",0,Table1[[#This Row],[Quality Loss (T)]]/(Table1[[#This Row],[SOC (TPD)]]/24)),"")</f>
        <v>1.2061224489795919</v>
      </c>
      <c r="AJ254" s="31">
        <f ca="1">IFERROR(IF(Table1[[#This Row],[SKU]]="",0,Table1[[#This Row],[Volume Delivered (T)]]/(Table1[[#This Row],[SOC (TPD)]]/24)),"")</f>
        <v>16.346938775510203</v>
      </c>
      <c r="AK254" s="31">
        <f ca="1">IFERROR(Table1[[#This Row],[Operating Time]]/Table1[[#This Row],[PRODUCTION HOURS]],"")</f>
        <v>0.69561441597915763</v>
      </c>
      <c r="AL254" s="32"/>
      <c r="AM254" s="32" t="s">
        <v>107</v>
      </c>
      <c r="AN254" s="32" t="s">
        <v>107</v>
      </c>
      <c r="AO254" s="32">
        <v>0</v>
      </c>
      <c r="AP254" s="32">
        <v>0</v>
      </c>
      <c r="AQ254" s="32"/>
      <c r="AR254" s="32" t="str">
        <f>IFERROR(SUMIFS(#REF!,#REF!,'Data Sheet'!A:A,#REF!,"Samridhi Perk Line")/SUMIFS(#REF!,#REF!,'Data Sheet'!A:A,#REF!,"Samridhi Perk Line"),"")</f>
        <v/>
      </c>
      <c r="AS254" s="32"/>
      <c r="AT254" s="32"/>
      <c r="AU254" s="211">
        <f>IFERROR(VLOOKUP(Table1[[#This Row],[Date]],'Overweight Data'!A252:G1347,6,FALSE),"")</f>
        <v>2.6961325966850802E-2</v>
      </c>
      <c r="AV254" s="221">
        <f ca="1">IFERROR(
   IF(
      OR(Table1[[#This Row],[Operating Time]]=0, (Table1[[#This Row],[Operating Time]]/IF(AC254&lt;=1,AC254+1,AC254))*60=0),
      1,
      ((Table1[[#This Row],[Operating Time]])/IF(AC254&lt;=1,AC254+1,AC254))*60
   ),
"_")</f>
        <v>285.67465821279967</v>
      </c>
      <c r="AW254" s="221">
        <f>COUNTIFS('Downtime Data'!A:A,Table1[[#This Row],[Date]])</f>
        <v>33</v>
      </c>
      <c r="AX254" s="219">
        <f>IFERROR((SUM(Table1[[#This Row],[Minor Stoppages]:[Material Shortages]])/Table1[[#This Row],['# Stops]])*60,"")</f>
        <v>10.787878787878789</v>
      </c>
      <c r="AY254" s="219"/>
      <c r="AZ254" s="33">
        <v>46291</v>
      </c>
    </row>
    <row r="255" spans="1:52" ht="20.149999999999999" customHeight="1" x14ac:dyDescent="0.35">
      <c r="A255" s="21">
        <v>46272</v>
      </c>
      <c r="B255" s="22" t="str">
        <f t="shared" si="4"/>
        <v>Monday</v>
      </c>
      <c r="C255" s="23" t="s">
        <v>106</v>
      </c>
      <c r="D255" s="24" cm="1">
        <f t="array" aca="1" ref="D255" ca="1">IFERROR(INDIRECT(C255),"")</f>
        <v>39.200000000000003</v>
      </c>
      <c r="E255" s="25">
        <v>31</v>
      </c>
      <c r="F255" s="26">
        <f>25.2+6.2</f>
        <v>31.4</v>
      </c>
      <c r="G255" s="27">
        <f ca="1">IFERROR((Table1[[#This Row],[Plan]]/Table1[[#This Row],[Hours Used]])/(Table1[[#This Row],[SOC (TPD)]]/24),"")</f>
        <v>0.79081632653061218</v>
      </c>
      <c r="H255" s="27">
        <f ca="1">IFERROR((Table1[[#This Row],[Volume Delivered (T)]]/Table1[[#This Row],[Hours Used]])/(Table1[[#This Row],[SOC (TPD)]]/24),"")</f>
        <v>0.80102040816326525</v>
      </c>
      <c r="I255" s="28"/>
      <c r="J255" s="28"/>
      <c r="K255" s="28"/>
      <c r="L255" s="25">
        <f t="shared" ref="L255" si="5">0.54+1.38+0.15+0.39-0.25-0.49</f>
        <v>1.72</v>
      </c>
      <c r="M255" s="29"/>
      <c r="N255" s="84"/>
      <c r="O255" s="25"/>
      <c r="P255" s="25"/>
      <c r="Q255" s="70"/>
      <c r="R255" s="71"/>
      <c r="S255" s="30">
        <f>IF(Table1[[#This Row],[SKU]]="",0,24-Table1[[#This Row],[Legal Non-Operating Time]]-Table1[[#This Row],[No Demand Time]]-Table1[[#This Row],[Force Majeure]])</f>
        <v>24</v>
      </c>
      <c r="T255" s="26"/>
      <c r="U255" s="26"/>
      <c r="V255" s="26"/>
      <c r="W255" s="26"/>
      <c r="X255" s="26"/>
      <c r="Y255" s="26"/>
      <c r="Z255" s="26"/>
      <c r="AA255" s="30">
        <f>Table1[[#This Row],[Hours Used]]-SUM(Table1[[#This Row],[Planned Maintenance]:[Start and Finish Production]])</f>
        <v>24</v>
      </c>
      <c r="AB255" s="26"/>
      <c r="AC255" s="26"/>
      <c r="AD255" s="26"/>
      <c r="AE255" s="26"/>
      <c r="AF255" s="26"/>
      <c r="AG255" s="26"/>
      <c r="AH255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3.7224489795918423</v>
      </c>
      <c r="AI255" s="24">
        <f ca="1">IFERROR(IF(Table1[[#This Row],[SKU]]="",0,Table1[[#This Row],[Quality Loss (T)]]/(Table1[[#This Row],[SOC (TPD)]]/24)),"")</f>
        <v>1.0530612244897959</v>
      </c>
      <c r="AJ255" s="31">
        <f ca="1">IFERROR(IF(Table1[[#This Row],[SKU]]="",0,Table1[[#This Row],[Volume Delivered (T)]]/(Table1[[#This Row],[SOC (TPD)]]/24)),"")</f>
        <v>19.224489795918362</v>
      </c>
      <c r="AK255" s="31">
        <f ca="1">IFERROR(Table1[[#This Row],[Operating Time]]/Table1[[#This Row],[PRODUCTION HOURS]],"")</f>
        <v>0.80102040816326514</v>
      </c>
      <c r="AL255" s="32"/>
      <c r="AM255" s="32" t="s">
        <v>107</v>
      </c>
      <c r="AN255" s="32" t="s">
        <v>107</v>
      </c>
      <c r="AO255" s="32">
        <v>0</v>
      </c>
      <c r="AP255" s="32">
        <v>0</v>
      </c>
      <c r="AQ255" s="32"/>
      <c r="AR255" s="32" t="str">
        <f>IFERROR(SUMIFS(#REF!,#REF!,'Data Sheet'!A:A,#REF!,"Samridhi Perk Line")/SUMIFS(#REF!,#REF!,'Data Sheet'!A:A,#REF!,"Samridhi Perk Line"),"")</f>
        <v/>
      </c>
      <c r="AS255" s="32"/>
      <c r="AT255" s="32"/>
      <c r="AU255" s="211">
        <f>IFERROR(VLOOKUP(Table1[[#This Row],[Date]],'Overweight Data'!A253:G1348,6,FALSE),"")</f>
        <v>3.1187845303867406E-2</v>
      </c>
      <c r="AV255" s="221">
        <f ca="1">IFERROR(
   IF(
      OR(Table1[[#This Row],[Operating Time]]=0, (Table1[[#This Row],[Operating Time]]/IF(AC255&lt;=1,AC255+1,AC255))*60=0),
      1,
      ((Table1[[#This Row],[Operating Time]])/IF(AC255&lt;=1,AC255+1,AC255))*60
   ),
"_")</f>
        <v>1153.4693877551017</v>
      </c>
      <c r="AW255" s="221">
        <f>COUNTIFS('Downtime Data'!A:A,Table1[[#This Row],[Date]])</f>
        <v>0</v>
      </c>
      <c r="AX255" s="219" t="str">
        <f>IFERROR((SUM(Table1[[#This Row],[Minor Stoppages]:[Material Shortages]])/Table1[[#This Row],['# Stops]])*60,"")</f>
        <v/>
      </c>
      <c r="AY255" s="219"/>
      <c r="AZ255" s="33">
        <v>46291</v>
      </c>
    </row>
    <row r="256" spans="1:52" ht="20.149999999999999" customHeight="1" x14ac:dyDescent="0.35">
      <c r="A256" s="21">
        <v>46273</v>
      </c>
      <c r="B256" s="22" t="str">
        <f t="shared" si="4"/>
        <v>Tuesday</v>
      </c>
      <c r="C256" s="23" t="s">
        <v>106</v>
      </c>
      <c r="D256" s="24" cm="1">
        <f t="array" aca="1" ref="D256" ca="1">IFERROR(INDIRECT(C256),"")</f>
        <v>39.200000000000003</v>
      </c>
      <c r="E256" s="25">
        <v>33</v>
      </c>
      <c r="F256" s="26">
        <v>34.799999999999997</v>
      </c>
      <c r="G256" s="27">
        <f ca="1">IFERROR((Table1[[#This Row],[Plan]]/Table1[[#This Row],[Hours Used]])/(Table1[[#This Row],[SOC (TPD)]]/24),"")</f>
        <v>0.84183673469387743</v>
      </c>
      <c r="H256" s="27">
        <f ca="1">IFERROR((Table1[[#This Row],[Volume Delivered (T)]]/Table1[[#This Row],[Hours Used]])/(Table1[[#This Row],[SOC (TPD)]]/24),"")</f>
        <v>0.8877551020408162</v>
      </c>
      <c r="I256" s="28"/>
      <c r="J256" s="28"/>
      <c r="K256" s="28"/>
      <c r="L256" s="25">
        <f>0.54+1.38+0.15+0.39-0.25-0.49</f>
        <v>1.72</v>
      </c>
      <c r="M256" s="29"/>
      <c r="N256" s="84"/>
      <c r="O256" s="25"/>
      <c r="P256" s="25"/>
      <c r="Q256" s="70"/>
      <c r="R256" s="71"/>
      <c r="S256" s="30">
        <f>IF(Table1[[#This Row],[SKU]]="",0,24-Table1[[#This Row],[Legal Non-Operating Time]]-Table1[[#This Row],[No Demand Time]]-Table1[[#This Row],[Force Majeure]])</f>
        <v>24</v>
      </c>
      <c r="T256" s="26"/>
      <c r="U256" s="26">
        <v>0.75</v>
      </c>
      <c r="V256" s="26"/>
      <c r="W256" s="26"/>
      <c r="X256" s="26"/>
      <c r="Y256" s="26"/>
      <c r="Z256" s="26"/>
      <c r="AA256" s="30">
        <f>Table1[[#This Row],[Hours Used]]-SUM(Table1[[#This Row],[Planned Maintenance]:[Start and Finish Production]])</f>
        <v>23.25</v>
      </c>
      <c r="AB256" s="26"/>
      <c r="AC256" s="26"/>
      <c r="AD256" s="26">
        <v>0.5</v>
      </c>
      <c r="AE256" s="26"/>
      <c r="AF256" s="26"/>
      <c r="AG256" s="26"/>
      <c r="AH256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0.3908163265306186</v>
      </c>
      <c r="AI256" s="24">
        <f ca="1">IFERROR(IF(Table1[[#This Row],[SKU]]="",0,Table1[[#This Row],[Quality Loss (T)]]/(Table1[[#This Row],[SOC (TPD)]]/24)),"")</f>
        <v>1.0530612244897959</v>
      </c>
      <c r="AJ256" s="31">
        <f ca="1">IFERROR(IF(Table1[[#This Row],[SKU]]="",0,Table1[[#This Row],[Volume Delivered (T)]]/(Table1[[#This Row],[SOC (TPD)]]/24)),"")</f>
        <v>21.306122448979586</v>
      </c>
      <c r="AK256" s="31">
        <f ca="1">IFERROR(Table1[[#This Row],[Operating Time]]/Table1[[#This Row],[PRODUCTION HOURS]],"")</f>
        <v>0.9163923633969715</v>
      </c>
      <c r="AL256" s="32"/>
      <c r="AM256" s="32" t="s">
        <v>107</v>
      </c>
      <c r="AN256" s="32" t="s">
        <v>107</v>
      </c>
      <c r="AO256" s="32">
        <v>1</v>
      </c>
      <c r="AP256" s="32">
        <v>0</v>
      </c>
      <c r="AQ256" s="32"/>
      <c r="AR256" s="32" t="str">
        <f>IFERROR(SUMIFS(#REF!,#REF!,'Data Sheet'!A:A,#REF!,"Samridhi Perk Line")/SUMIFS(#REF!,#REF!,'Data Sheet'!A:A,#REF!,"Samridhi Perk Line"),"")</f>
        <v/>
      </c>
      <c r="AS256" s="32"/>
      <c r="AT256" s="32"/>
      <c r="AU256" s="211">
        <f>IFERROR(VLOOKUP(Table1[[#This Row],[Date]],'Overweight Data'!A254:G1349,6,FALSE),"")</f>
        <v>2.9162062615101302E-2</v>
      </c>
      <c r="AV256" s="221">
        <f ca="1">IFERROR(
   IF(
      OR(Table1[[#This Row],[Operating Time]]=0, (Table1[[#This Row],[Operating Time]]/IF(AC256&lt;=1,AC256+1,AC256))*60=0),
      1,
      ((Table1[[#This Row],[Operating Time]])/IF(AC256&lt;=1,AC256+1,AC256))*60
   ),
"_")</f>
        <v>1278.3673469387752</v>
      </c>
      <c r="AW256" s="221">
        <f>COUNTIFS('Downtime Data'!A:A,Table1[[#This Row],[Date]])</f>
        <v>2</v>
      </c>
      <c r="AX256" s="219">
        <f>IFERROR((SUM(Table1[[#This Row],[Minor Stoppages]:[Material Shortages]])/Table1[[#This Row],['# Stops]])*60,"")</f>
        <v>15</v>
      </c>
      <c r="AY256" s="219"/>
      <c r="AZ256" s="33">
        <v>46291</v>
      </c>
    </row>
    <row r="257" spans="1:52" ht="20.149999999999999" customHeight="1" x14ac:dyDescent="0.35">
      <c r="A257" s="21">
        <v>46274</v>
      </c>
      <c r="B257" s="22" t="str">
        <f t="shared" si="4"/>
        <v>Wednesday</v>
      </c>
      <c r="C257" s="23" t="s">
        <v>106</v>
      </c>
      <c r="D257" s="24" cm="1">
        <f t="array" aca="1" ref="D257" ca="1">IFERROR(INDIRECT(C257),"")</f>
        <v>39.200000000000003</v>
      </c>
      <c r="E257" s="25">
        <v>33</v>
      </c>
      <c r="F257" s="26">
        <v>31.9</v>
      </c>
      <c r="G257" s="27">
        <f ca="1">IFERROR((Table1[[#This Row],[Plan]]/Table1[[#This Row],[Hours Used]])/(Table1[[#This Row],[SOC (TPD)]]/24),"")</f>
        <v>0.84183673469387743</v>
      </c>
      <c r="H257" s="27">
        <f ca="1">IFERROR((Table1[[#This Row],[Volume Delivered (T)]]/Table1[[#This Row],[Hours Used]])/(Table1[[#This Row],[SOC (TPD)]]/24),"")</f>
        <v>0.81377551020408145</v>
      </c>
      <c r="I257" s="28"/>
      <c r="J257" s="28"/>
      <c r="K257" s="28"/>
      <c r="L257" s="25">
        <f>0.47+1.34+0.17+0.34-0.25-0.44</f>
        <v>1.63</v>
      </c>
      <c r="M257" s="29"/>
      <c r="N257" s="84"/>
      <c r="O257" s="25"/>
      <c r="P257" s="25"/>
      <c r="Q257" s="70"/>
      <c r="R257" s="71"/>
      <c r="S257" s="30">
        <f>IF(Table1[[#This Row],[SKU]]="",0,24-Table1[[#This Row],[Legal Non-Operating Time]]-Table1[[#This Row],[No Demand Time]]-Table1[[#This Row],[Force Majeure]])</f>
        <v>24</v>
      </c>
      <c r="T257" s="26"/>
      <c r="U257" s="26">
        <v>0.75</v>
      </c>
      <c r="V257" s="26"/>
      <c r="W257" s="26"/>
      <c r="X257" s="26"/>
      <c r="Y257" s="26"/>
      <c r="Z257" s="26"/>
      <c r="AA257" s="30">
        <f>Table1[[#This Row],[Hours Used]]-SUM(Table1[[#This Row],[Planned Maintenance]:[Start and Finish Production]])</f>
        <v>23.25</v>
      </c>
      <c r="AB257" s="26">
        <v>1.65</v>
      </c>
      <c r="AC257" s="26"/>
      <c r="AD257" s="26">
        <f>63/60</f>
        <v>1.05</v>
      </c>
      <c r="AE257" s="26"/>
      <c r="AF257" s="26"/>
      <c r="AG257" s="26"/>
      <c r="AH257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2.1428571428575793E-2</v>
      </c>
      <c r="AI257" s="24">
        <f ca="1">IFERROR(IF(Table1[[#This Row],[SKU]]="",0,Table1[[#This Row],[Quality Loss (T)]]/(Table1[[#This Row],[SOC (TPD)]]/24)),"")</f>
        <v>0.99795918367346925</v>
      </c>
      <c r="AJ257" s="31">
        <f ca="1">IFERROR(IF(Table1[[#This Row],[SKU]]="",0,Table1[[#This Row],[Volume Delivered (T)]]/(Table1[[#This Row],[SOC (TPD)]]/24)),"")</f>
        <v>19.530612244897956</v>
      </c>
      <c r="AK257" s="31">
        <f ca="1">IFERROR(Table1[[#This Row],[Operating Time]]/Table1[[#This Row],[PRODUCTION HOURS]],"")</f>
        <v>0.84002633311389052</v>
      </c>
      <c r="AL257" s="32"/>
      <c r="AM257" s="32" t="s">
        <v>107</v>
      </c>
      <c r="AN257" s="32" t="s">
        <v>107</v>
      </c>
      <c r="AO257" s="32">
        <v>0</v>
      </c>
      <c r="AP257" s="32">
        <v>0</v>
      </c>
      <c r="AQ257" s="32"/>
      <c r="AR257" s="32" t="str">
        <f>IFERROR(SUMIFS(#REF!,#REF!,'Data Sheet'!A:A,#REF!,"Samridhi Perk Line")/SUMIFS(#REF!,#REF!,'Data Sheet'!A:A,#REF!,"Samridhi Perk Line"),"")</f>
        <v/>
      </c>
      <c r="AS257" s="32"/>
      <c r="AT257" s="32"/>
      <c r="AU257" s="211">
        <f>IFERROR(VLOOKUP(Table1[[#This Row],[Date]],'Overweight Data'!A255:G1350,6,FALSE),"")</f>
        <v>2.7863720073664815E-2</v>
      </c>
      <c r="AV257" s="221">
        <f ca="1">IFERROR(
   IF(
      OR(Table1[[#This Row],[Operating Time]]=0, (Table1[[#This Row],[Operating Time]]/IF(AC257&lt;=1,AC257+1,AC257))*60=0),
      1,
      ((Table1[[#This Row],[Operating Time]])/IF(AC257&lt;=1,AC257+1,AC257))*60
   ),
"_")</f>
        <v>1171.8367346938774</v>
      </c>
      <c r="AW257" s="221">
        <f>COUNTIFS('Downtime Data'!A:A,Table1[[#This Row],[Date]])</f>
        <v>18</v>
      </c>
      <c r="AX257" s="219">
        <f>IFERROR((SUM(Table1[[#This Row],[Minor Stoppages]:[Material Shortages]])/Table1[[#This Row],['# Stops]])*60,"")</f>
        <v>9.0000000000000018</v>
      </c>
      <c r="AY257" s="219"/>
      <c r="AZ257" s="33">
        <v>46291</v>
      </c>
    </row>
    <row r="258" spans="1:52" ht="20.149999999999999" customHeight="1" x14ac:dyDescent="0.35">
      <c r="A258" s="21">
        <v>46275</v>
      </c>
      <c r="B258" s="22" t="str">
        <f t="shared" si="4"/>
        <v>Thursday</v>
      </c>
      <c r="C258" s="23" t="s">
        <v>106</v>
      </c>
      <c r="D258" s="24" cm="1">
        <f t="array" aca="1" ref="D258" ca="1">IFERROR(INDIRECT(C258),"")</f>
        <v>39.200000000000003</v>
      </c>
      <c r="E258" s="25"/>
      <c r="F258" s="26">
        <f>13.2+2.1</f>
        <v>15.299999999999999</v>
      </c>
      <c r="G258" s="27">
        <f ca="1">IFERROR((Table1[[#This Row],[Plan]]/Table1[[#This Row],[Hours Used]])/(Table1[[#This Row],[SOC (TPD)]]/24),"")</f>
        <v>0</v>
      </c>
      <c r="H258" s="27">
        <f ca="1">IFERROR((Table1[[#This Row],[Volume Delivered (T)]]/Table1[[#This Row],[Hours Used]])/(Table1[[#This Row],[SOC (TPD)]]/24),"")</f>
        <v>0.3903061224489795</v>
      </c>
      <c r="I258" s="28"/>
      <c r="J258" s="28"/>
      <c r="K258" s="28"/>
      <c r="L258" s="25">
        <f>0.16+0.73+0.05+0.21-0.1-0.4</f>
        <v>0.65</v>
      </c>
      <c r="M258" s="29"/>
      <c r="N258" s="84"/>
      <c r="O258" s="25"/>
      <c r="P258" s="25"/>
      <c r="Q258" s="70"/>
      <c r="R258" s="71"/>
      <c r="S258" s="30">
        <f>IF(Table1[[#This Row],[SKU]]="",0,24-Table1[[#This Row],[Legal Non-Operating Time]]-Table1[[#This Row],[No Demand Time]]-Table1[[#This Row],[Force Majeure]])</f>
        <v>24</v>
      </c>
      <c r="T258" s="26"/>
      <c r="U258" s="26"/>
      <c r="V258" s="26">
        <v>12</v>
      </c>
      <c r="W258" s="26"/>
      <c r="X258" s="26"/>
      <c r="Y258" s="26"/>
      <c r="Z258" s="26"/>
      <c r="AA258" s="30">
        <f>Table1[[#This Row],[Hours Used]]-SUM(Table1[[#This Row],[Planned Maintenance]:[Start and Finish Production]])</f>
        <v>12</v>
      </c>
      <c r="AB258" s="26"/>
      <c r="AC258" s="26">
        <v>2.2000000000000002</v>
      </c>
      <c r="AD258" s="26"/>
      <c r="AE258" s="26"/>
      <c r="AF258" s="26"/>
      <c r="AG258" s="26"/>
      <c r="AH258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3.4693877551022823E-2</v>
      </c>
      <c r="AI258" s="24">
        <f ca="1">IFERROR(IF(Table1[[#This Row],[SKU]]="",0,Table1[[#This Row],[Quality Loss (T)]]/(Table1[[#This Row],[SOC (TPD)]]/24)),"")</f>
        <v>0.39795918367346933</v>
      </c>
      <c r="AJ258" s="31">
        <f ca="1">IFERROR(IF(Table1[[#This Row],[SKU]]="",0,Table1[[#This Row],[Volume Delivered (T)]]/(Table1[[#This Row],[SOC (TPD)]]/24)),"")</f>
        <v>9.3673469387755084</v>
      </c>
      <c r="AK258" s="31">
        <f ca="1">IFERROR(Table1[[#This Row],[Operating Time]]/Table1[[#This Row],[PRODUCTION HOURS]],"")</f>
        <v>0.780612244897959</v>
      </c>
      <c r="AL258" s="32"/>
      <c r="AM258" s="32" t="s">
        <v>107</v>
      </c>
      <c r="AN258" s="32" t="s">
        <v>107</v>
      </c>
      <c r="AO258" s="32">
        <v>0</v>
      </c>
      <c r="AP258" s="32">
        <v>0</v>
      </c>
      <c r="AQ258" s="32"/>
      <c r="AR258" s="32" t="str">
        <f>IFERROR(SUMIFS(#REF!,#REF!,'Data Sheet'!A:A,#REF!,"Samridhi Perk Line")/SUMIFS(#REF!,#REF!,'Data Sheet'!A:A,#REF!,"Samridhi Perk Line"),"")</f>
        <v/>
      </c>
      <c r="AS258" s="32"/>
      <c r="AT258" s="32"/>
      <c r="AU258" s="211">
        <f>IFERROR(VLOOKUP(Table1[[#This Row],[Date]],'Overweight Data'!A256:G1351,6,FALSE),"")</f>
        <v>0</v>
      </c>
      <c r="AV258" s="221">
        <f ca="1">IFERROR(
   IF(
      OR(Table1[[#This Row],[Operating Time]]=0, (Table1[[#This Row],[Operating Time]]/IF(AC258&lt;=1,AC258+1,AC258))*60=0),
      1,
      ((Table1[[#This Row],[Operating Time]])/IF(AC258&lt;=1,AC258+1,AC258))*60
   ),
"_")</f>
        <v>255.4730983302411</v>
      </c>
      <c r="AW258" s="221">
        <f>COUNTIFS('Downtime Data'!A:A,Table1[[#This Row],[Date]])</f>
        <v>2</v>
      </c>
      <c r="AX258" s="219">
        <f>IFERROR((SUM(Table1[[#This Row],[Minor Stoppages]:[Material Shortages]])/Table1[[#This Row],['# Stops]])*60,"")</f>
        <v>66</v>
      </c>
      <c r="AY258" s="219"/>
      <c r="AZ258" s="33">
        <v>46291</v>
      </c>
    </row>
    <row r="259" spans="1:52" ht="20.149999999999999" customHeight="1" x14ac:dyDescent="0.35">
      <c r="A259" s="21">
        <v>46276</v>
      </c>
      <c r="B259" s="22" t="str">
        <f t="shared" si="4"/>
        <v>Friday</v>
      </c>
      <c r="C259" s="23" t="s">
        <v>106</v>
      </c>
      <c r="D259" s="24" cm="1">
        <f t="array" aca="1" ref="D259" ca="1">IFERROR(INDIRECT(C259),"")</f>
        <v>39.200000000000003</v>
      </c>
      <c r="E259" s="25"/>
      <c r="F259" s="26">
        <f>22.9+5</f>
        <v>27.9</v>
      </c>
      <c r="G259" s="27">
        <f ca="1">IFERROR((Table1[[#This Row],[Plan]]/Table1[[#This Row],[Hours Used]])/(Table1[[#This Row],[SOC (TPD)]]/24),"")</f>
        <v>0</v>
      </c>
      <c r="H259" s="27">
        <f ca="1">IFERROR((Table1[[#This Row],[Volume Delivered (T)]]/Table1[[#This Row],[Hours Used]])/(Table1[[#This Row],[SOC (TPD)]]/24),"")</f>
        <v>0.71173469387755084</v>
      </c>
      <c r="I259" s="28"/>
      <c r="J259" s="28"/>
      <c r="K259" s="28"/>
      <c r="L259" s="25">
        <f>0.5+1.4+0.15+0.4-0.24-0.58</f>
        <v>1.63</v>
      </c>
      <c r="M259" s="29"/>
      <c r="N259" s="84"/>
      <c r="O259" s="25"/>
      <c r="P259" s="25"/>
      <c r="Q259" s="70"/>
      <c r="R259" s="71"/>
      <c r="S259" s="30">
        <f>IF(Table1[[#This Row],[SKU]]="",0,24-Table1[[#This Row],[Legal Non-Operating Time]]-Table1[[#This Row],[No Demand Time]]-Table1[[#This Row],[Force Majeure]])</f>
        <v>24</v>
      </c>
      <c r="T259" s="26"/>
      <c r="U259" s="26">
        <v>0.75</v>
      </c>
      <c r="V259" s="26"/>
      <c r="W259" s="26"/>
      <c r="X259" s="26"/>
      <c r="Y259" s="26"/>
      <c r="Z259" s="26"/>
      <c r="AA259" s="30">
        <f>Table1[[#This Row],[Hours Used]]-SUM(Table1[[#This Row],[Planned Maintenance]:[Start and Finish Production]])</f>
        <v>23.25</v>
      </c>
      <c r="AB259" s="26"/>
      <c r="AC259" s="26">
        <v>5.0999999999999996</v>
      </c>
      <c r="AD259" s="26"/>
      <c r="AE259" s="26"/>
      <c r="AF259" s="26"/>
      <c r="AG259" s="26"/>
      <c r="AH259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7.0408163265309298E-2</v>
      </c>
      <c r="AI259" s="24">
        <f ca="1">IFERROR(IF(Table1[[#This Row],[SKU]]="",0,Table1[[#This Row],[Quality Loss (T)]]/(Table1[[#This Row],[SOC (TPD)]]/24)),"")</f>
        <v>0.99795918367346925</v>
      </c>
      <c r="AJ259" s="31">
        <f ca="1">IFERROR(IF(Table1[[#This Row],[SKU]]="",0,Table1[[#This Row],[Volume Delivered (T)]]/(Table1[[#This Row],[SOC (TPD)]]/24)),"")</f>
        <v>17.08163265306122</v>
      </c>
      <c r="AK259" s="31">
        <f ca="1">IFERROR(Table1[[#This Row],[Operating Time]]/Table1[[#This Row],[PRODUCTION HOURS]],"")</f>
        <v>0.73469387755102022</v>
      </c>
      <c r="AL259" s="32"/>
      <c r="AM259" s="32" t="s">
        <v>107</v>
      </c>
      <c r="AN259" s="32" t="s">
        <v>107</v>
      </c>
      <c r="AO259" s="32">
        <v>0</v>
      </c>
      <c r="AP259" s="32">
        <v>0</v>
      </c>
      <c r="AQ259" s="32"/>
      <c r="AR259" s="32" t="str">
        <f>IFERROR(SUMIFS(#REF!,#REF!,'Data Sheet'!A:A,#REF!,"Samridhi Perk Line")/SUMIFS(#REF!,#REF!,'Data Sheet'!A:A,#REF!,"Samridhi Perk Line"),"")</f>
        <v/>
      </c>
      <c r="AS259" s="32"/>
      <c r="AT259" s="32"/>
      <c r="AU259" s="211">
        <f>IFERROR(VLOOKUP(Table1[[#This Row],[Date]],'Overweight Data'!A257:G1352,6,FALSE),"")</f>
        <v>0</v>
      </c>
      <c r="AV259" s="221">
        <f ca="1">IFERROR(
   IF(
      OR(Table1[[#This Row],[Operating Time]]=0, (Table1[[#This Row],[Operating Time]]/IF(AC259&lt;=1,AC259+1,AC259))*60=0),
      1,
      ((Table1[[#This Row],[Operating Time]])/IF(AC259&lt;=1,AC259+1,AC259))*60
   ),
"_")</f>
        <v>200.96038415366144</v>
      </c>
      <c r="AW259" s="221">
        <f>COUNTIFS('Downtime Data'!A:A,Table1[[#This Row],[Date]])</f>
        <v>0</v>
      </c>
      <c r="AX259" s="219" t="str">
        <f>IFERROR((SUM(Table1[[#This Row],[Minor Stoppages]:[Material Shortages]])/Table1[[#This Row],['# Stops]])*60,"")</f>
        <v/>
      </c>
      <c r="AY259" s="219"/>
      <c r="AZ259" s="33">
        <v>46291</v>
      </c>
    </row>
    <row r="260" spans="1:52" ht="20.149999999999999" customHeight="1" x14ac:dyDescent="0.35">
      <c r="A260" s="21">
        <v>46277</v>
      </c>
      <c r="B260" s="22" t="str">
        <f t="shared" si="4"/>
        <v>Saturday</v>
      </c>
      <c r="C260" s="23" t="s">
        <v>108</v>
      </c>
      <c r="D260" s="24" cm="1">
        <f t="array" aca="1" ref="D260" ca="1">IFERROR(INDIRECT(C260),"")</f>
        <v>34.200000000000003</v>
      </c>
      <c r="E260" s="25"/>
      <c r="F260" s="26">
        <f>24.2+4.5</f>
        <v>28.7</v>
      </c>
      <c r="G260" s="27">
        <f ca="1">IFERROR((Table1[[#This Row],[Plan]]/Table1[[#This Row],[Hours Used]])/(Table1[[#This Row],[SOC (TPD)]]/24),"")</f>
        <v>0</v>
      </c>
      <c r="H260" s="27">
        <f ca="1">IFERROR((Table1[[#This Row],[Volume Delivered (T)]]/Table1[[#This Row],[Hours Used]])/(Table1[[#This Row],[SOC (TPD)]]/24),"")</f>
        <v>0.83918128654970758</v>
      </c>
      <c r="I260" s="28"/>
      <c r="J260" s="28"/>
      <c r="K260" s="28"/>
      <c r="L260" s="25">
        <f>0.5+1.67+0.18+0.43-0.17-0.68</f>
        <v>1.9300000000000002</v>
      </c>
      <c r="M260" s="29"/>
      <c r="N260" s="84"/>
      <c r="O260" s="25"/>
      <c r="P260" s="25"/>
      <c r="Q260" s="70"/>
      <c r="R260" s="71"/>
      <c r="S260" s="30">
        <f>IF(Table1[[#This Row],[SKU]]="",0,24-Table1[[#This Row],[Legal Non-Operating Time]]-Table1[[#This Row],[No Demand Time]]-Table1[[#This Row],[Force Majeure]])</f>
        <v>24</v>
      </c>
      <c r="T260" s="26"/>
      <c r="U260" s="26">
        <v>0.75</v>
      </c>
      <c r="V260" s="26"/>
      <c r="W260" s="26">
        <v>1.75</v>
      </c>
      <c r="X260" s="26"/>
      <c r="Y260" s="26"/>
      <c r="Z260" s="26"/>
      <c r="AA260" s="30">
        <f>Table1[[#This Row],[Hours Used]]-SUM(Table1[[#This Row],[Planned Maintenance]:[Start and Finish Production]])</f>
        <v>21.5</v>
      </c>
      <c r="AB260" s="26"/>
      <c r="AC260" s="26"/>
      <c r="AD260" s="26"/>
      <c r="AE260" s="26"/>
      <c r="AF260" s="26"/>
      <c r="AG260" s="26"/>
      <c r="AH260" s="24">
        <f ca="1">Table1[[#This Row],[Hours Used]]-SUM(Table1[[#This Row],[Planned Maintenance]:[Start and Finish Production]])-SUM(Table1[[#This Row],[Minor Stoppages]:[Material Shortages]])-Table1[[#This Row],[Quality Loss (Hrs)]]-Table1[[#This Row],[Operating Time]]</f>
        <v>5.2631578947348601E-3</v>
      </c>
      <c r="AI260" s="24">
        <f ca="1">IFERROR(IF(Table1[[#This Row],[SKU]]="",0,Table1[[#This Row],[Quality Loss (T)]]/(Table1[[#This Row],[SOC (TPD)]]/24)),"")</f>
        <v>1.3543859649122807</v>
      </c>
      <c r="AJ260" s="31">
        <f ca="1">IFERROR(IF(Table1[[#This Row],[SKU]]="",0,Table1[[#This Row],[Volume Delivered (T)]]/(Table1[[#This Row],[SOC (TPD)]]/24)),"")</f>
        <v>20.140350877192983</v>
      </c>
      <c r="AK260" s="31">
        <f ca="1">IFERROR(Table1[[#This Row],[Operating Time]]/Table1[[#This Row],[PRODUCTION HOURS]],"")</f>
        <v>0.93676050591595272</v>
      </c>
      <c r="AL260" s="32"/>
      <c r="AM260" s="32"/>
      <c r="AN260" s="32"/>
      <c r="AO260" s="32">
        <v>0</v>
      </c>
      <c r="AP260" s="32">
        <v>0</v>
      </c>
      <c r="AQ260" s="32"/>
      <c r="AR260" s="32" t="str">
        <f>IFERROR(SUMIFS(#REF!,#REF!,'Data Sheet'!A:A,#REF!,"Samridhi Perk Line")/SUMIFS(#REF!,#REF!,'Data Sheet'!A:A,#REF!,"Samridhi Perk Line"),"")</f>
        <v/>
      </c>
      <c r="AS260" s="32"/>
      <c r="AT260" s="32"/>
      <c r="AU260" s="211">
        <f>IFERROR(VLOOKUP(Table1[[#This Row],[Date]],'Overweight Data'!A258:G1353,6,FALSE),"")</f>
        <v>0</v>
      </c>
      <c r="AV260" s="221">
        <f ca="1">IFERROR(
   IF(
      OR(Table1[[#This Row],[Operating Time]]=0, (Table1[[#This Row],[Operating Time]]/IF(AC260&lt;=1,AC260+1,AC260))*60=0),
      1,
      ((Table1[[#This Row],[Operating Time]])/IF(AC260&lt;=1,AC260+1,AC260))*60
   ),
"_")</f>
        <v>1208.421052631579</v>
      </c>
      <c r="AW260" s="221">
        <f>COUNTIFS('Downtime Data'!A:A,Table1[[#This Row],[Date]])</f>
        <v>0</v>
      </c>
      <c r="AX260" s="219" t="str">
        <f>IFERROR((SUM(Table1[[#This Row],[Minor Stoppages]:[Material Shortages]])/Table1[[#This Row],['# Stops]])*60,"")</f>
        <v/>
      </c>
      <c r="AY260" s="219"/>
      <c r="AZ260" s="33">
        <v>46291</v>
      </c>
    </row>
    <row r="261" spans="1:52" ht="20.149999999999999" customHeight="1" x14ac:dyDescent="0.35">
      <c r="A261" s="21">
        <v>46278</v>
      </c>
      <c r="B261" s="22" t="str">
        <f t="shared" si="4"/>
        <v>Sunday</v>
      </c>
      <c r="C261" s="23"/>
      <c r="D261" s="24" t="str" cm="1">
        <f t="array" aca="1" ref="D261" ca="1">IFERROR(INDIRECT(C261),"")</f>
        <v/>
      </c>
      <c r="E261" s="25"/>
      <c r="F261" s="26"/>
      <c r="G261" s="27" t="str">
        <f ca="1">IFERROR((Table1[[#This Row],[Plan]]/Table1[[#This Row],[Hours Used]])/(Table1[[#This Row],[SOC (TPD)]]/24),"")</f>
        <v/>
      </c>
      <c r="H261" s="27" t="str">
        <f ca="1">IFERROR((Table1[[#This Row],[Volume Delivered (T)]]/Table1[[#This Row],[Hours Used]])/(Table1[[#This Row],[SOC (TPD)]]/24),"")</f>
        <v/>
      </c>
      <c r="I261" s="28"/>
      <c r="J261" s="28"/>
      <c r="K261" s="28"/>
      <c r="L261" s="25"/>
      <c r="M261" s="29"/>
      <c r="N261" s="84"/>
      <c r="O261" s="25"/>
      <c r="P261" s="25"/>
      <c r="Q261" s="70"/>
      <c r="R261" s="71"/>
      <c r="S261" s="30">
        <f>IF(Table1[[#This Row],[SKU]]="",0,24-Table1[[#This Row],[Legal Non-Operating Time]]-Table1[[#This Row],[No Demand Time]]-Table1[[#This Row],[Force Majeure]])</f>
        <v>0</v>
      </c>
      <c r="T261" s="26"/>
      <c r="U261" s="26"/>
      <c r="V261" s="26"/>
      <c r="W261" s="26"/>
      <c r="X261" s="26"/>
      <c r="Y261" s="26"/>
      <c r="Z261" s="26"/>
      <c r="AA261" s="30">
        <f>Table1[[#This Row],[Hours Used]]-SUM(Table1[[#This Row],[Planned Maintenance]:[Start and Finish Production]])</f>
        <v>0</v>
      </c>
      <c r="AB261" s="26"/>
      <c r="AC261" s="26"/>
      <c r="AD261" s="26"/>
      <c r="AE261" s="26"/>
      <c r="AF261" s="26"/>
      <c r="AG261" s="26"/>
      <c r="AH261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261" s="24">
        <f>IFERROR(IF(Table1[[#This Row],[SKU]]="",0,Table1[[#This Row],[Quality Loss (T)]]/(Table1[[#This Row],[SOC (TPD)]]/24)),"")</f>
        <v>0</v>
      </c>
      <c r="AJ261" s="31">
        <f>IFERROR(IF(Table1[[#This Row],[SKU]]="",0,Table1[[#This Row],[Volume Delivered (T)]]/(Table1[[#This Row],[SOC (TPD)]]/24)),"")</f>
        <v>0</v>
      </c>
      <c r="AK261" s="31" t="str">
        <f>IFERROR(Table1[[#This Row],[Operating Time]]/Table1[[#This Row],[PRODUCTION HOURS]],"")</f>
        <v/>
      </c>
      <c r="AL261" s="32"/>
      <c r="AM261" s="32"/>
      <c r="AN261" s="32"/>
      <c r="AO261" s="32">
        <v>0</v>
      </c>
      <c r="AP261" s="32">
        <v>0</v>
      </c>
      <c r="AQ261" s="32"/>
      <c r="AR261" s="32" t="str">
        <f>IFERROR(SUMIFS(#REF!,#REF!,'Data Sheet'!A:A,#REF!,"Samridhi Perk Line")/SUMIFS(#REF!,#REF!,'Data Sheet'!A:A,#REF!,"Samridhi Perk Line"),"")</f>
        <v/>
      </c>
      <c r="AS261" s="32"/>
      <c r="AT261" s="32"/>
      <c r="AU261" s="211">
        <f>IFERROR(VLOOKUP(Table1[[#This Row],[Date]],'Overweight Data'!A259:G1354,6,FALSE),"")</f>
        <v>0</v>
      </c>
      <c r="AV261" s="221">
        <f>IFERROR(
   IF(
      OR(Table1[[#This Row],[Operating Time]]=0, (Table1[[#This Row],[Operating Time]]/IF(AC261&lt;=1,AC261+1,AC261))*60=0),
      1,
      ((Table1[[#This Row],[Operating Time]])/IF(AC261&lt;=1,AC261+1,AC261))*60
   ),
"_")</f>
        <v>1</v>
      </c>
      <c r="AW261" s="221">
        <f>COUNTIFS('Downtime Data'!A:A,Table1[[#This Row],[Date]])</f>
        <v>0</v>
      </c>
      <c r="AX261" s="219" t="str">
        <f>IFERROR((SUM(Table1[[#This Row],[Minor Stoppages]:[Material Shortages]])/Table1[[#This Row],['# Stops]])*60,"")</f>
        <v/>
      </c>
      <c r="AY261" s="219"/>
      <c r="AZ261" s="33">
        <v>46291</v>
      </c>
    </row>
    <row r="262" spans="1:52" ht="20.149999999999999" customHeight="1" x14ac:dyDescent="0.35">
      <c r="A262" s="21">
        <v>46279</v>
      </c>
      <c r="B262" s="22" t="str">
        <f t="shared" si="4"/>
        <v>Monday</v>
      </c>
      <c r="C262" s="23"/>
      <c r="D262" s="24" t="str" cm="1">
        <f t="array" aca="1" ref="D262" ca="1">IFERROR(INDIRECT(C262),"")</f>
        <v/>
      </c>
      <c r="E262" s="25"/>
      <c r="F262" s="26"/>
      <c r="G262" s="27" t="str">
        <f ca="1">IFERROR((Table1[[#This Row],[Plan]]/Table1[[#This Row],[Hours Used]])/(Table1[[#This Row],[SOC (TPD)]]/24),"")</f>
        <v/>
      </c>
      <c r="H262" s="27" t="str">
        <f ca="1">IFERROR((Table1[[#This Row],[Volume Delivered (T)]]/Table1[[#This Row],[Hours Used]])/(Table1[[#This Row],[SOC (TPD)]]/24),"")</f>
        <v/>
      </c>
      <c r="I262" s="28"/>
      <c r="J262" s="28"/>
      <c r="K262" s="28"/>
      <c r="L262" s="25"/>
      <c r="M262" s="29"/>
      <c r="N262" s="84"/>
      <c r="O262" s="25"/>
      <c r="P262" s="25"/>
      <c r="Q262" s="70"/>
      <c r="R262" s="71"/>
      <c r="S262" s="30">
        <f>IF(Table1[[#This Row],[SKU]]="",0,24-Table1[[#This Row],[Legal Non-Operating Time]]-Table1[[#This Row],[No Demand Time]]-Table1[[#This Row],[Force Majeure]])</f>
        <v>0</v>
      </c>
      <c r="T262" s="26"/>
      <c r="U262" s="26"/>
      <c r="V262" s="26"/>
      <c r="W262" s="26"/>
      <c r="X262" s="26"/>
      <c r="Y262" s="26"/>
      <c r="Z262" s="26"/>
      <c r="AA262" s="30">
        <f>Table1[[#This Row],[Hours Used]]-SUM(Table1[[#This Row],[Planned Maintenance]:[Start and Finish Production]])</f>
        <v>0</v>
      </c>
      <c r="AB262" s="26"/>
      <c r="AC262" s="26"/>
      <c r="AD262" s="26"/>
      <c r="AE262" s="26"/>
      <c r="AF262" s="26"/>
      <c r="AG262" s="26"/>
      <c r="AH262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262" s="24">
        <f>IFERROR(IF(Table1[[#This Row],[SKU]]="",0,Table1[[#This Row],[Quality Loss (T)]]/(Table1[[#This Row],[SOC (TPD)]]/24)),"")</f>
        <v>0</v>
      </c>
      <c r="AJ262" s="31">
        <f>IFERROR(IF(Table1[[#This Row],[SKU]]="",0,Table1[[#This Row],[Volume Delivered (T)]]/(Table1[[#This Row],[SOC (TPD)]]/24)),"")</f>
        <v>0</v>
      </c>
      <c r="AK262" s="31" t="str">
        <f>IFERROR(Table1[[#This Row],[Operating Time]]/Table1[[#This Row],[PRODUCTION HOURS]],"")</f>
        <v/>
      </c>
      <c r="AL262" s="32"/>
      <c r="AM262" s="32"/>
      <c r="AN262" s="32"/>
      <c r="AO262" s="32">
        <v>0</v>
      </c>
      <c r="AP262" s="32">
        <v>0</v>
      </c>
      <c r="AQ262" s="32"/>
      <c r="AR262" s="32" t="str">
        <f>IFERROR(SUMIFS(#REF!,#REF!,'Data Sheet'!A:A,#REF!,"Samridhi Perk Line")/SUMIFS(#REF!,#REF!,'Data Sheet'!A:A,#REF!,"Samridhi Perk Line"),"")</f>
        <v/>
      </c>
      <c r="AS262" s="32"/>
      <c r="AT262" s="32"/>
      <c r="AU262" s="211">
        <f>IFERROR(VLOOKUP(Table1[[#This Row],[Date]],'Overweight Data'!A260:G1355,6,FALSE),"")</f>
        <v>0</v>
      </c>
      <c r="AV262" s="221">
        <f>IFERROR(
   IF(
      OR(Table1[[#This Row],[Operating Time]]=0, (Table1[[#This Row],[Operating Time]]/IF(AC262&lt;=1,AC262+1,AC262))*60=0),
      1,
      ((Table1[[#This Row],[Operating Time]])/IF(AC262&lt;=1,AC262+1,AC262))*60
   ),
"_")</f>
        <v>1</v>
      </c>
      <c r="AW262" s="221">
        <f>COUNTIFS('Downtime Data'!A:A,Table1[[#This Row],[Date]])</f>
        <v>0</v>
      </c>
      <c r="AX262" s="219" t="str">
        <f>IFERROR((SUM(Table1[[#This Row],[Minor Stoppages]:[Material Shortages]])/Table1[[#This Row],['# Stops]])*60,"")</f>
        <v/>
      </c>
      <c r="AY262" s="219"/>
      <c r="AZ262" s="33">
        <v>46291</v>
      </c>
    </row>
    <row r="263" spans="1:52" ht="20.149999999999999" customHeight="1" x14ac:dyDescent="0.35">
      <c r="A263" s="21">
        <v>46280</v>
      </c>
      <c r="B263" s="22" t="str">
        <f t="shared" si="4"/>
        <v>Tuesday</v>
      </c>
      <c r="C263" s="23"/>
      <c r="D263" s="24" t="str" cm="1">
        <f t="array" aca="1" ref="D263" ca="1">IFERROR(INDIRECT(C263),"")</f>
        <v/>
      </c>
      <c r="E263" s="25"/>
      <c r="F263" s="26"/>
      <c r="G263" s="27" t="str">
        <f ca="1">IFERROR((Table1[[#This Row],[Plan]]/Table1[[#This Row],[Hours Used]])/(Table1[[#This Row],[SOC (TPD)]]/24),"")</f>
        <v/>
      </c>
      <c r="H263" s="27" t="str">
        <f ca="1">IFERROR((Table1[[#This Row],[Volume Delivered (T)]]/Table1[[#This Row],[Hours Used]])/(Table1[[#This Row],[SOC (TPD)]]/24),"")</f>
        <v/>
      </c>
      <c r="I263" s="28"/>
      <c r="J263" s="28"/>
      <c r="K263" s="28"/>
      <c r="L263" s="25"/>
      <c r="M263" s="29"/>
      <c r="N263" s="84"/>
      <c r="O263" s="25"/>
      <c r="P263" s="25"/>
      <c r="Q263" s="70"/>
      <c r="R263" s="71"/>
      <c r="S263" s="30">
        <f>IF(Table1[[#This Row],[SKU]]="",0,24-Table1[[#This Row],[Legal Non-Operating Time]]-Table1[[#This Row],[No Demand Time]]-Table1[[#This Row],[Force Majeure]])</f>
        <v>0</v>
      </c>
      <c r="T263" s="26"/>
      <c r="U263" s="26"/>
      <c r="V263" s="26"/>
      <c r="W263" s="26"/>
      <c r="X263" s="26"/>
      <c r="Y263" s="26"/>
      <c r="Z263" s="26"/>
      <c r="AA263" s="30">
        <f>Table1[[#This Row],[Hours Used]]-SUM(Table1[[#This Row],[Planned Maintenance]:[Start and Finish Production]])</f>
        <v>0</v>
      </c>
      <c r="AB263" s="26"/>
      <c r="AC263" s="26"/>
      <c r="AD263" s="26"/>
      <c r="AE263" s="26"/>
      <c r="AF263" s="26"/>
      <c r="AG263" s="26"/>
      <c r="AH263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263" s="24">
        <f>IFERROR(IF(Table1[[#This Row],[SKU]]="",0,Table1[[#This Row],[Quality Loss (T)]]/(Table1[[#This Row],[SOC (TPD)]]/24)),"")</f>
        <v>0</v>
      </c>
      <c r="AJ263" s="31">
        <f>IFERROR(IF(Table1[[#This Row],[SKU]]="",0,Table1[[#This Row],[Volume Delivered (T)]]/(Table1[[#This Row],[SOC (TPD)]]/24)),"")</f>
        <v>0</v>
      </c>
      <c r="AK263" s="31" t="str">
        <f>IFERROR(Table1[[#This Row],[Operating Time]]/Table1[[#This Row],[PRODUCTION HOURS]],"")</f>
        <v/>
      </c>
      <c r="AL263" s="32"/>
      <c r="AM263" s="32"/>
      <c r="AN263" s="32"/>
      <c r="AO263" s="32">
        <v>0</v>
      </c>
      <c r="AP263" s="32">
        <v>0</v>
      </c>
      <c r="AQ263" s="32"/>
      <c r="AR263" s="32" t="str">
        <f>IFERROR(SUMIFS(#REF!,#REF!,'Data Sheet'!A:A,#REF!,"Samridhi Perk Line")/SUMIFS(#REF!,#REF!,'Data Sheet'!A:A,#REF!,"Samridhi Perk Line"),"")</f>
        <v/>
      </c>
      <c r="AS263" s="32"/>
      <c r="AT263" s="32"/>
      <c r="AU263" s="211">
        <f>IFERROR(VLOOKUP(Table1[[#This Row],[Date]],'Overweight Data'!A261:G1356,6,FALSE),"")</f>
        <v>0</v>
      </c>
      <c r="AV263" s="221">
        <f>IFERROR(
   IF(
      OR(Table1[[#This Row],[Operating Time]]=0, (Table1[[#This Row],[Operating Time]]/IF(AC263&lt;=1,AC263+1,AC263))*60=0),
      1,
      ((Table1[[#This Row],[Operating Time]])/IF(AC263&lt;=1,AC263+1,AC263))*60
   ),
"_")</f>
        <v>1</v>
      </c>
      <c r="AW263" s="221">
        <f>COUNTIFS('Downtime Data'!A:A,Table1[[#This Row],[Date]])</f>
        <v>0</v>
      </c>
      <c r="AX263" s="219" t="str">
        <f>IFERROR((SUM(Table1[[#This Row],[Minor Stoppages]:[Material Shortages]])/Table1[[#This Row],['# Stops]])*60,"")</f>
        <v/>
      </c>
      <c r="AY263" s="219"/>
      <c r="AZ263" s="33">
        <v>46291</v>
      </c>
    </row>
    <row r="264" spans="1:52" ht="20.149999999999999" customHeight="1" x14ac:dyDescent="0.35">
      <c r="A264" s="21">
        <v>46281</v>
      </c>
      <c r="B264" s="22" t="str">
        <f t="shared" si="4"/>
        <v>Wednesday</v>
      </c>
      <c r="C264" s="23"/>
      <c r="D264" s="24" t="str" cm="1">
        <f t="array" aca="1" ref="D264" ca="1">IFERROR(INDIRECT(C264),"")</f>
        <v/>
      </c>
      <c r="E264" s="25"/>
      <c r="F264" s="26"/>
      <c r="G264" s="27" t="str">
        <f ca="1">IFERROR((Table1[[#This Row],[Plan]]/Table1[[#This Row],[Hours Used]])/(Table1[[#This Row],[SOC (TPD)]]/24),"")</f>
        <v/>
      </c>
      <c r="H264" s="27" t="str">
        <f ca="1">IFERROR((Table1[[#This Row],[Volume Delivered (T)]]/Table1[[#This Row],[Hours Used]])/(Table1[[#This Row],[SOC (TPD)]]/24),"")</f>
        <v/>
      </c>
      <c r="I264" s="28"/>
      <c r="J264" s="28"/>
      <c r="K264" s="28"/>
      <c r="L264" s="25"/>
      <c r="M264" s="29"/>
      <c r="N264" s="84"/>
      <c r="O264" s="25"/>
      <c r="P264" s="25"/>
      <c r="Q264" s="70"/>
      <c r="R264" s="71"/>
      <c r="S264" s="30">
        <f>IF(Table1[[#This Row],[SKU]]="",0,24-Table1[[#This Row],[Legal Non-Operating Time]]-Table1[[#This Row],[No Demand Time]]-Table1[[#This Row],[Force Majeure]])</f>
        <v>0</v>
      </c>
      <c r="T264" s="26"/>
      <c r="U264" s="26"/>
      <c r="V264" s="26"/>
      <c r="W264" s="26"/>
      <c r="X264" s="26"/>
      <c r="Y264" s="26"/>
      <c r="Z264" s="26"/>
      <c r="AA264" s="30">
        <f>Table1[[#This Row],[Hours Used]]-SUM(Table1[[#This Row],[Planned Maintenance]:[Start and Finish Production]])</f>
        <v>0</v>
      </c>
      <c r="AB264" s="26"/>
      <c r="AC264" s="26"/>
      <c r="AD264" s="26"/>
      <c r="AE264" s="26"/>
      <c r="AF264" s="26"/>
      <c r="AG264" s="26"/>
      <c r="AH264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264" s="24">
        <f>IFERROR(IF(Table1[[#This Row],[SKU]]="",0,Table1[[#This Row],[Quality Loss (T)]]/(Table1[[#This Row],[SOC (TPD)]]/24)),"")</f>
        <v>0</v>
      </c>
      <c r="AJ264" s="31">
        <f>IFERROR(IF(Table1[[#This Row],[SKU]]="",0,Table1[[#This Row],[Volume Delivered (T)]]/(Table1[[#This Row],[SOC (TPD)]]/24)),"")</f>
        <v>0</v>
      </c>
      <c r="AK264" s="31" t="str">
        <f>IFERROR(Table1[[#This Row],[Operating Time]]/Table1[[#This Row],[PRODUCTION HOURS]],"")</f>
        <v/>
      </c>
      <c r="AL264" s="32"/>
      <c r="AM264" s="32"/>
      <c r="AN264" s="32"/>
      <c r="AO264" s="32">
        <v>3</v>
      </c>
      <c r="AP264" s="32">
        <v>0</v>
      </c>
      <c r="AQ264" s="32"/>
      <c r="AR264" s="32" t="str">
        <f>IFERROR(SUMIFS(#REF!,#REF!,'Data Sheet'!A:A,#REF!,"Samridhi Perk Line")/SUMIFS(#REF!,#REF!,'Data Sheet'!A:A,#REF!,"Samridhi Perk Line"),"")</f>
        <v/>
      </c>
      <c r="AS264" s="32"/>
      <c r="AT264" s="32"/>
      <c r="AU264" s="211">
        <f>IFERROR(VLOOKUP(Table1[[#This Row],[Date]],'Overweight Data'!A262:G1357,6,FALSE),"")</f>
        <v>0</v>
      </c>
      <c r="AV264" s="221">
        <f>IFERROR(
   IF(
      OR(Table1[[#This Row],[Operating Time]]=0, (Table1[[#This Row],[Operating Time]]/IF(AC264&lt;=1,AC264+1,AC264))*60=0),
      1,
      ((Table1[[#This Row],[Operating Time]])/IF(AC264&lt;=1,AC264+1,AC264))*60
   ),
"_")</f>
        <v>1</v>
      </c>
      <c r="AW264" s="221">
        <f>COUNTIFS('Downtime Data'!A:A,Table1[[#This Row],[Date]])</f>
        <v>0</v>
      </c>
      <c r="AX264" s="219" t="str">
        <f>IFERROR((SUM(Table1[[#This Row],[Minor Stoppages]:[Material Shortages]])/Table1[[#This Row],['# Stops]])*60,"")</f>
        <v/>
      </c>
      <c r="AY264" s="219"/>
      <c r="AZ264" s="33">
        <v>46291</v>
      </c>
    </row>
    <row r="265" spans="1:52" ht="20.149999999999999" customHeight="1" x14ac:dyDescent="0.35">
      <c r="A265" s="21">
        <v>46282</v>
      </c>
      <c r="B265" s="22" t="str">
        <f t="shared" si="4"/>
        <v>Thursday</v>
      </c>
      <c r="C265" s="23"/>
      <c r="D265" s="24" t="str" cm="1">
        <f t="array" aca="1" ref="D265" ca="1">IFERROR(INDIRECT(C265),"")</f>
        <v/>
      </c>
      <c r="E265" s="25"/>
      <c r="F265" s="26"/>
      <c r="G265" s="27" t="str">
        <f ca="1">IFERROR((Table1[[#This Row],[Plan]]/Table1[[#This Row],[Hours Used]])/(Table1[[#This Row],[SOC (TPD)]]/24),"")</f>
        <v/>
      </c>
      <c r="H265" s="27" t="str">
        <f ca="1">IFERROR((Table1[[#This Row],[Volume Delivered (T)]]/Table1[[#This Row],[Hours Used]])/(Table1[[#This Row],[SOC (TPD)]]/24),"")</f>
        <v/>
      </c>
      <c r="I265" s="28"/>
      <c r="J265" s="28"/>
      <c r="K265" s="28"/>
      <c r="L265" s="25"/>
      <c r="M265" s="29"/>
      <c r="N265" s="84"/>
      <c r="O265" s="25"/>
      <c r="P265" s="25"/>
      <c r="Q265" s="70"/>
      <c r="R265" s="71"/>
      <c r="S265" s="30">
        <f>IF(Table1[[#This Row],[SKU]]="",0,24-Table1[[#This Row],[Legal Non-Operating Time]]-Table1[[#This Row],[No Demand Time]]-Table1[[#This Row],[Force Majeure]])</f>
        <v>0</v>
      </c>
      <c r="T265" s="26"/>
      <c r="U265" s="26"/>
      <c r="V265" s="26"/>
      <c r="W265" s="26"/>
      <c r="X265" s="26"/>
      <c r="Y265" s="26"/>
      <c r="Z265" s="26"/>
      <c r="AA265" s="30">
        <f>Table1[[#This Row],[Hours Used]]-SUM(Table1[[#This Row],[Planned Maintenance]:[Start and Finish Production]])</f>
        <v>0</v>
      </c>
      <c r="AB265" s="26"/>
      <c r="AC265" s="26"/>
      <c r="AD265" s="26"/>
      <c r="AE265" s="26"/>
      <c r="AF265" s="26"/>
      <c r="AG265" s="26"/>
      <c r="AH265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265" s="24">
        <f>IFERROR(IF(Table1[[#This Row],[SKU]]="",0,Table1[[#This Row],[Quality Loss (T)]]/(Table1[[#This Row],[SOC (TPD)]]/24)),"")</f>
        <v>0</v>
      </c>
      <c r="AJ265" s="31">
        <f>IFERROR(IF(Table1[[#This Row],[SKU]]="",0,Table1[[#This Row],[Volume Delivered (T)]]/(Table1[[#This Row],[SOC (TPD)]]/24)),"")</f>
        <v>0</v>
      </c>
      <c r="AK265" s="31" t="str">
        <f>IFERROR(Table1[[#This Row],[Operating Time]]/Table1[[#This Row],[PRODUCTION HOURS]],"")</f>
        <v/>
      </c>
      <c r="AL265" s="32"/>
      <c r="AM265" s="32"/>
      <c r="AN265" s="32"/>
      <c r="AO265" s="32">
        <v>0</v>
      </c>
      <c r="AP265" s="32">
        <v>0</v>
      </c>
      <c r="AQ265" s="32"/>
      <c r="AR265" s="32" t="str">
        <f>IFERROR(SUMIFS(#REF!,#REF!,'Data Sheet'!A:A,#REF!,"Samridhi Perk Line")/SUMIFS(#REF!,#REF!,'Data Sheet'!A:A,#REF!,"Samridhi Perk Line"),"")</f>
        <v/>
      </c>
      <c r="AS265" s="32"/>
      <c r="AT265" s="32"/>
      <c r="AU265" s="211">
        <f>IFERROR(VLOOKUP(Table1[[#This Row],[Date]],'Overweight Data'!A263:G1358,6,FALSE),"")</f>
        <v>0</v>
      </c>
      <c r="AV265" s="221">
        <f>IFERROR(
   IF(
      OR(Table1[[#This Row],[Operating Time]]=0, (Table1[[#This Row],[Operating Time]]/IF(AC265&lt;=1,AC265+1,AC265))*60=0),
      1,
      ((Table1[[#This Row],[Operating Time]])/IF(AC265&lt;=1,AC265+1,AC265))*60
   ),
"_")</f>
        <v>1</v>
      </c>
      <c r="AW265" s="221">
        <f>COUNTIFS('Downtime Data'!A:A,Table1[[#This Row],[Date]])</f>
        <v>0</v>
      </c>
      <c r="AX265" s="219" t="str">
        <f>IFERROR((SUM(Table1[[#This Row],[Minor Stoppages]:[Material Shortages]])/Table1[[#This Row],['# Stops]])*60,"")</f>
        <v/>
      </c>
      <c r="AY265" s="219"/>
      <c r="AZ265" s="33">
        <v>46291</v>
      </c>
    </row>
    <row r="266" spans="1:52" ht="20.149999999999999" customHeight="1" x14ac:dyDescent="0.35">
      <c r="A266" s="21">
        <v>46283</v>
      </c>
      <c r="B266" s="22" t="str">
        <f t="shared" si="4"/>
        <v>Friday</v>
      </c>
      <c r="C266" s="23"/>
      <c r="D266" s="24" t="str" cm="1">
        <f t="array" aca="1" ref="D266" ca="1">IFERROR(INDIRECT(C266),"")</f>
        <v/>
      </c>
      <c r="E266" s="25"/>
      <c r="F266" s="26"/>
      <c r="G266" s="27" t="str">
        <f ca="1">IFERROR((Table1[[#This Row],[Plan]]/Table1[[#This Row],[Hours Used]])/(Table1[[#This Row],[SOC (TPD)]]/24),"")</f>
        <v/>
      </c>
      <c r="H266" s="27" t="str">
        <f ca="1">IFERROR((Table1[[#This Row],[Volume Delivered (T)]]/Table1[[#This Row],[Hours Used]])/(Table1[[#This Row],[SOC (TPD)]]/24),"")</f>
        <v/>
      </c>
      <c r="I266" s="28"/>
      <c r="J266" s="28"/>
      <c r="K266" s="28"/>
      <c r="L266" s="25"/>
      <c r="M266" s="29"/>
      <c r="N266" s="84"/>
      <c r="O266" s="25"/>
      <c r="P266" s="25"/>
      <c r="Q266" s="70"/>
      <c r="R266" s="71"/>
      <c r="S266" s="30">
        <f>IF(Table1[[#This Row],[SKU]]="",0,24-Table1[[#This Row],[Legal Non-Operating Time]]-Table1[[#This Row],[No Demand Time]]-Table1[[#This Row],[Force Majeure]])</f>
        <v>0</v>
      </c>
      <c r="T266" s="26"/>
      <c r="U266" s="26"/>
      <c r="V266" s="26"/>
      <c r="W266" s="26"/>
      <c r="X266" s="26"/>
      <c r="Y266" s="26"/>
      <c r="Z266" s="26"/>
      <c r="AA266" s="30">
        <f>Table1[[#This Row],[Hours Used]]-SUM(Table1[[#This Row],[Planned Maintenance]:[Start and Finish Production]])</f>
        <v>0</v>
      </c>
      <c r="AB266" s="26"/>
      <c r="AC266" s="26"/>
      <c r="AD266" s="26"/>
      <c r="AE266" s="26"/>
      <c r="AF266" s="26"/>
      <c r="AG266" s="26"/>
      <c r="AH266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266" s="24">
        <f>IFERROR(IF(Table1[[#This Row],[SKU]]="",0,Table1[[#This Row],[Quality Loss (T)]]/(Table1[[#This Row],[SOC (TPD)]]/24)),"")</f>
        <v>0</v>
      </c>
      <c r="AJ266" s="31">
        <f>IFERROR(IF(Table1[[#This Row],[SKU]]="",0,Table1[[#This Row],[Volume Delivered (T)]]/(Table1[[#This Row],[SOC (TPD)]]/24)),"")</f>
        <v>0</v>
      </c>
      <c r="AK266" s="31" t="str">
        <f>IFERROR(Table1[[#This Row],[Operating Time]]/Table1[[#This Row],[PRODUCTION HOURS]],"")</f>
        <v/>
      </c>
      <c r="AL266" s="32"/>
      <c r="AM266" s="32"/>
      <c r="AN266" s="32"/>
      <c r="AO266" s="32">
        <v>0</v>
      </c>
      <c r="AP266" s="32">
        <v>0</v>
      </c>
      <c r="AQ266" s="32"/>
      <c r="AR266" s="32" t="str">
        <f>IFERROR(SUMIFS(#REF!,#REF!,'Data Sheet'!A:A,#REF!,"Samridhi Perk Line")/SUMIFS(#REF!,#REF!,'Data Sheet'!A:A,#REF!,"Samridhi Perk Line"),"")</f>
        <v/>
      </c>
      <c r="AS266" s="32"/>
      <c r="AT266" s="32"/>
      <c r="AU266" s="211">
        <f>IFERROR(VLOOKUP(Table1[[#This Row],[Date]],'Overweight Data'!A264:G1359,6,FALSE),"")</f>
        <v>0</v>
      </c>
      <c r="AV266" s="221">
        <f>IFERROR(
   IF(
      OR(Table1[[#This Row],[Operating Time]]=0, (Table1[[#This Row],[Operating Time]]/IF(AC266&lt;=1,AC266+1,AC266))*60=0),
      1,
      ((Table1[[#This Row],[Operating Time]])/IF(AC266&lt;=1,AC266+1,AC266))*60
   ),
"_")</f>
        <v>1</v>
      </c>
      <c r="AW266" s="221">
        <f>COUNTIFS('Downtime Data'!A:A,Table1[[#This Row],[Date]])</f>
        <v>0</v>
      </c>
      <c r="AX266" s="219" t="str">
        <f>IFERROR((SUM(Table1[[#This Row],[Minor Stoppages]:[Material Shortages]])/Table1[[#This Row],['# Stops]])*60,"")</f>
        <v/>
      </c>
      <c r="AY266" s="219"/>
      <c r="AZ266" s="33">
        <v>46291</v>
      </c>
    </row>
    <row r="267" spans="1:52" ht="20.149999999999999" customHeight="1" x14ac:dyDescent="0.35">
      <c r="A267" s="21">
        <v>46284</v>
      </c>
      <c r="B267" s="22" t="str">
        <f t="shared" ref="B267:B330" si="6">IF(A267="","",TEXT(A267,"dddddd"))</f>
        <v>Saturday</v>
      </c>
      <c r="C267" s="23"/>
      <c r="D267" s="24" t="str" cm="1">
        <f t="array" aca="1" ref="D267" ca="1">IFERROR(INDIRECT(C267),"")</f>
        <v/>
      </c>
      <c r="E267" s="25"/>
      <c r="F267" s="26"/>
      <c r="G267" s="27" t="str">
        <f ca="1">IFERROR((Table1[[#This Row],[Plan]]/Table1[[#This Row],[Hours Used]])/(Table1[[#This Row],[SOC (TPD)]]/24),"")</f>
        <v/>
      </c>
      <c r="H267" s="27" t="str">
        <f ca="1">IFERROR((Table1[[#This Row],[Volume Delivered (T)]]/Table1[[#This Row],[Hours Used]])/(Table1[[#This Row],[SOC (TPD)]]/24),"")</f>
        <v/>
      </c>
      <c r="I267" s="28"/>
      <c r="J267" s="28"/>
      <c r="K267" s="28"/>
      <c r="L267" s="25"/>
      <c r="M267" s="29"/>
      <c r="N267" s="84"/>
      <c r="O267" s="25"/>
      <c r="P267" s="25"/>
      <c r="Q267" s="70"/>
      <c r="R267" s="71"/>
      <c r="S267" s="30">
        <f>IF(Table1[[#This Row],[SKU]]="",0,24-Table1[[#This Row],[Legal Non-Operating Time]]-Table1[[#This Row],[No Demand Time]]-Table1[[#This Row],[Force Majeure]])</f>
        <v>0</v>
      </c>
      <c r="T267" s="26"/>
      <c r="U267" s="26"/>
      <c r="V267" s="26"/>
      <c r="W267" s="26"/>
      <c r="X267" s="26"/>
      <c r="Y267" s="26"/>
      <c r="Z267" s="26"/>
      <c r="AA267" s="30">
        <f>Table1[[#This Row],[Hours Used]]-SUM(Table1[[#This Row],[Planned Maintenance]:[Start and Finish Production]])</f>
        <v>0</v>
      </c>
      <c r="AB267" s="26"/>
      <c r="AC267" s="26"/>
      <c r="AD267" s="26"/>
      <c r="AE267" s="26"/>
      <c r="AF267" s="26"/>
      <c r="AG267" s="26"/>
      <c r="AH267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267" s="24">
        <f>IFERROR(IF(Table1[[#This Row],[SKU]]="",0,Table1[[#This Row],[Quality Loss (T)]]/(Table1[[#This Row],[SOC (TPD)]]/24)),"")</f>
        <v>0</v>
      </c>
      <c r="AJ267" s="31">
        <f>IFERROR(IF(Table1[[#This Row],[SKU]]="",0,Table1[[#This Row],[Volume Delivered (T)]]/(Table1[[#This Row],[SOC (TPD)]]/24)),"")</f>
        <v>0</v>
      </c>
      <c r="AK267" s="31" t="str">
        <f>IFERROR(Table1[[#This Row],[Operating Time]]/Table1[[#This Row],[PRODUCTION HOURS]],"")</f>
        <v/>
      </c>
      <c r="AL267" s="32"/>
      <c r="AM267" s="32"/>
      <c r="AN267" s="32"/>
      <c r="AO267" s="32">
        <v>17</v>
      </c>
      <c r="AP267" s="32">
        <v>0</v>
      </c>
      <c r="AQ267" s="32"/>
      <c r="AR267" s="32" t="str">
        <f>IFERROR(SUMIFS(#REF!,#REF!,'Data Sheet'!A:A,#REF!,"Samridhi Perk Line")/SUMIFS(#REF!,#REF!,'Data Sheet'!A:A,#REF!,"Samridhi Perk Line"),"")</f>
        <v/>
      </c>
      <c r="AS267" s="32"/>
      <c r="AT267" s="32"/>
      <c r="AU267" s="211">
        <f>IFERROR(VLOOKUP(Table1[[#This Row],[Date]],'Overweight Data'!A265:G1360,6,FALSE),"")</f>
        <v>0</v>
      </c>
      <c r="AV267" s="221">
        <f>IFERROR(
   IF(
      OR(Table1[[#This Row],[Operating Time]]=0, (Table1[[#This Row],[Operating Time]]/IF(AC267&lt;=1,AC267+1,AC267))*60=0),
      1,
      ((Table1[[#This Row],[Operating Time]])/IF(AC267&lt;=1,AC267+1,AC267))*60
   ),
"_")</f>
        <v>1</v>
      </c>
      <c r="AW267" s="221">
        <f>COUNTIFS('Downtime Data'!A:A,Table1[[#This Row],[Date]])</f>
        <v>0</v>
      </c>
      <c r="AX267" s="219" t="str">
        <f>IFERROR((SUM(Table1[[#This Row],[Minor Stoppages]:[Material Shortages]])/Table1[[#This Row],['# Stops]])*60,"")</f>
        <v/>
      </c>
      <c r="AY267" s="219"/>
      <c r="AZ267" s="33">
        <v>46291</v>
      </c>
    </row>
    <row r="268" spans="1:52" ht="20.149999999999999" customHeight="1" x14ac:dyDescent="0.35">
      <c r="A268" s="21">
        <v>46285</v>
      </c>
      <c r="B268" s="22" t="str">
        <f t="shared" si="6"/>
        <v>Sunday</v>
      </c>
      <c r="C268" s="23"/>
      <c r="D268" s="24" t="str" cm="1">
        <f t="array" aca="1" ref="D268" ca="1">IFERROR(INDIRECT(C268),"")</f>
        <v/>
      </c>
      <c r="E268" s="25"/>
      <c r="F268" s="26"/>
      <c r="G268" s="27" t="str">
        <f ca="1">IFERROR((Table1[[#This Row],[Plan]]/Table1[[#This Row],[Hours Used]])/(Table1[[#This Row],[SOC (TPD)]]/24),"")</f>
        <v/>
      </c>
      <c r="H268" s="27" t="str">
        <f ca="1">IFERROR((Table1[[#This Row],[Volume Delivered (T)]]/Table1[[#This Row],[Hours Used]])/(Table1[[#This Row],[SOC (TPD)]]/24),"")</f>
        <v/>
      </c>
      <c r="I268" s="28"/>
      <c r="J268" s="28"/>
      <c r="K268" s="28"/>
      <c r="L268" s="25"/>
      <c r="M268" s="29"/>
      <c r="N268" s="84"/>
      <c r="O268" s="25"/>
      <c r="P268" s="25"/>
      <c r="Q268" s="70"/>
      <c r="R268" s="71"/>
      <c r="S268" s="30">
        <f>IF(Table1[[#This Row],[SKU]]="",0,24-Table1[[#This Row],[Legal Non-Operating Time]]-Table1[[#This Row],[No Demand Time]]-Table1[[#This Row],[Force Majeure]])</f>
        <v>0</v>
      </c>
      <c r="T268" s="26"/>
      <c r="U268" s="26"/>
      <c r="V268" s="26"/>
      <c r="W268" s="26"/>
      <c r="X268" s="26"/>
      <c r="Y268" s="26"/>
      <c r="Z268" s="26"/>
      <c r="AA268" s="30">
        <f>Table1[[#This Row],[Hours Used]]-SUM(Table1[[#This Row],[Planned Maintenance]:[Start and Finish Production]])</f>
        <v>0</v>
      </c>
      <c r="AB268" s="26"/>
      <c r="AC268" s="26"/>
      <c r="AD268" s="26"/>
      <c r="AE268" s="26"/>
      <c r="AF268" s="26"/>
      <c r="AG268" s="26"/>
      <c r="AH268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268" s="24">
        <f>IFERROR(IF(Table1[[#This Row],[SKU]]="",0,Table1[[#This Row],[Quality Loss (T)]]/(Table1[[#This Row],[SOC (TPD)]]/24)),"")</f>
        <v>0</v>
      </c>
      <c r="AJ268" s="31">
        <f>IFERROR(IF(Table1[[#This Row],[SKU]]="",0,Table1[[#This Row],[Volume Delivered (T)]]/(Table1[[#This Row],[SOC (TPD)]]/24)),"")</f>
        <v>0</v>
      </c>
      <c r="AK268" s="31" t="str">
        <f>IFERROR(Table1[[#This Row],[Operating Time]]/Table1[[#This Row],[PRODUCTION HOURS]],"")</f>
        <v/>
      </c>
      <c r="AL268" s="32"/>
      <c r="AM268" s="32"/>
      <c r="AN268" s="32"/>
      <c r="AO268" s="32">
        <v>10</v>
      </c>
      <c r="AP268" s="32">
        <v>0</v>
      </c>
      <c r="AQ268" s="32"/>
      <c r="AR268" s="32" t="str">
        <f>IFERROR(SUMIFS(#REF!,#REF!,'Data Sheet'!A:A,#REF!,"Samridhi Perk Line")/SUMIFS(#REF!,#REF!,'Data Sheet'!A:A,#REF!,"Samridhi Perk Line"),"")</f>
        <v/>
      </c>
      <c r="AS268" s="32"/>
      <c r="AT268" s="32"/>
      <c r="AU268" s="211">
        <f>IFERROR(VLOOKUP(Table1[[#This Row],[Date]],'Overweight Data'!A266:G1361,6,FALSE),"")</f>
        <v>0</v>
      </c>
      <c r="AV268" s="221">
        <f>IFERROR(
   IF(
      OR(Table1[[#This Row],[Operating Time]]=0, (Table1[[#This Row],[Operating Time]]/IF(AC268&lt;=1,AC268+1,AC268))*60=0),
      1,
      ((Table1[[#This Row],[Operating Time]])/IF(AC268&lt;=1,AC268+1,AC268))*60
   ),
"_")</f>
        <v>1</v>
      </c>
      <c r="AW268" s="221">
        <f>COUNTIFS('Downtime Data'!A:A,Table1[[#This Row],[Date]])</f>
        <v>0</v>
      </c>
      <c r="AX268" s="219" t="str">
        <f>IFERROR((SUM(Table1[[#This Row],[Minor Stoppages]:[Material Shortages]])/Table1[[#This Row],['# Stops]])*60,"")</f>
        <v/>
      </c>
      <c r="AY268" s="219"/>
      <c r="AZ268" s="33">
        <v>46291</v>
      </c>
    </row>
    <row r="269" spans="1:52" ht="20.149999999999999" customHeight="1" x14ac:dyDescent="0.35">
      <c r="A269" s="21">
        <v>46286</v>
      </c>
      <c r="B269" s="22" t="str">
        <f t="shared" si="6"/>
        <v>Monday</v>
      </c>
      <c r="C269" s="23"/>
      <c r="D269" s="24" t="str" cm="1">
        <f t="array" aca="1" ref="D269" ca="1">IFERROR(INDIRECT(C269),"")</f>
        <v/>
      </c>
      <c r="E269" s="25"/>
      <c r="F269" s="26"/>
      <c r="G269" s="27" t="str">
        <f ca="1">IFERROR((Table1[[#This Row],[Plan]]/Table1[[#This Row],[Hours Used]])/(Table1[[#This Row],[SOC (TPD)]]/24),"")</f>
        <v/>
      </c>
      <c r="H269" s="27" t="str">
        <f ca="1">IFERROR((Table1[[#This Row],[Volume Delivered (T)]]/Table1[[#This Row],[Hours Used]])/(Table1[[#This Row],[SOC (TPD)]]/24),"")</f>
        <v/>
      </c>
      <c r="I269" s="28"/>
      <c r="J269" s="28"/>
      <c r="K269" s="28"/>
      <c r="L269" s="25"/>
      <c r="M269" s="29"/>
      <c r="N269" s="84"/>
      <c r="O269" s="25"/>
      <c r="P269" s="25"/>
      <c r="Q269" s="70"/>
      <c r="R269" s="71"/>
      <c r="S269" s="30">
        <f>IF(Table1[[#This Row],[SKU]]="",0,24-Table1[[#This Row],[Legal Non-Operating Time]]-Table1[[#This Row],[No Demand Time]]-Table1[[#This Row],[Force Majeure]])</f>
        <v>0</v>
      </c>
      <c r="T269" s="26"/>
      <c r="U269" s="26"/>
      <c r="V269" s="26"/>
      <c r="W269" s="26"/>
      <c r="X269" s="26"/>
      <c r="Y269" s="26"/>
      <c r="Z269" s="26"/>
      <c r="AA269" s="30">
        <f>Table1[[#This Row],[Hours Used]]-SUM(Table1[[#This Row],[Planned Maintenance]:[Start and Finish Production]])</f>
        <v>0</v>
      </c>
      <c r="AB269" s="26"/>
      <c r="AC269" s="26"/>
      <c r="AD269" s="26"/>
      <c r="AE269" s="26"/>
      <c r="AF269" s="26"/>
      <c r="AG269" s="26"/>
      <c r="AH269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269" s="24">
        <f>IFERROR(IF(Table1[[#This Row],[SKU]]="",0,Table1[[#This Row],[Quality Loss (T)]]/(Table1[[#This Row],[SOC (TPD)]]/24)),"")</f>
        <v>0</v>
      </c>
      <c r="AJ269" s="31">
        <f>IFERROR(IF(Table1[[#This Row],[SKU]]="",0,Table1[[#This Row],[Volume Delivered (T)]]/(Table1[[#This Row],[SOC (TPD)]]/24)),"")</f>
        <v>0</v>
      </c>
      <c r="AK269" s="31" t="str">
        <f>IFERROR(Table1[[#This Row],[Operating Time]]/Table1[[#This Row],[PRODUCTION HOURS]],"")</f>
        <v/>
      </c>
      <c r="AL269" s="32"/>
      <c r="AM269" s="32"/>
      <c r="AN269" s="32"/>
      <c r="AO269" s="32">
        <v>0</v>
      </c>
      <c r="AP269" s="32">
        <v>0</v>
      </c>
      <c r="AQ269" s="32"/>
      <c r="AR269" s="32" t="str">
        <f>IFERROR(SUMIFS(#REF!,#REF!,'Data Sheet'!A:A,#REF!,"Samridhi Perk Line")/SUMIFS(#REF!,#REF!,'Data Sheet'!A:A,#REF!,"Samridhi Perk Line"),"")</f>
        <v/>
      </c>
      <c r="AS269" s="32"/>
      <c r="AT269" s="32"/>
      <c r="AU269" s="211">
        <f>IFERROR(VLOOKUP(Table1[[#This Row],[Date]],'Overweight Data'!A267:G1362,6,FALSE),"")</f>
        <v>0</v>
      </c>
      <c r="AV269" s="221">
        <f>IFERROR(
   IF(
      OR(Table1[[#This Row],[Operating Time]]=0, (Table1[[#This Row],[Operating Time]]/IF(AC269&lt;=1,AC269+1,AC269))*60=0),
      1,
      ((Table1[[#This Row],[Operating Time]])/IF(AC269&lt;=1,AC269+1,AC269))*60
   ),
"_")</f>
        <v>1</v>
      </c>
      <c r="AW269" s="221">
        <f>COUNTIFS('Downtime Data'!A:A,Table1[[#This Row],[Date]])</f>
        <v>0</v>
      </c>
      <c r="AX269" s="219" t="str">
        <f>IFERROR((SUM(Table1[[#This Row],[Minor Stoppages]:[Material Shortages]])/Table1[[#This Row],['# Stops]])*60,"")</f>
        <v/>
      </c>
      <c r="AY269" s="219"/>
      <c r="AZ269" s="33">
        <v>46291</v>
      </c>
    </row>
    <row r="270" spans="1:52" ht="20.149999999999999" customHeight="1" x14ac:dyDescent="0.35">
      <c r="A270" s="21">
        <v>46287</v>
      </c>
      <c r="B270" s="22" t="str">
        <f t="shared" si="6"/>
        <v>Tuesday</v>
      </c>
      <c r="C270" s="23"/>
      <c r="D270" s="24" t="str" cm="1">
        <f t="array" aca="1" ref="D270" ca="1">IFERROR(INDIRECT(C270),"")</f>
        <v/>
      </c>
      <c r="E270" s="25"/>
      <c r="F270" s="26"/>
      <c r="G270" s="27" t="str">
        <f ca="1">IFERROR((Table1[[#This Row],[Plan]]/Table1[[#This Row],[Hours Used]])/(Table1[[#This Row],[SOC (TPD)]]/24),"")</f>
        <v/>
      </c>
      <c r="H270" s="27" t="str">
        <f ca="1">IFERROR((Table1[[#This Row],[Volume Delivered (T)]]/Table1[[#This Row],[Hours Used]])/(Table1[[#This Row],[SOC (TPD)]]/24),"")</f>
        <v/>
      </c>
      <c r="I270" s="28"/>
      <c r="J270" s="28"/>
      <c r="K270" s="28"/>
      <c r="L270" s="25"/>
      <c r="M270" s="29"/>
      <c r="N270" s="84"/>
      <c r="O270" s="25"/>
      <c r="P270" s="25"/>
      <c r="Q270" s="70"/>
      <c r="R270" s="71"/>
      <c r="S270" s="30">
        <f>IF(Table1[[#This Row],[SKU]]="",0,24-Table1[[#This Row],[Legal Non-Operating Time]]-Table1[[#This Row],[No Demand Time]]-Table1[[#This Row],[Force Majeure]])</f>
        <v>0</v>
      </c>
      <c r="T270" s="26"/>
      <c r="U270" s="26"/>
      <c r="V270" s="26"/>
      <c r="W270" s="26"/>
      <c r="X270" s="26"/>
      <c r="Y270" s="26"/>
      <c r="Z270" s="26"/>
      <c r="AA270" s="30">
        <f>Table1[[#This Row],[Hours Used]]-SUM(Table1[[#This Row],[Planned Maintenance]:[Start and Finish Production]])</f>
        <v>0</v>
      </c>
      <c r="AB270" s="26"/>
      <c r="AC270" s="26"/>
      <c r="AD270" s="26"/>
      <c r="AE270" s="26"/>
      <c r="AF270" s="26"/>
      <c r="AG270" s="26"/>
      <c r="AH270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270" s="24">
        <f>IFERROR(IF(Table1[[#This Row],[SKU]]="",0,Table1[[#This Row],[Quality Loss (T)]]/(Table1[[#This Row],[SOC (TPD)]]/24)),"")</f>
        <v>0</v>
      </c>
      <c r="AJ270" s="31">
        <f>IFERROR(IF(Table1[[#This Row],[SKU]]="",0,Table1[[#This Row],[Volume Delivered (T)]]/(Table1[[#This Row],[SOC (TPD)]]/24)),"")</f>
        <v>0</v>
      </c>
      <c r="AK270" s="31" t="str">
        <f>IFERROR(Table1[[#This Row],[Operating Time]]/Table1[[#This Row],[PRODUCTION HOURS]],"")</f>
        <v/>
      </c>
      <c r="AL270" s="32"/>
      <c r="AM270" s="32"/>
      <c r="AN270" s="32"/>
      <c r="AO270" s="32">
        <v>0</v>
      </c>
      <c r="AP270" s="32">
        <v>0</v>
      </c>
      <c r="AQ270" s="32"/>
      <c r="AR270" s="32" t="str">
        <f>IFERROR(SUMIFS(#REF!,#REF!,'Data Sheet'!A:A,#REF!,"Samridhi Perk Line")/SUMIFS(#REF!,#REF!,'Data Sheet'!A:A,#REF!,"Samridhi Perk Line"),"")</f>
        <v/>
      </c>
      <c r="AS270" s="32"/>
      <c r="AT270" s="32"/>
      <c r="AU270" s="211">
        <f>IFERROR(VLOOKUP(Table1[[#This Row],[Date]],'Overweight Data'!A268:G1363,6,FALSE),"")</f>
        <v>0</v>
      </c>
      <c r="AV270" s="221">
        <f>IFERROR(
   IF(
      OR(Table1[[#This Row],[Operating Time]]=0, (Table1[[#This Row],[Operating Time]]/IF(AC270&lt;=1,AC270+1,AC270))*60=0),
      1,
      ((Table1[[#This Row],[Operating Time]])/IF(AC270&lt;=1,AC270+1,AC270))*60
   ),
"_")</f>
        <v>1</v>
      </c>
      <c r="AW270" s="221">
        <f>COUNTIFS('Downtime Data'!A:A,Table1[[#This Row],[Date]])</f>
        <v>0</v>
      </c>
      <c r="AX270" s="219" t="str">
        <f>IFERROR((SUM(Table1[[#This Row],[Minor Stoppages]:[Material Shortages]])/Table1[[#This Row],['# Stops]])*60,"")</f>
        <v/>
      </c>
      <c r="AY270" s="219"/>
      <c r="AZ270" s="33">
        <v>46291</v>
      </c>
    </row>
    <row r="271" spans="1:52" ht="20.149999999999999" customHeight="1" x14ac:dyDescent="0.35">
      <c r="A271" s="21">
        <v>46288</v>
      </c>
      <c r="B271" s="22" t="str">
        <f t="shared" si="6"/>
        <v>Wednesday</v>
      </c>
      <c r="C271" s="23"/>
      <c r="D271" s="24" t="str" cm="1">
        <f t="array" aca="1" ref="D271" ca="1">IFERROR(INDIRECT(C271),"")</f>
        <v/>
      </c>
      <c r="E271" s="25"/>
      <c r="F271" s="26"/>
      <c r="G271" s="27" t="str">
        <f ca="1">IFERROR((Table1[[#This Row],[Plan]]/Table1[[#This Row],[Hours Used]])/(Table1[[#This Row],[SOC (TPD)]]/24),"")</f>
        <v/>
      </c>
      <c r="H271" s="27" t="str">
        <f ca="1">IFERROR((Table1[[#This Row],[Volume Delivered (T)]]/Table1[[#This Row],[Hours Used]])/(Table1[[#This Row],[SOC (TPD)]]/24),"")</f>
        <v/>
      </c>
      <c r="I271" s="28"/>
      <c r="J271" s="28"/>
      <c r="K271" s="28"/>
      <c r="L271" s="25"/>
      <c r="M271" s="29"/>
      <c r="N271" s="84"/>
      <c r="O271" s="25"/>
      <c r="P271" s="25"/>
      <c r="Q271" s="70"/>
      <c r="R271" s="71"/>
      <c r="S271" s="30">
        <f>IF(Table1[[#This Row],[SKU]]="",0,24-Table1[[#This Row],[Legal Non-Operating Time]]-Table1[[#This Row],[No Demand Time]]-Table1[[#This Row],[Force Majeure]])</f>
        <v>0</v>
      </c>
      <c r="T271" s="26"/>
      <c r="U271" s="26"/>
      <c r="V271" s="26"/>
      <c r="W271" s="26"/>
      <c r="X271" s="26"/>
      <c r="Y271" s="26"/>
      <c r="Z271" s="26"/>
      <c r="AA271" s="30">
        <f>Table1[[#This Row],[Hours Used]]-SUM(Table1[[#This Row],[Planned Maintenance]:[Start and Finish Production]])</f>
        <v>0</v>
      </c>
      <c r="AB271" s="26"/>
      <c r="AC271" s="26"/>
      <c r="AD271" s="26"/>
      <c r="AE271" s="26"/>
      <c r="AF271" s="26"/>
      <c r="AG271" s="26"/>
      <c r="AH271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271" s="24">
        <f>IFERROR(IF(Table1[[#This Row],[SKU]]="",0,Table1[[#This Row],[Quality Loss (T)]]/(Table1[[#This Row],[SOC (TPD)]]/24)),"")</f>
        <v>0</v>
      </c>
      <c r="AJ271" s="31">
        <f>IFERROR(IF(Table1[[#This Row],[SKU]]="",0,Table1[[#This Row],[Volume Delivered (T)]]/(Table1[[#This Row],[SOC (TPD)]]/24)),"")</f>
        <v>0</v>
      </c>
      <c r="AK271" s="31" t="str">
        <f>IFERROR(Table1[[#This Row],[Operating Time]]/Table1[[#This Row],[PRODUCTION HOURS]],"")</f>
        <v/>
      </c>
      <c r="AL271" s="32"/>
      <c r="AM271" s="32"/>
      <c r="AN271" s="32"/>
      <c r="AO271" s="32">
        <v>0</v>
      </c>
      <c r="AP271" s="32">
        <v>0</v>
      </c>
      <c r="AQ271" s="32"/>
      <c r="AR271" s="32" t="str">
        <f>IFERROR(SUMIFS(#REF!,#REF!,'Data Sheet'!A:A,#REF!,"Samridhi Perk Line")/SUMIFS(#REF!,#REF!,'Data Sheet'!A:A,#REF!,"Samridhi Perk Line"),"")</f>
        <v/>
      </c>
      <c r="AS271" s="32"/>
      <c r="AT271" s="32"/>
      <c r="AU271" s="211">
        <f>IFERROR(VLOOKUP(Table1[[#This Row],[Date]],'Overweight Data'!A269:G1364,6,FALSE),"")</f>
        <v>0</v>
      </c>
      <c r="AV271" s="221">
        <f>IFERROR(
   IF(
      OR(Table1[[#This Row],[Operating Time]]=0, (Table1[[#This Row],[Operating Time]]/IF(AC271&lt;=1,AC271+1,AC271))*60=0),
      1,
      ((Table1[[#This Row],[Operating Time]])/IF(AC271&lt;=1,AC271+1,AC271))*60
   ),
"_")</f>
        <v>1</v>
      </c>
      <c r="AW271" s="221">
        <f>COUNTIFS('Downtime Data'!A:A,Table1[[#This Row],[Date]])</f>
        <v>0</v>
      </c>
      <c r="AX271" s="219" t="str">
        <f>IFERROR((SUM(Table1[[#This Row],[Minor Stoppages]:[Material Shortages]])/Table1[[#This Row],['# Stops]])*60,"")</f>
        <v/>
      </c>
      <c r="AY271" s="219"/>
      <c r="AZ271" s="33">
        <v>46291</v>
      </c>
    </row>
    <row r="272" spans="1:52" ht="20.149999999999999" customHeight="1" x14ac:dyDescent="0.35">
      <c r="A272" s="21">
        <v>46289</v>
      </c>
      <c r="B272" s="22" t="str">
        <f t="shared" si="6"/>
        <v>Thursday</v>
      </c>
      <c r="C272" s="23"/>
      <c r="D272" s="24" t="str" cm="1">
        <f t="array" aca="1" ref="D272" ca="1">IFERROR(INDIRECT(C272),"")</f>
        <v/>
      </c>
      <c r="E272" s="25"/>
      <c r="F272" s="26"/>
      <c r="G272" s="27" t="str">
        <f ca="1">IFERROR((Table1[[#This Row],[Plan]]/Table1[[#This Row],[Hours Used]])/(Table1[[#This Row],[SOC (TPD)]]/24),"")</f>
        <v/>
      </c>
      <c r="H272" s="27" t="str">
        <f ca="1">IFERROR((Table1[[#This Row],[Volume Delivered (T)]]/Table1[[#This Row],[Hours Used]])/(Table1[[#This Row],[SOC (TPD)]]/24),"")</f>
        <v/>
      </c>
      <c r="I272" s="28"/>
      <c r="J272" s="28"/>
      <c r="K272" s="28"/>
      <c r="L272" s="25"/>
      <c r="M272" s="29"/>
      <c r="N272" s="84"/>
      <c r="O272" s="25"/>
      <c r="P272" s="25"/>
      <c r="Q272" s="70"/>
      <c r="R272" s="71"/>
      <c r="S272" s="30">
        <f>IF(Table1[[#This Row],[SKU]]="",0,24-Table1[[#This Row],[Legal Non-Operating Time]]-Table1[[#This Row],[No Demand Time]]-Table1[[#This Row],[Force Majeure]])</f>
        <v>0</v>
      </c>
      <c r="T272" s="26"/>
      <c r="U272" s="26"/>
      <c r="V272" s="26"/>
      <c r="W272" s="26"/>
      <c r="X272" s="26"/>
      <c r="Y272" s="26"/>
      <c r="Z272" s="26"/>
      <c r="AA272" s="30">
        <f>Table1[[#This Row],[Hours Used]]-SUM(Table1[[#This Row],[Planned Maintenance]:[Start and Finish Production]])</f>
        <v>0</v>
      </c>
      <c r="AB272" s="26"/>
      <c r="AC272" s="26"/>
      <c r="AD272" s="26"/>
      <c r="AE272" s="26"/>
      <c r="AF272" s="26"/>
      <c r="AG272" s="26"/>
      <c r="AH272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272" s="24">
        <f>IFERROR(IF(Table1[[#This Row],[SKU]]="",0,Table1[[#This Row],[Quality Loss (T)]]/(Table1[[#This Row],[SOC (TPD)]]/24)),"")</f>
        <v>0</v>
      </c>
      <c r="AJ272" s="31">
        <f>IFERROR(IF(Table1[[#This Row],[SKU]]="",0,Table1[[#This Row],[Volume Delivered (T)]]/(Table1[[#This Row],[SOC (TPD)]]/24)),"")</f>
        <v>0</v>
      </c>
      <c r="AK272" s="31" t="str">
        <f>IFERROR(Table1[[#This Row],[Operating Time]]/Table1[[#This Row],[PRODUCTION HOURS]],"")</f>
        <v/>
      </c>
      <c r="AL272" s="32"/>
      <c r="AM272" s="32"/>
      <c r="AN272" s="32"/>
      <c r="AO272" s="32">
        <v>0</v>
      </c>
      <c r="AP272" s="32">
        <v>0</v>
      </c>
      <c r="AQ272" s="32"/>
      <c r="AR272" s="32" t="str">
        <f>IFERROR(SUMIFS(#REF!,#REF!,'Data Sheet'!A:A,#REF!,"Samridhi Perk Line")/SUMIFS(#REF!,#REF!,'Data Sheet'!A:A,#REF!,"Samridhi Perk Line"),"")</f>
        <v/>
      </c>
      <c r="AS272" s="32"/>
      <c r="AT272" s="32"/>
      <c r="AU272" s="211">
        <f>IFERROR(VLOOKUP(Table1[[#This Row],[Date]],'Overweight Data'!A270:G1365,6,FALSE),"")</f>
        <v>0</v>
      </c>
      <c r="AV272" s="221">
        <f>IFERROR(
   IF(
      OR(Table1[[#This Row],[Operating Time]]=0, (Table1[[#This Row],[Operating Time]]/IF(AC272&lt;=1,AC272+1,AC272))*60=0),
      1,
      ((Table1[[#This Row],[Operating Time]])/IF(AC272&lt;=1,AC272+1,AC272))*60
   ),
"_")</f>
        <v>1</v>
      </c>
      <c r="AW272" s="221">
        <f>COUNTIFS('Downtime Data'!A:A,Table1[[#This Row],[Date]])</f>
        <v>0</v>
      </c>
      <c r="AX272" s="219" t="str">
        <f>IFERROR((SUM(Table1[[#This Row],[Minor Stoppages]:[Material Shortages]])/Table1[[#This Row],['# Stops]])*60,"")</f>
        <v/>
      </c>
      <c r="AY272" s="219"/>
      <c r="AZ272" s="33">
        <v>46291</v>
      </c>
    </row>
    <row r="273" spans="1:52" ht="20.149999999999999" customHeight="1" x14ac:dyDescent="0.35">
      <c r="A273" s="21">
        <v>46290</v>
      </c>
      <c r="B273" s="22" t="str">
        <f t="shared" si="6"/>
        <v>Friday</v>
      </c>
      <c r="C273" s="23"/>
      <c r="D273" s="24" t="str" cm="1">
        <f t="array" aca="1" ref="D273" ca="1">IFERROR(INDIRECT(C273),"")</f>
        <v/>
      </c>
      <c r="E273" s="25"/>
      <c r="F273" s="26"/>
      <c r="G273" s="27" t="str">
        <f ca="1">IFERROR((Table1[[#This Row],[Plan]]/Table1[[#This Row],[Hours Used]])/(Table1[[#This Row],[SOC (TPD)]]/24),"")</f>
        <v/>
      </c>
      <c r="H273" s="27" t="str">
        <f ca="1">IFERROR((Table1[[#This Row],[Volume Delivered (T)]]/Table1[[#This Row],[Hours Used]])/(Table1[[#This Row],[SOC (TPD)]]/24),"")</f>
        <v/>
      </c>
      <c r="I273" s="28"/>
      <c r="J273" s="28"/>
      <c r="K273" s="28"/>
      <c r="L273" s="25"/>
      <c r="M273" s="29"/>
      <c r="N273" s="84"/>
      <c r="O273" s="25"/>
      <c r="P273" s="25"/>
      <c r="Q273" s="70"/>
      <c r="R273" s="71"/>
      <c r="S273" s="30">
        <f>IF(Table1[[#This Row],[SKU]]="",0,24-Table1[[#This Row],[Legal Non-Operating Time]]-Table1[[#This Row],[No Demand Time]]-Table1[[#This Row],[Force Majeure]])</f>
        <v>0</v>
      </c>
      <c r="T273" s="26"/>
      <c r="U273" s="26"/>
      <c r="V273" s="26"/>
      <c r="W273" s="26"/>
      <c r="X273" s="26"/>
      <c r="Y273" s="26"/>
      <c r="Z273" s="26"/>
      <c r="AA273" s="30">
        <f>Table1[[#This Row],[Hours Used]]-SUM(Table1[[#This Row],[Planned Maintenance]:[Start and Finish Production]])</f>
        <v>0</v>
      </c>
      <c r="AB273" s="26"/>
      <c r="AC273" s="26"/>
      <c r="AD273" s="26"/>
      <c r="AE273" s="26"/>
      <c r="AF273" s="26"/>
      <c r="AG273" s="26"/>
      <c r="AH273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273" s="24">
        <f>IFERROR(IF(Table1[[#This Row],[SKU]]="",0,Table1[[#This Row],[Quality Loss (T)]]/(Table1[[#This Row],[SOC (TPD)]]/24)),"")</f>
        <v>0</v>
      </c>
      <c r="AJ273" s="31">
        <f>IFERROR(IF(Table1[[#This Row],[SKU]]="",0,Table1[[#This Row],[Volume Delivered (T)]]/(Table1[[#This Row],[SOC (TPD)]]/24)),"")</f>
        <v>0</v>
      </c>
      <c r="AK273" s="31" t="str">
        <f>IFERROR(Table1[[#This Row],[Operating Time]]/Table1[[#This Row],[PRODUCTION HOURS]],"")</f>
        <v/>
      </c>
      <c r="AL273" s="32"/>
      <c r="AM273" s="32"/>
      <c r="AN273" s="32"/>
      <c r="AO273" s="32">
        <v>2</v>
      </c>
      <c r="AP273" s="32">
        <v>0</v>
      </c>
      <c r="AQ273" s="32"/>
      <c r="AR273" s="32" t="str">
        <f>IFERROR(SUMIFS(#REF!,#REF!,'Data Sheet'!A:A,#REF!,"Samridhi Perk Line")/SUMIFS(#REF!,#REF!,'Data Sheet'!A:A,#REF!,"Samridhi Perk Line"),"")</f>
        <v/>
      </c>
      <c r="AS273" s="32"/>
      <c r="AT273" s="32"/>
      <c r="AU273" s="211">
        <f>IFERROR(VLOOKUP(Table1[[#This Row],[Date]],'Overweight Data'!A271:G1366,6,FALSE),"")</f>
        <v>0</v>
      </c>
      <c r="AV273" s="221">
        <f>IFERROR(
   IF(
      OR(Table1[[#This Row],[Operating Time]]=0, (Table1[[#This Row],[Operating Time]]/IF(AC273&lt;=1,AC273+1,AC273))*60=0),
      1,
      ((Table1[[#This Row],[Operating Time]])/IF(AC273&lt;=1,AC273+1,AC273))*60
   ),
"_")</f>
        <v>1</v>
      </c>
      <c r="AW273" s="221">
        <f>COUNTIFS('Downtime Data'!A:A,Table1[[#This Row],[Date]])</f>
        <v>0</v>
      </c>
      <c r="AX273" s="219" t="str">
        <f>IFERROR((SUM(Table1[[#This Row],[Minor Stoppages]:[Material Shortages]])/Table1[[#This Row],['# Stops]])*60,"")</f>
        <v/>
      </c>
      <c r="AY273" s="219"/>
      <c r="AZ273" s="33">
        <v>46291</v>
      </c>
    </row>
    <row r="274" spans="1:52" ht="20.149999999999999" customHeight="1" x14ac:dyDescent="0.35">
      <c r="A274" s="21">
        <v>46291</v>
      </c>
      <c r="B274" s="22" t="str">
        <f t="shared" si="6"/>
        <v>Saturday</v>
      </c>
      <c r="C274" s="23"/>
      <c r="D274" s="24" t="str" cm="1">
        <f t="array" aca="1" ref="D274" ca="1">IFERROR(INDIRECT(C274),"")</f>
        <v/>
      </c>
      <c r="E274" s="25"/>
      <c r="F274" s="26"/>
      <c r="G274" s="27" t="str">
        <f ca="1">IFERROR((Table1[[#This Row],[Plan]]/Table1[[#This Row],[Hours Used]])/(Table1[[#This Row],[SOC (TPD)]]/24),"")</f>
        <v/>
      </c>
      <c r="H274" s="27" t="str">
        <f ca="1">IFERROR((Table1[[#This Row],[Volume Delivered (T)]]/Table1[[#This Row],[Hours Used]])/(Table1[[#This Row],[SOC (TPD)]]/24),"")</f>
        <v/>
      </c>
      <c r="I274" s="28"/>
      <c r="J274" s="28"/>
      <c r="K274" s="28"/>
      <c r="L274" s="25"/>
      <c r="M274" s="29"/>
      <c r="N274" s="84"/>
      <c r="O274" s="25"/>
      <c r="P274" s="25"/>
      <c r="Q274" s="70"/>
      <c r="R274" s="71"/>
      <c r="S274" s="30">
        <f>IF(Table1[[#This Row],[SKU]]="",0,24-Table1[[#This Row],[Legal Non-Operating Time]]-Table1[[#This Row],[No Demand Time]]-Table1[[#This Row],[Force Majeure]])</f>
        <v>0</v>
      </c>
      <c r="T274" s="26"/>
      <c r="U274" s="26"/>
      <c r="V274" s="26"/>
      <c r="W274" s="26"/>
      <c r="X274" s="26"/>
      <c r="Y274" s="26"/>
      <c r="Z274" s="26"/>
      <c r="AA274" s="30">
        <f>Table1[[#This Row],[Hours Used]]-SUM(Table1[[#This Row],[Planned Maintenance]:[Start and Finish Production]])</f>
        <v>0</v>
      </c>
      <c r="AB274" s="26"/>
      <c r="AC274" s="26"/>
      <c r="AD274" s="26"/>
      <c r="AE274" s="26"/>
      <c r="AF274" s="26"/>
      <c r="AG274" s="26"/>
      <c r="AH274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274" s="24">
        <f>IFERROR(IF(Table1[[#This Row],[SKU]]="",0,Table1[[#This Row],[Quality Loss (T)]]/(Table1[[#This Row],[SOC (TPD)]]/24)),"")</f>
        <v>0</v>
      </c>
      <c r="AJ274" s="31">
        <f>IFERROR(IF(Table1[[#This Row],[SKU]]="",0,Table1[[#This Row],[Volume Delivered (T)]]/(Table1[[#This Row],[SOC (TPD)]]/24)),"")</f>
        <v>0</v>
      </c>
      <c r="AK274" s="31" t="str">
        <f>IFERROR(Table1[[#This Row],[Operating Time]]/Table1[[#This Row],[PRODUCTION HOURS]],"")</f>
        <v/>
      </c>
      <c r="AL274" s="32"/>
      <c r="AM274" s="32"/>
      <c r="AN274" s="32"/>
      <c r="AO274" s="32">
        <v>1</v>
      </c>
      <c r="AP274" s="32">
        <v>0</v>
      </c>
      <c r="AQ274" s="32"/>
      <c r="AR274" s="32" t="str">
        <f>IFERROR(SUMIFS(#REF!,#REF!,'Data Sheet'!A:A,#REF!,"Samridhi Perk Line")/SUMIFS(#REF!,#REF!,'Data Sheet'!A:A,#REF!,"Samridhi Perk Line"),"")</f>
        <v/>
      </c>
      <c r="AS274" s="32"/>
      <c r="AT274" s="32"/>
      <c r="AU274" s="211">
        <f>IFERROR(VLOOKUP(Table1[[#This Row],[Date]],'Overweight Data'!A272:G1367,6,FALSE),"")</f>
        <v>0</v>
      </c>
      <c r="AV274" s="221">
        <f>IFERROR(
   IF(
      OR(Table1[[#This Row],[Operating Time]]=0, (Table1[[#This Row],[Operating Time]]/IF(AC274&lt;=1,AC274+1,AC274))*60=0),
      1,
      ((Table1[[#This Row],[Operating Time]])/IF(AC274&lt;=1,AC274+1,AC274))*60
   ),
"_")</f>
        <v>1</v>
      </c>
      <c r="AW274" s="221">
        <f>COUNTIFS('Downtime Data'!A:A,Table1[[#This Row],[Date]])</f>
        <v>0</v>
      </c>
      <c r="AX274" s="219" t="str">
        <f>IFERROR((SUM(Table1[[#This Row],[Minor Stoppages]:[Material Shortages]])/Table1[[#This Row],['# Stops]])*60,"")</f>
        <v/>
      </c>
      <c r="AY274" s="219"/>
      <c r="AZ274" s="33">
        <v>46291</v>
      </c>
    </row>
    <row r="275" spans="1:52" ht="20.149999999999999" customHeight="1" x14ac:dyDescent="0.35">
      <c r="A275" s="21">
        <v>46292</v>
      </c>
      <c r="B275" s="22" t="str">
        <f t="shared" si="6"/>
        <v>Sunday</v>
      </c>
      <c r="C275" s="23"/>
      <c r="D275" s="24" t="str" cm="1">
        <f t="array" aca="1" ref="D275" ca="1">IFERROR(INDIRECT(C275),"")</f>
        <v/>
      </c>
      <c r="E275" s="25"/>
      <c r="F275" s="26"/>
      <c r="G275" s="27" t="str">
        <f ca="1">IFERROR((Table1[[#This Row],[Plan]]/Table1[[#This Row],[Hours Used]])/(Table1[[#This Row],[SOC (TPD)]]/24),"")</f>
        <v/>
      </c>
      <c r="H275" s="27" t="str">
        <f ca="1">IFERROR((Table1[[#This Row],[Volume Delivered (T)]]/Table1[[#This Row],[Hours Used]])/(Table1[[#This Row],[SOC (TPD)]]/24),"")</f>
        <v/>
      </c>
      <c r="I275" s="28"/>
      <c r="J275" s="28"/>
      <c r="K275" s="28"/>
      <c r="L275" s="25"/>
      <c r="M275" s="29"/>
      <c r="N275" s="84"/>
      <c r="O275" s="25"/>
      <c r="P275" s="25"/>
      <c r="Q275" s="70"/>
      <c r="R275" s="71"/>
      <c r="S275" s="30">
        <f>IF(Table1[[#This Row],[SKU]]="",0,24-Table1[[#This Row],[Legal Non-Operating Time]]-Table1[[#This Row],[No Demand Time]]-Table1[[#This Row],[Force Majeure]])</f>
        <v>0</v>
      </c>
      <c r="T275" s="26"/>
      <c r="U275" s="26"/>
      <c r="V275" s="26"/>
      <c r="W275" s="26"/>
      <c r="X275" s="26"/>
      <c r="Y275" s="26"/>
      <c r="Z275" s="26"/>
      <c r="AA275" s="30">
        <f>Table1[[#This Row],[Hours Used]]-SUM(Table1[[#This Row],[Planned Maintenance]:[Start and Finish Production]])</f>
        <v>0</v>
      </c>
      <c r="AB275" s="26"/>
      <c r="AC275" s="26"/>
      <c r="AD275" s="26"/>
      <c r="AE275" s="26"/>
      <c r="AF275" s="26"/>
      <c r="AG275" s="26"/>
      <c r="AH275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275" s="24">
        <f>IFERROR(IF(Table1[[#This Row],[SKU]]="",0,Table1[[#This Row],[Quality Loss (T)]]/(Table1[[#This Row],[SOC (TPD)]]/24)),"")</f>
        <v>0</v>
      </c>
      <c r="AJ275" s="31">
        <f>IFERROR(IF(Table1[[#This Row],[SKU]]="",0,Table1[[#This Row],[Volume Delivered (T)]]/(Table1[[#This Row],[SOC (TPD)]]/24)),"")</f>
        <v>0</v>
      </c>
      <c r="AK275" s="31" t="str">
        <f>IFERROR(Table1[[#This Row],[Operating Time]]/Table1[[#This Row],[PRODUCTION HOURS]],"")</f>
        <v/>
      </c>
      <c r="AL275" s="32"/>
      <c r="AM275" s="32"/>
      <c r="AN275" s="32"/>
      <c r="AO275" s="32">
        <v>0</v>
      </c>
      <c r="AP275" s="32">
        <v>0</v>
      </c>
      <c r="AQ275" s="32"/>
      <c r="AR275" s="32" t="str">
        <f>IFERROR(SUMIFS(#REF!,#REF!,'Data Sheet'!A:A,#REF!,"Samridhi Perk Line")/SUMIFS(#REF!,#REF!,'Data Sheet'!A:A,#REF!,"Samridhi Perk Line"),"")</f>
        <v/>
      </c>
      <c r="AS275" s="32"/>
      <c r="AT275" s="32"/>
      <c r="AU275" s="211">
        <f>IFERROR(VLOOKUP(Table1[[#This Row],[Date]],'Overweight Data'!A273:G1368,6,FALSE),"")</f>
        <v>0</v>
      </c>
      <c r="AV275" s="221">
        <f>IFERROR(
   IF(
      OR(Table1[[#This Row],[Operating Time]]=0, (Table1[[#This Row],[Operating Time]]/IF(AC275&lt;=1,AC275+1,AC275))*60=0),
      1,
      ((Table1[[#This Row],[Operating Time]])/IF(AC275&lt;=1,AC275+1,AC275))*60
   ),
"_")</f>
        <v>1</v>
      </c>
      <c r="AW275" s="221">
        <f>COUNTIFS('Downtime Data'!A:A,Table1[[#This Row],[Date]])</f>
        <v>0</v>
      </c>
      <c r="AX275" s="219" t="str">
        <f>IFERROR((SUM(Table1[[#This Row],[Minor Stoppages]:[Material Shortages]])/Table1[[#This Row],['# Stops]])*60,"")</f>
        <v/>
      </c>
      <c r="AY275" s="219"/>
      <c r="AZ275" s="33">
        <v>46291</v>
      </c>
    </row>
    <row r="276" spans="1:52" ht="20.149999999999999" customHeight="1" x14ac:dyDescent="0.35">
      <c r="A276" s="21">
        <v>46293</v>
      </c>
      <c r="B276" s="22" t="str">
        <f t="shared" si="6"/>
        <v>Monday</v>
      </c>
      <c r="C276" s="23"/>
      <c r="D276" s="24" t="str" cm="1">
        <f t="array" aca="1" ref="D276" ca="1">IFERROR(INDIRECT(C276),"")</f>
        <v/>
      </c>
      <c r="E276" s="25"/>
      <c r="F276" s="26"/>
      <c r="G276" s="27" t="str">
        <f ca="1">IFERROR((Table1[[#This Row],[Plan]]/Table1[[#This Row],[Hours Used]])/(Table1[[#This Row],[SOC (TPD)]]/24),"")</f>
        <v/>
      </c>
      <c r="H276" s="27" t="str">
        <f ca="1">IFERROR((Table1[[#This Row],[Volume Delivered (T)]]/Table1[[#This Row],[Hours Used]])/(Table1[[#This Row],[SOC (TPD)]]/24),"")</f>
        <v/>
      </c>
      <c r="I276" s="28"/>
      <c r="J276" s="28"/>
      <c r="K276" s="28"/>
      <c r="L276" s="25"/>
      <c r="M276" s="29"/>
      <c r="N276" s="84"/>
      <c r="O276" s="25"/>
      <c r="P276" s="25"/>
      <c r="Q276" s="70"/>
      <c r="R276" s="71"/>
      <c r="S276" s="30">
        <f>IF(Table1[[#This Row],[SKU]]="",0,24-Table1[[#This Row],[Legal Non-Operating Time]]-Table1[[#This Row],[No Demand Time]]-Table1[[#This Row],[Force Majeure]])</f>
        <v>0</v>
      </c>
      <c r="T276" s="26"/>
      <c r="U276" s="26"/>
      <c r="V276" s="26"/>
      <c r="W276" s="26"/>
      <c r="X276" s="26"/>
      <c r="Y276" s="26"/>
      <c r="Z276" s="26"/>
      <c r="AA276" s="30">
        <f>Table1[[#This Row],[Hours Used]]-SUM(Table1[[#This Row],[Planned Maintenance]:[Start and Finish Production]])</f>
        <v>0</v>
      </c>
      <c r="AB276" s="26"/>
      <c r="AC276" s="26"/>
      <c r="AD276" s="26"/>
      <c r="AE276" s="26"/>
      <c r="AF276" s="26"/>
      <c r="AG276" s="26"/>
      <c r="AH276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276" s="24">
        <f>IFERROR(IF(Table1[[#This Row],[SKU]]="",0,Table1[[#This Row],[Quality Loss (T)]]/(Table1[[#This Row],[SOC (TPD)]]/24)),"")</f>
        <v>0</v>
      </c>
      <c r="AJ276" s="31">
        <f>IFERROR(IF(Table1[[#This Row],[SKU]]="",0,Table1[[#This Row],[Volume Delivered (T)]]/(Table1[[#This Row],[SOC (TPD)]]/24)),"")</f>
        <v>0</v>
      </c>
      <c r="AK276" s="31" t="str">
        <f>IFERROR(Table1[[#This Row],[Operating Time]]/Table1[[#This Row],[PRODUCTION HOURS]],"")</f>
        <v/>
      </c>
      <c r="AL276" s="32"/>
      <c r="AM276" s="32"/>
      <c r="AN276" s="32"/>
      <c r="AO276" s="32">
        <v>23</v>
      </c>
      <c r="AP276" s="32">
        <v>0</v>
      </c>
      <c r="AQ276" s="32"/>
      <c r="AR276" s="32" t="str">
        <f>IFERROR(SUMIFS(#REF!,#REF!,'Data Sheet'!A:A,#REF!,"Samridhi Perk Line")/SUMIFS(#REF!,#REF!,'Data Sheet'!A:A,#REF!,"Samridhi Perk Line"),"")</f>
        <v/>
      </c>
      <c r="AS276" s="32"/>
      <c r="AT276" s="32"/>
      <c r="AU276" s="211">
        <f>IFERROR(VLOOKUP(Table1[[#This Row],[Date]],'Overweight Data'!A274:G1369,6,FALSE),"")</f>
        <v>0</v>
      </c>
      <c r="AV276" s="221">
        <f>IFERROR(
   IF(
      OR(Table1[[#This Row],[Operating Time]]=0, (Table1[[#This Row],[Operating Time]]/IF(AC276&lt;=1,AC276+1,AC276))*60=0),
      1,
      ((Table1[[#This Row],[Operating Time]])/IF(AC276&lt;=1,AC276+1,AC276))*60
   ),
"_")</f>
        <v>1</v>
      </c>
      <c r="AW276" s="221">
        <f>COUNTIFS('Downtime Data'!A:A,Table1[[#This Row],[Date]])</f>
        <v>0</v>
      </c>
      <c r="AX276" s="219" t="str">
        <f>IFERROR((SUM(Table1[[#This Row],[Minor Stoppages]:[Material Shortages]])/Table1[[#This Row],['# Stops]])*60,"")</f>
        <v/>
      </c>
      <c r="AY276" s="219"/>
      <c r="AZ276" s="33">
        <v>46321</v>
      </c>
    </row>
    <row r="277" spans="1:52" ht="20.149999999999999" customHeight="1" x14ac:dyDescent="0.35">
      <c r="A277" s="21">
        <v>46294</v>
      </c>
      <c r="B277" s="22" t="str">
        <f t="shared" si="6"/>
        <v>Tuesday</v>
      </c>
      <c r="C277" s="23"/>
      <c r="D277" s="24" t="str" cm="1">
        <f t="array" aca="1" ref="D277" ca="1">IFERROR(INDIRECT(C277),"")</f>
        <v/>
      </c>
      <c r="E277" s="25"/>
      <c r="F277" s="26"/>
      <c r="G277" s="27" t="str">
        <f ca="1">IFERROR((Table1[[#This Row],[Plan]]/Table1[[#This Row],[Hours Used]])/(Table1[[#This Row],[SOC (TPD)]]/24),"")</f>
        <v/>
      </c>
      <c r="H277" s="27" t="str">
        <f ca="1">IFERROR((Table1[[#This Row],[Volume Delivered (T)]]/Table1[[#This Row],[Hours Used]])/(Table1[[#This Row],[SOC (TPD)]]/24),"")</f>
        <v/>
      </c>
      <c r="I277" s="28"/>
      <c r="J277" s="28"/>
      <c r="K277" s="28"/>
      <c r="L277" s="25"/>
      <c r="M277" s="29"/>
      <c r="N277" s="84"/>
      <c r="O277" s="25"/>
      <c r="P277" s="25"/>
      <c r="Q277" s="70"/>
      <c r="R277" s="71"/>
      <c r="S277" s="30">
        <f>IF(Table1[[#This Row],[SKU]]="",0,24-Table1[[#This Row],[Legal Non-Operating Time]]-Table1[[#This Row],[No Demand Time]]-Table1[[#This Row],[Force Majeure]])</f>
        <v>0</v>
      </c>
      <c r="T277" s="26"/>
      <c r="U277" s="26"/>
      <c r="V277" s="26"/>
      <c r="W277" s="26"/>
      <c r="X277" s="26"/>
      <c r="Y277" s="26"/>
      <c r="Z277" s="26"/>
      <c r="AA277" s="30">
        <f>Table1[[#This Row],[Hours Used]]-SUM(Table1[[#This Row],[Planned Maintenance]:[Start and Finish Production]])</f>
        <v>0</v>
      </c>
      <c r="AB277" s="26"/>
      <c r="AC277" s="26"/>
      <c r="AD277" s="26"/>
      <c r="AE277" s="26"/>
      <c r="AF277" s="26"/>
      <c r="AG277" s="26"/>
      <c r="AH277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277" s="24">
        <f>IFERROR(IF(Table1[[#This Row],[SKU]]="",0,Table1[[#This Row],[Quality Loss (T)]]/(Table1[[#This Row],[SOC (TPD)]]/24)),"")</f>
        <v>0</v>
      </c>
      <c r="AJ277" s="31">
        <f>IFERROR(IF(Table1[[#This Row],[SKU]]="",0,Table1[[#This Row],[Volume Delivered (T)]]/(Table1[[#This Row],[SOC (TPD)]]/24)),"")</f>
        <v>0</v>
      </c>
      <c r="AK277" s="31" t="str">
        <f>IFERROR(Table1[[#This Row],[Operating Time]]/Table1[[#This Row],[PRODUCTION HOURS]],"")</f>
        <v/>
      </c>
      <c r="AL277" s="32"/>
      <c r="AM277" s="32"/>
      <c r="AN277" s="32"/>
      <c r="AO277" s="32">
        <v>25</v>
      </c>
      <c r="AP277" s="32">
        <v>0</v>
      </c>
      <c r="AQ277" s="32"/>
      <c r="AR277" s="32" t="str">
        <f>IFERROR(SUMIFS(#REF!,#REF!,'Data Sheet'!A:A,#REF!,"Samridhi Perk Line")/SUMIFS(#REF!,#REF!,'Data Sheet'!A:A,#REF!,"Samridhi Perk Line"),"")</f>
        <v/>
      </c>
      <c r="AS277" s="32"/>
      <c r="AT277" s="32"/>
      <c r="AU277" s="211">
        <f>IFERROR(VLOOKUP(Table1[[#This Row],[Date]],'Overweight Data'!A275:G1370,6,FALSE),"")</f>
        <v>0</v>
      </c>
      <c r="AV277" s="221">
        <f>IFERROR(
   IF(
      OR(Table1[[#This Row],[Operating Time]]=0, (Table1[[#This Row],[Operating Time]]/IF(AC277&lt;=1,AC277+1,AC277))*60=0),
      1,
      ((Table1[[#This Row],[Operating Time]])/IF(AC277&lt;=1,AC277+1,AC277))*60
   ),
"_")</f>
        <v>1</v>
      </c>
      <c r="AW277" s="221">
        <f>COUNTIFS('Downtime Data'!A:A,Table1[[#This Row],[Date]])</f>
        <v>0</v>
      </c>
      <c r="AX277" s="219" t="str">
        <f>IFERROR((SUM(Table1[[#This Row],[Minor Stoppages]:[Material Shortages]])/Table1[[#This Row],['# Stops]])*60,"")</f>
        <v/>
      </c>
      <c r="AY277" s="219"/>
      <c r="AZ277" s="33">
        <v>46321</v>
      </c>
    </row>
    <row r="278" spans="1:52" ht="20.149999999999999" customHeight="1" x14ac:dyDescent="0.35">
      <c r="A278" s="21">
        <v>46295</v>
      </c>
      <c r="B278" s="22" t="str">
        <f t="shared" si="6"/>
        <v>Wednesday</v>
      </c>
      <c r="C278" s="23"/>
      <c r="D278" s="24" t="str" cm="1">
        <f t="array" aca="1" ref="D278" ca="1">IFERROR(INDIRECT(C278),"")</f>
        <v/>
      </c>
      <c r="E278" s="25"/>
      <c r="F278" s="26"/>
      <c r="G278" s="27" t="str">
        <f ca="1">IFERROR((Table1[[#This Row],[Plan]]/Table1[[#This Row],[Hours Used]])/(Table1[[#This Row],[SOC (TPD)]]/24),"")</f>
        <v/>
      </c>
      <c r="H278" s="27" t="str">
        <f ca="1">IFERROR((Table1[[#This Row],[Volume Delivered (T)]]/Table1[[#This Row],[Hours Used]])/(Table1[[#This Row],[SOC (TPD)]]/24),"")</f>
        <v/>
      </c>
      <c r="I278" s="28"/>
      <c r="J278" s="28"/>
      <c r="K278" s="28"/>
      <c r="L278" s="25"/>
      <c r="M278" s="29"/>
      <c r="N278" s="84"/>
      <c r="O278" s="25"/>
      <c r="P278" s="25"/>
      <c r="Q278" s="70"/>
      <c r="R278" s="71"/>
      <c r="S278" s="30">
        <f>IF(Table1[[#This Row],[SKU]]="",0,24-Table1[[#This Row],[Legal Non-Operating Time]]-Table1[[#This Row],[No Demand Time]]-Table1[[#This Row],[Force Majeure]])</f>
        <v>0</v>
      </c>
      <c r="T278" s="26"/>
      <c r="U278" s="26"/>
      <c r="V278" s="26"/>
      <c r="W278" s="26"/>
      <c r="X278" s="26"/>
      <c r="Y278" s="26"/>
      <c r="Z278" s="26"/>
      <c r="AA278" s="30">
        <f>Table1[[#This Row],[Hours Used]]-SUM(Table1[[#This Row],[Planned Maintenance]:[Start and Finish Production]])</f>
        <v>0</v>
      </c>
      <c r="AB278" s="26"/>
      <c r="AC278" s="26"/>
      <c r="AD278" s="26"/>
      <c r="AE278" s="26"/>
      <c r="AF278" s="26"/>
      <c r="AG278" s="26"/>
      <c r="AH278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278" s="24">
        <f>IFERROR(IF(Table1[[#This Row],[SKU]]="",0,Table1[[#This Row],[Quality Loss (T)]]/(Table1[[#This Row],[SOC (TPD)]]/24)),"")</f>
        <v>0</v>
      </c>
      <c r="AJ278" s="31">
        <f>IFERROR(IF(Table1[[#This Row],[SKU]]="",0,Table1[[#This Row],[Volume Delivered (T)]]/(Table1[[#This Row],[SOC (TPD)]]/24)),"")</f>
        <v>0</v>
      </c>
      <c r="AK278" s="31" t="str">
        <f>IFERROR(Table1[[#This Row],[Operating Time]]/Table1[[#This Row],[PRODUCTION HOURS]],"")</f>
        <v/>
      </c>
      <c r="AL278" s="32"/>
      <c r="AM278" s="32"/>
      <c r="AN278" s="32"/>
      <c r="AO278" s="32">
        <v>0</v>
      </c>
      <c r="AP278" s="32">
        <v>0</v>
      </c>
      <c r="AQ278" s="32"/>
      <c r="AR278" s="32" t="str">
        <f>IFERROR(SUMIFS(#REF!,#REF!,'Data Sheet'!A:A,#REF!,"Samridhi Perk Line")/SUMIFS(#REF!,#REF!,'Data Sheet'!A:A,#REF!,"Samridhi Perk Line"),"")</f>
        <v/>
      </c>
      <c r="AS278" s="32"/>
      <c r="AT278" s="32"/>
      <c r="AU278" s="211">
        <f>IFERROR(VLOOKUP(Table1[[#This Row],[Date]],'Overweight Data'!A276:G1371,6,FALSE),"")</f>
        <v>0</v>
      </c>
      <c r="AV278" s="221">
        <f>IFERROR(
   IF(
      OR(Table1[[#This Row],[Operating Time]]=0, (Table1[[#This Row],[Operating Time]]/IF(AC278&lt;=1,AC278+1,AC278))*60=0),
      1,
      ((Table1[[#This Row],[Operating Time]])/IF(AC278&lt;=1,AC278+1,AC278))*60
   ),
"_")</f>
        <v>1</v>
      </c>
      <c r="AW278" s="221">
        <f>COUNTIFS('Downtime Data'!A:A,Table1[[#This Row],[Date]])</f>
        <v>0</v>
      </c>
      <c r="AX278" s="219" t="str">
        <f>IFERROR((SUM(Table1[[#This Row],[Minor Stoppages]:[Material Shortages]])/Table1[[#This Row],['# Stops]])*60,"")</f>
        <v/>
      </c>
      <c r="AY278" s="219"/>
      <c r="AZ278" s="33">
        <v>46321</v>
      </c>
    </row>
    <row r="279" spans="1:52" ht="20.149999999999999" customHeight="1" x14ac:dyDescent="0.35">
      <c r="A279" s="21">
        <v>46296</v>
      </c>
      <c r="B279" s="22" t="str">
        <f t="shared" si="6"/>
        <v>Thursday</v>
      </c>
      <c r="C279" s="23"/>
      <c r="D279" s="24" t="str" cm="1">
        <f t="array" aca="1" ref="D279" ca="1">IFERROR(INDIRECT(C279),"")</f>
        <v/>
      </c>
      <c r="E279" s="25"/>
      <c r="F279" s="26"/>
      <c r="G279" s="27" t="str">
        <f ca="1">IFERROR((Table1[[#This Row],[Plan]]/Table1[[#This Row],[Hours Used]])/(Table1[[#This Row],[SOC (TPD)]]/24),"")</f>
        <v/>
      </c>
      <c r="H279" s="27" t="str">
        <f ca="1">IFERROR((Table1[[#This Row],[Volume Delivered (T)]]/Table1[[#This Row],[Hours Used]])/(Table1[[#This Row],[SOC (TPD)]]/24),"")</f>
        <v/>
      </c>
      <c r="I279" s="28"/>
      <c r="J279" s="28"/>
      <c r="K279" s="28"/>
      <c r="L279" s="25"/>
      <c r="M279" s="29"/>
      <c r="N279" s="84"/>
      <c r="O279" s="25"/>
      <c r="P279" s="25"/>
      <c r="Q279" s="70"/>
      <c r="R279" s="71"/>
      <c r="S279" s="30">
        <f>IF(Table1[[#This Row],[SKU]]="",0,24-Table1[[#This Row],[Legal Non-Operating Time]]-Table1[[#This Row],[No Demand Time]]-Table1[[#This Row],[Force Majeure]])</f>
        <v>0</v>
      </c>
      <c r="T279" s="26"/>
      <c r="U279" s="26"/>
      <c r="V279" s="26"/>
      <c r="W279" s="26"/>
      <c r="X279" s="26"/>
      <c r="Y279" s="26"/>
      <c r="Z279" s="26"/>
      <c r="AA279" s="30">
        <f>Table1[[#This Row],[Hours Used]]-SUM(Table1[[#This Row],[Planned Maintenance]:[Start and Finish Production]])</f>
        <v>0</v>
      </c>
      <c r="AB279" s="26"/>
      <c r="AC279" s="26"/>
      <c r="AD279" s="26"/>
      <c r="AE279" s="26"/>
      <c r="AF279" s="26"/>
      <c r="AG279" s="26"/>
      <c r="AH279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279" s="24">
        <f>IFERROR(IF(Table1[[#This Row],[SKU]]="",0,Table1[[#This Row],[Quality Loss (T)]]/(Table1[[#This Row],[SOC (TPD)]]/24)),"")</f>
        <v>0</v>
      </c>
      <c r="AJ279" s="31">
        <f>IFERROR(IF(Table1[[#This Row],[SKU]]="",0,Table1[[#This Row],[Volume Delivered (T)]]/(Table1[[#This Row],[SOC (TPD)]]/24)),"")</f>
        <v>0</v>
      </c>
      <c r="AK279" s="31" t="str">
        <f>IFERROR(Table1[[#This Row],[Operating Time]]/Table1[[#This Row],[PRODUCTION HOURS]],"")</f>
        <v/>
      </c>
      <c r="AL279" s="32"/>
      <c r="AM279" s="32"/>
      <c r="AN279" s="32"/>
      <c r="AO279" s="32">
        <v>4</v>
      </c>
      <c r="AP279" s="32">
        <v>0</v>
      </c>
      <c r="AQ279" s="32"/>
      <c r="AR279" s="32" t="str">
        <f>IFERROR(SUMIFS(#REF!,#REF!,'Data Sheet'!A:A,#REF!,"Samridhi Perk Line")/SUMIFS(#REF!,#REF!,'Data Sheet'!A:A,#REF!,"Samridhi Perk Line"),"")</f>
        <v/>
      </c>
      <c r="AS279" s="32"/>
      <c r="AT279" s="32"/>
      <c r="AU279" s="211">
        <f>IFERROR(VLOOKUP(Table1[[#This Row],[Date]],'Overweight Data'!A277:G1372,6,FALSE),"")</f>
        <v>0</v>
      </c>
      <c r="AV279" s="221">
        <f>IFERROR(
   IF(
      OR(Table1[[#This Row],[Operating Time]]=0, (Table1[[#This Row],[Operating Time]]/IF(AC279&lt;=1,AC279+1,AC279))*60=0),
      1,
      ((Table1[[#This Row],[Operating Time]])/IF(AC279&lt;=1,AC279+1,AC279))*60
   ),
"_")</f>
        <v>1</v>
      </c>
      <c r="AW279" s="221">
        <f>COUNTIFS('Downtime Data'!A:A,Table1[[#This Row],[Date]])</f>
        <v>0</v>
      </c>
      <c r="AX279" s="219" t="str">
        <f>IFERROR((SUM(Table1[[#This Row],[Minor Stoppages]:[Material Shortages]])/Table1[[#This Row],['# Stops]])*60,"")</f>
        <v/>
      </c>
      <c r="AY279" s="219"/>
      <c r="AZ279" s="33">
        <v>46321</v>
      </c>
    </row>
    <row r="280" spans="1:52" ht="20.149999999999999" customHeight="1" x14ac:dyDescent="0.35">
      <c r="A280" s="21">
        <v>46297</v>
      </c>
      <c r="B280" s="22" t="str">
        <f t="shared" si="6"/>
        <v>Friday</v>
      </c>
      <c r="C280" s="23"/>
      <c r="D280" s="24" t="str" cm="1">
        <f t="array" aca="1" ref="D280" ca="1">IFERROR(INDIRECT(C280),"")</f>
        <v/>
      </c>
      <c r="E280" s="25"/>
      <c r="F280" s="26"/>
      <c r="G280" s="27" t="str">
        <f ca="1">IFERROR((Table1[[#This Row],[Plan]]/Table1[[#This Row],[Hours Used]])/(Table1[[#This Row],[SOC (TPD)]]/24),"")</f>
        <v/>
      </c>
      <c r="H280" s="27" t="str">
        <f ca="1">IFERROR((Table1[[#This Row],[Volume Delivered (T)]]/Table1[[#This Row],[Hours Used]])/(Table1[[#This Row],[SOC (TPD)]]/24),"")</f>
        <v/>
      </c>
      <c r="I280" s="28"/>
      <c r="J280" s="28"/>
      <c r="K280" s="28"/>
      <c r="L280" s="25"/>
      <c r="M280" s="29"/>
      <c r="N280" s="84"/>
      <c r="O280" s="25"/>
      <c r="P280" s="25"/>
      <c r="Q280" s="70"/>
      <c r="R280" s="71"/>
      <c r="S280" s="30">
        <f>IF(Table1[[#This Row],[SKU]]="",0,24-Table1[[#This Row],[Legal Non-Operating Time]]-Table1[[#This Row],[No Demand Time]]-Table1[[#This Row],[Force Majeure]])</f>
        <v>0</v>
      </c>
      <c r="T280" s="26"/>
      <c r="U280" s="26"/>
      <c r="V280" s="26"/>
      <c r="W280" s="26"/>
      <c r="X280" s="26"/>
      <c r="Y280" s="26"/>
      <c r="Z280" s="26"/>
      <c r="AA280" s="30">
        <f>Table1[[#This Row],[Hours Used]]-SUM(Table1[[#This Row],[Planned Maintenance]:[Start and Finish Production]])</f>
        <v>0</v>
      </c>
      <c r="AB280" s="26"/>
      <c r="AC280" s="26"/>
      <c r="AD280" s="26"/>
      <c r="AE280" s="26"/>
      <c r="AF280" s="26"/>
      <c r="AG280" s="26"/>
      <c r="AH280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280" s="24">
        <f>IFERROR(IF(Table1[[#This Row],[SKU]]="",0,Table1[[#This Row],[Quality Loss (T)]]/(Table1[[#This Row],[SOC (TPD)]]/24)),"")</f>
        <v>0</v>
      </c>
      <c r="AJ280" s="31">
        <f>IFERROR(IF(Table1[[#This Row],[SKU]]="",0,Table1[[#This Row],[Volume Delivered (T)]]/(Table1[[#This Row],[SOC (TPD)]]/24)),"")</f>
        <v>0</v>
      </c>
      <c r="AK280" s="31" t="str">
        <f>IFERROR(Table1[[#This Row],[Operating Time]]/Table1[[#This Row],[PRODUCTION HOURS]],"")</f>
        <v/>
      </c>
      <c r="AL280" s="32"/>
      <c r="AM280" s="32"/>
      <c r="AN280" s="32"/>
      <c r="AO280" s="32">
        <v>0</v>
      </c>
      <c r="AP280" s="32">
        <v>0</v>
      </c>
      <c r="AQ280" s="32"/>
      <c r="AR280" s="32" t="str">
        <f>IFERROR(SUMIFS(#REF!,#REF!,'Data Sheet'!A:A,#REF!,"Samridhi Perk Line")/SUMIFS(#REF!,#REF!,'Data Sheet'!A:A,#REF!,"Samridhi Perk Line"),"")</f>
        <v/>
      </c>
      <c r="AS280" s="32"/>
      <c r="AT280" s="32"/>
      <c r="AU280" s="211">
        <f>IFERROR(VLOOKUP(Table1[[#This Row],[Date]],'Overweight Data'!A278:G1373,6,FALSE),"")</f>
        <v>0</v>
      </c>
      <c r="AV280" s="221">
        <f>IFERROR(
   IF(
      OR(Table1[[#This Row],[Operating Time]]=0, (Table1[[#This Row],[Operating Time]]/IF(AC280&lt;=1,AC280+1,AC280))*60=0),
      1,
      ((Table1[[#This Row],[Operating Time]])/IF(AC280&lt;=1,AC280+1,AC280))*60
   ),
"_")</f>
        <v>1</v>
      </c>
      <c r="AW280" s="221">
        <f>COUNTIFS('Downtime Data'!A:A,Table1[[#This Row],[Date]])</f>
        <v>0</v>
      </c>
      <c r="AX280" s="219" t="str">
        <f>IFERROR((SUM(Table1[[#This Row],[Minor Stoppages]:[Material Shortages]])/Table1[[#This Row],['# Stops]])*60,"")</f>
        <v/>
      </c>
      <c r="AY280" s="219"/>
      <c r="AZ280" s="33">
        <v>46321</v>
      </c>
    </row>
    <row r="281" spans="1:52" ht="20.149999999999999" customHeight="1" x14ac:dyDescent="0.35">
      <c r="A281" s="21">
        <v>46298</v>
      </c>
      <c r="B281" s="22" t="str">
        <f t="shared" si="6"/>
        <v>Saturday</v>
      </c>
      <c r="C281" s="23"/>
      <c r="D281" s="24" t="str" cm="1">
        <f t="array" aca="1" ref="D281" ca="1">IFERROR(INDIRECT(C281),"")</f>
        <v/>
      </c>
      <c r="E281" s="25"/>
      <c r="F281" s="26"/>
      <c r="G281" s="27" t="str">
        <f ca="1">IFERROR((Table1[[#This Row],[Plan]]/Table1[[#This Row],[Hours Used]])/(Table1[[#This Row],[SOC (TPD)]]/24),"")</f>
        <v/>
      </c>
      <c r="H281" s="27" t="str">
        <f ca="1">IFERROR((Table1[[#This Row],[Volume Delivered (T)]]/Table1[[#This Row],[Hours Used]])/(Table1[[#This Row],[SOC (TPD)]]/24),"")</f>
        <v/>
      </c>
      <c r="I281" s="28"/>
      <c r="J281" s="28"/>
      <c r="K281" s="28"/>
      <c r="L281" s="25"/>
      <c r="M281" s="29"/>
      <c r="N281" s="84"/>
      <c r="O281" s="25"/>
      <c r="P281" s="25"/>
      <c r="Q281" s="70"/>
      <c r="R281" s="71"/>
      <c r="S281" s="30">
        <f>IF(Table1[[#This Row],[SKU]]="",0,24-Table1[[#This Row],[Legal Non-Operating Time]]-Table1[[#This Row],[No Demand Time]]-Table1[[#This Row],[Force Majeure]])</f>
        <v>0</v>
      </c>
      <c r="T281" s="26"/>
      <c r="U281" s="26"/>
      <c r="V281" s="26"/>
      <c r="W281" s="26"/>
      <c r="X281" s="26"/>
      <c r="Y281" s="26"/>
      <c r="Z281" s="26"/>
      <c r="AA281" s="30">
        <f>Table1[[#This Row],[Hours Used]]-SUM(Table1[[#This Row],[Planned Maintenance]:[Start and Finish Production]])</f>
        <v>0</v>
      </c>
      <c r="AB281" s="26"/>
      <c r="AC281" s="26"/>
      <c r="AD281" s="26"/>
      <c r="AE281" s="26"/>
      <c r="AF281" s="26"/>
      <c r="AG281" s="26"/>
      <c r="AH281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281" s="24">
        <f>IFERROR(IF(Table1[[#This Row],[SKU]]="",0,Table1[[#This Row],[Quality Loss (T)]]/(Table1[[#This Row],[SOC (TPD)]]/24)),"")</f>
        <v>0</v>
      </c>
      <c r="AJ281" s="31">
        <f>IFERROR(IF(Table1[[#This Row],[SKU]]="",0,Table1[[#This Row],[Volume Delivered (T)]]/(Table1[[#This Row],[SOC (TPD)]]/24)),"")</f>
        <v>0</v>
      </c>
      <c r="AK281" s="31" t="str">
        <f>IFERROR(Table1[[#This Row],[Operating Time]]/Table1[[#This Row],[PRODUCTION HOURS]],"")</f>
        <v/>
      </c>
      <c r="AL281" s="32"/>
      <c r="AM281" s="32"/>
      <c r="AN281" s="32"/>
      <c r="AO281" s="32">
        <v>60</v>
      </c>
      <c r="AP281" s="32">
        <v>0</v>
      </c>
      <c r="AQ281" s="32"/>
      <c r="AR281" s="32" t="str">
        <f>IFERROR(SUMIFS(#REF!,#REF!,'Data Sheet'!A:A,#REF!,"Samridhi Perk Line")/SUMIFS(#REF!,#REF!,'Data Sheet'!A:A,#REF!,"Samridhi Perk Line"),"")</f>
        <v/>
      </c>
      <c r="AS281" s="32"/>
      <c r="AT281" s="32"/>
      <c r="AU281" s="211">
        <f>IFERROR(VLOOKUP(Table1[[#This Row],[Date]],'Overweight Data'!A279:G1374,6,FALSE),"")</f>
        <v>0</v>
      </c>
      <c r="AV281" s="221">
        <f>IFERROR(
   IF(
      OR(Table1[[#This Row],[Operating Time]]=0, (Table1[[#This Row],[Operating Time]]/IF(AC281&lt;=1,AC281+1,AC281))*60=0),
      1,
      ((Table1[[#This Row],[Operating Time]])/IF(AC281&lt;=1,AC281+1,AC281))*60
   ),
"_")</f>
        <v>1</v>
      </c>
      <c r="AW281" s="221">
        <f>COUNTIFS('Downtime Data'!A:A,Table1[[#This Row],[Date]])</f>
        <v>0</v>
      </c>
      <c r="AX281" s="219" t="str">
        <f>IFERROR((SUM(Table1[[#This Row],[Minor Stoppages]:[Material Shortages]])/Table1[[#This Row],['# Stops]])*60,"")</f>
        <v/>
      </c>
      <c r="AY281" s="219"/>
      <c r="AZ281" s="33">
        <v>46321</v>
      </c>
    </row>
    <row r="282" spans="1:52" ht="20.149999999999999" customHeight="1" x14ac:dyDescent="0.35">
      <c r="A282" s="21">
        <v>46299</v>
      </c>
      <c r="B282" s="22" t="str">
        <f t="shared" si="6"/>
        <v>Sunday</v>
      </c>
      <c r="C282" s="23"/>
      <c r="D282" s="24" t="str" cm="1">
        <f t="array" aca="1" ref="D282" ca="1">IFERROR(INDIRECT(C282),"")</f>
        <v/>
      </c>
      <c r="E282" s="25"/>
      <c r="F282" s="26"/>
      <c r="G282" s="27" t="str">
        <f ca="1">IFERROR((Table1[[#This Row],[Plan]]/Table1[[#This Row],[Hours Used]])/(Table1[[#This Row],[SOC (TPD)]]/24),"")</f>
        <v/>
      </c>
      <c r="H282" s="27" t="str">
        <f ca="1">IFERROR((Table1[[#This Row],[Volume Delivered (T)]]/Table1[[#This Row],[Hours Used]])/(Table1[[#This Row],[SOC (TPD)]]/24),"")</f>
        <v/>
      </c>
      <c r="I282" s="28"/>
      <c r="J282" s="28"/>
      <c r="K282" s="28"/>
      <c r="L282" s="25"/>
      <c r="M282" s="29"/>
      <c r="N282" s="84"/>
      <c r="O282" s="25"/>
      <c r="P282" s="25"/>
      <c r="Q282" s="70"/>
      <c r="R282" s="71"/>
      <c r="S282" s="30">
        <f>IF(Table1[[#This Row],[SKU]]="",0,24-Table1[[#This Row],[Legal Non-Operating Time]]-Table1[[#This Row],[No Demand Time]]-Table1[[#This Row],[Force Majeure]])</f>
        <v>0</v>
      </c>
      <c r="T282" s="26"/>
      <c r="U282" s="26"/>
      <c r="V282" s="26"/>
      <c r="W282" s="26"/>
      <c r="X282" s="26"/>
      <c r="Y282" s="26"/>
      <c r="Z282" s="26"/>
      <c r="AA282" s="30">
        <f>Table1[[#This Row],[Hours Used]]-SUM(Table1[[#This Row],[Planned Maintenance]:[Start and Finish Production]])</f>
        <v>0</v>
      </c>
      <c r="AB282" s="26"/>
      <c r="AC282" s="26"/>
      <c r="AD282" s="26"/>
      <c r="AE282" s="26"/>
      <c r="AF282" s="26"/>
      <c r="AG282" s="26"/>
      <c r="AH282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282" s="24">
        <f>IFERROR(IF(Table1[[#This Row],[SKU]]="",0,Table1[[#This Row],[Quality Loss (T)]]/(Table1[[#This Row],[SOC (TPD)]]/24)),"")</f>
        <v>0</v>
      </c>
      <c r="AJ282" s="31">
        <f>IFERROR(IF(Table1[[#This Row],[SKU]]="",0,Table1[[#This Row],[Volume Delivered (T)]]/(Table1[[#This Row],[SOC (TPD)]]/24)),"")</f>
        <v>0</v>
      </c>
      <c r="AK282" s="31" t="str">
        <f>IFERROR(Table1[[#This Row],[Operating Time]]/Table1[[#This Row],[PRODUCTION HOURS]],"")</f>
        <v/>
      </c>
      <c r="AL282" s="32"/>
      <c r="AM282" s="32"/>
      <c r="AN282" s="32"/>
      <c r="AO282" s="32">
        <v>0</v>
      </c>
      <c r="AP282" s="32">
        <v>0</v>
      </c>
      <c r="AQ282" s="32"/>
      <c r="AR282" s="32" t="str">
        <f>IFERROR(SUMIFS(#REF!,#REF!,'Data Sheet'!A:A,#REF!,"Samridhi Perk Line")/SUMIFS(#REF!,#REF!,'Data Sheet'!A:A,#REF!,"Samridhi Perk Line"),"")</f>
        <v/>
      </c>
      <c r="AS282" s="32"/>
      <c r="AT282" s="32"/>
      <c r="AU282" s="211">
        <f>IFERROR(VLOOKUP(Table1[[#This Row],[Date]],'Overweight Data'!A280:G1375,6,FALSE),"")</f>
        <v>0</v>
      </c>
      <c r="AV282" s="221">
        <f>IFERROR(
   IF(
      OR(Table1[[#This Row],[Operating Time]]=0, (Table1[[#This Row],[Operating Time]]/IF(AC282&lt;=1,AC282+1,AC282))*60=0),
      1,
      ((Table1[[#This Row],[Operating Time]])/IF(AC282&lt;=1,AC282+1,AC282))*60
   ),
"_")</f>
        <v>1</v>
      </c>
      <c r="AW282" s="221">
        <f>COUNTIFS('Downtime Data'!A:A,Table1[[#This Row],[Date]])</f>
        <v>0</v>
      </c>
      <c r="AX282" s="219" t="str">
        <f>IFERROR((SUM(Table1[[#This Row],[Minor Stoppages]:[Material Shortages]])/Table1[[#This Row],['# Stops]])*60,"")</f>
        <v/>
      </c>
      <c r="AY282" s="219"/>
      <c r="AZ282" s="33">
        <v>46321</v>
      </c>
    </row>
    <row r="283" spans="1:52" ht="20.149999999999999" customHeight="1" x14ac:dyDescent="0.35">
      <c r="A283" s="21">
        <v>46300</v>
      </c>
      <c r="B283" s="22" t="str">
        <f t="shared" si="6"/>
        <v>Monday</v>
      </c>
      <c r="C283" s="23"/>
      <c r="D283" s="24" t="str" cm="1">
        <f t="array" aca="1" ref="D283" ca="1">IFERROR(INDIRECT(C283),"")</f>
        <v/>
      </c>
      <c r="E283" s="25"/>
      <c r="F283" s="26"/>
      <c r="G283" s="27" t="str">
        <f ca="1">IFERROR((Table1[[#This Row],[Plan]]/Table1[[#This Row],[Hours Used]])/(Table1[[#This Row],[SOC (TPD)]]/24),"")</f>
        <v/>
      </c>
      <c r="H283" s="27" t="str">
        <f ca="1">IFERROR((Table1[[#This Row],[Volume Delivered (T)]]/Table1[[#This Row],[Hours Used]])/(Table1[[#This Row],[SOC (TPD)]]/24),"")</f>
        <v/>
      </c>
      <c r="I283" s="28"/>
      <c r="J283" s="28"/>
      <c r="K283" s="28"/>
      <c r="L283" s="25"/>
      <c r="M283" s="29"/>
      <c r="N283" s="84"/>
      <c r="O283" s="25"/>
      <c r="P283" s="25"/>
      <c r="Q283" s="70"/>
      <c r="R283" s="71"/>
      <c r="S283" s="30">
        <f>IF(Table1[[#This Row],[SKU]]="",0,24-Table1[[#This Row],[Legal Non-Operating Time]]-Table1[[#This Row],[No Demand Time]]-Table1[[#This Row],[Force Majeure]])</f>
        <v>0</v>
      </c>
      <c r="T283" s="26"/>
      <c r="U283" s="26"/>
      <c r="V283" s="26"/>
      <c r="W283" s="26"/>
      <c r="X283" s="26"/>
      <c r="Y283" s="26"/>
      <c r="Z283" s="26"/>
      <c r="AA283" s="30">
        <f>Table1[[#This Row],[Hours Used]]-SUM(Table1[[#This Row],[Planned Maintenance]:[Start and Finish Production]])</f>
        <v>0</v>
      </c>
      <c r="AB283" s="26"/>
      <c r="AC283" s="26"/>
      <c r="AD283" s="26"/>
      <c r="AE283" s="26"/>
      <c r="AF283" s="26"/>
      <c r="AG283" s="26"/>
      <c r="AH283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283" s="24">
        <f>IFERROR(IF(Table1[[#This Row],[SKU]]="",0,Table1[[#This Row],[Quality Loss (T)]]/(Table1[[#This Row],[SOC (TPD)]]/24)),"")</f>
        <v>0</v>
      </c>
      <c r="AJ283" s="31">
        <f>IFERROR(IF(Table1[[#This Row],[SKU]]="",0,Table1[[#This Row],[Volume Delivered (T)]]/(Table1[[#This Row],[SOC (TPD)]]/24)),"")</f>
        <v>0</v>
      </c>
      <c r="AK283" s="31" t="str">
        <f>IFERROR(Table1[[#This Row],[Operating Time]]/Table1[[#This Row],[PRODUCTION HOURS]],"")</f>
        <v/>
      </c>
      <c r="AL283" s="32"/>
      <c r="AM283" s="32"/>
      <c r="AN283" s="32"/>
      <c r="AO283" s="32">
        <v>1</v>
      </c>
      <c r="AP283" s="32">
        <v>0</v>
      </c>
      <c r="AQ283" s="32"/>
      <c r="AR283" s="32" t="str">
        <f>IFERROR(SUMIFS(#REF!,#REF!,'Data Sheet'!A:A,#REF!,"Samridhi Perk Line")/SUMIFS(#REF!,#REF!,'Data Sheet'!A:A,#REF!,"Samridhi Perk Line"),"")</f>
        <v/>
      </c>
      <c r="AS283" s="32"/>
      <c r="AT283" s="32"/>
      <c r="AU283" s="211">
        <f>IFERROR(VLOOKUP(Table1[[#This Row],[Date]],'Overweight Data'!A281:G1376,6,FALSE),"")</f>
        <v>0</v>
      </c>
      <c r="AV283" s="221">
        <f>IFERROR(
   IF(
      OR(Table1[[#This Row],[Operating Time]]=0, (Table1[[#This Row],[Operating Time]]/IF(AC283&lt;=1,AC283+1,AC283))*60=0),
      1,
      ((Table1[[#This Row],[Operating Time]])/IF(AC283&lt;=1,AC283+1,AC283))*60
   ),
"_")</f>
        <v>1</v>
      </c>
      <c r="AW283" s="221">
        <f>COUNTIFS('Downtime Data'!A:A,Table1[[#This Row],[Date]])</f>
        <v>0</v>
      </c>
      <c r="AX283" s="219" t="str">
        <f>IFERROR((SUM(Table1[[#This Row],[Minor Stoppages]:[Material Shortages]])/Table1[[#This Row],['# Stops]])*60,"")</f>
        <v/>
      </c>
      <c r="AY283" s="219"/>
      <c r="AZ283" s="33">
        <v>46321</v>
      </c>
    </row>
    <row r="284" spans="1:52" ht="20.149999999999999" customHeight="1" x14ac:dyDescent="0.35">
      <c r="A284" s="21">
        <v>46301</v>
      </c>
      <c r="B284" s="22" t="str">
        <f t="shared" si="6"/>
        <v>Tuesday</v>
      </c>
      <c r="C284" s="23"/>
      <c r="D284" s="24" t="str" cm="1">
        <f t="array" aca="1" ref="D284" ca="1">IFERROR(INDIRECT(C284),"")</f>
        <v/>
      </c>
      <c r="E284" s="25"/>
      <c r="F284" s="26"/>
      <c r="G284" s="27" t="str">
        <f ca="1">IFERROR((Table1[[#This Row],[Plan]]/Table1[[#This Row],[Hours Used]])/(Table1[[#This Row],[SOC (TPD)]]/24),"")</f>
        <v/>
      </c>
      <c r="H284" s="27" t="str">
        <f ca="1">IFERROR((Table1[[#This Row],[Volume Delivered (T)]]/Table1[[#This Row],[Hours Used]])/(Table1[[#This Row],[SOC (TPD)]]/24),"")</f>
        <v/>
      </c>
      <c r="I284" s="28"/>
      <c r="J284" s="28"/>
      <c r="K284" s="28"/>
      <c r="L284" s="25"/>
      <c r="M284" s="29"/>
      <c r="N284" s="84"/>
      <c r="O284" s="25"/>
      <c r="P284" s="25"/>
      <c r="Q284" s="70"/>
      <c r="R284" s="71"/>
      <c r="S284" s="30">
        <f>IF(Table1[[#This Row],[SKU]]="",0,24-Table1[[#This Row],[Legal Non-Operating Time]]-Table1[[#This Row],[No Demand Time]]-Table1[[#This Row],[Force Majeure]])</f>
        <v>0</v>
      </c>
      <c r="T284" s="26"/>
      <c r="U284" s="26"/>
      <c r="V284" s="26"/>
      <c r="W284" s="26"/>
      <c r="X284" s="26"/>
      <c r="Y284" s="26"/>
      <c r="Z284" s="26"/>
      <c r="AA284" s="30">
        <f>Table1[[#This Row],[Hours Used]]-SUM(Table1[[#This Row],[Planned Maintenance]:[Start and Finish Production]])</f>
        <v>0</v>
      </c>
      <c r="AB284" s="26"/>
      <c r="AC284" s="26"/>
      <c r="AD284" s="26"/>
      <c r="AE284" s="26"/>
      <c r="AF284" s="26"/>
      <c r="AG284" s="26"/>
      <c r="AH284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284" s="24">
        <f>IFERROR(IF(Table1[[#This Row],[SKU]]="",0,Table1[[#This Row],[Quality Loss (T)]]/(Table1[[#This Row],[SOC (TPD)]]/24)),"")</f>
        <v>0</v>
      </c>
      <c r="AJ284" s="31">
        <f>IFERROR(IF(Table1[[#This Row],[SKU]]="",0,Table1[[#This Row],[Volume Delivered (T)]]/(Table1[[#This Row],[SOC (TPD)]]/24)),"")</f>
        <v>0</v>
      </c>
      <c r="AK284" s="31" t="str">
        <f>IFERROR(Table1[[#This Row],[Operating Time]]/Table1[[#This Row],[PRODUCTION HOURS]],"")</f>
        <v/>
      </c>
      <c r="AL284" s="32"/>
      <c r="AM284" s="32"/>
      <c r="AN284" s="32"/>
      <c r="AO284" s="32">
        <v>0</v>
      </c>
      <c r="AP284" s="32">
        <v>0</v>
      </c>
      <c r="AQ284" s="32"/>
      <c r="AR284" s="32" t="str">
        <f>IFERROR(SUMIFS(#REF!,#REF!,'Data Sheet'!A:A,#REF!,"Samridhi Perk Line")/SUMIFS(#REF!,#REF!,'Data Sheet'!A:A,#REF!,"Samridhi Perk Line"),"")</f>
        <v/>
      </c>
      <c r="AS284" s="32"/>
      <c r="AT284" s="32"/>
      <c r="AU284" s="211">
        <f>IFERROR(VLOOKUP(Table1[[#This Row],[Date]],'Overweight Data'!A282:G1377,6,FALSE),"")</f>
        <v>0</v>
      </c>
      <c r="AV284" s="221">
        <f>IFERROR(
   IF(
      OR(Table1[[#This Row],[Operating Time]]=0, (Table1[[#This Row],[Operating Time]]/IF(AC284&lt;=1,AC284+1,AC284))*60=0),
      1,
      ((Table1[[#This Row],[Operating Time]])/IF(AC284&lt;=1,AC284+1,AC284))*60
   ),
"_")</f>
        <v>1</v>
      </c>
      <c r="AW284" s="221">
        <f>COUNTIFS('Downtime Data'!A:A,Table1[[#This Row],[Date]])</f>
        <v>0</v>
      </c>
      <c r="AX284" s="219" t="str">
        <f>IFERROR((SUM(Table1[[#This Row],[Minor Stoppages]:[Material Shortages]])/Table1[[#This Row],['# Stops]])*60,"")</f>
        <v/>
      </c>
      <c r="AY284" s="219"/>
      <c r="AZ284" s="33">
        <v>46321</v>
      </c>
    </row>
    <row r="285" spans="1:52" ht="20.149999999999999" customHeight="1" x14ac:dyDescent="0.35">
      <c r="A285" s="21">
        <v>46302</v>
      </c>
      <c r="B285" s="22" t="str">
        <f t="shared" si="6"/>
        <v>Wednesday</v>
      </c>
      <c r="C285" s="23"/>
      <c r="D285" s="24" t="str" cm="1">
        <f t="array" aca="1" ref="D285" ca="1">IFERROR(INDIRECT(C285),"")</f>
        <v/>
      </c>
      <c r="E285" s="25"/>
      <c r="F285" s="26"/>
      <c r="G285" s="27" t="str">
        <f ca="1">IFERROR((Table1[[#This Row],[Plan]]/Table1[[#This Row],[Hours Used]])/(Table1[[#This Row],[SOC (TPD)]]/24),"")</f>
        <v/>
      </c>
      <c r="H285" s="27" t="str">
        <f ca="1">IFERROR((Table1[[#This Row],[Volume Delivered (T)]]/Table1[[#This Row],[Hours Used]])/(Table1[[#This Row],[SOC (TPD)]]/24),"")</f>
        <v/>
      </c>
      <c r="I285" s="28"/>
      <c r="J285" s="28"/>
      <c r="K285" s="28"/>
      <c r="L285" s="25"/>
      <c r="M285" s="29"/>
      <c r="N285" s="84"/>
      <c r="O285" s="25"/>
      <c r="P285" s="25"/>
      <c r="Q285" s="70"/>
      <c r="R285" s="71"/>
      <c r="S285" s="30">
        <f>IF(Table1[[#This Row],[SKU]]="",0,24-Table1[[#This Row],[Legal Non-Operating Time]]-Table1[[#This Row],[No Demand Time]]-Table1[[#This Row],[Force Majeure]])</f>
        <v>0</v>
      </c>
      <c r="T285" s="26"/>
      <c r="U285" s="26"/>
      <c r="V285" s="26"/>
      <c r="W285" s="26"/>
      <c r="X285" s="26"/>
      <c r="Y285" s="26"/>
      <c r="Z285" s="26"/>
      <c r="AA285" s="30">
        <f>Table1[[#This Row],[Hours Used]]-SUM(Table1[[#This Row],[Planned Maintenance]:[Start and Finish Production]])</f>
        <v>0</v>
      </c>
      <c r="AB285" s="26"/>
      <c r="AC285" s="26"/>
      <c r="AD285" s="26"/>
      <c r="AE285" s="26"/>
      <c r="AF285" s="26"/>
      <c r="AG285" s="26"/>
      <c r="AH285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285" s="24">
        <f>IFERROR(IF(Table1[[#This Row],[SKU]]="",0,Table1[[#This Row],[Quality Loss (T)]]/(Table1[[#This Row],[SOC (TPD)]]/24)),"")</f>
        <v>0</v>
      </c>
      <c r="AJ285" s="31">
        <f>IFERROR(IF(Table1[[#This Row],[SKU]]="",0,Table1[[#This Row],[Volume Delivered (T)]]/(Table1[[#This Row],[SOC (TPD)]]/24)),"")</f>
        <v>0</v>
      </c>
      <c r="AK285" s="31" t="str">
        <f>IFERROR(Table1[[#This Row],[Operating Time]]/Table1[[#This Row],[PRODUCTION HOURS]],"")</f>
        <v/>
      </c>
      <c r="AL285" s="32"/>
      <c r="AM285" s="32"/>
      <c r="AN285" s="32"/>
      <c r="AO285" s="32">
        <v>0</v>
      </c>
      <c r="AP285" s="32">
        <v>0</v>
      </c>
      <c r="AQ285" s="32"/>
      <c r="AR285" s="32" t="str">
        <f>IFERROR(SUMIFS(#REF!,#REF!,'Data Sheet'!A:A,#REF!,"Samridhi Perk Line")/SUMIFS(#REF!,#REF!,'Data Sheet'!A:A,#REF!,"Samridhi Perk Line"),"")</f>
        <v/>
      </c>
      <c r="AS285" s="32"/>
      <c r="AT285" s="32"/>
      <c r="AU285" s="211">
        <f>IFERROR(VLOOKUP(Table1[[#This Row],[Date]],'Overweight Data'!A283:G1378,6,FALSE),"")</f>
        <v>0</v>
      </c>
      <c r="AV285" s="221">
        <f>IFERROR(
   IF(
      OR(Table1[[#This Row],[Operating Time]]=0, (Table1[[#This Row],[Operating Time]]/IF(AC285&lt;=1,AC285+1,AC285))*60=0),
      1,
      ((Table1[[#This Row],[Operating Time]])/IF(AC285&lt;=1,AC285+1,AC285))*60
   ),
"_")</f>
        <v>1</v>
      </c>
      <c r="AW285" s="221">
        <f>COUNTIFS('Downtime Data'!A:A,Table1[[#This Row],[Date]])</f>
        <v>0</v>
      </c>
      <c r="AX285" s="219" t="str">
        <f>IFERROR((SUM(Table1[[#This Row],[Minor Stoppages]:[Material Shortages]])/Table1[[#This Row],['# Stops]])*60,"")</f>
        <v/>
      </c>
      <c r="AY285" s="219"/>
      <c r="AZ285" s="33">
        <v>46321</v>
      </c>
    </row>
    <row r="286" spans="1:52" ht="20.149999999999999" customHeight="1" x14ac:dyDescent="0.35">
      <c r="A286" s="21">
        <v>46303</v>
      </c>
      <c r="B286" s="22" t="str">
        <f t="shared" si="6"/>
        <v>Thursday</v>
      </c>
      <c r="C286" s="23"/>
      <c r="D286" s="24" t="str" cm="1">
        <f t="array" aca="1" ref="D286" ca="1">IFERROR(INDIRECT(C286),"")</f>
        <v/>
      </c>
      <c r="E286" s="25"/>
      <c r="F286" s="26"/>
      <c r="G286" s="27" t="str">
        <f ca="1">IFERROR((Table1[[#This Row],[Plan]]/Table1[[#This Row],[Hours Used]])/(Table1[[#This Row],[SOC (TPD)]]/24),"")</f>
        <v/>
      </c>
      <c r="H286" s="27" t="str">
        <f ca="1">IFERROR((Table1[[#This Row],[Volume Delivered (T)]]/Table1[[#This Row],[Hours Used]])/(Table1[[#This Row],[SOC (TPD)]]/24),"")</f>
        <v/>
      </c>
      <c r="I286" s="28"/>
      <c r="J286" s="28"/>
      <c r="K286" s="28"/>
      <c r="L286" s="25"/>
      <c r="M286" s="29"/>
      <c r="N286" s="84"/>
      <c r="O286" s="25"/>
      <c r="P286" s="25"/>
      <c r="Q286" s="70"/>
      <c r="R286" s="71"/>
      <c r="S286" s="30">
        <f>IF(Table1[[#This Row],[SKU]]="",0,24-Table1[[#This Row],[Legal Non-Operating Time]]-Table1[[#This Row],[No Demand Time]]-Table1[[#This Row],[Force Majeure]])</f>
        <v>0</v>
      </c>
      <c r="T286" s="26"/>
      <c r="U286" s="26"/>
      <c r="V286" s="26"/>
      <c r="W286" s="26"/>
      <c r="X286" s="26"/>
      <c r="Y286" s="26"/>
      <c r="Z286" s="26"/>
      <c r="AA286" s="30">
        <f>Table1[[#This Row],[Hours Used]]-SUM(Table1[[#This Row],[Planned Maintenance]:[Start and Finish Production]])</f>
        <v>0</v>
      </c>
      <c r="AB286" s="26"/>
      <c r="AC286" s="26"/>
      <c r="AD286" s="26"/>
      <c r="AE286" s="26"/>
      <c r="AF286" s="26"/>
      <c r="AG286" s="26"/>
      <c r="AH286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286" s="24">
        <f>IFERROR(IF(Table1[[#This Row],[SKU]]="",0,Table1[[#This Row],[Quality Loss (T)]]/(Table1[[#This Row],[SOC (TPD)]]/24)),"")</f>
        <v>0</v>
      </c>
      <c r="AJ286" s="31">
        <f>IFERROR(IF(Table1[[#This Row],[SKU]]="",0,Table1[[#This Row],[Volume Delivered (T)]]/(Table1[[#This Row],[SOC (TPD)]]/24)),"")</f>
        <v>0</v>
      </c>
      <c r="AK286" s="31" t="str">
        <f>IFERROR(Table1[[#This Row],[Operating Time]]/Table1[[#This Row],[PRODUCTION HOURS]],"")</f>
        <v/>
      </c>
      <c r="AL286" s="32"/>
      <c r="AM286" s="32"/>
      <c r="AN286" s="32"/>
      <c r="AO286" s="32">
        <v>4</v>
      </c>
      <c r="AP286" s="32">
        <v>0</v>
      </c>
      <c r="AQ286" s="32"/>
      <c r="AR286" s="32" t="str">
        <f>IFERROR(SUMIFS(#REF!,#REF!,'Data Sheet'!A:A,#REF!,"Samridhi Perk Line")/SUMIFS(#REF!,#REF!,'Data Sheet'!A:A,#REF!,"Samridhi Perk Line"),"")</f>
        <v/>
      </c>
      <c r="AS286" s="32"/>
      <c r="AT286" s="32"/>
      <c r="AU286" s="211">
        <f>IFERROR(VLOOKUP(Table1[[#This Row],[Date]],'Overweight Data'!A284:G1379,6,FALSE),"")</f>
        <v>0</v>
      </c>
      <c r="AV286" s="221">
        <f>IFERROR(
   IF(
      OR(Table1[[#This Row],[Operating Time]]=0, (Table1[[#This Row],[Operating Time]]/IF(AC286&lt;=1,AC286+1,AC286))*60=0),
      1,
      ((Table1[[#This Row],[Operating Time]])/IF(AC286&lt;=1,AC286+1,AC286))*60
   ),
"_")</f>
        <v>1</v>
      </c>
      <c r="AW286" s="221">
        <f>COUNTIFS('Downtime Data'!A:A,Table1[[#This Row],[Date]])</f>
        <v>0</v>
      </c>
      <c r="AX286" s="219" t="str">
        <f>IFERROR((SUM(Table1[[#This Row],[Minor Stoppages]:[Material Shortages]])/Table1[[#This Row],['# Stops]])*60,"")</f>
        <v/>
      </c>
      <c r="AY286" s="219"/>
      <c r="AZ286" s="33">
        <v>46321</v>
      </c>
    </row>
    <row r="287" spans="1:52" ht="20.149999999999999" customHeight="1" x14ac:dyDescent="0.35">
      <c r="A287" s="21">
        <v>46304</v>
      </c>
      <c r="B287" s="22" t="str">
        <f t="shared" si="6"/>
        <v>Friday</v>
      </c>
      <c r="C287" s="23"/>
      <c r="D287" s="24" t="str" cm="1">
        <f t="array" aca="1" ref="D287" ca="1">IFERROR(INDIRECT(C287),"")</f>
        <v/>
      </c>
      <c r="E287" s="25"/>
      <c r="F287" s="26"/>
      <c r="G287" s="27" t="str">
        <f ca="1">IFERROR((Table1[[#This Row],[Plan]]/Table1[[#This Row],[Hours Used]])/(Table1[[#This Row],[SOC (TPD)]]/24),"")</f>
        <v/>
      </c>
      <c r="H287" s="27" t="str">
        <f ca="1">IFERROR((Table1[[#This Row],[Volume Delivered (T)]]/Table1[[#This Row],[Hours Used]])/(Table1[[#This Row],[SOC (TPD)]]/24),"")</f>
        <v/>
      </c>
      <c r="I287" s="28"/>
      <c r="J287" s="28"/>
      <c r="K287" s="28"/>
      <c r="L287" s="25"/>
      <c r="M287" s="29"/>
      <c r="N287" s="84"/>
      <c r="O287" s="25"/>
      <c r="P287" s="25"/>
      <c r="Q287" s="70"/>
      <c r="R287" s="71"/>
      <c r="S287" s="30">
        <f>IF(Table1[[#This Row],[SKU]]="",0,24-Table1[[#This Row],[Legal Non-Operating Time]]-Table1[[#This Row],[No Demand Time]]-Table1[[#This Row],[Force Majeure]])</f>
        <v>0</v>
      </c>
      <c r="T287" s="26"/>
      <c r="U287" s="26"/>
      <c r="V287" s="26"/>
      <c r="W287" s="26"/>
      <c r="X287" s="26"/>
      <c r="Y287" s="26"/>
      <c r="Z287" s="26"/>
      <c r="AA287" s="30">
        <f>Table1[[#This Row],[Hours Used]]-SUM(Table1[[#This Row],[Planned Maintenance]:[Start and Finish Production]])</f>
        <v>0</v>
      </c>
      <c r="AB287" s="26"/>
      <c r="AC287" s="26"/>
      <c r="AD287" s="26"/>
      <c r="AE287" s="26"/>
      <c r="AF287" s="26"/>
      <c r="AG287" s="26"/>
      <c r="AH287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287" s="24">
        <f>IFERROR(IF(Table1[[#This Row],[SKU]]="",0,Table1[[#This Row],[Quality Loss (T)]]/(Table1[[#This Row],[SOC (TPD)]]/24)),"")</f>
        <v>0</v>
      </c>
      <c r="AJ287" s="31">
        <f>IFERROR(IF(Table1[[#This Row],[SKU]]="",0,Table1[[#This Row],[Volume Delivered (T)]]/(Table1[[#This Row],[SOC (TPD)]]/24)),"")</f>
        <v>0</v>
      </c>
      <c r="AK287" s="31" t="str">
        <f>IFERROR(Table1[[#This Row],[Operating Time]]/Table1[[#This Row],[PRODUCTION HOURS]],"")</f>
        <v/>
      </c>
      <c r="AL287" s="32"/>
      <c r="AM287" s="32"/>
      <c r="AN287" s="32"/>
      <c r="AO287" s="32">
        <v>0</v>
      </c>
      <c r="AP287" s="32">
        <v>0</v>
      </c>
      <c r="AQ287" s="32"/>
      <c r="AR287" s="32" t="str">
        <f>IFERROR(SUMIFS(#REF!,#REF!,'Data Sheet'!A:A,#REF!,"Samridhi Perk Line")/SUMIFS(#REF!,#REF!,'Data Sheet'!A:A,#REF!,"Samridhi Perk Line"),"")</f>
        <v/>
      </c>
      <c r="AS287" s="32"/>
      <c r="AT287" s="32"/>
      <c r="AU287" s="211">
        <f>IFERROR(VLOOKUP(Table1[[#This Row],[Date]],'Overweight Data'!A285:G1380,6,FALSE),"")</f>
        <v>0</v>
      </c>
      <c r="AV287" s="221">
        <f>IFERROR(
   IF(
      OR(Table1[[#This Row],[Operating Time]]=0, (Table1[[#This Row],[Operating Time]]/IF(AC287&lt;=1,AC287+1,AC287))*60=0),
      1,
      ((Table1[[#This Row],[Operating Time]])/IF(AC287&lt;=1,AC287+1,AC287))*60
   ),
"_")</f>
        <v>1</v>
      </c>
      <c r="AW287" s="221">
        <f>COUNTIFS('Downtime Data'!A:A,Table1[[#This Row],[Date]])</f>
        <v>0</v>
      </c>
      <c r="AX287" s="219" t="str">
        <f>IFERROR((SUM(Table1[[#This Row],[Minor Stoppages]:[Material Shortages]])/Table1[[#This Row],['# Stops]])*60,"")</f>
        <v/>
      </c>
      <c r="AY287" s="219"/>
      <c r="AZ287" s="33">
        <v>46321</v>
      </c>
    </row>
    <row r="288" spans="1:52" ht="20.149999999999999" customHeight="1" x14ac:dyDescent="0.35">
      <c r="A288" s="21">
        <v>46305</v>
      </c>
      <c r="B288" s="22" t="str">
        <f t="shared" si="6"/>
        <v>Saturday</v>
      </c>
      <c r="C288" s="23"/>
      <c r="D288" s="24" t="str" cm="1">
        <f t="array" aca="1" ref="D288" ca="1">IFERROR(INDIRECT(C288),"")</f>
        <v/>
      </c>
      <c r="E288" s="25"/>
      <c r="F288" s="26"/>
      <c r="G288" s="27" t="str">
        <f ca="1">IFERROR((Table1[[#This Row],[Plan]]/Table1[[#This Row],[Hours Used]])/(Table1[[#This Row],[SOC (TPD)]]/24),"")</f>
        <v/>
      </c>
      <c r="H288" s="27" t="str">
        <f ca="1">IFERROR((Table1[[#This Row],[Volume Delivered (T)]]/Table1[[#This Row],[Hours Used]])/(Table1[[#This Row],[SOC (TPD)]]/24),"")</f>
        <v/>
      </c>
      <c r="I288" s="28"/>
      <c r="J288" s="28"/>
      <c r="K288" s="28"/>
      <c r="L288" s="25"/>
      <c r="M288" s="29"/>
      <c r="N288" s="84"/>
      <c r="O288" s="25"/>
      <c r="P288" s="25"/>
      <c r="Q288" s="70"/>
      <c r="R288" s="71"/>
      <c r="S288" s="30">
        <f>IF(Table1[[#This Row],[SKU]]="",0,24-Table1[[#This Row],[Legal Non-Operating Time]]-Table1[[#This Row],[No Demand Time]]-Table1[[#This Row],[Force Majeure]])</f>
        <v>0</v>
      </c>
      <c r="T288" s="26"/>
      <c r="U288" s="26"/>
      <c r="V288" s="26"/>
      <c r="W288" s="26"/>
      <c r="X288" s="26"/>
      <c r="Y288" s="26"/>
      <c r="Z288" s="26"/>
      <c r="AA288" s="30">
        <f>Table1[[#This Row],[Hours Used]]-SUM(Table1[[#This Row],[Planned Maintenance]:[Start and Finish Production]])</f>
        <v>0</v>
      </c>
      <c r="AB288" s="26"/>
      <c r="AC288" s="26"/>
      <c r="AD288" s="26"/>
      <c r="AE288" s="26"/>
      <c r="AF288" s="26"/>
      <c r="AG288" s="26"/>
      <c r="AH288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288" s="24">
        <f>IFERROR(IF(Table1[[#This Row],[SKU]]="",0,Table1[[#This Row],[Quality Loss (T)]]/(Table1[[#This Row],[SOC (TPD)]]/24)),"")</f>
        <v>0</v>
      </c>
      <c r="AJ288" s="31">
        <f>IFERROR(IF(Table1[[#This Row],[SKU]]="",0,Table1[[#This Row],[Volume Delivered (T)]]/(Table1[[#This Row],[SOC (TPD)]]/24)),"")</f>
        <v>0</v>
      </c>
      <c r="AK288" s="31" t="str">
        <f>IFERROR(Table1[[#This Row],[Operating Time]]/Table1[[#This Row],[PRODUCTION HOURS]],"")</f>
        <v/>
      </c>
      <c r="AL288" s="32"/>
      <c r="AM288" s="32"/>
      <c r="AN288" s="32"/>
      <c r="AO288" s="32">
        <v>46</v>
      </c>
      <c r="AP288" s="32">
        <v>0</v>
      </c>
      <c r="AQ288" s="32"/>
      <c r="AR288" s="32" t="str">
        <f>IFERROR(SUMIFS(#REF!,#REF!,'Data Sheet'!A:A,#REF!,"Samridhi Perk Line")/SUMIFS(#REF!,#REF!,'Data Sheet'!A:A,#REF!,"Samridhi Perk Line"),"")</f>
        <v/>
      </c>
      <c r="AS288" s="32"/>
      <c r="AT288" s="32"/>
      <c r="AU288" s="211">
        <f>IFERROR(VLOOKUP(Table1[[#This Row],[Date]],'Overweight Data'!A286:G1381,6,FALSE),"")</f>
        <v>0</v>
      </c>
      <c r="AV288" s="221">
        <f>IFERROR(
   IF(
      OR(Table1[[#This Row],[Operating Time]]=0, (Table1[[#This Row],[Operating Time]]/IF(AC288&lt;=1,AC288+1,AC288))*60=0),
      1,
      ((Table1[[#This Row],[Operating Time]])/IF(AC288&lt;=1,AC288+1,AC288))*60
   ),
"_")</f>
        <v>1</v>
      </c>
      <c r="AW288" s="221">
        <f>COUNTIFS('Downtime Data'!A:A,Table1[[#This Row],[Date]])</f>
        <v>0</v>
      </c>
      <c r="AX288" s="219" t="str">
        <f>IFERROR((SUM(Table1[[#This Row],[Minor Stoppages]:[Material Shortages]])/Table1[[#This Row],['# Stops]])*60,"")</f>
        <v/>
      </c>
      <c r="AY288" s="219"/>
      <c r="AZ288" s="33">
        <v>46321</v>
      </c>
    </row>
    <row r="289" spans="1:52" ht="20.149999999999999" customHeight="1" x14ac:dyDescent="0.35">
      <c r="A289" s="21">
        <v>46306</v>
      </c>
      <c r="B289" s="22" t="str">
        <f t="shared" si="6"/>
        <v>Sunday</v>
      </c>
      <c r="C289" s="23"/>
      <c r="D289" s="24" t="str" cm="1">
        <f t="array" aca="1" ref="D289" ca="1">IFERROR(INDIRECT(C289),"")</f>
        <v/>
      </c>
      <c r="E289" s="25"/>
      <c r="F289" s="26"/>
      <c r="G289" s="27" t="str">
        <f ca="1">IFERROR((Table1[[#This Row],[Plan]]/Table1[[#This Row],[Hours Used]])/(Table1[[#This Row],[SOC (TPD)]]/24),"")</f>
        <v/>
      </c>
      <c r="H289" s="27" t="str">
        <f ca="1">IFERROR((Table1[[#This Row],[Volume Delivered (T)]]/Table1[[#This Row],[Hours Used]])/(Table1[[#This Row],[SOC (TPD)]]/24),"")</f>
        <v/>
      </c>
      <c r="I289" s="28"/>
      <c r="J289" s="28"/>
      <c r="K289" s="28"/>
      <c r="L289" s="25"/>
      <c r="M289" s="29"/>
      <c r="N289" s="84"/>
      <c r="O289" s="25"/>
      <c r="P289" s="25"/>
      <c r="Q289" s="70"/>
      <c r="R289" s="71"/>
      <c r="S289" s="30">
        <f>IF(Table1[[#This Row],[SKU]]="",0,24-Table1[[#This Row],[Legal Non-Operating Time]]-Table1[[#This Row],[No Demand Time]]-Table1[[#This Row],[Force Majeure]])</f>
        <v>0</v>
      </c>
      <c r="T289" s="26"/>
      <c r="U289" s="26"/>
      <c r="V289" s="26"/>
      <c r="W289" s="26"/>
      <c r="X289" s="26"/>
      <c r="Y289" s="26"/>
      <c r="Z289" s="26"/>
      <c r="AA289" s="30">
        <f>Table1[[#This Row],[Hours Used]]-SUM(Table1[[#This Row],[Planned Maintenance]:[Start and Finish Production]])</f>
        <v>0</v>
      </c>
      <c r="AB289" s="26"/>
      <c r="AC289" s="26"/>
      <c r="AD289" s="26"/>
      <c r="AE289" s="26"/>
      <c r="AF289" s="26"/>
      <c r="AG289" s="26"/>
      <c r="AH289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289" s="24">
        <f>IFERROR(IF(Table1[[#This Row],[SKU]]="",0,Table1[[#This Row],[Quality Loss (T)]]/(Table1[[#This Row],[SOC (TPD)]]/24)),"")</f>
        <v>0</v>
      </c>
      <c r="AJ289" s="31">
        <f>IFERROR(IF(Table1[[#This Row],[SKU]]="",0,Table1[[#This Row],[Volume Delivered (T)]]/(Table1[[#This Row],[SOC (TPD)]]/24)),"")</f>
        <v>0</v>
      </c>
      <c r="AK289" s="31" t="str">
        <f>IFERROR(Table1[[#This Row],[Operating Time]]/Table1[[#This Row],[PRODUCTION HOURS]],"")</f>
        <v/>
      </c>
      <c r="AL289" s="32"/>
      <c r="AM289" s="32"/>
      <c r="AN289" s="32"/>
      <c r="AO289" s="32">
        <v>0</v>
      </c>
      <c r="AP289" s="32">
        <v>0</v>
      </c>
      <c r="AQ289" s="32"/>
      <c r="AR289" s="32" t="str">
        <f>IFERROR(SUMIFS(#REF!,#REF!,'Data Sheet'!A:A,#REF!,"Samridhi Perk Line")/SUMIFS(#REF!,#REF!,'Data Sheet'!A:A,#REF!,"Samridhi Perk Line"),"")</f>
        <v/>
      </c>
      <c r="AS289" s="32"/>
      <c r="AT289" s="32"/>
      <c r="AU289" s="211">
        <f>IFERROR(VLOOKUP(Table1[[#This Row],[Date]],'Overweight Data'!A287:G1382,6,FALSE),"")</f>
        <v>0</v>
      </c>
      <c r="AV289" s="221">
        <f>IFERROR(
   IF(
      OR(Table1[[#This Row],[Operating Time]]=0, (Table1[[#This Row],[Operating Time]]/IF(AC289&lt;=1,AC289+1,AC289))*60=0),
      1,
      ((Table1[[#This Row],[Operating Time]])/IF(AC289&lt;=1,AC289+1,AC289))*60
   ),
"_")</f>
        <v>1</v>
      </c>
      <c r="AW289" s="221">
        <f>COUNTIFS('Downtime Data'!A:A,Table1[[#This Row],[Date]])</f>
        <v>0</v>
      </c>
      <c r="AX289" s="219" t="str">
        <f>IFERROR((SUM(Table1[[#This Row],[Minor Stoppages]:[Material Shortages]])/Table1[[#This Row],['# Stops]])*60,"")</f>
        <v/>
      </c>
      <c r="AY289" s="219"/>
      <c r="AZ289" s="33">
        <v>46321</v>
      </c>
    </row>
    <row r="290" spans="1:52" ht="20.149999999999999" customHeight="1" x14ac:dyDescent="0.35">
      <c r="A290" s="21">
        <v>46307</v>
      </c>
      <c r="B290" s="22" t="str">
        <f t="shared" si="6"/>
        <v>Monday</v>
      </c>
      <c r="C290" s="23"/>
      <c r="D290" s="24" t="str" cm="1">
        <f t="array" aca="1" ref="D290" ca="1">IFERROR(INDIRECT(C290),"")</f>
        <v/>
      </c>
      <c r="E290" s="25"/>
      <c r="F290" s="26"/>
      <c r="G290" s="27" t="str">
        <f ca="1">IFERROR((Table1[[#This Row],[Plan]]/Table1[[#This Row],[Hours Used]])/(Table1[[#This Row],[SOC (TPD)]]/24),"")</f>
        <v/>
      </c>
      <c r="H290" s="27" t="str">
        <f ca="1">IFERROR((Table1[[#This Row],[Volume Delivered (T)]]/Table1[[#This Row],[Hours Used]])/(Table1[[#This Row],[SOC (TPD)]]/24),"")</f>
        <v/>
      </c>
      <c r="I290" s="28"/>
      <c r="J290" s="28"/>
      <c r="K290" s="28"/>
      <c r="L290" s="25"/>
      <c r="M290" s="29"/>
      <c r="N290" s="84"/>
      <c r="O290" s="25"/>
      <c r="P290" s="25"/>
      <c r="Q290" s="70"/>
      <c r="R290" s="71"/>
      <c r="S290" s="30">
        <f>IF(Table1[[#This Row],[SKU]]="",0,24-Table1[[#This Row],[Legal Non-Operating Time]]-Table1[[#This Row],[No Demand Time]]-Table1[[#This Row],[Force Majeure]])</f>
        <v>0</v>
      </c>
      <c r="T290" s="26"/>
      <c r="U290" s="26"/>
      <c r="V290" s="26"/>
      <c r="W290" s="26"/>
      <c r="X290" s="26"/>
      <c r="Y290" s="26"/>
      <c r="Z290" s="26"/>
      <c r="AA290" s="30">
        <f>Table1[[#This Row],[Hours Used]]-SUM(Table1[[#This Row],[Planned Maintenance]:[Start and Finish Production]])</f>
        <v>0</v>
      </c>
      <c r="AB290" s="26"/>
      <c r="AC290" s="26"/>
      <c r="AD290" s="26"/>
      <c r="AE290" s="26"/>
      <c r="AF290" s="26"/>
      <c r="AG290" s="26"/>
      <c r="AH290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290" s="24">
        <f>IFERROR(IF(Table1[[#This Row],[SKU]]="",0,Table1[[#This Row],[Quality Loss (T)]]/(Table1[[#This Row],[SOC (TPD)]]/24)),"")</f>
        <v>0</v>
      </c>
      <c r="AJ290" s="31">
        <f>IFERROR(IF(Table1[[#This Row],[SKU]]="",0,Table1[[#This Row],[Volume Delivered (T)]]/(Table1[[#This Row],[SOC (TPD)]]/24)),"")</f>
        <v>0</v>
      </c>
      <c r="AK290" s="31" t="str">
        <f>IFERROR(Table1[[#This Row],[Operating Time]]/Table1[[#This Row],[PRODUCTION HOURS]],"")</f>
        <v/>
      </c>
      <c r="AL290" s="32"/>
      <c r="AM290" s="32"/>
      <c r="AN290" s="32"/>
      <c r="AO290" s="32">
        <v>3</v>
      </c>
      <c r="AP290" s="32">
        <v>0</v>
      </c>
      <c r="AQ290" s="32"/>
      <c r="AR290" s="32" t="str">
        <f>IFERROR(SUMIFS(#REF!,#REF!,'Data Sheet'!A:A,#REF!,"Samridhi Perk Line")/SUMIFS(#REF!,#REF!,'Data Sheet'!A:A,#REF!,"Samridhi Perk Line"),"")</f>
        <v/>
      </c>
      <c r="AS290" s="32"/>
      <c r="AT290" s="32"/>
      <c r="AU290" s="211">
        <f>IFERROR(VLOOKUP(Table1[[#This Row],[Date]],'Overweight Data'!A288:G1383,6,FALSE),"")</f>
        <v>0</v>
      </c>
      <c r="AV290" s="221">
        <f>IFERROR(
   IF(
      OR(Table1[[#This Row],[Operating Time]]=0, (Table1[[#This Row],[Operating Time]]/IF(AC290&lt;=1,AC290+1,AC290))*60=0),
      1,
      ((Table1[[#This Row],[Operating Time]])/IF(AC290&lt;=1,AC290+1,AC290))*60
   ),
"_")</f>
        <v>1</v>
      </c>
      <c r="AW290" s="221">
        <f>COUNTIFS('Downtime Data'!A:A,Table1[[#This Row],[Date]])</f>
        <v>0</v>
      </c>
      <c r="AX290" s="219" t="str">
        <f>IFERROR((SUM(Table1[[#This Row],[Minor Stoppages]:[Material Shortages]])/Table1[[#This Row],['# Stops]])*60,"")</f>
        <v/>
      </c>
      <c r="AY290" s="219"/>
      <c r="AZ290" s="33">
        <v>46321</v>
      </c>
    </row>
    <row r="291" spans="1:52" ht="20.149999999999999" customHeight="1" x14ac:dyDescent="0.35">
      <c r="A291" s="21">
        <v>46308</v>
      </c>
      <c r="B291" s="22" t="str">
        <f t="shared" si="6"/>
        <v>Tuesday</v>
      </c>
      <c r="C291" s="23"/>
      <c r="D291" s="24" t="str" cm="1">
        <f t="array" aca="1" ref="D291" ca="1">IFERROR(INDIRECT(C291),"")</f>
        <v/>
      </c>
      <c r="E291" s="25"/>
      <c r="F291" s="26"/>
      <c r="G291" s="27" t="str">
        <f ca="1">IFERROR((Table1[[#This Row],[Plan]]/Table1[[#This Row],[Hours Used]])/(Table1[[#This Row],[SOC (TPD)]]/24),"")</f>
        <v/>
      </c>
      <c r="H291" s="27" t="str">
        <f ca="1">IFERROR((Table1[[#This Row],[Volume Delivered (T)]]/Table1[[#This Row],[Hours Used]])/(Table1[[#This Row],[SOC (TPD)]]/24),"")</f>
        <v/>
      </c>
      <c r="I291" s="28"/>
      <c r="J291" s="28"/>
      <c r="K291" s="28"/>
      <c r="L291" s="25"/>
      <c r="M291" s="29"/>
      <c r="N291" s="84"/>
      <c r="O291" s="25"/>
      <c r="P291" s="25"/>
      <c r="Q291" s="70"/>
      <c r="R291" s="71"/>
      <c r="S291" s="30">
        <f>IF(Table1[[#This Row],[SKU]]="",0,24-Table1[[#This Row],[Legal Non-Operating Time]]-Table1[[#This Row],[No Demand Time]]-Table1[[#This Row],[Force Majeure]])</f>
        <v>0</v>
      </c>
      <c r="T291" s="26"/>
      <c r="U291" s="26"/>
      <c r="V291" s="26"/>
      <c r="W291" s="26"/>
      <c r="X291" s="26"/>
      <c r="Y291" s="26"/>
      <c r="Z291" s="26"/>
      <c r="AA291" s="30">
        <f>Table1[[#This Row],[Hours Used]]-SUM(Table1[[#This Row],[Planned Maintenance]:[Start and Finish Production]])</f>
        <v>0</v>
      </c>
      <c r="AB291" s="26"/>
      <c r="AC291" s="26"/>
      <c r="AD291" s="26"/>
      <c r="AE291" s="26"/>
      <c r="AF291" s="26"/>
      <c r="AG291" s="26"/>
      <c r="AH291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291" s="24">
        <f>IFERROR(IF(Table1[[#This Row],[SKU]]="",0,Table1[[#This Row],[Quality Loss (T)]]/(Table1[[#This Row],[SOC (TPD)]]/24)),"")</f>
        <v>0</v>
      </c>
      <c r="AJ291" s="31">
        <f>IFERROR(IF(Table1[[#This Row],[SKU]]="",0,Table1[[#This Row],[Volume Delivered (T)]]/(Table1[[#This Row],[SOC (TPD)]]/24)),"")</f>
        <v>0</v>
      </c>
      <c r="AK291" s="31" t="str">
        <f>IFERROR(Table1[[#This Row],[Operating Time]]/Table1[[#This Row],[PRODUCTION HOURS]],"")</f>
        <v/>
      </c>
      <c r="AL291" s="32"/>
      <c r="AM291" s="32"/>
      <c r="AN291" s="32"/>
      <c r="AO291" s="32">
        <v>13</v>
      </c>
      <c r="AP291" s="32">
        <v>0</v>
      </c>
      <c r="AQ291" s="32"/>
      <c r="AR291" s="32" t="str">
        <f>IFERROR(SUMIFS(#REF!,#REF!,'Data Sheet'!A:A,#REF!,"Samridhi Perk Line")/SUMIFS(#REF!,#REF!,'Data Sheet'!A:A,#REF!,"Samridhi Perk Line"),"")</f>
        <v/>
      </c>
      <c r="AS291" s="32"/>
      <c r="AT291" s="32"/>
      <c r="AU291" s="211">
        <f>IFERROR(VLOOKUP(Table1[[#This Row],[Date]],'Overweight Data'!A289:G1384,6,FALSE),"")</f>
        <v>0</v>
      </c>
      <c r="AV291" s="221">
        <f>IFERROR(
   IF(
      OR(Table1[[#This Row],[Operating Time]]=0, (Table1[[#This Row],[Operating Time]]/IF(AC291&lt;=1,AC291+1,AC291))*60=0),
      1,
      ((Table1[[#This Row],[Operating Time]])/IF(AC291&lt;=1,AC291+1,AC291))*60
   ),
"_")</f>
        <v>1</v>
      </c>
      <c r="AW291" s="221">
        <f>COUNTIFS('Downtime Data'!A:A,Table1[[#This Row],[Date]])</f>
        <v>0</v>
      </c>
      <c r="AX291" s="219" t="str">
        <f>IFERROR((SUM(Table1[[#This Row],[Minor Stoppages]:[Material Shortages]])/Table1[[#This Row],['# Stops]])*60,"")</f>
        <v/>
      </c>
      <c r="AY291" s="219"/>
      <c r="AZ291" s="33">
        <v>46321</v>
      </c>
    </row>
    <row r="292" spans="1:52" ht="20.149999999999999" customHeight="1" x14ac:dyDescent="0.35">
      <c r="A292" s="21">
        <v>46309</v>
      </c>
      <c r="B292" s="22" t="str">
        <f t="shared" si="6"/>
        <v>Wednesday</v>
      </c>
      <c r="C292" s="23"/>
      <c r="D292" s="24" t="str" cm="1">
        <f t="array" aca="1" ref="D292" ca="1">IFERROR(INDIRECT(C292),"")</f>
        <v/>
      </c>
      <c r="E292" s="25"/>
      <c r="F292" s="26"/>
      <c r="G292" s="27" t="str">
        <f ca="1">IFERROR((Table1[[#This Row],[Plan]]/Table1[[#This Row],[Hours Used]])/(Table1[[#This Row],[SOC (TPD)]]/24),"")</f>
        <v/>
      </c>
      <c r="H292" s="27" t="str">
        <f ca="1">IFERROR((Table1[[#This Row],[Volume Delivered (T)]]/Table1[[#This Row],[Hours Used]])/(Table1[[#This Row],[SOC (TPD)]]/24),"")</f>
        <v/>
      </c>
      <c r="I292" s="28"/>
      <c r="J292" s="28"/>
      <c r="K292" s="28"/>
      <c r="L292" s="25"/>
      <c r="M292" s="29"/>
      <c r="N292" s="84"/>
      <c r="O292" s="25"/>
      <c r="P292" s="25"/>
      <c r="Q292" s="70"/>
      <c r="R292" s="71"/>
      <c r="S292" s="30">
        <f>IF(Table1[[#This Row],[SKU]]="",0,24-Table1[[#This Row],[Legal Non-Operating Time]]-Table1[[#This Row],[No Demand Time]]-Table1[[#This Row],[Force Majeure]])</f>
        <v>0</v>
      </c>
      <c r="T292" s="26"/>
      <c r="U292" s="26"/>
      <c r="V292" s="26"/>
      <c r="W292" s="26"/>
      <c r="X292" s="26"/>
      <c r="Y292" s="26"/>
      <c r="Z292" s="26"/>
      <c r="AA292" s="30">
        <f>Table1[[#This Row],[Hours Used]]-SUM(Table1[[#This Row],[Planned Maintenance]:[Start and Finish Production]])</f>
        <v>0</v>
      </c>
      <c r="AB292" s="26"/>
      <c r="AC292" s="26"/>
      <c r="AD292" s="26"/>
      <c r="AE292" s="26"/>
      <c r="AF292" s="26"/>
      <c r="AG292" s="26"/>
      <c r="AH292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292" s="24">
        <f>IFERROR(IF(Table1[[#This Row],[SKU]]="",0,Table1[[#This Row],[Quality Loss (T)]]/(Table1[[#This Row],[SOC (TPD)]]/24)),"")</f>
        <v>0</v>
      </c>
      <c r="AJ292" s="31">
        <f>IFERROR(IF(Table1[[#This Row],[SKU]]="",0,Table1[[#This Row],[Volume Delivered (T)]]/(Table1[[#This Row],[SOC (TPD)]]/24)),"")</f>
        <v>0</v>
      </c>
      <c r="AK292" s="31" t="str">
        <f>IFERROR(Table1[[#This Row],[Operating Time]]/Table1[[#This Row],[PRODUCTION HOURS]],"")</f>
        <v/>
      </c>
      <c r="AL292" s="32"/>
      <c r="AM292" s="32"/>
      <c r="AN292" s="32"/>
      <c r="AO292" s="32">
        <v>0</v>
      </c>
      <c r="AP292" s="32">
        <v>0</v>
      </c>
      <c r="AQ292" s="32"/>
      <c r="AR292" s="32" t="str">
        <f>IFERROR(SUMIFS(#REF!,#REF!,'Data Sheet'!A:A,#REF!,"Samridhi Perk Line")/SUMIFS(#REF!,#REF!,'Data Sheet'!A:A,#REF!,"Samridhi Perk Line"),"")</f>
        <v/>
      </c>
      <c r="AS292" s="32"/>
      <c r="AT292" s="32"/>
      <c r="AU292" s="211">
        <f>IFERROR(VLOOKUP(Table1[[#This Row],[Date]],'Overweight Data'!A290:G1385,6,FALSE),"")</f>
        <v>0</v>
      </c>
      <c r="AV292" s="221">
        <f>IFERROR(
   IF(
      OR(Table1[[#This Row],[Operating Time]]=0, (Table1[[#This Row],[Operating Time]]/IF(AC292&lt;=1,AC292+1,AC292))*60=0),
      1,
      ((Table1[[#This Row],[Operating Time]])/IF(AC292&lt;=1,AC292+1,AC292))*60
   ),
"_")</f>
        <v>1</v>
      </c>
      <c r="AW292" s="221">
        <f>COUNTIFS('Downtime Data'!A:A,Table1[[#This Row],[Date]])</f>
        <v>0</v>
      </c>
      <c r="AX292" s="219" t="str">
        <f>IFERROR((SUM(Table1[[#This Row],[Minor Stoppages]:[Material Shortages]])/Table1[[#This Row],['# Stops]])*60,"")</f>
        <v/>
      </c>
      <c r="AY292" s="219"/>
      <c r="AZ292" s="33">
        <v>46321</v>
      </c>
    </row>
    <row r="293" spans="1:52" ht="20.149999999999999" customHeight="1" x14ac:dyDescent="0.35">
      <c r="A293" s="21">
        <v>46310</v>
      </c>
      <c r="B293" s="22" t="str">
        <f t="shared" si="6"/>
        <v>Thursday</v>
      </c>
      <c r="C293" s="23"/>
      <c r="D293" s="24" t="str" cm="1">
        <f t="array" aca="1" ref="D293" ca="1">IFERROR(INDIRECT(C293),"")</f>
        <v/>
      </c>
      <c r="E293" s="25"/>
      <c r="F293" s="26"/>
      <c r="G293" s="27" t="str">
        <f ca="1">IFERROR((Table1[[#This Row],[Plan]]/Table1[[#This Row],[Hours Used]])/(Table1[[#This Row],[SOC (TPD)]]/24),"")</f>
        <v/>
      </c>
      <c r="H293" s="27" t="str">
        <f ca="1">IFERROR((Table1[[#This Row],[Volume Delivered (T)]]/Table1[[#This Row],[Hours Used]])/(Table1[[#This Row],[SOC (TPD)]]/24),"")</f>
        <v/>
      </c>
      <c r="I293" s="28"/>
      <c r="J293" s="28"/>
      <c r="K293" s="28"/>
      <c r="L293" s="25"/>
      <c r="M293" s="29"/>
      <c r="N293" s="84"/>
      <c r="O293" s="25"/>
      <c r="P293" s="25"/>
      <c r="Q293" s="70"/>
      <c r="R293" s="71"/>
      <c r="S293" s="30">
        <f>IF(Table1[[#This Row],[SKU]]="",0,24-Table1[[#This Row],[Legal Non-Operating Time]]-Table1[[#This Row],[No Demand Time]]-Table1[[#This Row],[Force Majeure]])</f>
        <v>0</v>
      </c>
      <c r="T293" s="26"/>
      <c r="U293" s="26"/>
      <c r="V293" s="26"/>
      <c r="W293" s="26"/>
      <c r="X293" s="26"/>
      <c r="Y293" s="26"/>
      <c r="Z293" s="26"/>
      <c r="AA293" s="30">
        <f>Table1[[#This Row],[Hours Used]]-SUM(Table1[[#This Row],[Planned Maintenance]:[Start and Finish Production]])</f>
        <v>0</v>
      </c>
      <c r="AB293" s="26"/>
      <c r="AC293" s="26"/>
      <c r="AD293" s="26"/>
      <c r="AE293" s="26"/>
      <c r="AF293" s="26"/>
      <c r="AG293" s="26"/>
      <c r="AH293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293" s="24">
        <f>IFERROR(IF(Table1[[#This Row],[SKU]]="",0,Table1[[#This Row],[Quality Loss (T)]]/(Table1[[#This Row],[SOC (TPD)]]/24)),"")</f>
        <v>0</v>
      </c>
      <c r="AJ293" s="31">
        <f>IFERROR(IF(Table1[[#This Row],[SKU]]="",0,Table1[[#This Row],[Volume Delivered (T)]]/(Table1[[#This Row],[SOC (TPD)]]/24)),"")</f>
        <v>0</v>
      </c>
      <c r="AK293" s="31" t="str">
        <f>IFERROR(Table1[[#This Row],[Operating Time]]/Table1[[#This Row],[PRODUCTION HOURS]],"")</f>
        <v/>
      </c>
      <c r="AL293" s="32"/>
      <c r="AM293" s="32"/>
      <c r="AN293" s="32"/>
      <c r="AO293" s="32">
        <v>0</v>
      </c>
      <c r="AP293" s="32">
        <v>0</v>
      </c>
      <c r="AQ293" s="32"/>
      <c r="AR293" s="32" t="str">
        <f>IFERROR(SUMIFS(#REF!,#REF!,'Data Sheet'!A:A,#REF!,"Samridhi Perk Line")/SUMIFS(#REF!,#REF!,'Data Sheet'!A:A,#REF!,"Samridhi Perk Line"),"")</f>
        <v/>
      </c>
      <c r="AS293" s="32"/>
      <c r="AT293" s="32"/>
      <c r="AU293" s="211">
        <f>IFERROR(VLOOKUP(Table1[[#This Row],[Date]],'Overweight Data'!A291:G1386,6,FALSE),"")</f>
        <v>0</v>
      </c>
      <c r="AV293" s="221">
        <f>IFERROR(
   IF(
      OR(Table1[[#This Row],[Operating Time]]=0, (Table1[[#This Row],[Operating Time]]/IF(AC293&lt;=1,AC293+1,AC293))*60=0),
      1,
      ((Table1[[#This Row],[Operating Time]])/IF(AC293&lt;=1,AC293+1,AC293))*60
   ),
"_")</f>
        <v>1</v>
      </c>
      <c r="AW293" s="221">
        <f>COUNTIFS('Downtime Data'!A:A,Table1[[#This Row],[Date]])</f>
        <v>0</v>
      </c>
      <c r="AX293" s="219" t="str">
        <f>IFERROR((SUM(Table1[[#This Row],[Minor Stoppages]:[Material Shortages]])/Table1[[#This Row],['# Stops]])*60,"")</f>
        <v/>
      </c>
      <c r="AY293" s="219"/>
      <c r="AZ293" s="33">
        <v>46321</v>
      </c>
    </row>
    <row r="294" spans="1:52" ht="20.149999999999999" customHeight="1" x14ac:dyDescent="0.35">
      <c r="A294" s="21">
        <v>46311</v>
      </c>
      <c r="B294" s="22" t="str">
        <f t="shared" si="6"/>
        <v>Friday</v>
      </c>
      <c r="C294" s="23"/>
      <c r="D294" s="24" t="str" cm="1">
        <f t="array" aca="1" ref="D294" ca="1">IFERROR(INDIRECT(C294),"")</f>
        <v/>
      </c>
      <c r="E294" s="25"/>
      <c r="F294" s="26"/>
      <c r="G294" s="27" t="str">
        <f ca="1">IFERROR((Table1[[#This Row],[Plan]]/Table1[[#This Row],[Hours Used]])/(Table1[[#This Row],[SOC (TPD)]]/24),"")</f>
        <v/>
      </c>
      <c r="H294" s="27" t="str">
        <f ca="1">IFERROR((Table1[[#This Row],[Volume Delivered (T)]]/Table1[[#This Row],[Hours Used]])/(Table1[[#This Row],[SOC (TPD)]]/24),"")</f>
        <v/>
      </c>
      <c r="I294" s="28"/>
      <c r="J294" s="28"/>
      <c r="K294" s="28"/>
      <c r="L294" s="25"/>
      <c r="M294" s="29"/>
      <c r="N294" s="84"/>
      <c r="O294" s="25"/>
      <c r="P294" s="25"/>
      <c r="Q294" s="70"/>
      <c r="R294" s="71"/>
      <c r="S294" s="30">
        <f>IF(Table1[[#This Row],[SKU]]="",0,24-Table1[[#This Row],[Legal Non-Operating Time]]-Table1[[#This Row],[No Demand Time]]-Table1[[#This Row],[Force Majeure]])</f>
        <v>0</v>
      </c>
      <c r="T294" s="26"/>
      <c r="U294" s="26"/>
      <c r="V294" s="26"/>
      <c r="W294" s="26"/>
      <c r="X294" s="26"/>
      <c r="Y294" s="26"/>
      <c r="Z294" s="26"/>
      <c r="AA294" s="30">
        <f>Table1[[#This Row],[Hours Used]]-SUM(Table1[[#This Row],[Planned Maintenance]:[Start and Finish Production]])</f>
        <v>0</v>
      </c>
      <c r="AB294" s="26"/>
      <c r="AC294" s="26"/>
      <c r="AD294" s="26"/>
      <c r="AE294" s="26"/>
      <c r="AF294" s="26"/>
      <c r="AG294" s="26"/>
      <c r="AH294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294" s="24">
        <f>IFERROR(IF(Table1[[#This Row],[SKU]]="",0,Table1[[#This Row],[Quality Loss (T)]]/(Table1[[#This Row],[SOC (TPD)]]/24)),"")</f>
        <v>0</v>
      </c>
      <c r="AJ294" s="31">
        <f>IFERROR(IF(Table1[[#This Row],[SKU]]="",0,Table1[[#This Row],[Volume Delivered (T)]]/(Table1[[#This Row],[SOC (TPD)]]/24)),"")</f>
        <v>0</v>
      </c>
      <c r="AK294" s="31" t="str">
        <f>IFERROR(Table1[[#This Row],[Operating Time]]/Table1[[#This Row],[PRODUCTION HOURS]],"")</f>
        <v/>
      </c>
      <c r="AL294" s="32"/>
      <c r="AM294" s="32"/>
      <c r="AN294" s="32"/>
      <c r="AO294" s="32">
        <v>3</v>
      </c>
      <c r="AP294" s="32">
        <v>0</v>
      </c>
      <c r="AQ294" s="32"/>
      <c r="AR294" s="32" t="str">
        <f>IFERROR(SUMIFS(#REF!,#REF!,'Data Sheet'!A:A,#REF!,"Samridhi Perk Line")/SUMIFS(#REF!,#REF!,'Data Sheet'!A:A,#REF!,"Samridhi Perk Line"),"")</f>
        <v/>
      </c>
      <c r="AS294" s="32"/>
      <c r="AT294" s="32"/>
      <c r="AU294" s="211">
        <f>IFERROR(VLOOKUP(Table1[[#This Row],[Date]],'Overweight Data'!A292:G1387,6,FALSE),"")</f>
        <v>0</v>
      </c>
      <c r="AV294" s="221">
        <f>IFERROR(
   IF(
      OR(Table1[[#This Row],[Operating Time]]=0, (Table1[[#This Row],[Operating Time]]/IF(AC294&lt;=1,AC294+1,AC294))*60=0),
      1,
      ((Table1[[#This Row],[Operating Time]])/IF(AC294&lt;=1,AC294+1,AC294))*60
   ),
"_")</f>
        <v>1</v>
      </c>
      <c r="AW294" s="221">
        <f>COUNTIFS('Downtime Data'!A:A,Table1[[#This Row],[Date]])</f>
        <v>0</v>
      </c>
      <c r="AX294" s="219" t="str">
        <f>IFERROR((SUM(Table1[[#This Row],[Minor Stoppages]:[Material Shortages]])/Table1[[#This Row],['# Stops]])*60,"")</f>
        <v/>
      </c>
      <c r="AY294" s="219"/>
      <c r="AZ294" s="33">
        <v>46321</v>
      </c>
    </row>
    <row r="295" spans="1:52" ht="20.149999999999999" customHeight="1" x14ac:dyDescent="0.35">
      <c r="A295" s="21">
        <v>46312</v>
      </c>
      <c r="B295" s="22" t="str">
        <f t="shared" si="6"/>
        <v>Saturday</v>
      </c>
      <c r="C295" s="23"/>
      <c r="D295" s="24" t="str" cm="1">
        <f t="array" aca="1" ref="D295" ca="1">IFERROR(INDIRECT(C295),"")</f>
        <v/>
      </c>
      <c r="E295" s="25"/>
      <c r="F295" s="26"/>
      <c r="G295" s="27" t="str">
        <f ca="1">IFERROR((Table1[[#This Row],[Plan]]/Table1[[#This Row],[Hours Used]])/(Table1[[#This Row],[SOC (TPD)]]/24),"")</f>
        <v/>
      </c>
      <c r="H295" s="27" t="str">
        <f ca="1">IFERROR((Table1[[#This Row],[Volume Delivered (T)]]/Table1[[#This Row],[Hours Used]])/(Table1[[#This Row],[SOC (TPD)]]/24),"")</f>
        <v/>
      </c>
      <c r="I295" s="28"/>
      <c r="J295" s="28"/>
      <c r="K295" s="28"/>
      <c r="L295" s="25"/>
      <c r="M295" s="29"/>
      <c r="N295" s="84"/>
      <c r="O295" s="25"/>
      <c r="P295" s="25"/>
      <c r="Q295" s="70"/>
      <c r="R295" s="71"/>
      <c r="S295" s="30">
        <f>IF(Table1[[#This Row],[SKU]]="",0,24-Table1[[#This Row],[Legal Non-Operating Time]]-Table1[[#This Row],[No Demand Time]]-Table1[[#This Row],[Force Majeure]])</f>
        <v>0</v>
      </c>
      <c r="T295" s="26"/>
      <c r="U295" s="26"/>
      <c r="V295" s="26"/>
      <c r="W295" s="26"/>
      <c r="X295" s="26"/>
      <c r="Y295" s="26"/>
      <c r="Z295" s="26"/>
      <c r="AA295" s="30">
        <f>Table1[[#This Row],[Hours Used]]-SUM(Table1[[#This Row],[Planned Maintenance]:[Start and Finish Production]])</f>
        <v>0</v>
      </c>
      <c r="AB295" s="26"/>
      <c r="AC295" s="26"/>
      <c r="AD295" s="26"/>
      <c r="AE295" s="26"/>
      <c r="AF295" s="26"/>
      <c r="AG295" s="26"/>
      <c r="AH295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295" s="24">
        <f>IFERROR(IF(Table1[[#This Row],[SKU]]="",0,Table1[[#This Row],[Quality Loss (T)]]/(Table1[[#This Row],[SOC (TPD)]]/24)),"")</f>
        <v>0</v>
      </c>
      <c r="AJ295" s="31">
        <f>IFERROR(IF(Table1[[#This Row],[SKU]]="",0,Table1[[#This Row],[Volume Delivered (T)]]/(Table1[[#This Row],[SOC (TPD)]]/24)),"")</f>
        <v>0</v>
      </c>
      <c r="AK295" s="31" t="str">
        <f>IFERROR(Table1[[#This Row],[Operating Time]]/Table1[[#This Row],[PRODUCTION HOURS]],"")</f>
        <v/>
      </c>
      <c r="AL295" s="32"/>
      <c r="AM295" s="32"/>
      <c r="AN295" s="32"/>
      <c r="AO295" s="32">
        <v>0</v>
      </c>
      <c r="AP295" s="32">
        <v>0</v>
      </c>
      <c r="AQ295" s="32"/>
      <c r="AR295" s="32" t="str">
        <f>IFERROR(SUMIFS(#REF!,#REF!,'Data Sheet'!A:A,#REF!,"Samridhi Perk Line")/SUMIFS(#REF!,#REF!,'Data Sheet'!A:A,#REF!,"Samridhi Perk Line"),"")</f>
        <v/>
      </c>
      <c r="AS295" s="32"/>
      <c r="AT295" s="32"/>
      <c r="AU295" s="211">
        <f>IFERROR(VLOOKUP(Table1[[#This Row],[Date]],'Overweight Data'!A293:G1388,6,FALSE),"")</f>
        <v>0</v>
      </c>
      <c r="AV295" s="221">
        <f>IFERROR(
   IF(
      OR(Table1[[#This Row],[Operating Time]]=0, (Table1[[#This Row],[Operating Time]]/IF(AC295&lt;=1,AC295+1,AC295))*60=0),
      1,
      ((Table1[[#This Row],[Operating Time]])/IF(AC295&lt;=1,AC295+1,AC295))*60
   ),
"_")</f>
        <v>1</v>
      </c>
      <c r="AW295" s="221">
        <f>COUNTIFS('Downtime Data'!A:A,Table1[[#This Row],[Date]])</f>
        <v>0</v>
      </c>
      <c r="AX295" s="219" t="str">
        <f>IFERROR((SUM(Table1[[#This Row],[Minor Stoppages]:[Material Shortages]])/Table1[[#This Row],['# Stops]])*60,"")</f>
        <v/>
      </c>
      <c r="AY295" s="219"/>
      <c r="AZ295" s="33">
        <v>46321</v>
      </c>
    </row>
    <row r="296" spans="1:52" ht="20.149999999999999" customHeight="1" x14ac:dyDescent="0.35">
      <c r="A296" s="21">
        <v>46313</v>
      </c>
      <c r="B296" s="22" t="str">
        <f t="shared" si="6"/>
        <v>Sunday</v>
      </c>
      <c r="C296" s="23"/>
      <c r="D296" s="24" t="str" cm="1">
        <f t="array" aca="1" ref="D296" ca="1">IFERROR(INDIRECT(C296),"")</f>
        <v/>
      </c>
      <c r="E296" s="25"/>
      <c r="F296" s="26"/>
      <c r="G296" s="27" t="str">
        <f ca="1">IFERROR((Table1[[#This Row],[Plan]]/Table1[[#This Row],[Hours Used]])/(Table1[[#This Row],[SOC (TPD)]]/24),"")</f>
        <v/>
      </c>
      <c r="H296" s="27" t="str">
        <f ca="1">IFERROR((Table1[[#This Row],[Volume Delivered (T)]]/Table1[[#This Row],[Hours Used]])/(Table1[[#This Row],[SOC (TPD)]]/24),"")</f>
        <v/>
      </c>
      <c r="I296" s="28"/>
      <c r="J296" s="28"/>
      <c r="K296" s="28"/>
      <c r="L296" s="25"/>
      <c r="M296" s="29"/>
      <c r="N296" s="84"/>
      <c r="O296" s="25"/>
      <c r="P296" s="25"/>
      <c r="Q296" s="70"/>
      <c r="R296" s="71"/>
      <c r="S296" s="30">
        <f>IF(Table1[[#This Row],[SKU]]="",0,24-Table1[[#This Row],[Legal Non-Operating Time]]-Table1[[#This Row],[No Demand Time]]-Table1[[#This Row],[Force Majeure]])</f>
        <v>0</v>
      </c>
      <c r="T296" s="26"/>
      <c r="U296" s="26"/>
      <c r="V296" s="26"/>
      <c r="W296" s="26"/>
      <c r="X296" s="26"/>
      <c r="Y296" s="26"/>
      <c r="Z296" s="26"/>
      <c r="AA296" s="30">
        <f>Table1[[#This Row],[Hours Used]]-SUM(Table1[[#This Row],[Planned Maintenance]:[Start and Finish Production]])</f>
        <v>0</v>
      </c>
      <c r="AB296" s="26"/>
      <c r="AC296" s="26"/>
      <c r="AD296" s="26"/>
      <c r="AE296" s="26"/>
      <c r="AF296" s="26"/>
      <c r="AG296" s="26"/>
      <c r="AH296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296" s="24">
        <f>IFERROR(IF(Table1[[#This Row],[SKU]]="",0,Table1[[#This Row],[Quality Loss (T)]]/(Table1[[#This Row],[SOC (TPD)]]/24)),"")</f>
        <v>0</v>
      </c>
      <c r="AJ296" s="31">
        <f>IFERROR(IF(Table1[[#This Row],[SKU]]="",0,Table1[[#This Row],[Volume Delivered (T)]]/(Table1[[#This Row],[SOC (TPD)]]/24)),"")</f>
        <v>0</v>
      </c>
      <c r="AK296" s="31" t="str">
        <f>IFERROR(Table1[[#This Row],[Operating Time]]/Table1[[#This Row],[PRODUCTION HOURS]],"")</f>
        <v/>
      </c>
      <c r="AL296" s="32"/>
      <c r="AM296" s="32"/>
      <c r="AN296" s="32"/>
      <c r="AO296" s="32">
        <v>18</v>
      </c>
      <c r="AP296" s="32">
        <v>0</v>
      </c>
      <c r="AQ296" s="32"/>
      <c r="AR296" s="32" t="str">
        <f>IFERROR(SUMIFS(#REF!,#REF!,'Data Sheet'!A:A,#REF!,"Samridhi Perk Line")/SUMIFS(#REF!,#REF!,'Data Sheet'!A:A,#REF!,"Samridhi Perk Line"),"")</f>
        <v/>
      </c>
      <c r="AS296" s="32"/>
      <c r="AT296" s="32"/>
      <c r="AU296" s="211">
        <f>IFERROR(VLOOKUP(Table1[[#This Row],[Date]],'Overweight Data'!A294:G1389,6,FALSE),"")</f>
        <v>0</v>
      </c>
      <c r="AV296" s="221">
        <f>IFERROR(
   IF(
      OR(Table1[[#This Row],[Operating Time]]=0, (Table1[[#This Row],[Operating Time]]/IF(AC296&lt;=1,AC296+1,AC296))*60=0),
      1,
      ((Table1[[#This Row],[Operating Time]])/IF(AC296&lt;=1,AC296+1,AC296))*60
   ),
"_")</f>
        <v>1</v>
      </c>
      <c r="AW296" s="221">
        <f>COUNTIFS('Downtime Data'!A:A,Table1[[#This Row],[Date]])</f>
        <v>0</v>
      </c>
      <c r="AX296" s="219" t="str">
        <f>IFERROR((SUM(Table1[[#This Row],[Minor Stoppages]:[Material Shortages]])/Table1[[#This Row],['# Stops]])*60,"")</f>
        <v/>
      </c>
      <c r="AY296" s="219"/>
      <c r="AZ296" s="33">
        <v>46321</v>
      </c>
    </row>
    <row r="297" spans="1:52" ht="20.149999999999999" customHeight="1" x14ac:dyDescent="0.35">
      <c r="A297" s="21">
        <v>46314</v>
      </c>
      <c r="B297" s="22" t="str">
        <f t="shared" si="6"/>
        <v>Monday</v>
      </c>
      <c r="C297" s="23"/>
      <c r="D297" s="24" t="str" cm="1">
        <f t="array" aca="1" ref="D297" ca="1">IFERROR(INDIRECT(C297),"")</f>
        <v/>
      </c>
      <c r="E297" s="25"/>
      <c r="F297" s="26"/>
      <c r="G297" s="27" t="str">
        <f ca="1">IFERROR((Table1[[#This Row],[Plan]]/Table1[[#This Row],[Hours Used]])/(Table1[[#This Row],[SOC (TPD)]]/24),"")</f>
        <v/>
      </c>
      <c r="H297" s="27" t="str">
        <f ca="1">IFERROR((Table1[[#This Row],[Volume Delivered (T)]]/Table1[[#This Row],[Hours Used]])/(Table1[[#This Row],[SOC (TPD)]]/24),"")</f>
        <v/>
      </c>
      <c r="I297" s="28"/>
      <c r="J297" s="28"/>
      <c r="K297" s="28"/>
      <c r="L297" s="25"/>
      <c r="M297" s="29"/>
      <c r="N297" s="84"/>
      <c r="O297" s="25"/>
      <c r="P297" s="25"/>
      <c r="Q297" s="70"/>
      <c r="R297" s="71"/>
      <c r="S297" s="30">
        <f>IF(Table1[[#This Row],[SKU]]="",0,24-Table1[[#This Row],[Legal Non-Operating Time]]-Table1[[#This Row],[No Demand Time]]-Table1[[#This Row],[Force Majeure]])</f>
        <v>0</v>
      </c>
      <c r="T297" s="26"/>
      <c r="U297" s="26"/>
      <c r="V297" s="26"/>
      <c r="W297" s="26"/>
      <c r="X297" s="26"/>
      <c r="Y297" s="26"/>
      <c r="Z297" s="26"/>
      <c r="AA297" s="30">
        <f>Table1[[#This Row],[Hours Used]]-SUM(Table1[[#This Row],[Planned Maintenance]:[Start and Finish Production]])</f>
        <v>0</v>
      </c>
      <c r="AB297" s="26"/>
      <c r="AC297" s="26"/>
      <c r="AD297" s="26"/>
      <c r="AE297" s="26"/>
      <c r="AF297" s="26"/>
      <c r="AG297" s="26"/>
      <c r="AH297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297" s="24">
        <f>IFERROR(IF(Table1[[#This Row],[SKU]]="",0,Table1[[#This Row],[Quality Loss (T)]]/(Table1[[#This Row],[SOC (TPD)]]/24)),"")</f>
        <v>0</v>
      </c>
      <c r="AJ297" s="31">
        <f>IFERROR(IF(Table1[[#This Row],[SKU]]="",0,Table1[[#This Row],[Volume Delivered (T)]]/(Table1[[#This Row],[SOC (TPD)]]/24)),"")</f>
        <v>0</v>
      </c>
      <c r="AK297" s="31" t="str">
        <f>IFERROR(Table1[[#This Row],[Operating Time]]/Table1[[#This Row],[PRODUCTION HOURS]],"")</f>
        <v/>
      </c>
      <c r="AL297" s="32"/>
      <c r="AM297" s="32"/>
      <c r="AN297" s="32"/>
      <c r="AO297" s="32">
        <v>1</v>
      </c>
      <c r="AP297" s="32">
        <v>0</v>
      </c>
      <c r="AQ297" s="32"/>
      <c r="AR297" s="32" t="str">
        <f>IFERROR(SUMIFS(#REF!,#REF!,'Data Sheet'!A:A,#REF!,"Samridhi Perk Line")/SUMIFS(#REF!,#REF!,'Data Sheet'!A:A,#REF!,"Samridhi Perk Line"),"")</f>
        <v/>
      </c>
      <c r="AS297" s="32"/>
      <c r="AT297" s="32"/>
      <c r="AU297" s="211">
        <f>IFERROR(VLOOKUP(Table1[[#This Row],[Date]],'Overweight Data'!A295:G1390,6,FALSE),"")</f>
        <v>0</v>
      </c>
      <c r="AV297" s="221">
        <f>IFERROR(
   IF(
      OR(Table1[[#This Row],[Operating Time]]=0, (Table1[[#This Row],[Operating Time]]/IF(AC297&lt;=1,AC297+1,AC297))*60=0),
      1,
      ((Table1[[#This Row],[Operating Time]])/IF(AC297&lt;=1,AC297+1,AC297))*60
   ),
"_")</f>
        <v>1</v>
      </c>
      <c r="AW297" s="221">
        <f>COUNTIFS('Downtime Data'!A:A,Table1[[#This Row],[Date]])</f>
        <v>0</v>
      </c>
      <c r="AX297" s="219" t="str">
        <f>IFERROR((SUM(Table1[[#This Row],[Minor Stoppages]:[Material Shortages]])/Table1[[#This Row],['# Stops]])*60,"")</f>
        <v/>
      </c>
      <c r="AY297" s="219"/>
      <c r="AZ297" s="33">
        <v>46321</v>
      </c>
    </row>
    <row r="298" spans="1:52" ht="20.149999999999999" customHeight="1" x14ac:dyDescent="0.35">
      <c r="A298" s="21">
        <v>46315</v>
      </c>
      <c r="B298" s="22" t="str">
        <f t="shared" si="6"/>
        <v>Tuesday</v>
      </c>
      <c r="C298" s="23"/>
      <c r="D298" s="24" t="str" cm="1">
        <f t="array" aca="1" ref="D298" ca="1">IFERROR(INDIRECT(C298),"")</f>
        <v/>
      </c>
      <c r="E298" s="25"/>
      <c r="F298" s="26"/>
      <c r="G298" s="27" t="str">
        <f ca="1">IFERROR((Table1[[#This Row],[Plan]]/Table1[[#This Row],[Hours Used]])/(Table1[[#This Row],[SOC (TPD)]]/24),"")</f>
        <v/>
      </c>
      <c r="H298" s="27" t="str">
        <f ca="1">IFERROR((Table1[[#This Row],[Volume Delivered (T)]]/Table1[[#This Row],[Hours Used]])/(Table1[[#This Row],[SOC (TPD)]]/24),"")</f>
        <v/>
      </c>
      <c r="I298" s="28"/>
      <c r="J298" s="28"/>
      <c r="K298" s="28"/>
      <c r="L298" s="25"/>
      <c r="M298" s="29"/>
      <c r="N298" s="84"/>
      <c r="O298" s="25"/>
      <c r="P298" s="25"/>
      <c r="Q298" s="70"/>
      <c r="R298" s="71"/>
      <c r="S298" s="30">
        <f>IF(Table1[[#This Row],[SKU]]="",0,24-Table1[[#This Row],[Legal Non-Operating Time]]-Table1[[#This Row],[No Demand Time]]-Table1[[#This Row],[Force Majeure]])</f>
        <v>0</v>
      </c>
      <c r="T298" s="26"/>
      <c r="U298" s="26"/>
      <c r="V298" s="26"/>
      <c r="W298" s="26"/>
      <c r="X298" s="26"/>
      <c r="Y298" s="26"/>
      <c r="Z298" s="26"/>
      <c r="AA298" s="30">
        <f>Table1[[#This Row],[Hours Used]]-SUM(Table1[[#This Row],[Planned Maintenance]:[Start and Finish Production]])</f>
        <v>0</v>
      </c>
      <c r="AB298" s="26"/>
      <c r="AC298" s="26"/>
      <c r="AD298" s="26"/>
      <c r="AE298" s="26"/>
      <c r="AF298" s="26"/>
      <c r="AG298" s="26"/>
      <c r="AH298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298" s="24">
        <f>IFERROR(IF(Table1[[#This Row],[SKU]]="",0,Table1[[#This Row],[Quality Loss (T)]]/(Table1[[#This Row],[SOC (TPD)]]/24)),"")</f>
        <v>0</v>
      </c>
      <c r="AJ298" s="31">
        <f>IFERROR(IF(Table1[[#This Row],[SKU]]="",0,Table1[[#This Row],[Volume Delivered (T)]]/(Table1[[#This Row],[SOC (TPD)]]/24)),"")</f>
        <v>0</v>
      </c>
      <c r="AK298" s="31" t="str">
        <f>IFERROR(Table1[[#This Row],[Operating Time]]/Table1[[#This Row],[PRODUCTION HOURS]],"")</f>
        <v/>
      </c>
      <c r="AL298" s="32"/>
      <c r="AM298" s="32"/>
      <c r="AN298" s="32"/>
      <c r="AO298" s="32">
        <v>0</v>
      </c>
      <c r="AP298" s="32">
        <v>0</v>
      </c>
      <c r="AQ298" s="32"/>
      <c r="AR298" s="32" t="str">
        <f>IFERROR(SUMIFS(#REF!,#REF!,'Data Sheet'!A:A,#REF!,"Samridhi Perk Line")/SUMIFS(#REF!,#REF!,'Data Sheet'!A:A,#REF!,"Samridhi Perk Line"),"")</f>
        <v/>
      </c>
      <c r="AS298" s="32"/>
      <c r="AT298" s="32"/>
      <c r="AU298" s="211">
        <f>IFERROR(VLOOKUP(Table1[[#This Row],[Date]],'Overweight Data'!A296:G1391,6,FALSE),"")</f>
        <v>0</v>
      </c>
      <c r="AV298" s="221">
        <f>IFERROR(
   IF(
      OR(Table1[[#This Row],[Operating Time]]=0, (Table1[[#This Row],[Operating Time]]/IF(AC298&lt;=1,AC298+1,AC298))*60=0),
      1,
      ((Table1[[#This Row],[Operating Time]])/IF(AC298&lt;=1,AC298+1,AC298))*60
   ),
"_")</f>
        <v>1</v>
      </c>
      <c r="AW298" s="221">
        <f>COUNTIFS('Downtime Data'!A:A,Table1[[#This Row],[Date]])</f>
        <v>0</v>
      </c>
      <c r="AX298" s="219" t="str">
        <f>IFERROR((SUM(Table1[[#This Row],[Minor Stoppages]:[Material Shortages]])/Table1[[#This Row],['# Stops]])*60,"")</f>
        <v/>
      </c>
      <c r="AY298" s="219"/>
      <c r="AZ298" s="33">
        <v>46321</v>
      </c>
    </row>
    <row r="299" spans="1:52" ht="20.149999999999999" customHeight="1" x14ac:dyDescent="0.35">
      <c r="A299" s="21">
        <v>46316</v>
      </c>
      <c r="B299" s="22" t="str">
        <f t="shared" si="6"/>
        <v>Wednesday</v>
      </c>
      <c r="C299" s="23"/>
      <c r="D299" s="24" t="str" cm="1">
        <f t="array" aca="1" ref="D299" ca="1">IFERROR(INDIRECT(C299),"")</f>
        <v/>
      </c>
      <c r="E299" s="25"/>
      <c r="F299" s="26"/>
      <c r="G299" s="27" t="str">
        <f ca="1">IFERROR((Table1[[#This Row],[Plan]]/Table1[[#This Row],[Hours Used]])/(Table1[[#This Row],[SOC (TPD)]]/24),"")</f>
        <v/>
      </c>
      <c r="H299" s="27" t="str">
        <f ca="1">IFERROR((Table1[[#This Row],[Volume Delivered (T)]]/Table1[[#This Row],[Hours Used]])/(Table1[[#This Row],[SOC (TPD)]]/24),"")</f>
        <v/>
      </c>
      <c r="I299" s="28"/>
      <c r="J299" s="28"/>
      <c r="K299" s="28"/>
      <c r="L299" s="25"/>
      <c r="M299" s="29"/>
      <c r="N299" s="84"/>
      <c r="O299" s="25"/>
      <c r="P299" s="25"/>
      <c r="Q299" s="70"/>
      <c r="R299" s="71"/>
      <c r="S299" s="30">
        <f>IF(Table1[[#This Row],[SKU]]="",0,24-Table1[[#This Row],[Legal Non-Operating Time]]-Table1[[#This Row],[No Demand Time]]-Table1[[#This Row],[Force Majeure]])</f>
        <v>0</v>
      </c>
      <c r="T299" s="26"/>
      <c r="U299" s="26"/>
      <c r="V299" s="26"/>
      <c r="W299" s="26"/>
      <c r="X299" s="26"/>
      <c r="Y299" s="26"/>
      <c r="Z299" s="26"/>
      <c r="AA299" s="30">
        <f>Table1[[#This Row],[Hours Used]]-SUM(Table1[[#This Row],[Planned Maintenance]:[Start and Finish Production]])</f>
        <v>0</v>
      </c>
      <c r="AB299" s="26"/>
      <c r="AC299" s="26"/>
      <c r="AD299" s="26"/>
      <c r="AE299" s="26"/>
      <c r="AF299" s="26"/>
      <c r="AG299" s="26"/>
      <c r="AH299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299" s="24">
        <f>IFERROR(IF(Table1[[#This Row],[SKU]]="",0,Table1[[#This Row],[Quality Loss (T)]]/(Table1[[#This Row],[SOC (TPD)]]/24)),"")</f>
        <v>0</v>
      </c>
      <c r="AJ299" s="31">
        <f>IFERROR(IF(Table1[[#This Row],[SKU]]="",0,Table1[[#This Row],[Volume Delivered (T)]]/(Table1[[#This Row],[SOC (TPD)]]/24)),"")</f>
        <v>0</v>
      </c>
      <c r="AK299" s="31" t="str">
        <f>IFERROR(Table1[[#This Row],[Operating Time]]/Table1[[#This Row],[PRODUCTION HOURS]],"")</f>
        <v/>
      </c>
      <c r="AL299" s="32"/>
      <c r="AM299" s="32"/>
      <c r="AN299" s="32"/>
      <c r="AO299" s="32">
        <v>0</v>
      </c>
      <c r="AP299" s="32">
        <v>0</v>
      </c>
      <c r="AQ299" s="32"/>
      <c r="AR299" s="32" t="str">
        <f>IFERROR(SUMIFS(#REF!,#REF!,'Data Sheet'!A:A,#REF!,"Samridhi Perk Line")/SUMIFS(#REF!,#REF!,'Data Sheet'!A:A,#REF!,"Samridhi Perk Line"),"")</f>
        <v/>
      </c>
      <c r="AS299" s="32"/>
      <c r="AT299" s="32"/>
      <c r="AU299" s="211">
        <f>IFERROR(VLOOKUP(Table1[[#This Row],[Date]],'Overweight Data'!A297:G1392,6,FALSE),"")</f>
        <v>0</v>
      </c>
      <c r="AV299" s="221">
        <f>IFERROR(
   IF(
      OR(Table1[[#This Row],[Operating Time]]=0, (Table1[[#This Row],[Operating Time]]/IF(AC299&lt;=1,AC299+1,AC299))*60=0),
      1,
      ((Table1[[#This Row],[Operating Time]])/IF(AC299&lt;=1,AC299+1,AC299))*60
   ),
"_")</f>
        <v>1</v>
      </c>
      <c r="AW299" s="221">
        <f>COUNTIFS('Downtime Data'!A:A,Table1[[#This Row],[Date]])</f>
        <v>0</v>
      </c>
      <c r="AX299" s="219" t="str">
        <f>IFERROR((SUM(Table1[[#This Row],[Minor Stoppages]:[Material Shortages]])/Table1[[#This Row],['# Stops]])*60,"")</f>
        <v/>
      </c>
      <c r="AY299" s="219"/>
      <c r="AZ299" s="33">
        <v>46321</v>
      </c>
    </row>
    <row r="300" spans="1:52" ht="20.149999999999999" customHeight="1" x14ac:dyDescent="0.35">
      <c r="A300" s="21">
        <v>46317</v>
      </c>
      <c r="B300" s="22" t="str">
        <f t="shared" si="6"/>
        <v>Thursday</v>
      </c>
      <c r="C300" s="23"/>
      <c r="D300" s="24" t="str" cm="1">
        <f t="array" aca="1" ref="D300" ca="1">IFERROR(INDIRECT(C300),"")</f>
        <v/>
      </c>
      <c r="E300" s="25"/>
      <c r="F300" s="26"/>
      <c r="G300" s="27" t="str">
        <f ca="1">IFERROR((Table1[[#This Row],[Plan]]/Table1[[#This Row],[Hours Used]])/(Table1[[#This Row],[SOC (TPD)]]/24),"")</f>
        <v/>
      </c>
      <c r="H300" s="27" t="str">
        <f ca="1">IFERROR((Table1[[#This Row],[Volume Delivered (T)]]/Table1[[#This Row],[Hours Used]])/(Table1[[#This Row],[SOC (TPD)]]/24),"")</f>
        <v/>
      </c>
      <c r="I300" s="28"/>
      <c r="J300" s="28"/>
      <c r="K300" s="28"/>
      <c r="L300" s="25"/>
      <c r="M300" s="29"/>
      <c r="N300" s="84"/>
      <c r="O300" s="25"/>
      <c r="P300" s="25"/>
      <c r="Q300" s="70"/>
      <c r="R300" s="71"/>
      <c r="S300" s="30">
        <f>IF(Table1[[#This Row],[SKU]]="",0,24-Table1[[#This Row],[Legal Non-Operating Time]]-Table1[[#This Row],[No Demand Time]]-Table1[[#This Row],[Force Majeure]])</f>
        <v>0</v>
      </c>
      <c r="T300" s="26"/>
      <c r="U300" s="26"/>
      <c r="V300" s="26"/>
      <c r="W300" s="26"/>
      <c r="X300" s="26"/>
      <c r="Y300" s="26"/>
      <c r="Z300" s="26"/>
      <c r="AA300" s="30">
        <f>Table1[[#This Row],[Hours Used]]-SUM(Table1[[#This Row],[Planned Maintenance]:[Start and Finish Production]])</f>
        <v>0</v>
      </c>
      <c r="AB300" s="26"/>
      <c r="AC300" s="26"/>
      <c r="AD300" s="26"/>
      <c r="AE300" s="26"/>
      <c r="AF300" s="26"/>
      <c r="AG300" s="26"/>
      <c r="AH300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300" s="24">
        <f>IFERROR(IF(Table1[[#This Row],[SKU]]="",0,Table1[[#This Row],[Quality Loss (T)]]/(Table1[[#This Row],[SOC (TPD)]]/24)),"")</f>
        <v>0</v>
      </c>
      <c r="AJ300" s="31">
        <f>IFERROR(IF(Table1[[#This Row],[SKU]]="",0,Table1[[#This Row],[Volume Delivered (T)]]/(Table1[[#This Row],[SOC (TPD)]]/24)),"")</f>
        <v>0</v>
      </c>
      <c r="AK300" s="31" t="str">
        <f>IFERROR(Table1[[#This Row],[Operating Time]]/Table1[[#This Row],[PRODUCTION HOURS]],"")</f>
        <v/>
      </c>
      <c r="AL300" s="32"/>
      <c r="AM300" s="32"/>
      <c r="AN300" s="32"/>
      <c r="AO300" s="32">
        <v>0</v>
      </c>
      <c r="AP300" s="32">
        <v>0</v>
      </c>
      <c r="AQ300" s="32"/>
      <c r="AR300" s="32" t="str">
        <f>IFERROR(SUMIFS(#REF!,#REF!,'Data Sheet'!A:A,#REF!,"Samridhi Perk Line")/SUMIFS(#REF!,#REF!,'Data Sheet'!A:A,#REF!,"Samridhi Perk Line"),"")</f>
        <v/>
      </c>
      <c r="AS300" s="32"/>
      <c r="AT300" s="32"/>
      <c r="AU300" s="211">
        <f>IFERROR(VLOOKUP(Table1[[#This Row],[Date]],'Overweight Data'!A298:G1393,6,FALSE),"")</f>
        <v>0</v>
      </c>
      <c r="AV300" s="221">
        <f>IFERROR(
   IF(
      OR(Table1[[#This Row],[Operating Time]]=0, (Table1[[#This Row],[Operating Time]]/IF(AC300&lt;=1,AC300+1,AC300))*60=0),
      1,
      ((Table1[[#This Row],[Operating Time]])/IF(AC300&lt;=1,AC300+1,AC300))*60
   ),
"_")</f>
        <v>1</v>
      </c>
      <c r="AW300" s="221">
        <f>COUNTIFS('Downtime Data'!A:A,Table1[[#This Row],[Date]])</f>
        <v>0</v>
      </c>
      <c r="AX300" s="219" t="str">
        <f>IFERROR((SUM(Table1[[#This Row],[Minor Stoppages]:[Material Shortages]])/Table1[[#This Row],['# Stops]])*60,"")</f>
        <v/>
      </c>
      <c r="AY300" s="219"/>
      <c r="AZ300" s="33">
        <v>46321</v>
      </c>
    </row>
    <row r="301" spans="1:52" ht="20.149999999999999" customHeight="1" x14ac:dyDescent="0.35">
      <c r="A301" s="21">
        <v>46318</v>
      </c>
      <c r="B301" s="22" t="str">
        <f t="shared" si="6"/>
        <v>Friday</v>
      </c>
      <c r="C301" s="23"/>
      <c r="D301" s="24" t="str" cm="1">
        <f t="array" aca="1" ref="D301" ca="1">IFERROR(INDIRECT(C301),"")</f>
        <v/>
      </c>
      <c r="E301" s="25"/>
      <c r="F301" s="26"/>
      <c r="G301" s="27" t="str">
        <f ca="1">IFERROR((Table1[[#This Row],[Plan]]/Table1[[#This Row],[Hours Used]])/(Table1[[#This Row],[SOC (TPD)]]/24),"")</f>
        <v/>
      </c>
      <c r="H301" s="27" t="str">
        <f ca="1">IFERROR((Table1[[#This Row],[Volume Delivered (T)]]/Table1[[#This Row],[Hours Used]])/(Table1[[#This Row],[SOC (TPD)]]/24),"")</f>
        <v/>
      </c>
      <c r="I301" s="28"/>
      <c r="J301" s="28"/>
      <c r="K301" s="28"/>
      <c r="L301" s="25"/>
      <c r="M301" s="29"/>
      <c r="N301" s="84"/>
      <c r="O301" s="25"/>
      <c r="P301" s="25"/>
      <c r="Q301" s="70"/>
      <c r="R301" s="71"/>
      <c r="S301" s="30">
        <f>IF(Table1[[#This Row],[SKU]]="",0,24-Table1[[#This Row],[Legal Non-Operating Time]]-Table1[[#This Row],[No Demand Time]]-Table1[[#This Row],[Force Majeure]])</f>
        <v>0</v>
      </c>
      <c r="T301" s="26"/>
      <c r="U301" s="26"/>
      <c r="V301" s="26"/>
      <c r="W301" s="26"/>
      <c r="X301" s="26"/>
      <c r="Y301" s="26"/>
      <c r="Z301" s="26"/>
      <c r="AA301" s="30">
        <f>Table1[[#This Row],[Hours Used]]-SUM(Table1[[#This Row],[Planned Maintenance]:[Start and Finish Production]])</f>
        <v>0</v>
      </c>
      <c r="AB301" s="26"/>
      <c r="AC301" s="26"/>
      <c r="AD301" s="26"/>
      <c r="AE301" s="26"/>
      <c r="AF301" s="26"/>
      <c r="AG301" s="26"/>
      <c r="AH301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301" s="24">
        <f>IFERROR(IF(Table1[[#This Row],[SKU]]="",0,Table1[[#This Row],[Quality Loss (T)]]/(Table1[[#This Row],[SOC (TPD)]]/24)),"")</f>
        <v>0</v>
      </c>
      <c r="AJ301" s="31">
        <f>IFERROR(IF(Table1[[#This Row],[SKU]]="",0,Table1[[#This Row],[Volume Delivered (T)]]/(Table1[[#This Row],[SOC (TPD)]]/24)),"")</f>
        <v>0</v>
      </c>
      <c r="AK301" s="31" t="str">
        <f>IFERROR(Table1[[#This Row],[Operating Time]]/Table1[[#This Row],[PRODUCTION HOURS]],"")</f>
        <v/>
      </c>
      <c r="AL301" s="32"/>
      <c r="AM301" s="32"/>
      <c r="AN301" s="32"/>
      <c r="AO301" s="32">
        <v>0</v>
      </c>
      <c r="AP301" s="32">
        <v>0</v>
      </c>
      <c r="AQ301" s="32"/>
      <c r="AR301" s="32" t="str">
        <f>IFERROR(SUMIFS(#REF!,#REF!,'Data Sheet'!A:A,#REF!,"Samridhi Perk Line")/SUMIFS(#REF!,#REF!,'Data Sheet'!A:A,#REF!,"Samridhi Perk Line"),"")</f>
        <v/>
      </c>
      <c r="AS301" s="32"/>
      <c r="AT301" s="32"/>
      <c r="AU301" s="211">
        <f>IFERROR(VLOOKUP(Table1[[#This Row],[Date]],'Overweight Data'!A299:G1394,6,FALSE),"")</f>
        <v>0</v>
      </c>
      <c r="AV301" s="221">
        <f>IFERROR(
   IF(
      OR(Table1[[#This Row],[Operating Time]]=0, (Table1[[#This Row],[Operating Time]]/IF(AC301&lt;=1,AC301+1,AC301))*60=0),
      1,
      ((Table1[[#This Row],[Operating Time]])/IF(AC301&lt;=1,AC301+1,AC301))*60
   ),
"_")</f>
        <v>1</v>
      </c>
      <c r="AW301" s="221">
        <f>COUNTIFS('Downtime Data'!A:A,Table1[[#This Row],[Date]])</f>
        <v>0</v>
      </c>
      <c r="AX301" s="219" t="str">
        <f>IFERROR((SUM(Table1[[#This Row],[Minor Stoppages]:[Material Shortages]])/Table1[[#This Row],['# Stops]])*60,"")</f>
        <v/>
      </c>
      <c r="AY301" s="219"/>
      <c r="AZ301" s="33">
        <v>46321</v>
      </c>
    </row>
    <row r="302" spans="1:52" ht="20.149999999999999" customHeight="1" x14ac:dyDescent="0.35">
      <c r="A302" s="21">
        <v>46319</v>
      </c>
      <c r="B302" s="22" t="str">
        <f t="shared" si="6"/>
        <v>Saturday</v>
      </c>
      <c r="C302" s="23"/>
      <c r="D302" s="24" t="str" cm="1">
        <f t="array" aca="1" ref="D302" ca="1">IFERROR(INDIRECT(C302),"")</f>
        <v/>
      </c>
      <c r="E302" s="25"/>
      <c r="F302" s="26"/>
      <c r="G302" s="27" t="str">
        <f ca="1">IFERROR((Table1[[#This Row],[Plan]]/Table1[[#This Row],[Hours Used]])/(Table1[[#This Row],[SOC (TPD)]]/24),"")</f>
        <v/>
      </c>
      <c r="H302" s="27" t="str">
        <f ca="1">IFERROR((Table1[[#This Row],[Volume Delivered (T)]]/Table1[[#This Row],[Hours Used]])/(Table1[[#This Row],[SOC (TPD)]]/24),"")</f>
        <v/>
      </c>
      <c r="I302" s="28"/>
      <c r="J302" s="28"/>
      <c r="K302" s="28"/>
      <c r="L302" s="25"/>
      <c r="M302" s="29"/>
      <c r="N302" s="84"/>
      <c r="O302" s="25"/>
      <c r="P302" s="25"/>
      <c r="Q302" s="70"/>
      <c r="R302" s="71"/>
      <c r="S302" s="30">
        <f>IF(Table1[[#This Row],[SKU]]="",0,24-Table1[[#This Row],[Legal Non-Operating Time]]-Table1[[#This Row],[No Demand Time]]-Table1[[#This Row],[Force Majeure]])</f>
        <v>0</v>
      </c>
      <c r="T302" s="26"/>
      <c r="U302" s="26"/>
      <c r="V302" s="26"/>
      <c r="W302" s="26"/>
      <c r="X302" s="26"/>
      <c r="Y302" s="26"/>
      <c r="Z302" s="26"/>
      <c r="AA302" s="30">
        <f>Table1[[#This Row],[Hours Used]]-SUM(Table1[[#This Row],[Planned Maintenance]:[Start and Finish Production]])</f>
        <v>0</v>
      </c>
      <c r="AB302" s="26"/>
      <c r="AC302" s="26"/>
      <c r="AD302" s="26"/>
      <c r="AE302" s="26"/>
      <c r="AF302" s="26"/>
      <c r="AG302" s="26"/>
      <c r="AH302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302" s="24">
        <f>IFERROR(IF(Table1[[#This Row],[SKU]]="",0,Table1[[#This Row],[Quality Loss (T)]]/(Table1[[#This Row],[SOC (TPD)]]/24)),"")</f>
        <v>0</v>
      </c>
      <c r="AJ302" s="31">
        <f>IFERROR(IF(Table1[[#This Row],[SKU]]="",0,Table1[[#This Row],[Volume Delivered (T)]]/(Table1[[#This Row],[SOC (TPD)]]/24)),"")</f>
        <v>0</v>
      </c>
      <c r="AK302" s="31" t="str">
        <f>IFERROR(Table1[[#This Row],[Operating Time]]/Table1[[#This Row],[PRODUCTION HOURS]],"")</f>
        <v/>
      </c>
      <c r="AL302" s="32"/>
      <c r="AM302" s="32"/>
      <c r="AN302" s="32"/>
      <c r="AO302" s="32">
        <v>0</v>
      </c>
      <c r="AP302" s="32">
        <v>0</v>
      </c>
      <c r="AQ302" s="32"/>
      <c r="AR302" s="32" t="str">
        <f>IFERROR(SUMIFS(#REF!,#REF!,'Data Sheet'!A:A,#REF!,"Samridhi Perk Line")/SUMIFS(#REF!,#REF!,'Data Sheet'!A:A,#REF!,"Samridhi Perk Line"),"")</f>
        <v/>
      </c>
      <c r="AS302" s="32"/>
      <c r="AT302" s="32"/>
      <c r="AU302" s="211">
        <f>IFERROR(VLOOKUP(Table1[[#This Row],[Date]],'Overweight Data'!A300:G1395,6,FALSE),"")</f>
        <v>0</v>
      </c>
      <c r="AV302" s="221">
        <f>IFERROR(
   IF(
      OR(Table1[[#This Row],[Operating Time]]=0, (Table1[[#This Row],[Operating Time]]/IF(AC302&lt;=1,AC302+1,AC302))*60=0),
      1,
      ((Table1[[#This Row],[Operating Time]])/IF(AC302&lt;=1,AC302+1,AC302))*60
   ),
"_")</f>
        <v>1</v>
      </c>
      <c r="AW302" s="221">
        <f>COUNTIFS('Downtime Data'!A:A,Table1[[#This Row],[Date]])</f>
        <v>0</v>
      </c>
      <c r="AX302" s="219" t="str">
        <f>IFERROR((SUM(Table1[[#This Row],[Minor Stoppages]:[Material Shortages]])/Table1[[#This Row],['# Stops]])*60,"")</f>
        <v/>
      </c>
      <c r="AY302" s="219"/>
      <c r="AZ302" s="33">
        <v>46321</v>
      </c>
    </row>
    <row r="303" spans="1:52" ht="20.149999999999999" customHeight="1" x14ac:dyDescent="0.35">
      <c r="A303" s="21">
        <v>46320</v>
      </c>
      <c r="B303" s="22" t="str">
        <f t="shared" si="6"/>
        <v>Sunday</v>
      </c>
      <c r="C303" s="23"/>
      <c r="D303" s="24" t="str" cm="1">
        <f t="array" aca="1" ref="D303" ca="1">IFERROR(INDIRECT(C303),"")</f>
        <v/>
      </c>
      <c r="E303" s="25"/>
      <c r="F303" s="26"/>
      <c r="G303" s="27" t="str">
        <f ca="1">IFERROR((Table1[[#This Row],[Plan]]/Table1[[#This Row],[Hours Used]])/(Table1[[#This Row],[SOC (TPD)]]/24),"")</f>
        <v/>
      </c>
      <c r="H303" s="27" t="str">
        <f ca="1">IFERROR((Table1[[#This Row],[Volume Delivered (T)]]/Table1[[#This Row],[Hours Used]])/(Table1[[#This Row],[SOC (TPD)]]/24),"")</f>
        <v/>
      </c>
      <c r="I303" s="28"/>
      <c r="J303" s="28"/>
      <c r="K303" s="28"/>
      <c r="L303" s="25"/>
      <c r="M303" s="29"/>
      <c r="N303" s="84"/>
      <c r="O303" s="25"/>
      <c r="P303" s="25"/>
      <c r="Q303" s="70"/>
      <c r="R303" s="71"/>
      <c r="S303" s="30">
        <f>IF(Table1[[#This Row],[SKU]]="",0,24-Table1[[#This Row],[Legal Non-Operating Time]]-Table1[[#This Row],[No Demand Time]]-Table1[[#This Row],[Force Majeure]])</f>
        <v>0</v>
      </c>
      <c r="T303" s="26"/>
      <c r="U303" s="26"/>
      <c r="V303" s="26"/>
      <c r="W303" s="26"/>
      <c r="X303" s="26"/>
      <c r="Y303" s="26"/>
      <c r="Z303" s="26"/>
      <c r="AA303" s="30">
        <f>Table1[[#This Row],[Hours Used]]-SUM(Table1[[#This Row],[Planned Maintenance]:[Start and Finish Production]])</f>
        <v>0</v>
      </c>
      <c r="AB303" s="26"/>
      <c r="AC303" s="26"/>
      <c r="AD303" s="26"/>
      <c r="AE303" s="26"/>
      <c r="AF303" s="26"/>
      <c r="AG303" s="26"/>
      <c r="AH303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303" s="24">
        <f>IFERROR(IF(Table1[[#This Row],[SKU]]="",0,Table1[[#This Row],[Quality Loss (T)]]/(Table1[[#This Row],[SOC (TPD)]]/24)),"")</f>
        <v>0</v>
      </c>
      <c r="AJ303" s="31">
        <f>IFERROR(IF(Table1[[#This Row],[SKU]]="",0,Table1[[#This Row],[Volume Delivered (T)]]/(Table1[[#This Row],[SOC (TPD)]]/24)),"")</f>
        <v>0</v>
      </c>
      <c r="AK303" s="31" t="str">
        <f>IFERROR(Table1[[#This Row],[Operating Time]]/Table1[[#This Row],[PRODUCTION HOURS]],"")</f>
        <v/>
      </c>
      <c r="AL303" s="32"/>
      <c r="AM303" s="32"/>
      <c r="AN303" s="32"/>
      <c r="AO303" s="32">
        <v>18</v>
      </c>
      <c r="AP303" s="32">
        <v>0</v>
      </c>
      <c r="AQ303" s="32"/>
      <c r="AR303" s="32" t="str">
        <f>IFERROR(SUMIFS(#REF!,#REF!,'Data Sheet'!A:A,#REF!,"Samridhi Perk Line")/SUMIFS(#REF!,#REF!,'Data Sheet'!A:A,#REF!,"Samridhi Perk Line"),"")</f>
        <v/>
      </c>
      <c r="AS303" s="32"/>
      <c r="AT303" s="32"/>
      <c r="AU303" s="211">
        <f>IFERROR(VLOOKUP(Table1[[#This Row],[Date]],'Overweight Data'!A301:G1396,6,FALSE),"")</f>
        <v>0</v>
      </c>
      <c r="AV303" s="221">
        <f>IFERROR(
   IF(
      OR(Table1[[#This Row],[Operating Time]]=0, (Table1[[#This Row],[Operating Time]]/IF(AC303&lt;=1,AC303+1,AC303))*60=0),
      1,
      ((Table1[[#This Row],[Operating Time]])/IF(AC303&lt;=1,AC303+1,AC303))*60
   ),
"_")</f>
        <v>1</v>
      </c>
      <c r="AW303" s="221">
        <f>COUNTIFS('Downtime Data'!A:A,Table1[[#This Row],[Date]])</f>
        <v>0</v>
      </c>
      <c r="AX303" s="219" t="str">
        <f>IFERROR((SUM(Table1[[#This Row],[Minor Stoppages]:[Material Shortages]])/Table1[[#This Row],['# Stops]])*60,"")</f>
        <v/>
      </c>
      <c r="AY303" s="219"/>
      <c r="AZ303" s="33">
        <v>46321</v>
      </c>
    </row>
    <row r="304" spans="1:52" ht="20.149999999999999" customHeight="1" x14ac:dyDescent="0.35">
      <c r="A304" s="21">
        <v>46321</v>
      </c>
      <c r="B304" s="22" t="str">
        <f t="shared" si="6"/>
        <v>Monday</v>
      </c>
      <c r="C304" s="23"/>
      <c r="D304" s="24" t="str" cm="1">
        <f t="array" aca="1" ref="D304" ca="1">IFERROR(INDIRECT(C304),"")</f>
        <v/>
      </c>
      <c r="E304" s="25"/>
      <c r="F304" s="26"/>
      <c r="G304" s="27" t="str">
        <f ca="1">IFERROR((Table1[[#This Row],[Plan]]/Table1[[#This Row],[Hours Used]])/(Table1[[#This Row],[SOC (TPD)]]/24),"")</f>
        <v/>
      </c>
      <c r="H304" s="27" t="str">
        <f ca="1">IFERROR((Table1[[#This Row],[Volume Delivered (T)]]/Table1[[#This Row],[Hours Used]])/(Table1[[#This Row],[SOC (TPD)]]/24),"")</f>
        <v/>
      </c>
      <c r="I304" s="28"/>
      <c r="J304" s="28"/>
      <c r="K304" s="28"/>
      <c r="L304" s="25"/>
      <c r="M304" s="29"/>
      <c r="N304" s="84"/>
      <c r="O304" s="25"/>
      <c r="P304" s="25"/>
      <c r="Q304" s="70"/>
      <c r="R304" s="71"/>
      <c r="S304" s="30">
        <f>IF(Table1[[#This Row],[SKU]]="",0,24-Table1[[#This Row],[Legal Non-Operating Time]]-Table1[[#This Row],[No Demand Time]]-Table1[[#This Row],[Force Majeure]])</f>
        <v>0</v>
      </c>
      <c r="T304" s="26"/>
      <c r="U304" s="26"/>
      <c r="V304" s="26"/>
      <c r="W304" s="26"/>
      <c r="X304" s="26"/>
      <c r="Y304" s="26"/>
      <c r="Z304" s="26"/>
      <c r="AA304" s="30">
        <f>Table1[[#This Row],[Hours Used]]-SUM(Table1[[#This Row],[Planned Maintenance]:[Start and Finish Production]])</f>
        <v>0</v>
      </c>
      <c r="AB304" s="26"/>
      <c r="AC304" s="26"/>
      <c r="AD304" s="26"/>
      <c r="AE304" s="26"/>
      <c r="AF304" s="26"/>
      <c r="AG304" s="26"/>
      <c r="AH304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304" s="24">
        <f>IFERROR(IF(Table1[[#This Row],[SKU]]="",0,Table1[[#This Row],[Quality Loss (T)]]/(Table1[[#This Row],[SOC (TPD)]]/24)),"")</f>
        <v>0</v>
      </c>
      <c r="AJ304" s="31">
        <f>IFERROR(IF(Table1[[#This Row],[SKU]]="",0,Table1[[#This Row],[Volume Delivered (T)]]/(Table1[[#This Row],[SOC (TPD)]]/24)),"")</f>
        <v>0</v>
      </c>
      <c r="AK304" s="31" t="str">
        <f>IFERROR(Table1[[#This Row],[Operating Time]]/Table1[[#This Row],[PRODUCTION HOURS]],"")</f>
        <v/>
      </c>
      <c r="AL304" s="32"/>
      <c r="AM304" s="32"/>
      <c r="AN304" s="32"/>
      <c r="AO304" s="32">
        <v>1</v>
      </c>
      <c r="AP304" s="32">
        <v>0</v>
      </c>
      <c r="AQ304" s="32"/>
      <c r="AR304" s="32" t="str">
        <f>IFERROR(SUMIFS(#REF!,#REF!,'Data Sheet'!A:A,#REF!,"Samridhi Perk Line")/SUMIFS(#REF!,#REF!,'Data Sheet'!A:A,#REF!,"Samridhi Perk Line"),"")</f>
        <v/>
      </c>
      <c r="AS304" s="32"/>
      <c r="AT304" s="32"/>
      <c r="AU304" s="211">
        <f>IFERROR(VLOOKUP(Table1[[#This Row],[Date]],'Overweight Data'!A302:G1397,6,FALSE),"")</f>
        <v>0</v>
      </c>
      <c r="AV304" s="221">
        <f>IFERROR(
   IF(
      OR(Table1[[#This Row],[Operating Time]]=0, (Table1[[#This Row],[Operating Time]]/IF(AC304&lt;=1,AC304+1,AC304))*60=0),
      1,
      ((Table1[[#This Row],[Operating Time]])/IF(AC304&lt;=1,AC304+1,AC304))*60
   ),
"_")</f>
        <v>1</v>
      </c>
      <c r="AW304" s="221">
        <f>COUNTIFS('Downtime Data'!A:A,Table1[[#This Row],[Date]])</f>
        <v>0</v>
      </c>
      <c r="AX304" s="219" t="str">
        <f>IFERROR((SUM(Table1[[#This Row],[Minor Stoppages]:[Material Shortages]])/Table1[[#This Row],['# Stops]])*60,"")</f>
        <v/>
      </c>
      <c r="AY304" s="219"/>
      <c r="AZ304" s="33">
        <v>46321</v>
      </c>
    </row>
    <row r="305" spans="1:52" ht="20.149999999999999" customHeight="1" x14ac:dyDescent="0.35">
      <c r="A305" s="21">
        <v>46322</v>
      </c>
      <c r="B305" s="22" t="str">
        <f t="shared" si="6"/>
        <v>Tuesday</v>
      </c>
      <c r="C305" s="23"/>
      <c r="D305" s="24" t="str" cm="1">
        <f t="array" aca="1" ref="D305" ca="1">IFERROR(INDIRECT(C305),"")</f>
        <v/>
      </c>
      <c r="E305" s="25"/>
      <c r="F305" s="26"/>
      <c r="G305" s="27" t="str">
        <f ca="1">IFERROR((Table1[[#This Row],[Plan]]/Table1[[#This Row],[Hours Used]])/(Table1[[#This Row],[SOC (TPD)]]/24),"")</f>
        <v/>
      </c>
      <c r="H305" s="27" t="str">
        <f ca="1">IFERROR((Table1[[#This Row],[Volume Delivered (T)]]/Table1[[#This Row],[Hours Used]])/(Table1[[#This Row],[SOC (TPD)]]/24),"")</f>
        <v/>
      </c>
      <c r="I305" s="28"/>
      <c r="J305" s="28"/>
      <c r="K305" s="28"/>
      <c r="L305" s="25"/>
      <c r="M305" s="29"/>
      <c r="N305" s="84"/>
      <c r="O305" s="25"/>
      <c r="P305" s="25"/>
      <c r="Q305" s="70"/>
      <c r="R305" s="71"/>
      <c r="S305" s="30">
        <f>IF(Table1[[#This Row],[SKU]]="",0,24-Table1[[#This Row],[Legal Non-Operating Time]]-Table1[[#This Row],[No Demand Time]]-Table1[[#This Row],[Force Majeure]])</f>
        <v>0</v>
      </c>
      <c r="T305" s="26"/>
      <c r="U305" s="26"/>
      <c r="V305" s="26"/>
      <c r="W305" s="26"/>
      <c r="X305" s="26"/>
      <c r="Y305" s="26"/>
      <c r="Z305" s="26"/>
      <c r="AA305" s="30">
        <f>Table1[[#This Row],[Hours Used]]-SUM(Table1[[#This Row],[Planned Maintenance]:[Start and Finish Production]])</f>
        <v>0</v>
      </c>
      <c r="AB305" s="26"/>
      <c r="AC305" s="26"/>
      <c r="AD305" s="26"/>
      <c r="AE305" s="26"/>
      <c r="AF305" s="26"/>
      <c r="AG305" s="26"/>
      <c r="AH305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305" s="24">
        <f>IFERROR(IF(Table1[[#This Row],[SKU]]="",0,Table1[[#This Row],[Quality Loss (T)]]/(Table1[[#This Row],[SOC (TPD)]]/24)),"")</f>
        <v>0</v>
      </c>
      <c r="AJ305" s="31">
        <f>IFERROR(IF(Table1[[#This Row],[SKU]]="",0,Table1[[#This Row],[Volume Delivered (T)]]/(Table1[[#This Row],[SOC (TPD)]]/24)),"")</f>
        <v>0</v>
      </c>
      <c r="AK305" s="31" t="str">
        <f>IFERROR(Table1[[#This Row],[Operating Time]]/Table1[[#This Row],[PRODUCTION HOURS]],"")</f>
        <v/>
      </c>
      <c r="AL305" s="32"/>
      <c r="AM305" s="32"/>
      <c r="AN305" s="32"/>
      <c r="AO305" s="32">
        <v>1</v>
      </c>
      <c r="AP305" s="32">
        <v>0</v>
      </c>
      <c r="AQ305" s="32"/>
      <c r="AR305" s="32" t="str">
        <f>IFERROR(SUMIFS(#REF!,#REF!,'Data Sheet'!A:A,#REF!,"Samridhi Perk Line")/SUMIFS(#REF!,#REF!,'Data Sheet'!A:A,#REF!,"Samridhi Perk Line"),"")</f>
        <v/>
      </c>
      <c r="AS305" s="32"/>
      <c r="AT305" s="32"/>
      <c r="AU305" s="211">
        <f>IFERROR(VLOOKUP(Table1[[#This Row],[Date]],'Overweight Data'!A303:G1398,6,FALSE),"")</f>
        <v>0</v>
      </c>
      <c r="AV305" s="221">
        <f>IFERROR(
   IF(
      OR(Table1[[#This Row],[Operating Time]]=0, (Table1[[#This Row],[Operating Time]]/IF(AC305&lt;=1,AC305+1,AC305))*60=0),
      1,
      ((Table1[[#This Row],[Operating Time]])/IF(AC305&lt;=1,AC305+1,AC305))*60
   ),
"_")</f>
        <v>1</v>
      </c>
      <c r="AW305" s="221">
        <f>COUNTIFS('Downtime Data'!A:A,Table1[[#This Row],[Date]])</f>
        <v>0</v>
      </c>
      <c r="AX305" s="219" t="str">
        <f>IFERROR((SUM(Table1[[#This Row],[Minor Stoppages]:[Material Shortages]])/Table1[[#This Row],['# Stops]])*60,"")</f>
        <v/>
      </c>
      <c r="AY305" s="219"/>
      <c r="AZ305" s="33">
        <v>46321</v>
      </c>
    </row>
    <row r="306" spans="1:52" ht="20.149999999999999" customHeight="1" x14ac:dyDescent="0.35">
      <c r="A306" s="21">
        <v>46323</v>
      </c>
      <c r="B306" s="22" t="str">
        <f t="shared" si="6"/>
        <v>Wednesday</v>
      </c>
      <c r="C306" s="23"/>
      <c r="D306" s="24" t="str" cm="1">
        <f t="array" aca="1" ref="D306" ca="1">IFERROR(INDIRECT(C306),"")</f>
        <v/>
      </c>
      <c r="E306" s="25"/>
      <c r="F306" s="26"/>
      <c r="G306" s="27" t="str">
        <f ca="1">IFERROR((Table1[[#This Row],[Plan]]/Table1[[#This Row],[Hours Used]])/(Table1[[#This Row],[SOC (TPD)]]/24),"")</f>
        <v/>
      </c>
      <c r="H306" s="27" t="str">
        <f ca="1">IFERROR((Table1[[#This Row],[Volume Delivered (T)]]/Table1[[#This Row],[Hours Used]])/(Table1[[#This Row],[SOC (TPD)]]/24),"")</f>
        <v/>
      </c>
      <c r="I306" s="28"/>
      <c r="J306" s="28"/>
      <c r="K306" s="28"/>
      <c r="L306" s="25"/>
      <c r="M306" s="29"/>
      <c r="N306" s="84"/>
      <c r="O306" s="25"/>
      <c r="P306" s="25"/>
      <c r="Q306" s="70"/>
      <c r="R306" s="71"/>
      <c r="S306" s="30">
        <f>IF(Table1[[#This Row],[SKU]]="",0,24-Table1[[#This Row],[Legal Non-Operating Time]]-Table1[[#This Row],[No Demand Time]]-Table1[[#This Row],[Force Majeure]])</f>
        <v>0</v>
      </c>
      <c r="T306" s="26"/>
      <c r="U306" s="26"/>
      <c r="V306" s="26"/>
      <c r="W306" s="26"/>
      <c r="X306" s="26"/>
      <c r="Y306" s="26"/>
      <c r="Z306" s="26"/>
      <c r="AA306" s="30">
        <f>Table1[[#This Row],[Hours Used]]-SUM(Table1[[#This Row],[Planned Maintenance]:[Start and Finish Production]])</f>
        <v>0</v>
      </c>
      <c r="AB306" s="26"/>
      <c r="AC306" s="26"/>
      <c r="AD306" s="26"/>
      <c r="AE306" s="26"/>
      <c r="AF306" s="26"/>
      <c r="AG306" s="26"/>
      <c r="AH306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306" s="24">
        <f>IFERROR(IF(Table1[[#This Row],[SKU]]="",0,Table1[[#This Row],[Quality Loss (T)]]/(Table1[[#This Row],[SOC (TPD)]]/24)),"")</f>
        <v>0</v>
      </c>
      <c r="AJ306" s="31">
        <f>IFERROR(IF(Table1[[#This Row],[SKU]]="",0,Table1[[#This Row],[Volume Delivered (T)]]/(Table1[[#This Row],[SOC (TPD)]]/24)),"")</f>
        <v>0</v>
      </c>
      <c r="AK306" s="31" t="str">
        <f>IFERROR(Table1[[#This Row],[Operating Time]]/Table1[[#This Row],[PRODUCTION HOURS]],"")</f>
        <v/>
      </c>
      <c r="AL306" s="32"/>
      <c r="AM306" s="32"/>
      <c r="AN306" s="32"/>
      <c r="AO306" s="32">
        <v>0</v>
      </c>
      <c r="AP306" s="32">
        <v>0</v>
      </c>
      <c r="AQ306" s="32"/>
      <c r="AR306" s="32" t="str">
        <f>IFERROR(SUMIFS(#REF!,#REF!,'Data Sheet'!A:A,#REF!,"Samridhi Perk Line")/SUMIFS(#REF!,#REF!,'Data Sheet'!A:A,#REF!,"Samridhi Perk Line"),"")</f>
        <v/>
      </c>
      <c r="AS306" s="32"/>
      <c r="AT306" s="32"/>
      <c r="AU306" s="211">
        <f>IFERROR(VLOOKUP(Table1[[#This Row],[Date]],'Overweight Data'!A304:G1399,6,FALSE),"")</f>
        <v>0</v>
      </c>
      <c r="AV306" s="221">
        <f>IFERROR(
   IF(
      OR(Table1[[#This Row],[Operating Time]]=0, (Table1[[#This Row],[Operating Time]]/IF(AC306&lt;=1,AC306+1,AC306))*60=0),
      1,
      ((Table1[[#This Row],[Operating Time]])/IF(AC306&lt;=1,AC306+1,AC306))*60
   ),
"_")</f>
        <v>1</v>
      </c>
      <c r="AW306" s="221">
        <f>COUNTIFS('Downtime Data'!A:A,Table1[[#This Row],[Date]])</f>
        <v>0</v>
      </c>
      <c r="AX306" s="219" t="str">
        <f>IFERROR((SUM(Table1[[#This Row],[Minor Stoppages]:[Material Shortages]])/Table1[[#This Row],['# Stops]])*60,"")</f>
        <v/>
      </c>
      <c r="AY306" s="219"/>
      <c r="AZ306" s="33">
        <v>46321</v>
      </c>
    </row>
    <row r="307" spans="1:52" ht="20.149999999999999" customHeight="1" x14ac:dyDescent="0.35">
      <c r="A307" s="21">
        <v>46324</v>
      </c>
      <c r="B307" s="22" t="str">
        <f t="shared" si="6"/>
        <v>Thursday</v>
      </c>
      <c r="C307" s="23"/>
      <c r="D307" s="24" t="str" cm="1">
        <f t="array" aca="1" ref="D307" ca="1">IFERROR(INDIRECT(C307),"")</f>
        <v/>
      </c>
      <c r="E307" s="25"/>
      <c r="F307" s="26"/>
      <c r="G307" s="27" t="str">
        <f ca="1">IFERROR((Table1[[#This Row],[Plan]]/Table1[[#This Row],[Hours Used]])/(Table1[[#This Row],[SOC (TPD)]]/24),"")</f>
        <v/>
      </c>
      <c r="H307" s="27" t="str">
        <f ca="1">IFERROR((Table1[[#This Row],[Volume Delivered (T)]]/Table1[[#This Row],[Hours Used]])/(Table1[[#This Row],[SOC (TPD)]]/24),"")</f>
        <v/>
      </c>
      <c r="I307" s="28"/>
      <c r="J307" s="28"/>
      <c r="K307" s="28"/>
      <c r="L307" s="25"/>
      <c r="M307" s="29"/>
      <c r="N307" s="84"/>
      <c r="O307" s="25"/>
      <c r="P307" s="25"/>
      <c r="Q307" s="70"/>
      <c r="R307" s="71"/>
      <c r="S307" s="30">
        <f>IF(Table1[[#This Row],[SKU]]="",0,24-Table1[[#This Row],[Legal Non-Operating Time]]-Table1[[#This Row],[No Demand Time]]-Table1[[#This Row],[Force Majeure]])</f>
        <v>0</v>
      </c>
      <c r="T307" s="26"/>
      <c r="U307" s="26"/>
      <c r="V307" s="26"/>
      <c r="W307" s="26"/>
      <c r="X307" s="26"/>
      <c r="Y307" s="26"/>
      <c r="Z307" s="26"/>
      <c r="AA307" s="30">
        <f>Table1[[#This Row],[Hours Used]]-SUM(Table1[[#This Row],[Planned Maintenance]:[Start and Finish Production]])</f>
        <v>0</v>
      </c>
      <c r="AB307" s="26"/>
      <c r="AC307" s="26"/>
      <c r="AD307" s="26"/>
      <c r="AE307" s="26"/>
      <c r="AF307" s="26"/>
      <c r="AG307" s="26"/>
      <c r="AH307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307" s="24">
        <f>IFERROR(IF(Table1[[#This Row],[SKU]]="",0,Table1[[#This Row],[Quality Loss (T)]]/(Table1[[#This Row],[SOC (TPD)]]/24)),"")</f>
        <v>0</v>
      </c>
      <c r="AJ307" s="31">
        <f>IFERROR(IF(Table1[[#This Row],[SKU]]="",0,Table1[[#This Row],[Volume Delivered (T)]]/(Table1[[#This Row],[SOC (TPD)]]/24)),"")</f>
        <v>0</v>
      </c>
      <c r="AK307" s="31" t="str">
        <f>IFERROR(Table1[[#This Row],[Operating Time]]/Table1[[#This Row],[PRODUCTION HOURS]],"")</f>
        <v/>
      </c>
      <c r="AL307" s="32"/>
      <c r="AM307" s="32"/>
      <c r="AN307" s="32"/>
      <c r="AO307" s="32">
        <v>1</v>
      </c>
      <c r="AP307" s="32">
        <v>0</v>
      </c>
      <c r="AQ307" s="32"/>
      <c r="AR307" s="32" t="str">
        <f>IFERROR(SUMIFS(#REF!,#REF!,'Data Sheet'!A:A,#REF!,"Samridhi Perk Line")/SUMIFS(#REF!,#REF!,'Data Sheet'!A:A,#REF!,"Samridhi Perk Line"),"")</f>
        <v/>
      </c>
      <c r="AS307" s="32"/>
      <c r="AT307" s="32"/>
      <c r="AU307" s="211">
        <f>IFERROR(VLOOKUP(Table1[[#This Row],[Date]],'Overweight Data'!A305:G1400,6,FALSE),"")</f>
        <v>0</v>
      </c>
      <c r="AV307" s="221">
        <f>IFERROR(
   IF(
      OR(Table1[[#This Row],[Operating Time]]=0, (Table1[[#This Row],[Operating Time]]/IF(AC307&lt;=1,AC307+1,AC307))*60=0),
      1,
      ((Table1[[#This Row],[Operating Time]])/IF(AC307&lt;=1,AC307+1,AC307))*60
   ),
"_")</f>
        <v>1</v>
      </c>
      <c r="AW307" s="221">
        <f>COUNTIFS('Downtime Data'!A:A,Table1[[#This Row],[Date]])</f>
        <v>0</v>
      </c>
      <c r="AX307" s="219" t="str">
        <f>IFERROR((SUM(Table1[[#This Row],[Minor Stoppages]:[Material Shortages]])/Table1[[#This Row],['# Stops]])*60,"")</f>
        <v/>
      </c>
      <c r="AY307" s="219"/>
      <c r="AZ307" s="33">
        <v>46321</v>
      </c>
    </row>
    <row r="308" spans="1:52" ht="20.149999999999999" customHeight="1" x14ac:dyDescent="0.35">
      <c r="A308" s="21">
        <v>46325</v>
      </c>
      <c r="B308" s="22" t="str">
        <f t="shared" si="6"/>
        <v>Friday</v>
      </c>
      <c r="C308" s="23"/>
      <c r="D308" s="24" t="str" cm="1">
        <f t="array" aca="1" ref="D308" ca="1">IFERROR(INDIRECT(C308),"")</f>
        <v/>
      </c>
      <c r="E308" s="25"/>
      <c r="F308" s="26"/>
      <c r="G308" s="27" t="str">
        <f ca="1">IFERROR((Table1[[#This Row],[Plan]]/Table1[[#This Row],[Hours Used]])/(Table1[[#This Row],[SOC (TPD)]]/24),"")</f>
        <v/>
      </c>
      <c r="H308" s="27" t="str">
        <f ca="1">IFERROR((Table1[[#This Row],[Volume Delivered (T)]]/Table1[[#This Row],[Hours Used]])/(Table1[[#This Row],[SOC (TPD)]]/24),"")</f>
        <v/>
      </c>
      <c r="I308" s="28"/>
      <c r="J308" s="28"/>
      <c r="K308" s="28"/>
      <c r="L308" s="25"/>
      <c r="M308" s="29"/>
      <c r="N308" s="84"/>
      <c r="O308" s="25"/>
      <c r="P308" s="25"/>
      <c r="Q308" s="70"/>
      <c r="R308" s="71"/>
      <c r="S308" s="30">
        <f>IF(Table1[[#This Row],[SKU]]="",0,24-Table1[[#This Row],[Legal Non-Operating Time]]-Table1[[#This Row],[No Demand Time]]-Table1[[#This Row],[Force Majeure]])</f>
        <v>0</v>
      </c>
      <c r="T308" s="26"/>
      <c r="U308" s="26"/>
      <c r="V308" s="26"/>
      <c r="W308" s="26"/>
      <c r="X308" s="26"/>
      <c r="Y308" s="26"/>
      <c r="Z308" s="26"/>
      <c r="AA308" s="30">
        <f>Table1[[#This Row],[Hours Used]]-SUM(Table1[[#This Row],[Planned Maintenance]:[Start and Finish Production]])</f>
        <v>0</v>
      </c>
      <c r="AB308" s="26"/>
      <c r="AC308" s="26"/>
      <c r="AD308" s="26"/>
      <c r="AE308" s="26"/>
      <c r="AF308" s="26"/>
      <c r="AG308" s="26"/>
      <c r="AH308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308" s="24">
        <f>IFERROR(IF(Table1[[#This Row],[SKU]]="",0,Table1[[#This Row],[Quality Loss (T)]]/(Table1[[#This Row],[SOC (TPD)]]/24)),"")</f>
        <v>0</v>
      </c>
      <c r="AJ308" s="31">
        <f>IFERROR(IF(Table1[[#This Row],[SKU]]="",0,Table1[[#This Row],[Volume Delivered (T)]]/(Table1[[#This Row],[SOC (TPD)]]/24)),"")</f>
        <v>0</v>
      </c>
      <c r="AK308" s="31" t="str">
        <f>IFERROR(Table1[[#This Row],[Operating Time]]/Table1[[#This Row],[PRODUCTION HOURS]],"")</f>
        <v/>
      </c>
      <c r="AL308" s="32"/>
      <c r="AM308" s="32"/>
      <c r="AN308" s="32"/>
      <c r="AO308" s="32">
        <v>5</v>
      </c>
      <c r="AP308" s="32">
        <v>0</v>
      </c>
      <c r="AQ308" s="32"/>
      <c r="AR308" s="32" t="str">
        <f>IFERROR(SUMIFS(#REF!,#REF!,'Data Sheet'!A:A,#REF!,"Samridhi Perk Line")/SUMIFS(#REF!,#REF!,'Data Sheet'!A:A,#REF!,"Samridhi Perk Line"),"")</f>
        <v/>
      </c>
      <c r="AS308" s="32"/>
      <c r="AT308" s="32"/>
      <c r="AU308" s="211">
        <f>IFERROR(VLOOKUP(Table1[[#This Row],[Date]],'Overweight Data'!A306:G1401,6,FALSE),"")</f>
        <v>0</v>
      </c>
      <c r="AV308" s="221">
        <f>IFERROR(
   IF(
      OR(Table1[[#This Row],[Operating Time]]=0, (Table1[[#This Row],[Operating Time]]/IF(AC308&lt;=1,AC308+1,AC308))*60=0),
      1,
      ((Table1[[#This Row],[Operating Time]])/IF(AC308&lt;=1,AC308+1,AC308))*60
   ),
"_")</f>
        <v>1</v>
      </c>
      <c r="AW308" s="221">
        <f>COUNTIFS('Downtime Data'!A:A,Table1[[#This Row],[Date]])</f>
        <v>0</v>
      </c>
      <c r="AX308" s="219" t="str">
        <f>IFERROR((SUM(Table1[[#This Row],[Minor Stoppages]:[Material Shortages]])/Table1[[#This Row],['# Stops]])*60,"")</f>
        <v/>
      </c>
      <c r="AY308" s="219"/>
      <c r="AZ308" s="33">
        <v>46321</v>
      </c>
    </row>
    <row r="309" spans="1:52" ht="20.149999999999999" customHeight="1" x14ac:dyDescent="0.35">
      <c r="A309" s="21">
        <v>46326</v>
      </c>
      <c r="B309" s="22" t="str">
        <f t="shared" si="6"/>
        <v>Saturday</v>
      </c>
      <c r="C309" s="23"/>
      <c r="D309" s="24" t="str" cm="1">
        <f t="array" aca="1" ref="D309" ca="1">IFERROR(INDIRECT(C309),"")</f>
        <v/>
      </c>
      <c r="E309" s="25"/>
      <c r="F309" s="26"/>
      <c r="G309" s="27" t="str">
        <f ca="1">IFERROR((Table1[[#This Row],[Plan]]/Table1[[#This Row],[Hours Used]])/(Table1[[#This Row],[SOC (TPD)]]/24),"")</f>
        <v/>
      </c>
      <c r="H309" s="27" t="str">
        <f ca="1">IFERROR((Table1[[#This Row],[Volume Delivered (T)]]/Table1[[#This Row],[Hours Used]])/(Table1[[#This Row],[SOC (TPD)]]/24),"")</f>
        <v/>
      </c>
      <c r="I309" s="28"/>
      <c r="J309" s="28"/>
      <c r="K309" s="28"/>
      <c r="L309" s="25"/>
      <c r="M309" s="29"/>
      <c r="N309" s="84"/>
      <c r="O309" s="25"/>
      <c r="P309" s="25"/>
      <c r="Q309" s="70"/>
      <c r="R309" s="71"/>
      <c r="S309" s="30">
        <f>IF(Table1[[#This Row],[SKU]]="",0,24-Table1[[#This Row],[Legal Non-Operating Time]]-Table1[[#This Row],[No Demand Time]]-Table1[[#This Row],[Force Majeure]])</f>
        <v>0</v>
      </c>
      <c r="T309" s="26"/>
      <c r="U309" s="26"/>
      <c r="V309" s="26"/>
      <c r="W309" s="26"/>
      <c r="X309" s="26"/>
      <c r="Y309" s="26"/>
      <c r="Z309" s="26"/>
      <c r="AA309" s="30">
        <f>Table1[[#This Row],[Hours Used]]-SUM(Table1[[#This Row],[Planned Maintenance]:[Start and Finish Production]])</f>
        <v>0</v>
      </c>
      <c r="AB309" s="26"/>
      <c r="AC309" s="26"/>
      <c r="AD309" s="26"/>
      <c r="AE309" s="26"/>
      <c r="AF309" s="26"/>
      <c r="AG309" s="26"/>
      <c r="AH309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309" s="24">
        <f>IFERROR(IF(Table1[[#This Row],[SKU]]="",0,Table1[[#This Row],[Quality Loss (T)]]/(Table1[[#This Row],[SOC (TPD)]]/24)),"")</f>
        <v>0</v>
      </c>
      <c r="AJ309" s="31">
        <f>IFERROR(IF(Table1[[#This Row],[SKU]]="",0,Table1[[#This Row],[Volume Delivered (T)]]/(Table1[[#This Row],[SOC (TPD)]]/24)),"")</f>
        <v>0</v>
      </c>
      <c r="AK309" s="31" t="str">
        <f>IFERROR(Table1[[#This Row],[Operating Time]]/Table1[[#This Row],[PRODUCTION HOURS]],"")</f>
        <v/>
      </c>
      <c r="AL309" s="32"/>
      <c r="AM309" s="32"/>
      <c r="AN309" s="32"/>
      <c r="AO309" s="32">
        <v>0</v>
      </c>
      <c r="AP309" s="32">
        <v>0</v>
      </c>
      <c r="AQ309" s="32"/>
      <c r="AR309" s="32" t="str">
        <f>IFERROR(SUMIFS(#REF!,#REF!,'Data Sheet'!A:A,#REF!,"Samridhi Perk Line")/SUMIFS(#REF!,#REF!,'Data Sheet'!A:A,#REF!,"Samridhi Perk Line"),"")</f>
        <v/>
      </c>
      <c r="AS309" s="32"/>
      <c r="AT309" s="32"/>
      <c r="AU309" s="211">
        <f>IFERROR(VLOOKUP(Table1[[#This Row],[Date]],'Overweight Data'!A307:G1402,6,FALSE),"")</f>
        <v>0</v>
      </c>
      <c r="AV309" s="221">
        <f>IFERROR(
   IF(
      OR(Table1[[#This Row],[Operating Time]]=0, (Table1[[#This Row],[Operating Time]]/IF(AC309&lt;=1,AC309+1,AC309))*60=0),
      1,
      ((Table1[[#This Row],[Operating Time]])/IF(AC309&lt;=1,AC309+1,AC309))*60
   ),
"_")</f>
        <v>1</v>
      </c>
      <c r="AW309" s="221">
        <f>COUNTIFS('Downtime Data'!A:A,Table1[[#This Row],[Date]])</f>
        <v>0</v>
      </c>
      <c r="AX309" s="219" t="str">
        <f>IFERROR((SUM(Table1[[#This Row],[Minor Stoppages]:[Material Shortages]])/Table1[[#This Row],['# Stops]])*60,"")</f>
        <v/>
      </c>
      <c r="AY309" s="219"/>
      <c r="AZ309" s="33">
        <v>46321</v>
      </c>
    </row>
    <row r="310" spans="1:52" ht="20.149999999999999" customHeight="1" x14ac:dyDescent="0.35">
      <c r="A310" s="21">
        <v>46327</v>
      </c>
      <c r="B310" s="22" t="str">
        <f t="shared" si="6"/>
        <v>Sunday</v>
      </c>
      <c r="C310" s="23"/>
      <c r="D310" s="24" t="str" cm="1">
        <f t="array" aca="1" ref="D310" ca="1">IFERROR(INDIRECT(C310),"")</f>
        <v/>
      </c>
      <c r="E310" s="25"/>
      <c r="F310" s="26"/>
      <c r="G310" s="27" t="str">
        <f ca="1">IFERROR((Table1[[#This Row],[Plan]]/Table1[[#This Row],[Hours Used]])/(Table1[[#This Row],[SOC (TPD)]]/24),"")</f>
        <v/>
      </c>
      <c r="H310" s="27" t="str">
        <f ca="1">IFERROR((Table1[[#This Row],[Volume Delivered (T)]]/Table1[[#This Row],[Hours Used]])/(Table1[[#This Row],[SOC (TPD)]]/24),"")</f>
        <v/>
      </c>
      <c r="I310" s="28"/>
      <c r="J310" s="28"/>
      <c r="K310" s="28"/>
      <c r="L310" s="25"/>
      <c r="M310" s="29"/>
      <c r="N310" s="84"/>
      <c r="O310" s="25"/>
      <c r="P310" s="25"/>
      <c r="Q310" s="70"/>
      <c r="R310" s="71"/>
      <c r="S310" s="30">
        <f>IF(Table1[[#This Row],[SKU]]="",0,24-Table1[[#This Row],[Legal Non-Operating Time]]-Table1[[#This Row],[No Demand Time]]-Table1[[#This Row],[Force Majeure]])</f>
        <v>0</v>
      </c>
      <c r="T310" s="26"/>
      <c r="U310" s="26"/>
      <c r="V310" s="26"/>
      <c r="W310" s="26"/>
      <c r="X310" s="26"/>
      <c r="Y310" s="26"/>
      <c r="Z310" s="26"/>
      <c r="AA310" s="30">
        <f>Table1[[#This Row],[Hours Used]]-SUM(Table1[[#This Row],[Planned Maintenance]:[Start and Finish Production]])</f>
        <v>0</v>
      </c>
      <c r="AB310" s="26"/>
      <c r="AC310" s="26"/>
      <c r="AD310" s="26"/>
      <c r="AE310" s="26"/>
      <c r="AF310" s="26"/>
      <c r="AG310" s="26"/>
      <c r="AH310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310" s="24">
        <f>IFERROR(IF(Table1[[#This Row],[SKU]]="",0,Table1[[#This Row],[Quality Loss (T)]]/(Table1[[#This Row],[SOC (TPD)]]/24)),"")</f>
        <v>0</v>
      </c>
      <c r="AJ310" s="31">
        <f>IFERROR(IF(Table1[[#This Row],[SKU]]="",0,Table1[[#This Row],[Volume Delivered (T)]]/(Table1[[#This Row],[SOC (TPD)]]/24)),"")</f>
        <v>0</v>
      </c>
      <c r="AK310" s="31" t="str">
        <f>IFERROR(Table1[[#This Row],[Operating Time]]/Table1[[#This Row],[PRODUCTION HOURS]],"")</f>
        <v/>
      </c>
      <c r="AL310" s="32"/>
      <c r="AM310" s="32"/>
      <c r="AN310" s="32"/>
      <c r="AO310" s="32">
        <v>0</v>
      </c>
      <c r="AP310" s="32">
        <v>0</v>
      </c>
      <c r="AQ310" s="32"/>
      <c r="AR310" s="32" t="str">
        <f>IFERROR(SUMIFS(#REF!,#REF!,'Data Sheet'!A:A,#REF!,"Samridhi Perk Line")/SUMIFS(#REF!,#REF!,'Data Sheet'!A:A,#REF!,"Samridhi Perk Line"),"")</f>
        <v/>
      </c>
      <c r="AS310" s="32"/>
      <c r="AT310" s="32"/>
      <c r="AU310" s="211">
        <f>IFERROR(VLOOKUP(Table1[[#This Row],[Date]],'Overweight Data'!A308:G1403,6,FALSE),"")</f>
        <v>0</v>
      </c>
      <c r="AV310" s="221">
        <f>IFERROR(
   IF(
      OR(Table1[[#This Row],[Operating Time]]=0, (Table1[[#This Row],[Operating Time]]/IF(AC310&lt;=1,AC310+1,AC310))*60=0),
      1,
      ((Table1[[#This Row],[Operating Time]])/IF(AC310&lt;=1,AC310+1,AC310))*60
   ),
"_")</f>
        <v>1</v>
      </c>
      <c r="AW310" s="221">
        <f>COUNTIFS('Downtime Data'!A:A,Table1[[#This Row],[Date]])</f>
        <v>0</v>
      </c>
      <c r="AX310" s="219" t="str">
        <f>IFERROR((SUM(Table1[[#This Row],[Minor Stoppages]:[Material Shortages]])/Table1[[#This Row],['# Stops]])*60,"")</f>
        <v/>
      </c>
      <c r="AY310" s="219"/>
      <c r="AZ310" s="33">
        <v>46321</v>
      </c>
    </row>
    <row r="311" spans="1:52" ht="20.149999999999999" customHeight="1" x14ac:dyDescent="0.35">
      <c r="A311" s="21">
        <v>46328</v>
      </c>
      <c r="B311" s="22" t="str">
        <f t="shared" si="6"/>
        <v>Monday</v>
      </c>
      <c r="C311" s="23"/>
      <c r="D311" s="24" t="str" cm="1">
        <f t="array" aca="1" ref="D311" ca="1">IFERROR(INDIRECT(C311),"")</f>
        <v/>
      </c>
      <c r="E311" s="25"/>
      <c r="F311" s="26"/>
      <c r="G311" s="27" t="str">
        <f ca="1">IFERROR((Table1[[#This Row],[Plan]]/Table1[[#This Row],[Hours Used]])/(Table1[[#This Row],[SOC (TPD)]]/24),"")</f>
        <v/>
      </c>
      <c r="H311" s="27" t="str">
        <f ca="1">IFERROR((Table1[[#This Row],[Volume Delivered (T)]]/Table1[[#This Row],[Hours Used]])/(Table1[[#This Row],[SOC (TPD)]]/24),"")</f>
        <v/>
      </c>
      <c r="I311" s="28"/>
      <c r="J311" s="28"/>
      <c r="K311" s="28"/>
      <c r="L311" s="25"/>
      <c r="M311" s="29"/>
      <c r="N311" s="84"/>
      <c r="O311" s="25"/>
      <c r="P311" s="25"/>
      <c r="Q311" s="70"/>
      <c r="R311" s="71"/>
      <c r="S311" s="30">
        <f>IF(Table1[[#This Row],[SKU]]="",0,24-Table1[[#This Row],[Legal Non-Operating Time]]-Table1[[#This Row],[No Demand Time]]-Table1[[#This Row],[Force Majeure]])</f>
        <v>0</v>
      </c>
      <c r="T311" s="26"/>
      <c r="U311" s="26"/>
      <c r="V311" s="26"/>
      <c r="W311" s="26"/>
      <c r="X311" s="26"/>
      <c r="Y311" s="26"/>
      <c r="Z311" s="26"/>
      <c r="AA311" s="30">
        <f>Table1[[#This Row],[Hours Used]]-SUM(Table1[[#This Row],[Planned Maintenance]:[Start and Finish Production]])</f>
        <v>0</v>
      </c>
      <c r="AB311" s="26"/>
      <c r="AC311" s="26"/>
      <c r="AD311" s="26"/>
      <c r="AE311" s="26"/>
      <c r="AF311" s="26"/>
      <c r="AG311" s="26"/>
      <c r="AH311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311" s="24">
        <f>IFERROR(IF(Table1[[#This Row],[SKU]]="",0,Table1[[#This Row],[Quality Loss (T)]]/(Table1[[#This Row],[SOC (TPD)]]/24)),"")</f>
        <v>0</v>
      </c>
      <c r="AJ311" s="31">
        <f>IFERROR(IF(Table1[[#This Row],[SKU]]="",0,Table1[[#This Row],[Volume Delivered (T)]]/(Table1[[#This Row],[SOC (TPD)]]/24)),"")</f>
        <v>0</v>
      </c>
      <c r="AK311" s="31" t="str">
        <f>IFERROR(Table1[[#This Row],[Operating Time]]/Table1[[#This Row],[PRODUCTION HOURS]],"")</f>
        <v/>
      </c>
      <c r="AL311" s="32"/>
      <c r="AM311" s="32"/>
      <c r="AN311" s="32"/>
      <c r="AO311" s="32">
        <v>0</v>
      </c>
      <c r="AP311" s="32">
        <v>0</v>
      </c>
      <c r="AQ311" s="32"/>
      <c r="AR311" s="32" t="str">
        <f>IFERROR(SUMIFS(#REF!,#REF!,'Data Sheet'!A:A,#REF!,"Samridhi Perk Line")/SUMIFS(#REF!,#REF!,'Data Sheet'!A:A,#REF!,"Samridhi Perk Line"),"")</f>
        <v/>
      </c>
      <c r="AS311" s="32"/>
      <c r="AT311" s="32"/>
      <c r="AU311" s="211">
        <f>IFERROR(VLOOKUP(Table1[[#This Row],[Date]],'Overweight Data'!A309:G1404,6,FALSE),"")</f>
        <v>0</v>
      </c>
      <c r="AV311" s="221">
        <f>IFERROR(
   IF(
      OR(Table1[[#This Row],[Operating Time]]=0, (Table1[[#This Row],[Operating Time]]/IF(AC311&lt;=1,AC311+1,AC311))*60=0),
      1,
      ((Table1[[#This Row],[Operating Time]])/IF(AC311&lt;=1,AC311+1,AC311))*60
   ),
"_")</f>
        <v>1</v>
      </c>
      <c r="AW311" s="221">
        <f>COUNTIFS('Downtime Data'!A:A,Table1[[#This Row],[Date]])</f>
        <v>0</v>
      </c>
      <c r="AX311" s="219" t="str">
        <f>IFERROR((SUM(Table1[[#This Row],[Minor Stoppages]:[Material Shortages]])/Table1[[#This Row],['# Stops]])*60,"")</f>
        <v/>
      </c>
      <c r="AY311" s="219"/>
      <c r="AZ311" s="33">
        <v>46352</v>
      </c>
    </row>
    <row r="312" spans="1:52" ht="20.149999999999999" customHeight="1" x14ac:dyDescent="0.35">
      <c r="A312" s="21">
        <v>46329</v>
      </c>
      <c r="B312" s="22" t="str">
        <f t="shared" si="6"/>
        <v>Tuesday</v>
      </c>
      <c r="C312" s="23"/>
      <c r="D312" s="24" t="str" cm="1">
        <f t="array" aca="1" ref="D312" ca="1">IFERROR(INDIRECT(C312),"")</f>
        <v/>
      </c>
      <c r="E312" s="25"/>
      <c r="F312" s="26"/>
      <c r="G312" s="27" t="str">
        <f ca="1">IFERROR((Table1[[#This Row],[Plan]]/Table1[[#This Row],[Hours Used]])/(Table1[[#This Row],[SOC (TPD)]]/24),"")</f>
        <v/>
      </c>
      <c r="H312" s="27" t="str">
        <f ca="1">IFERROR((Table1[[#This Row],[Volume Delivered (T)]]/Table1[[#This Row],[Hours Used]])/(Table1[[#This Row],[SOC (TPD)]]/24),"")</f>
        <v/>
      </c>
      <c r="I312" s="28"/>
      <c r="J312" s="28"/>
      <c r="K312" s="28"/>
      <c r="L312" s="25"/>
      <c r="M312" s="29"/>
      <c r="N312" s="84"/>
      <c r="O312" s="25"/>
      <c r="P312" s="25"/>
      <c r="Q312" s="70"/>
      <c r="R312" s="71"/>
      <c r="S312" s="30">
        <f>IF(Table1[[#This Row],[SKU]]="",0,24-Table1[[#This Row],[Legal Non-Operating Time]]-Table1[[#This Row],[No Demand Time]]-Table1[[#This Row],[Force Majeure]])</f>
        <v>0</v>
      </c>
      <c r="T312" s="26"/>
      <c r="U312" s="26"/>
      <c r="V312" s="26"/>
      <c r="W312" s="26"/>
      <c r="X312" s="26"/>
      <c r="Y312" s="26"/>
      <c r="Z312" s="26"/>
      <c r="AA312" s="30">
        <f>Table1[[#This Row],[Hours Used]]-SUM(Table1[[#This Row],[Planned Maintenance]:[Start and Finish Production]])</f>
        <v>0</v>
      </c>
      <c r="AB312" s="26"/>
      <c r="AC312" s="26"/>
      <c r="AD312" s="26"/>
      <c r="AE312" s="26"/>
      <c r="AF312" s="26"/>
      <c r="AG312" s="26"/>
      <c r="AH312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312" s="24">
        <f>IFERROR(IF(Table1[[#This Row],[SKU]]="",0,Table1[[#This Row],[Quality Loss (T)]]/(Table1[[#This Row],[SOC (TPD)]]/24)),"")</f>
        <v>0</v>
      </c>
      <c r="AJ312" s="31">
        <f>IFERROR(IF(Table1[[#This Row],[SKU]]="",0,Table1[[#This Row],[Volume Delivered (T)]]/(Table1[[#This Row],[SOC (TPD)]]/24)),"")</f>
        <v>0</v>
      </c>
      <c r="AK312" s="31" t="str">
        <f>IFERROR(Table1[[#This Row],[Operating Time]]/Table1[[#This Row],[PRODUCTION HOURS]],"")</f>
        <v/>
      </c>
      <c r="AL312" s="32"/>
      <c r="AM312" s="32"/>
      <c r="AN312" s="32"/>
      <c r="AO312" s="32">
        <v>18</v>
      </c>
      <c r="AP312" s="32">
        <v>0</v>
      </c>
      <c r="AQ312" s="32"/>
      <c r="AR312" s="32" t="str">
        <f>IFERROR(SUMIFS(#REF!,#REF!,'Data Sheet'!A:A,#REF!,"Samridhi Perk Line")/SUMIFS(#REF!,#REF!,'Data Sheet'!A:A,#REF!,"Samridhi Perk Line"),"")</f>
        <v/>
      </c>
      <c r="AS312" s="32"/>
      <c r="AT312" s="32"/>
      <c r="AU312" s="211">
        <f>IFERROR(VLOOKUP(Table1[[#This Row],[Date]],'Overweight Data'!A310:G1405,6,FALSE),"")</f>
        <v>0</v>
      </c>
      <c r="AV312" s="221">
        <f>IFERROR(
   IF(
      OR(Table1[[#This Row],[Operating Time]]=0, (Table1[[#This Row],[Operating Time]]/IF(AC312&lt;=1,AC312+1,AC312))*60=0),
      1,
      ((Table1[[#This Row],[Operating Time]])/IF(AC312&lt;=1,AC312+1,AC312))*60
   ),
"_")</f>
        <v>1</v>
      </c>
      <c r="AW312" s="221">
        <f>COUNTIFS('Downtime Data'!A:A,Table1[[#This Row],[Date]])</f>
        <v>0</v>
      </c>
      <c r="AX312" s="219" t="str">
        <f>IFERROR((SUM(Table1[[#This Row],[Minor Stoppages]:[Material Shortages]])/Table1[[#This Row],['# Stops]])*60,"")</f>
        <v/>
      </c>
      <c r="AY312" s="219"/>
      <c r="AZ312" s="33">
        <v>46352</v>
      </c>
    </row>
    <row r="313" spans="1:52" ht="20.149999999999999" customHeight="1" x14ac:dyDescent="0.35">
      <c r="A313" s="21">
        <v>46330</v>
      </c>
      <c r="B313" s="22" t="str">
        <f t="shared" si="6"/>
        <v>Wednesday</v>
      </c>
      <c r="C313" s="23"/>
      <c r="D313" s="24" t="str" cm="1">
        <f t="array" aca="1" ref="D313" ca="1">IFERROR(INDIRECT(C313),"")</f>
        <v/>
      </c>
      <c r="E313" s="25"/>
      <c r="F313" s="26"/>
      <c r="G313" s="27" t="str">
        <f ca="1">IFERROR((Table1[[#This Row],[Plan]]/Table1[[#This Row],[Hours Used]])/(Table1[[#This Row],[SOC (TPD)]]/24),"")</f>
        <v/>
      </c>
      <c r="H313" s="27" t="str">
        <f ca="1">IFERROR((Table1[[#This Row],[Volume Delivered (T)]]/Table1[[#This Row],[Hours Used]])/(Table1[[#This Row],[SOC (TPD)]]/24),"")</f>
        <v/>
      </c>
      <c r="I313" s="28"/>
      <c r="J313" s="28"/>
      <c r="K313" s="28"/>
      <c r="L313" s="25"/>
      <c r="M313" s="29"/>
      <c r="N313" s="84"/>
      <c r="O313" s="25"/>
      <c r="P313" s="25"/>
      <c r="Q313" s="70"/>
      <c r="R313" s="71"/>
      <c r="S313" s="30">
        <f>IF(Table1[[#This Row],[SKU]]="",0,24-Table1[[#This Row],[Legal Non-Operating Time]]-Table1[[#This Row],[No Demand Time]]-Table1[[#This Row],[Force Majeure]])</f>
        <v>0</v>
      </c>
      <c r="T313" s="26"/>
      <c r="U313" s="26"/>
      <c r="V313" s="26"/>
      <c r="W313" s="26"/>
      <c r="X313" s="26"/>
      <c r="Y313" s="26"/>
      <c r="Z313" s="26"/>
      <c r="AA313" s="30">
        <f>Table1[[#This Row],[Hours Used]]-SUM(Table1[[#This Row],[Planned Maintenance]:[Start and Finish Production]])</f>
        <v>0</v>
      </c>
      <c r="AB313" s="26"/>
      <c r="AC313" s="26"/>
      <c r="AD313" s="26"/>
      <c r="AE313" s="26"/>
      <c r="AF313" s="26"/>
      <c r="AG313" s="26"/>
      <c r="AH313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313" s="24">
        <f>IFERROR(IF(Table1[[#This Row],[SKU]]="",0,Table1[[#This Row],[Quality Loss (T)]]/(Table1[[#This Row],[SOC (TPD)]]/24)),"")</f>
        <v>0</v>
      </c>
      <c r="AJ313" s="31">
        <f>IFERROR(IF(Table1[[#This Row],[SKU]]="",0,Table1[[#This Row],[Volume Delivered (T)]]/(Table1[[#This Row],[SOC (TPD)]]/24)),"")</f>
        <v>0</v>
      </c>
      <c r="AK313" s="31" t="str">
        <f>IFERROR(Table1[[#This Row],[Operating Time]]/Table1[[#This Row],[PRODUCTION HOURS]],"")</f>
        <v/>
      </c>
      <c r="AL313" s="32"/>
      <c r="AM313" s="32"/>
      <c r="AN313" s="32"/>
      <c r="AO313" s="32">
        <v>2</v>
      </c>
      <c r="AP313" s="32">
        <v>0</v>
      </c>
      <c r="AQ313" s="32"/>
      <c r="AR313" s="32" t="str">
        <f>IFERROR(SUMIFS(#REF!,#REF!,'Data Sheet'!A:A,#REF!,"Samridhi Perk Line")/SUMIFS(#REF!,#REF!,'Data Sheet'!A:A,#REF!,"Samridhi Perk Line"),"")</f>
        <v/>
      </c>
      <c r="AS313" s="32"/>
      <c r="AT313" s="32"/>
      <c r="AU313" s="211">
        <f>IFERROR(VLOOKUP(Table1[[#This Row],[Date]],'Overweight Data'!A311:G1406,6,FALSE),"")</f>
        <v>0</v>
      </c>
      <c r="AV313" s="221">
        <f>IFERROR(
   IF(
      OR(Table1[[#This Row],[Operating Time]]=0, (Table1[[#This Row],[Operating Time]]/IF(AC313&lt;=1,AC313+1,AC313))*60=0),
      1,
      ((Table1[[#This Row],[Operating Time]])/IF(AC313&lt;=1,AC313+1,AC313))*60
   ),
"_")</f>
        <v>1</v>
      </c>
      <c r="AW313" s="221">
        <f>COUNTIFS('Downtime Data'!A:A,Table1[[#This Row],[Date]])</f>
        <v>0</v>
      </c>
      <c r="AX313" s="219" t="str">
        <f>IFERROR((SUM(Table1[[#This Row],[Minor Stoppages]:[Material Shortages]])/Table1[[#This Row],['# Stops]])*60,"")</f>
        <v/>
      </c>
      <c r="AY313" s="219"/>
      <c r="AZ313" s="33">
        <v>46352</v>
      </c>
    </row>
    <row r="314" spans="1:52" ht="20.149999999999999" customHeight="1" x14ac:dyDescent="0.35">
      <c r="A314" s="21">
        <v>46331</v>
      </c>
      <c r="B314" s="22" t="str">
        <f t="shared" si="6"/>
        <v>Thursday</v>
      </c>
      <c r="C314" s="23"/>
      <c r="D314" s="24" t="str" cm="1">
        <f t="array" aca="1" ref="D314" ca="1">IFERROR(INDIRECT(C314),"")</f>
        <v/>
      </c>
      <c r="E314" s="25"/>
      <c r="F314" s="26"/>
      <c r="G314" s="27" t="str">
        <f ca="1">IFERROR((Table1[[#This Row],[Plan]]/Table1[[#This Row],[Hours Used]])/(Table1[[#This Row],[SOC (TPD)]]/24),"")</f>
        <v/>
      </c>
      <c r="H314" s="27" t="str">
        <f ca="1">IFERROR((Table1[[#This Row],[Volume Delivered (T)]]/Table1[[#This Row],[Hours Used]])/(Table1[[#This Row],[SOC (TPD)]]/24),"")</f>
        <v/>
      </c>
      <c r="I314" s="28"/>
      <c r="J314" s="28"/>
      <c r="K314" s="28"/>
      <c r="L314" s="25"/>
      <c r="M314" s="29"/>
      <c r="N314" s="84"/>
      <c r="O314" s="25"/>
      <c r="P314" s="25"/>
      <c r="Q314" s="70"/>
      <c r="R314" s="71"/>
      <c r="S314" s="30">
        <f>IF(Table1[[#This Row],[SKU]]="",0,24-Table1[[#This Row],[Legal Non-Operating Time]]-Table1[[#This Row],[No Demand Time]]-Table1[[#This Row],[Force Majeure]])</f>
        <v>0</v>
      </c>
      <c r="T314" s="26"/>
      <c r="U314" s="26"/>
      <c r="V314" s="26"/>
      <c r="W314" s="26"/>
      <c r="X314" s="26"/>
      <c r="Y314" s="26"/>
      <c r="Z314" s="26"/>
      <c r="AA314" s="30">
        <f>Table1[[#This Row],[Hours Used]]-SUM(Table1[[#This Row],[Planned Maintenance]:[Start and Finish Production]])</f>
        <v>0</v>
      </c>
      <c r="AB314" s="26"/>
      <c r="AC314" s="26"/>
      <c r="AD314" s="26"/>
      <c r="AE314" s="26"/>
      <c r="AF314" s="26"/>
      <c r="AG314" s="26"/>
      <c r="AH314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314" s="24">
        <f>IFERROR(IF(Table1[[#This Row],[SKU]]="",0,Table1[[#This Row],[Quality Loss (T)]]/(Table1[[#This Row],[SOC (TPD)]]/24)),"")</f>
        <v>0</v>
      </c>
      <c r="AJ314" s="31">
        <f>IFERROR(IF(Table1[[#This Row],[SKU]]="",0,Table1[[#This Row],[Volume Delivered (T)]]/(Table1[[#This Row],[SOC (TPD)]]/24)),"")</f>
        <v>0</v>
      </c>
      <c r="AK314" s="31" t="str">
        <f>IFERROR(Table1[[#This Row],[Operating Time]]/Table1[[#This Row],[PRODUCTION HOURS]],"")</f>
        <v/>
      </c>
      <c r="AL314" s="32"/>
      <c r="AM314" s="32"/>
      <c r="AN314" s="32"/>
      <c r="AO314" s="32">
        <v>0</v>
      </c>
      <c r="AP314" s="32">
        <v>0</v>
      </c>
      <c r="AQ314" s="32"/>
      <c r="AR314" s="32" t="str">
        <f>IFERROR(SUMIFS(#REF!,#REF!,'Data Sheet'!A:A,#REF!,"Samridhi Perk Line")/SUMIFS(#REF!,#REF!,'Data Sheet'!A:A,#REF!,"Samridhi Perk Line"),"")</f>
        <v/>
      </c>
      <c r="AS314" s="32"/>
      <c r="AT314" s="32"/>
      <c r="AU314" s="211">
        <f>IFERROR(VLOOKUP(Table1[[#This Row],[Date]],'Overweight Data'!A312:G1407,6,FALSE),"")</f>
        <v>0</v>
      </c>
      <c r="AV314" s="221">
        <f>IFERROR(
   IF(
      OR(Table1[[#This Row],[Operating Time]]=0, (Table1[[#This Row],[Operating Time]]/IF(AC314&lt;=1,AC314+1,AC314))*60=0),
      1,
      ((Table1[[#This Row],[Operating Time]])/IF(AC314&lt;=1,AC314+1,AC314))*60
   ),
"_")</f>
        <v>1</v>
      </c>
      <c r="AW314" s="221">
        <f>COUNTIFS('Downtime Data'!A:A,Table1[[#This Row],[Date]])</f>
        <v>0</v>
      </c>
      <c r="AX314" s="219" t="str">
        <f>IFERROR((SUM(Table1[[#This Row],[Minor Stoppages]:[Material Shortages]])/Table1[[#This Row],['# Stops]])*60,"")</f>
        <v/>
      </c>
      <c r="AY314" s="219"/>
      <c r="AZ314" s="33">
        <v>46352</v>
      </c>
    </row>
    <row r="315" spans="1:52" ht="20.149999999999999" customHeight="1" x14ac:dyDescent="0.35">
      <c r="A315" s="21">
        <v>46332</v>
      </c>
      <c r="B315" s="22" t="str">
        <f t="shared" si="6"/>
        <v>Friday</v>
      </c>
      <c r="C315" s="23"/>
      <c r="D315" s="24" t="str" cm="1">
        <f t="array" aca="1" ref="D315" ca="1">IFERROR(INDIRECT(C315),"")</f>
        <v/>
      </c>
      <c r="E315" s="25"/>
      <c r="F315" s="26"/>
      <c r="G315" s="27" t="str">
        <f ca="1">IFERROR((Table1[[#This Row],[Plan]]/Table1[[#This Row],[Hours Used]])/(Table1[[#This Row],[SOC (TPD)]]/24),"")</f>
        <v/>
      </c>
      <c r="H315" s="27" t="str">
        <f ca="1">IFERROR((Table1[[#This Row],[Volume Delivered (T)]]/Table1[[#This Row],[Hours Used]])/(Table1[[#This Row],[SOC (TPD)]]/24),"")</f>
        <v/>
      </c>
      <c r="I315" s="28"/>
      <c r="J315" s="28"/>
      <c r="K315" s="28"/>
      <c r="L315" s="25"/>
      <c r="M315" s="29"/>
      <c r="N315" s="84"/>
      <c r="O315" s="25"/>
      <c r="P315" s="25"/>
      <c r="Q315" s="70"/>
      <c r="R315" s="71"/>
      <c r="S315" s="30">
        <f>IF(Table1[[#This Row],[SKU]]="",0,24-Table1[[#This Row],[Legal Non-Operating Time]]-Table1[[#This Row],[No Demand Time]]-Table1[[#This Row],[Force Majeure]])</f>
        <v>0</v>
      </c>
      <c r="T315" s="26"/>
      <c r="U315" s="26"/>
      <c r="V315" s="26"/>
      <c r="W315" s="26"/>
      <c r="X315" s="26"/>
      <c r="Y315" s="26"/>
      <c r="Z315" s="26"/>
      <c r="AA315" s="30">
        <f>Table1[[#This Row],[Hours Used]]-SUM(Table1[[#This Row],[Planned Maintenance]:[Start and Finish Production]])</f>
        <v>0</v>
      </c>
      <c r="AB315" s="26"/>
      <c r="AC315" s="26"/>
      <c r="AD315" s="26"/>
      <c r="AE315" s="26"/>
      <c r="AF315" s="26"/>
      <c r="AG315" s="26"/>
      <c r="AH315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315" s="24">
        <f>IFERROR(IF(Table1[[#This Row],[SKU]]="",0,Table1[[#This Row],[Quality Loss (T)]]/(Table1[[#This Row],[SOC (TPD)]]/24)),"")</f>
        <v>0</v>
      </c>
      <c r="AJ315" s="31">
        <f>IFERROR(IF(Table1[[#This Row],[SKU]]="",0,Table1[[#This Row],[Volume Delivered (T)]]/(Table1[[#This Row],[SOC (TPD)]]/24)),"")</f>
        <v>0</v>
      </c>
      <c r="AK315" s="31" t="str">
        <f>IFERROR(Table1[[#This Row],[Operating Time]]/Table1[[#This Row],[PRODUCTION HOURS]],"")</f>
        <v/>
      </c>
      <c r="AL315" s="32"/>
      <c r="AM315" s="32"/>
      <c r="AN315" s="32"/>
      <c r="AO315" s="32">
        <v>0</v>
      </c>
      <c r="AP315" s="32">
        <v>0</v>
      </c>
      <c r="AQ315" s="32"/>
      <c r="AR315" s="32" t="str">
        <f>IFERROR(SUMIFS(#REF!,#REF!,'Data Sheet'!A:A,#REF!,"Samridhi Perk Line")/SUMIFS(#REF!,#REF!,'Data Sheet'!A:A,#REF!,"Samridhi Perk Line"),"")</f>
        <v/>
      </c>
      <c r="AS315" s="32"/>
      <c r="AT315" s="32"/>
      <c r="AU315" s="211">
        <f>IFERROR(VLOOKUP(Table1[[#This Row],[Date]],'Overweight Data'!A313:G1408,6,FALSE),"")</f>
        <v>0</v>
      </c>
      <c r="AV315" s="221">
        <f>IFERROR(
   IF(
      OR(Table1[[#This Row],[Operating Time]]=0, (Table1[[#This Row],[Operating Time]]/IF(AC315&lt;=1,AC315+1,AC315))*60=0),
      1,
      ((Table1[[#This Row],[Operating Time]])/IF(AC315&lt;=1,AC315+1,AC315))*60
   ),
"_")</f>
        <v>1</v>
      </c>
      <c r="AW315" s="221">
        <f>COUNTIFS('Downtime Data'!A:A,Table1[[#This Row],[Date]])</f>
        <v>0</v>
      </c>
      <c r="AX315" s="219" t="str">
        <f>IFERROR((SUM(Table1[[#This Row],[Minor Stoppages]:[Material Shortages]])/Table1[[#This Row],['# Stops]])*60,"")</f>
        <v/>
      </c>
      <c r="AY315" s="219"/>
      <c r="AZ315" s="33">
        <v>46352</v>
      </c>
    </row>
    <row r="316" spans="1:52" ht="20.149999999999999" customHeight="1" x14ac:dyDescent="0.35">
      <c r="A316" s="21">
        <v>46333</v>
      </c>
      <c r="B316" s="22" t="str">
        <f t="shared" si="6"/>
        <v>Saturday</v>
      </c>
      <c r="C316" s="23"/>
      <c r="D316" s="24" t="str" cm="1">
        <f t="array" aca="1" ref="D316" ca="1">IFERROR(INDIRECT(C316),"")</f>
        <v/>
      </c>
      <c r="E316" s="25"/>
      <c r="F316" s="26"/>
      <c r="G316" s="27" t="str">
        <f ca="1">IFERROR((Table1[[#This Row],[Plan]]/Table1[[#This Row],[Hours Used]])/(Table1[[#This Row],[SOC (TPD)]]/24),"")</f>
        <v/>
      </c>
      <c r="H316" s="27" t="str">
        <f ca="1">IFERROR((Table1[[#This Row],[Volume Delivered (T)]]/Table1[[#This Row],[Hours Used]])/(Table1[[#This Row],[SOC (TPD)]]/24),"")</f>
        <v/>
      </c>
      <c r="I316" s="28"/>
      <c r="J316" s="28"/>
      <c r="K316" s="28"/>
      <c r="L316" s="25"/>
      <c r="M316" s="29"/>
      <c r="N316" s="84"/>
      <c r="O316" s="25"/>
      <c r="P316" s="25"/>
      <c r="Q316" s="70"/>
      <c r="R316" s="71"/>
      <c r="S316" s="30">
        <f>IF(Table1[[#This Row],[SKU]]="",0,24-Table1[[#This Row],[Legal Non-Operating Time]]-Table1[[#This Row],[No Demand Time]]-Table1[[#This Row],[Force Majeure]])</f>
        <v>0</v>
      </c>
      <c r="T316" s="26"/>
      <c r="U316" s="26"/>
      <c r="V316" s="26"/>
      <c r="W316" s="26"/>
      <c r="X316" s="26"/>
      <c r="Y316" s="26"/>
      <c r="Z316" s="26"/>
      <c r="AA316" s="30">
        <f>Table1[[#This Row],[Hours Used]]-SUM(Table1[[#This Row],[Planned Maintenance]:[Start and Finish Production]])</f>
        <v>0</v>
      </c>
      <c r="AB316" s="26"/>
      <c r="AC316" s="26"/>
      <c r="AD316" s="26"/>
      <c r="AE316" s="26"/>
      <c r="AF316" s="26"/>
      <c r="AG316" s="26"/>
      <c r="AH316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316" s="24">
        <f>IFERROR(IF(Table1[[#This Row],[SKU]]="",0,Table1[[#This Row],[Quality Loss (T)]]/(Table1[[#This Row],[SOC (TPD)]]/24)),"")</f>
        <v>0</v>
      </c>
      <c r="AJ316" s="31">
        <f>IFERROR(IF(Table1[[#This Row],[SKU]]="",0,Table1[[#This Row],[Volume Delivered (T)]]/(Table1[[#This Row],[SOC (TPD)]]/24)),"")</f>
        <v>0</v>
      </c>
      <c r="AK316" s="31" t="str">
        <f>IFERROR(Table1[[#This Row],[Operating Time]]/Table1[[#This Row],[PRODUCTION HOURS]],"")</f>
        <v/>
      </c>
      <c r="AL316" s="32"/>
      <c r="AM316" s="32"/>
      <c r="AN316" s="32"/>
      <c r="AO316" s="32">
        <v>1</v>
      </c>
      <c r="AP316" s="32">
        <v>0</v>
      </c>
      <c r="AQ316" s="32"/>
      <c r="AR316" s="32" t="str">
        <f>IFERROR(SUMIFS(#REF!,#REF!,'Data Sheet'!A:A,#REF!,"Samridhi Perk Line")/SUMIFS(#REF!,#REF!,'Data Sheet'!A:A,#REF!,"Samridhi Perk Line"),"")</f>
        <v/>
      </c>
      <c r="AS316" s="32"/>
      <c r="AT316" s="32"/>
      <c r="AU316" s="211">
        <f>IFERROR(VLOOKUP(Table1[[#This Row],[Date]],'Overweight Data'!A314:G1409,6,FALSE),"")</f>
        <v>0</v>
      </c>
      <c r="AV316" s="221">
        <f>IFERROR(
   IF(
      OR(Table1[[#This Row],[Operating Time]]=0, (Table1[[#This Row],[Operating Time]]/IF(AC316&lt;=1,AC316+1,AC316))*60=0),
      1,
      ((Table1[[#This Row],[Operating Time]])/IF(AC316&lt;=1,AC316+1,AC316))*60
   ),
"_")</f>
        <v>1</v>
      </c>
      <c r="AW316" s="221">
        <f>COUNTIFS('Downtime Data'!A:A,Table1[[#This Row],[Date]])</f>
        <v>0</v>
      </c>
      <c r="AX316" s="219" t="str">
        <f>IFERROR((SUM(Table1[[#This Row],[Minor Stoppages]:[Material Shortages]])/Table1[[#This Row],['# Stops]])*60,"")</f>
        <v/>
      </c>
      <c r="AY316" s="219"/>
      <c r="AZ316" s="33">
        <v>46352</v>
      </c>
    </row>
    <row r="317" spans="1:52" ht="20.149999999999999" customHeight="1" x14ac:dyDescent="0.35">
      <c r="A317" s="21">
        <v>46334</v>
      </c>
      <c r="B317" s="22" t="str">
        <f t="shared" si="6"/>
        <v>Sunday</v>
      </c>
      <c r="C317" s="23"/>
      <c r="D317" s="24" t="str" cm="1">
        <f t="array" aca="1" ref="D317" ca="1">IFERROR(INDIRECT(C317),"")</f>
        <v/>
      </c>
      <c r="E317" s="25"/>
      <c r="F317" s="26"/>
      <c r="G317" s="27" t="str">
        <f ca="1">IFERROR((Table1[[#This Row],[Plan]]/Table1[[#This Row],[Hours Used]])/(Table1[[#This Row],[SOC (TPD)]]/24),"")</f>
        <v/>
      </c>
      <c r="H317" s="27" t="str">
        <f ca="1">IFERROR((Table1[[#This Row],[Volume Delivered (T)]]/Table1[[#This Row],[Hours Used]])/(Table1[[#This Row],[SOC (TPD)]]/24),"")</f>
        <v/>
      </c>
      <c r="I317" s="28"/>
      <c r="J317" s="28"/>
      <c r="K317" s="28"/>
      <c r="L317" s="25"/>
      <c r="M317" s="29"/>
      <c r="N317" s="84"/>
      <c r="O317" s="25"/>
      <c r="P317" s="25"/>
      <c r="Q317" s="70"/>
      <c r="R317" s="71"/>
      <c r="S317" s="30">
        <f>IF(Table1[[#This Row],[SKU]]="",0,24-Table1[[#This Row],[Legal Non-Operating Time]]-Table1[[#This Row],[No Demand Time]]-Table1[[#This Row],[Force Majeure]])</f>
        <v>0</v>
      </c>
      <c r="T317" s="26"/>
      <c r="U317" s="26"/>
      <c r="V317" s="26"/>
      <c r="W317" s="26"/>
      <c r="X317" s="26"/>
      <c r="Y317" s="26"/>
      <c r="Z317" s="26"/>
      <c r="AA317" s="30">
        <f>Table1[[#This Row],[Hours Used]]-SUM(Table1[[#This Row],[Planned Maintenance]:[Start and Finish Production]])</f>
        <v>0</v>
      </c>
      <c r="AB317" s="26"/>
      <c r="AC317" s="26"/>
      <c r="AD317" s="26"/>
      <c r="AE317" s="26"/>
      <c r="AF317" s="26"/>
      <c r="AG317" s="26"/>
      <c r="AH317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317" s="24">
        <f>IFERROR(IF(Table1[[#This Row],[SKU]]="",0,Table1[[#This Row],[Quality Loss (T)]]/(Table1[[#This Row],[SOC (TPD)]]/24)),"")</f>
        <v>0</v>
      </c>
      <c r="AJ317" s="31">
        <f>IFERROR(IF(Table1[[#This Row],[SKU]]="",0,Table1[[#This Row],[Volume Delivered (T)]]/(Table1[[#This Row],[SOC (TPD)]]/24)),"")</f>
        <v>0</v>
      </c>
      <c r="AK317" s="31" t="str">
        <f>IFERROR(Table1[[#This Row],[Operating Time]]/Table1[[#This Row],[PRODUCTION HOURS]],"")</f>
        <v/>
      </c>
      <c r="AL317" s="32"/>
      <c r="AM317" s="32"/>
      <c r="AN317" s="32"/>
      <c r="AO317" s="32">
        <v>0</v>
      </c>
      <c r="AP317" s="32">
        <v>0</v>
      </c>
      <c r="AQ317" s="32"/>
      <c r="AR317" s="32" t="str">
        <f>IFERROR(SUMIFS(#REF!,#REF!,'Data Sheet'!A:A,#REF!,"Samridhi Perk Line")/SUMIFS(#REF!,#REF!,'Data Sheet'!A:A,#REF!,"Samridhi Perk Line"),"")</f>
        <v/>
      </c>
      <c r="AS317" s="32"/>
      <c r="AT317" s="32"/>
      <c r="AU317" s="211">
        <f>IFERROR(VLOOKUP(Table1[[#This Row],[Date]],'Overweight Data'!A315:G1410,6,FALSE),"")</f>
        <v>0</v>
      </c>
      <c r="AV317" s="221">
        <f>IFERROR(
   IF(
      OR(Table1[[#This Row],[Operating Time]]=0, (Table1[[#This Row],[Operating Time]]/IF(AC317&lt;=1,AC317+1,AC317))*60=0),
      1,
      ((Table1[[#This Row],[Operating Time]])/IF(AC317&lt;=1,AC317+1,AC317))*60
   ),
"_")</f>
        <v>1</v>
      </c>
      <c r="AW317" s="221">
        <f>COUNTIFS('Downtime Data'!A:A,Table1[[#This Row],[Date]])</f>
        <v>0</v>
      </c>
      <c r="AX317" s="219" t="str">
        <f>IFERROR((SUM(Table1[[#This Row],[Minor Stoppages]:[Material Shortages]])/Table1[[#This Row],['# Stops]])*60,"")</f>
        <v/>
      </c>
      <c r="AY317" s="219"/>
      <c r="AZ317" s="33">
        <v>46352</v>
      </c>
    </row>
    <row r="318" spans="1:52" ht="20.149999999999999" customHeight="1" x14ac:dyDescent="0.35">
      <c r="A318" s="21">
        <v>46335</v>
      </c>
      <c r="B318" s="22" t="str">
        <f t="shared" si="6"/>
        <v>Monday</v>
      </c>
      <c r="C318" s="23"/>
      <c r="D318" s="24" t="str" cm="1">
        <f t="array" aca="1" ref="D318" ca="1">IFERROR(INDIRECT(C318),"")</f>
        <v/>
      </c>
      <c r="E318" s="25"/>
      <c r="F318" s="26"/>
      <c r="G318" s="27" t="str">
        <f ca="1">IFERROR((Table1[[#This Row],[Plan]]/Table1[[#This Row],[Hours Used]])/(Table1[[#This Row],[SOC (TPD)]]/24),"")</f>
        <v/>
      </c>
      <c r="H318" s="27" t="str">
        <f ca="1">IFERROR((Table1[[#This Row],[Volume Delivered (T)]]/Table1[[#This Row],[Hours Used]])/(Table1[[#This Row],[SOC (TPD)]]/24),"")</f>
        <v/>
      </c>
      <c r="I318" s="28"/>
      <c r="J318" s="28"/>
      <c r="K318" s="28"/>
      <c r="L318" s="25"/>
      <c r="M318" s="29"/>
      <c r="N318" s="84"/>
      <c r="O318" s="25"/>
      <c r="P318" s="25"/>
      <c r="Q318" s="70"/>
      <c r="R318" s="71"/>
      <c r="S318" s="30">
        <f>IF(Table1[[#This Row],[SKU]]="",0,24-Table1[[#This Row],[Legal Non-Operating Time]]-Table1[[#This Row],[No Demand Time]]-Table1[[#This Row],[Force Majeure]])</f>
        <v>0</v>
      </c>
      <c r="T318" s="26"/>
      <c r="U318" s="26"/>
      <c r="V318" s="26"/>
      <c r="W318" s="26"/>
      <c r="X318" s="26"/>
      <c r="Y318" s="26"/>
      <c r="Z318" s="26"/>
      <c r="AA318" s="30">
        <f>Table1[[#This Row],[Hours Used]]-SUM(Table1[[#This Row],[Planned Maintenance]:[Start and Finish Production]])</f>
        <v>0</v>
      </c>
      <c r="AB318" s="26"/>
      <c r="AC318" s="26"/>
      <c r="AD318" s="26"/>
      <c r="AE318" s="26"/>
      <c r="AF318" s="26"/>
      <c r="AG318" s="26"/>
      <c r="AH318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318" s="24">
        <f>IFERROR(IF(Table1[[#This Row],[SKU]]="",0,Table1[[#This Row],[Quality Loss (T)]]/(Table1[[#This Row],[SOC (TPD)]]/24)),"")</f>
        <v>0</v>
      </c>
      <c r="AJ318" s="31">
        <f>IFERROR(IF(Table1[[#This Row],[SKU]]="",0,Table1[[#This Row],[Volume Delivered (T)]]/(Table1[[#This Row],[SOC (TPD)]]/24)),"")</f>
        <v>0</v>
      </c>
      <c r="AK318" s="31" t="str">
        <f>IFERROR(Table1[[#This Row],[Operating Time]]/Table1[[#This Row],[PRODUCTION HOURS]],"")</f>
        <v/>
      </c>
      <c r="AL318" s="32"/>
      <c r="AM318" s="32"/>
      <c r="AN318" s="32"/>
      <c r="AO318" s="32">
        <v>0</v>
      </c>
      <c r="AP318" s="32">
        <v>0</v>
      </c>
      <c r="AQ318" s="32"/>
      <c r="AR318" s="32" t="str">
        <f>IFERROR(SUMIFS(#REF!,#REF!,'Data Sheet'!A:A,#REF!,"Samridhi Perk Line")/SUMIFS(#REF!,#REF!,'Data Sheet'!A:A,#REF!,"Samridhi Perk Line"),"")</f>
        <v/>
      </c>
      <c r="AS318" s="32"/>
      <c r="AT318" s="32"/>
      <c r="AU318" s="211">
        <f>IFERROR(VLOOKUP(Table1[[#This Row],[Date]],'Overweight Data'!A316:G1411,6,FALSE),"")</f>
        <v>0</v>
      </c>
      <c r="AV318" s="221">
        <f>IFERROR(
   IF(
      OR(Table1[[#This Row],[Operating Time]]=0, (Table1[[#This Row],[Operating Time]]/IF(AC318&lt;=1,AC318+1,AC318))*60=0),
      1,
      ((Table1[[#This Row],[Operating Time]])/IF(AC318&lt;=1,AC318+1,AC318))*60
   ),
"_")</f>
        <v>1</v>
      </c>
      <c r="AW318" s="221">
        <f>COUNTIFS('Downtime Data'!A:A,Table1[[#This Row],[Date]])</f>
        <v>0</v>
      </c>
      <c r="AX318" s="219" t="str">
        <f>IFERROR((SUM(Table1[[#This Row],[Minor Stoppages]:[Material Shortages]])/Table1[[#This Row],['# Stops]])*60,"")</f>
        <v/>
      </c>
      <c r="AY318" s="219"/>
      <c r="AZ318" s="33">
        <v>46352</v>
      </c>
    </row>
    <row r="319" spans="1:52" ht="20.149999999999999" customHeight="1" x14ac:dyDescent="0.35">
      <c r="A319" s="21">
        <v>46336</v>
      </c>
      <c r="B319" s="22" t="str">
        <f t="shared" si="6"/>
        <v>Tuesday</v>
      </c>
      <c r="C319" s="23"/>
      <c r="D319" s="24" t="str" cm="1">
        <f t="array" aca="1" ref="D319" ca="1">IFERROR(INDIRECT(C319),"")</f>
        <v/>
      </c>
      <c r="E319" s="25"/>
      <c r="F319" s="26"/>
      <c r="G319" s="27" t="str">
        <f ca="1">IFERROR((Table1[[#This Row],[Plan]]/Table1[[#This Row],[Hours Used]])/(Table1[[#This Row],[SOC (TPD)]]/24),"")</f>
        <v/>
      </c>
      <c r="H319" s="27" t="str">
        <f ca="1">IFERROR((Table1[[#This Row],[Volume Delivered (T)]]/Table1[[#This Row],[Hours Used]])/(Table1[[#This Row],[SOC (TPD)]]/24),"")</f>
        <v/>
      </c>
      <c r="I319" s="28"/>
      <c r="J319" s="28"/>
      <c r="K319" s="28"/>
      <c r="L319" s="25"/>
      <c r="M319" s="29"/>
      <c r="N319" s="84"/>
      <c r="O319" s="25"/>
      <c r="P319" s="25"/>
      <c r="Q319" s="70"/>
      <c r="R319" s="71"/>
      <c r="S319" s="30">
        <f>IF(Table1[[#This Row],[SKU]]="",0,24-Table1[[#This Row],[Legal Non-Operating Time]]-Table1[[#This Row],[No Demand Time]]-Table1[[#This Row],[Force Majeure]])</f>
        <v>0</v>
      </c>
      <c r="T319" s="26"/>
      <c r="U319" s="26"/>
      <c r="V319" s="26"/>
      <c r="W319" s="26"/>
      <c r="X319" s="26"/>
      <c r="Y319" s="26"/>
      <c r="Z319" s="26"/>
      <c r="AA319" s="30">
        <f>Table1[[#This Row],[Hours Used]]-SUM(Table1[[#This Row],[Planned Maintenance]:[Start and Finish Production]])</f>
        <v>0</v>
      </c>
      <c r="AB319" s="26"/>
      <c r="AC319" s="26"/>
      <c r="AD319" s="26"/>
      <c r="AE319" s="26"/>
      <c r="AF319" s="26"/>
      <c r="AG319" s="26"/>
      <c r="AH319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319" s="24">
        <f>IFERROR(IF(Table1[[#This Row],[SKU]]="",0,Table1[[#This Row],[Quality Loss (T)]]/(Table1[[#This Row],[SOC (TPD)]]/24)),"")</f>
        <v>0</v>
      </c>
      <c r="AJ319" s="31">
        <f>IFERROR(IF(Table1[[#This Row],[SKU]]="",0,Table1[[#This Row],[Volume Delivered (T)]]/(Table1[[#This Row],[SOC (TPD)]]/24)),"")</f>
        <v>0</v>
      </c>
      <c r="AK319" s="31" t="str">
        <f>IFERROR(Table1[[#This Row],[Operating Time]]/Table1[[#This Row],[PRODUCTION HOURS]],"")</f>
        <v/>
      </c>
      <c r="AL319" s="32"/>
      <c r="AM319" s="32"/>
      <c r="AN319" s="32"/>
      <c r="AO319" s="32">
        <v>23</v>
      </c>
      <c r="AP319" s="32">
        <v>0</v>
      </c>
      <c r="AQ319" s="32"/>
      <c r="AR319" s="32" t="str">
        <f>IFERROR(SUMIFS(#REF!,#REF!,'Data Sheet'!A:A,#REF!,"Samridhi Perk Line")/SUMIFS(#REF!,#REF!,'Data Sheet'!A:A,#REF!,"Samridhi Perk Line"),"")</f>
        <v/>
      </c>
      <c r="AS319" s="32"/>
      <c r="AT319" s="32"/>
      <c r="AU319" s="211">
        <f>IFERROR(VLOOKUP(Table1[[#This Row],[Date]],'Overweight Data'!A317:G1412,6,FALSE),"")</f>
        <v>0</v>
      </c>
      <c r="AV319" s="221">
        <f>IFERROR(
   IF(
      OR(Table1[[#This Row],[Operating Time]]=0, (Table1[[#This Row],[Operating Time]]/IF(AC319&lt;=1,AC319+1,AC319))*60=0),
      1,
      ((Table1[[#This Row],[Operating Time]])/IF(AC319&lt;=1,AC319+1,AC319))*60
   ),
"_")</f>
        <v>1</v>
      </c>
      <c r="AW319" s="221">
        <f>COUNTIFS('Downtime Data'!A:A,Table1[[#This Row],[Date]])</f>
        <v>0</v>
      </c>
      <c r="AX319" s="219" t="str">
        <f>IFERROR((SUM(Table1[[#This Row],[Minor Stoppages]:[Material Shortages]])/Table1[[#This Row],['# Stops]])*60,"")</f>
        <v/>
      </c>
      <c r="AY319" s="219"/>
      <c r="AZ319" s="33">
        <v>46352</v>
      </c>
    </row>
    <row r="320" spans="1:52" ht="20.149999999999999" customHeight="1" x14ac:dyDescent="0.35">
      <c r="A320" s="21">
        <v>46337</v>
      </c>
      <c r="B320" s="22" t="str">
        <f t="shared" si="6"/>
        <v>Wednesday</v>
      </c>
      <c r="C320" s="23"/>
      <c r="D320" s="24" t="str" cm="1">
        <f t="array" aca="1" ref="D320" ca="1">IFERROR(INDIRECT(C320),"")</f>
        <v/>
      </c>
      <c r="E320" s="25"/>
      <c r="F320" s="26"/>
      <c r="G320" s="27" t="str">
        <f ca="1">IFERROR((Table1[[#This Row],[Plan]]/Table1[[#This Row],[Hours Used]])/(Table1[[#This Row],[SOC (TPD)]]/24),"")</f>
        <v/>
      </c>
      <c r="H320" s="27" t="str">
        <f ca="1">IFERROR((Table1[[#This Row],[Volume Delivered (T)]]/Table1[[#This Row],[Hours Used]])/(Table1[[#This Row],[SOC (TPD)]]/24),"")</f>
        <v/>
      </c>
      <c r="I320" s="28"/>
      <c r="J320" s="28"/>
      <c r="K320" s="28"/>
      <c r="L320" s="25"/>
      <c r="M320" s="29"/>
      <c r="N320" s="84"/>
      <c r="O320" s="25"/>
      <c r="P320" s="25"/>
      <c r="Q320" s="70"/>
      <c r="R320" s="71"/>
      <c r="S320" s="30">
        <f>IF(Table1[[#This Row],[SKU]]="",0,24-Table1[[#This Row],[Legal Non-Operating Time]]-Table1[[#This Row],[No Demand Time]]-Table1[[#This Row],[Force Majeure]])</f>
        <v>0</v>
      </c>
      <c r="T320" s="26"/>
      <c r="U320" s="26"/>
      <c r="V320" s="26"/>
      <c r="W320" s="26"/>
      <c r="X320" s="26"/>
      <c r="Y320" s="26"/>
      <c r="Z320" s="26"/>
      <c r="AA320" s="30">
        <f>Table1[[#This Row],[Hours Used]]-SUM(Table1[[#This Row],[Planned Maintenance]:[Start and Finish Production]])</f>
        <v>0</v>
      </c>
      <c r="AB320" s="26"/>
      <c r="AC320" s="26"/>
      <c r="AD320" s="26"/>
      <c r="AE320" s="26"/>
      <c r="AF320" s="26"/>
      <c r="AG320" s="26"/>
      <c r="AH320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320" s="24">
        <f>IFERROR(IF(Table1[[#This Row],[SKU]]="",0,Table1[[#This Row],[Quality Loss (T)]]/(Table1[[#This Row],[SOC (TPD)]]/24)),"")</f>
        <v>0</v>
      </c>
      <c r="AJ320" s="31">
        <f>IFERROR(IF(Table1[[#This Row],[SKU]]="",0,Table1[[#This Row],[Volume Delivered (T)]]/(Table1[[#This Row],[SOC (TPD)]]/24)),"")</f>
        <v>0</v>
      </c>
      <c r="AK320" s="31" t="str">
        <f>IFERROR(Table1[[#This Row],[Operating Time]]/Table1[[#This Row],[PRODUCTION HOURS]],"")</f>
        <v/>
      </c>
      <c r="AL320" s="32"/>
      <c r="AM320" s="32"/>
      <c r="AN320" s="32"/>
      <c r="AO320" s="32">
        <v>0</v>
      </c>
      <c r="AP320" s="32">
        <v>0</v>
      </c>
      <c r="AQ320" s="32"/>
      <c r="AR320" s="32" t="str">
        <f>IFERROR(SUMIFS(#REF!,#REF!,'Data Sheet'!A:A,#REF!,"Samridhi Perk Line")/SUMIFS(#REF!,#REF!,'Data Sheet'!A:A,#REF!,"Samridhi Perk Line"),"")</f>
        <v/>
      </c>
      <c r="AS320" s="32"/>
      <c r="AT320" s="32"/>
      <c r="AU320" s="211">
        <f>IFERROR(VLOOKUP(Table1[[#This Row],[Date]],'Overweight Data'!A318:G1413,6,FALSE),"")</f>
        <v>0</v>
      </c>
      <c r="AV320" s="221">
        <f>IFERROR(
   IF(
      OR(Table1[[#This Row],[Operating Time]]=0, (Table1[[#This Row],[Operating Time]]/IF(AC320&lt;=1,AC320+1,AC320))*60=0),
      1,
      ((Table1[[#This Row],[Operating Time]])/IF(AC320&lt;=1,AC320+1,AC320))*60
   ),
"_")</f>
        <v>1</v>
      </c>
      <c r="AW320" s="221">
        <f>COUNTIFS('Downtime Data'!A:A,Table1[[#This Row],[Date]])</f>
        <v>0</v>
      </c>
      <c r="AX320" s="219" t="str">
        <f>IFERROR((SUM(Table1[[#This Row],[Minor Stoppages]:[Material Shortages]])/Table1[[#This Row],['# Stops]])*60,"")</f>
        <v/>
      </c>
      <c r="AY320" s="219"/>
      <c r="AZ320" s="33">
        <v>46352</v>
      </c>
    </row>
    <row r="321" spans="1:52" ht="20.149999999999999" customHeight="1" x14ac:dyDescent="0.35">
      <c r="A321" s="21">
        <v>46338</v>
      </c>
      <c r="B321" s="22" t="str">
        <f t="shared" si="6"/>
        <v>Thursday</v>
      </c>
      <c r="C321" s="23"/>
      <c r="D321" s="24" t="str" cm="1">
        <f t="array" aca="1" ref="D321" ca="1">IFERROR(INDIRECT(C321),"")</f>
        <v/>
      </c>
      <c r="E321" s="25"/>
      <c r="F321" s="26"/>
      <c r="G321" s="27" t="str">
        <f ca="1">IFERROR((Table1[[#This Row],[Plan]]/Table1[[#This Row],[Hours Used]])/(Table1[[#This Row],[SOC (TPD)]]/24),"")</f>
        <v/>
      </c>
      <c r="H321" s="27" t="str">
        <f ca="1">IFERROR((Table1[[#This Row],[Volume Delivered (T)]]/Table1[[#This Row],[Hours Used]])/(Table1[[#This Row],[SOC (TPD)]]/24),"")</f>
        <v/>
      </c>
      <c r="I321" s="28"/>
      <c r="J321" s="28"/>
      <c r="K321" s="28"/>
      <c r="L321" s="25"/>
      <c r="M321" s="29"/>
      <c r="N321" s="84"/>
      <c r="O321" s="25"/>
      <c r="P321" s="25"/>
      <c r="Q321" s="70"/>
      <c r="R321" s="71"/>
      <c r="S321" s="30">
        <f>IF(Table1[[#This Row],[SKU]]="",0,24-Table1[[#This Row],[Legal Non-Operating Time]]-Table1[[#This Row],[No Demand Time]]-Table1[[#This Row],[Force Majeure]])</f>
        <v>0</v>
      </c>
      <c r="T321" s="26"/>
      <c r="U321" s="26"/>
      <c r="V321" s="26"/>
      <c r="W321" s="26"/>
      <c r="X321" s="26"/>
      <c r="Y321" s="26"/>
      <c r="Z321" s="26"/>
      <c r="AA321" s="30">
        <f>Table1[[#This Row],[Hours Used]]-SUM(Table1[[#This Row],[Planned Maintenance]:[Start and Finish Production]])</f>
        <v>0</v>
      </c>
      <c r="AB321" s="26"/>
      <c r="AC321" s="26"/>
      <c r="AD321" s="26"/>
      <c r="AE321" s="26"/>
      <c r="AF321" s="26"/>
      <c r="AG321" s="26"/>
      <c r="AH321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321" s="24">
        <f>IFERROR(IF(Table1[[#This Row],[SKU]]="",0,Table1[[#This Row],[Quality Loss (T)]]/(Table1[[#This Row],[SOC (TPD)]]/24)),"")</f>
        <v>0</v>
      </c>
      <c r="AJ321" s="31">
        <f>IFERROR(IF(Table1[[#This Row],[SKU]]="",0,Table1[[#This Row],[Volume Delivered (T)]]/(Table1[[#This Row],[SOC (TPD)]]/24)),"")</f>
        <v>0</v>
      </c>
      <c r="AK321" s="31" t="str">
        <f>IFERROR(Table1[[#This Row],[Operating Time]]/Table1[[#This Row],[PRODUCTION HOURS]],"")</f>
        <v/>
      </c>
      <c r="AL321" s="32"/>
      <c r="AM321" s="32"/>
      <c r="AN321" s="32"/>
      <c r="AO321" s="32">
        <v>0</v>
      </c>
      <c r="AP321" s="32">
        <v>0</v>
      </c>
      <c r="AQ321" s="32"/>
      <c r="AR321" s="32" t="str">
        <f>IFERROR(SUMIFS(#REF!,#REF!,'Data Sheet'!A:A,#REF!,"Samridhi Perk Line")/SUMIFS(#REF!,#REF!,'Data Sheet'!A:A,#REF!,"Samridhi Perk Line"),"")</f>
        <v/>
      </c>
      <c r="AS321" s="32"/>
      <c r="AT321" s="32"/>
      <c r="AU321" s="211">
        <f>IFERROR(VLOOKUP(Table1[[#This Row],[Date]],'Overweight Data'!A319:G1414,6,FALSE),"")</f>
        <v>0</v>
      </c>
      <c r="AV321" s="221">
        <f>IFERROR(
   IF(
      OR(Table1[[#This Row],[Operating Time]]=0, (Table1[[#This Row],[Operating Time]]/IF(AC321&lt;=1,AC321+1,AC321))*60=0),
      1,
      ((Table1[[#This Row],[Operating Time]])/IF(AC321&lt;=1,AC321+1,AC321))*60
   ),
"_")</f>
        <v>1</v>
      </c>
      <c r="AW321" s="221">
        <f>COUNTIFS('Downtime Data'!A:A,Table1[[#This Row],[Date]])</f>
        <v>0</v>
      </c>
      <c r="AX321" s="219" t="str">
        <f>IFERROR((SUM(Table1[[#This Row],[Minor Stoppages]:[Material Shortages]])/Table1[[#This Row],['# Stops]])*60,"")</f>
        <v/>
      </c>
      <c r="AY321" s="219"/>
      <c r="AZ321" s="33">
        <v>46352</v>
      </c>
    </row>
    <row r="322" spans="1:52" ht="20.149999999999999" customHeight="1" x14ac:dyDescent="0.35">
      <c r="A322" s="21">
        <v>46339</v>
      </c>
      <c r="B322" s="22" t="str">
        <f t="shared" si="6"/>
        <v>Friday</v>
      </c>
      <c r="C322" s="23"/>
      <c r="D322" s="24" t="str" cm="1">
        <f t="array" aca="1" ref="D322" ca="1">IFERROR(INDIRECT(C322),"")</f>
        <v/>
      </c>
      <c r="E322" s="25"/>
      <c r="F322" s="26"/>
      <c r="G322" s="27" t="str">
        <f ca="1">IFERROR((Table1[[#This Row],[Plan]]/Table1[[#This Row],[Hours Used]])/(Table1[[#This Row],[SOC (TPD)]]/24),"")</f>
        <v/>
      </c>
      <c r="H322" s="27" t="str">
        <f ca="1">IFERROR((Table1[[#This Row],[Volume Delivered (T)]]/Table1[[#This Row],[Hours Used]])/(Table1[[#This Row],[SOC (TPD)]]/24),"")</f>
        <v/>
      </c>
      <c r="I322" s="28"/>
      <c r="J322" s="28"/>
      <c r="K322" s="28"/>
      <c r="L322" s="25"/>
      <c r="M322" s="29"/>
      <c r="N322" s="84"/>
      <c r="O322" s="25"/>
      <c r="P322" s="25"/>
      <c r="Q322" s="70"/>
      <c r="R322" s="71"/>
      <c r="S322" s="30">
        <f>IF(Table1[[#This Row],[SKU]]="",0,24-Table1[[#This Row],[Legal Non-Operating Time]]-Table1[[#This Row],[No Demand Time]]-Table1[[#This Row],[Force Majeure]])</f>
        <v>0</v>
      </c>
      <c r="T322" s="26"/>
      <c r="U322" s="26"/>
      <c r="V322" s="26"/>
      <c r="W322" s="26"/>
      <c r="X322" s="26"/>
      <c r="Y322" s="26"/>
      <c r="Z322" s="26"/>
      <c r="AA322" s="30">
        <f>Table1[[#This Row],[Hours Used]]-SUM(Table1[[#This Row],[Planned Maintenance]:[Start and Finish Production]])</f>
        <v>0</v>
      </c>
      <c r="AB322" s="26"/>
      <c r="AC322" s="26"/>
      <c r="AD322" s="26"/>
      <c r="AE322" s="26"/>
      <c r="AF322" s="26"/>
      <c r="AG322" s="26"/>
      <c r="AH322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322" s="24">
        <f>IFERROR(IF(Table1[[#This Row],[SKU]]="",0,Table1[[#This Row],[Quality Loss (T)]]/(Table1[[#This Row],[SOC (TPD)]]/24)),"")</f>
        <v>0</v>
      </c>
      <c r="AJ322" s="31">
        <f>IFERROR(IF(Table1[[#This Row],[SKU]]="",0,Table1[[#This Row],[Volume Delivered (T)]]/(Table1[[#This Row],[SOC (TPD)]]/24)),"")</f>
        <v>0</v>
      </c>
      <c r="AK322" s="31" t="str">
        <f>IFERROR(Table1[[#This Row],[Operating Time]]/Table1[[#This Row],[PRODUCTION HOURS]],"")</f>
        <v/>
      </c>
      <c r="AL322" s="32"/>
      <c r="AM322" s="32"/>
      <c r="AN322" s="32"/>
      <c r="AO322" s="32">
        <v>0</v>
      </c>
      <c r="AP322" s="32">
        <v>0</v>
      </c>
      <c r="AQ322" s="32"/>
      <c r="AR322" s="32" t="str">
        <f>IFERROR(SUMIFS(#REF!,#REF!,'Data Sheet'!A:A,#REF!,"Samridhi Perk Line")/SUMIFS(#REF!,#REF!,'Data Sheet'!A:A,#REF!,"Samridhi Perk Line"),"")</f>
        <v/>
      </c>
      <c r="AS322" s="32"/>
      <c r="AT322" s="32"/>
      <c r="AU322" s="211">
        <f>IFERROR(VLOOKUP(Table1[[#This Row],[Date]],'Overweight Data'!A320:G1415,6,FALSE),"")</f>
        <v>0</v>
      </c>
      <c r="AV322" s="221">
        <f>IFERROR(
   IF(
      OR(Table1[[#This Row],[Operating Time]]=0, (Table1[[#This Row],[Operating Time]]/IF(AC322&lt;=1,AC322+1,AC322))*60=0),
      1,
      ((Table1[[#This Row],[Operating Time]])/IF(AC322&lt;=1,AC322+1,AC322))*60
   ),
"_")</f>
        <v>1</v>
      </c>
      <c r="AW322" s="221">
        <f>COUNTIFS('Downtime Data'!A:A,Table1[[#This Row],[Date]])</f>
        <v>0</v>
      </c>
      <c r="AX322" s="219" t="str">
        <f>IFERROR((SUM(Table1[[#This Row],[Minor Stoppages]:[Material Shortages]])/Table1[[#This Row],['# Stops]])*60,"")</f>
        <v/>
      </c>
      <c r="AY322" s="219"/>
      <c r="AZ322" s="33">
        <v>46352</v>
      </c>
    </row>
    <row r="323" spans="1:52" ht="20.149999999999999" customHeight="1" x14ac:dyDescent="0.35">
      <c r="A323" s="21">
        <v>46340</v>
      </c>
      <c r="B323" s="22" t="str">
        <f t="shared" si="6"/>
        <v>Saturday</v>
      </c>
      <c r="C323" s="23"/>
      <c r="D323" s="24" t="str" cm="1">
        <f t="array" aca="1" ref="D323" ca="1">IFERROR(INDIRECT(C323),"")</f>
        <v/>
      </c>
      <c r="E323" s="25"/>
      <c r="F323" s="26"/>
      <c r="G323" s="27" t="str">
        <f ca="1">IFERROR((Table1[[#This Row],[Plan]]/Table1[[#This Row],[Hours Used]])/(Table1[[#This Row],[SOC (TPD)]]/24),"")</f>
        <v/>
      </c>
      <c r="H323" s="27" t="str">
        <f ca="1">IFERROR((Table1[[#This Row],[Volume Delivered (T)]]/Table1[[#This Row],[Hours Used]])/(Table1[[#This Row],[SOC (TPD)]]/24),"")</f>
        <v/>
      </c>
      <c r="I323" s="28"/>
      <c r="J323" s="28"/>
      <c r="K323" s="28"/>
      <c r="L323" s="25"/>
      <c r="M323" s="29"/>
      <c r="N323" s="84"/>
      <c r="O323" s="25"/>
      <c r="P323" s="25"/>
      <c r="Q323" s="70"/>
      <c r="R323" s="71"/>
      <c r="S323" s="30">
        <f>IF(Table1[[#This Row],[SKU]]="",0,24-Table1[[#This Row],[Legal Non-Operating Time]]-Table1[[#This Row],[No Demand Time]]-Table1[[#This Row],[Force Majeure]])</f>
        <v>0</v>
      </c>
      <c r="T323" s="26"/>
      <c r="U323" s="26"/>
      <c r="V323" s="26"/>
      <c r="W323" s="26"/>
      <c r="X323" s="26"/>
      <c r="Y323" s="26"/>
      <c r="Z323" s="26"/>
      <c r="AA323" s="30">
        <f>Table1[[#This Row],[Hours Used]]-SUM(Table1[[#This Row],[Planned Maintenance]:[Start and Finish Production]])</f>
        <v>0</v>
      </c>
      <c r="AB323" s="26"/>
      <c r="AC323" s="26"/>
      <c r="AD323" s="26"/>
      <c r="AE323" s="26"/>
      <c r="AF323" s="26"/>
      <c r="AG323" s="26"/>
      <c r="AH323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323" s="24">
        <f>IFERROR(IF(Table1[[#This Row],[SKU]]="",0,Table1[[#This Row],[Quality Loss (T)]]/(Table1[[#This Row],[SOC (TPD)]]/24)),"")</f>
        <v>0</v>
      </c>
      <c r="AJ323" s="31">
        <f>IFERROR(IF(Table1[[#This Row],[SKU]]="",0,Table1[[#This Row],[Volume Delivered (T)]]/(Table1[[#This Row],[SOC (TPD)]]/24)),"")</f>
        <v>0</v>
      </c>
      <c r="AK323" s="31" t="str">
        <f>IFERROR(Table1[[#This Row],[Operating Time]]/Table1[[#This Row],[PRODUCTION HOURS]],"")</f>
        <v/>
      </c>
      <c r="AL323" s="32"/>
      <c r="AM323" s="32"/>
      <c r="AN323" s="32"/>
      <c r="AO323" s="32">
        <v>0</v>
      </c>
      <c r="AP323" s="32">
        <v>0</v>
      </c>
      <c r="AQ323" s="32"/>
      <c r="AR323" s="32" t="str">
        <f>IFERROR(SUMIFS(#REF!,#REF!,'Data Sheet'!A:A,#REF!,"Samridhi Perk Line")/SUMIFS(#REF!,#REF!,'Data Sheet'!A:A,#REF!,"Samridhi Perk Line"),"")</f>
        <v/>
      </c>
      <c r="AS323" s="32"/>
      <c r="AT323" s="32"/>
      <c r="AU323" s="211">
        <f>IFERROR(VLOOKUP(Table1[[#This Row],[Date]],'Overweight Data'!A321:G1416,6,FALSE),"")</f>
        <v>0</v>
      </c>
      <c r="AV323" s="221">
        <f>IFERROR(
   IF(
      OR(Table1[[#This Row],[Operating Time]]=0, (Table1[[#This Row],[Operating Time]]/IF(AC323&lt;=1,AC323+1,AC323))*60=0),
      1,
      ((Table1[[#This Row],[Operating Time]])/IF(AC323&lt;=1,AC323+1,AC323))*60
   ),
"_")</f>
        <v>1</v>
      </c>
      <c r="AW323" s="221">
        <f>COUNTIFS('Downtime Data'!A:A,Table1[[#This Row],[Date]])</f>
        <v>0</v>
      </c>
      <c r="AX323" s="219" t="str">
        <f>IFERROR((SUM(Table1[[#This Row],[Minor Stoppages]:[Material Shortages]])/Table1[[#This Row],['# Stops]])*60,"")</f>
        <v/>
      </c>
      <c r="AY323" s="219"/>
      <c r="AZ323" s="33">
        <v>46352</v>
      </c>
    </row>
    <row r="324" spans="1:52" ht="20.149999999999999" customHeight="1" x14ac:dyDescent="0.35">
      <c r="A324" s="21">
        <v>46341</v>
      </c>
      <c r="B324" s="22" t="str">
        <f t="shared" si="6"/>
        <v>Sunday</v>
      </c>
      <c r="C324" s="23"/>
      <c r="D324" s="24" t="str" cm="1">
        <f t="array" aca="1" ref="D324" ca="1">IFERROR(INDIRECT(C324),"")</f>
        <v/>
      </c>
      <c r="E324" s="25"/>
      <c r="F324" s="26"/>
      <c r="G324" s="27" t="str">
        <f ca="1">IFERROR((Table1[[#This Row],[Plan]]/Table1[[#This Row],[Hours Used]])/(Table1[[#This Row],[SOC (TPD)]]/24),"")</f>
        <v/>
      </c>
      <c r="H324" s="27" t="str">
        <f ca="1">IFERROR((Table1[[#This Row],[Volume Delivered (T)]]/Table1[[#This Row],[Hours Used]])/(Table1[[#This Row],[SOC (TPD)]]/24),"")</f>
        <v/>
      </c>
      <c r="I324" s="28"/>
      <c r="J324" s="28"/>
      <c r="K324" s="28"/>
      <c r="L324" s="25"/>
      <c r="M324" s="29"/>
      <c r="N324" s="84"/>
      <c r="O324" s="25"/>
      <c r="P324" s="25"/>
      <c r="Q324" s="70"/>
      <c r="R324" s="71"/>
      <c r="S324" s="30">
        <f>IF(Table1[[#This Row],[SKU]]="",0,24-Table1[[#This Row],[Legal Non-Operating Time]]-Table1[[#This Row],[No Demand Time]]-Table1[[#This Row],[Force Majeure]])</f>
        <v>0</v>
      </c>
      <c r="T324" s="26"/>
      <c r="U324" s="26"/>
      <c r="V324" s="26"/>
      <c r="W324" s="26"/>
      <c r="X324" s="26"/>
      <c r="Y324" s="26"/>
      <c r="Z324" s="26"/>
      <c r="AA324" s="30">
        <f>Table1[[#This Row],[Hours Used]]-SUM(Table1[[#This Row],[Planned Maintenance]:[Start and Finish Production]])</f>
        <v>0</v>
      </c>
      <c r="AB324" s="26"/>
      <c r="AC324" s="26"/>
      <c r="AD324" s="26"/>
      <c r="AE324" s="26"/>
      <c r="AF324" s="26"/>
      <c r="AG324" s="26"/>
      <c r="AH324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324" s="24">
        <f>IFERROR(IF(Table1[[#This Row],[SKU]]="",0,Table1[[#This Row],[Quality Loss (T)]]/(Table1[[#This Row],[SOC (TPD)]]/24)),"")</f>
        <v>0</v>
      </c>
      <c r="AJ324" s="31">
        <f>IFERROR(IF(Table1[[#This Row],[SKU]]="",0,Table1[[#This Row],[Volume Delivered (T)]]/(Table1[[#This Row],[SOC (TPD)]]/24)),"")</f>
        <v>0</v>
      </c>
      <c r="AK324" s="31" t="str">
        <f>IFERROR(Table1[[#This Row],[Operating Time]]/Table1[[#This Row],[PRODUCTION HOURS]],"")</f>
        <v/>
      </c>
      <c r="AL324" s="32"/>
      <c r="AM324" s="32"/>
      <c r="AN324" s="32"/>
      <c r="AO324" s="32">
        <v>4</v>
      </c>
      <c r="AP324" s="32">
        <v>0</v>
      </c>
      <c r="AQ324" s="32"/>
      <c r="AR324" s="32" t="str">
        <f>IFERROR(SUMIFS(#REF!,#REF!,'Data Sheet'!A:A,#REF!,"Samridhi Perk Line")/SUMIFS(#REF!,#REF!,'Data Sheet'!A:A,#REF!,"Samridhi Perk Line"),"")</f>
        <v/>
      </c>
      <c r="AS324" s="32"/>
      <c r="AT324" s="32"/>
      <c r="AU324" s="211">
        <f>IFERROR(VLOOKUP(Table1[[#This Row],[Date]],'Overweight Data'!A322:G1417,6,FALSE),"")</f>
        <v>0</v>
      </c>
      <c r="AV324" s="221">
        <f>IFERROR(
   IF(
      OR(Table1[[#This Row],[Operating Time]]=0, (Table1[[#This Row],[Operating Time]]/IF(AC324&lt;=1,AC324+1,AC324))*60=0),
      1,
      ((Table1[[#This Row],[Operating Time]])/IF(AC324&lt;=1,AC324+1,AC324))*60
   ),
"_")</f>
        <v>1</v>
      </c>
      <c r="AW324" s="221">
        <f>COUNTIFS('Downtime Data'!A:A,Table1[[#This Row],[Date]])</f>
        <v>0</v>
      </c>
      <c r="AX324" s="219" t="str">
        <f>IFERROR((SUM(Table1[[#This Row],[Minor Stoppages]:[Material Shortages]])/Table1[[#This Row],['# Stops]])*60,"")</f>
        <v/>
      </c>
      <c r="AY324" s="219"/>
      <c r="AZ324" s="33">
        <v>46352</v>
      </c>
    </row>
    <row r="325" spans="1:52" ht="20.149999999999999" customHeight="1" x14ac:dyDescent="0.35">
      <c r="A325" s="21">
        <v>46342</v>
      </c>
      <c r="B325" s="22" t="str">
        <f t="shared" si="6"/>
        <v>Monday</v>
      </c>
      <c r="C325" s="23"/>
      <c r="D325" s="24" t="str" cm="1">
        <f t="array" aca="1" ref="D325" ca="1">IFERROR(INDIRECT(C325),"")</f>
        <v/>
      </c>
      <c r="E325" s="25"/>
      <c r="F325" s="26"/>
      <c r="G325" s="27" t="str">
        <f ca="1">IFERROR((Table1[[#This Row],[Plan]]/Table1[[#This Row],[Hours Used]])/(Table1[[#This Row],[SOC (TPD)]]/24),"")</f>
        <v/>
      </c>
      <c r="H325" s="27" t="str">
        <f ca="1">IFERROR((Table1[[#This Row],[Volume Delivered (T)]]/Table1[[#This Row],[Hours Used]])/(Table1[[#This Row],[SOC (TPD)]]/24),"")</f>
        <v/>
      </c>
      <c r="I325" s="28"/>
      <c r="J325" s="28"/>
      <c r="K325" s="28"/>
      <c r="L325" s="25"/>
      <c r="M325" s="29"/>
      <c r="N325" s="84"/>
      <c r="O325" s="25"/>
      <c r="P325" s="25"/>
      <c r="Q325" s="70"/>
      <c r="R325" s="71"/>
      <c r="S325" s="30">
        <f>IF(Table1[[#This Row],[SKU]]="",0,24-Table1[[#This Row],[Legal Non-Operating Time]]-Table1[[#This Row],[No Demand Time]]-Table1[[#This Row],[Force Majeure]])</f>
        <v>0</v>
      </c>
      <c r="T325" s="26"/>
      <c r="U325" s="26"/>
      <c r="V325" s="26"/>
      <c r="W325" s="26"/>
      <c r="X325" s="26"/>
      <c r="Y325" s="26"/>
      <c r="Z325" s="26"/>
      <c r="AA325" s="30">
        <f>Table1[[#This Row],[Hours Used]]-SUM(Table1[[#This Row],[Planned Maintenance]:[Start and Finish Production]])</f>
        <v>0</v>
      </c>
      <c r="AB325" s="26"/>
      <c r="AC325" s="26"/>
      <c r="AD325" s="26"/>
      <c r="AE325" s="26"/>
      <c r="AF325" s="26"/>
      <c r="AG325" s="26"/>
      <c r="AH325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325" s="24">
        <f>IFERROR(IF(Table1[[#This Row],[SKU]]="",0,Table1[[#This Row],[Quality Loss (T)]]/(Table1[[#This Row],[SOC (TPD)]]/24)),"")</f>
        <v>0</v>
      </c>
      <c r="AJ325" s="31">
        <f>IFERROR(IF(Table1[[#This Row],[SKU]]="",0,Table1[[#This Row],[Volume Delivered (T)]]/(Table1[[#This Row],[SOC (TPD)]]/24)),"")</f>
        <v>0</v>
      </c>
      <c r="AK325" s="31" t="str">
        <f>IFERROR(Table1[[#This Row],[Operating Time]]/Table1[[#This Row],[PRODUCTION HOURS]],"")</f>
        <v/>
      </c>
      <c r="AL325" s="32"/>
      <c r="AM325" s="32"/>
      <c r="AN325" s="32"/>
      <c r="AO325" s="32">
        <v>0</v>
      </c>
      <c r="AP325" s="32">
        <v>0</v>
      </c>
      <c r="AQ325" s="32"/>
      <c r="AR325" s="32" t="str">
        <f>IFERROR(SUMIFS(#REF!,#REF!,'Data Sheet'!A:A,#REF!,"Samridhi Perk Line")/SUMIFS(#REF!,#REF!,'Data Sheet'!A:A,#REF!,"Samridhi Perk Line"),"")</f>
        <v/>
      </c>
      <c r="AS325" s="32"/>
      <c r="AT325" s="32"/>
      <c r="AU325" s="211">
        <f>IFERROR(VLOOKUP(Table1[[#This Row],[Date]],'Overweight Data'!A323:G1418,6,FALSE),"")</f>
        <v>0</v>
      </c>
      <c r="AV325" s="221">
        <f>IFERROR(
   IF(
      OR(Table1[[#This Row],[Operating Time]]=0, (Table1[[#This Row],[Operating Time]]/IF(AC325&lt;=1,AC325+1,AC325))*60=0),
      1,
      ((Table1[[#This Row],[Operating Time]])/IF(AC325&lt;=1,AC325+1,AC325))*60
   ),
"_")</f>
        <v>1</v>
      </c>
      <c r="AW325" s="221">
        <f>COUNTIFS('Downtime Data'!A:A,Table1[[#This Row],[Date]])</f>
        <v>0</v>
      </c>
      <c r="AX325" s="219" t="str">
        <f>IFERROR((SUM(Table1[[#This Row],[Minor Stoppages]:[Material Shortages]])/Table1[[#This Row],['# Stops]])*60,"")</f>
        <v/>
      </c>
      <c r="AY325" s="219"/>
      <c r="AZ325" s="33">
        <v>46352</v>
      </c>
    </row>
    <row r="326" spans="1:52" ht="20.149999999999999" customHeight="1" x14ac:dyDescent="0.35">
      <c r="A326" s="21">
        <v>46343</v>
      </c>
      <c r="B326" s="22" t="str">
        <f t="shared" si="6"/>
        <v>Tuesday</v>
      </c>
      <c r="C326" s="23"/>
      <c r="D326" s="24" t="str" cm="1">
        <f t="array" aca="1" ref="D326" ca="1">IFERROR(INDIRECT(C326),"")</f>
        <v/>
      </c>
      <c r="E326" s="25"/>
      <c r="F326" s="26"/>
      <c r="G326" s="27" t="str">
        <f ca="1">IFERROR((Table1[[#This Row],[Plan]]/Table1[[#This Row],[Hours Used]])/(Table1[[#This Row],[SOC (TPD)]]/24),"")</f>
        <v/>
      </c>
      <c r="H326" s="27" t="str">
        <f ca="1">IFERROR((Table1[[#This Row],[Volume Delivered (T)]]/Table1[[#This Row],[Hours Used]])/(Table1[[#This Row],[SOC (TPD)]]/24),"")</f>
        <v/>
      </c>
      <c r="I326" s="28"/>
      <c r="J326" s="28"/>
      <c r="K326" s="28"/>
      <c r="L326" s="25"/>
      <c r="M326" s="29"/>
      <c r="N326" s="84"/>
      <c r="O326" s="25"/>
      <c r="P326" s="25"/>
      <c r="Q326" s="70"/>
      <c r="R326" s="71"/>
      <c r="S326" s="30">
        <f>IF(Table1[[#This Row],[SKU]]="",0,24-Table1[[#This Row],[Legal Non-Operating Time]]-Table1[[#This Row],[No Demand Time]]-Table1[[#This Row],[Force Majeure]])</f>
        <v>0</v>
      </c>
      <c r="T326" s="26"/>
      <c r="U326" s="26"/>
      <c r="V326" s="26"/>
      <c r="W326" s="26"/>
      <c r="X326" s="26"/>
      <c r="Y326" s="26"/>
      <c r="Z326" s="26"/>
      <c r="AA326" s="30">
        <f>Table1[[#This Row],[Hours Used]]-SUM(Table1[[#This Row],[Planned Maintenance]:[Start and Finish Production]])</f>
        <v>0</v>
      </c>
      <c r="AB326" s="26"/>
      <c r="AC326" s="26"/>
      <c r="AD326" s="26"/>
      <c r="AE326" s="26"/>
      <c r="AF326" s="26"/>
      <c r="AG326" s="26"/>
      <c r="AH326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326" s="24">
        <f>IFERROR(IF(Table1[[#This Row],[SKU]]="",0,Table1[[#This Row],[Quality Loss (T)]]/(Table1[[#This Row],[SOC (TPD)]]/24)),"")</f>
        <v>0</v>
      </c>
      <c r="AJ326" s="31">
        <f>IFERROR(IF(Table1[[#This Row],[SKU]]="",0,Table1[[#This Row],[Volume Delivered (T)]]/(Table1[[#This Row],[SOC (TPD)]]/24)),"")</f>
        <v>0</v>
      </c>
      <c r="AK326" s="31" t="str">
        <f>IFERROR(Table1[[#This Row],[Operating Time]]/Table1[[#This Row],[PRODUCTION HOURS]],"")</f>
        <v/>
      </c>
      <c r="AL326" s="32"/>
      <c r="AM326" s="32"/>
      <c r="AN326" s="32"/>
      <c r="AO326" s="32">
        <v>0</v>
      </c>
      <c r="AP326" s="32">
        <v>0</v>
      </c>
      <c r="AQ326" s="32"/>
      <c r="AR326" s="32" t="str">
        <f>IFERROR(SUMIFS(#REF!,#REF!,'Data Sheet'!A:A,#REF!,"Samridhi Perk Line")/SUMIFS(#REF!,#REF!,'Data Sheet'!A:A,#REF!,"Samridhi Perk Line"),"")</f>
        <v/>
      </c>
      <c r="AS326" s="32"/>
      <c r="AT326" s="32"/>
      <c r="AU326" s="211">
        <f>IFERROR(VLOOKUP(Table1[[#This Row],[Date]],'Overweight Data'!A324:G1419,6,FALSE),"")</f>
        <v>0</v>
      </c>
      <c r="AV326" s="221">
        <f>IFERROR(
   IF(
      OR(Table1[[#This Row],[Operating Time]]=0, (Table1[[#This Row],[Operating Time]]/IF(AC326&lt;=1,AC326+1,AC326))*60=0),
      1,
      ((Table1[[#This Row],[Operating Time]])/IF(AC326&lt;=1,AC326+1,AC326))*60
   ),
"_")</f>
        <v>1</v>
      </c>
      <c r="AW326" s="221">
        <f>COUNTIFS('Downtime Data'!A:A,Table1[[#This Row],[Date]])</f>
        <v>0</v>
      </c>
      <c r="AX326" s="219" t="str">
        <f>IFERROR((SUM(Table1[[#This Row],[Minor Stoppages]:[Material Shortages]])/Table1[[#This Row],['# Stops]])*60,"")</f>
        <v/>
      </c>
      <c r="AY326" s="219"/>
      <c r="AZ326" s="33">
        <v>46352</v>
      </c>
    </row>
    <row r="327" spans="1:52" ht="20.149999999999999" customHeight="1" x14ac:dyDescent="0.35">
      <c r="A327" s="21">
        <v>46344</v>
      </c>
      <c r="B327" s="22" t="str">
        <f t="shared" si="6"/>
        <v>Wednesday</v>
      </c>
      <c r="C327" s="23"/>
      <c r="D327" s="24" t="str" cm="1">
        <f t="array" aca="1" ref="D327" ca="1">IFERROR(INDIRECT(C327),"")</f>
        <v/>
      </c>
      <c r="E327" s="25"/>
      <c r="F327" s="26"/>
      <c r="G327" s="27" t="str">
        <f ca="1">IFERROR((Table1[[#This Row],[Plan]]/Table1[[#This Row],[Hours Used]])/(Table1[[#This Row],[SOC (TPD)]]/24),"")</f>
        <v/>
      </c>
      <c r="H327" s="27" t="str">
        <f ca="1">IFERROR((Table1[[#This Row],[Volume Delivered (T)]]/Table1[[#This Row],[Hours Used]])/(Table1[[#This Row],[SOC (TPD)]]/24),"")</f>
        <v/>
      </c>
      <c r="I327" s="28"/>
      <c r="J327" s="28"/>
      <c r="K327" s="28"/>
      <c r="L327" s="25"/>
      <c r="M327" s="29"/>
      <c r="N327" s="84"/>
      <c r="O327" s="25"/>
      <c r="P327" s="25"/>
      <c r="Q327" s="70"/>
      <c r="R327" s="71"/>
      <c r="S327" s="30">
        <f>IF(Table1[[#This Row],[SKU]]="",0,24-Table1[[#This Row],[Legal Non-Operating Time]]-Table1[[#This Row],[No Demand Time]]-Table1[[#This Row],[Force Majeure]])</f>
        <v>0</v>
      </c>
      <c r="T327" s="26"/>
      <c r="U327" s="26"/>
      <c r="V327" s="26"/>
      <c r="W327" s="26"/>
      <c r="X327" s="26"/>
      <c r="Y327" s="26"/>
      <c r="Z327" s="26"/>
      <c r="AA327" s="30">
        <f>Table1[[#This Row],[Hours Used]]-SUM(Table1[[#This Row],[Planned Maintenance]:[Start and Finish Production]])</f>
        <v>0</v>
      </c>
      <c r="AB327" s="26"/>
      <c r="AC327" s="26"/>
      <c r="AD327" s="26"/>
      <c r="AE327" s="26"/>
      <c r="AF327" s="26"/>
      <c r="AG327" s="26"/>
      <c r="AH327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327" s="24">
        <f>IFERROR(IF(Table1[[#This Row],[SKU]]="",0,Table1[[#This Row],[Quality Loss (T)]]/(Table1[[#This Row],[SOC (TPD)]]/24)),"")</f>
        <v>0</v>
      </c>
      <c r="AJ327" s="31">
        <f>IFERROR(IF(Table1[[#This Row],[SKU]]="",0,Table1[[#This Row],[Volume Delivered (T)]]/(Table1[[#This Row],[SOC (TPD)]]/24)),"")</f>
        <v>0</v>
      </c>
      <c r="AK327" s="31" t="str">
        <f>IFERROR(Table1[[#This Row],[Operating Time]]/Table1[[#This Row],[PRODUCTION HOURS]],"")</f>
        <v/>
      </c>
      <c r="AL327" s="32"/>
      <c r="AM327" s="32"/>
      <c r="AN327" s="32"/>
      <c r="AO327" s="32">
        <v>0</v>
      </c>
      <c r="AP327" s="32">
        <v>0</v>
      </c>
      <c r="AQ327" s="32"/>
      <c r="AR327" s="32" t="str">
        <f>IFERROR(SUMIFS(#REF!,#REF!,'Data Sheet'!A:A,#REF!,"Samridhi Perk Line")/SUMIFS(#REF!,#REF!,'Data Sheet'!A:A,#REF!,"Samridhi Perk Line"),"")</f>
        <v/>
      </c>
      <c r="AS327" s="32"/>
      <c r="AT327" s="32"/>
      <c r="AU327" s="211">
        <f>IFERROR(VLOOKUP(Table1[[#This Row],[Date]],'Overweight Data'!A325:G1420,6,FALSE),"")</f>
        <v>0</v>
      </c>
      <c r="AV327" s="221">
        <f>IFERROR(
   IF(
      OR(Table1[[#This Row],[Operating Time]]=0, (Table1[[#This Row],[Operating Time]]/IF(AC327&lt;=1,AC327+1,AC327))*60=0),
      1,
      ((Table1[[#This Row],[Operating Time]])/IF(AC327&lt;=1,AC327+1,AC327))*60
   ),
"_")</f>
        <v>1</v>
      </c>
      <c r="AW327" s="221">
        <f>COUNTIFS('Downtime Data'!A:A,Table1[[#This Row],[Date]])</f>
        <v>0</v>
      </c>
      <c r="AX327" s="219" t="str">
        <f>IFERROR((SUM(Table1[[#This Row],[Minor Stoppages]:[Material Shortages]])/Table1[[#This Row],['# Stops]])*60,"")</f>
        <v/>
      </c>
      <c r="AY327" s="219"/>
      <c r="AZ327" s="33">
        <v>46352</v>
      </c>
    </row>
    <row r="328" spans="1:52" ht="20.149999999999999" customHeight="1" x14ac:dyDescent="0.35">
      <c r="A328" s="21">
        <v>46345</v>
      </c>
      <c r="B328" s="22" t="str">
        <f t="shared" si="6"/>
        <v>Thursday</v>
      </c>
      <c r="C328" s="23"/>
      <c r="D328" s="24" t="str" cm="1">
        <f t="array" aca="1" ref="D328" ca="1">IFERROR(INDIRECT(C328),"")</f>
        <v/>
      </c>
      <c r="E328" s="25"/>
      <c r="F328" s="26"/>
      <c r="G328" s="27" t="str">
        <f ca="1">IFERROR((Table1[[#This Row],[Plan]]/Table1[[#This Row],[Hours Used]])/(Table1[[#This Row],[SOC (TPD)]]/24),"")</f>
        <v/>
      </c>
      <c r="H328" s="27" t="str">
        <f ca="1">IFERROR((Table1[[#This Row],[Volume Delivered (T)]]/Table1[[#This Row],[Hours Used]])/(Table1[[#This Row],[SOC (TPD)]]/24),"")</f>
        <v/>
      </c>
      <c r="I328" s="28"/>
      <c r="J328" s="28"/>
      <c r="K328" s="28"/>
      <c r="L328" s="25"/>
      <c r="M328" s="29"/>
      <c r="N328" s="84"/>
      <c r="O328" s="25"/>
      <c r="P328" s="25"/>
      <c r="Q328" s="70"/>
      <c r="R328" s="71"/>
      <c r="S328" s="30">
        <f>IF(Table1[[#This Row],[SKU]]="",0,24-Table1[[#This Row],[Legal Non-Operating Time]]-Table1[[#This Row],[No Demand Time]]-Table1[[#This Row],[Force Majeure]])</f>
        <v>0</v>
      </c>
      <c r="T328" s="26"/>
      <c r="U328" s="26"/>
      <c r="V328" s="26"/>
      <c r="W328" s="26"/>
      <c r="X328" s="26"/>
      <c r="Y328" s="26"/>
      <c r="Z328" s="26"/>
      <c r="AA328" s="30">
        <f>Table1[[#This Row],[Hours Used]]-SUM(Table1[[#This Row],[Planned Maintenance]:[Start and Finish Production]])</f>
        <v>0</v>
      </c>
      <c r="AB328" s="26"/>
      <c r="AC328" s="26"/>
      <c r="AD328" s="26"/>
      <c r="AE328" s="26"/>
      <c r="AF328" s="26"/>
      <c r="AG328" s="26"/>
      <c r="AH328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328" s="24">
        <f>IFERROR(IF(Table1[[#This Row],[SKU]]="",0,Table1[[#This Row],[Quality Loss (T)]]/(Table1[[#This Row],[SOC (TPD)]]/24)),"")</f>
        <v>0</v>
      </c>
      <c r="AJ328" s="31">
        <f>IFERROR(IF(Table1[[#This Row],[SKU]]="",0,Table1[[#This Row],[Volume Delivered (T)]]/(Table1[[#This Row],[SOC (TPD)]]/24)),"")</f>
        <v>0</v>
      </c>
      <c r="AK328" s="31" t="str">
        <f>IFERROR(Table1[[#This Row],[Operating Time]]/Table1[[#This Row],[PRODUCTION HOURS]],"")</f>
        <v/>
      </c>
      <c r="AL328" s="32"/>
      <c r="AM328" s="32"/>
      <c r="AN328" s="32"/>
      <c r="AO328" s="32">
        <v>0</v>
      </c>
      <c r="AP328" s="32">
        <v>0</v>
      </c>
      <c r="AQ328" s="32"/>
      <c r="AR328" s="32" t="str">
        <f>IFERROR(SUMIFS(#REF!,#REF!,'Data Sheet'!A:A,#REF!,"Samridhi Perk Line")/SUMIFS(#REF!,#REF!,'Data Sheet'!A:A,#REF!,"Samridhi Perk Line"),"")</f>
        <v/>
      </c>
      <c r="AS328" s="32"/>
      <c r="AT328" s="32"/>
      <c r="AU328" s="211">
        <f>IFERROR(VLOOKUP(Table1[[#This Row],[Date]],'Overweight Data'!A326:G1421,6,FALSE),"")</f>
        <v>0</v>
      </c>
      <c r="AV328" s="221">
        <f>IFERROR(
   IF(
      OR(Table1[[#This Row],[Operating Time]]=0, (Table1[[#This Row],[Operating Time]]/IF(AC328&lt;=1,AC328+1,AC328))*60=0),
      1,
      ((Table1[[#This Row],[Operating Time]])/IF(AC328&lt;=1,AC328+1,AC328))*60
   ),
"_")</f>
        <v>1</v>
      </c>
      <c r="AW328" s="221">
        <f>COUNTIFS('Downtime Data'!A:A,Table1[[#This Row],[Date]])</f>
        <v>0</v>
      </c>
      <c r="AX328" s="219" t="str">
        <f>IFERROR((SUM(Table1[[#This Row],[Minor Stoppages]:[Material Shortages]])/Table1[[#This Row],['# Stops]])*60,"")</f>
        <v/>
      </c>
      <c r="AY328" s="219"/>
      <c r="AZ328" s="33">
        <v>46352</v>
      </c>
    </row>
    <row r="329" spans="1:52" ht="20.149999999999999" customHeight="1" x14ac:dyDescent="0.35">
      <c r="A329" s="21">
        <v>46346</v>
      </c>
      <c r="B329" s="22" t="str">
        <f t="shared" si="6"/>
        <v>Friday</v>
      </c>
      <c r="C329" s="23"/>
      <c r="D329" s="24" t="str" cm="1">
        <f t="array" aca="1" ref="D329" ca="1">IFERROR(INDIRECT(C329),"")</f>
        <v/>
      </c>
      <c r="E329" s="25"/>
      <c r="F329" s="26"/>
      <c r="G329" s="27" t="str">
        <f ca="1">IFERROR((Table1[[#This Row],[Plan]]/Table1[[#This Row],[Hours Used]])/(Table1[[#This Row],[SOC (TPD)]]/24),"")</f>
        <v/>
      </c>
      <c r="H329" s="27" t="str">
        <f ca="1">IFERROR((Table1[[#This Row],[Volume Delivered (T)]]/Table1[[#This Row],[Hours Used]])/(Table1[[#This Row],[SOC (TPD)]]/24),"")</f>
        <v/>
      </c>
      <c r="I329" s="28"/>
      <c r="J329" s="28"/>
      <c r="K329" s="28"/>
      <c r="L329" s="25"/>
      <c r="M329" s="29"/>
      <c r="N329" s="84"/>
      <c r="O329" s="25"/>
      <c r="P329" s="25"/>
      <c r="Q329" s="70"/>
      <c r="R329" s="71"/>
      <c r="S329" s="30">
        <f>IF(Table1[[#This Row],[SKU]]="",0,24-Table1[[#This Row],[Legal Non-Operating Time]]-Table1[[#This Row],[No Demand Time]]-Table1[[#This Row],[Force Majeure]])</f>
        <v>0</v>
      </c>
      <c r="T329" s="26"/>
      <c r="U329" s="26"/>
      <c r="V329" s="26"/>
      <c r="W329" s="26"/>
      <c r="X329" s="26"/>
      <c r="Y329" s="26"/>
      <c r="Z329" s="26"/>
      <c r="AA329" s="30">
        <f>Table1[[#This Row],[Hours Used]]-SUM(Table1[[#This Row],[Planned Maintenance]:[Start and Finish Production]])</f>
        <v>0</v>
      </c>
      <c r="AB329" s="26"/>
      <c r="AC329" s="26"/>
      <c r="AD329" s="26"/>
      <c r="AE329" s="26"/>
      <c r="AF329" s="26"/>
      <c r="AG329" s="26"/>
      <c r="AH329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329" s="24">
        <f>IFERROR(IF(Table1[[#This Row],[SKU]]="",0,Table1[[#This Row],[Quality Loss (T)]]/(Table1[[#This Row],[SOC (TPD)]]/24)),"")</f>
        <v>0</v>
      </c>
      <c r="AJ329" s="31">
        <f>IFERROR(IF(Table1[[#This Row],[SKU]]="",0,Table1[[#This Row],[Volume Delivered (T)]]/(Table1[[#This Row],[SOC (TPD)]]/24)),"")</f>
        <v>0</v>
      </c>
      <c r="AK329" s="31" t="str">
        <f>IFERROR(Table1[[#This Row],[Operating Time]]/Table1[[#This Row],[PRODUCTION HOURS]],"")</f>
        <v/>
      </c>
      <c r="AL329" s="32"/>
      <c r="AM329" s="32"/>
      <c r="AN329" s="32"/>
      <c r="AO329" s="32">
        <v>4</v>
      </c>
      <c r="AP329" s="32">
        <v>0</v>
      </c>
      <c r="AQ329" s="32"/>
      <c r="AR329" s="32" t="str">
        <f>IFERROR(SUMIFS(#REF!,#REF!,'Data Sheet'!A:A,#REF!,"Samridhi Perk Line")/SUMIFS(#REF!,#REF!,'Data Sheet'!A:A,#REF!,"Samridhi Perk Line"),"")</f>
        <v/>
      </c>
      <c r="AS329" s="32"/>
      <c r="AT329" s="32"/>
      <c r="AU329" s="211">
        <f>IFERROR(VLOOKUP(Table1[[#This Row],[Date]],'Overweight Data'!A327:G1422,6,FALSE),"")</f>
        <v>0</v>
      </c>
      <c r="AV329" s="221">
        <f>IFERROR(
   IF(
      OR(Table1[[#This Row],[Operating Time]]=0, (Table1[[#This Row],[Operating Time]]/IF(AC329&lt;=1,AC329+1,AC329))*60=0),
      1,
      ((Table1[[#This Row],[Operating Time]])/IF(AC329&lt;=1,AC329+1,AC329))*60
   ),
"_")</f>
        <v>1</v>
      </c>
      <c r="AW329" s="221">
        <f>COUNTIFS('Downtime Data'!A:A,Table1[[#This Row],[Date]])</f>
        <v>0</v>
      </c>
      <c r="AX329" s="219" t="str">
        <f>IFERROR((SUM(Table1[[#This Row],[Minor Stoppages]:[Material Shortages]])/Table1[[#This Row],['# Stops]])*60,"")</f>
        <v/>
      </c>
      <c r="AY329" s="219"/>
      <c r="AZ329" s="33">
        <v>46352</v>
      </c>
    </row>
    <row r="330" spans="1:52" ht="20.149999999999999" customHeight="1" x14ac:dyDescent="0.35">
      <c r="A330" s="21">
        <v>46347</v>
      </c>
      <c r="B330" s="22" t="str">
        <f t="shared" si="6"/>
        <v>Saturday</v>
      </c>
      <c r="C330" s="23"/>
      <c r="D330" s="24" t="str" cm="1">
        <f t="array" aca="1" ref="D330" ca="1">IFERROR(INDIRECT(C330),"")</f>
        <v/>
      </c>
      <c r="E330" s="25"/>
      <c r="F330" s="26"/>
      <c r="G330" s="27" t="str">
        <f ca="1">IFERROR((Table1[[#This Row],[Plan]]/Table1[[#This Row],[Hours Used]])/(Table1[[#This Row],[SOC (TPD)]]/24),"")</f>
        <v/>
      </c>
      <c r="H330" s="27" t="str">
        <f ca="1">IFERROR((Table1[[#This Row],[Volume Delivered (T)]]/Table1[[#This Row],[Hours Used]])/(Table1[[#This Row],[SOC (TPD)]]/24),"")</f>
        <v/>
      </c>
      <c r="I330" s="28"/>
      <c r="J330" s="28"/>
      <c r="K330" s="28"/>
      <c r="L330" s="25"/>
      <c r="M330" s="29"/>
      <c r="N330" s="84"/>
      <c r="O330" s="25"/>
      <c r="P330" s="25"/>
      <c r="Q330" s="70"/>
      <c r="R330" s="71"/>
      <c r="S330" s="30">
        <f>IF(Table1[[#This Row],[SKU]]="",0,24-Table1[[#This Row],[Legal Non-Operating Time]]-Table1[[#This Row],[No Demand Time]]-Table1[[#This Row],[Force Majeure]])</f>
        <v>0</v>
      </c>
      <c r="T330" s="26"/>
      <c r="U330" s="26"/>
      <c r="V330" s="26"/>
      <c r="W330" s="26"/>
      <c r="X330" s="26"/>
      <c r="Y330" s="26"/>
      <c r="Z330" s="26"/>
      <c r="AA330" s="30">
        <f>Table1[[#This Row],[Hours Used]]-SUM(Table1[[#This Row],[Planned Maintenance]:[Start and Finish Production]])</f>
        <v>0</v>
      </c>
      <c r="AB330" s="26"/>
      <c r="AC330" s="26"/>
      <c r="AD330" s="26"/>
      <c r="AE330" s="26"/>
      <c r="AF330" s="26"/>
      <c r="AG330" s="26"/>
      <c r="AH330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330" s="24">
        <f>IFERROR(IF(Table1[[#This Row],[SKU]]="",0,Table1[[#This Row],[Quality Loss (T)]]/(Table1[[#This Row],[SOC (TPD)]]/24)),"")</f>
        <v>0</v>
      </c>
      <c r="AJ330" s="31">
        <f>IFERROR(IF(Table1[[#This Row],[SKU]]="",0,Table1[[#This Row],[Volume Delivered (T)]]/(Table1[[#This Row],[SOC (TPD)]]/24)),"")</f>
        <v>0</v>
      </c>
      <c r="AK330" s="31" t="str">
        <f>IFERROR(Table1[[#This Row],[Operating Time]]/Table1[[#This Row],[PRODUCTION HOURS]],"")</f>
        <v/>
      </c>
      <c r="AL330" s="32"/>
      <c r="AM330" s="32"/>
      <c r="AN330" s="32"/>
      <c r="AO330" s="32">
        <v>0</v>
      </c>
      <c r="AP330" s="32">
        <v>0</v>
      </c>
      <c r="AQ330" s="32"/>
      <c r="AR330" s="32" t="str">
        <f>IFERROR(SUMIFS(#REF!,#REF!,'Data Sheet'!A:A,#REF!,"Samridhi Perk Line")/SUMIFS(#REF!,#REF!,'Data Sheet'!A:A,#REF!,"Samridhi Perk Line"),"")</f>
        <v/>
      </c>
      <c r="AS330" s="32"/>
      <c r="AT330" s="32"/>
      <c r="AU330" s="211">
        <f>IFERROR(VLOOKUP(Table1[[#This Row],[Date]],'Overweight Data'!A328:G1423,6,FALSE),"")</f>
        <v>0</v>
      </c>
      <c r="AV330" s="221">
        <f>IFERROR(
   IF(
      OR(Table1[[#This Row],[Operating Time]]=0, (Table1[[#This Row],[Operating Time]]/IF(AC330&lt;=1,AC330+1,AC330))*60=0),
      1,
      ((Table1[[#This Row],[Operating Time]])/IF(AC330&lt;=1,AC330+1,AC330))*60
   ),
"_")</f>
        <v>1</v>
      </c>
      <c r="AW330" s="221">
        <f>COUNTIFS('Downtime Data'!A:A,Table1[[#This Row],[Date]])</f>
        <v>0</v>
      </c>
      <c r="AX330" s="219" t="str">
        <f>IFERROR((SUM(Table1[[#This Row],[Minor Stoppages]:[Material Shortages]])/Table1[[#This Row],['# Stops]])*60,"")</f>
        <v/>
      </c>
      <c r="AY330" s="219"/>
      <c r="AZ330" s="33">
        <v>46352</v>
      </c>
    </row>
    <row r="331" spans="1:52" ht="20.149999999999999" customHeight="1" x14ac:dyDescent="0.35">
      <c r="A331" s="21">
        <v>46348</v>
      </c>
      <c r="B331" s="22" t="str">
        <f t="shared" ref="B331:B373" si="7">IF(A331="","",TEXT(A331,"dddddd"))</f>
        <v>Sunday</v>
      </c>
      <c r="C331" s="23"/>
      <c r="D331" s="24" t="str" cm="1">
        <f t="array" aca="1" ref="D331" ca="1">IFERROR(INDIRECT(C331),"")</f>
        <v/>
      </c>
      <c r="E331" s="25"/>
      <c r="F331" s="26"/>
      <c r="G331" s="27" t="str">
        <f ca="1">IFERROR((Table1[[#This Row],[Plan]]/Table1[[#This Row],[Hours Used]])/(Table1[[#This Row],[SOC (TPD)]]/24),"")</f>
        <v/>
      </c>
      <c r="H331" s="27" t="str">
        <f ca="1">IFERROR((Table1[[#This Row],[Volume Delivered (T)]]/Table1[[#This Row],[Hours Used]])/(Table1[[#This Row],[SOC (TPD)]]/24),"")</f>
        <v/>
      </c>
      <c r="I331" s="28"/>
      <c r="J331" s="28"/>
      <c r="K331" s="28"/>
      <c r="L331" s="25"/>
      <c r="M331" s="29"/>
      <c r="N331" s="84"/>
      <c r="O331" s="25"/>
      <c r="P331" s="25"/>
      <c r="Q331" s="70"/>
      <c r="R331" s="71"/>
      <c r="S331" s="30">
        <f>IF(Table1[[#This Row],[SKU]]="",0,24-Table1[[#This Row],[Legal Non-Operating Time]]-Table1[[#This Row],[No Demand Time]]-Table1[[#This Row],[Force Majeure]])</f>
        <v>0</v>
      </c>
      <c r="T331" s="26"/>
      <c r="U331" s="26"/>
      <c r="V331" s="26"/>
      <c r="W331" s="26"/>
      <c r="X331" s="26"/>
      <c r="Y331" s="26"/>
      <c r="Z331" s="26"/>
      <c r="AA331" s="30">
        <f>Table1[[#This Row],[Hours Used]]-SUM(Table1[[#This Row],[Planned Maintenance]:[Start and Finish Production]])</f>
        <v>0</v>
      </c>
      <c r="AB331" s="26"/>
      <c r="AC331" s="26"/>
      <c r="AD331" s="26"/>
      <c r="AE331" s="26"/>
      <c r="AF331" s="26"/>
      <c r="AG331" s="26"/>
      <c r="AH331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331" s="24">
        <f>IFERROR(IF(Table1[[#This Row],[SKU]]="",0,Table1[[#This Row],[Quality Loss (T)]]/(Table1[[#This Row],[SOC (TPD)]]/24)),"")</f>
        <v>0</v>
      </c>
      <c r="AJ331" s="31">
        <f>IFERROR(IF(Table1[[#This Row],[SKU]]="",0,Table1[[#This Row],[Volume Delivered (T)]]/(Table1[[#This Row],[SOC (TPD)]]/24)),"")</f>
        <v>0</v>
      </c>
      <c r="AK331" s="31" t="str">
        <f>IFERROR(Table1[[#This Row],[Operating Time]]/Table1[[#This Row],[PRODUCTION HOURS]],"")</f>
        <v/>
      </c>
      <c r="AL331" s="32"/>
      <c r="AM331" s="32"/>
      <c r="AN331" s="32"/>
      <c r="AO331" s="32">
        <v>6</v>
      </c>
      <c r="AP331" s="32">
        <v>0</v>
      </c>
      <c r="AQ331" s="32"/>
      <c r="AR331" s="32" t="str">
        <f>IFERROR(SUMIFS(#REF!,#REF!,'Data Sheet'!A:A,#REF!,"Samridhi Perk Line")/SUMIFS(#REF!,#REF!,'Data Sheet'!A:A,#REF!,"Samridhi Perk Line"),"")</f>
        <v/>
      </c>
      <c r="AS331" s="32"/>
      <c r="AT331" s="32"/>
      <c r="AU331" s="211">
        <f>IFERROR(VLOOKUP(Table1[[#This Row],[Date]],'Overweight Data'!A329:G1424,6,FALSE),"")</f>
        <v>0</v>
      </c>
      <c r="AV331" s="221">
        <f>IFERROR(
   IF(
      OR(Table1[[#This Row],[Operating Time]]=0, (Table1[[#This Row],[Operating Time]]/IF(AC331&lt;=1,AC331+1,AC331))*60=0),
      1,
      ((Table1[[#This Row],[Operating Time]])/IF(AC331&lt;=1,AC331+1,AC331))*60
   ),
"_")</f>
        <v>1</v>
      </c>
      <c r="AW331" s="221">
        <f>COUNTIFS('Downtime Data'!A:A,Table1[[#This Row],[Date]])</f>
        <v>0</v>
      </c>
      <c r="AX331" s="219" t="str">
        <f>IFERROR((SUM(Table1[[#This Row],[Minor Stoppages]:[Material Shortages]])/Table1[[#This Row],['# Stops]])*60,"")</f>
        <v/>
      </c>
      <c r="AY331" s="219"/>
      <c r="AZ331" s="33">
        <v>46352</v>
      </c>
    </row>
    <row r="332" spans="1:52" ht="20.149999999999999" customHeight="1" x14ac:dyDescent="0.35">
      <c r="A332" s="21">
        <v>46349</v>
      </c>
      <c r="B332" s="22" t="str">
        <f t="shared" si="7"/>
        <v>Monday</v>
      </c>
      <c r="C332" s="23"/>
      <c r="D332" s="24" t="str" cm="1">
        <f t="array" aca="1" ref="D332" ca="1">IFERROR(INDIRECT(C332),"")</f>
        <v/>
      </c>
      <c r="E332" s="25"/>
      <c r="F332" s="26"/>
      <c r="G332" s="27" t="str">
        <f ca="1">IFERROR((Table1[[#This Row],[Plan]]/Table1[[#This Row],[Hours Used]])/(Table1[[#This Row],[SOC (TPD)]]/24),"")</f>
        <v/>
      </c>
      <c r="H332" s="27" t="str">
        <f ca="1">IFERROR((Table1[[#This Row],[Volume Delivered (T)]]/Table1[[#This Row],[Hours Used]])/(Table1[[#This Row],[SOC (TPD)]]/24),"")</f>
        <v/>
      </c>
      <c r="I332" s="28"/>
      <c r="J332" s="28"/>
      <c r="K332" s="28"/>
      <c r="L332" s="25"/>
      <c r="M332" s="29"/>
      <c r="N332" s="84"/>
      <c r="O332" s="25"/>
      <c r="P332" s="25"/>
      <c r="Q332" s="70"/>
      <c r="R332" s="71"/>
      <c r="S332" s="30">
        <f>IF(Table1[[#This Row],[SKU]]="",0,24-Table1[[#This Row],[Legal Non-Operating Time]]-Table1[[#This Row],[No Demand Time]]-Table1[[#This Row],[Force Majeure]])</f>
        <v>0</v>
      </c>
      <c r="T332" s="26"/>
      <c r="U332" s="26"/>
      <c r="V332" s="26"/>
      <c r="W332" s="26"/>
      <c r="X332" s="26"/>
      <c r="Y332" s="26"/>
      <c r="Z332" s="26"/>
      <c r="AA332" s="30">
        <f>Table1[[#This Row],[Hours Used]]-SUM(Table1[[#This Row],[Planned Maintenance]:[Start and Finish Production]])</f>
        <v>0</v>
      </c>
      <c r="AB332" s="26"/>
      <c r="AC332" s="26"/>
      <c r="AD332" s="26"/>
      <c r="AE332" s="26"/>
      <c r="AF332" s="26"/>
      <c r="AG332" s="26"/>
      <c r="AH332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332" s="24">
        <f>IFERROR(IF(Table1[[#This Row],[SKU]]="",0,Table1[[#This Row],[Quality Loss (T)]]/(Table1[[#This Row],[SOC (TPD)]]/24)),"")</f>
        <v>0</v>
      </c>
      <c r="AJ332" s="31">
        <f>IFERROR(IF(Table1[[#This Row],[SKU]]="",0,Table1[[#This Row],[Volume Delivered (T)]]/(Table1[[#This Row],[SOC (TPD)]]/24)),"")</f>
        <v>0</v>
      </c>
      <c r="AK332" s="31" t="str">
        <f>IFERROR(Table1[[#This Row],[Operating Time]]/Table1[[#This Row],[PRODUCTION HOURS]],"")</f>
        <v/>
      </c>
      <c r="AL332" s="32"/>
      <c r="AM332" s="32"/>
      <c r="AN332" s="32"/>
      <c r="AO332" s="32">
        <v>0</v>
      </c>
      <c r="AP332" s="32">
        <v>0</v>
      </c>
      <c r="AQ332" s="32"/>
      <c r="AR332" s="32" t="str">
        <f>IFERROR(SUMIFS(#REF!,#REF!,'Data Sheet'!A:A,#REF!,"Samridhi Perk Line")/SUMIFS(#REF!,#REF!,'Data Sheet'!A:A,#REF!,"Samridhi Perk Line"),"")</f>
        <v/>
      </c>
      <c r="AS332" s="32"/>
      <c r="AT332" s="32"/>
      <c r="AU332" s="211">
        <f>IFERROR(VLOOKUP(Table1[[#This Row],[Date]],'Overweight Data'!A330:G1425,6,FALSE),"")</f>
        <v>0</v>
      </c>
      <c r="AV332" s="221">
        <f>IFERROR(
   IF(
      OR(Table1[[#This Row],[Operating Time]]=0, (Table1[[#This Row],[Operating Time]]/IF(AC332&lt;=1,AC332+1,AC332))*60=0),
      1,
      ((Table1[[#This Row],[Operating Time]])/IF(AC332&lt;=1,AC332+1,AC332))*60
   ),
"_")</f>
        <v>1</v>
      </c>
      <c r="AW332" s="221">
        <f>COUNTIFS('Downtime Data'!A:A,Table1[[#This Row],[Date]])</f>
        <v>0</v>
      </c>
      <c r="AX332" s="219" t="str">
        <f>IFERROR((SUM(Table1[[#This Row],[Minor Stoppages]:[Material Shortages]])/Table1[[#This Row],['# Stops]])*60,"")</f>
        <v/>
      </c>
      <c r="AY332" s="219"/>
      <c r="AZ332" s="33">
        <v>46352</v>
      </c>
    </row>
    <row r="333" spans="1:52" ht="20.149999999999999" customHeight="1" x14ac:dyDescent="0.35">
      <c r="A333" s="21">
        <v>46350</v>
      </c>
      <c r="B333" s="22" t="str">
        <f t="shared" si="7"/>
        <v>Tuesday</v>
      </c>
      <c r="C333" s="23"/>
      <c r="D333" s="24" t="str" cm="1">
        <f t="array" aca="1" ref="D333" ca="1">IFERROR(INDIRECT(C333),"")</f>
        <v/>
      </c>
      <c r="E333" s="25"/>
      <c r="F333" s="26"/>
      <c r="G333" s="27" t="str">
        <f ca="1">IFERROR((Table1[[#This Row],[Plan]]/Table1[[#This Row],[Hours Used]])/(Table1[[#This Row],[SOC (TPD)]]/24),"")</f>
        <v/>
      </c>
      <c r="H333" s="27" t="str">
        <f ca="1">IFERROR((Table1[[#This Row],[Volume Delivered (T)]]/Table1[[#This Row],[Hours Used]])/(Table1[[#This Row],[SOC (TPD)]]/24),"")</f>
        <v/>
      </c>
      <c r="I333" s="28"/>
      <c r="J333" s="28"/>
      <c r="K333" s="28"/>
      <c r="L333" s="25"/>
      <c r="M333" s="29"/>
      <c r="N333" s="84"/>
      <c r="O333" s="25"/>
      <c r="P333" s="25"/>
      <c r="Q333" s="70"/>
      <c r="R333" s="71"/>
      <c r="S333" s="30">
        <f>IF(Table1[[#This Row],[SKU]]="",0,24-Table1[[#This Row],[Legal Non-Operating Time]]-Table1[[#This Row],[No Demand Time]]-Table1[[#This Row],[Force Majeure]])</f>
        <v>0</v>
      </c>
      <c r="T333" s="26"/>
      <c r="U333" s="26"/>
      <c r="V333" s="26"/>
      <c r="W333" s="26"/>
      <c r="X333" s="26"/>
      <c r="Y333" s="26"/>
      <c r="Z333" s="26"/>
      <c r="AA333" s="30">
        <f>Table1[[#This Row],[Hours Used]]-SUM(Table1[[#This Row],[Planned Maintenance]:[Start and Finish Production]])</f>
        <v>0</v>
      </c>
      <c r="AB333" s="26"/>
      <c r="AC333" s="26"/>
      <c r="AD333" s="26"/>
      <c r="AE333" s="26"/>
      <c r="AF333" s="26"/>
      <c r="AG333" s="26"/>
      <c r="AH333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333" s="24">
        <f>IFERROR(IF(Table1[[#This Row],[SKU]]="",0,Table1[[#This Row],[Quality Loss (T)]]/(Table1[[#This Row],[SOC (TPD)]]/24)),"")</f>
        <v>0</v>
      </c>
      <c r="AJ333" s="31">
        <f>IFERROR(IF(Table1[[#This Row],[SKU]]="",0,Table1[[#This Row],[Volume Delivered (T)]]/(Table1[[#This Row],[SOC (TPD)]]/24)),"")</f>
        <v>0</v>
      </c>
      <c r="AK333" s="31" t="str">
        <f>IFERROR(Table1[[#This Row],[Operating Time]]/Table1[[#This Row],[PRODUCTION HOURS]],"")</f>
        <v/>
      </c>
      <c r="AL333" s="32"/>
      <c r="AM333" s="32"/>
      <c r="AN333" s="32"/>
      <c r="AO333" s="32">
        <v>0</v>
      </c>
      <c r="AP333" s="32">
        <v>0</v>
      </c>
      <c r="AQ333" s="32"/>
      <c r="AR333" s="32" t="str">
        <f>IFERROR(SUMIFS(#REF!,#REF!,'Data Sheet'!A:A,#REF!,"Samridhi Perk Line")/SUMIFS(#REF!,#REF!,'Data Sheet'!A:A,#REF!,"Samridhi Perk Line"),"")</f>
        <v/>
      </c>
      <c r="AS333" s="32"/>
      <c r="AT333" s="32"/>
      <c r="AU333" s="211">
        <f>IFERROR(VLOOKUP(Table1[[#This Row],[Date]],'Overweight Data'!A331:G1426,6,FALSE),"")</f>
        <v>0</v>
      </c>
      <c r="AV333" s="221">
        <f>IFERROR(
   IF(
      OR(Table1[[#This Row],[Operating Time]]=0, (Table1[[#This Row],[Operating Time]]/IF(AC333&lt;=1,AC333+1,AC333))*60=0),
      1,
      ((Table1[[#This Row],[Operating Time]])/IF(AC333&lt;=1,AC333+1,AC333))*60
   ),
"_")</f>
        <v>1</v>
      </c>
      <c r="AW333" s="221">
        <f>COUNTIFS('Downtime Data'!A:A,Table1[[#This Row],[Date]])</f>
        <v>0</v>
      </c>
      <c r="AX333" s="219" t="str">
        <f>IFERROR((SUM(Table1[[#This Row],[Minor Stoppages]:[Material Shortages]])/Table1[[#This Row],['# Stops]])*60,"")</f>
        <v/>
      </c>
      <c r="AY333" s="219"/>
      <c r="AZ333" s="33">
        <v>46352</v>
      </c>
    </row>
    <row r="334" spans="1:52" ht="20.149999999999999" customHeight="1" x14ac:dyDescent="0.35">
      <c r="A334" s="21">
        <v>46351</v>
      </c>
      <c r="B334" s="22" t="str">
        <f t="shared" si="7"/>
        <v>Wednesday</v>
      </c>
      <c r="C334" s="23"/>
      <c r="D334" s="24" t="str" cm="1">
        <f t="array" aca="1" ref="D334" ca="1">IFERROR(INDIRECT(C334),"")</f>
        <v/>
      </c>
      <c r="E334" s="25"/>
      <c r="F334" s="26"/>
      <c r="G334" s="27" t="str">
        <f ca="1">IFERROR((Table1[[#This Row],[Plan]]/Table1[[#This Row],[Hours Used]])/(Table1[[#This Row],[SOC (TPD)]]/24),"")</f>
        <v/>
      </c>
      <c r="H334" s="27" t="str">
        <f ca="1">IFERROR((Table1[[#This Row],[Volume Delivered (T)]]/Table1[[#This Row],[Hours Used]])/(Table1[[#This Row],[SOC (TPD)]]/24),"")</f>
        <v/>
      </c>
      <c r="I334" s="28"/>
      <c r="J334" s="28"/>
      <c r="K334" s="28"/>
      <c r="L334" s="25"/>
      <c r="M334" s="29"/>
      <c r="N334" s="84"/>
      <c r="O334" s="25"/>
      <c r="P334" s="25"/>
      <c r="Q334" s="70"/>
      <c r="R334" s="71"/>
      <c r="S334" s="30">
        <f>IF(Table1[[#This Row],[SKU]]="",0,24-Table1[[#This Row],[Legal Non-Operating Time]]-Table1[[#This Row],[No Demand Time]]-Table1[[#This Row],[Force Majeure]])</f>
        <v>0</v>
      </c>
      <c r="T334" s="26"/>
      <c r="U334" s="26"/>
      <c r="V334" s="26"/>
      <c r="W334" s="26"/>
      <c r="X334" s="26"/>
      <c r="Y334" s="26"/>
      <c r="Z334" s="26"/>
      <c r="AA334" s="30">
        <f>Table1[[#This Row],[Hours Used]]-SUM(Table1[[#This Row],[Planned Maintenance]:[Start and Finish Production]])</f>
        <v>0</v>
      </c>
      <c r="AB334" s="26"/>
      <c r="AC334" s="26"/>
      <c r="AD334" s="26"/>
      <c r="AE334" s="26"/>
      <c r="AF334" s="26"/>
      <c r="AG334" s="26"/>
      <c r="AH334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334" s="24">
        <f>IFERROR(IF(Table1[[#This Row],[SKU]]="",0,Table1[[#This Row],[Quality Loss (T)]]/(Table1[[#This Row],[SOC (TPD)]]/24)),"")</f>
        <v>0</v>
      </c>
      <c r="AJ334" s="31">
        <f>IFERROR(IF(Table1[[#This Row],[SKU]]="",0,Table1[[#This Row],[Volume Delivered (T)]]/(Table1[[#This Row],[SOC (TPD)]]/24)),"")</f>
        <v>0</v>
      </c>
      <c r="AK334" s="31" t="str">
        <f>IFERROR(Table1[[#This Row],[Operating Time]]/Table1[[#This Row],[PRODUCTION HOURS]],"")</f>
        <v/>
      </c>
      <c r="AL334" s="32"/>
      <c r="AM334" s="32"/>
      <c r="AN334" s="32"/>
      <c r="AO334" s="32">
        <v>1</v>
      </c>
      <c r="AP334" s="32">
        <v>0</v>
      </c>
      <c r="AQ334" s="32"/>
      <c r="AR334" s="32" t="str">
        <f>IFERROR(SUMIFS(#REF!,#REF!,'Data Sheet'!A:A,#REF!,"Samridhi Perk Line")/SUMIFS(#REF!,#REF!,'Data Sheet'!A:A,#REF!,"Samridhi Perk Line"),"")</f>
        <v/>
      </c>
      <c r="AS334" s="32"/>
      <c r="AT334" s="32"/>
      <c r="AU334" s="211">
        <f>IFERROR(VLOOKUP(Table1[[#This Row],[Date]],'Overweight Data'!A332:G1427,6,FALSE),"")</f>
        <v>0</v>
      </c>
      <c r="AV334" s="221">
        <f>IFERROR(
   IF(
      OR(Table1[[#This Row],[Operating Time]]=0, (Table1[[#This Row],[Operating Time]]/IF(AC334&lt;=1,AC334+1,AC334))*60=0),
      1,
      ((Table1[[#This Row],[Operating Time]])/IF(AC334&lt;=1,AC334+1,AC334))*60
   ),
"_")</f>
        <v>1</v>
      </c>
      <c r="AW334" s="221">
        <f>COUNTIFS('Downtime Data'!A:A,Table1[[#This Row],[Date]])</f>
        <v>0</v>
      </c>
      <c r="AX334" s="219" t="str">
        <f>IFERROR((SUM(Table1[[#This Row],[Minor Stoppages]:[Material Shortages]])/Table1[[#This Row],['# Stops]])*60,"")</f>
        <v/>
      </c>
      <c r="AY334" s="219"/>
      <c r="AZ334" s="33">
        <v>46352</v>
      </c>
    </row>
    <row r="335" spans="1:52" ht="20.149999999999999" customHeight="1" x14ac:dyDescent="0.35">
      <c r="A335" s="21">
        <v>46352</v>
      </c>
      <c r="B335" s="22" t="str">
        <f t="shared" si="7"/>
        <v>Thursday</v>
      </c>
      <c r="C335" s="23"/>
      <c r="D335" s="24" t="str" cm="1">
        <f t="array" aca="1" ref="D335" ca="1">IFERROR(INDIRECT(C335),"")</f>
        <v/>
      </c>
      <c r="E335" s="25"/>
      <c r="F335" s="26"/>
      <c r="G335" s="27" t="str">
        <f ca="1">IFERROR((Table1[[#This Row],[Plan]]/Table1[[#This Row],[Hours Used]])/(Table1[[#This Row],[SOC (TPD)]]/24),"")</f>
        <v/>
      </c>
      <c r="H335" s="27" t="str">
        <f ca="1">IFERROR((Table1[[#This Row],[Volume Delivered (T)]]/Table1[[#This Row],[Hours Used]])/(Table1[[#This Row],[SOC (TPD)]]/24),"")</f>
        <v/>
      </c>
      <c r="I335" s="28"/>
      <c r="J335" s="28"/>
      <c r="K335" s="28"/>
      <c r="L335" s="25"/>
      <c r="M335" s="29"/>
      <c r="N335" s="84"/>
      <c r="O335" s="25"/>
      <c r="P335" s="25"/>
      <c r="Q335" s="70"/>
      <c r="R335" s="71"/>
      <c r="S335" s="30">
        <f>IF(Table1[[#This Row],[SKU]]="",0,24-Table1[[#This Row],[Legal Non-Operating Time]]-Table1[[#This Row],[No Demand Time]]-Table1[[#This Row],[Force Majeure]])</f>
        <v>0</v>
      </c>
      <c r="T335" s="26"/>
      <c r="U335" s="26"/>
      <c r="V335" s="26"/>
      <c r="W335" s="26"/>
      <c r="X335" s="26"/>
      <c r="Y335" s="26"/>
      <c r="Z335" s="26"/>
      <c r="AA335" s="30">
        <f>Table1[[#This Row],[Hours Used]]-SUM(Table1[[#This Row],[Planned Maintenance]:[Start and Finish Production]])</f>
        <v>0</v>
      </c>
      <c r="AB335" s="26"/>
      <c r="AC335" s="26"/>
      <c r="AD335" s="26"/>
      <c r="AE335" s="26"/>
      <c r="AF335" s="26"/>
      <c r="AG335" s="26"/>
      <c r="AH335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335" s="24">
        <f>IFERROR(IF(Table1[[#This Row],[SKU]]="",0,Table1[[#This Row],[Quality Loss (T)]]/(Table1[[#This Row],[SOC (TPD)]]/24)),"")</f>
        <v>0</v>
      </c>
      <c r="AJ335" s="31">
        <f>IFERROR(IF(Table1[[#This Row],[SKU]]="",0,Table1[[#This Row],[Volume Delivered (T)]]/(Table1[[#This Row],[SOC (TPD)]]/24)),"")</f>
        <v>0</v>
      </c>
      <c r="AK335" s="31" t="str">
        <f>IFERROR(Table1[[#This Row],[Operating Time]]/Table1[[#This Row],[PRODUCTION HOURS]],"")</f>
        <v/>
      </c>
      <c r="AL335" s="32"/>
      <c r="AM335" s="32"/>
      <c r="AN335" s="32"/>
      <c r="AO335" s="32">
        <v>1</v>
      </c>
      <c r="AP335" s="32">
        <v>0</v>
      </c>
      <c r="AQ335" s="32"/>
      <c r="AR335" s="32" t="str">
        <f>IFERROR(SUMIFS(#REF!,#REF!,'Data Sheet'!A:A,#REF!,"Samridhi Perk Line")/SUMIFS(#REF!,#REF!,'Data Sheet'!A:A,#REF!,"Samridhi Perk Line"),"")</f>
        <v/>
      </c>
      <c r="AS335" s="32"/>
      <c r="AT335" s="32"/>
      <c r="AU335" s="211">
        <f>IFERROR(VLOOKUP(Table1[[#This Row],[Date]],'Overweight Data'!A333:G1428,6,FALSE),"")</f>
        <v>0</v>
      </c>
      <c r="AV335" s="221">
        <f>IFERROR(
   IF(
      OR(Table1[[#This Row],[Operating Time]]=0, (Table1[[#This Row],[Operating Time]]/IF(AC335&lt;=1,AC335+1,AC335))*60=0),
      1,
      ((Table1[[#This Row],[Operating Time]])/IF(AC335&lt;=1,AC335+1,AC335))*60
   ),
"_")</f>
        <v>1</v>
      </c>
      <c r="AW335" s="221">
        <f>COUNTIFS('Downtime Data'!A:A,Table1[[#This Row],[Date]])</f>
        <v>0</v>
      </c>
      <c r="AX335" s="219" t="str">
        <f>IFERROR((SUM(Table1[[#This Row],[Minor Stoppages]:[Material Shortages]])/Table1[[#This Row],['# Stops]])*60,"")</f>
        <v/>
      </c>
      <c r="AY335" s="219"/>
      <c r="AZ335" s="33">
        <v>46352</v>
      </c>
    </row>
    <row r="336" spans="1:52" ht="20.149999999999999" customHeight="1" x14ac:dyDescent="0.35">
      <c r="A336" s="21">
        <v>46353</v>
      </c>
      <c r="B336" s="22" t="str">
        <f t="shared" si="7"/>
        <v>Friday</v>
      </c>
      <c r="C336" s="23"/>
      <c r="D336" s="24" t="str" cm="1">
        <f t="array" aca="1" ref="D336" ca="1">IFERROR(INDIRECT(C336),"")</f>
        <v/>
      </c>
      <c r="E336" s="25"/>
      <c r="F336" s="26"/>
      <c r="G336" s="27" t="str">
        <f ca="1">IFERROR((Table1[[#This Row],[Plan]]/Table1[[#This Row],[Hours Used]])/(Table1[[#This Row],[SOC (TPD)]]/24),"")</f>
        <v/>
      </c>
      <c r="H336" s="27" t="str">
        <f ca="1">IFERROR((Table1[[#This Row],[Volume Delivered (T)]]/Table1[[#This Row],[Hours Used]])/(Table1[[#This Row],[SOC (TPD)]]/24),"")</f>
        <v/>
      </c>
      <c r="I336" s="28"/>
      <c r="J336" s="28"/>
      <c r="K336" s="28"/>
      <c r="L336" s="25"/>
      <c r="M336" s="29"/>
      <c r="N336" s="84"/>
      <c r="O336" s="25"/>
      <c r="P336" s="25"/>
      <c r="Q336" s="70"/>
      <c r="R336" s="71"/>
      <c r="S336" s="30">
        <f>IF(Table1[[#This Row],[SKU]]="",0,24-Table1[[#This Row],[Legal Non-Operating Time]]-Table1[[#This Row],[No Demand Time]]-Table1[[#This Row],[Force Majeure]])</f>
        <v>0</v>
      </c>
      <c r="T336" s="26"/>
      <c r="U336" s="26"/>
      <c r="V336" s="26"/>
      <c r="W336" s="26"/>
      <c r="X336" s="26"/>
      <c r="Y336" s="26"/>
      <c r="Z336" s="26"/>
      <c r="AA336" s="30">
        <f>Table1[[#This Row],[Hours Used]]-SUM(Table1[[#This Row],[Planned Maintenance]:[Start and Finish Production]])</f>
        <v>0</v>
      </c>
      <c r="AB336" s="26"/>
      <c r="AC336" s="26"/>
      <c r="AD336" s="26"/>
      <c r="AE336" s="26"/>
      <c r="AF336" s="26"/>
      <c r="AG336" s="26"/>
      <c r="AH336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336" s="24">
        <f>IFERROR(IF(Table1[[#This Row],[SKU]]="",0,Table1[[#This Row],[Quality Loss (T)]]/(Table1[[#This Row],[SOC (TPD)]]/24)),"")</f>
        <v>0</v>
      </c>
      <c r="AJ336" s="31">
        <f>IFERROR(IF(Table1[[#This Row],[SKU]]="",0,Table1[[#This Row],[Volume Delivered (T)]]/(Table1[[#This Row],[SOC (TPD)]]/24)),"")</f>
        <v>0</v>
      </c>
      <c r="AK336" s="31" t="str">
        <f>IFERROR(Table1[[#This Row],[Operating Time]]/Table1[[#This Row],[PRODUCTION HOURS]],"")</f>
        <v/>
      </c>
      <c r="AL336" s="32"/>
      <c r="AM336" s="32"/>
      <c r="AN336" s="32"/>
      <c r="AO336" s="32">
        <v>26</v>
      </c>
      <c r="AP336" s="32">
        <v>0</v>
      </c>
      <c r="AQ336" s="32"/>
      <c r="AR336" s="32" t="str">
        <f>IFERROR(SUMIFS(#REF!,#REF!,'Data Sheet'!A:A,#REF!,"Samridhi Perk Line")/SUMIFS(#REF!,#REF!,'Data Sheet'!A:A,#REF!,"Samridhi Perk Line"),"")</f>
        <v/>
      </c>
      <c r="AS336" s="32"/>
      <c r="AT336" s="32"/>
      <c r="AU336" s="211">
        <f>IFERROR(VLOOKUP(Table1[[#This Row],[Date]],'Overweight Data'!A334:G1429,6,FALSE),"")</f>
        <v>0</v>
      </c>
      <c r="AV336" s="221">
        <f>IFERROR(
   IF(
      OR(Table1[[#This Row],[Operating Time]]=0, (Table1[[#This Row],[Operating Time]]/IF(AC336&lt;=1,AC336+1,AC336))*60=0),
      1,
      ((Table1[[#This Row],[Operating Time]])/IF(AC336&lt;=1,AC336+1,AC336))*60
   ),
"_")</f>
        <v>1</v>
      </c>
      <c r="AW336" s="221">
        <f>COUNTIFS('Downtime Data'!A:A,Table1[[#This Row],[Date]])</f>
        <v>0</v>
      </c>
      <c r="AX336" s="219" t="str">
        <f>IFERROR((SUM(Table1[[#This Row],[Minor Stoppages]:[Material Shortages]])/Table1[[#This Row],['# Stops]])*60,"")</f>
        <v/>
      </c>
      <c r="AY336" s="219"/>
      <c r="AZ336" s="33">
        <v>46352</v>
      </c>
    </row>
    <row r="337" spans="1:52" ht="20.149999999999999" customHeight="1" x14ac:dyDescent="0.35">
      <c r="A337" s="21">
        <v>46354</v>
      </c>
      <c r="B337" s="22" t="str">
        <f t="shared" si="7"/>
        <v>Saturday</v>
      </c>
      <c r="C337" s="23"/>
      <c r="D337" s="24" t="str" cm="1">
        <f t="array" aca="1" ref="D337" ca="1">IFERROR(INDIRECT(C337),"")</f>
        <v/>
      </c>
      <c r="E337" s="25"/>
      <c r="F337" s="26"/>
      <c r="G337" s="27" t="str">
        <f ca="1">IFERROR((Table1[[#This Row],[Plan]]/Table1[[#This Row],[Hours Used]])/(Table1[[#This Row],[SOC (TPD)]]/24),"")</f>
        <v/>
      </c>
      <c r="H337" s="27" t="str">
        <f ca="1">IFERROR((Table1[[#This Row],[Volume Delivered (T)]]/Table1[[#This Row],[Hours Used]])/(Table1[[#This Row],[SOC (TPD)]]/24),"")</f>
        <v/>
      </c>
      <c r="I337" s="28"/>
      <c r="J337" s="28"/>
      <c r="K337" s="28"/>
      <c r="L337" s="25"/>
      <c r="M337" s="29"/>
      <c r="N337" s="84"/>
      <c r="O337" s="25"/>
      <c r="P337" s="25"/>
      <c r="Q337" s="70"/>
      <c r="R337" s="71"/>
      <c r="S337" s="30">
        <f>IF(Table1[[#This Row],[SKU]]="",0,24-Table1[[#This Row],[Legal Non-Operating Time]]-Table1[[#This Row],[No Demand Time]]-Table1[[#This Row],[Force Majeure]])</f>
        <v>0</v>
      </c>
      <c r="T337" s="26"/>
      <c r="U337" s="26"/>
      <c r="V337" s="26"/>
      <c r="W337" s="26"/>
      <c r="X337" s="26"/>
      <c r="Y337" s="26"/>
      <c r="Z337" s="26"/>
      <c r="AA337" s="30">
        <f>Table1[[#This Row],[Hours Used]]-SUM(Table1[[#This Row],[Planned Maintenance]:[Start and Finish Production]])</f>
        <v>0</v>
      </c>
      <c r="AB337" s="26"/>
      <c r="AC337" s="26"/>
      <c r="AD337" s="26"/>
      <c r="AE337" s="26"/>
      <c r="AF337" s="26"/>
      <c r="AG337" s="26"/>
      <c r="AH337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337" s="24">
        <f>IFERROR(IF(Table1[[#This Row],[SKU]]="",0,Table1[[#This Row],[Quality Loss (T)]]/(Table1[[#This Row],[SOC (TPD)]]/24)),"")</f>
        <v>0</v>
      </c>
      <c r="AJ337" s="31">
        <f>IFERROR(IF(Table1[[#This Row],[SKU]]="",0,Table1[[#This Row],[Volume Delivered (T)]]/(Table1[[#This Row],[SOC (TPD)]]/24)),"")</f>
        <v>0</v>
      </c>
      <c r="AK337" s="31" t="str">
        <f>IFERROR(Table1[[#This Row],[Operating Time]]/Table1[[#This Row],[PRODUCTION HOURS]],"")</f>
        <v/>
      </c>
      <c r="AL337" s="32"/>
      <c r="AM337" s="32"/>
      <c r="AN337" s="32"/>
      <c r="AO337" s="32">
        <v>25</v>
      </c>
      <c r="AP337" s="32">
        <v>0</v>
      </c>
      <c r="AQ337" s="32"/>
      <c r="AR337" s="32" t="str">
        <f>IFERROR(SUMIFS(#REF!,#REF!,'Data Sheet'!A:A,#REF!,"Samridhi Perk Line")/SUMIFS(#REF!,#REF!,'Data Sheet'!A:A,#REF!,"Samridhi Perk Line"),"")</f>
        <v/>
      </c>
      <c r="AS337" s="32"/>
      <c r="AT337" s="32"/>
      <c r="AU337" s="211">
        <f>IFERROR(VLOOKUP(Table1[[#This Row],[Date]],'Overweight Data'!A335:G1430,6,FALSE),"")</f>
        <v>0</v>
      </c>
      <c r="AV337" s="221">
        <f>IFERROR(
   IF(
      OR(Table1[[#This Row],[Operating Time]]=0, (Table1[[#This Row],[Operating Time]]/IF(AC337&lt;=1,AC337+1,AC337))*60=0),
      1,
      ((Table1[[#This Row],[Operating Time]])/IF(AC337&lt;=1,AC337+1,AC337))*60
   ),
"_")</f>
        <v>1</v>
      </c>
      <c r="AW337" s="221">
        <f>COUNTIFS('Downtime Data'!A:A,Table1[[#This Row],[Date]])</f>
        <v>0</v>
      </c>
      <c r="AX337" s="219" t="str">
        <f>IFERROR((SUM(Table1[[#This Row],[Minor Stoppages]:[Material Shortages]])/Table1[[#This Row],['# Stops]])*60,"")</f>
        <v/>
      </c>
      <c r="AY337" s="219"/>
      <c r="AZ337" s="33">
        <v>46352</v>
      </c>
    </row>
    <row r="338" spans="1:52" ht="20.149999999999999" customHeight="1" x14ac:dyDescent="0.35">
      <c r="A338" s="21">
        <v>46355</v>
      </c>
      <c r="B338" s="22" t="str">
        <f t="shared" si="7"/>
        <v>Sunday</v>
      </c>
      <c r="C338" s="23"/>
      <c r="D338" s="24" t="str" cm="1">
        <f t="array" aca="1" ref="D338" ca="1">IFERROR(INDIRECT(C338),"")</f>
        <v/>
      </c>
      <c r="E338" s="25"/>
      <c r="F338" s="26"/>
      <c r="G338" s="27" t="str">
        <f ca="1">IFERROR((Table1[[#This Row],[Plan]]/Table1[[#This Row],[Hours Used]])/(Table1[[#This Row],[SOC (TPD)]]/24),"")</f>
        <v/>
      </c>
      <c r="H338" s="27" t="str">
        <f ca="1">IFERROR((Table1[[#This Row],[Volume Delivered (T)]]/Table1[[#This Row],[Hours Used]])/(Table1[[#This Row],[SOC (TPD)]]/24),"")</f>
        <v/>
      </c>
      <c r="I338" s="28"/>
      <c r="J338" s="28"/>
      <c r="K338" s="28"/>
      <c r="L338" s="25"/>
      <c r="M338" s="29"/>
      <c r="N338" s="84"/>
      <c r="O338" s="25"/>
      <c r="P338" s="25"/>
      <c r="Q338" s="70"/>
      <c r="R338" s="71"/>
      <c r="S338" s="30">
        <f>IF(Table1[[#This Row],[SKU]]="",0,24-Table1[[#This Row],[Legal Non-Operating Time]]-Table1[[#This Row],[No Demand Time]]-Table1[[#This Row],[Force Majeure]])</f>
        <v>0</v>
      </c>
      <c r="T338" s="26"/>
      <c r="U338" s="26"/>
      <c r="V338" s="26"/>
      <c r="W338" s="26"/>
      <c r="X338" s="26"/>
      <c r="Y338" s="26"/>
      <c r="Z338" s="26"/>
      <c r="AA338" s="30">
        <f>Table1[[#This Row],[Hours Used]]-SUM(Table1[[#This Row],[Planned Maintenance]:[Start and Finish Production]])</f>
        <v>0</v>
      </c>
      <c r="AB338" s="26"/>
      <c r="AC338" s="26"/>
      <c r="AD338" s="26"/>
      <c r="AE338" s="26"/>
      <c r="AF338" s="26"/>
      <c r="AG338" s="26"/>
      <c r="AH338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338" s="24">
        <f>IFERROR(IF(Table1[[#This Row],[SKU]]="",0,Table1[[#This Row],[Quality Loss (T)]]/(Table1[[#This Row],[SOC (TPD)]]/24)),"")</f>
        <v>0</v>
      </c>
      <c r="AJ338" s="31">
        <f>IFERROR(IF(Table1[[#This Row],[SKU]]="",0,Table1[[#This Row],[Volume Delivered (T)]]/(Table1[[#This Row],[SOC (TPD)]]/24)),"")</f>
        <v>0</v>
      </c>
      <c r="AK338" s="31" t="str">
        <f>IFERROR(Table1[[#This Row],[Operating Time]]/Table1[[#This Row],[PRODUCTION HOURS]],"")</f>
        <v/>
      </c>
      <c r="AL338" s="32"/>
      <c r="AM338" s="32"/>
      <c r="AN338" s="32"/>
      <c r="AO338" s="32">
        <v>2</v>
      </c>
      <c r="AP338" s="32">
        <v>0</v>
      </c>
      <c r="AQ338" s="32"/>
      <c r="AR338" s="32" t="str">
        <f>IFERROR(SUMIFS(#REF!,#REF!,'Data Sheet'!A:A,#REF!,"Samridhi Perk Line")/SUMIFS(#REF!,#REF!,'Data Sheet'!A:A,#REF!,"Samridhi Perk Line"),"")</f>
        <v/>
      </c>
      <c r="AS338" s="32"/>
      <c r="AT338" s="32"/>
      <c r="AU338" s="211">
        <f>IFERROR(VLOOKUP(Table1[[#This Row],[Date]],'Overweight Data'!A336:G1431,6,FALSE),"")</f>
        <v>0</v>
      </c>
      <c r="AV338" s="221">
        <f>IFERROR(
   IF(
      OR(Table1[[#This Row],[Operating Time]]=0, (Table1[[#This Row],[Operating Time]]/IF(AC338&lt;=1,AC338+1,AC338))*60=0),
      1,
      ((Table1[[#This Row],[Operating Time]])/IF(AC338&lt;=1,AC338+1,AC338))*60
   ),
"_")</f>
        <v>1</v>
      </c>
      <c r="AW338" s="221">
        <f>COUNTIFS('Downtime Data'!A:A,Table1[[#This Row],[Date]])</f>
        <v>0</v>
      </c>
      <c r="AX338" s="219" t="str">
        <f>IFERROR((SUM(Table1[[#This Row],[Minor Stoppages]:[Material Shortages]])/Table1[[#This Row],['# Stops]])*60,"")</f>
        <v/>
      </c>
      <c r="AY338" s="219"/>
      <c r="AZ338" s="33">
        <v>46352</v>
      </c>
    </row>
    <row r="339" spans="1:52" ht="20.149999999999999" customHeight="1" x14ac:dyDescent="0.35">
      <c r="A339" s="21">
        <v>46356</v>
      </c>
      <c r="B339" s="22" t="str">
        <f t="shared" si="7"/>
        <v>Monday</v>
      </c>
      <c r="C339" s="23"/>
      <c r="D339" s="24" t="str" cm="1">
        <f t="array" aca="1" ref="D339" ca="1">IFERROR(INDIRECT(C339),"")</f>
        <v/>
      </c>
      <c r="E339" s="25"/>
      <c r="F339" s="26"/>
      <c r="G339" s="27" t="str">
        <f ca="1">IFERROR((Table1[[#This Row],[Plan]]/Table1[[#This Row],[Hours Used]])/(Table1[[#This Row],[SOC (TPD)]]/24),"")</f>
        <v/>
      </c>
      <c r="H339" s="27" t="str">
        <f ca="1">IFERROR((Table1[[#This Row],[Volume Delivered (T)]]/Table1[[#This Row],[Hours Used]])/(Table1[[#This Row],[SOC (TPD)]]/24),"")</f>
        <v/>
      </c>
      <c r="I339" s="28"/>
      <c r="J339" s="28"/>
      <c r="K339" s="28"/>
      <c r="L339" s="25"/>
      <c r="M339" s="29"/>
      <c r="N339" s="84"/>
      <c r="O339" s="25"/>
      <c r="P339" s="25"/>
      <c r="Q339" s="70"/>
      <c r="R339" s="71"/>
      <c r="S339" s="30">
        <f>IF(Table1[[#This Row],[SKU]]="",0,24-Table1[[#This Row],[Legal Non-Operating Time]]-Table1[[#This Row],[No Demand Time]]-Table1[[#This Row],[Force Majeure]])</f>
        <v>0</v>
      </c>
      <c r="T339" s="26"/>
      <c r="U339" s="26"/>
      <c r="V339" s="26"/>
      <c r="W339" s="26"/>
      <c r="X339" s="26"/>
      <c r="Y339" s="26"/>
      <c r="Z339" s="26"/>
      <c r="AA339" s="30">
        <f>Table1[[#This Row],[Hours Used]]-SUM(Table1[[#This Row],[Planned Maintenance]:[Start and Finish Production]])</f>
        <v>0</v>
      </c>
      <c r="AB339" s="26"/>
      <c r="AC339" s="26"/>
      <c r="AD339" s="26"/>
      <c r="AE339" s="26"/>
      <c r="AF339" s="26"/>
      <c r="AG339" s="26"/>
      <c r="AH339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339" s="24">
        <f>IFERROR(IF(Table1[[#This Row],[SKU]]="",0,Table1[[#This Row],[Quality Loss (T)]]/(Table1[[#This Row],[SOC (TPD)]]/24)),"")</f>
        <v>0</v>
      </c>
      <c r="AJ339" s="31">
        <f>IFERROR(IF(Table1[[#This Row],[SKU]]="",0,Table1[[#This Row],[Volume Delivered (T)]]/(Table1[[#This Row],[SOC (TPD)]]/24)),"")</f>
        <v>0</v>
      </c>
      <c r="AK339" s="31" t="str">
        <f>IFERROR(Table1[[#This Row],[Operating Time]]/Table1[[#This Row],[PRODUCTION HOURS]],"")</f>
        <v/>
      </c>
      <c r="AL339" s="32"/>
      <c r="AM339" s="32"/>
      <c r="AN339" s="32"/>
      <c r="AO339" s="32">
        <v>4</v>
      </c>
      <c r="AP339" s="32">
        <v>0</v>
      </c>
      <c r="AQ339" s="32"/>
      <c r="AR339" s="32" t="str">
        <f>IFERROR(SUMIFS(#REF!,#REF!,'Data Sheet'!A:A,#REF!,"Samridhi Perk Line")/SUMIFS(#REF!,#REF!,'Data Sheet'!A:A,#REF!,"Samridhi Perk Line"),"")</f>
        <v/>
      </c>
      <c r="AS339" s="32"/>
      <c r="AT339" s="32"/>
      <c r="AU339" s="211">
        <f>IFERROR(VLOOKUP(Table1[[#This Row],[Date]],'Overweight Data'!A337:G1432,6,FALSE),"")</f>
        <v>0</v>
      </c>
      <c r="AV339" s="221">
        <f>IFERROR(
   IF(
      OR(Table1[[#This Row],[Operating Time]]=0, (Table1[[#This Row],[Operating Time]]/IF(AC339&lt;=1,AC339+1,AC339))*60=0),
      1,
      ((Table1[[#This Row],[Operating Time]])/IF(AC339&lt;=1,AC339+1,AC339))*60
   ),
"_")</f>
        <v>1</v>
      </c>
      <c r="AW339" s="221">
        <f>COUNTIFS('Downtime Data'!A:A,Table1[[#This Row],[Date]])</f>
        <v>0</v>
      </c>
      <c r="AX339" s="219" t="str">
        <f>IFERROR((SUM(Table1[[#This Row],[Minor Stoppages]:[Material Shortages]])/Table1[[#This Row],['# Stops]])*60,"")</f>
        <v/>
      </c>
      <c r="AY339" s="219"/>
      <c r="AZ339" s="33">
        <v>46382</v>
      </c>
    </row>
    <row r="340" spans="1:52" ht="20.149999999999999" customHeight="1" x14ac:dyDescent="0.35">
      <c r="A340" s="21">
        <v>46357</v>
      </c>
      <c r="B340" s="22" t="str">
        <f t="shared" si="7"/>
        <v>Tuesday</v>
      </c>
      <c r="C340" s="23"/>
      <c r="D340" s="24" t="str" cm="1">
        <f t="array" aca="1" ref="D340" ca="1">IFERROR(INDIRECT(C340),"")</f>
        <v/>
      </c>
      <c r="E340" s="25"/>
      <c r="F340" s="26"/>
      <c r="G340" s="27" t="str">
        <f ca="1">IFERROR((Table1[[#This Row],[Plan]]/Table1[[#This Row],[Hours Used]])/(Table1[[#This Row],[SOC (TPD)]]/24),"")</f>
        <v/>
      </c>
      <c r="H340" s="27" t="str">
        <f ca="1">IFERROR((Table1[[#This Row],[Volume Delivered (T)]]/Table1[[#This Row],[Hours Used]])/(Table1[[#This Row],[SOC (TPD)]]/24),"")</f>
        <v/>
      </c>
      <c r="I340" s="28"/>
      <c r="J340" s="28"/>
      <c r="K340" s="28"/>
      <c r="L340" s="25"/>
      <c r="M340" s="29"/>
      <c r="N340" s="84"/>
      <c r="O340" s="25"/>
      <c r="P340" s="25"/>
      <c r="Q340" s="70"/>
      <c r="R340" s="71"/>
      <c r="S340" s="30">
        <f>IF(Table1[[#This Row],[SKU]]="",0,24-Table1[[#This Row],[Legal Non-Operating Time]]-Table1[[#This Row],[No Demand Time]]-Table1[[#This Row],[Force Majeure]])</f>
        <v>0</v>
      </c>
      <c r="T340" s="26"/>
      <c r="U340" s="26"/>
      <c r="V340" s="26"/>
      <c r="W340" s="26"/>
      <c r="X340" s="26"/>
      <c r="Y340" s="26"/>
      <c r="Z340" s="26"/>
      <c r="AA340" s="30">
        <f>Table1[[#This Row],[Hours Used]]-SUM(Table1[[#This Row],[Planned Maintenance]:[Start and Finish Production]])</f>
        <v>0</v>
      </c>
      <c r="AB340" s="26"/>
      <c r="AC340" s="26"/>
      <c r="AD340" s="26"/>
      <c r="AE340" s="26"/>
      <c r="AF340" s="26"/>
      <c r="AG340" s="26"/>
      <c r="AH340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340" s="24">
        <f>IFERROR(IF(Table1[[#This Row],[SKU]]="",0,Table1[[#This Row],[Quality Loss (T)]]/(Table1[[#This Row],[SOC (TPD)]]/24)),"")</f>
        <v>0</v>
      </c>
      <c r="AJ340" s="31">
        <f>IFERROR(IF(Table1[[#This Row],[SKU]]="",0,Table1[[#This Row],[Volume Delivered (T)]]/(Table1[[#This Row],[SOC (TPD)]]/24)),"")</f>
        <v>0</v>
      </c>
      <c r="AK340" s="31" t="str">
        <f>IFERROR(Table1[[#This Row],[Operating Time]]/Table1[[#This Row],[PRODUCTION HOURS]],"")</f>
        <v/>
      </c>
      <c r="AL340" s="32"/>
      <c r="AM340" s="32"/>
      <c r="AN340" s="32"/>
      <c r="AO340" s="32">
        <v>0</v>
      </c>
      <c r="AP340" s="32">
        <v>0</v>
      </c>
      <c r="AQ340" s="32"/>
      <c r="AR340" s="32" t="str">
        <f>IFERROR(SUMIFS(#REF!,#REF!,'Data Sheet'!A:A,#REF!,"Samridhi Perk Line")/SUMIFS(#REF!,#REF!,'Data Sheet'!A:A,#REF!,"Samridhi Perk Line"),"")</f>
        <v/>
      </c>
      <c r="AS340" s="32"/>
      <c r="AT340" s="32"/>
      <c r="AU340" s="211">
        <f>IFERROR(VLOOKUP(Table1[[#This Row],[Date]],'Overweight Data'!A338:G1433,6,FALSE),"")</f>
        <v>0</v>
      </c>
      <c r="AV340" s="221">
        <f>IFERROR(
   IF(
      OR(Table1[[#This Row],[Operating Time]]=0, (Table1[[#This Row],[Operating Time]]/IF(AC340&lt;=1,AC340+1,AC340))*60=0),
      1,
      ((Table1[[#This Row],[Operating Time]])/IF(AC340&lt;=1,AC340+1,AC340))*60
   ),
"_")</f>
        <v>1</v>
      </c>
      <c r="AW340" s="221">
        <f>COUNTIFS('Downtime Data'!A:A,Table1[[#This Row],[Date]])</f>
        <v>0</v>
      </c>
      <c r="AX340" s="219" t="str">
        <f>IFERROR((SUM(Table1[[#This Row],[Minor Stoppages]:[Material Shortages]])/Table1[[#This Row],['# Stops]])*60,"")</f>
        <v/>
      </c>
      <c r="AY340" s="219"/>
      <c r="AZ340" s="33">
        <v>46382</v>
      </c>
    </row>
    <row r="341" spans="1:52" ht="20.149999999999999" customHeight="1" x14ac:dyDescent="0.35">
      <c r="A341" s="21">
        <v>46358</v>
      </c>
      <c r="B341" s="22" t="str">
        <f t="shared" si="7"/>
        <v>Wednesday</v>
      </c>
      <c r="C341" s="23"/>
      <c r="D341" s="24" t="str" cm="1">
        <f t="array" aca="1" ref="D341" ca="1">IFERROR(INDIRECT(C341),"")</f>
        <v/>
      </c>
      <c r="E341" s="25"/>
      <c r="F341" s="26"/>
      <c r="G341" s="27" t="str">
        <f ca="1">IFERROR((Table1[[#This Row],[Plan]]/Table1[[#This Row],[Hours Used]])/(Table1[[#This Row],[SOC (TPD)]]/24),"")</f>
        <v/>
      </c>
      <c r="H341" s="27" t="str">
        <f ca="1">IFERROR((Table1[[#This Row],[Volume Delivered (T)]]/Table1[[#This Row],[Hours Used]])/(Table1[[#This Row],[SOC (TPD)]]/24),"")</f>
        <v/>
      </c>
      <c r="I341" s="28"/>
      <c r="J341" s="28"/>
      <c r="K341" s="28"/>
      <c r="L341" s="25"/>
      <c r="M341" s="29"/>
      <c r="N341" s="84"/>
      <c r="O341" s="25"/>
      <c r="P341" s="25"/>
      <c r="Q341" s="70"/>
      <c r="R341" s="71"/>
      <c r="S341" s="30">
        <f>IF(Table1[[#This Row],[SKU]]="",0,24-Table1[[#This Row],[Legal Non-Operating Time]]-Table1[[#This Row],[No Demand Time]]-Table1[[#This Row],[Force Majeure]])</f>
        <v>0</v>
      </c>
      <c r="T341" s="26"/>
      <c r="U341" s="26"/>
      <c r="V341" s="26"/>
      <c r="W341" s="26"/>
      <c r="X341" s="26"/>
      <c r="Y341" s="26"/>
      <c r="Z341" s="26"/>
      <c r="AA341" s="30">
        <f>Table1[[#This Row],[Hours Used]]-SUM(Table1[[#This Row],[Planned Maintenance]:[Start and Finish Production]])</f>
        <v>0</v>
      </c>
      <c r="AB341" s="26"/>
      <c r="AC341" s="26"/>
      <c r="AD341" s="26"/>
      <c r="AE341" s="26"/>
      <c r="AF341" s="26"/>
      <c r="AG341" s="26"/>
      <c r="AH341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341" s="24">
        <f>IFERROR(IF(Table1[[#This Row],[SKU]]="",0,Table1[[#This Row],[Quality Loss (T)]]/(Table1[[#This Row],[SOC (TPD)]]/24)),"")</f>
        <v>0</v>
      </c>
      <c r="AJ341" s="31">
        <f>IFERROR(IF(Table1[[#This Row],[SKU]]="",0,Table1[[#This Row],[Volume Delivered (T)]]/(Table1[[#This Row],[SOC (TPD)]]/24)),"")</f>
        <v>0</v>
      </c>
      <c r="AK341" s="31" t="str">
        <f>IFERROR(Table1[[#This Row],[Operating Time]]/Table1[[#This Row],[PRODUCTION HOURS]],"")</f>
        <v/>
      </c>
      <c r="AL341" s="32"/>
      <c r="AM341" s="32"/>
      <c r="AN341" s="32"/>
      <c r="AO341" s="32">
        <v>0</v>
      </c>
      <c r="AP341" s="32">
        <v>0</v>
      </c>
      <c r="AQ341" s="32"/>
      <c r="AR341" s="32" t="str">
        <f>IFERROR(SUMIFS(#REF!,#REF!,'Data Sheet'!A:A,#REF!,"Samridhi Perk Line")/SUMIFS(#REF!,#REF!,'Data Sheet'!A:A,#REF!,"Samridhi Perk Line"),"")</f>
        <v/>
      </c>
      <c r="AS341" s="32"/>
      <c r="AT341" s="32"/>
      <c r="AU341" s="211">
        <f>IFERROR(VLOOKUP(Table1[[#This Row],[Date]],'Overweight Data'!A339:G1434,6,FALSE),"")</f>
        <v>0</v>
      </c>
      <c r="AV341" s="221">
        <f>IFERROR(
   IF(
      OR(Table1[[#This Row],[Operating Time]]=0, (Table1[[#This Row],[Operating Time]]/IF(AC341&lt;=1,AC341+1,AC341))*60=0),
      1,
      ((Table1[[#This Row],[Operating Time]])/IF(AC341&lt;=1,AC341+1,AC341))*60
   ),
"_")</f>
        <v>1</v>
      </c>
      <c r="AW341" s="221">
        <f>COUNTIFS('Downtime Data'!A:A,Table1[[#This Row],[Date]])</f>
        <v>0</v>
      </c>
      <c r="AX341" s="219" t="str">
        <f>IFERROR((SUM(Table1[[#This Row],[Minor Stoppages]:[Material Shortages]])/Table1[[#This Row],['# Stops]])*60,"")</f>
        <v/>
      </c>
      <c r="AY341" s="219"/>
      <c r="AZ341" s="33">
        <v>46382</v>
      </c>
    </row>
    <row r="342" spans="1:52" ht="20.149999999999999" customHeight="1" x14ac:dyDescent="0.35">
      <c r="A342" s="21">
        <v>46359</v>
      </c>
      <c r="B342" s="22" t="str">
        <f t="shared" si="7"/>
        <v>Thursday</v>
      </c>
      <c r="C342" s="23"/>
      <c r="D342" s="24" t="str" cm="1">
        <f t="array" aca="1" ref="D342" ca="1">IFERROR(INDIRECT(C342),"")</f>
        <v/>
      </c>
      <c r="E342" s="25"/>
      <c r="F342" s="26"/>
      <c r="G342" s="27" t="str">
        <f ca="1">IFERROR((Table1[[#This Row],[Plan]]/Table1[[#This Row],[Hours Used]])/(Table1[[#This Row],[SOC (TPD)]]/24),"")</f>
        <v/>
      </c>
      <c r="H342" s="27" t="str">
        <f ca="1">IFERROR((Table1[[#This Row],[Volume Delivered (T)]]/Table1[[#This Row],[Hours Used]])/(Table1[[#This Row],[SOC (TPD)]]/24),"")</f>
        <v/>
      </c>
      <c r="I342" s="28"/>
      <c r="J342" s="28"/>
      <c r="K342" s="28"/>
      <c r="L342" s="25"/>
      <c r="M342" s="29"/>
      <c r="N342" s="84"/>
      <c r="O342" s="25"/>
      <c r="P342" s="25"/>
      <c r="Q342" s="70"/>
      <c r="R342" s="71"/>
      <c r="S342" s="30">
        <f>IF(Table1[[#This Row],[SKU]]="",0,24-Table1[[#This Row],[Legal Non-Operating Time]]-Table1[[#This Row],[No Demand Time]]-Table1[[#This Row],[Force Majeure]])</f>
        <v>0</v>
      </c>
      <c r="T342" s="26"/>
      <c r="U342" s="26"/>
      <c r="V342" s="26"/>
      <c r="W342" s="26"/>
      <c r="X342" s="26"/>
      <c r="Y342" s="26"/>
      <c r="Z342" s="26"/>
      <c r="AA342" s="30">
        <f>Table1[[#This Row],[Hours Used]]-SUM(Table1[[#This Row],[Planned Maintenance]:[Start and Finish Production]])</f>
        <v>0</v>
      </c>
      <c r="AB342" s="26"/>
      <c r="AC342" s="26"/>
      <c r="AD342" s="26"/>
      <c r="AE342" s="26"/>
      <c r="AF342" s="26"/>
      <c r="AG342" s="26"/>
      <c r="AH342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342" s="24">
        <f>IFERROR(IF(Table1[[#This Row],[SKU]]="",0,Table1[[#This Row],[Quality Loss (T)]]/(Table1[[#This Row],[SOC (TPD)]]/24)),"")</f>
        <v>0</v>
      </c>
      <c r="AJ342" s="31">
        <f>IFERROR(IF(Table1[[#This Row],[SKU]]="",0,Table1[[#This Row],[Volume Delivered (T)]]/(Table1[[#This Row],[SOC (TPD)]]/24)),"")</f>
        <v>0</v>
      </c>
      <c r="AK342" s="31" t="str">
        <f>IFERROR(Table1[[#This Row],[Operating Time]]/Table1[[#This Row],[PRODUCTION HOURS]],"")</f>
        <v/>
      </c>
      <c r="AL342" s="32"/>
      <c r="AM342" s="32"/>
      <c r="AN342" s="32"/>
      <c r="AO342" s="32">
        <v>0</v>
      </c>
      <c r="AP342" s="32">
        <v>0</v>
      </c>
      <c r="AQ342" s="32"/>
      <c r="AR342" s="32" t="str">
        <f>IFERROR(SUMIFS(#REF!,#REF!,'Data Sheet'!A:A,#REF!,"Samridhi Perk Line")/SUMIFS(#REF!,#REF!,'Data Sheet'!A:A,#REF!,"Samridhi Perk Line"),"")</f>
        <v/>
      </c>
      <c r="AS342" s="32"/>
      <c r="AT342" s="32"/>
      <c r="AU342" s="211">
        <f>IFERROR(VLOOKUP(Table1[[#This Row],[Date]],'Overweight Data'!A340:G1435,6,FALSE),"")</f>
        <v>0</v>
      </c>
      <c r="AV342" s="221">
        <f>IFERROR(
   IF(
      OR(Table1[[#This Row],[Operating Time]]=0, (Table1[[#This Row],[Operating Time]]/IF(AC342&lt;=1,AC342+1,AC342))*60=0),
      1,
      ((Table1[[#This Row],[Operating Time]])/IF(AC342&lt;=1,AC342+1,AC342))*60
   ),
"_")</f>
        <v>1</v>
      </c>
      <c r="AW342" s="221">
        <f>COUNTIFS('Downtime Data'!A:A,Table1[[#This Row],[Date]])</f>
        <v>0</v>
      </c>
      <c r="AX342" s="219" t="str">
        <f>IFERROR((SUM(Table1[[#This Row],[Minor Stoppages]:[Material Shortages]])/Table1[[#This Row],['# Stops]])*60,"")</f>
        <v/>
      </c>
      <c r="AY342" s="219"/>
      <c r="AZ342" s="33">
        <v>46382</v>
      </c>
    </row>
    <row r="343" spans="1:52" ht="20.149999999999999" customHeight="1" x14ac:dyDescent="0.35">
      <c r="A343" s="21">
        <v>46360</v>
      </c>
      <c r="B343" s="22" t="str">
        <f t="shared" si="7"/>
        <v>Friday</v>
      </c>
      <c r="C343" s="23"/>
      <c r="D343" s="24" t="str" cm="1">
        <f t="array" aca="1" ref="D343" ca="1">IFERROR(INDIRECT(C343),"")</f>
        <v/>
      </c>
      <c r="E343" s="25"/>
      <c r="F343" s="26"/>
      <c r="G343" s="27" t="str">
        <f ca="1">IFERROR((Table1[[#This Row],[Plan]]/Table1[[#This Row],[Hours Used]])/(Table1[[#This Row],[SOC (TPD)]]/24),"")</f>
        <v/>
      </c>
      <c r="H343" s="27" t="str">
        <f ca="1">IFERROR((Table1[[#This Row],[Volume Delivered (T)]]/Table1[[#This Row],[Hours Used]])/(Table1[[#This Row],[SOC (TPD)]]/24),"")</f>
        <v/>
      </c>
      <c r="I343" s="28"/>
      <c r="J343" s="28"/>
      <c r="K343" s="28"/>
      <c r="L343" s="25"/>
      <c r="M343" s="29"/>
      <c r="N343" s="84"/>
      <c r="O343" s="25"/>
      <c r="P343" s="25"/>
      <c r="Q343" s="70"/>
      <c r="R343" s="71"/>
      <c r="S343" s="30">
        <f>IF(Table1[[#This Row],[SKU]]="",0,24-Table1[[#This Row],[Legal Non-Operating Time]]-Table1[[#This Row],[No Demand Time]]-Table1[[#This Row],[Force Majeure]])</f>
        <v>0</v>
      </c>
      <c r="T343" s="26"/>
      <c r="U343" s="26"/>
      <c r="V343" s="26"/>
      <c r="W343" s="26"/>
      <c r="X343" s="26"/>
      <c r="Y343" s="26"/>
      <c r="Z343" s="26"/>
      <c r="AA343" s="30">
        <f>Table1[[#This Row],[Hours Used]]-SUM(Table1[[#This Row],[Planned Maintenance]:[Start and Finish Production]])</f>
        <v>0</v>
      </c>
      <c r="AB343" s="26"/>
      <c r="AC343" s="26"/>
      <c r="AD343" s="26"/>
      <c r="AE343" s="26"/>
      <c r="AF343" s="26"/>
      <c r="AG343" s="26"/>
      <c r="AH343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343" s="24">
        <f>IFERROR(IF(Table1[[#This Row],[SKU]]="",0,Table1[[#This Row],[Quality Loss (T)]]/(Table1[[#This Row],[SOC (TPD)]]/24)),"")</f>
        <v>0</v>
      </c>
      <c r="AJ343" s="31">
        <f>IFERROR(IF(Table1[[#This Row],[SKU]]="",0,Table1[[#This Row],[Volume Delivered (T)]]/(Table1[[#This Row],[SOC (TPD)]]/24)),"")</f>
        <v>0</v>
      </c>
      <c r="AK343" s="31" t="str">
        <f>IFERROR(Table1[[#This Row],[Operating Time]]/Table1[[#This Row],[PRODUCTION HOURS]],"")</f>
        <v/>
      </c>
      <c r="AL343" s="32"/>
      <c r="AM343" s="32"/>
      <c r="AN343" s="32"/>
      <c r="AO343" s="32">
        <v>1</v>
      </c>
      <c r="AP343" s="32">
        <v>0</v>
      </c>
      <c r="AQ343" s="32"/>
      <c r="AR343" s="32" t="str">
        <f>IFERROR(SUMIFS(#REF!,#REF!,'Data Sheet'!A:A,#REF!,"Samridhi Perk Line")/SUMIFS(#REF!,#REF!,'Data Sheet'!A:A,#REF!,"Samridhi Perk Line"),"")</f>
        <v/>
      </c>
      <c r="AS343" s="32"/>
      <c r="AT343" s="32"/>
      <c r="AU343" s="211">
        <f>IFERROR(VLOOKUP(Table1[[#This Row],[Date]],'Overweight Data'!A341:G1436,6,FALSE),"")</f>
        <v>0</v>
      </c>
      <c r="AV343" s="221">
        <f>IFERROR(
   IF(
      OR(Table1[[#This Row],[Operating Time]]=0, (Table1[[#This Row],[Operating Time]]/IF(AC343&lt;=1,AC343+1,AC343))*60=0),
      1,
      ((Table1[[#This Row],[Operating Time]])/IF(AC343&lt;=1,AC343+1,AC343))*60
   ),
"_")</f>
        <v>1</v>
      </c>
      <c r="AW343" s="221">
        <f>COUNTIFS('Downtime Data'!A:A,Table1[[#This Row],[Date]])</f>
        <v>0</v>
      </c>
      <c r="AX343" s="219" t="str">
        <f>IFERROR((SUM(Table1[[#This Row],[Minor Stoppages]:[Material Shortages]])/Table1[[#This Row],['# Stops]])*60,"")</f>
        <v/>
      </c>
      <c r="AY343" s="219"/>
      <c r="AZ343" s="33">
        <v>46382</v>
      </c>
    </row>
    <row r="344" spans="1:52" ht="20.149999999999999" customHeight="1" x14ac:dyDescent="0.35">
      <c r="A344" s="21">
        <v>46361</v>
      </c>
      <c r="B344" s="22" t="str">
        <f t="shared" si="7"/>
        <v>Saturday</v>
      </c>
      <c r="C344" s="23"/>
      <c r="D344" s="24" t="str" cm="1">
        <f t="array" aca="1" ref="D344" ca="1">IFERROR(INDIRECT(C344),"")</f>
        <v/>
      </c>
      <c r="E344" s="25"/>
      <c r="F344" s="26"/>
      <c r="G344" s="27" t="str">
        <f ca="1">IFERROR((Table1[[#This Row],[Plan]]/Table1[[#This Row],[Hours Used]])/(Table1[[#This Row],[SOC (TPD)]]/24),"")</f>
        <v/>
      </c>
      <c r="H344" s="27" t="str">
        <f ca="1">IFERROR((Table1[[#This Row],[Volume Delivered (T)]]/Table1[[#This Row],[Hours Used]])/(Table1[[#This Row],[SOC (TPD)]]/24),"")</f>
        <v/>
      </c>
      <c r="I344" s="28"/>
      <c r="J344" s="28"/>
      <c r="K344" s="28"/>
      <c r="L344" s="25"/>
      <c r="M344" s="29"/>
      <c r="N344" s="84"/>
      <c r="O344" s="25"/>
      <c r="P344" s="25"/>
      <c r="Q344" s="70"/>
      <c r="R344" s="71"/>
      <c r="S344" s="30">
        <f>IF(Table1[[#This Row],[SKU]]="",0,24-Table1[[#This Row],[Legal Non-Operating Time]]-Table1[[#This Row],[No Demand Time]]-Table1[[#This Row],[Force Majeure]])</f>
        <v>0</v>
      </c>
      <c r="T344" s="26"/>
      <c r="U344" s="26"/>
      <c r="V344" s="26"/>
      <c r="W344" s="26"/>
      <c r="X344" s="26"/>
      <c r="Y344" s="26"/>
      <c r="Z344" s="26"/>
      <c r="AA344" s="30">
        <f>Table1[[#This Row],[Hours Used]]-SUM(Table1[[#This Row],[Planned Maintenance]:[Start and Finish Production]])</f>
        <v>0</v>
      </c>
      <c r="AB344" s="26"/>
      <c r="AC344" s="26"/>
      <c r="AD344" s="26"/>
      <c r="AE344" s="26"/>
      <c r="AF344" s="26"/>
      <c r="AG344" s="26"/>
      <c r="AH344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344" s="24">
        <f>IFERROR(IF(Table1[[#This Row],[SKU]]="",0,Table1[[#This Row],[Quality Loss (T)]]/(Table1[[#This Row],[SOC (TPD)]]/24)),"")</f>
        <v>0</v>
      </c>
      <c r="AJ344" s="31">
        <f>IFERROR(IF(Table1[[#This Row],[SKU]]="",0,Table1[[#This Row],[Volume Delivered (T)]]/(Table1[[#This Row],[SOC (TPD)]]/24)),"")</f>
        <v>0</v>
      </c>
      <c r="AK344" s="31" t="str">
        <f>IFERROR(Table1[[#This Row],[Operating Time]]/Table1[[#This Row],[PRODUCTION HOURS]],"")</f>
        <v/>
      </c>
      <c r="AL344" s="32"/>
      <c r="AM344" s="32"/>
      <c r="AN344" s="32"/>
      <c r="AO344" s="32">
        <v>0</v>
      </c>
      <c r="AP344" s="32">
        <v>0</v>
      </c>
      <c r="AQ344" s="32"/>
      <c r="AR344" s="32" t="str">
        <f>IFERROR(SUMIFS(#REF!,#REF!,'Data Sheet'!A:A,#REF!,"Samridhi Perk Line")/SUMIFS(#REF!,#REF!,'Data Sheet'!A:A,#REF!,"Samridhi Perk Line"),"")</f>
        <v/>
      </c>
      <c r="AS344" s="32"/>
      <c r="AT344" s="32"/>
      <c r="AU344" s="211">
        <f>IFERROR(VLOOKUP(Table1[[#This Row],[Date]],'Overweight Data'!A342:G1437,6,FALSE),"")</f>
        <v>0</v>
      </c>
      <c r="AV344" s="221">
        <f>IFERROR(
   IF(
      OR(Table1[[#This Row],[Operating Time]]=0, (Table1[[#This Row],[Operating Time]]/IF(AC344&lt;=1,AC344+1,AC344))*60=0),
      1,
      ((Table1[[#This Row],[Operating Time]])/IF(AC344&lt;=1,AC344+1,AC344))*60
   ),
"_")</f>
        <v>1</v>
      </c>
      <c r="AW344" s="221">
        <f>COUNTIFS('Downtime Data'!A:A,Table1[[#This Row],[Date]])</f>
        <v>0</v>
      </c>
      <c r="AX344" s="219" t="str">
        <f>IFERROR((SUM(Table1[[#This Row],[Minor Stoppages]:[Material Shortages]])/Table1[[#This Row],['# Stops]])*60,"")</f>
        <v/>
      </c>
      <c r="AY344" s="219"/>
      <c r="AZ344" s="33">
        <v>46382</v>
      </c>
    </row>
    <row r="345" spans="1:52" ht="20.149999999999999" customHeight="1" x14ac:dyDescent="0.35">
      <c r="A345" s="21">
        <v>46362</v>
      </c>
      <c r="B345" s="22" t="str">
        <f t="shared" si="7"/>
        <v>Sunday</v>
      </c>
      <c r="C345" s="23"/>
      <c r="D345" s="24" t="str" cm="1">
        <f t="array" aca="1" ref="D345" ca="1">IFERROR(INDIRECT(C345),"")</f>
        <v/>
      </c>
      <c r="E345" s="25"/>
      <c r="F345" s="26"/>
      <c r="G345" s="27" t="str">
        <f ca="1">IFERROR((Table1[[#This Row],[Plan]]/Table1[[#This Row],[Hours Used]])/(Table1[[#This Row],[SOC (TPD)]]/24),"")</f>
        <v/>
      </c>
      <c r="H345" s="27" t="str">
        <f ca="1">IFERROR((Table1[[#This Row],[Volume Delivered (T)]]/Table1[[#This Row],[Hours Used]])/(Table1[[#This Row],[SOC (TPD)]]/24),"")</f>
        <v/>
      </c>
      <c r="I345" s="28"/>
      <c r="J345" s="28"/>
      <c r="K345" s="28"/>
      <c r="L345" s="25"/>
      <c r="M345" s="29"/>
      <c r="N345" s="84"/>
      <c r="O345" s="25"/>
      <c r="P345" s="25"/>
      <c r="Q345" s="70"/>
      <c r="R345" s="71"/>
      <c r="S345" s="30">
        <f>IF(Table1[[#This Row],[SKU]]="",0,24-Table1[[#This Row],[Legal Non-Operating Time]]-Table1[[#This Row],[No Demand Time]]-Table1[[#This Row],[Force Majeure]])</f>
        <v>0</v>
      </c>
      <c r="T345" s="26"/>
      <c r="U345" s="26"/>
      <c r="V345" s="26"/>
      <c r="W345" s="26"/>
      <c r="X345" s="26"/>
      <c r="Y345" s="26"/>
      <c r="Z345" s="26"/>
      <c r="AA345" s="30">
        <f>Table1[[#This Row],[Hours Used]]-SUM(Table1[[#This Row],[Planned Maintenance]:[Start and Finish Production]])</f>
        <v>0</v>
      </c>
      <c r="AB345" s="26"/>
      <c r="AC345" s="26"/>
      <c r="AD345" s="26"/>
      <c r="AE345" s="26"/>
      <c r="AF345" s="26"/>
      <c r="AG345" s="26"/>
      <c r="AH345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345" s="24">
        <f>IFERROR(IF(Table1[[#This Row],[SKU]]="",0,Table1[[#This Row],[Quality Loss (T)]]/(Table1[[#This Row],[SOC (TPD)]]/24)),"")</f>
        <v>0</v>
      </c>
      <c r="AJ345" s="31">
        <f>IFERROR(IF(Table1[[#This Row],[SKU]]="",0,Table1[[#This Row],[Volume Delivered (T)]]/(Table1[[#This Row],[SOC (TPD)]]/24)),"")</f>
        <v>0</v>
      </c>
      <c r="AK345" s="31" t="str">
        <f>IFERROR(Table1[[#This Row],[Operating Time]]/Table1[[#This Row],[PRODUCTION HOURS]],"")</f>
        <v/>
      </c>
      <c r="AL345" s="32"/>
      <c r="AM345" s="32"/>
      <c r="AN345" s="32"/>
      <c r="AO345" s="32">
        <v>0</v>
      </c>
      <c r="AP345" s="32">
        <v>0</v>
      </c>
      <c r="AQ345" s="32"/>
      <c r="AR345" s="32" t="str">
        <f>IFERROR(SUMIFS(#REF!,#REF!,'Data Sheet'!A:A,#REF!,"Samridhi Perk Line")/SUMIFS(#REF!,#REF!,'Data Sheet'!A:A,#REF!,"Samridhi Perk Line"),"")</f>
        <v/>
      </c>
      <c r="AS345" s="32"/>
      <c r="AT345" s="32"/>
      <c r="AU345" s="211">
        <f>IFERROR(VLOOKUP(Table1[[#This Row],[Date]],'Overweight Data'!A343:G1438,6,FALSE),"")</f>
        <v>0</v>
      </c>
      <c r="AV345" s="221">
        <f>IFERROR(
   IF(
      OR(Table1[[#This Row],[Operating Time]]=0, (Table1[[#This Row],[Operating Time]]/IF(AC345&lt;=1,AC345+1,AC345))*60=0),
      1,
      ((Table1[[#This Row],[Operating Time]])/IF(AC345&lt;=1,AC345+1,AC345))*60
   ),
"_")</f>
        <v>1</v>
      </c>
      <c r="AW345" s="221">
        <f>COUNTIFS('Downtime Data'!A:A,Table1[[#This Row],[Date]])</f>
        <v>0</v>
      </c>
      <c r="AX345" s="219" t="str">
        <f>IFERROR((SUM(Table1[[#This Row],[Minor Stoppages]:[Material Shortages]])/Table1[[#This Row],['# Stops]])*60,"")</f>
        <v/>
      </c>
      <c r="AY345" s="219"/>
      <c r="AZ345" s="33">
        <v>46382</v>
      </c>
    </row>
    <row r="346" spans="1:52" ht="20.149999999999999" customHeight="1" x14ac:dyDescent="0.35">
      <c r="A346" s="21">
        <v>46363</v>
      </c>
      <c r="B346" s="22" t="str">
        <f t="shared" si="7"/>
        <v>Monday</v>
      </c>
      <c r="C346" s="23"/>
      <c r="D346" s="24" t="str" cm="1">
        <f t="array" aca="1" ref="D346" ca="1">IFERROR(INDIRECT(C346),"")</f>
        <v/>
      </c>
      <c r="E346" s="25"/>
      <c r="F346" s="26"/>
      <c r="G346" s="27" t="str">
        <f ca="1">IFERROR((Table1[[#This Row],[Plan]]/Table1[[#This Row],[Hours Used]])/(Table1[[#This Row],[SOC (TPD)]]/24),"")</f>
        <v/>
      </c>
      <c r="H346" s="27" t="str">
        <f ca="1">IFERROR((Table1[[#This Row],[Volume Delivered (T)]]/Table1[[#This Row],[Hours Used]])/(Table1[[#This Row],[SOC (TPD)]]/24),"")</f>
        <v/>
      </c>
      <c r="I346" s="28"/>
      <c r="J346" s="28"/>
      <c r="K346" s="28"/>
      <c r="L346" s="25"/>
      <c r="M346" s="29"/>
      <c r="N346" s="84"/>
      <c r="O346" s="25"/>
      <c r="P346" s="25"/>
      <c r="Q346" s="70"/>
      <c r="R346" s="71"/>
      <c r="S346" s="30">
        <f>IF(Table1[[#This Row],[SKU]]="",0,24-Table1[[#This Row],[Legal Non-Operating Time]]-Table1[[#This Row],[No Demand Time]]-Table1[[#This Row],[Force Majeure]])</f>
        <v>0</v>
      </c>
      <c r="T346" s="26"/>
      <c r="U346" s="26"/>
      <c r="V346" s="26"/>
      <c r="W346" s="26"/>
      <c r="X346" s="26"/>
      <c r="Y346" s="26"/>
      <c r="Z346" s="26"/>
      <c r="AA346" s="30">
        <f>Table1[[#This Row],[Hours Used]]-SUM(Table1[[#This Row],[Planned Maintenance]:[Start and Finish Production]])</f>
        <v>0</v>
      </c>
      <c r="AB346" s="26"/>
      <c r="AC346" s="26"/>
      <c r="AD346" s="26"/>
      <c r="AE346" s="26"/>
      <c r="AF346" s="26"/>
      <c r="AG346" s="26"/>
      <c r="AH346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346" s="24">
        <f>IFERROR(IF(Table1[[#This Row],[SKU]]="",0,Table1[[#This Row],[Quality Loss (T)]]/(Table1[[#This Row],[SOC (TPD)]]/24)),"")</f>
        <v>0</v>
      </c>
      <c r="AJ346" s="31">
        <f>IFERROR(IF(Table1[[#This Row],[SKU]]="",0,Table1[[#This Row],[Volume Delivered (T)]]/(Table1[[#This Row],[SOC (TPD)]]/24)),"")</f>
        <v>0</v>
      </c>
      <c r="AK346" s="31" t="str">
        <f>IFERROR(Table1[[#This Row],[Operating Time]]/Table1[[#This Row],[PRODUCTION HOURS]],"")</f>
        <v/>
      </c>
      <c r="AL346" s="32"/>
      <c r="AM346" s="32"/>
      <c r="AN346" s="32"/>
      <c r="AO346" s="32">
        <v>0</v>
      </c>
      <c r="AP346" s="32">
        <v>0</v>
      </c>
      <c r="AQ346" s="32"/>
      <c r="AR346" s="32" t="str">
        <f>IFERROR(SUMIFS(#REF!,#REF!,'Data Sheet'!A:A,#REF!,"Samridhi Perk Line")/SUMIFS(#REF!,#REF!,'Data Sheet'!A:A,#REF!,"Samridhi Perk Line"),"")</f>
        <v/>
      </c>
      <c r="AS346" s="32"/>
      <c r="AT346" s="32"/>
      <c r="AU346" s="211">
        <f>IFERROR(VLOOKUP(Table1[[#This Row],[Date]],'Overweight Data'!A344:G1439,6,FALSE),"")</f>
        <v>0</v>
      </c>
      <c r="AV346" s="221">
        <f>IFERROR(
   IF(
      OR(Table1[[#This Row],[Operating Time]]=0, (Table1[[#This Row],[Operating Time]]/IF(AC346&lt;=1,AC346+1,AC346))*60=0),
      1,
      ((Table1[[#This Row],[Operating Time]])/IF(AC346&lt;=1,AC346+1,AC346))*60
   ),
"_")</f>
        <v>1</v>
      </c>
      <c r="AW346" s="221">
        <f>COUNTIFS('Downtime Data'!A:A,Table1[[#This Row],[Date]])</f>
        <v>0</v>
      </c>
      <c r="AX346" s="219" t="str">
        <f>IFERROR((SUM(Table1[[#This Row],[Minor Stoppages]:[Material Shortages]])/Table1[[#This Row],['# Stops]])*60,"")</f>
        <v/>
      </c>
      <c r="AY346" s="219"/>
      <c r="AZ346" s="33">
        <v>46382</v>
      </c>
    </row>
    <row r="347" spans="1:52" ht="20.149999999999999" customHeight="1" x14ac:dyDescent="0.35">
      <c r="A347" s="21">
        <v>46364</v>
      </c>
      <c r="B347" s="22" t="str">
        <f t="shared" si="7"/>
        <v>Tuesday</v>
      </c>
      <c r="C347" s="23"/>
      <c r="D347" s="24" t="str" cm="1">
        <f t="array" aca="1" ref="D347" ca="1">IFERROR(INDIRECT(C347),"")</f>
        <v/>
      </c>
      <c r="E347" s="25"/>
      <c r="F347" s="26"/>
      <c r="G347" s="27" t="str">
        <f ca="1">IFERROR((Table1[[#This Row],[Plan]]/Table1[[#This Row],[Hours Used]])/(Table1[[#This Row],[SOC (TPD)]]/24),"")</f>
        <v/>
      </c>
      <c r="H347" s="27" t="str">
        <f ca="1">IFERROR((Table1[[#This Row],[Volume Delivered (T)]]/Table1[[#This Row],[Hours Used]])/(Table1[[#This Row],[SOC (TPD)]]/24),"")</f>
        <v/>
      </c>
      <c r="I347" s="28"/>
      <c r="J347" s="28"/>
      <c r="K347" s="28"/>
      <c r="L347" s="25"/>
      <c r="M347" s="29"/>
      <c r="N347" s="84"/>
      <c r="O347" s="25"/>
      <c r="P347" s="25"/>
      <c r="Q347" s="70"/>
      <c r="R347" s="71"/>
      <c r="S347" s="30">
        <f>IF(Table1[[#This Row],[SKU]]="",0,24-Table1[[#This Row],[Legal Non-Operating Time]]-Table1[[#This Row],[No Demand Time]]-Table1[[#This Row],[Force Majeure]])</f>
        <v>0</v>
      </c>
      <c r="T347" s="26"/>
      <c r="U347" s="26"/>
      <c r="V347" s="26"/>
      <c r="W347" s="26"/>
      <c r="X347" s="26"/>
      <c r="Y347" s="26"/>
      <c r="Z347" s="26"/>
      <c r="AA347" s="30">
        <f>Table1[[#This Row],[Hours Used]]-SUM(Table1[[#This Row],[Planned Maintenance]:[Start and Finish Production]])</f>
        <v>0</v>
      </c>
      <c r="AB347" s="26"/>
      <c r="AC347" s="26"/>
      <c r="AD347" s="26"/>
      <c r="AE347" s="26"/>
      <c r="AF347" s="26"/>
      <c r="AG347" s="26"/>
      <c r="AH347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347" s="24">
        <f>IFERROR(IF(Table1[[#This Row],[SKU]]="",0,Table1[[#This Row],[Quality Loss (T)]]/(Table1[[#This Row],[SOC (TPD)]]/24)),"")</f>
        <v>0</v>
      </c>
      <c r="AJ347" s="31">
        <f>IFERROR(IF(Table1[[#This Row],[SKU]]="",0,Table1[[#This Row],[Volume Delivered (T)]]/(Table1[[#This Row],[SOC (TPD)]]/24)),"")</f>
        <v>0</v>
      </c>
      <c r="AK347" s="31" t="str">
        <f>IFERROR(Table1[[#This Row],[Operating Time]]/Table1[[#This Row],[PRODUCTION HOURS]],"")</f>
        <v/>
      </c>
      <c r="AL347" s="32"/>
      <c r="AM347" s="32"/>
      <c r="AN347" s="32"/>
      <c r="AO347" s="32">
        <v>0</v>
      </c>
      <c r="AP347" s="32">
        <v>0</v>
      </c>
      <c r="AQ347" s="32"/>
      <c r="AR347" s="32" t="str">
        <f>IFERROR(SUMIFS(#REF!,#REF!,'Data Sheet'!A:A,#REF!,"Samridhi Perk Line")/SUMIFS(#REF!,#REF!,'Data Sheet'!A:A,#REF!,"Samridhi Perk Line"),"")</f>
        <v/>
      </c>
      <c r="AS347" s="32"/>
      <c r="AT347" s="32"/>
      <c r="AU347" s="211">
        <f>IFERROR(VLOOKUP(Table1[[#This Row],[Date]],'Overweight Data'!A345:G1440,6,FALSE),"")</f>
        <v>0</v>
      </c>
      <c r="AV347" s="221">
        <f>IFERROR(
   IF(
      OR(Table1[[#This Row],[Operating Time]]=0, (Table1[[#This Row],[Operating Time]]/IF(AC347&lt;=1,AC347+1,AC347))*60=0),
      1,
      ((Table1[[#This Row],[Operating Time]])/IF(AC347&lt;=1,AC347+1,AC347))*60
   ),
"_")</f>
        <v>1</v>
      </c>
      <c r="AW347" s="221">
        <f>COUNTIFS('Downtime Data'!A:A,Table1[[#This Row],[Date]])</f>
        <v>0</v>
      </c>
      <c r="AX347" s="219" t="str">
        <f>IFERROR((SUM(Table1[[#This Row],[Minor Stoppages]:[Material Shortages]])/Table1[[#This Row],['# Stops]])*60,"")</f>
        <v/>
      </c>
      <c r="AY347" s="219"/>
      <c r="AZ347" s="33">
        <v>46382</v>
      </c>
    </row>
    <row r="348" spans="1:52" ht="20.149999999999999" customHeight="1" x14ac:dyDescent="0.35">
      <c r="A348" s="21">
        <v>46365</v>
      </c>
      <c r="B348" s="22" t="str">
        <f t="shared" si="7"/>
        <v>Wednesday</v>
      </c>
      <c r="C348" s="23"/>
      <c r="D348" s="24" t="str" cm="1">
        <f t="array" aca="1" ref="D348" ca="1">IFERROR(INDIRECT(C348),"")</f>
        <v/>
      </c>
      <c r="E348" s="25"/>
      <c r="F348" s="26"/>
      <c r="G348" s="27" t="str">
        <f ca="1">IFERROR((Table1[[#This Row],[Plan]]/Table1[[#This Row],[Hours Used]])/(Table1[[#This Row],[SOC (TPD)]]/24),"")</f>
        <v/>
      </c>
      <c r="H348" s="27" t="str">
        <f ca="1">IFERROR((Table1[[#This Row],[Volume Delivered (T)]]/Table1[[#This Row],[Hours Used]])/(Table1[[#This Row],[SOC (TPD)]]/24),"")</f>
        <v/>
      </c>
      <c r="I348" s="28"/>
      <c r="J348" s="28"/>
      <c r="K348" s="28"/>
      <c r="L348" s="25"/>
      <c r="M348" s="29"/>
      <c r="N348" s="84"/>
      <c r="O348" s="25"/>
      <c r="P348" s="25"/>
      <c r="Q348" s="70"/>
      <c r="R348" s="71"/>
      <c r="S348" s="30">
        <f>IF(Table1[[#This Row],[SKU]]="",0,24-Table1[[#This Row],[Legal Non-Operating Time]]-Table1[[#This Row],[No Demand Time]]-Table1[[#This Row],[Force Majeure]])</f>
        <v>0</v>
      </c>
      <c r="T348" s="26"/>
      <c r="U348" s="26"/>
      <c r="V348" s="26"/>
      <c r="W348" s="26"/>
      <c r="X348" s="26"/>
      <c r="Y348" s="26"/>
      <c r="Z348" s="26"/>
      <c r="AA348" s="30">
        <f>Table1[[#This Row],[Hours Used]]-SUM(Table1[[#This Row],[Planned Maintenance]:[Start and Finish Production]])</f>
        <v>0</v>
      </c>
      <c r="AB348" s="26"/>
      <c r="AC348" s="26"/>
      <c r="AD348" s="26"/>
      <c r="AE348" s="26"/>
      <c r="AF348" s="26"/>
      <c r="AG348" s="26"/>
      <c r="AH348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348" s="24">
        <f>IFERROR(IF(Table1[[#This Row],[SKU]]="",0,Table1[[#This Row],[Quality Loss (T)]]/(Table1[[#This Row],[SOC (TPD)]]/24)),"")</f>
        <v>0</v>
      </c>
      <c r="AJ348" s="31">
        <f>IFERROR(IF(Table1[[#This Row],[SKU]]="",0,Table1[[#This Row],[Volume Delivered (T)]]/(Table1[[#This Row],[SOC (TPD)]]/24)),"")</f>
        <v>0</v>
      </c>
      <c r="AK348" s="31" t="str">
        <f>IFERROR(Table1[[#This Row],[Operating Time]]/Table1[[#This Row],[PRODUCTION HOURS]],"")</f>
        <v/>
      </c>
      <c r="AL348" s="32"/>
      <c r="AM348" s="32"/>
      <c r="AN348" s="32"/>
      <c r="AO348" s="32">
        <v>0</v>
      </c>
      <c r="AP348" s="32">
        <v>0</v>
      </c>
      <c r="AQ348" s="32"/>
      <c r="AR348" s="32" t="str">
        <f>IFERROR(SUMIFS(#REF!,#REF!,'Data Sheet'!A:A,#REF!,"Samridhi Perk Line")/SUMIFS(#REF!,#REF!,'Data Sheet'!A:A,#REF!,"Samridhi Perk Line"),"")</f>
        <v/>
      </c>
      <c r="AS348" s="32"/>
      <c r="AT348" s="32"/>
      <c r="AU348" s="211">
        <f>IFERROR(VLOOKUP(Table1[[#This Row],[Date]],'Overweight Data'!A346:G1441,6,FALSE),"")</f>
        <v>0</v>
      </c>
      <c r="AV348" s="221">
        <f>IFERROR(
   IF(
      OR(Table1[[#This Row],[Operating Time]]=0, (Table1[[#This Row],[Operating Time]]/IF(AC348&lt;=1,AC348+1,AC348))*60=0),
      1,
      ((Table1[[#This Row],[Operating Time]])/IF(AC348&lt;=1,AC348+1,AC348))*60
   ),
"_")</f>
        <v>1</v>
      </c>
      <c r="AW348" s="221">
        <f>COUNTIFS('Downtime Data'!A:A,Table1[[#This Row],[Date]])</f>
        <v>0</v>
      </c>
      <c r="AX348" s="219" t="str">
        <f>IFERROR((SUM(Table1[[#This Row],[Minor Stoppages]:[Material Shortages]])/Table1[[#This Row],['# Stops]])*60,"")</f>
        <v/>
      </c>
      <c r="AY348" s="219"/>
      <c r="AZ348" s="33">
        <v>46382</v>
      </c>
    </row>
    <row r="349" spans="1:52" ht="20.149999999999999" customHeight="1" x14ac:dyDescent="0.35">
      <c r="A349" s="21">
        <v>46366</v>
      </c>
      <c r="B349" s="22" t="str">
        <f t="shared" si="7"/>
        <v>Thursday</v>
      </c>
      <c r="C349" s="23"/>
      <c r="D349" s="24" t="str" cm="1">
        <f t="array" aca="1" ref="D349" ca="1">IFERROR(INDIRECT(C349),"")</f>
        <v/>
      </c>
      <c r="E349" s="25"/>
      <c r="F349" s="26"/>
      <c r="G349" s="27" t="str">
        <f ca="1">IFERROR((Table1[[#This Row],[Plan]]/Table1[[#This Row],[Hours Used]])/(Table1[[#This Row],[SOC (TPD)]]/24),"")</f>
        <v/>
      </c>
      <c r="H349" s="27" t="str">
        <f ca="1">IFERROR((Table1[[#This Row],[Volume Delivered (T)]]/Table1[[#This Row],[Hours Used]])/(Table1[[#This Row],[SOC (TPD)]]/24),"")</f>
        <v/>
      </c>
      <c r="I349" s="28"/>
      <c r="J349" s="28"/>
      <c r="K349" s="28"/>
      <c r="L349" s="25"/>
      <c r="M349" s="29"/>
      <c r="N349" s="84"/>
      <c r="O349" s="25"/>
      <c r="P349" s="25"/>
      <c r="Q349" s="70"/>
      <c r="R349" s="71"/>
      <c r="S349" s="30">
        <f>IF(Table1[[#This Row],[SKU]]="",0,24-Table1[[#This Row],[Legal Non-Operating Time]]-Table1[[#This Row],[No Demand Time]]-Table1[[#This Row],[Force Majeure]])</f>
        <v>0</v>
      </c>
      <c r="T349" s="26"/>
      <c r="U349" s="26"/>
      <c r="V349" s="26"/>
      <c r="W349" s="26"/>
      <c r="X349" s="26"/>
      <c r="Y349" s="26"/>
      <c r="Z349" s="26"/>
      <c r="AA349" s="30">
        <f>Table1[[#This Row],[Hours Used]]-SUM(Table1[[#This Row],[Planned Maintenance]:[Start and Finish Production]])</f>
        <v>0</v>
      </c>
      <c r="AB349" s="26"/>
      <c r="AC349" s="26"/>
      <c r="AD349" s="26"/>
      <c r="AE349" s="26"/>
      <c r="AF349" s="26"/>
      <c r="AG349" s="26"/>
      <c r="AH349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349" s="24">
        <f>IFERROR(IF(Table1[[#This Row],[SKU]]="",0,Table1[[#This Row],[Quality Loss (T)]]/(Table1[[#This Row],[SOC (TPD)]]/24)),"")</f>
        <v>0</v>
      </c>
      <c r="AJ349" s="31">
        <f>IFERROR(IF(Table1[[#This Row],[SKU]]="",0,Table1[[#This Row],[Volume Delivered (T)]]/(Table1[[#This Row],[SOC (TPD)]]/24)),"")</f>
        <v>0</v>
      </c>
      <c r="AK349" s="31" t="str">
        <f>IFERROR(Table1[[#This Row],[Operating Time]]/Table1[[#This Row],[PRODUCTION HOURS]],"")</f>
        <v/>
      </c>
      <c r="AL349" s="32"/>
      <c r="AM349" s="32"/>
      <c r="AN349" s="32"/>
      <c r="AO349" s="32">
        <v>0</v>
      </c>
      <c r="AP349" s="32">
        <v>0</v>
      </c>
      <c r="AQ349" s="32"/>
      <c r="AR349" s="32" t="str">
        <f>IFERROR(SUMIFS(#REF!,#REF!,'Data Sheet'!A:A,#REF!,"Samridhi Perk Line")/SUMIFS(#REF!,#REF!,'Data Sheet'!A:A,#REF!,"Samridhi Perk Line"),"")</f>
        <v/>
      </c>
      <c r="AS349" s="32"/>
      <c r="AT349" s="32"/>
      <c r="AU349" s="211">
        <f>IFERROR(VLOOKUP(Table1[[#This Row],[Date]],'Overweight Data'!A347:G1442,6,FALSE),"")</f>
        <v>0</v>
      </c>
      <c r="AV349" s="221">
        <f>IFERROR(
   IF(
      OR(Table1[[#This Row],[Operating Time]]=0, (Table1[[#This Row],[Operating Time]]/IF(AC349&lt;=1,AC349+1,AC349))*60=0),
      1,
      ((Table1[[#This Row],[Operating Time]])/IF(AC349&lt;=1,AC349+1,AC349))*60
   ),
"_")</f>
        <v>1</v>
      </c>
      <c r="AW349" s="221">
        <f>COUNTIFS('Downtime Data'!A:A,Table1[[#This Row],[Date]])</f>
        <v>0</v>
      </c>
      <c r="AX349" s="219" t="str">
        <f>IFERROR((SUM(Table1[[#This Row],[Minor Stoppages]:[Material Shortages]])/Table1[[#This Row],['# Stops]])*60,"")</f>
        <v/>
      </c>
      <c r="AY349" s="219"/>
      <c r="AZ349" s="33">
        <v>46382</v>
      </c>
    </row>
    <row r="350" spans="1:52" ht="20.149999999999999" customHeight="1" x14ac:dyDescent="0.35">
      <c r="A350" s="21">
        <v>46367</v>
      </c>
      <c r="B350" s="22" t="str">
        <f t="shared" si="7"/>
        <v>Friday</v>
      </c>
      <c r="C350" s="23"/>
      <c r="D350" s="24" t="str" cm="1">
        <f t="array" aca="1" ref="D350" ca="1">IFERROR(INDIRECT(C350),"")</f>
        <v/>
      </c>
      <c r="E350" s="25"/>
      <c r="F350" s="26"/>
      <c r="G350" s="27" t="str">
        <f ca="1">IFERROR((Table1[[#This Row],[Plan]]/Table1[[#This Row],[Hours Used]])/(Table1[[#This Row],[SOC (TPD)]]/24),"")</f>
        <v/>
      </c>
      <c r="H350" s="27" t="str">
        <f ca="1">IFERROR((Table1[[#This Row],[Volume Delivered (T)]]/Table1[[#This Row],[Hours Used]])/(Table1[[#This Row],[SOC (TPD)]]/24),"")</f>
        <v/>
      </c>
      <c r="I350" s="28"/>
      <c r="J350" s="28"/>
      <c r="K350" s="28"/>
      <c r="L350" s="25"/>
      <c r="M350" s="29"/>
      <c r="N350" s="84"/>
      <c r="O350" s="25"/>
      <c r="P350" s="25"/>
      <c r="Q350" s="70"/>
      <c r="R350" s="71"/>
      <c r="S350" s="30">
        <f>IF(Table1[[#This Row],[SKU]]="",0,24-Table1[[#This Row],[Legal Non-Operating Time]]-Table1[[#This Row],[No Demand Time]]-Table1[[#This Row],[Force Majeure]])</f>
        <v>0</v>
      </c>
      <c r="T350" s="26"/>
      <c r="U350" s="26"/>
      <c r="V350" s="26"/>
      <c r="W350" s="26"/>
      <c r="X350" s="26"/>
      <c r="Y350" s="26"/>
      <c r="Z350" s="26"/>
      <c r="AA350" s="30">
        <f>Table1[[#This Row],[Hours Used]]-SUM(Table1[[#This Row],[Planned Maintenance]:[Start and Finish Production]])</f>
        <v>0</v>
      </c>
      <c r="AB350" s="26"/>
      <c r="AC350" s="26"/>
      <c r="AD350" s="26"/>
      <c r="AE350" s="26"/>
      <c r="AF350" s="26"/>
      <c r="AG350" s="26"/>
      <c r="AH350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350" s="24">
        <f>IFERROR(IF(Table1[[#This Row],[SKU]]="",0,Table1[[#This Row],[Quality Loss (T)]]/(Table1[[#This Row],[SOC (TPD)]]/24)),"")</f>
        <v>0</v>
      </c>
      <c r="AJ350" s="31">
        <f>IFERROR(IF(Table1[[#This Row],[SKU]]="",0,Table1[[#This Row],[Volume Delivered (T)]]/(Table1[[#This Row],[SOC (TPD)]]/24)),"")</f>
        <v>0</v>
      </c>
      <c r="AK350" s="31" t="str">
        <f>IFERROR(Table1[[#This Row],[Operating Time]]/Table1[[#This Row],[PRODUCTION HOURS]],"")</f>
        <v/>
      </c>
      <c r="AL350" s="32"/>
      <c r="AM350" s="32"/>
      <c r="AN350" s="32"/>
      <c r="AO350" s="32">
        <v>1</v>
      </c>
      <c r="AP350" s="32">
        <v>0</v>
      </c>
      <c r="AQ350" s="32"/>
      <c r="AR350" s="32" t="str">
        <f>IFERROR(SUMIFS(#REF!,#REF!,'Data Sheet'!A:A,#REF!,"Samridhi Perk Line")/SUMIFS(#REF!,#REF!,'Data Sheet'!A:A,#REF!,"Samridhi Perk Line"),"")</f>
        <v/>
      </c>
      <c r="AS350" s="32"/>
      <c r="AT350" s="32"/>
      <c r="AU350" s="211">
        <f>IFERROR(VLOOKUP(Table1[[#This Row],[Date]],'Overweight Data'!A348:G1443,6,FALSE),"")</f>
        <v>0</v>
      </c>
      <c r="AV350" s="221">
        <f>IFERROR(
   IF(
      OR(Table1[[#This Row],[Operating Time]]=0, (Table1[[#This Row],[Operating Time]]/IF(AC350&lt;=1,AC350+1,AC350))*60=0),
      1,
      ((Table1[[#This Row],[Operating Time]])/IF(AC350&lt;=1,AC350+1,AC350))*60
   ),
"_")</f>
        <v>1</v>
      </c>
      <c r="AW350" s="221">
        <f>COUNTIFS('Downtime Data'!A:A,Table1[[#This Row],[Date]])</f>
        <v>0</v>
      </c>
      <c r="AX350" s="219" t="str">
        <f>IFERROR((SUM(Table1[[#This Row],[Minor Stoppages]:[Material Shortages]])/Table1[[#This Row],['# Stops]])*60,"")</f>
        <v/>
      </c>
      <c r="AY350" s="219"/>
      <c r="AZ350" s="33">
        <v>46382</v>
      </c>
    </row>
    <row r="351" spans="1:52" ht="20.149999999999999" customHeight="1" x14ac:dyDescent="0.35">
      <c r="A351" s="21">
        <v>46368</v>
      </c>
      <c r="B351" s="22" t="str">
        <f t="shared" si="7"/>
        <v>Saturday</v>
      </c>
      <c r="C351" s="23"/>
      <c r="D351" s="24" t="str" cm="1">
        <f t="array" aca="1" ref="D351" ca="1">IFERROR(INDIRECT(C351),"")</f>
        <v/>
      </c>
      <c r="E351" s="25"/>
      <c r="F351" s="26"/>
      <c r="G351" s="27" t="str">
        <f ca="1">IFERROR((Table1[[#This Row],[Plan]]/Table1[[#This Row],[Hours Used]])/(Table1[[#This Row],[SOC (TPD)]]/24),"")</f>
        <v/>
      </c>
      <c r="H351" s="27" t="str">
        <f ca="1">IFERROR((Table1[[#This Row],[Volume Delivered (T)]]/Table1[[#This Row],[Hours Used]])/(Table1[[#This Row],[SOC (TPD)]]/24),"")</f>
        <v/>
      </c>
      <c r="I351" s="28"/>
      <c r="J351" s="28"/>
      <c r="K351" s="28"/>
      <c r="L351" s="25"/>
      <c r="M351" s="29"/>
      <c r="N351" s="84"/>
      <c r="O351" s="25"/>
      <c r="P351" s="25"/>
      <c r="Q351" s="70"/>
      <c r="R351" s="71"/>
      <c r="S351" s="30">
        <f>IF(Table1[[#This Row],[SKU]]="",0,24-Table1[[#This Row],[Legal Non-Operating Time]]-Table1[[#This Row],[No Demand Time]]-Table1[[#This Row],[Force Majeure]])</f>
        <v>0</v>
      </c>
      <c r="T351" s="26"/>
      <c r="U351" s="26"/>
      <c r="V351" s="26"/>
      <c r="W351" s="26"/>
      <c r="X351" s="26"/>
      <c r="Y351" s="26"/>
      <c r="Z351" s="26"/>
      <c r="AA351" s="30">
        <f>Table1[[#This Row],[Hours Used]]-SUM(Table1[[#This Row],[Planned Maintenance]:[Start and Finish Production]])</f>
        <v>0</v>
      </c>
      <c r="AB351" s="26"/>
      <c r="AC351" s="26"/>
      <c r="AD351" s="26"/>
      <c r="AE351" s="26"/>
      <c r="AF351" s="26"/>
      <c r="AG351" s="26"/>
      <c r="AH351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351" s="24">
        <f>IFERROR(IF(Table1[[#This Row],[SKU]]="",0,Table1[[#This Row],[Quality Loss (T)]]/(Table1[[#This Row],[SOC (TPD)]]/24)),"")</f>
        <v>0</v>
      </c>
      <c r="AJ351" s="31">
        <f>IFERROR(IF(Table1[[#This Row],[SKU]]="",0,Table1[[#This Row],[Volume Delivered (T)]]/(Table1[[#This Row],[SOC (TPD)]]/24)),"")</f>
        <v>0</v>
      </c>
      <c r="AK351" s="31" t="str">
        <f>IFERROR(Table1[[#This Row],[Operating Time]]/Table1[[#This Row],[PRODUCTION HOURS]],"")</f>
        <v/>
      </c>
      <c r="AL351" s="32"/>
      <c r="AM351" s="32"/>
      <c r="AN351" s="32"/>
      <c r="AO351" s="32">
        <v>0</v>
      </c>
      <c r="AP351" s="32">
        <v>0</v>
      </c>
      <c r="AQ351" s="32"/>
      <c r="AR351" s="32" t="str">
        <f>IFERROR(SUMIFS(#REF!,#REF!,'Data Sheet'!A:A,#REF!,"Samridhi Perk Line")/SUMIFS(#REF!,#REF!,'Data Sheet'!A:A,#REF!,"Samridhi Perk Line"),"")</f>
        <v/>
      </c>
      <c r="AS351" s="32"/>
      <c r="AT351" s="32"/>
      <c r="AU351" s="211">
        <f>IFERROR(VLOOKUP(Table1[[#This Row],[Date]],'Overweight Data'!A349:G1444,6,FALSE),"")</f>
        <v>0</v>
      </c>
      <c r="AV351" s="221">
        <f>IFERROR(
   IF(
      OR(Table1[[#This Row],[Operating Time]]=0, (Table1[[#This Row],[Operating Time]]/IF(AC351&lt;=1,AC351+1,AC351))*60=0),
      1,
      ((Table1[[#This Row],[Operating Time]])/IF(AC351&lt;=1,AC351+1,AC351))*60
   ),
"_")</f>
        <v>1</v>
      </c>
      <c r="AW351" s="221">
        <f>COUNTIFS('Downtime Data'!A:A,Table1[[#This Row],[Date]])</f>
        <v>0</v>
      </c>
      <c r="AX351" s="219" t="str">
        <f>IFERROR((SUM(Table1[[#This Row],[Minor Stoppages]:[Material Shortages]])/Table1[[#This Row],['# Stops]])*60,"")</f>
        <v/>
      </c>
      <c r="AY351" s="219"/>
      <c r="AZ351" s="33">
        <v>46382</v>
      </c>
    </row>
    <row r="352" spans="1:52" ht="20.149999999999999" customHeight="1" x14ac:dyDescent="0.35">
      <c r="A352" s="21">
        <v>46369</v>
      </c>
      <c r="B352" s="22" t="str">
        <f t="shared" si="7"/>
        <v>Sunday</v>
      </c>
      <c r="C352" s="23"/>
      <c r="D352" s="24" t="str" cm="1">
        <f t="array" aca="1" ref="D352" ca="1">IFERROR(INDIRECT(C352),"")</f>
        <v/>
      </c>
      <c r="E352" s="25"/>
      <c r="F352" s="26"/>
      <c r="G352" s="27" t="str">
        <f ca="1">IFERROR((Table1[[#This Row],[Plan]]/Table1[[#This Row],[Hours Used]])/(Table1[[#This Row],[SOC (TPD)]]/24),"")</f>
        <v/>
      </c>
      <c r="H352" s="27" t="str">
        <f ca="1">IFERROR((Table1[[#This Row],[Volume Delivered (T)]]/Table1[[#This Row],[Hours Used]])/(Table1[[#This Row],[SOC (TPD)]]/24),"")</f>
        <v/>
      </c>
      <c r="I352" s="28"/>
      <c r="J352" s="28"/>
      <c r="K352" s="28"/>
      <c r="L352" s="25"/>
      <c r="M352" s="29"/>
      <c r="N352" s="84"/>
      <c r="O352" s="25"/>
      <c r="P352" s="25"/>
      <c r="Q352" s="70"/>
      <c r="R352" s="71"/>
      <c r="S352" s="30">
        <f>IF(Table1[[#This Row],[SKU]]="",0,24-Table1[[#This Row],[Legal Non-Operating Time]]-Table1[[#This Row],[No Demand Time]]-Table1[[#This Row],[Force Majeure]])</f>
        <v>0</v>
      </c>
      <c r="T352" s="26"/>
      <c r="U352" s="26"/>
      <c r="V352" s="26"/>
      <c r="W352" s="26"/>
      <c r="X352" s="26"/>
      <c r="Y352" s="26"/>
      <c r="Z352" s="26"/>
      <c r="AA352" s="30">
        <f>Table1[[#This Row],[Hours Used]]-SUM(Table1[[#This Row],[Planned Maintenance]:[Start and Finish Production]])</f>
        <v>0</v>
      </c>
      <c r="AB352" s="26"/>
      <c r="AC352" s="26"/>
      <c r="AD352" s="26"/>
      <c r="AE352" s="26"/>
      <c r="AF352" s="26"/>
      <c r="AG352" s="26"/>
      <c r="AH352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352" s="24">
        <f>IFERROR(IF(Table1[[#This Row],[SKU]]="",0,Table1[[#This Row],[Quality Loss (T)]]/(Table1[[#This Row],[SOC (TPD)]]/24)),"")</f>
        <v>0</v>
      </c>
      <c r="AJ352" s="31">
        <f>IFERROR(IF(Table1[[#This Row],[SKU]]="",0,Table1[[#This Row],[Volume Delivered (T)]]/(Table1[[#This Row],[SOC (TPD)]]/24)),"")</f>
        <v>0</v>
      </c>
      <c r="AK352" s="31" t="str">
        <f>IFERROR(Table1[[#This Row],[Operating Time]]/Table1[[#This Row],[PRODUCTION HOURS]],"")</f>
        <v/>
      </c>
      <c r="AL352" s="32"/>
      <c r="AM352" s="32"/>
      <c r="AN352" s="32"/>
      <c r="AO352" s="32">
        <v>0</v>
      </c>
      <c r="AP352" s="32">
        <v>0</v>
      </c>
      <c r="AQ352" s="32"/>
      <c r="AR352" s="32" t="str">
        <f>IFERROR(SUMIFS(#REF!,#REF!,'Data Sheet'!A:A,#REF!,"Samridhi Perk Line")/SUMIFS(#REF!,#REF!,'Data Sheet'!A:A,#REF!,"Samridhi Perk Line"),"")</f>
        <v/>
      </c>
      <c r="AS352" s="32"/>
      <c r="AT352" s="32"/>
      <c r="AU352" s="211">
        <f>IFERROR(VLOOKUP(Table1[[#This Row],[Date]],'Overweight Data'!A350:G1445,6,FALSE),"")</f>
        <v>0</v>
      </c>
      <c r="AV352" s="221">
        <f>IFERROR(
   IF(
      OR(Table1[[#This Row],[Operating Time]]=0, (Table1[[#This Row],[Operating Time]]/IF(AC352&lt;=1,AC352+1,AC352))*60=0),
      1,
      ((Table1[[#This Row],[Operating Time]])/IF(AC352&lt;=1,AC352+1,AC352))*60
   ),
"_")</f>
        <v>1</v>
      </c>
      <c r="AW352" s="221">
        <f>COUNTIFS('Downtime Data'!A:A,Table1[[#This Row],[Date]])</f>
        <v>0</v>
      </c>
      <c r="AX352" s="219" t="str">
        <f>IFERROR((SUM(Table1[[#This Row],[Minor Stoppages]:[Material Shortages]])/Table1[[#This Row],['# Stops]])*60,"")</f>
        <v/>
      </c>
      <c r="AY352" s="219"/>
      <c r="AZ352" s="33">
        <v>46382</v>
      </c>
    </row>
    <row r="353" spans="1:52" ht="20.149999999999999" customHeight="1" x14ac:dyDescent="0.35">
      <c r="A353" s="21">
        <v>46370</v>
      </c>
      <c r="B353" s="22" t="str">
        <f t="shared" si="7"/>
        <v>Monday</v>
      </c>
      <c r="C353" s="23"/>
      <c r="D353" s="24" t="str" cm="1">
        <f t="array" aca="1" ref="D353" ca="1">IFERROR(INDIRECT(C353),"")</f>
        <v/>
      </c>
      <c r="E353" s="25"/>
      <c r="F353" s="26"/>
      <c r="G353" s="27" t="str">
        <f ca="1">IFERROR((Table1[[#This Row],[Plan]]/Table1[[#This Row],[Hours Used]])/(Table1[[#This Row],[SOC (TPD)]]/24),"")</f>
        <v/>
      </c>
      <c r="H353" s="27" t="str">
        <f ca="1">IFERROR((Table1[[#This Row],[Volume Delivered (T)]]/Table1[[#This Row],[Hours Used]])/(Table1[[#This Row],[SOC (TPD)]]/24),"")</f>
        <v/>
      </c>
      <c r="I353" s="28"/>
      <c r="J353" s="28"/>
      <c r="K353" s="28"/>
      <c r="L353" s="25"/>
      <c r="M353" s="29"/>
      <c r="N353" s="84"/>
      <c r="O353" s="25"/>
      <c r="P353" s="25"/>
      <c r="Q353" s="70"/>
      <c r="R353" s="71"/>
      <c r="S353" s="30">
        <f>IF(Table1[[#This Row],[SKU]]="",0,24-Table1[[#This Row],[Legal Non-Operating Time]]-Table1[[#This Row],[No Demand Time]]-Table1[[#This Row],[Force Majeure]])</f>
        <v>0</v>
      </c>
      <c r="T353" s="26"/>
      <c r="U353" s="26"/>
      <c r="V353" s="26"/>
      <c r="W353" s="26"/>
      <c r="X353" s="26"/>
      <c r="Y353" s="26"/>
      <c r="Z353" s="26"/>
      <c r="AA353" s="30">
        <f>Table1[[#This Row],[Hours Used]]-SUM(Table1[[#This Row],[Planned Maintenance]:[Start and Finish Production]])</f>
        <v>0</v>
      </c>
      <c r="AB353" s="26"/>
      <c r="AC353" s="26"/>
      <c r="AD353" s="26"/>
      <c r="AE353" s="26"/>
      <c r="AF353" s="26"/>
      <c r="AG353" s="26"/>
      <c r="AH353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353" s="24">
        <f>IFERROR(IF(Table1[[#This Row],[SKU]]="",0,Table1[[#This Row],[Quality Loss (T)]]/(Table1[[#This Row],[SOC (TPD)]]/24)),"")</f>
        <v>0</v>
      </c>
      <c r="AJ353" s="31">
        <f>IFERROR(IF(Table1[[#This Row],[SKU]]="",0,Table1[[#This Row],[Volume Delivered (T)]]/(Table1[[#This Row],[SOC (TPD)]]/24)),"")</f>
        <v>0</v>
      </c>
      <c r="AK353" s="31" t="str">
        <f>IFERROR(Table1[[#This Row],[Operating Time]]/Table1[[#This Row],[PRODUCTION HOURS]],"")</f>
        <v/>
      </c>
      <c r="AL353" s="32"/>
      <c r="AM353" s="32"/>
      <c r="AN353" s="32"/>
      <c r="AO353" s="32">
        <v>0</v>
      </c>
      <c r="AP353" s="32">
        <v>0</v>
      </c>
      <c r="AQ353" s="32"/>
      <c r="AR353" s="32" t="str">
        <f>IFERROR(SUMIFS(#REF!,#REF!,'Data Sheet'!A:A,#REF!,"Samridhi Perk Line")/SUMIFS(#REF!,#REF!,'Data Sheet'!A:A,#REF!,"Samridhi Perk Line"),"")</f>
        <v/>
      </c>
      <c r="AS353" s="32"/>
      <c r="AT353" s="32"/>
      <c r="AU353" s="211">
        <f>IFERROR(VLOOKUP(Table1[[#This Row],[Date]],'Overweight Data'!A351:G1446,6,FALSE),"")</f>
        <v>0</v>
      </c>
      <c r="AV353" s="221">
        <f>IFERROR(
   IF(
      OR(Table1[[#This Row],[Operating Time]]=0, (Table1[[#This Row],[Operating Time]]/IF(AC353&lt;=1,AC353+1,AC353))*60=0),
      1,
      ((Table1[[#This Row],[Operating Time]])/IF(AC353&lt;=1,AC353+1,AC353))*60
   ),
"_")</f>
        <v>1</v>
      </c>
      <c r="AW353" s="221">
        <f>COUNTIFS('Downtime Data'!A:A,Table1[[#This Row],[Date]])</f>
        <v>0</v>
      </c>
      <c r="AX353" s="219" t="str">
        <f>IFERROR((SUM(Table1[[#This Row],[Minor Stoppages]:[Material Shortages]])/Table1[[#This Row],['# Stops]])*60,"")</f>
        <v/>
      </c>
      <c r="AY353" s="219"/>
      <c r="AZ353" s="33">
        <v>46382</v>
      </c>
    </row>
    <row r="354" spans="1:52" ht="20.149999999999999" customHeight="1" x14ac:dyDescent="0.35">
      <c r="A354" s="21">
        <v>46371</v>
      </c>
      <c r="B354" s="22" t="str">
        <f t="shared" si="7"/>
        <v>Tuesday</v>
      </c>
      <c r="C354" s="23"/>
      <c r="D354" s="24" t="str" cm="1">
        <f t="array" aca="1" ref="D354" ca="1">IFERROR(INDIRECT(C354),"")</f>
        <v/>
      </c>
      <c r="E354" s="25"/>
      <c r="F354" s="26"/>
      <c r="G354" s="27" t="str">
        <f ca="1">IFERROR((Table1[[#This Row],[Plan]]/Table1[[#This Row],[Hours Used]])/(Table1[[#This Row],[SOC (TPD)]]/24),"")</f>
        <v/>
      </c>
      <c r="H354" s="27" t="str">
        <f ca="1">IFERROR((Table1[[#This Row],[Volume Delivered (T)]]/Table1[[#This Row],[Hours Used]])/(Table1[[#This Row],[SOC (TPD)]]/24),"")</f>
        <v/>
      </c>
      <c r="I354" s="28"/>
      <c r="J354" s="28"/>
      <c r="K354" s="28"/>
      <c r="L354" s="25"/>
      <c r="M354" s="29"/>
      <c r="N354" s="84"/>
      <c r="O354" s="25"/>
      <c r="P354" s="25"/>
      <c r="Q354" s="70"/>
      <c r="R354" s="71"/>
      <c r="S354" s="30">
        <f>IF(Table1[[#This Row],[SKU]]="",0,24-Table1[[#This Row],[Legal Non-Operating Time]]-Table1[[#This Row],[No Demand Time]]-Table1[[#This Row],[Force Majeure]])</f>
        <v>0</v>
      </c>
      <c r="T354" s="26"/>
      <c r="U354" s="26"/>
      <c r="V354" s="26"/>
      <c r="W354" s="26"/>
      <c r="X354" s="26"/>
      <c r="Y354" s="26"/>
      <c r="Z354" s="26"/>
      <c r="AA354" s="30">
        <f>Table1[[#This Row],[Hours Used]]-SUM(Table1[[#This Row],[Planned Maintenance]:[Start and Finish Production]])</f>
        <v>0</v>
      </c>
      <c r="AB354" s="26"/>
      <c r="AC354" s="26"/>
      <c r="AD354" s="26"/>
      <c r="AE354" s="26"/>
      <c r="AF354" s="26"/>
      <c r="AG354" s="26"/>
      <c r="AH354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354" s="24">
        <f>IFERROR(IF(Table1[[#This Row],[SKU]]="",0,Table1[[#This Row],[Quality Loss (T)]]/(Table1[[#This Row],[SOC (TPD)]]/24)),"")</f>
        <v>0</v>
      </c>
      <c r="AJ354" s="31">
        <f>IFERROR(IF(Table1[[#This Row],[SKU]]="",0,Table1[[#This Row],[Volume Delivered (T)]]/(Table1[[#This Row],[SOC (TPD)]]/24)),"")</f>
        <v>0</v>
      </c>
      <c r="AK354" s="31" t="str">
        <f>IFERROR(Table1[[#This Row],[Operating Time]]/Table1[[#This Row],[PRODUCTION HOURS]],"")</f>
        <v/>
      </c>
      <c r="AL354" s="32"/>
      <c r="AM354" s="32"/>
      <c r="AN354" s="32"/>
      <c r="AO354" s="32">
        <v>3</v>
      </c>
      <c r="AP354" s="32">
        <v>0</v>
      </c>
      <c r="AQ354" s="32"/>
      <c r="AR354" s="32" t="str">
        <f>IFERROR(SUMIFS(#REF!,#REF!,'Data Sheet'!A:A,#REF!,"Samridhi Perk Line")/SUMIFS(#REF!,#REF!,'Data Sheet'!A:A,#REF!,"Samridhi Perk Line"),"")</f>
        <v/>
      </c>
      <c r="AS354" s="32"/>
      <c r="AT354" s="32"/>
      <c r="AU354" s="211">
        <f>IFERROR(VLOOKUP(Table1[[#This Row],[Date]],'Overweight Data'!A352:G1447,6,FALSE),"")</f>
        <v>0</v>
      </c>
      <c r="AV354" s="221">
        <f>IFERROR(
   IF(
      OR(Table1[[#This Row],[Operating Time]]=0, (Table1[[#This Row],[Operating Time]]/IF(AC354&lt;=1,AC354+1,AC354))*60=0),
      1,
      ((Table1[[#This Row],[Operating Time]])/IF(AC354&lt;=1,AC354+1,AC354))*60
   ),
"_")</f>
        <v>1</v>
      </c>
      <c r="AW354" s="221">
        <f>COUNTIFS('Downtime Data'!A:A,Table1[[#This Row],[Date]])</f>
        <v>0</v>
      </c>
      <c r="AX354" s="219" t="str">
        <f>IFERROR((SUM(Table1[[#This Row],[Minor Stoppages]:[Material Shortages]])/Table1[[#This Row],['# Stops]])*60,"")</f>
        <v/>
      </c>
      <c r="AY354" s="219"/>
      <c r="AZ354" s="33">
        <v>46382</v>
      </c>
    </row>
    <row r="355" spans="1:52" ht="20.149999999999999" customHeight="1" x14ac:dyDescent="0.35">
      <c r="A355" s="21">
        <v>46372</v>
      </c>
      <c r="B355" s="22" t="str">
        <f t="shared" si="7"/>
        <v>Wednesday</v>
      </c>
      <c r="C355" s="23"/>
      <c r="D355" s="24" t="str" cm="1">
        <f t="array" aca="1" ref="D355" ca="1">IFERROR(INDIRECT(C355),"")</f>
        <v/>
      </c>
      <c r="E355" s="25"/>
      <c r="F355" s="26"/>
      <c r="G355" s="27" t="str">
        <f ca="1">IFERROR((Table1[[#This Row],[Plan]]/Table1[[#This Row],[Hours Used]])/(Table1[[#This Row],[SOC (TPD)]]/24),"")</f>
        <v/>
      </c>
      <c r="H355" s="27" t="str">
        <f ca="1">IFERROR((Table1[[#This Row],[Volume Delivered (T)]]/Table1[[#This Row],[Hours Used]])/(Table1[[#This Row],[SOC (TPD)]]/24),"")</f>
        <v/>
      </c>
      <c r="I355" s="28"/>
      <c r="J355" s="28"/>
      <c r="K355" s="28"/>
      <c r="L355" s="25"/>
      <c r="M355" s="29"/>
      <c r="N355" s="84"/>
      <c r="O355" s="25"/>
      <c r="P355" s="25"/>
      <c r="Q355" s="70"/>
      <c r="R355" s="71"/>
      <c r="S355" s="30">
        <f>IF(Table1[[#This Row],[SKU]]="",0,24-Table1[[#This Row],[Legal Non-Operating Time]]-Table1[[#This Row],[No Demand Time]]-Table1[[#This Row],[Force Majeure]])</f>
        <v>0</v>
      </c>
      <c r="T355" s="26"/>
      <c r="U355" s="26"/>
      <c r="V355" s="26"/>
      <c r="W355" s="26"/>
      <c r="X355" s="26"/>
      <c r="Y355" s="26"/>
      <c r="Z355" s="26"/>
      <c r="AA355" s="30">
        <f>Table1[[#This Row],[Hours Used]]-SUM(Table1[[#This Row],[Planned Maintenance]:[Start and Finish Production]])</f>
        <v>0</v>
      </c>
      <c r="AB355" s="26"/>
      <c r="AC355" s="26"/>
      <c r="AD355" s="26"/>
      <c r="AE355" s="26"/>
      <c r="AF355" s="26"/>
      <c r="AG355" s="26"/>
      <c r="AH355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355" s="24">
        <f>IFERROR(IF(Table1[[#This Row],[SKU]]="",0,Table1[[#This Row],[Quality Loss (T)]]/(Table1[[#This Row],[SOC (TPD)]]/24)),"")</f>
        <v>0</v>
      </c>
      <c r="AJ355" s="31">
        <f>IFERROR(IF(Table1[[#This Row],[SKU]]="",0,Table1[[#This Row],[Volume Delivered (T)]]/(Table1[[#This Row],[SOC (TPD)]]/24)),"")</f>
        <v>0</v>
      </c>
      <c r="AK355" s="31" t="str">
        <f>IFERROR(Table1[[#This Row],[Operating Time]]/Table1[[#This Row],[PRODUCTION HOURS]],"")</f>
        <v/>
      </c>
      <c r="AL355" s="32"/>
      <c r="AM355" s="32"/>
      <c r="AN355" s="32"/>
      <c r="AO355" s="32">
        <v>0</v>
      </c>
      <c r="AP355" s="32">
        <v>0</v>
      </c>
      <c r="AQ355" s="32"/>
      <c r="AR355" s="32" t="str">
        <f>IFERROR(SUMIFS(#REF!,#REF!,'Data Sheet'!A:A,#REF!,"Samridhi Perk Line")/SUMIFS(#REF!,#REF!,'Data Sheet'!A:A,#REF!,"Samridhi Perk Line"),"")</f>
        <v/>
      </c>
      <c r="AS355" s="32"/>
      <c r="AT355" s="32"/>
      <c r="AU355" s="211">
        <f>IFERROR(VLOOKUP(Table1[[#This Row],[Date]],'Overweight Data'!A353:G1448,6,FALSE),"")</f>
        <v>0</v>
      </c>
      <c r="AV355" s="221">
        <f>IFERROR(
   IF(
      OR(Table1[[#This Row],[Operating Time]]=0, (Table1[[#This Row],[Operating Time]]/IF(AC355&lt;=1,AC355+1,AC355))*60=0),
      1,
      ((Table1[[#This Row],[Operating Time]])/IF(AC355&lt;=1,AC355+1,AC355))*60
   ),
"_")</f>
        <v>1</v>
      </c>
      <c r="AW355" s="221">
        <f>COUNTIFS('Downtime Data'!A:A,Table1[[#This Row],[Date]])</f>
        <v>0</v>
      </c>
      <c r="AX355" s="219" t="str">
        <f>IFERROR((SUM(Table1[[#This Row],[Minor Stoppages]:[Material Shortages]])/Table1[[#This Row],['# Stops]])*60,"")</f>
        <v/>
      </c>
      <c r="AY355" s="219"/>
      <c r="AZ355" s="33">
        <v>46382</v>
      </c>
    </row>
    <row r="356" spans="1:52" ht="20.149999999999999" customHeight="1" x14ac:dyDescent="0.35">
      <c r="A356" s="21">
        <v>46373</v>
      </c>
      <c r="B356" s="22" t="str">
        <f t="shared" si="7"/>
        <v>Thursday</v>
      </c>
      <c r="C356" s="23"/>
      <c r="D356" s="24" t="str" cm="1">
        <f t="array" aca="1" ref="D356" ca="1">IFERROR(INDIRECT(C356),"")</f>
        <v/>
      </c>
      <c r="E356" s="25"/>
      <c r="F356" s="26"/>
      <c r="G356" s="27" t="str">
        <f ca="1">IFERROR((Table1[[#This Row],[Plan]]/Table1[[#This Row],[Hours Used]])/(Table1[[#This Row],[SOC (TPD)]]/24),"")</f>
        <v/>
      </c>
      <c r="H356" s="27" t="str">
        <f ca="1">IFERROR((Table1[[#This Row],[Volume Delivered (T)]]/Table1[[#This Row],[Hours Used]])/(Table1[[#This Row],[SOC (TPD)]]/24),"")</f>
        <v/>
      </c>
      <c r="I356" s="28"/>
      <c r="J356" s="28"/>
      <c r="K356" s="28"/>
      <c r="L356" s="25"/>
      <c r="M356" s="29"/>
      <c r="N356" s="84"/>
      <c r="O356" s="25"/>
      <c r="P356" s="25"/>
      <c r="Q356" s="70"/>
      <c r="R356" s="71"/>
      <c r="S356" s="30">
        <f>IF(Table1[[#This Row],[SKU]]="",0,24-Table1[[#This Row],[Legal Non-Operating Time]]-Table1[[#This Row],[No Demand Time]]-Table1[[#This Row],[Force Majeure]])</f>
        <v>0</v>
      </c>
      <c r="T356" s="26"/>
      <c r="U356" s="26"/>
      <c r="V356" s="26"/>
      <c r="W356" s="26"/>
      <c r="X356" s="26"/>
      <c r="Y356" s="26"/>
      <c r="Z356" s="26"/>
      <c r="AA356" s="30">
        <f>Table1[[#This Row],[Hours Used]]-SUM(Table1[[#This Row],[Planned Maintenance]:[Start and Finish Production]])</f>
        <v>0</v>
      </c>
      <c r="AB356" s="26"/>
      <c r="AC356" s="26"/>
      <c r="AD356" s="26"/>
      <c r="AE356" s="26"/>
      <c r="AF356" s="26"/>
      <c r="AG356" s="26"/>
      <c r="AH356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356" s="24">
        <f>IFERROR(IF(Table1[[#This Row],[SKU]]="",0,Table1[[#This Row],[Quality Loss (T)]]/(Table1[[#This Row],[SOC (TPD)]]/24)),"")</f>
        <v>0</v>
      </c>
      <c r="AJ356" s="31">
        <f>IFERROR(IF(Table1[[#This Row],[SKU]]="",0,Table1[[#This Row],[Volume Delivered (T)]]/(Table1[[#This Row],[SOC (TPD)]]/24)),"")</f>
        <v>0</v>
      </c>
      <c r="AK356" s="31" t="str">
        <f>IFERROR(Table1[[#This Row],[Operating Time]]/Table1[[#This Row],[PRODUCTION HOURS]],"")</f>
        <v/>
      </c>
      <c r="AL356" s="32"/>
      <c r="AM356" s="32"/>
      <c r="AN356" s="32"/>
      <c r="AO356" s="32">
        <v>0</v>
      </c>
      <c r="AP356" s="32">
        <v>0</v>
      </c>
      <c r="AQ356" s="32"/>
      <c r="AR356" s="32" t="str">
        <f>IFERROR(SUMIFS(#REF!,#REF!,'Data Sheet'!A:A,#REF!,"Samridhi Perk Line")/SUMIFS(#REF!,#REF!,'Data Sheet'!A:A,#REF!,"Samridhi Perk Line"),"")</f>
        <v/>
      </c>
      <c r="AS356" s="32"/>
      <c r="AT356" s="32"/>
      <c r="AU356" s="211">
        <f>IFERROR(VLOOKUP(Table1[[#This Row],[Date]],'Overweight Data'!A354:G1449,6,FALSE),"")</f>
        <v>0</v>
      </c>
      <c r="AV356" s="221">
        <f>IFERROR(
   IF(
      OR(Table1[[#This Row],[Operating Time]]=0, (Table1[[#This Row],[Operating Time]]/IF(AC356&lt;=1,AC356+1,AC356))*60=0),
      1,
      ((Table1[[#This Row],[Operating Time]])/IF(AC356&lt;=1,AC356+1,AC356))*60
   ),
"_")</f>
        <v>1</v>
      </c>
      <c r="AW356" s="221">
        <f>COUNTIFS('Downtime Data'!A:A,Table1[[#This Row],[Date]])</f>
        <v>0</v>
      </c>
      <c r="AX356" s="219" t="str">
        <f>IFERROR((SUM(Table1[[#This Row],[Minor Stoppages]:[Material Shortages]])/Table1[[#This Row],['# Stops]])*60,"")</f>
        <v/>
      </c>
      <c r="AY356" s="219"/>
      <c r="AZ356" s="33">
        <v>46382</v>
      </c>
    </row>
    <row r="357" spans="1:52" ht="20.149999999999999" customHeight="1" x14ac:dyDescent="0.35">
      <c r="A357" s="21">
        <v>46374</v>
      </c>
      <c r="B357" s="22" t="str">
        <f t="shared" si="7"/>
        <v>Friday</v>
      </c>
      <c r="C357" s="23"/>
      <c r="D357" s="24" t="str" cm="1">
        <f t="array" aca="1" ref="D357" ca="1">IFERROR(INDIRECT(C357),"")</f>
        <v/>
      </c>
      <c r="E357" s="25"/>
      <c r="F357" s="26"/>
      <c r="G357" s="27" t="str">
        <f ca="1">IFERROR((Table1[[#This Row],[Plan]]/Table1[[#This Row],[Hours Used]])/(Table1[[#This Row],[SOC (TPD)]]/24),"")</f>
        <v/>
      </c>
      <c r="H357" s="27" t="str">
        <f ca="1">IFERROR((Table1[[#This Row],[Volume Delivered (T)]]/Table1[[#This Row],[Hours Used]])/(Table1[[#This Row],[SOC (TPD)]]/24),"")</f>
        <v/>
      </c>
      <c r="I357" s="28"/>
      <c r="J357" s="28"/>
      <c r="K357" s="28"/>
      <c r="L357" s="25"/>
      <c r="M357" s="29"/>
      <c r="N357" s="84"/>
      <c r="O357" s="25"/>
      <c r="P357" s="25"/>
      <c r="Q357" s="70"/>
      <c r="R357" s="71"/>
      <c r="S357" s="30">
        <f>IF(Table1[[#This Row],[SKU]]="",0,24-Table1[[#This Row],[Legal Non-Operating Time]]-Table1[[#This Row],[No Demand Time]]-Table1[[#This Row],[Force Majeure]])</f>
        <v>0</v>
      </c>
      <c r="T357" s="26"/>
      <c r="U357" s="26"/>
      <c r="V357" s="26"/>
      <c r="W357" s="26"/>
      <c r="X357" s="26"/>
      <c r="Y357" s="26"/>
      <c r="Z357" s="26"/>
      <c r="AA357" s="30">
        <f>Table1[[#This Row],[Hours Used]]-SUM(Table1[[#This Row],[Planned Maintenance]:[Start and Finish Production]])</f>
        <v>0</v>
      </c>
      <c r="AB357" s="26"/>
      <c r="AC357" s="26"/>
      <c r="AD357" s="26"/>
      <c r="AE357" s="26"/>
      <c r="AF357" s="26"/>
      <c r="AG357" s="26"/>
      <c r="AH357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357" s="24">
        <f>IFERROR(IF(Table1[[#This Row],[SKU]]="",0,Table1[[#This Row],[Quality Loss (T)]]/(Table1[[#This Row],[SOC (TPD)]]/24)),"")</f>
        <v>0</v>
      </c>
      <c r="AJ357" s="31">
        <f>IFERROR(IF(Table1[[#This Row],[SKU]]="",0,Table1[[#This Row],[Volume Delivered (T)]]/(Table1[[#This Row],[SOC (TPD)]]/24)),"")</f>
        <v>0</v>
      </c>
      <c r="AK357" s="31" t="str">
        <f>IFERROR(Table1[[#This Row],[Operating Time]]/Table1[[#This Row],[PRODUCTION HOURS]],"")</f>
        <v/>
      </c>
      <c r="AL357" s="32"/>
      <c r="AM357" s="32"/>
      <c r="AN357" s="32"/>
      <c r="AO357" s="32">
        <v>19</v>
      </c>
      <c r="AP357" s="32">
        <v>0</v>
      </c>
      <c r="AQ357" s="32"/>
      <c r="AR357" s="32" t="str">
        <f>IFERROR(SUMIFS(#REF!,#REF!,'Data Sheet'!A:A,#REF!,"Samridhi Perk Line")/SUMIFS(#REF!,#REF!,'Data Sheet'!A:A,#REF!,"Samridhi Perk Line"),"")</f>
        <v/>
      </c>
      <c r="AS357" s="32"/>
      <c r="AT357" s="32"/>
      <c r="AU357" s="211">
        <f>IFERROR(VLOOKUP(Table1[[#This Row],[Date]],'Overweight Data'!A355:G1450,6,FALSE),"")</f>
        <v>0</v>
      </c>
      <c r="AV357" s="221">
        <f>IFERROR(
   IF(
      OR(Table1[[#This Row],[Operating Time]]=0, (Table1[[#This Row],[Operating Time]]/IF(AC357&lt;=1,AC357+1,AC357))*60=0),
      1,
      ((Table1[[#This Row],[Operating Time]])/IF(AC357&lt;=1,AC357+1,AC357))*60
   ),
"_")</f>
        <v>1</v>
      </c>
      <c r="AW357" s="221">
        <f>COUNTIFS('Downtime Data'!A:A,Table1[[#This Row],[Date]])</f>
        <v>0</v>
      </c>
      <c r="AX357" s="219" t="str">
        <f>IFERROR((SUM(Table1[[#This Row],[Minor Stoppages]:[Material Shortages]])/Table1[[#This Row],['# Stops]])*60,"")</f>
        <v/>
      </c>
      <c r="AY357" s="219"/>
      <c r="AZ357" s="33">
        <v>46382</v>
      </c>
    </row>
    <row r="358" spans="1:52" ht="20.149999999999999" customHeight="1" x14ac:dyDescent="0.35">
      <c r="A358" s="21">
        <v>46375</v>
      </c>
      <c r="B358" s="22" t="str">
        <f t="shared" si="7"/>
        <v>Saturday</v>
      </c>
      <c r="C358" s="23"/>
      <c r="D358" s="24" t="str" cm="1">
        <f t="array" aca="1" ref="D358" ca="1">IFERROR(INDIRECT(C358),"")</f>
        <v/>
      </c>
      <c r="E358" s="25"/>
      <c r="F358" s="26"/>
      <c r="G358" s="27" t="str">
        <f ca="1">IFERROR((Table1[[#This Row],[Plan]]/Table1[[#This Row],[Hours Used]])/(Table1[[#This Row],[SOC (TPD)]]/24),"")</f>
        <v/>
      </c>
      <c r="H358" s="27" t="str">
        <f ca="1">IFERROR((Table1[[#This Row],[Volume Delivered (T)]]/Table1[[#This Row],[Hours Used]])/(Table1[[#This Row],[SOC (TPD)]]/24),"")</f>
        <v/>
      </c>
      <c r="I358" s="28"/>
      <c r="J358" s="28"/>
      <c r="K358" s="28"/>
      <c r="L358" s="25"/>
      <c r="M358" s="29"/>
      <c r="N358" s="84"/>
      <c r="O358" s="25"/>
      <c r="P358" s="25"/>
      <c r="Q358" s="70"/>
      <c r="R358" s="71"/>
      <c r="S358" s="30">
        <f>IF(Table1[[#This Row],[SKU]]="",0,24-Table1[[#This Row],[Legal Non-Operating Time]]-Table1[[#This Row],[No Demand Time]]-Table1[[#This Row],[Force Majeure]])</f>
        <v>0</v>
      </c>
      <c r="T358" s="26"/>
      <c r="U358" s="26"/>
      <c r="V358" s="26"/>
      <c r="W358" s="26"/>
      <c r="X358" s="26"/>
      <c r="Y358" s="26"/>
      <c r="Z358" s="26"/>
      <c r="AA358" s="30">
        <f>Table1[[#This Row],[Hours Used]]-SUM(Table1[[#This Row],[Planned Maintenance]:[Start and Finish Production]])</f>
        <v>0</v>
      </c>
      <c r="AB358" s="26"/>
      <c r="AC358" s="26"/>
      <c r="AD358" s="26"/>
      <c r="AE358" s="26"/>
      <c r="AF358" s="26"/>
      <c r="AG358" s="26"/>
      <c r="AH358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358" s="24">
        <f>IFERROR(IF(Table1[[#This Row],[SKU]]="",0,Table1[[#This Row],[Quality Loss (T)]]/(Table1[[#This Row],[SOC (TPD)]]/24)),"")</f>
        <v>0</v>
      </c>
      <c r="AJ358" s="31">
        <f>IFERROR(IF(Table1[[#This Row],[SKU]]="",0,Table1[[#This Row],[Volume Delivered (T)]]/(Table1[[#This Row],[SOC (TPD)]]/24)),"")</f>
        <v>0</v>
      </c>
      <c r="AK358" s="31" t="str">
        <f>IFERROR(Table1[[#This Row],[Operating Time]]/Table1[[#This Row],[PRODUCTION HOURS]],"")</f>
        <v/>
      </c>
      <c r="AL358" s="32"/>
      <c r="AM358" s="32"/>
      <c r="AN358" s="32"/>
      <c r="AO358" s="32">
        <v>10</v>
      </c>
      <c r="AP358" s="32">
        <v>0</v>
      </c>
      <c r="AQ358" s="32"/>
      <c r="AR358" s="32" t="str">
        <f>IFERROR(SUMIFS(#REF!,#REF!,'Data Sheet'!A:A,#REF!,"Samridhi Perk Line")/SUMIFS(#REF!,#REF!,'Data Sheet'!A:A,#REF!,"Samridhi Perk Line"),"")</f>
        <v/>
      </c>
      <c r="AS358" s="32"/>
      <c r="AT358" s="32"/>
      <c r="AU358" s="211">
        <f>IFERROR(VLOOKUP(Table1[[#This Row],[Date]],'Overweight Data'!A356:G1451,6,FALSE),"")</f>
        <v>0</v>
      </c>
      <c r="AV358" s="221">
        <f>IFERROR(
   IF(
      OR(Table1[[#This Row],[Operating Time]]=0, (Table1[[#This Row],[Operating Time]]/IF(AC358&lt;=1,AC358+1,AC358))*60=0),
      1,
      ((Table1[[#This Row],[Operating Time]])/IF(AC358&lt;=1,AC358+1,AC358))*60
   ),
"_")</f>
        <v>1</v>
      </c>
      <c r="AW358" s="221">
        <f>COUNTIFS('Downtime Data'!A:A,Table1[[#This Row],[Date]])</f>
        <v>0</v>
      </c>
      <c r="AX358" s="219" t="str">
        <f>IFERROR((SUM(Table1[[#This Row],[Minor Stoppages]:[Material Shortages]])/Table1[[#This Row],['# Stops]])*60,"")</f>
        <v/>
      </c>
      <c r="AY358" s="219"/>
      <c r="AZ358" s="33">
        <v>46382</v>
      </c>
    </row>
    <row r="359" spans="1:52" ht="20.149999999999999" customHeight="1" x14ac:dyDescent="0.35">
      <c r="A359" s="21">
        <v>46376</v>
      </c>
      <c r="B359" s="22" t="str">
        <f t="shared" si="7"/>
        <v>Sunday</v>
      </c>
      <c r="C359" s="23"/>
      <c r="D359" s="24" t="str" cm="1">
        <f t="array" aca="1" ref="D359" ca="1">IFERROR(INDIRECT(C359),"")</f>
        <v/>
      </c>
      <c r="E359" s="25"/>
      <c r="F359" s="26"/>
      <c r="G359" s="27" t="str">
        <f ca="1">IFERROR((Table1[[#This Row],[Plan]]/Table1[[#This Row],[Hours Used]])/(Table1[[#This Row],[SOC (TPD)]]/24),"")</f>
        <v/>
      </c>
      <c r="H359" s="27" t="str">
        <f ca="1">IFERROR((Table1[[#This Row],[Volume Delivered (T)]]/Table1[[#This Row],[Hours Used]])/(Table1[[#This Row],[SOC (TPD)]]/24),"")</f>
        <v/>
      </c>
      <c r="I359" s="28"/>
      <c r="J359" s="28"/>
      <c r="K359" s="28"/>
      <c r="L359" s="25"/>
      <c r="M359" s="29"/>
      <c r="N359" s="84"/>
      <c r="O359" s="25"/>
      <c r="P359" s="25"/>
      <c r="Q359" s="70"/>
      <c r="R359" s="71"/>
      <c r="S359" s="30">
        <f>IF(Table1[[#This Row],[SKU]]="",0,24-Table1[[#This Row],[Legal Non-Operating Time]]-Table1[[#This Row],[No Demand Time]]-Table1[[#This Row],[Force Majeure]])</f>
        <v>0</v>
      </c>
      <c r="T359" s="26"/>
      <c r="U359" s="26"/>
      <c r="V359" s="26"/>
      <c r="W359" s="26"/>
      <c r="X359" s="26"/>
      <c r="Y359" s="26"/>
      <c r="Z359" s="26"/>
      <c r="AA359" s="30">
        <f>Table1[[#This Row],[Hours Used]]-SUM(Table1[[#This Row],[Planned Maintenance]:[Start and Finish Production]])</f>
        <v>0</v>
      </c>
      <c r="AB359" s="26"/>
      <c r="AC359" s="26"/>
      <c r="AD359" s="26"/>
      <c r="AE359" s="26"/>
      <c r="AF359" s="26"/>
      <c r="AG359" s="26"/>
      <c r="AH359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359" s="24">
        <f>IFERROR(IF(Table1[[#This Row],[SKU]]="",0,Table1[[#This Row],[Quality Loss (T)]]/(Table1[[#This Row],[SOC (TPD)]]/24)),"")</f>
        <v>0</v>
      </c>
      <c r="AJ359" s="31">
        <f>IFERROR(IF(Table1[[#This Row],[SKU]]="",0,Table1[[#This Row],[Volume Delivered (T)]]/(Table1[[#This Row],[SOC (TPD)]]/24)),"")</f>
        <v>0</v>
      </c>
      <c r="AK359" s="31" t="str">
        <f>IFERROR(Table1[[#This Row],[Operating Time]]/Table1[[#This Row],[PRODUCTION HOURS]],"")</f>
        <v/>
      </c>
      <c r="AL359" s="32"/>
      <c r="AM359" s="32"/>
      <c r="AN359" s="32"/>
      <c r="AO359" s="32">
        <v>0</v>
      </c>
      <c r="AP359" s="32">
        <v>0</v>
      </c>
      <c r="AQ359" s="32"/>
      <c r="AR359" s="32" t="str">
        <f>IFERROR(SUMIFS(#REF!,#REF!,'Data Sheet'!A:A,#REF!,"Samridhi Perk Line")/SUMIFS(#REF!,#REF!,'Data Sheet'!A:A,#REF!,"Samridhi Perk Line"),"")</f>
        <v/>
      </c>
      <c r="AS359" s="32"/>
      <c r="AT359" s="32"/>
      <c r="AU359" s="211">
        <f>IFERROR(VLOOKUP(Table1[[#This Row],[Date]],'Overweight Data'!A357:G1452,6,FALSE),"")</f>
        <v>0</v>
      </c>
      <c r="AV359" s="221">
        <f>IFERROR(
   IF(
      OR(Table1[[#This Row],[Operating Time]]=0, (Table1[[#This Row],[Operating Time]]/IF(AC359&lt;=1,AC359+1,AC359))*60=0),
      1,
      ((Table1[[#This Row],[Operating Time]])/IF(AC359&lt;=1,AC359+1,AC359))*60
   ),
"_")</f>
        <v>1</v>
      </c>
      <c r="AW359" s="221">
        <f>COUNTIFS('Downtime Data'!A:A,Table1[[#This Row],[Date]])</f>
        <v>0</v>
      </c>
      <c r="AX359" s="219" t="str">
        <f>IFERROR((SUM(Table1[[#This Row],[Minor Stoppages]:[Material Shortages]])/Table1[[#This Row],['# Stops]])*60,"")</f>
        <v/>
      </c>
      <c r="AY359" s="219"/>
      <c r="AZ359" s="33">
        <v>46382</v>
      </c>
    </row>
    <row r="360" spans="1:52" ht="20.149999999999999" customHeight="1" x14ac:dyDescent="0.35">
      <c r="A360" s="21">
        <v>46377</v>
      </c>
      <c r="B360" s="22" t="str">
        <f t="shared" si="7"/>
        <v>Monday</v>
      </c>
      <c r="C360" s="23"/>
      <c r="D360" s="24" t="str" cm="1">
        <f t="array" aca="1" ref="D360" ca="1">IFERROR(INDIRECT(C360),"")</f>
        <v/>
      </c>
      <c r="E360" s="25"/>
      <c r="F360" s="26"/>
      <c r="G360" s="27" t="str">
        <f ca="1">IFERROR((Table1[[#This Row],[Plan]]/Table1[[#This Row],[Hours Used]])/(Table1[[#This Row],[SOC (TPD)]]/24),"")</f>
        <v/>
      </c>
      <c r="H360" s="27" t="str">
        <f ca="1">IFERROR((Table1[[#This Row],[Volume Delivered (T)]]/Table1[[#This Row],[Hours Used]])/(Table1[[#This Row],[SOC (TPD)]]/24),"")</f>
        <v/>
      </c>
      <c r="I360" s="28"/>
      <c r="J360" s="28"/>
      <c r="K360" s="28"/>
      <c r="L360" s="25"/>
      <c r="M360" s="29"/>
      <c r="N360" s="84"/>
      <c r="O360" s="25"/>
      <c r="P360" s="25"/>
      <c r="Q360" s="70"/>
      <c r="R360" s="71"/>
      <c r="S360" s="30">
        <f>IF(Table1[[#This Row],[SKU]]="",0,24-Table1[[#This Row],[Legal Non-Operating Time]]-Table1[[#This Row],[No Demand Time]]-Table1[[#This Row],[Force Majeure]])</f>
        <v>0</v>
      </c>
      <c r="T360" s="26"/>
      <c r="U360" s="26"/>
      <c r="V360" s="26"/>
      <c r="W360" s="26"/>
      <c r="X360" s="26"/>
      <c r="Y360" s="26"/>
      <c r="Z360" s="26"/>
      <c r="AA360" s="30">
        <f>Table1[[#This Row],[Hours Used]]-SUM(Table1[[#This Row],[Planned Maintenance]:[Start and Finish Production]])</f>
        <v>0</v>
      </c>
      <c r="AB360" s="26"/>
      <c r="AC360" s="26"/>
      <c r="AD360" s="26"/>
      <c r="AE360" s="26"/>
      <c r="AF360" s="26"/>
      <c r="AG360" s="26"/>
      <c r="AH360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360" s="24">
        <f>IFERROR(IF(Table1[[#This Row],[SKU]]="",0,Table1[[#This Row],[Quality Loss (T)]]/(Table1[[#This Row],[SOC (TPD)]]/24)),"")</f>
        <v>0</v>
      </c>
      <c r="AJ360" s="31">
        <f>IFERROR(IF(Table1[[#This Row],[SKU]]="",0,Table1[[#This Row],[Volume Delivered (T)]]/(Table1[[#This Row],[SOC (TPD)]]/24)),"")</f>
        <v>0</v>
      </c>
      <c r="AK360" s="31" t="str">
        <f>IFERROR(Table1[[#This Row],[Operating Time]]/Table1[[#This Row],[PRODUCTION HOURS]],"")</f>
        <v/>
      </c>
      <c r="AL360" s="32"/>
      <c r="AM360" s="32"/>
      <c r="AN360" s="32"/>
      <c r="AO360" s="32">
        <v>0</v>
      </c>
      <c r="AP360" s="32">
        <v>0</v>
      </c>
      <c r="AQ360" s="32"/>
      <c r="AR360" s="32" t="str">
        <f>IFERROR(SUMIFS(#REF!,#REF!,'Data Sheet'!A:A,#REF!,"Samridhi Perk Line")/SUMIFS(#REF!,#REF!,'Data Sheet'!A:A,#REF!,"Samridhi Perk Line"),"")</f>
        <v/>
      </c>
      <c r="AS360" s="32"/>
      <c r="AT360" s="32"/>
      <c r="AU360" s="211">
        <f>IFERROR(VLOOKUP(Table1[[#This Row],[Date]],'Overweight Data'!A358:G1453,6,FALSE),"")</f>
        <v>0</v>
      </c>
      <c r="AV360" s="221">
        <f>IFERROR(
   IF(
      OR(Table1[[#This Row],[Operating Time]]=0, (Table1[[#This Row],[Operating Time]]/IF(AC360&lt;=1,AC360+1,AC360))*60=0),
      1,
      ((Table1[[#This Row],[Operating Time]])/IF(AC360&lt;=1,AC360+1,AC360))*60
   ),
"_")</f>
        <v>1</v>
      </c>
      <c r="AW360" s="221">
        <f>COUNTIFS('Downtime Data'!A:A,Table1[[#This Row],[Date]])</f>
        <v>0</v>
      </c>
      <c r="AX360" s="219" t="str">
        <f>IFERROR((SUM(Table1[[#This Row],[Minor Stoppages]:[Material Shortages]])/Table1[[#This Row],['# Stops]])*60,"")</f>
        <v/>
      </c>
      <c r="AY360" s="219"/>
      <c r="AZ360" s="33">
        <v>46382</v>
      </c>
    </row>
    <row r="361" spans="1:52" ht="20.149999999999999" customHeight="1" x14ac:dyDescent="0.35">
      <c r="A361" s="21">
        <v>46378</v>
      </c>
      <c r="B361" s="22" t="str">
        <f t="shared" si="7"/>
        <v>Tuesday</v>
      </c>
      <c r="C361" s="23"/>
      <c r="D361" s="24" t="str" cm="1">
        <f t="array" aca="1" ref="D361" ca="1">IFERROR(INDIRECT(C361),"")</f>
        <v/>
      </c>
      <c r="E361" s="25"/>
      <c r="F361" s="26"/>
      <c r="G361" s="27" t="str">
        <f ca="1">IFERROR((Table1[[#This Row],[Plan]]/Table1[[#This Row],[Hours Used]])/(Table1[[#This Row],[SOC (TPD)]]/24),"")</f>
        <v/>
      </c>
      <c r="H361" s="27" t="str">
        <f ca="1">IFERROR((Table1[[#This Row],[Volume Delivered (T)]]/Table1[[#This Row],[Hours Used]])/(Table1[[#This Row],[SOC (TPD)]]/24),"")</f>
        <v/>
      </c>
      <c r="I361" s="28"/>
      <c r="J361" s="28"/>
      <c r="K361" s="28"/>
      <c r="L361" s="25"/>
      <c r="M361" s="29"/>
      <c r="N361" s="84"/>
      <c r="O361" s="25"/>
      <c r="P361" s="25"/>
      <c r="Q361" s="70"/>
      <c r="R361" s="71"/>
      <c r="S361" s="30">
        <f>IF(Table1[[#This Row],[SKU]]="",0,24-Table1[[#This Row],[Legal Non-Operating Time]]-Table1[[#This Row],[No Demand Time]]-Table1[[#This Row],[Force Majeure]])</f>
        <v>0</v>
      </c>
      <c r="T361" s="26"/>
      <c r="U361" s="26"/>
      <c r="V361" s="26"/>
      <c r="W361" s="26"/>
      <c r="X361" s="26"/>
      <c r="Y361" s="26"/>
      <c r="Z361" s="26"/>
      <c r="AA361" s="30">
        <f>Table1[[#This Row],[Hours Used]]-SUM(Table1[[#This Row],[Planned Maintenance]:[Start and Finish Production]])</f>
        <v>0</v>
      </c>
      <c r="AB361" s="26"/>
      <c r="AC361" s="26"/>
      <c r="AD361" s="26"/>
      <c r="AE361" s="26"/>
      <c r="AF361" s="26"/>
      <c r="AG361" s="26"/>
      <c r="AH361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361" s="24">
        <f>IFERROR(IF(Table1[[#This Row],[SKU]]="",0,Table1[[#This Row],[Quality Loss (T)]]/(Table1[[#This Row],[SOC (TPD)]]/24)),"")</f>
        <v>0</v>
      </c>
      <c r="AJ361" s="31">
        <f>IFERROR(IF(Table1[[#This Row],[SKU]]="",0,Table1[[#This Row],[Volume Delivered (T)]]/(Table1[[#This Row],[SOC (TPD)]]/24)),"")</f>
        <v>0</v>
      </c>
      <c r="AK361" s="31" t="str">
        <f>IFERROR(Table1[[#This Row],[Operating Time]]/Table1[[#This Row],[PRODUCTION HOURS]],"")</f>
        <v/>
      </c>
      <c r="AL361" s="32"/>
      <c r="AM361" s="32"/>
      <c r="AN361" s="32"/>
      <c r="AO361" s="32">
        <v>0</v>
      </c>
      <c r="AP361" s="32">
        <v>0</v>
      </c>
      <c r="AQ361" s="32"/>
      <c r="AR361" s="32" t="str">
        <f>IFERROR(SUMIFS(#REF!,#REF!,'Data Sheet'!A:A,#REF!,"Samridhi Perk Line")/SUMIFS(#REF!,#REF!,'Data Sheet'!A:A,#REF!,"Samridhi Perk Line"),"")</f>
        <v/>
      </c>
      <c r="AS361" s="32"/>
      <c r="AT361" s="32"/>
      <c r="AU361" s="211">
        <f>IFERROR(VLOOKUP(Table1[[#This Row],[Date]],'Overweight Data'!A359:G1454,6,FALSE),"")</f>
        <v>0</v>
      </c>
      <c r="AV361" s="221">
        <f>IFERROR(
   IF(
      OR(Table1[[#This Row],[Operating Time]]=0, (Table1[[#This Row],[Operating Time]]/IF(AC361&lt;=1,AC361+1,AC361))*60=0),
      1,
      ((Table1[[#This Row],[Operating Time]])/IF(AC361&lt;=1,AC361+1,AC361))*60
   ),
"_")</f>
        <v>1</v>
      </c>
      <c r="AW361" s="221">
        <f>COUNTIFS('Downtime Data'!A:A,Table1[[#This Row],[Date]])</f>
        <v>0</v>
      </c>
      <c r="AX361" s="219" t="str">
        <f>IFERROR((SUM(Table1[[#This Row],[Minor Stoppages]:[Material Shortages]])/Table1[[#This Row],['# Stops]])*60,"")</f>
        <v/>
      </c>
      <c r="AY361" s="219"/>
      <c r="AZ361" s="33">
        <v>46382</v>
      </c>
    </row>
    <row r="362" spans="1:52" ht="20.149999999999999" customHeight="1" x14ac:dyDescent="0.35">
      <c r="A362" s="21">
        <v>46379</v>
      </c>
      <c r="B362" s="22" t="str">
        <f t="shared" si="7"/>
        <v>Wednesday</v>
      </c>
      <c r="C362" s="23"/>
      <c r="D362" s="24" t="str" cm="1">
        <f t="array" aca="1" ref="D362" ca="1">IFERROR(INDIRECT(C362),"")</f>
        <v/>
      </c>
      <c r="E362" s="25"/>
      <c r="F362" s="26"/>
      <c r="G362" s="27" t="str">
        <f ca="1">IFERROR((Table1[[#This Row],[Plan]]/Table1[[#This Row],[Hours Used]])/(Table1[[#This Row],[SOC (TPD)]]/24),"")</f>
        <v/>
      </c>
      <c r="H362" s="27" t="str">
        <f ca="1">IFERROR((Table1[[#This Row],[Volume Delivered (T)]]/Table1[[#This Row],[Hours Used]])/(Table1[[#This Row],[SOC (TPD)]]/24),"")</f>
        <v/>
      </c>
      <c r="I362" s="28"/>
      <c r="J362" s="28"/>
      <c r="K362" s="28"/>
      <c r="L362" s="25"/>
      <c r="M362" s="29"/>
      <c r="N362" s="84"/>
      <c r="O362" s="25"/>
      <c r="P362" s="25"/>
      <c r="Q362" s="70"/>
      <c r="R362" s="71"/>
      <c r="S362" s="30">
        <f>IF(Table1[[#This Row],[SKU]]="",0,24-Table1[[#This Row],[Legal Non-Operating Time]]-Table1[[#This Row],[No Demand Time]]-Table1[[#This Row],[Force Majeure]])</f>
        <v>0</v>
      </c>
      <c r="T362" s="26"/>
      <c r="U362" s="26"/>
      <c r="V362" s="26"/>
      <c r="W362" s="26"/>
      <c r="X362" s="26"/>
      <c r="Y362" s="26"/>
      <c r="Z362" s="26"/>
      <c r="AA362" s="30">
        <f>Table1[[#This Row],[Hours Used]]-SUM(Table1[[#This Row],[Planned Maintenance]:[Start and Finish Production]])</f>
        <v>0</v>
      </c>
      <c r="AB362" s="26"/>
      <c r="AC362" s="26"/>
      <c r="AD362" s="26"/>
      <c r="AE362" s="26"/>
      <c r="AF362" s="26"/>
      <c r="AG362" s="26"/>
      <c r="AH362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362" s="24">
        <f>IFERROR(IF(Table1[[#This Row],[SKU]]="",0,Table1[[#This Row],[Quality Loss (T)]]/(Table1[[#This Row],[SOC (TPD)]]/24)),"")</f>
        <v>0</v>
      </c>
      <c r="AJ362" s="31">
        <f>IFERROR(IF(Table1[[#This Row],[SKU]]="",0,Table1[[#This Row],[Volume Delivered (T)]]/(Table1[[#This Row],[SOC (TPD)]]/24)),"")</f>
        <v>0</v>
      </c>
      <c r="AK362" s="31" t="str">
        <f>IFERROR(Table1[[#This Row],[Operating Time]]/Table1[[#This Row],[PRODUCTION HOURS]],"")</f>
        <v/>
      </c>
      <c r="AL362" s="32"/>
      <c r="AM362" s="32"/>
      <c r="AN362" s="32"/>
      <c r="AO362" s="32">
        <v>2</v>
      </c>
      <c r="AP362" s="32">
        <v>0</v>
      </c>
      <c r="AQ362" s="32"/>
      <c r="AR362" s="32" t="str">
        <f>IFERROR(SUMIFS(#REF!,#REF!,'Data Sheet'!A:A,#REF!,"Samridhi Perk Line")/SUMIFS(#REF!,#REF!,'Data Sheet'!A:A,#REF!,"Samridhi Perk Line"),"")</f>
        <v/>
      </c>
      <c r="AS362" s="32"/>
      <c r="AT362" s="32"/>
      <c r="AU362" s="211">
        <f>IFERROR(VLOOKUP(Table1[[#This Row],[Date]],'Overweight Data'!A360:G1455,6,FALSE),"")</f>
        <v>0</v>
      </c>
      <c r="AV362" s="221">
        <f>IFERROR(
   IF(
      OR(Table1[[#This Row],[Operating Time]]=0, (Table1[[#This Row],[Operating Time]]/IF(AC362&lt;=1,AC362+1,AC362))*60=0),
      1,
      ((Table1[[#This Row],[Operating Time]])/IF(AC362&lt;=1,AC362+1,AC362))*60
   ),
"_")</f>
        <v>1</v>
      </c>
      <c r="AW362" s="221">
        <f>COUNTIFS('Downtime Data'!A:A,Table1[[#This Row],[Date]])</f>
        <v>0</v>
      </c>
      <c r="AX362" s="219" t="str">
        <f>IFERROR((SUM(Table1[[#This Row],[Minor Stoppages]:[Material Shortages]])/Table1[[#This Row],['# Stops]])*60,"")</f>
        <v/>
      </c>
      <c r="AY362" s="219"/>
      <c r="AZ362" s="33">
        <v>46382</v>
      </c>
    </row>
    <row r="363" spans="1:52" ht="20.149999999999999" customHeight="1" x14ac:dyDescent="0.35">
      <c r="A363" s="21">
        <v>46380</v>
      </c>
      <c r="B363" s="22" t="str">
        <f t="shared" si="7"/>
        <v>Thursday</v>
      </c>
      <c r="C363" s="23"/>
      <c r="D363" s="24" t="str" cm="1">
        <f t="array" aca="1" ref="D363" ca="1">IFERROR(INDIRECT(C363),"")</f>
        <v/>
      </c>
      <c r="E363" s="25"/>
      <c r="F363" s="26"/>
      <c r="G363" s="27" t="str">
        <f ca="1">IFERROR((Table1[[#This Row],[Plan]]/Table1[[#This Row],[Hours Used]])/(Table1[[#This Row],[SOC (TPD)]]/24),"")</f>
        <v/>
      </c>
      <c r="H363" s="27" t="str">
        <f ca="1">IFERROR((Table1[[#This Row],[Volume Delivered (T)]]/Table1[[#This Row],[Hours Used]])/(Table1[[#This Row],[SOC (TPD)]]/24),"")</f>
        <v/>
      </c>
      <c r="I363" s="28"/>
      <c r="J363" s="28"/>
      <c r="K363" s="28"/>
      <c r="L363" s="25"/>
      <c r="M363" s="29"/>
      <c r="N363" s="84"/>
      <c r="O363" s="25"/>
      <c r="P363" s="25"/>
      <c r="Q363" s="70"/>
      <c r="R363" s="71"/>
      <c r="S363" s="30">
        <f>IF(Table1[[#This Row],[SKU]]="",0,24-Table1[[#This Row],[Legal Non-Operating Time]]-Table1[[#This Row],[No Demand Time]]-Table1[[#This Row],[Force Majeure]])</f>
        <v>0</v>
      </c>
      <c r="T363" s="26"/>
      <c r="U363" s="26"/>
      <c r="V363" s="26"/>
      <c r="W363" s="26"/>
      <c r="X363" s="26"/>
      <c r="Y363" s="26"/>
      <c r="Z363" s="26"/>
      <c r="AA363" s="30">
        <f>Table1[[#This Row],[Hours Used]]-SUM(Table1[[#This Row],[Planned Maintenance]:[Start and Finish Production]])</f>
        <v>0</v>
      </c>
      <c r="AB363" s="26"/>
      <c r="AC363" s="26"/>
      <c r="AD363" s="26"/>
      <c r="AE363" s="26"/>
      <c r="AF363" s="26"/>
      <c r="AG363" s="26"/>
      <c r="AH363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363" s="24">
        <f>IFERROR(IF(Table1[[#This Row],[SKU]]="",0,Table1[[#This Row],[Quality Loss (T)]]/(Table1[[#This Row],[SOC (TPD)]]/24)),"")</f>
        <v>0</v>
      </c>
      <c r="AJ363" s="31">
        <f>IFERROR(IF(Table1[[#This Row],[SKU]]="",0,Table1[[#This Row],[Volume Delivered (T)]]/(Table1[[#This Row],[SOC (TPD)]]/24)),"")</f>
        <v>0</v>
      </c>
      <c r="AK363" s="31" t="str">
        <f>IFERROR(Table1[[#This Row],[Operating Time]]/Table1[[#This Row],[PRODUCTION HOURS]],"")</f>
        <v/>
      </c>
      <c r="AL363" s="32"/>
      <c r="AM363" s="32"/>
      <c r="AN363" s="32"/>
      <c r="AO363" s="32">
        <v>4</v>
      </c>
      <c r="AP363" s="32">
        <v>0</v>
      </c>
      <c r="AQ363" s="32"/>
      <c r="AR363" s="32" t="str">
        <f>IFERROR(SUMIFS(#REF!,#REF!,'Data Sheet'!A:A,#REF!,"Samridhi Perk Line")/SUMIFS(#REF!,#REF!,'Data Sheet'!A:A,#REF!,"Samridhi Perk Line"),"")</f>
        <v/>
      </c>
      <c r="AS363" s="32"/>
      <c r="AT363" s="32"/>
      <c r="AU363" s="211">
        <f>IFERROR(VLOOKUP(Table1[[#This Row],[Date]],'Overweight Data'!A361:G1456,6,FALSE),"")</f>
        <v>0</v>
      </c>
      <c r="AV363" s="221">
        <f>IFERROR(
   IF(
      OR(Table1[[#This Row],[Operating Time]]=0, (Table1[[#This Row],[Operating Time]]/IF(AC363&lt;=1,AC363+1,AC363))*60=0),
      1,
      ((Table1[[#This Row],[Operating Time]])/IF(AC363&lt;=1,AC363+1,AC363))*60
   ),
"_")</f>
        <v>1</v>
      </c>
      <c r="AW363" s="221">
        <f>COUNTIFS('Downtime Data'!A:A,Table1[[#This Row],[Date]])</f>
        <v>0</v>
      </c>
      <c r="AX363" s="219" t="str">
        <f>IFERROR((SUM(Table1[[#This Row],[Minor Stoppages]:[Material Shortages]])/Table1[[#This Row],['# Stops]])*60,"")</f>
        <v/>
      </c>
      <c r="AY363" s="219"/>
      <c r="AZ363" s="33">
        <v>46382</v>
      </c>
    </row>
    <row r="364" spans="1:52" ht="20.149999999999999" customHeight="1" x14ac:dyDescent="0.35">
      <c r="A364" s="21">
        <v>46381</v>
      </c>
      <c r="B364" s="22" t="str">
        <f t="shared" si="7"/>
        <v>Friday</v>
      </c>
      <c r="C364" s="23"/>
      <c r="D364" s="24" t="str" cm="1">
        <f t="array" aca="1" ref="D364" ca="1">IFERROR(INDIRECT(C364),"")</f>
        <v/>
      </c>
      <c r="E364" s="25"/>
      <c r="F364" s="26"/>
      <c r="G364" s="27" t="str">
        <f ca="1">IFERROR((Table1[[#This Row],[Plan]]/Table1[[#This Row],[Hours Used]])/(Table1[[#This Row],[SOC (TPD)]]/24),"")</f>
        <v/>
      </c>
      <c r="H364" s="27" t="str">
        <f ca="1">IFERROR((Table1[[#This Row],[Volume Delivered (T)]]/Table1[[#This Row],[Hours Used]])/(Table1[[#This Row],[SOC (TPD)]]/24),"")</f>
        <v/>
      </c>
      <c r="I364" s="28"/>
      <c r="J364" s="28"/>
      <c r="K364" s="28"/>
      <c r="L364" s="25"/>
      <c r="M364" s="29"/>
      <c r="N364" s="84"/>
      <c r="O364" s="25"/>
      <c r="P364" s="25"/>
      <c r="Q364" s="70"/>
      <c r="R364" s="71"/>
      <c r="S364" s="30">
        <f>IF(Table1[[#This Row],[SKU]]="",0,24-Table1[[#This Row],[Legal Non-Operating Time]]-Table1[[#This Row],[No Demand Time]]-Table1[[#This Row],[Force Majeure]])</f>
        <v>0</v>
      </c>
      <c r="T364" s="26"/>
      <c r="U364" s="26"/>
      <c r="V364" s="26"/>
      <c r="W364" s="26"/>
      <c r="X364" s="26"/>
      <c r="Y364" s="26"/>
      <c r="Z364" s="26"/>
      <c r="AA364" s="30">
        <f>Table1[[#This Row],[Hours Used]]-SUM(Table1[[#This Row],[Planned Maintenance]:[Start and Finish Production]])</f>
        <v>0</v>
      </c>
      <c r="AB364" s="26"/>
      <c r="AC364" s="26"/>
      <c r="AD364" s="26"/>
      <c r="AE364" s="26"/>
      <c r="AF364" s="26"/>
      <c r="AG364" s="26"/>
      <c r="AH364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364" s="24">
        <f>IFERROR(IF(Table1[[#This Row],[SKU]]="",0,Table1[[#This Row],[Quality Loss (T)]]/(Table1[[#This Row],[SOC (TPD)]]/24)),"")</f>
        <v>0</v>
      </c>
      <c r="AJ364" s="31">
        <f>IFERROR(IF(Table1[[#This Row],[SKU]]="",0,Table1[[#This Row],[Volume Delivered (T)]]/(Table1[[#This Row],[SOC (TPD)]]/24)),"")</f>
        <v>0</v>
      </c>
      <c r="AK364" s="31" t="str">
        <f>IFERROR(Table1[[#This Row],[Operating Time]]/Table1[[#This Row],[PRODUCTION HOURS]],"")</f>
        <v/>
      </c>
      <c r="AL364" s="32"/>
      <c r="AM364" s="32"/>
      <c r="AN364" s="32"/>
      <c r="AO364" s="32">
        <v>1</v>
      </c>
      <c r="AP364" s="32">
        <v>0</v>
      </c>
      <c r="AQ364" s="32"/>
      <c r="AR364" s="32" t="str">
        <f>IFERROR(SUMIFS(#REF!,#REF!,'Data Sheet'!A:A,#REF!,"Samridhi Perk Line")/SUMIFS(#REF!,#REF!,'Data Sheet'!A:A,#REF!,"Samridhi Perk Line"),"")</f>
        <v/>
      </c>
      <c r="AS364" s="32"/>
      <c r="AT364" s="32"/>
      <c r="AU364" s="211">
        <f>IFERROR(VLOOKUP(Table1[[#This Row],[Date]],'Overweight Data'!A362:G1457,6,FALSE),"")</f>
        <v>0</v>
      </c>
      <c r="AV364" s="221">
        <f>IFERROR(
   IF(
      OR(Table1[[#This Row],[Operating Time]]=0, (Table1[[#This Row],[Operating Time]]/IF(AC364&lt;=1,AC364+1,AC364))*60=0),
      1,
      ((Table1[[#This Row],[Operating Time]])/IF(AC364&lt;=1,AC364+1,AC364))*60
   ),
"_")</f>
        <v>1</v>
      </c>
      <c r="AW364" s="221">
        <f>COUNTIFS('Downtime Data'!A:A,Table1[[#This Row],[Date]])</f>
        <v>0</v>
      </c>
      <c r="AX364" s="219" t="str">
        <f>IFERROR((SUM(Table1[[#This Row],[Minor Stoppages]:[Material Shortages]])/Table1[[#This Row],['# Stops]])*60,"")</f>
        <v/>
      </c>
      <c r="AY364" s="219"/>
      <c r="AZ364" s="33">
        <v>46382</v>
      </c>
    </row>
    <row r="365" spans="1:52" ht="20.149999999999999" customHeight="1" x14ac:dyDescent="0.35">
      <c r="A365" s="21">
        <v>46382</v>
      </c>
      <c r="B365" s="22" t="str">
        <f t="shared" si="7"/>
        <v>Saturday</v>
      </c>
      <c r="C365" s="23"/>
      <c r="D365" s="24" t="str" cm="1">
        <f t="array" aca="1" ref="D365" ca="1">IFERROR(INDIRECT(C365),"")</f>
        <v/>
      </c>
      <c r="E365" s="25"/>
      <c r="F365" s="26"/>
      <c r="G365" s="27" t="str">
        <f ca="1">IFERROR((Table1[[#This Row],[Plan]]/Table1[[#This Row],[Hours Used]])/(Table1[[#This Row],[SOC (TPD)]]/24),"")</f>
        <v/>
      </c>
      <c r="H365" s="27" t="str">
        <f ca="1">IFERROR((Table1[[#This Row],[Volume Delivered (T)]]/Table1[[#This Row],[Hours Used]])/(Table1[[#This Row],[SOC (TPD)]]/24),"")</f>
        <v/>
      </c>
      <c r="I365" s="28"/>
      <c r="J365" s="28"/>
      <c r="K365" s="28"/>
      <c r="L365" s="25"/>
      <c r="M365" s="29"/>
      <c r="N365" s="84"/>
      <c r="O365" s="25"/>
      <c r="P365" s="25"/>
      <c r="Q365" s="70"/>
      <c r="R365" s="71"/>
      <c r="S365" s="30">
        <f>IF(Table1[[#This Row],[SKU]]="",0,24-Table1[[#This Row],[Legal Non-Operating Time]]-Table1[[#This Row],[No Demand Time]]-Table1[[#This Row],[Force Majeure]])</f>
        <v>0</v>
      </c>
      <c r="T365" s="26"/>
      <c r="U365" s="26"/>
      <c r="V365" s="26"/>
      <c r="W365" s="26"/>
      <c r="X365" s="26"/>
      <c r="Y365" s="26"/>
      <c r="Z365" s="26"/>
      <c r="AA365" s="30">
        <f>Table1[[#This Row],[Hours Used]]-SUM(Table1[[#This Row],[Planned Maintenance]:[Start and Finish Production]])</f>
        <v>0</v>
      </c>
      <c r="AB365" s="26"/>
      <c r="AC365" s="26"/>
      <c r="AD365" s="26"/>
      <c r="AE365" s="26"/>
      <c r="AF365" s="26"/>
      <c r="AG365" s="26"/>
      <c r="AH365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365" s="24">
        <f>IFERROR(IF(Table1[[#This Row],[SKU]]="",0,Table1[[#This Row],[Quality Loss (T)]]/(Table1[[#This Row],[SOC (TPD)]]/24)),"")</f>
        <v>0</v>
      </c>
      <c r="AJ365" s="31">
        <f>IFERROR(IF(Table1[[#This Row],[SKU]]="",0,Table1[[#This Row],[Volume Delivered (T)]]/(Table1[[#This Row],[SOC (TPD)]]/24)),"")</f>
        <v>0</v>
      </c>
      <c r="AK365" s="31" t="str">
        <f>IFERROR(Table1[[#This Row],[Operating Time]]/Table1[[#This Row],[PRODUCTION HOURS]],"")</f>
        <v/>
      </c>
      <c r="AL365" s="32"/>
      <c r="AM365" s="32"/>
      <c r="AN365" s="32"/>
      <c r="AO365" s="32">
        <v>0</v>
      </c>
      <c r="AP365" s="32">
        <v>0</v>
      </c>
      <c r="AQ365" s="32"/>
      <c r="AR365" s="32" t="str">
        <f>IFERROR(SUMIFS(#REF!,#REF!,'Data Sheet'!A:A,#REF!,"Samridhi Perk Line")/SUMIFS(#REF!,#REF!,'Data Sheet'!A:A,#REF!,"Samridhi Perk Line"),"")</f>
        <v/>
      </c>
      <c r="AS365" s="32"/>
      <c r="AT365" s="32"/>
      <c r="AU365" s="211">
        <f>IFERROR(VLOOKUP(Table1[[#This Row],[Date]],'Overweight Data'!A363:G1458,6,FALSE),"")</f>
        <v>0</v>
      </c>
      <c r="AV365" s="221">
        <f>IFERROR(
   IF(
      OR(Table1[[#This Row],[Operating Time]]=0, (Table1[[#This Row],[Operating Time]]/IF(AC365&lt;=1,AC365+1,AC365))*60=0),
      1,
      ((Table1[[#This Row],[Operating Time]])/IF(AC365&lt;=1,AC365+1,AC365))*60
   ),
"_")</f>
        <v>1</v>
      </c>
      <c r="AW365" s="221">
        <f>COUNTIFS('Downtime Data'!A:A,Table1[[#This Row],[Date]])</f>
        <v>0</v>
      </c>
      <c r="AX365" s="219" t="str">
        <f>IFERROR((SUM(Table1[[#This Row],[Minor Stoppages]:[Material Shortages]])/Table1[[#This Row],['# Stops]])*60,"")</f>
        <v/>
      </c>
      <c r="AY365" s="219"/>
      <c r="AZ365" s="33">
        <v>46382</v>
      </c>
    </row>
    <row r="366" spans="1:52" ht="20.149999999999999" customHeight="1" x14ac:dyDescent="0.35">
      <c r="A366" s="21">
        <v>46383</v>
      </c>
      <c r="B366" s="22" t="str">
        <f t="shared" si="7"/>
        <v>Sunday</v>
      </c>
      <c r="C366" s="23"/>
      <c r="D366" s="24" t="str" cm="1">
        <f t="array" aca="1" ref="D366" ca="1">IFERROR(INDIRECT(C366),"")</f>
        <v/>
      </c>
      <c r="E366" s="25"/>
      <c r="F366" s="26"/>
      <c r="G366" s="27" t="str">
        <f ca="1">IFERROR((Table1[[#This Row],[Plan]]/Table1[[#This Row],[Hours Used]])/(Table1[[#This Row],[SOC (TPD)]]/24),"")</f>
        <v/>
      </c>
      <c r="H366" s="27" t="str">
        <f ca="1">IFERROR((Table1[[#This Row],[Volume Delivered (T)]]/Table1[[#This Row],[Hours Used]])/(Table1[[#This Row],[SOC (TPD)]]/24),"")</f>
        <v/>
      </c>
      <c r="I366" s="28"/>
      <c r="J366" s="28"/>
      <c r="K366" s="28"/>
      <c r="L366" s="25"/>
      <c r="M366" s="29"/>
      <c r="N366" s="84"/>
      <c r="O366" s="25"/>
      <c r="P366" s="25"/>
      <c r="Q366" s="70"/>
      <c r="R366" s="71"/>
      <c r="S366" s="30">
        <f>IF(Table1[[#This Row],[SKU]]="",0,24-Table1[[#This Row],[Legal Non-Operating Time]]-Table1[[#This Row],[No Demand Time]]-Table1[[#This Row],[Force Majeure]])</f>
        <v>0</v>
      </c>
      <c r="T366" s="26"/>
      <c r="U366" s="26"/>
      <c r="V366" s="26"/>
      <c r="W366" s="26"/>
      <c r="X366" s="26"/>
      <c r="Y366" s="26"/>
      <c r="Z366" s="26"/>
      <c r="AA366" s="30">
        <f>Table1[[#This Row],[Hours Used]]-SUM(Table1[[#This Row],[Planned Maintenance]:[Start and Finish Production]])</f>
        <v>0</v>
      </c>
      <c r="AB366" s="26"/>
      <c r="AC366" s="26"/>
      <c r="AD366" s="26"/>
      <c r="AE366" s="26"/>
      <c r="AF366" s="26"/>
      <c r="AG366" s="26"/>
      <c r="AH366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366" s="24">
        <f>IFERROR(IF(Table1[[#This Row],[SKU]]="",0,Table1[[#This Row],[Quality Loss (T)]]/(Table1[[#This Row],[SOC (TPD)]]/24)),"")</f>
        <v>0</v>
      </c>
      <c r="AJ366" s="31">
        <f>IFERROR(IF(Table1[[#This Row],[SKU]]="",0,Table1[[#This Row],[Volume Delivered (T)]]/(Table1[[#This Row],[SOC (TPD)]]/24)),"")</f>
        <v>0</v>
      </c>
      <c r="AK366" s="31" t="str">
        <f>IFERROR(Table1[[#This Row],[Operating Time]]/Table1[[#This Row],[PRODUCTION HOURS]],"")</f>
        <v/>
      </c>
      <c r="AL366" s="32"/>
      <c r="AM366" s="32"/>
      <c r="AN366" s="32"/>
      <c r="AO366" s="32">
        <v>23</v>
      </c>
      <c r="AP366" s="32">
        <v>0</v>
      </c>
      <c r="AQ366" s="32"/>
      <c r="AR366" s="32" t="str">
        <f>IFERROR(SUMIFS(#REF!,#REF!,'Data Sheet'!A:A,#REF!,"Samridhi Perk Line")/SUMIFS(#REF!,#REF!,'Data Sheet'!A:A,#REF!,"Samridhi Perk Line"),"")</f>
        <v/>
      </c>
      <c r="AS366" s="32"/>
      <c r="AT366" s="32"/>
      <c r="AU366" s="211">
        <f>IFERROR(VLOOKUP(Table1[[#This Row],[Date]],'Overweight Data'!A364:G1459,6,FALSE),"")</f>
        <v>0</v>
      </c>
      <c r="AV366" s="221">
        <f>IFERROR(
   IF(
      OR(Table1[[#This Row],[Operating Time]]=0, (Table1[[#This Row],[Operating Time]]/IF(AC366&lt;=1,AC366+1,AC366))*60=0),
      1,
      ((Table1[[#This Row],[Operating Time]])/IF(AC366&lt;=1,AC366+1,AC366))*60
   ),
"_")</f>
        <v>1</v>
      </c>
      <c r="AW366" s="221">
        <f>COUNTIFS('Downtime Data'!A:A,Table1[[#This Row],[Date]])</f>
        <v>0</v>
      </c>
      <c r="AX366" s="219" t="str">
        <f>IFERROR((SUM(Table1[[#This Row],[Minor Stoppages]:[Material Shortages]])/Table1[[#This Row],['# Stops]])*60,"")</f>
        <v/>
      </c>
      <c r="AY366" s="219"/>
      <c r="AZ366" s="33">
        <v>46382</v>
      </c>
    </row>
    <row r="367" spans="1:52" ht="20.149999999999999" customHeight="1" x14ac:dyDescent="0.35">
      <c r="A367" s="21">
        <v>46384</v>
      </c>
      <c r="B367" s="22" t="str">
        <f t="shared" si="7"/>
        <v>Monday</v>
      </c>
      <c r="C367" s="23"/>
      <c r="D367" s="24" t="str" cm="1">
        <f t="array" aca="1" ref="D367" ca="1">IFERROR(INDIRECT(C367),"")</f>
        <v/>
      </c>
      <c r="E367" s="25"/>
      <c r="F367" s="26"/>
      <c r="G367" s="27" t="str">
        <f ca="1">IFERROR((Table1[[#This Row],[Plan]]/Table1[[#This Row],[Hours Used]])/(Table1[[#This Row],[SOC (TPD)]]/24),"")</f>
        <v/>
      </c>
      <c r="H367" s="27" t="str">
        <f ca="1">IFERROR((Table1[[#This Row],[Volume Delivered (T)]]/Table1[[#This Row],[Hours Used]])/(Table1[[#This Row],[SOC (TPD)]]/24),"")</f>
        <v/>
      </c>
      <c r="I367" s="28"/>
      <c r="J367" s="28"/>
      <c r="K367" s="28"/>
      <c r="L367" s="25"/>
      <c r="M367" s="29"/>
      <c r="N367" s="84"/>
      <c r="O367" s="25"/>
      <c r="P367" s="25"/>
      <c r="Q367" s="70"/>
      <c r="R367" s="71"/>
      <c r="S367" s="30">
        <f>IF(Table1[[#This Row],[SKU]]="",0,24-Table1[[#This Row],[Legal Non-Operating Time]]-Table1[[#This Row],[No Demand Time]]-Table1[[#This Row],[Force Majeure]])</f>
        <v>0</v>
      </c>
      <c r="T367" s="26"/>
      <c r="U367" s="26"/>
      <c r="V367" s="26"/>
      <c r="W367" s="26"/>
      <c r="X367" s="26"/>
      <c r="Y367" s="26"/>
      <c r="Z367" s="26"/>
      <c r="AA367" s="30">
        <f>Table1[[#This Row],[Hours Used]]-SUM(Table1[[#This Row],[Planned Maintenance]:[Start and Finish Production]])</f>
        <v>0</v>
      </c>
      <c r="AB367" s="26"/>
      <c r="AC367" s="26"/>
      <c r="AD367" s="26"/>
      <c r="AE367" s="26"/>
      <c r="AF367" s="26"/>
      <c r="AG367" s="26"/>
      <c r="AH367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367" s="24">
        <f>IFERROR(IF(Table1[[#This Row],[SKU]]="",0,Table1[[#This Row],[Quality Loss (T)]]/(Table1[[#This Row],[SOC (TPD)]]/24)),"")</f>
        <v>0</v>
      </c>
      <c r="AJ367" s="31">
        <f>IFERROR(IF(Table1[[#This Row],[SKU]]="",0,Table1[[#This Row],[Volume Delivered (T)]]/(Table1[[#This Row],[SOC (TPD)]]/24)),"")</f>
        <v>0</v>
      </c>
      <c r="AK367" s="31" t="str">
        <f>IFERROR(Table1[[#This Row],[Operating Time]]/Table1[[#This Row],[PRODUCTION HOURS]],"")</f>
        <v/>
      </c>
      <c r="AL367" s="32"/>
      <c r="AM367" s="32"/>
      <c r="AN367" s="32"/>
      <c r="AO367" s="32"/>
      <c r="AP367" s="32"/>
      <c r="AQ367" s="32"/>
      <c r="AR367" s="32" t="str">
        <f>IFERROR(SUMIFS(#REF!,#REF!,'Data Sheet'!A:A,#REF!,"Samridhi Perk Line")/SUMIFS(#REF!,#REF!,'Data Sheet'!A:A,#REF!,"Samridhi Perk Line"),"")</f>
        <v/>
      </c>
      <c r="AS367" s="32"/>
      <c r="AT367" s="32"/>
      <c r="AU367" s="211">
        <f>IFERROR(VLOOKUP(Table1[[#This Row],[Date]],'Overweight Data'!A365:G1460,6,FALSE),"")</f>
        <v>0</v>
      </c>
      <c r="AV367" s="221">
        <f>IFERROR(
   IF(
      OR(Table1[[#This Row],[Operating Time]]=0, (Table1[[#This Row],[Operating Time]]/IF(AC367&lt;=1,AC367+1,AC367))*60=0),
      1,
      ((Table1[[#This Row],[Operating Time]])/IF(AC367&lt;=1,AC367+1,AC367))*60
   ),
"_")</f>
        <v>1</v>
      </c>
      <c r="AW367" s="221">
        <f>COUNTIFS('Downtime Data'!A:A,Table1[[#This Row],[Date]])</f>
        <v>0</v>
      </c>
      <c r="AX367" s="219" t="str">
        <f>IFERROR((SUM(Table1[[#This Row],[Minor Stoppages]:[Material Shortages]])/Table1[[#This Row],['# Stops]])*60,"")</f>
        <v/>
      </c>
      <c r="AY367" s="219"/>
      <c r="AZ367" s="33">
        <v>46382</v>
      </c>
    </row>
    <row r="368" spans="1:52" ht="20.149999999999999" customHeight="1" x14ac:dyDescent="0.35">
      <c r="A368" s="21">
        <v>46385</v>
      </c>
      <c r="B368" s="22" t="str">
        <f t="shared" si="7"/>
        <v>Tuesday</v>
      </c>
      <c r="C368" s="23"/>
      <c r="D368" s="24" t="str" cm="1">
        <f t="array" aca="1" ref="D368" ca="1">IFERROR(INDIRECT(C368),"")</f>
        <v/>
      </c>
      <c r="E368" s="25"/>
      <c r="F368" s="26"/>
      <c r="G368" s="27" t="str">
        <f ca="1">IFERROR((Table1[[#This Row],[Plan]]/Table1[[#This Row],[Hours Used]])/(Table1[[#This Row],[SOC (TPD)]]/24),"")</f>
        <v/>
      </c>
      <c r="H368" s="27" t="str">
        <f ca="1">IFERROR((Table1[[#This Row],[Volume Delivered (T)]]/Table1[[#This Row],[Hours Used]])/(Table1[[#This Row],[SOC (TPD)]]/24),"")</f>
        <v/>
      </c>
      <c r="I368" s="28"/>
      <c r="J368" s="28"/>
      <c r="K368" s="28"/>
      <c r="L368" s="25"/>
      <c r="M368" s="29"/>
      <c r="N368" s="84"/>
      <c r="O368" s="25"/>
      <c r="P368" s="25"/>
      <c r="Q368" s="70"/>
      <c r="R368" s="71"/>
      <c r="S368" s="30">
        <f>IF(Table1[[#This Row],[SKU]]="",0,24-Table1[[#This Row],[Legal Non-Operating Time]]-Table1[[#This Row],[No Demand Time]]-Table1[[#This Row],[Force Majeure]])</f>
        <v>0</v>
      </c>
      <c r="T368" s="26"/>
      <c r="U368" s="26"/>
      <c r="V368" s="26"/>
      <c r="W368" s="26"/>
      <c r="X368" s="26"/>
      <c r="Y368" s="26"/>
      <c r="Z368" s="26"/>
      <c r="AA368" s="30">
        <f>Table1[[#This Row],[Hours Used]]-SUM(Table1[[#This Row],[Planned Maintenance]:[Start and Finish Production]])</f>
        <v>0</v>
      </c>
      <c r="AB368" s="26"/>
      <c r="AC368" s="26"/>
      <c r="AD368" s="26"/>
      <c r="AE368" s="26"/>
      <c r="AF368" s="26"/>
      <c r="AG368" s="26"/>
      <c r="AH368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368" s="24">
        <f>IFERROR(IF(Table1[[#This Row],[SKU]]="",0,Table1[[#This Row],[Quality Loss (T)]]/(Table1[[#This Row],[SOC (TPD)]]/24)),"")</f>
        <v>0</v>
      </c>
      <c r="AJ368" s="31">
        <f>IFERROR(IF(Table1[[#This Row],[SKU]]="",0,Table1[[#This Row],[Volume Delivered (T)]]/(Table1[[#This Row],[SOC (TPD)]]/24)),"")</f>
        <v>0</v>
      </c>
      <c r="AK368" s="31" t="str">
        <f>IFERROR(Table1[[#This Row],[Operating Time]]/Table1[[#This Row],[PRODUCTION HOURS]],"")</f>
        <v/>
      </c>
      <c r="AL368" s="32"/>
      <c r="AM368" s="32"/>
      <c r="AN368" s="32"/>
      <c r="AO368" s="32"/>
      <c r="AP368" s="32"/>
      <c r="AQ368" s="32"/>
      <c r="AR368" s="32" t="str">
        <f>IFERROR(SUMIFS(#REF!,#REF!,'Data Sheet'!A:A,#REF!,"Samridhi Perk Line")/SUMIFS(#REF!,#REF!,'Data Sheet'!A:A,#REF!,"Samridhi Perk Line"),"")</f>
        <v/>
      </c>
      <c r="AS368" s="32"/>
      <c r="AT368" s="32"/>
      <c r="AU368" s="211">
        <f>IFERROR(VLOOKUP(Table1[[#This Row],[Date]],'Overweight Data'!A366:G1461,6,FALSE),"")</f>
        <v>0</v>
      </c>
      <c r="AV368" s="221">
        <f>IFERROR(
   IF(
      OR(Table1[[#This Row],[Operating Time]]=0, (Table1[[#This Row],[Operating Time]]/IF(AC368&lt;=1,AC368+1,AC368))*60=0),
      1,
      ((Table1[[#This Row],[Operating Time]])/IF(AC368&lt;=1,AC368+1,AC368))*60
   ),
"_")</f>
        <v>1</v>
      </c>
      <c r="AW368" s="221">
        <f>COUNTIFS('Downtime Data'!A:A,Table1[[#This Row],[Date]])</f>
        <v>0</v>
      </c>
      <c r="AX368" s="219" t="str">
        <f>IFERROR((SUM(Table1[[#This Row],[Minor Stoppages]:[Material Shortages]])/Table1[[#This Row],['# Stops]])*60,"")</f>
        <v/>
      </c>
      <c r="AY368" s="219"/>
      <c r="AZ368" s="33">
        <v>46382</v>
      </c>
    </row>
    <row r="369" spans="1:52" ht="20.149999999999999" customHeight="1" x14ac:dyDescent="0.35">
      <c r="A369" s="21">
        <v>46386</v>
      </c>
      <c r="B369" s="22" t="str">
        <f t="shared" si="7"/>
        <v>Wednesday</v>
      </c>
      <c r="C369" s="23"/>
      <c r="D369" s="24" t="str" cm="1">
        <f t="array" aca="1" ref="D369" ca="1">IFERROR(INDIRECT(C369),"")</f>
        <v/>
      </c>
      <c r="E369" s="25"/>
      <c r="F369" s="26"/>
      <c r="G369" s="27" t="str">
        <f ca="1">IFERROR((Table1[[#This Row],[Plan]]/Table1[[#This Row],[Hours Used]])/(Table1[[#This Row],[SOC (TPD)]]/24),"")</f>
        <v/>
      </c>
      <c r="H369" s="27" t="str">
        <f ca="1">IFERROR((Table1[[#This Row],[Volume Delivered (T)]]/Table1[[#This Row],[Hours Used]])/(Table1[[#This Row],[SOC (TPD)]]/24),"")</f>
        <v/>
      </c>
      <c r="I369" s="28"/>
      <c r="J369" s="28"/>
      <c r="K369" s="28"/>
      <c r="L369" s="25"/>
      <c r="M369" s="29"/>
      <c r="N369" s="84"/>
      <c r="O369" s="25"/>
      <c r="P369" s="25"/>
      <c r="Q369" s="70"/>
      <c r="R369" s="71"/>
      <c r="S369" s="30">
        <f>IF(Table1[[#This Row],[SKU]]="",0,24-Table1[[#This Row],[Legal Non-Operating Time]]-Table1[[#This Row],[No Demand Time]]-Table1[[#This Row],[Force Majeure]])</f>
        <v>0</v>
      </c>
      <c r="T369" s="26"/>
      <c r="U369" s="26"/>
      <c r="V369" s="26"/>
      <c r="W369" s="26"/>
      <c r="X369" s="26"/>
      <c r="Y369" s="26"/>
      <c r="Z369" s="26"/>
      <c r="AA369" s="30">
        <f>Table1[[#This Row],[Hours Used]]-SUM(Table1[[#This Row],[Planned Maintenance]:[Start and Finish Production]])</f>
        <v>0</v>
      </c>
      <c r="AB369" s="26"/>
      <c r="AC369" s="26"/>
      <c r="AD369" s="26"/>
      <c r="AE369" s="26"/>
      <c r="AF369" s="26"/>
      <c r="AG369" s="26"/>
      <c r="AH369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369" s="24">
        <f>IFERROR(IF(Table1[[#This Row],[SKU]]="",0,Table1[[#This Row],[Quality Loss (T)]]/(Table1[[#This Row],[SOC (TPD)]]/24)),"")</f>
        <v>0</v>
      </c>
      <c r="AJ369" s="31">
        <f>IFERROR(IF(Table1[[#This Row],[SKU]]="",0,Table1[[#This Row],[Volume Delivered (T)]]/(Table1[[#This Row],[SOC (TPD)]]/24)),"")</f>
        <v>0</v>
      </c>
      <c r="AK369" s="31" t="str">
        <f>IFERROR(Table1[[#This Row],[Operating Time]]/Table1[[#This Row],[PRODUCTION HOURS]],"")</f>
        <v/>
      </c>
      <c r="AL369" s="32"/>
      <c r="AM369" s="32"/>
      <c r="AN369" s="32"/>
      <c r="AO369" s="32"/>
      <c r="AP369" s="32"/>
      <c r="AQ369" s="32"/>
      <c r="AR369" s="32" t="str">
        <f>IFERROR(SUMIFS(#REF!,#REF!,'Data Sheet'!A:A,#REF!,"Samridhi Perk Line")/SUMIFS(#REF!,#REF!,'Data Sheet'!A:A,#REF!,"Samridhi Perk Line"),"")</f>
        <v/>
      </c>
      <c r="AS369" s="32"/>
      <c r="AT369" s="32"/>
      <c r="AU369" s="211">
        <f>IFERROR(VLOOKUP(Table1[[#This Row],[Date]],'Overweight Data'!A367:G1462,6,FALSE),"")</f>
        <v>0</v>
      </c>
      <c r="AV369" s="221">
        <f>IFERROR(
   IF(
      OR(Table1[[#This Row],[Operating Time]]=0, (Table1[[#This Row],[Operating Time]]/IF(AC369&lt;=1,AC369+1,AC369))*60=0),
      1,
      ((Table1[[#This Row],[Operating Time]])/IF(AC369&lt;=1,AC369+1,AC369))*60
   ),
"_")</f>
        <v>1</v>
      </c>
      <c r="AW369" s="221">
        <f>COUNTIFS('Downtime Data'!A:A,Table1[[#This Row],[Date]])</f>
        <v>0</v>
      </c>
      <c r="AX369" s="219" t="str">
        <f>IFERROR((SUM(Table1[[#This Row],[Minor Stoppages]:[Material Shortages]])/Table1[[#This Row],['# Stops]])*60,"")</f>
        <v/>
      </c>
      <c r="AY369" s="219"/>
      <c r="AZ369" s="33">
        <v>46382</v>
      </c>
    </row>
    <row r="370" spans="1:52" ht="20.149999999999999" customHeight="1" x14ac:dyDescent="0.35">
      <c r="A370" s="21">
        <v>46387</v>
      </c>
      <c r="B370" s="22" t="str">
        <f t="shared" si="7"/>
        <v>Thursday</v>
      </c>
      <c r="C370" s="23"/>
      <c r="D370" s="24" t="str" cm="1">
        <f t="array" aca="1" ref="D370" ca="1">IFERROR(INDIRECT(C370),"")</f>
        <v/>
      </c>
      <c r="E370" s="25"/>
      <c r="F370" s="26"/>
      <c r="G370" s="27" t="str">
        <f ca="1">IFERROR((Table1[[#This Row],[Plan]]/Table1[[#This Row],[Hours Used]])/(Table1[[#This Row],[SOC (TPD)]]/24),"")</f>
        <v/>
      </c>
      <c r="H370" s="27" t="str">
        <f ca="1">IFERROR((Table1[[#This Row],[Volume Delivered (T)]]/Table1[[#This Row],[Hours Used]])/(Table1[[#This Row],[SOC (TPD)]]/24),"")</f>
        <v/>
      </c>
      <c r="I370" s="28"/>
      <c r="J370" s="28"/>
      <c r="K370" s="28"/>
      <c r="L370" s="25"/>
      <c r="M370" s="29"/>
      <c r="N370" s="84"/>
      <c r="O370" s="25"/>
      <c r="P370" s="25"/>
      <c r="Q370" s="70"/>
      <c r="R370" s="71"/>
      <c r="S370" s="30">
        <f>IF(Table1[[#This Row],[SKU]]="",0,24-Table1[[#This Row],[Legal Non-Operating Time]]-Table1[[#This Row],[No Demand Time]]-Table1[[#This Row],[Force Majeure]])</f>
        <v>0</v>
      </c>
      <c r="T370" s="26"/>
      <c r="U370" s="26"/>
      <c r="V370" s="26"/>
      <c r="W370" s="26"/>
      <c r="X370" s="26"/>
      <c r="Y370" s="26"/>
      <c r="Z370" s="26"/>
      <c r="AA370" s="30">
        <f>Table1[[#This Row],[Hours Used]]-SUM(Table1[[#This Row],[Planned Maintenance]:[Start and Finish Production]])</f>
        <v>0</v>
      </c>
      <c r="AB370" s="26"/>
      <c r="AC370" s="26"/>
      <c r="AD370" s="26"/>
      <c r="AE370" s="26"/>
      <c r="AF370" s="26"/>
      <c r="AG370" s="26"/>
      <c r="AH370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370" s="24">
        <f>IFERROR(IF(Table1[[#This Row],[SKU]]="",0,Table1[[#This Row],[Quality Loss (T)]]/(Table1[[#This Row],[SOC (TPD)]]/24)),"")</f>
        <v>0</v>
      </c>
      <c r="AJ370" s="31">
        <f>IFERROR(IF(Table1[[#This Row],[SKU]]="",0,Table1[[#This Row],[Volume Delivered (T)]]/(Table1[[#This Row],[SOC (TPD)]]/24)),"")</f>
        <v>0</v>
      </c>
      <c r="AK370" s="31" t="str">
        <f>IFERROR(Table1[[#This Row],[Operating Time]]/Table1[[#This Row],[PRODUCTION HOURS]],"")</f>
        <v/>
      </c>
      <c r="AL370" s="32"/>
      <c r="AM370" s="32"/>
      <c r="AN370" s="32"/>
      <c r="AO370" s="32"/>
      <c r="AP370" s="32"/>
      <c r="AQ370" s="32"/>
      <c r="AR370" s="32" t="str">
        <f>IFERROR(SUMIFS(#REF!,#REF!,'Data Sheet'!A:A,#REF!,"Samridhi Perk Line")/SUMIFS(#REF!,#REF!,'Data Sheet'!A:A,#REF!,"Samridhi Perk Line"),"")</f>
        <v/>
      </c>
      <c r="AS370" s="32"/>
      <c r="AT370" s="32"/>
      <c r="AU370" s="211">
        <f>IFERROR(VLOOKUP(Table1[[#This Row],[Date]],'Overweight Data'!A368:G1463,6,FALSE),"")</f>
        <v>0</v>
      </c>
      <c r="AV370" s="221">
        <f>IFERROR(
   IF(
      OR(Table1[[#This Row],[Operating Time]]=0, (Table1[[#This Row],[Operating Time]]/IF(AC370&lt;=1,AC370+1,AC370))*60=0),
      1,
      ((Table1[[#This Row],[Operating Time]])/IF(AC370&lt;=1,AC370+1,AC370))*60
   ),
"_")</f>
        <v>1</v>
      </c>
      <c r="AW370" s="221">
        <f>COUNTIFS('Downtime Data'!A:A,Table1[[#This Row],[Date]])</f>
        <v>0</v>
      </c>
      <c r="AX370" s="219" t="str">
        <f>IFERROR((SUM(Table1[[#This Row],[Minor Stoppages]:[Material Shortages]])/Table1[[#This Row],['# Stops]])*60,"")</f>
        <v/>
      </c>
      <c r="AY370" s="219"/>
      <c r="AZ370" s="33">
        <v>46382</v>
      </c>
    </row>
    <row r="371" spans="1:52" ht="20.149999999999999" customHeight="1" x14ac:dyDescent="0.35">
      <c r="A371" s="21">
        <v>46388</v>
      </c>
      <c r="B371" s="22" t="str">
        <f t="shared" si="7"/>
        <v>Friday</v>
      </c>
      <c r="C371" s="23"/>
      <c r="D371" s="24" t="str" cm="1">
        <f t="array" aca="1" ref="D371" ca="1">IFERROR(INDIRECT(C371),"")</f>
        <v/>
      </c>
      <c r="E371" s="25"/>
      <c r="F371" s="26"/>
      <c r="G371" s="27" t="str">
        <f ca="1">IFERROR((Table1[[#This Row],[Plan]]/Table1[[#This Row],[Hours Used]])/(Table1[[#This Row],[SOC (TPD)]]/24),"")</f>
        <v/>
      </c>
      <c r="H371" s="27" t="str">
        <f ca="1">IFERROR((Table1[[#This Row],[Volume Delivered (T)]]/Table1[[#This Row],[Hours Used]])/(Table1[[#This Row],[SOC (TPD)]]/24),"")</f>
        <v/>
      </c>
      <c r="I371" s="28"/>
      <c r="J371" s="28"/>
      <c r="K371" s="28"/>
      <c r="L371" s="25"/>
      <c r="M371" s="29"/>
      <c r="N371" s="84"/>
      <c r="O371" s="25"/>
      <c r="P371" s="25"/>
      <c r="Q371" s="70"/>
      <c r="R371" s="71"/>
      <c r="S371" s="30">
        <f>IF(Table1[[#This Row],[SKU]]="",0,24-Table1[[#This Row],[Legal Non-Operating Time]]-Table1[[#This Row],[No Demand Time]]-Table1[[#This Row],[Force Majeure]])</f>
        <v>0</v>
      </c>
      <c r="T371" s="26"/>
      <c r="U371" s="26"/>
      <c r="V371" s="26"/>
      <c r="W371" s="26"/>
      <c r="X371" s="26"/>
      <c r="Y371" s="26"/>
      <c r="Z371" s="26"/>
      <c r="AA371" s="30">
        <f>Table1[[#This Row],[Hours Used]]-SUM(Table1[[#This Row],[Planned Maintenance]:[Start and Finish Production]])</f>
        <v>0</v>
      </c>
      <c r="AB371" s="26"/>
      <c r="AC371" s="26"/>
      <c r="AD371" s="26"/>
      <c r="AE371" s="26"/>
      <c r="AF371" s="26"/>
      <c r="AG371" s="26"/>
      <c r="AH371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371" s="24">
        <f>IFERROR(IF(Table1[[#This Row],[SKU]]="",0,Table1[[#This Row],[Quality Loss (T)]]/(Table1[[#This Row],[SOC (TPD)]]/24)),"")</f>
        <v>0</v>
      </c>
      <c r="AJ371" s="31">
        <f>IFERROR(IF(Table1[[#This Row],[SKU]]="",0,Table1[[#This Row],[Volume Delivered (T)]]/(Table1[[#This Row],[SOC (TPD)]]/24)),"")</f>
        <v>0</v>
      </c>
      <c r="AK371" s="31" t="str">
        <f>IFERROR(Table1[[#This Row],[Operating Time]]/Table1[[#This Row],[PRODUCTION HOURS]],"")</f>
        <v/>
      </c>
      <c r="AL371" s="32"/>
      <c r="AM371" s="32"/>
      <c r="AN371" s="32"/>
      <c r="AO371" s="32"/>
      <c r="AP371" s="32"/>
      <c r="AQ371" s="32"/>
      <c r="AR371" s="32" t="str">
        <f>IFERROR(SUMIFS(#REF!,#REF!,'Data Sheet'!A:A,#REF!,"Samridhi Perk Line")/SUMIFS(#REF!,#REF!,'Data Sheet'!A:A,#REF!,"Samridhi Perk Line"),"")</f>
        <v/>
      </c>
      <c r="AS371" s="32"/>
      <c r="AT371" s="32"/>
      <c r="AU371" s="211" t="str">
        <f>IFERROR(VLOOKUP(Table1[[#This Row],[Date]],'Overweight Data'!A369:G1464,6,FALSE),"")</f>
        <v/>
      </c>
      <c r="AV371" s="221">
        <f>IFERROR(
   IF(
      OR(Table1[[#This Row],[Operating Time]]=0, (Table1[[#This Row],[Operating Time]]/IF(AC371&lt;=1,AC371+1,AC371))*60=0),
      1,
      ((Table1[[#This Row],[Operating Time]])/IF(AC371&lt;=1,AC371+1,AC371))*60
   ),
"_")</f>
        <v>1</v>
      </c>
      <c r="AW371" s="221">
        <f>COUNTIFS('Downtime Data'!A:A,Table1[[#This Row],[Date]])</f>
        <v>0</v>
      </c>
      <c r="AX371" s="219" t="str">
        <f>IFERROR((SUM(Table1[[#This Row],[Minor Stoppages]:[Material Shortages]])/Table1[[#This Row],['# Stops]])*60,"")</f>
        <v/>
      </c>
      <c r="AY371" s="219"/>
      <c r="AZ371" s="33">
        <v>46382</v>
      </c>
    </row>
    <row r="372" spans="1:52" ht="20.149999999999999" customHeight="1" x14ac:dyDescent="0.35">
      <c r="A372" s="21">
        <v>46389</v>
      </c>
      <c r="B372" s="22" t="str">
        <f t="shared" si="7"/>
        <v>Saturday</v>
      </c>
      <c r="C372" s="23"/>
      <c r="D372" s="24" t="str" cm="1">
        <f t="array" aca="1" ref="D372" ca="1">IFERROR(INDIRECT(C372),"")</f>
        <v/>
      </c>
      <c r="E372" s="25"/>
      <c r="F372" s="26"/>
      <c r="G372" s="27" t="str">
        <f ca="1">IFERROR((Table1[[#This Row],[Plan]]/Table1[[#This Row],[Hours Used]])/(Table1[[#This Row],[SOC (TPD)]]/24),"")</f>
        <v/>
      </c>
      <c r="H372" s="27" t="str">
        <f ca="1">IFERROR((Table1[[#This Row],[Volume Delivered (T)]]/Table1[[#This Row],[Hours Used]])/(Table1[[#This Row],[SOC (TPD)]]/24),"")</f>
        <v/>
      </c>
      <c r="I372" s="28"/>
      <c r="J372" s="28"/>
      <c r="K372" s="28"/>
      <c r="L372" s="25"/>
      <c r="M372" s="29"/>
      <c r="N372" s="84"/>
      <c r="O372" s="25"/>
      <c r="P372" s="25"/>
      <c r="Q372" s="70"/>
      <c r="R372" s="71"/>
      <c r="S372" s="30">
        <f>IF(Table1[[#This Row],[SKU]]="",0,24-Table1[[#This Row],[Legal Non-Operating Time]]-Table1[[#This Row],[No Demand Time]]-Table1[[#This Row],[Force Majeure]])</f>
        <v>0</v>
      </c>
      <c r="T372" s="26"/>
      <c r="U372" s="26"/>
      <c r="V372" s="26"/>
      <c r="W372" s="26"/>
      <c r="X372" s="26"/>
      <c r="Y372" s="26"/>
      <c r="Z372" s="26"/>
      <c r="AA372" s="30">
        <f>Table1[[#This Row],[Hours Used]]-SUM(Table1[[#This Row],[Planned Maintenance]:[Start and Finish Production]])</f>
        <v>0</v>
      </c>
      <c r="AB372" s="26"/>
      <c r="AC372" s="26"/>
      <c r="AD372" s="26"/>
      <c r="AE372" s="26"/>
      <c r="AF372" s="26"/>
      <c r="AG372" s="26"/>
      <c r="AH372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372" s="24">
        <f>IFERROR(IF(Table1[[#This Row],[SKU]]="",0,Table1[[#This Row],[Quality Loss (T)]]/(Table1[[#This Row],[SOC (TPD)]]/24)),"")</f>
        <v>0</v>
      </c>
      <c r="AJ372" s="31">
        <f>IFERROR(IF(Table1[[#This Row],[SKU]]="",0,Table1[[#This Row],[Volume Delivered (T)]]/(Table1[[#This Row],[SOC (TPD)]]/24)),"")</f>
        <v>0</v>
      </c>
      <c r="AK372" s="31" t="str">
        <f>IFERROR(Table1[[#This Row],[Operating Time]]/Table1[[#This Row],[PRODUCTION HOURS]],"")</f>
        <v/>
      </c>
      <c r="AL372" s="32"/>
      <c r="AM372" s="32"/>
      <c r="AN372" s="32"/>
      <c r="AO372" s="32"/>
      <c r="AP372" s="32"/>
      <c r="AQ372" s="32"/>
      <c r="AR372" s="32" t="str">
        <f>IFERROR(SUMIFS(#REF!,#REF!,'Data Sheet'!A:A,#REF!,"Samridhi Perk Line")/SUMIFS(#REF!,#REF!,'Data Sheet'!A:A,#REF!,"Samridhi Perk Line"),"")</f>
        <v/>
      </c>
      <c r="AS372" s="32"/>
      <c r="AT372" s="32"/>
      <c r="AU372" s="211" t="str">
        <f>IFERROR(VLOOKUP(Table1[[#This Row],[Date]],'Overweight Data'!A370:G1465,6,FALSE),"")</f>
        <v/>
      </c>
      <c r="AV372" s="221">
        <f>IFERROR(
   IF(
      OR(Table1[[#This Row],[Operating Time]]=0, (Table1[[#This Row],[Operating Time]]/IF(AC372&lt;=1,AC372+1,AC372))*60=0),
      1,
      ((Table1[[#This Row],[Operating Time]])/IF(AC372&lt;=1,AC372+1,AC372))*60
   ),
"_")</f>
        <v>1</v>
      </c>
      <c r="AW372" s="221">
        <f>COUNTIFS('Downtime Data'!A:A,Table1[[#This Row],[Date]])</f>
        <v>0</v>
      </c>
      <c r="AX372" s="219" t="str">
        <f>IFERROR((SUM(Table1[[#This Row],[Minor Stoppages]:[Material Shortages]])/Table1[[#This Row],['# Stops]])*60,"")</f>
        <v/>
      </c>
      <c r="AY372" s="219"/>
      <c r="AZ372" s="33">
        <v>46382</v>
      </c>
    </row>
    <row r="373" spans="1:52" ht="20.149999999999999" customHeight="1" x14ac:dyDescent="0.35">
      <c r="A373" s="21">
        <v>46390</v>
      </c>
      <c r="B373" s="22" t="str">
        <f t="shared" si="7"/>
        <v>Sunday</v>
      </c>
      <c r="C373" s="23"/>
      <c r="D373" s="24" t="str" cm="1">
        <f t="array" aca="1" ref="D373" ca="1">IFERROR(INDIRECT(C373),"")</f>
        <v/>
      </c>
      <c r="E373" s="25"/>
      <c r="F373" s="26"/>
      <c r="G373" s="27" t="str">
        <f ca="1">IFERROR((Table1[[#This Row],[Plan]]/Table1[[#This Row],[Hours Used]])/(Table1[[#This Row],[SOC (TPD)]]/24),"")</f>
        <v/>
      </c>
      <c r="H373" s="27" t="str">
        <f ca="1">IFERROR((Table1[[#This Row],[Volume Delivered (T)]]/Table1[[#This Row],[Hours Used]])/(Table1[[#This Row],[SOC (TPD)]]/24),"")</f>
        <v/>
      </c>
      <c r="I373" s="28"/>
      <c r="J373" s="28"/>
      <c r="K373" s="28"/>
      <c r="L373" s="25"/>
      <c r="M373" s="29"/>
      <c r="N373" s="84"/>
      <c r="O373" s="25"/>
      <c r="P373" s="25"/>
      <c r="Q373" s="70"/>
      <c r="R373" s="71"/>
      <c r="S373" s="30">
        <f>IF(Table1[[#This Row],[SKU]]="",0,24-Table1[[#This Row],[Legal Non-Operating Time]]-Table1[[#This Row],[No Demand Time]]-Table1[[#This Row],[Force Majeure]])</f>
        <v>0</v>
      </c>
      <c r="T373" s="26"/>
      <c r="U373" s="26"/>
      <c r="V373" s="26"/>
      <c r="W373" s="26"/>
      <c r="X373" s="26"/>
      <c r="Y373" s="26"/>
      <c r="Z373" s="26"/>
      <c r="AA373" s="30">
        <f>Table1[[#This Row],[Hours Used]]-SUM(Table1[[#This Row],[Planned Maintenance]:[Start and Finish Production]])</f>
        <v>0</v>
      </c>
      <c r="AB373" s="26"/>
      <c r="AC373" s="26"/>
      <c r="AD373" s="26"/>
      <c r="AE373" s="26"/>
      <c r="AF373" s="26"/>
      <c r="AG373" s="26"/>
      <c r="AH373" s="24">
        <f>Table1[[#This Row],[Hours Used]]-SUM(Table1[[#This Row],[Planned Maintenance]:[Start and Finish Production]])-SUM(Table1[[#This Row],[Minor Stoppages]:[Material Shortages]])-Table1[[#This Row],[Quality Loss (Hrs)]]-Table1[[#This Row],[Operating Time]]</f>
        <v>0</v>
      </c>
      <c r="AI373" s="24">
        <f>IFERROR(IF(Table1[[#This Row],[SKU]]="",0,Table1[[#This Row],[Quality Loss (T)]]/(Table1[[#This Row],[SOC (TPD)]]/24)),"")</f>
        <v>0</v>
      </c>
      <c r="AJ373" s="31">
        <f>IFERROR(IF(Table1[[#This Row],[SKU]]="",0,Table1[[#This Row],[Volume Delivered (T)]]/(Table1[[#This Row],[SOC (TPD)]]/24)),"")</f>
        <v>0</v>
      </c>
      <c r="AK373" s="31" t="str">
        <f>IFERROR(Table1[[#This Row],[Operating Time]]/Table1[[#This Row],[PRODUCTION HOURS]],"")</f>
        <v/>
      </c>
      <c r="AL373" s="32"/>
      <c r="AM373" s="32"/>
      <c r="AN373" s="32"/>
      <c r="AO373" s="32"/>
      <c r="AP373" s="32"/>
      <c r="AQ373" s="32"/>
      <c r="AR373" s="32" t="str">
        <f>IFERROR(SUMIFS(#REF!,#REF!,'Data Sheet'!A:A,#REF!,"Samridhi Perk Line")/SUMIFS(#REF!,#REF!,'Data Sheet'!A:A,#REF!,"Samridhi Perk Line"),"")</f>
        <v/>
      </c>
      <c r="AS373" s="32"/>
      <c r="AT373" s="32"/>
      <c r="AU373" s="211" t="str">
        <f>IFERROR(VLOOKUP(Table1[[#This Row],[Date]],'Overweight Data'!A371:G1466,6,FALSE),"")</f>
        <v/>
      </c>
      <c r="AV373" s="221">
        <f>IFERROR(
   IF(
      OR(Table1[[#This Row],[Operating Time]]=0, (Table1[[#This Row],[Operating Time]]/IF(AC373&lt;=1,AC373+1,AC373))*60=0),
      1,
      ((Table1[[#This Row],[Operating Time]])/IF(AC373&lt;=1,AC373+1,AC373))*60
   ),
"_")</f>
        <v>1</v>
      </c>
      <c r="AW373" s="221">
        <f>COUNTIFS('Downtime Data'!A:A,Table1[[#This Row],[Date]])</f>
        <v>0</v>
      </c>
      <c r="AX373" s="219" t="str">
        <f>IFERROR((SUM(Table1[[#This Row],[Minor Stoppages]:[Material Shortages]])/Table1[[#This Row],['# Stops]])*60,"")</f>
        <v/>
      </c>
      <c r="AY373" s="219"/>
      <c r="AZ373" s="33">
        <v>46382</v>
      </c>
    </row>
  </sheetData>
  <phoneticPr fontId="5" type="noConversion"/>
  <conditionalFormatting sqref="F3:F112 F130:F373">
    <cfRule type="cellIs" dxfId="186" priority="27" operator="lessThan">
      <formula>$E3</formula>
    </cfRule>
    <cfRule type="cellIs" dxfId="185" priority="28" operator="greaterThan">
      <formula>$E$3</formula>
    </cfRule>
    <cfRule type="cellIs" dxfId="184" priority="29" operator="lessThan">
      <formula>$G3</formula>
    </cfRule>
    <cfRule type="containsBlanks" dxfId="183" priority="30" stopIfTrue="1">
      <formula>LEN(TRIM(F3))=0</formula>
    </cfRule>
    <cfRule type="cellIs" dxfId="182" priority="31" operator="greaterThanOrEqual">
      <formula>$G3</formula>
    </cfRule>
  </conditionalFormatting>
  <conditionalFormatting sqref="F113:F121">
    <cfRule type="cellIs" dxfId="181" priority="10" operator="lessThan">
      <formula>$E113</formula>
    </cfRule>
    <cfRule type="cellIs" dxfId="180" priority="11" operator="greaterThan">
      <formula>$E$3</formula>
    </cfRule>
    <cfRule type="cellIs" dxfId="179" priority="12" operator="lessThan">
      <formula>$G113</formula>
    </cfRule>
    <cfRule type="containsBlanks" dxfId="178" priority="13" stopIfTrue="1">
      <formula>LEN(TRIM(F113))=0</formula>
    </cfRule>
    <cfRule type="cellIs" dxfId="177" priority="14" operator="greaterThanOrEqual">
      <formula>$G113</formula>
    </cfRule>
  </conditionalFormatting>
  <conditionalFormatting sqref="F3:AZ112 AM112:AN121 G113:S121 AA113:AZ121 G122:AZ129 AM129:AN132 F130:AZ151 AL150:AN152 F152:K152 M152:AZ152 F153:AZ199 F200:AC200 AE200:AZ200 AL200:AN203 F201:AZ373 A3:D373">
    <cfRule type="expression" dxfId="176" priority="15">
      <formula>ROW()=CELL("row")</formula>
    </cfRule>
  </conditionalFormatting>
  <conditionalFormatting sqref="H3:H373">
    <cfRule type="containsBlanks" dxfId="175" priority="51" stopIfTrue="1">
      <formula>LEN(TRIM(H3))=0</formula>
    </cfRule>
    <cfRule type="cellIs" dxfId="174" priority="52" operator="greaterThan">
      <formula>$I3</formula>
    </cfRule>
    <cfRule type="cellIs" dxfId="173" priority="53" operator="lessThan">
      <formula>$I3</formula>
    </cfRule>
  </conditionalFormatting>
  <conditionalFormatting sqref="O3:P373">
    <cfRule type="dataBar" priority="5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{C476FE15-341C-4562-B356-AABCE7FF0C38}</x14:id>
        </ext>
      </extLst>
    </cfRule>
  </conditionalFormatting>
  <conditionalFormatting sqref="R3:R373">
    <cfRule type="dataBar" priority="5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{299ABA11-A75D-4E05-915E-70540C521946}</x14:id>
        </ext>
      </extLst>
    </cfRule>
  </conditionalFormatting>
  <conditionalFormatting sqref="T3:Z112 AB3:AG199 T122:Z373 AB200:AC200 AE200:AG200 AB201:AG373">
    <cfRule type="cellIs" dxfId="172" priority="60" operator="equal">
      <formula>0</formula>
    </cfRule>
    <cfRule type="cellIs" dxfId="171" priority="61" operator="greaterThan">
      <formula>0</formula>
    </cfRule>
  </conditionalFormatting>
  <conditionalFormatting sqref="T113:Z121">
    <cfRule type="cellIs" dxfId="170" priority="7" operator="equal">
      <formula>0</formula>
    </cfRule>
    <cfRule type="cellIs" dxfId="169" priority="8" operator="greaterThan">
      <formula>0</formula>
    </cfRule>
  </conditionalFormatting>
  <conditionalFormatting sqref="AH3:AH373">
    <cfRule type="cellIs" dxfId="168" priority="50" stopIfTrue="1" operator="equal">
      <formula>0</formula>
    </cfRule>
    <cfRule type="cellIs" dxfId="167" priority="62" operator="lessThan">
      <formula>0</formula>
    </cfRule>
    <cfRule type="cellIs" dxfId="166" priority="63" operator="greaterThanOrEqual">
      <formula>0</formula>
    </cfRule>
  </conditionalFormatting>
  <conditionalFormatting sqref="AJ3:AK373">
    <cfRule type="cellIs" dxfId="165" priority="49" operator="equal">
      <formula>0</formula>
    </cfRule>
  </conditionalFormatting>
  <dataValidations count="1">
    <dataValidation type="list" allowBlank="1" showInputMessage="1" showErrorMessage="1" sqref="AM3:AN373" xr:uid="{977C3C7D-D5E6-4E01-A04E-0B459C87CDE1}">
      <formula1>"YES,NO"</formula1>
    </dataValidation>
  </dataValidations>
  <pageMargins left="0.7" right="0.7" top="0.75" bottom="0.75" header="0.3" footer="0.3"/>
  <headerFooter>
    <oddFooter>&amp;C_x000D_&amp;1#&amp;"Calibri"&amp;10&amp;K000000 Mondelez International Internal</oddFooter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206" r:id="rId3" name=" 134">
              <controlPr defaultSize="0" print="0" uiObject="1" autoLine="0" autoPict="0">
                <anchor moveWithCells="1" sizeWithCells="1">
                  <from>
                    <xdr:col>2</xdr:col>
                    <xdr:colOff>0</xdr:colOff>
                    <xdr:row>111</xdr:row>
                    <xdr:rowOff>0</xdr:rowOff>
                  </from>
                  <to>
                    <xdr:col>3</xdr:col>
                    <xdr:colOff>0</xdr:colOff>
                    <xdr:row>112</xdr:row>
                    <xdr:rowOff>0</xdr:rowOff>
                  </to>
                </anchor>
              </controlPr>
            </control>
          </mc:Choice>
        </mc:AlternateContent>
      </controls>
    </mc:Choice>
  </mc:AlternateContent>
  <tableParts count="1"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476FE15-341C-4562-B356-AABCE7FF0C3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O3:P373</xm:sqref>
        </x14:conditionalFormatting>
        <x14:conditionalFormatting xmlns:xm="http://schemas.microsoft.com/office/excel/2006/main">
          <x14:cfRule type="dataBar" id="{299ABA11-A75D-4E05-915E-70540C52194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R3:R373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D3060C6-B3AA-42E4-8429-EF84D33BCFF3}">
          <x14:formula1>
            <xm:f>'Look up (2)'!$BC$2:$BC$22</xm:f>
          </x14:formula1>
          <xm:sqref>C3:C373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32971-755A-45B7-BDAE-7AE1B2840E26}">
  <sheetPr codeName="Sheet1"/>
  <dimension ref="A1:V26"/>
  <sheetViews>
    <sheetView showGridLines="0" topLeftCell="A14" workbookViewId="0">
      <selection activeCell="A15" sqref="A15:C23"/>
    </sheetView>
  </sheetViews>
  <sheetFormatPr defaultRowHeight="14.5" x14ac:dyDescent="0.35"/>
  <cols>
    <col min="1" max="1" width="11.453125" customWidth="1"/>
    <col min="2" max="2" width="14.81640625" customWidth="1"/>
    <col min="3" max="3" width="10.7265625" customWidth="1"/>
    <col min="4" max="4" width="14.453125" customWidth="1"/>
    <col min="5" max="5" width="19.26953125" customWidth="1"/>
    <col min="6" max="6" width="29.1796875" customWidth="1"/>
    <col min="7" max="9" width="18.453125" customWidth="1"/>
    <col min="10" max="10" width="22.7265625" customWidth="1"/>
    <col min="11" max="11" width="23.453125" customWidth="1"/>
    <col min="12" max="16" width="18.453125" customWidth="1"/>
    <col min="17" max="17" width="22.54296875" customWidth="1"/>
    <col min="18" max="21" width="18.453125" customWidth="1"/>
    <col min="22" max="22" width="14.453125" customWidth="1"/>
  </cols>
  <sheetData>
    <row r="1" spans="1:22" ht="27" hidden="1" customHeight="1" x14ac:dyDescent="0.35">
      <c r="A1" s="4" t="s">
        <v>353</v>
      </c>
      <c r="B1" s="5" t="s">
        <v>354</v>
      </c>
      <c r="C1" s="6" t="s">
        <v>355</v>
      </c>
      <c r="D1" s="6" t="s">
        <v>71</v>
      </c>
      <c r="E1" s="7" t="s">
        <v>72</v>
      </c>
      <c r="F1" s="8" t="s">
        <v>356</v>
      </c>
      <c r="G1" s="8" t="s">
        <v>74</v>
      </c>
      <c r="H1" s="8" t="s">
        <v>75</v>
      </c>
      <c r="I1" s="8" t="s">
        <v>76</v>
      </c>
      <c r="J1" s="8" t="s">
        <v>77</v>
      </c>
      <c r="K1" s="9" t="s">
        <v>78</v>
      </c>
      <c r="M1" s="10" t="s">
        <v>80</v>
      </c>
      <c r="N1" s="11" t="s">
        <v>53</v>
      </c>
      <c r="O1" s="11" t="s">
        <v>81</v>
      </c>
      <c r="P1" s="11" t="s">
        <v>82</v>
      </c>
      <c r="Q1" s="11" t="s">
        <v>357</v>
      </c>
      <c r="R1" s="11" t="s">
        <v>84</v>
      </c>
      <c r="S1" s="11" t="s">
        <v>358</v>
      </c>
      <c r="T1" s="12" t="s">
        <v>359</v>
      </c>
      <c r="U1" s="17"/>
      <c r="V1" s="17" t="s">
        <v>87</v>
      </c>
    </row>
    <row r="2" spans="1:22" hidden="1" x14ac:dyDescent="0.35">
      <c r="A2" s="16">
        <v>46048</v>
      </c>
      <c r="B2" s="14">
        <v>0.82</v>
      </c>
      <c r="C2" s="20">
        <f ca="1">IFERROR(V2/D2,"")</f>
        <v>0.81512567375554501</v>
      </c>
      <c r="D2" s="15" cm="1">
        <f t="array" ref="D2">SUMPRODUCT(('Data Sheet'!S$3:S$373)*(MONTH('Data Sheet'!$AZ$3:$AZ$373)=MONTH($A2)))</f>
        <v>804</v>
      </c>
      <c r="E2" s="15" cm="1">
        <f t="array" ref="E2">SUMPRODUCT(('Data Sheet'!T$3:T$373)*(MONTH('Data Sheet'!$AZ$3:$AZ$373)=MONTH($A2)))</f>
        <v>8.8000000000000007</v>
      </c>
      <c r="F2" s="15" cm="1">
        <f t="array" ref="F2">SUMPRODUCT(('Data Sheet'!U$3:U$373)*(MONTH('Data Sheet'!$AZ$3:$AZ$373)=MONTH($A2)))</f>
        <v>2.6</v>
      </c>
      <c r="G2" s="15" cm="1">
        <f t="array" ref="G2">SUMPRODUCT(('Data Sheet'!V$3:V$373)*(MONTH('Data Sheet'!$AZ$3:$AZ$373)=MONTH($A2)))</f>
        <v>30</v>
      </c>
      <c r="H2" s="15" cm="1">
        <f t="array" ref="H2">SUMPRODUCT(('Data Sheet'!W$3:W$373)*(MONTH('Data Sheet'!$AZ$3:$AZ$373)=MONTH($A2)))</f>
        <v>14.8</v>
      </c>
      <c r="I2" s="15" cm="1">
        <f t="array" ref="I2">SUMPRODUCT(('Data Sheet'!X$3:X$373)*(MONTH('Data Sheet'!$AZ$3:$AZ$373)=MONTH($A2)))</f>
        <v>0</v>
      </c>
      <c r="J2" s="15" cm="1">
        <f t="array" ref="J2">SUMPRODUCT(('Data Sheet'!Y$3:Y$373)*(MONTH('Data Sheet'!$AZ$3:$AZ$373)=MONTH($A2)))</f>
        <v>0</v>
      </c>
      <c r="K2" s="15" cm="1">
        <f t="array" ref="K2">SUMPRODUCT(('Data Sheet'!Z$3:Z$373)*(MONTH('Data Sheet'!$AZ$3:$AZ$373)=MONTH($A2)))</f>
        <v>6</v>
      </c>
      <c r="M2" s="15" cm="1">
        <f t="array" ref="M2">SUMPRODUCT(('Data Sheet'!AB$3:AB$373)*(MONTH('Data Sheet'!$AZ$3:$AZ$373)=MONTH($A2)))</f>
        <v>6.6833333333333336</v>
      </c>
      <c r="N2" s="15" cm="1">
        <f t="array" ref="N2">SUMPRODUCT(('Data Sheet'!AC$3:AC$373)*(MONTH('Data Sheet'!$AZ$3:$AZ$373)=MONTH($A2)))</f>
        <v>29.995833333333334</v>
      </c>
      <c r="O2" s="15" cm="1">
        <f t="array" ref="O2">SUMPRODUCT(('Data Sheet'!AD$3:AD$373)*(MONTH('Data Sheet'!$AZ$3:$AZ$373)=MONTH($A2)))</f>
        <v>6.9</v>
      </c>
      <c r="P2" s="15" cm="1">
        <f t="array" ref="P2">SUMPRODUCT(('Data Sheet'!AE$3:AE$373)*(MONTH('Data Sheet'!$AZ$3:$AZ$373)=MONTH($A2)))</f>
        <v>0</v>
      </c>
      <c r="Q2" s="15" cm="1">
        <f t="array" ref="Q2">SUMPRODUCT(('Data Sheet'!AF$3:AF$373)*(MONTH('Data Sheet'!$AZ$3:$AZ$373)=MONTH($A2)))</f>
        <v>0</v>
      </c>
      <c r="R2" s="15" cm="1">
        <f t="array" ref="R2">SUMPRODUCT(('Data Sheet'!AG$3:AG$373)*(MONTH('Data Sheet'!$AZ$3:$AZ$373)=MONTH($A2)))</f>
        <v>3</v>
      </c>
      <c r="S2" s="18" cm="1">
        <f t="array" aca="1" ref="S2" ca="1">SUMPRODUCT(('Data Sheet'!AH$3:AH$373)*(MONTH('Data Sheet'!$AZ$3:$AZ$373)=MONTH($A2)))</f>
        <v>11.468528475980397</v>
      </c>
      <c r="T2" s="18" cm="1">
        <f t="array" aca="1" ref="T2" ca="1">SUMPRODUCT(('Data Sheet'!AI$3:AI$373)*(MONTH('Data Sheet'!$AZ$3:$AZ$373)=MONTH($A2)))</f>
        <v>28.391263157894734</v>
      </c>
      <c r="U2" s="18"/>
      <c r="V2" s="19" cm="1">
        <f t="array" aca="1" ref="V2" ca="1">SUMPRODUCT(('Data Sheet'!AJ$3:AJ$373)*(MONTH('Data Sheet'!$AZ$3:$AZ$373)=MONTH($A2)))</f>
        <v>655.36104169945816</v>
      </c>
    </row>
    <row r="3" spans="1:22" hidden="1" x14ac:dyDescent="0.35">
      <c r="A3" s="16">
        <v>46079</v>
      </c>
      <c r="B3" s="14">
        <v>0.82</v>
      </c>
      <c r="C3" s="20">
        <f t="shared" ref="C3:C13" ca="1" si="0">IFERROR(V3/D3,"")</f>
        <v>0.80468415560498729</v>
      </c>
      <c r="D3" s="15" cm="1">
        <f t="array" ref="D3">SUMPRODUCT(('Data Sheet'!S$3:S$373)*(MONTH('Data Sheet'!$AZ$3:$AZ$373)=MONTH($A3)))</f>
        <v>592</v>
      </c>
      <c r="E3" s="15" cm="1">
        <f t="array" ref="E3">SUMPRODUCT(('Data Sheet'!T$3:T$373)*(MONTH('Data Sheet'!$AZ$3:$AZ$373)=MONTH($A3)))</f>
        <v>4</v>
      </c>
      <c r="F3" s="15" cm="1">
        <f t="array" ref="F3">SUMPRODUCT(('Data Sheet'!U$3:U$373)*(MONTH('Data Sheet'!$AZ$3:$AZ$373)=MONTH($A3)))</f>
        <v>8.1</v>
      </c>
      <c r="G3" s="15" cm="1">
        <f t="array" ref="G3">SUMPRODUCT(('Data Sheet'!V$3:V$373)*(MONTH('Data Sheet'!$AZ$3:$AZ$373)=MONTH($A3)))</f>
        <v>19.3</v>
      </c>
      <c r="H3" s="15" cm="1">
        <f t="array" ref="H3">SUMPRODUCT(('Data Sheet'!W$3:W$373)*(MONTH('Data Sheet'!$AZ$3:$AZ$373)=MONTH($A3)))</f>
        <v>5</v>
      </c>
      <c r="I3" s="15" cm="1">
        <f t="array" ref="I3">SUMPRODUCT(('Data Sheet'!X$3:X$373)*(MONTH('Data Sheet'!$AZ$3:$AZ$373)=MONTH($A3)))</f>
        <v>0</v>
      </c>
      <c r="J3" s="15" cm="1">
        <f t="array" ref="J3">SUMPRODUCT(('Data Sheet'!Y$3:Y$373)*(MONTH('Data Sheet'!$AZ$3:$AZ$373)=MONTH($A3)))</f>
        <v>0</v>
      </c>
      <c r="K3" s="15" cm="1">
        <f t="array" ref="K3">SUMPRODUCT(('Data Sheet'!Z$3:Z$373)*(MONTH('Data Sheet'!$AZ$3:$AZ$373)=MONTH($A3)))</f>
        <v>0</v>
      </c>
      <c r="M3" s="15" cm="1">
        <f t="array" ref="M3">SUMPRODUCT(('Data Sheet'!AB$3:AB$373)*(MONTH('Data Sheet'!$AZ$3:$AZ$373)=MONTH($A3)))</f>
        <v>1.7869472916666669</v>
      </c>
      <c r="N3" s="15" cm="1">
        <f t="array" ref="N3">SUMPRODUCT(('Data Sheet'!AC$3:AC$373)*(MONTH('Data Sheet'!$AZ$3:$AZ$373)=MONTH($A3)))</f>
        <v>20.5</v>
      </c>
      <c r="O3" s="15" cm="1">
        <f t="array" ref="O3">SUMPRODUCT(('Data Sheet'!AD$3:AD$373)*(MONTH('Data Sheet'!$AZ$3:$AZ$373)=MONTH($A3)))</f>
        <v>11.5</v>
      </c>
      <c r="P3" s="15" cm="1">
        <f t="array" ref="P3">SUMPRODUCT(('Data Sheet'!AE$3:AE$373)*(MONTH('Data Sheet'!$AZ$3:$AZ$373)=MONTH($A3)))</f>
        <v>3.1</v>
      </c>
      <c r="Q3" s="15" cm="1">
        <f t="array" ref="Q3">SUMPRODUCT(('Data Sheet'!AF$3:AF$373)*(MONTH('Data Sheet'!$AZ$3:$AZ$373)=MONTH($A3)))</f>
        <v>12.899999999999999</v>
      </c>
      <c r="R3" s="15" cm="1">
        <f t="array" ref="R3">SUMPRODUCT(('Data Sheet'!AG$3:AG$373)*(MONTH('Data Sheet'!$AZ$3:$AZ$373)=MONTH($A3)))</f>
        <v>0</v>
      </c>
      <c r="S3" s="15" cm="1">
        <f t="array" aca="1" ref="S3" ca="1">SUMPRODUCT(('Data Sheet'!AH$3:AH$373)*(MONTH('Data Sheet'!$AZ$3:$AZ$373)=MONTH($A3)))</f>
        <v>4.8767386410222198</v>
      </c>
      <c r="T3" s="15" cm="1">
        <f t="array" aca="1" ref="T3" ca="1">SUMPRODUCT(('Data Sheet'!AI$3:AI$373)*(MONTH('Data Sheet'!$AZ$3:$AZ$373)=MONTH($A3)))</f>
        <v>24.563293949158606</v>
      </c>
      <c r="U3" s="15"/>
      <c r="V3" s="19" cm="1">
        <f t="array" aca="1" ref="V3" ca="1">SUMPRODUCT(('Data Sheet'!AJ$3:AJ$373)*(MONTH('Data Sheet'!$AZ$3:$AZ$373)=MONTH($A3)))</f>
        <v>476.37302011815245</v>
      </c>
    </row>
    <row r="4" spans="1:22" hidden="1" x14ac:dyDescent="0.35">
      <c r="A4" s="16">
        <v>46107</v>
      </c>
      <c r="B4" s="14">
        <v>0.82</v>
      </c>
      <c r="C4" s="20">
        <f t="shared" ca="1" si="0"/>
        <v>0.80618172781558906</v>
      </c>
      <c r="D4" s="15" cm="1">
        <f t="array" ref="D4">SUMPRODUCT(('Data Sheet'!S$3:S$373)*(MONTH('Data Sheet'!$AZ$3:$AZ$373)=MONTH($A4)))</f>
        <v>628</v>
      </c>
      <c r="E4" s="15" cm="1">
        <f t="array" ref="E4">SUMPRODUCT(('Data Sheet'!T$3:T$373)*(MONTH('Data Sheet'!$AZ$3:$AZ$373)=MONTH($A4)))</f>
        <v>5.5</v>
      </c>
      <c r="F4" s="15" cm="1">
        <f t="array" ref="F4">SUMPRODUCT(('Data Sheet'!U$3:U$373)*(MONTH('Data Sheet'!$AZ$3:$AZ$373)=MONTH($A4)))</f>
        <v>9</v>
      </c>
      <c r="G4" s="15" cm="1">
        <f t="array" ref="G4">SUMPRODUCT(('Data Sheet'!V$3:V$373)*(MONTH('Data Sheet'!$AZ$3:$AZ$373)=MONTH($A4)))</f>
        <v>18.399999999999999</v>
      </c>
      <c r="H4" s="15" cm="1">
        <f t="array" ref="H4">SUMPRODUCT(('Data Sheet'!W$3:W$373)*(MONTH('Data Sheet'!$AZ$3:$AZ$373)=MONTH($A4)))</f>
        <v>5</v>
      </c>
      <c r="I4" s="15" cm="1">
        <f t="array" ref="I4">SUMPRODUCT(('Data Sheet'!X$3:X$373)*(MONTH('Data Sheet'!$AZ$3:$AZ$373)=MONTH($A4)))</f>
        <v>0.5</v>
      </c>
      <c r="J4" s="15" cm="1">
        <f t="array" ref="J4">SUMPRODUCT(('Data Sheet'!Y$3:Y$373)*(MONTH('Data Sheet'!$AZ$3:$AZ$373)=MONTH($A4)))</f>
        <v>0</v>
      </c>
      <c r="K4" s="15" cm="1">
        <f t="array" ref="K4">SUMPRODUCT(('Data Sheet'!Z$3:Z$373)*(MONTH('Data Sheet'!$AZ$3:$AZ$373)=MONTH($A4)))</f>
        <v>8</v>
      </c>
      <c r="M4" s="15" cm="1">
        <f t="array" ref="M4">SUMPRODUCT(('Data Sheet'!AB$3:AB$373)*(MONTH('Data Sheet'!$AZ$3:$AZ$373)=MONTH($A4)))</f>
        <v>3</v>
      </c>
      <c r="N4" s="15" cm="1">
        <f t="array" ref="N4">SUMPRODUCT(('Data Sheet'!AC$3:AC$373)*(MONTH('Data Sheet'!$AZ$3:$AZ$373)=MONTH($A4)))</f>
        <v>21.116666666666667</v>
      </c>
      <c r="O4" s="15" cm="1">
        <f t="array" ref="O4">SUMPRODUCT(('Data Sheet'!AD$3:AD$373)*(MONTH('Data Sheet'!$AZ$3:$AZ$373)=MONTH($A4)))</f>
        <v>6.9166666666666661</v>
      </c>
      <c r="P4" s="15" cm="1">
        <f t="array" ref="P4">SUMPRODUCT(('Data Sheet'!AE$3:AE$373)*(MONTH('Data Sheet'!$AZ$3:$AZ$373)=MONTH($A4)))</f>
        <v>1</v>
      </c>
      <c r="Q4" s="15" cm="1">
        <f t="array" ref="Q4">SUMPRODUCT(('Data Sheet'!AF$3:AF$373)*(MONTH('Data Sheet'!$AZ$3:$AZ$373)=MONTH($A4)))</f>
        <v>1.35</v>
      </c>
      <c r="R4" s="15" cm="1">
        <f t="array" ref="R4">SUMPRODUCT(('Data Sheet'!AG$3:AG$373)*(MONTH('Data Sheet'!$AZ$3:$AZ$373)=MONTH($A4)))</f>
        <v>0</v>
      </c>
      <c r="S4" s="15" cm="1">
        <f t="array" aca="1" ref="S4" ca="1">SUMPRODUCT(('Data Sheet'!AH$3:AH$373)*(MONTH('Data Sheet'!$AZ$3:$AZ$373)=MONTH($A4)))</f>
        <v>20.665010628193887</v>
      </c>
      <c r="T4" s="15" cm="1">
        <f t="array" aca="1" ref="T4" ca="1">SUMPRODUCT(('Data Sheet'!AI$3:AI$373)*(MONTH('Data Sheet'!$AZ$3:$AZ$373)=MONTH($A4)))</f>
        <v>21.269530970282851</v>
      </c>
      <c r="U4" s="15"/>
      <c r="V4" s="19" cm="1">
        <f t="array" aca="1" ref="V4" ca="1">SUMPRODUCT(('Data Sheet'!AJ$3:AJ$373)*(MONTH('Data Sheet'!$AZ$3:$AZ$373)=MONTH($A4)))</f>
        <v>506.28212506818994</v>
      </c>
    </row>
    <row r="5" spans="1:22" hidden="1" x14ac:dyDescent="0.35">
      <c r="A5" s="16">
        <v>46138</v>
      </c>
      <c r="B5" s="14">
        <v>0.83</v>
      </c>
      <c r="C5" s="20">
        <f t="shared" ca="1" si="0"/>
        <v>0.80122259184358724</v>
      </c>
      <c r="D5" s="15" cm="1">
        <f t="array" ref="D5">SUMPRODUCT(('Data Sheet'!S$3:S$373)*(MONTH('Data Sheet'!$AZ$3:$AZ$373)=MONTH($A5)))</f>
        <v>836</v>
      </c>
      <c r="E5" s="15" cm="1">
        <f t="array" ref="E5">SUMPRODUCT(('Data Sheet'!T$3:T$373)*(MONTH('Data Sheet'!$AZ$3:$AZ$373)=MONTH($A5)))</f>
        <v>10.7</v>
      </c>
      <c r="F5" s="15" cm="1">
        <f t="array" ref="F5">SUMPRODUCT(('Data Sheet'!U$3:U$373)*(MONTH('Data Sheet'!$AZ$3:$AZ$373)=MONTH($A5)))</f>
        <v>4.8</v>
      </c>
      <c r="G5" s="15" cm="1">
        <f t="array" ref="G5">SUMPRODUCT(('Data Sheet'!V$3:V$373)*(MONTH('Data Sheet'!$AZ$3:$AZ$373)=MONTH($A5)))</f>
        <v>29</v>
      </c>
      <c r="H5" s="15" cm="1">
        <f t="array" ref="H5">SUMPRODUCT(('Data Sheet'!W$3:W$373)*(MONTH('Data Sheet'!$AZ$3:$AZ$373)=MONTH($A5)))</f>
        <v>4</v>
      </c>
      <c r="I5" s="15" cm="1">
        <f t="array" ref="I5">SUMPRODUCT(('Data Sheet'!X$3:X$373)*(MONTH('Data Sheet'!$AZ$3:$AZ$373)=MONTH($A5)))</f>
        <v>0</v>
      </c>
      <c r="J5" s="15" cm="1">
        <f t="array" ref="J5">SUMPRODUCT(('Data Sheet'!Y$3:Y$373)*(MONTH('Data Sheet'!$AZ$3:$AZ$373)=MONTH($A5)))</f>
        <v>0</v>
      </c>
      <c r="K5" s="15" cm="1">
        <f t="array" ref="K5">SUMPRODUCT(('Data Sheet'!Z$3:Z$373)*(MONTH('Data Sheet'!$AZ$3:$AZ$373)=MONTH($A5)))</f>
        <v>0</v>
      </c>
      <c r="M5" s="15" cm="1">
        <f t="array" ref="M5">SUMPRODUCT(('Data Sheet'!AB$3:AB$373)*(MONTH('Data Sheet'!$AZ$3:$AZ$373)=MONTH($A5)))</f>
        <v>2.4</v>
      </c>
      <c r="N5" s="15" cm="1">
        <f t="array" ref="N5">SUMPRODUCT(('Data Sheet'!AC$3:AC$373)*(MONTH('Data Sheet'!$AZ$3:$AZ$373)=MONTH($A5)))</f>
        <v>38.266666666666673</v>
      </c>
      <c r="O5" s="15" cm="1">
        <f t="array" ref="O5">SUMPRODUCT(('Data Sheet'!AD$3:AD$373)*(MONTH('Data Sheet'!$AZ$3:$AZ$373)=MONTH($A5)))</f>
        <v>11.85</v>
      </c>
      <c r="P5" s="15" cm="1">
        <f t="array" ref="P5">SUMPRODUCT(('Data Sheet'!AE$3:AE$373)*(MONTH('Data Sheet'!$AZ$3:$AZ$373)=MONTH($A5)))</f>
        <v>0</v>
      </c>
      <c r="Q5" s="15" cm="1">
        <f t="array" ref="Q5">SUMPRODUCT(('Data Sheet'!AF$3:AF$373)*(MONTH('Data Sheet'!$AZ$3:$AZ$373)=MONTH($A5)))</f>
        <v>12.100000000000001</v>
      </c>
      <c r="R5" s="15" cm="1">
        <f t="array" ref="R5">SUMPRODUCT(('Data Sheet'!AG$3:AG$373)*(MONTH('Data Sheet'!$AZ$3:$AZ$373)=MONTH($A5)))</f>
        <v>0</v>
      </c>
      <c r="S5" s="15" cm="1">
        <f t="array" aca="1" ref="S5" ca="1">SUMPRODUCT(('Data Sheet'!AH$3:AH$373)*(MONTH('Data Sheet'!$AZ$3:$AZ$373)=MONTH($A5)))</f>
        <v>26.59114272108846</v>
      </c>
      <c r="T5" s="15" cm="1">
        <f t="array" aca="1" ref="T5" ca="1">SUMPRODUCT(('Data Sheet'!AI$3:AI$373)*(MONTH('Data Sheet'!$AZ$3:$AZ$373)=MONTH($A5)))</f>
        <v>26.470103831006085</v>
      </c>
      <c r="U5" s="15"/>
      <c r="V5" s="19" cm="1">
        <f t="array" aca="1" ref="V5" ca="1">SUMPRODUCT(('Data Sheet'!AJ$3:AJ$373)*(MONTH('Data Sheet'!$AZ$3:$AZ$373)=MONTH($A5)))</f>
        <v>669.82208678123891</v>
      </c>
    </row>
    <row r="6" spans="1:22" hidden="1" x14ac:dyDescent="0.35">
      <c r="A6" s="16">
        <v>46168</v>
      </c>
      <c r="B6" s="14">
        <v>0.83</v>
      </c>
      <c r="C6" s="20">
        <f t="shared" ca="1" si="0"/>
        <v>0.81094226851141449</v>
      </c>
      <c r="D6" s="15" cm="1">
        <f t="array" ref="D6">SUMPRODUCT(('Data Sheet'!S$3:S$373)*(MONTH('Data Sheet'!$AZ$3:$AZ$373)=MONTH($A6)))</f>
        <v>672</v>
      </c>
      <c r="E6" s="15" cm="1">
        <f t="array" ref="E6">SUMPRODUCT(('Data Sheet'!T$3:T$373)*(MONTH('Data Sheet'!$AZ$3:$AZ$373)=MONTH($A6)))</f>
        <v>6.5</v>
      </c>
      <c r="F6" s="15" cm="1">
        <f t="array" ref="F6">SUMPRODUCT(('Data Sheet'!U$3:U$373)*(MONTH('Data Sheet'!$AZ$3:$AZ$373)=MONTH($A6)))</f>
        <v>11.7</v>
      </c>
      <c r="G6" s="15" cm="1">
        <f t="array" ref="G6">SUMPRODUCT(('Data Sheet'!V$3:V$373)*(MONTH('Data Sheet'!$AZ$3:$AZ$373)=MONTH($A6)))</f>
        <v>28.700000000000003</v>
      </c>
      <c r="H6" s="15" cm="1">
        <f t="array" ref="H6">SUMPRODUCT(('Data Sheet'!W$3:W$373)*(MONTH('Data Sheet'!$AZ$3:$AZ$373)=MONTH($A6)))</f>
        <v>4</v>
      </c>
      <c r="I6" s="15" cm="1">
        <f t="array" ref="I6">SUMPRODUCT(('Data Sheet'!X$3:X$373)*(MONTH('Data Sheet'!$AZ$3:$AZ$373)=MONTH($A6)))</f>
        <v>1.5</v>
      </c>
      <c r="J6" s="15" cm="1">
        <f t="array" ref="J6">SUMPRODUCT(('Data Sheet'!Y$3:Y$373)*(MONTH('Data Sheet'!$AZ$3:$AZ$373)=MONTH($A6)))</f>
        <v>0</v>
      </c>
      <c r="K6" s="15" cm="1">
        <f t="array" ref="K6">SUMPRODUCT(('Data Sheet'!Z$3:Z$373)*(MONTH('Data Sheet'!$AZ$3:$AZ$373)=MONTH($A6)))</f>
        <v>0</v>
      </c>
      <c r="M6" s="15" cm="1">
        <f t="array" ref="M6">SUMPRODUCT(('Data Sheet'!AB$3:AB$373)*(MONTH('Data Sheet'!$AZ$3:$AZ$373)=MONTH($A6)))</f>
        <v>3.9</v>
      </c>
      <c r="N6" s="15" cm="1">
        <f t="array" ref="N6">SUMPRODUCT(('Data Sheet'!AC$3:AC$373)*(MONTH('Data Sheet'!$AZ$3:$AZ$373)=MONTH($A6)))</f>
        <v>24.2</v>
      </c>
      <c r="O6" s="15" cm="1">
        <f t="array" ref="O6">SUMPRODUCT(('Data Sheet'!AD$3:AD$373)*(MONTH('Data Sheet'!$AZ$3:$AZ$373)=MONTH($A6)))</f>
        <v>4.5833333333333339</v>
      </c>
      <c r="P6" s="15" cm="1">
        <f t="array" ref="P6">SUMPRODUCT(('Data Sheet'!AE$3:AE$373)*(MONTH('Data Sheet'!$AZ$3:$AZ$373)=MONTH($A6)))</f>
        <v>1.8333333333333333</v>
      </c>
      <c r="Q6" s="15" cm="1">
        <f t="array" ref="Q6">SUMPRODUCT(('Data Sheet'!AF$3:AF$373)*(MONTH('Data Sheet'!$AZ$3:$AZ$373)=MONTH($A6)))</f>
        <v>0</v>
      </c>
      <c r="R6" s="15" cm="1">
        <f t="array" ref="R6">SUMPRODUCT(('Data Sheet'!AG$3:AG$373)*(MONTH('Data Sheet'!$AZ$3:$AZ$373)=MONTH($A6)))</f>
        <v>0</v>
      </c>
      <c r="S6" s="15" cm="1">
        <f t="array" aca="1" ref="S6" ca="1">SUMPRODUCT(('Data Sheet'!AH$3:AH$373)*(MONTH('Data Sheet'!$AZ$3:$AZ$373)=MONTH($A6)))</f>
        <v>18.380110991765189</v>
      </c>
      <c r="T6" s="15" cm="1">
        <f t="array" aca="1" ref="T6" ca="1">SUMPRODUCT(('Data Sheet'!AI$3:AI$373)*(MONTH('Data Sheet'!$AZ$3:$AZ$373)=MONTH($A6)))</f>
        <v>21.750017901897596</v>
      </c>
      <c r="U6" s="15"/>
      <c r="V6" s="19" cm="1">
        <f t="array" aca="1" ref="V6" ca="1">SUMPRODUCT(('Data Sheet'!AJ$3:AJ$373)*(MONTH('Data Sheet'!$AZ$3:$AZ$373)=MONTH($A6)))</f>
        <v>544.95320443967057</v>
      </c>
    </row>
    <row r="7" spans="1:22" hidden="1" x14ac:dyDescent="0.35">
      <c r="A7" s="16">
        <v>46199</v>
      </c>
      <c r="B7" s="14">
        <v>0.83</v>
      </c>
      <c r="C7" s="20">
        <f t="shared" ca="1" si="0"/>
        <v>0.67195167055393579</v>
      </c>
      <c r="D7" s="15" cm="1">
        <f t="array" ref="D7">SUMPRODUCT(('Data Sheet'!S$3:S$373)*(MONTH('Data Sheet'!$AZ$3:$AZ$373)=MONTH($A7)))</f>
        <v>672</v>
      </c>
      <c r="E7" s="15" cm="1">
        <f t="array" ref="E7">SUMPRODUCT(('Data Sheet'!T$3:T$373)*(MONTH('Data Sheet'!$AZ$3:$AZ$373)=MONTH($A7)))</f>
        <v>9</v>
      </c>
      <c r="F7" s="15" cm="1">
        <f t="array" ref="F7">SUMPRODUCT(('Data Sheet'!U$3:U$373)*(MONTH('Data Sheet'!$AZ$3:$AZ$373)=MONTH($A7)))</f>
        <v>6.8</v>
      </c>
      <c r="G7" s="15" cm="1">
        <f t="array" ref="G7">SUMPRODUCT(('Data Sheet'!V$3:V$373)*(MONTH('Data Sheet'!$AZ$3:$AZ$373)=MONTH($A7)))</f>
        <v>121</v>
      </c>
      <c r="H7" s="15" cm="1">
        <f t="array" ref="H7">SUMPRODUCT(('Data Sheet'!W$3:W$373)*(MONTH('Data Sheet'!$AZ$3:$AZ$373)=MONTH($A7)))</f>
        <v>0</v>
      </c>
      <c r="I7" s="15" cm="1">
        <f t="array" ref="I7">SUMPRODUCT(('Data Sheet'!X$3:X$373)*(MONTH('Data Sheet'!$AZ$3:$AZ$373)=MONTH($A7)))</f>
        <v>0</v>
      </c>
      <c r="J7" s="15" cm="1">
        <f t="array" ref="J7">SUMPRODUCT(('Data Sheet'!Y$3:Y$373)*(MONTH('Data Sheet'!$AZ$3:$AZ$373)=MONTH($A7)))</f>
        <v>0</v>
      </c>
      <c r="K7" s="15" cm="1">
        <f t="array" ref="K7">SUMPRODUCT(('Data Sheet'!Z$3:Z$373)*(MONTH('Data Sheet'!$AZ$3:$AZ$373)=MONTH($A7)))</f>
        <v>0</v>
      </c>
      <c r="M7" s="15" cm="1">
        <f t="array" ref="M7">SUMPRODUCT(('Data Sheet'!AB$3:AB$373)*(MONTH('Data Sheet'!$AZ$3:$AZ$373)=MONTH($A7)))</f>
        <v>3</v>
      </c>
      <c r="N7" s="15" cm="1">
        <f t="array" ref="N7">SUMPRODUCT(('Data Sheet'!AC$3:AC$373)*(MONTH('Data Sheet'!$AZ$3:$AZ$373)=MONTH($A7)))</f>
        <v>25.033333333333331</v>
      </c>
      <c r="O7" s="15" cm="1">
        <f t="array" ref="O7">SUMPRODUCT(('Data Sheet'!AD$3:AD$373)*(MONTH('Data Sheet'!$AZ$3:$AZ$373)=MONTH($A7)))</f>
        <v>9.3000000000000007</v>
      </c>
      <c r="P7" s="15" cm="1">
        <f t="array" ref="P7">SUMPRODUCT(('Data Sheet'!AE$3:AE$373)*(MONTH('Data Sheet'!$AZ$3:$AZ$373)=MONTH($A7)))</f>
        <v>0</v>
      </c>
      <c r="Q7" s="15" cm="1">
        <f t="array" ref="Q7">SUMPRODUCT(('Data Sheet'!AF$3:AF$373)*(MONTH('Data Sheet'!$AZ$3:$AZ$373)=MONTH($A7)))</f>
        <v>0</v>
      </c>
      <c r="R7" s="15" cm="1">
        <f t="array" ref="R7">SUMPRODUCT(('Data Sheet'!AG$3:AG$373)*(MONTH('Data Sheet'!$AZ$3:$AZ$373)=MONTH($A7)))</f>
        <v>0</v>
      </c>
      <c r="S7" s="15" cm="1">
        <f t="array" aca="1" ref="S7" ca="1">SUMPRODUCT(('Data Sheet'!AH$3:AH$373)*(MONTH('Data Sheet'!$AZ$3:$AZ$373)=MONTH($A7)))</f>
        <v>20.564123646258516</v>
      </c>
      <c r="T7" s="15" cm="1">
        <f t="array" aca="1" ref="T7" ca="1">SUMPRODUCT(('Data Sheet'!AI$3:AI$373)*(MONTH('Data Sheet'!$AZ$3:$AZ$373)=MONTH($A7)))</f>
        <v>25.751020408163264</v>
      </c>
      <c r="U7" s="15"/>
      <c r="V7" s="19" cm="1">
        <f t="array" aca="1" ref="V7" ca="1">SUMPRODUCT(('Data Sheet'!AJ$3:AJ$373)*(MONTH('Data Sheet'!$AZ$3:$AZ$373)=MONTH($A7)))</f>
        <v>451.55152261224487</v>
      </c>
    </row>
    <row r="8" spans="1:22" hidden="1" x14ac:dyDescent="0.35">
      <c r="A8" s="16">
        <v>46229</v>
      </c>
      <c r="B8" s="14">
        <v>0.84</v>
      </c>
      <c r="C8" s="20">
        <f t="shared" ca="1" si="0"/>
        <v>0.74978626219227718</v>
      </c>
      <c r="D8" s="15" cm="1">
        <f t="array" ref="D8">SUMPRODUCT(('Data Sheet'!S$3:S$373)*(MONTH('Data Sheet'!$AZ$3:$AZ$373)=MONTH($A8)))</f>
        <v>528</v>
      </c>
      <c r="E8" s="15" cm="1">
        <f t="array" ref="E8">SUMPRODUCT(('Data Sheet'!T$3:T$373)*(MONTH('Data Sheet'!$AZ$3:$AZ$373)=MONTH($A8)))</f>
        <v>5</v>
      </c>
      <c r="F8" s="15" cm="1">
        <f t="array" ref="F8">SUMPRODUCT(('Data Sheet'!U$3:U$373)*(MONTH('Data Sheet'!$AZ$3:$AZ$373)=MONTH($A8)))</f>
        <v>8.9</v>
      </c>
      <c r="G8" s="15" cm="1">
        <f t="array" ref="G8">SUMPRODUCT(('Data Sheet'!V$3:V$373)*(MONTH('Data Sheet'!$AZ$3:$AZ$373)=MONTH($A8)))</f>
        <v>24</v>
      </c>
      <c r="H8" s="15" cm="1">
        <f t="array" ref="H8">SUMPRODUCT(('Data Sheet'!W$3:W$373)*(MONTH('Data Sheet'!$AZ$3:$AZ$373)=MONTH($A8)))</f>
        <v>2.5</v>
      </c>
      <c r="I8" s="15" cm="1">
        <f t="array" ref="I8">SUMPRODUCT(('Data Sheet'!X$3:X$373)*(MONTH('Data Sheet'!$AZ$3:$AZ$373)=MONTH($A8)))</f>
        <v>0</v>
      </c>
      <c r="J8" s="15" cm="1">
        <f t="array" ref="J8">SUMPRODUCT(('Data Sheet'!Y$3:Y$373)*(MONTH('Data Sheet'!$AZ$3:$AZ$373)=MONTH($A8)))</f>
        <v>0</v>
      </c>
      <c r="K8" s="15" cm="1">
        <f t="array" ref="K8">SUMPRODUCT(('Data Sheet'!Z$3:Z$373)*(MONTH('Data Sheet'!$AZ$3:$AZ$373)=MONTH($A8)))</f>
        <v>7</v>
      </c>
      <c r="M8" s="15" cm="1">
        <f t="array" ref="M8">SUMPRODUCT(('Data Sheet'!AB$3:AB$373)*(MONTH('Data Sheet'!$AZ$3:$AZ$373)=MONTH($A8)))</f>
        <v>1</v>
      </c>
      <c r="N8" s="15" cm="1">
        <f t="array" ref="N8">SUMPRODUCT(('Data Sheet'!AC$3:AC$373)*(MONTH('Data Sheet'!$AZ$3:$AZ$373)=MONTH($A8)))</f>
        <v>47.4</v>
      </c>
      <c r="O8" s="15" cm="1">
        <f t="array" ref="O8">SUMPRODUCT(('Data Sheet'!AD$3:AD$373)*(MONTH('Data Sheet'!$AZ$3:$AZ$373)=MONTH($A8)))</f>
        <v>5.75</v>
      </c>
      <c r="P8" s="15" cm="1">
        <f t="array" ref="P8">SUMPRODUCT(('Data Sheet'!AE$3:AE$373)*(MONTH('Data Sheet'!$AZ$3:$AZ$373)=MONTH($A8)))</f>
        <v>0.75</v>
      </c>
      <c r="Q8" s="15" cm="1">
        <f t="array" ref="Q8">SUMPRODUCT(('Data Sheet'!AF$3:AF$373)*(MONTH('Data Sheet'!$AZ$3:$AZ$373)=MONTH($A8)))</f>
        <v>0</v>
      </c>
      <c r="R8" s="15" cm="1">
        <f t="array" ref="R8">SUMPRODUCT(('Data Sheet'!AG$3:AG$373)*(MONTH('Data Sheet'!$AZ$3:$AZ$373)=MONTH($A8)))</f>
        <v>0</v>
      </c>
      <c r="S8" s="15" cm="1">
        <f t="array" aca="1" ref="S8" ca="1">SUMPRODUCT(('Data Sheet'!AH$3:AH$373)*(MONTH('Data Sheet'!$AZ$3:$AZ$373)=MONTH($A8)))</f>
        <v>9.6876512710347544</v>
      </c>
      <c r="T8" s="15" cm="1">
        <f t="array" aca="1" ref="T8" ca="1">SUMPRODUCT(('Data Sheet'!AI$3:AI$373)*(MONTH('Data Sheet'!$AZ$3:$AZ$373)=MONTH($A8)))</f>
        <v>20.125202291442889</v>
      </c>
      <c r="U8" s="15"/>
      <c r="V8" s="19" cm="1">
        <f t="array" aca="1" ref="V8" ca="1">SUMPRODUCT(('Data Sheet'!AJ$3:AJ$373)*(MONTH('Data Sheet'!$AZ$3:$AZ$373)=MONTH($A8)))</f>
        <v>395.88714643752235</v>
      </c>
    </row>
    <row r="9" spans="1:22" hidden="1" x14ac:dyDescent="0.35">
      <c r="A9" s="16">
        <v>46260</v>
      </c>
      <c r="B9" s="14">
        <v>0.84</v>
      </c>
      <c r="C9" s="20">
        <f t="shared" ca="1" si="0"/>
        <v>0.46315789473684205</v>
      </c>
      <c r="D9" s="15" cm="1">
        <f t="array" ref="D9">SUMPRODUCT(('Data Sheet'!S$3:S$373)*(MONTH('Data Sheet'!$AZ$3:$AZ$373)=MONTH($A9)))</f>
        <v>192</v>
      </c>
      <c r="E9" s="15" cm="1">
        <f t="array" ref="E9">SUMPRODUCT(('Data Sheet'!T$3:T$373)*(MONTH('Data Sheet'!$AZ$3:$AZ$373)=MONTH($A9)))</f>
        <v>0</v>
      </c>
      <c r="F9" s="15" cm="1">
        <f t="array" ref="F9">SUMPRODUCT(('Data Sheet'!U$3:U$373)*(MONTH('Data Sheet'!$AZ$3:$AZ$373)=MONTH($A9)))</f>
        <v>0</v>
      </c>
      <c r="G9" s="15" cm="1">
        <f t="array" ref="G9">SUMPRODUCT(('Data Sheet'!V$3:V$373)*(MONTH('Data Sheet'!$AZ$3:$AZ$373)=MONTH($A9)))</f>
        <v>0</v>
      </c>
      <c r="H9" s="15" cm="1">
        <f t="array" ref="H9">SUMPRODUCT(('Data Sheet'!W$3:W$373)*(MONTH('Data Sheet'!$AZ$3:$AZ$373)=MONTH($A9)))</f>
        <v>0</v>
      </c>
      <c r="I9" s="15" cm="1">
        <f t="array" ref="I9">SUMPRODUCT(('Data Sheet'!X$3:X$373)*(MONTH('Data Sheet'!$AZ$3:$AZ$373)=MONTH($A9)))</f>
        <v>0</v>
      </c>
      <c r="J9" s="15" cm="1">
        <f t="array" ref="J9">SUMPRODUCT(('Data Sheet'!Y$3:Y$373)*(MONTH('Data Sheet'!$AZ$3:$AZ$373)=MONTH($A9)))</f>
        <v>0</v>
      </c>
      <c r="K9" s="15" cm="1">
        <f t="array" ref="K9">SUMPRODUCT(('Data Sheet'!Z$3:Z$373)*(MONTH('Data Sheet'!$AZ$3:$AZ$373)=MONTH($A9)))</f>
        <v>0</v>
      </c>
      <c r="M9" s="15" cm="1">
        <f t="array" ref="M9">SUMPRODUCT(('Data Sheet'!AB$3:AB$373)*(MONTH('Data Sheet'!$AZ$3:$AZ$373)=MONTH($A9)))</f>
        <v>0</v>
      </c>
      <c r="N9" s="15" cm="1">
        <f t="array" ref="N9">SUMPRODUCT(('Data Sheet'!AC$3:AC$373)*(MONTH('Data Sheet'!$AZ$3:$AZ$373)=MONTH($A9)))</f>
        <v>0</v>
      </c>
      <c r="O9" s="15" cm="1">
        <f t="array" ref="O9">SUMPRODUCT(('Data Sheet'!AD$3:AD$373)*(MONTH('Data Sheet'!$AZ$3:$AZ$373)=MONTH($A9)))</f>
        <v>0</v>
      </c>
      <c r="P9" s="15" cm="1">
        <f t="array" ref="P9">SUMPRODUCT(('Data Sheet'!AE$3:AE$373)*(MONTH('Data Sheet'!$AZ$3:$AZ$373)=MONTH($A9)))</f>
        <v>0</v>
      </c>
      <c r="Q9" s="15" cm="1">
        <f t="array" ref="Q9">SUMPRODUCT(('Data Sheet'!AF$3:AF$373)*(MONTH('Data Sheet'!$AZ$3:$AZ$373)=MONTH($A9)))</f>
        <v>0</v>
      </c>
      <c r="R9" s="15" cm="1">
        <f t="array" ref="R9">SUMPRODUCT(('Data Sheet'!AG$3:AG$373)*(MONTH('Data Sheet'!$AZ$3:$AZ$373)=MONTH($A9)))</f>
        <v>0</v>
      </c>
      <c r="S9" s="15" cm="1">
        <f t="array" aca="1" ref="S9" ca="1">SUMPRODUCT(('Data Sheet'!AH$3:AH$373)*(MONTH('Data Sheet'!$AZ$3:$AZ$373)=MONTH($A9)))</f>
        <v>103.07368421052632</v>
      </c>
      <c r="T9" s="15" cm="1">
        <f t="array" aca="1" ref="T9" ca="1">SUMPRODUCT(('Data Sheet'!AI$3:AI$373)*(MONTH('Data Sheet'!$AZ$3:$AZ$373)=MONTH($A9)))</f>
        <v>0</v>
      </c>
      <c r="U9" s="15"/>
      <c r="V9" s="19" cm="1">
        <f t="array" aca="1" ref="V9" ca="1">SUMPRODUCT(('Data Sheet'!AJ$3:AJ$373)*(MONTH('Data Sheet'!$AZ$3:$AZ$373)=MONTH($A9)))</f>
        <v>88.926315789473676</v>
      </c>
    </row>
    <row r="10" spans="1:22" hidden="1" x14ac:dyDescent="0.35">
      <c r="A10" s="16">
        <v>46291</v>
      </c>
      <c r="B10" s="14">
        <v>0.84</v>
      </c>
      <c r="C10" s="20">
        <f t="shared" ca="1" si="0"/>
        <v>0.69145084934558609</v>
      </c>
      <c r="D10" s="15" cm="1">
        <f t="array" ref="D10">SUMPRODUCT(('Data Sheet'!S$3:S$373)*(MONTH('Data Sheet'!$AZ$3:$AZ$373)=MONTH($A10)))</f>
        <v>288</v>
      </c>
      <c r="E10" s="15" cm="1">
        <f t="array" ref="E10">SUMPRODUCT(('Data Sheet'!T$3:T$373)*(MONTH('Data Sheet'!$AZ$3:$AZ$373)=MONTH($A10)))</f>
        <v>0</v>
      </c>
      <c r="F10" s="15" cm="1">
        <f t="array" ref="F10">SUMPRODUCT(('Data Sheet'!U$3:U$373)*(MONTH('Data Sheet'!$AZ$3:$AZ$373)=MONTH($A10)))</f>
        <v>5.25</v>
      </c>
      <c r="G10" s="15" cm="1">
        <f t="array" ref="G10">SUMPRODUCT(('Data Sheet'!V$3:V$373)*(MONTH('Data Sheet'!$AZ$3:$AZ$373)=MONTH($A10)))</f>
        <v>12</v>
      </c>
      <c r="H10" s="15" cm="1">
        <f t="array" ref="H10">SUMPRODUCT(('Data Sheet'!W$3:W$373)*(MONTH('Data Sheet'!$AZ$3:$AZ$373)=MONTH($A10)))</f>
        <v>1.75</v>
      </c>
      <c r="I10" s="15" cm="1">
        <f t="array" ref="I10">SUMPRODUCT(('Data Sheet'!X$3:X$373)*(MONTH('Data Sheet'!$AZ$3:$AZ$373)=MONTH($A10)))</f>
        <v>0</v>
      </c>
      <c r="J10" s="15" cm="1">
        <f t="array" ref="J10">SUMPRODUCT(('Data Sheet'!Y$3:Y$373)*(MONTH('Data Sheet'!$AZ$3:$AZ$373)=MONTH($A10)))</f>
        <v>0</v>
      </c>
      <c r="K10" s="15" cm="1">
        <f t="array" ref="K10">SUMPRODUCT(('Data Sheet'!Z$3:Z$373)*(MONTH('Data Sheet'!$AZ$3:$AZ$373)=MONTH($A10)))</f>
        <v>7</v>
      </c>
      <c r="M10" s="15" cm="1">
        <f t="array" ref="M10">SUMPRODUCT(('Data Sheet'!AB$3:AB$373)*(MONTH('Data Sheet'!$AZ$3:$AZ$373)=MONTH($A10)))</f>
        <v>8.7833333333333332</v>
      </c>
      <c r="N10" s="15" cm="1">
        <f t="array" ref="N10">SUMPRODUCT(('Data Sheet'!AC$3:AC$373)*(MONTH('Data Sheet'!$AZ$3:$AZ$373)=MONTH($A10)))</f>
        <v>17.06666666666667</v>
      </c>
      <c r="O10" s="15" cm="1">
        <f t="array" ref="O10">SUMPRODUCT(('Data Sheet'!AD$3:AD$373)*(MONTH('Data Sheet'!$AZ$3:$AZ$373)=MONTH($A10)))</f>
        <v>3.833333333333333</v>
      </c>
      <c r="P10" s="15" cm="1">
        <f t="array" ref="P10">SUMPRODUCT(('Data Sheet'!AE$3:AE$373)*(MONTH('Data Sheet'!$AZ$3:$AZ$373)=MONTH($A10)))</f>
        <v>1.6666666666666667</v>
      </c>
      <c r="Q10" s="15" cm="1">
        <f t="array" ref="Q10">SUMPRODUCT(('Data Sheet'!AF$3:AF$373)*(MONTH('Data Sheet'!$AZ$3:$AZ$373)=MONTH($A10)))</f>
        <v>0</v>
      </c>
      <c r="R10" s="15" cm="1">
        <f t="array" ref="R10">SUMPRODUCT(('Data Sheet'!AG$3:AG$373)*(MONTH('Data Sheet'!$AZ$3:$AZ$373)=MONTH($A10)))</f>
        <v>0.5</v>
      </c>
      <c r="S10" s="15" cm="1">
        <f t="array" aca="1" ref="S10" ca="1">SUMPRODUCT(('Data Sheet'!AH$3:AH$373)*(MONTH('Data Sheet'!$AZ$3:$AZ$373)=MONTH($A10)))</f>
        <v>20.372699606158278</v>
      </c>
      <c r="T10" s="15" cm="1">
        <f t="array" aca="1" ref="T10" ca="1">SUMPRODUCT(('Data Sheet'!AI$3:AI$373)*(MONTH('Data Sheet'!$AZ$3:$AZ$373)=MONTH($A10)))</f>
        <v>10.639455782312924</v>
      </c>
      <c r="U10" s="15"/>
      <c r="V10" s="19" cm="1">
        <f t="array" aca="1" ref="V10" ca="1">SUMPRODUCT(('Data Sheet'!AJ$3:AJ$373)*(MONTH('Data Sheet'!$AZ$3:$AZ$373)=MONTH($A10)))</f>
        <v>199.13784461152881</v>
      </c>
    </row>
    <row r="11" spans="1:22" hidden="1" x14ac:dyDescent="0.35">
      <c r="A11" s="16">
        <v>46321</v>
      </c>
      <c r="B11" s="14">
        <v>0.85</v>
      </c>
      <c r="C11" s="20" t="str">
        <f t="shared" ca="1" si="0"/>
        <v/>
      </c>
      <c r="D11" s="15" cm="1">
        <f t="array" ref="D11">SUMPRODUCT(('Data Sheet'!S$3:S$373)*(MONTH('Data Sheet'!$AZ$3:$AZ$373)=MONTH($A11)))</f>
        <v>0</v>
      </c>
      <c r="E11" s="15" cm="1">
        <f t="array" ref="E11">SUMPRODUCT(('Data Sheet'!T$3:T$373)*(MONTH('Data Sheet'!$AZ$3:$AZ$373)=MONTH($A11)))</f>
        <v>0</v>
      </c>
      <c r="F11" s="15" cm="1">
        <f t="array" ref="F11">SUMPRODUCT(('Data Sheet'!U$3:U$373)*(MONTH('Data Sheet'!$AZ$3:$AZ$373)=MONTH($A11)))</f>
        <v>0</v>
      </c>
      <c r="G11" s="15" cm="1">
        <f t="array" ref="G11">SUMPRODUCT(('Data Sheet'!V$3:V$373)*(MONTH('Data Sheet'!$AZ$3:$AZ$373)=MONTH($A11)))</f>
        <v>0</v>
      </c>
      <c r="H11" s="15" cm="1">
        <f t="array" ref="H11">SUMPRODUCT(('Data Sheet'!W$3:W$373)*(MONTH('Data Sheet'!$AZ$3:$AZ$373)=MONTH($A11)))</f>
        <v>0</v>
      </c>
      <c r="I11" s="15" cm="1">
        <f t="array" ref="I11">SUMPRODUCT(('Data Sheet'!X$3:X$373)*(MONTH('Data Sheet'!$AZ$3:$AZ$373)=MONTH($A11)))</f>
        <v>0</v>
      </c>
      <c r="J11" s="15" cm="1">
        <f t="array" ref="J11">SUMPRODUCT(('Data Sheet'!Y$3:Y$373)*(MONTH('Data Sheet'!$AZ$3:$AZ$373)=MONTH($A11)))</f>
        <v>0</v>
      </c>
      <c r="K11" s="15" cm="1">
        <f t="array" ref="K11">SUMPRODUCT(('Data Sheet'!Z$3:Z$373)*(MONTH('Data Sheet'!$AZ$3:$AZ$373)=MONTH($A11)))</f>
        <v>0</v>
      </c>
      <c r="M11" s="15" cm="1">
        <f t="array" ref="M11">SUMPRODUCT(('Data Sheet'!AB$3:AB$373)*(MONTH('Data Sheet'!$AZ$3:$AZ$373)=MONTH($A11)))</f>
        <v>0</v>
      </c>
      <c r="N11" s="15" cm="1">
        <f t="array" ref="N11">SUMPRODUCT(('Data Sheet'!AC$3:AC$373)*(MONTH('Data Sheet'!$AZ$3:$AZ$373)=MONTH($A11)))</f>
        <v>0</v>
      </c>
      <c r="O11" s="15" cm="1">
        <f t="array" ref="O11">SUMPRODUCT(('Data Sheet'!AD$3:AD$373)*(MONTH('Data Sheet'!$AZ$3:$AZ$373)=MONTH($A11)))</f>
        <v>0</v>
      </c>
      <c r="P11" s="15" cm="1">
        <f t="array" ref="P11">SUMPRODUCT(('Data Sheet'!AE$3:AE$373)*(MONTH('Data Sheet'!$AZ$3:$AZ$373)=MONTH($A11)))</f>
        <v>0</v>
      </c>
      <c r="Q11" s="15" cm="1">
        <f t="array" ref="Q11">SUMPRODUCT(('Data Sheet'!AF$3:AF$373)*(MONTH('Data Sheet'!$AZ$3:$AZ$373)=MONTH($A11)))</f>
        <v>0</v>
      </c>
      <c r="R11" s="15" cm="1">
        <f t="array" ref="R11">SUMPRODUCT(('Data Sheet'!AG$3:AG$373)*(MONTH('Data Sheet'!$AZ$3:$AZ$373)=MONTH($A11)))</f>
        <v>0</v>
      </c>
      <c r="S11" s="15" cm="1">
        <f t="array" aca="1" ref="S11" ca="1">SUMPRODUCT(('Data Sheet'!AH$3:AH$373)*(MONTH('Data Sheet'!$AZ$3:$AZ$373)=MONTH($A11)))</f>
        <v>0</v>
      </c>
      <c r="T11" s="15" cm="1">
        <f t="array" aca="1" ref="T11" ca="1">SUMPRODUCT(('Data Sheet'!AI$3:AI$373)*(MONTH('Data Sheet'!$AZ$3:$AZ$373)=MONTH($A11)))</f>
        <v>0</v>
      </c>
      <c r="U11" s="15"/>
      <c r="V11" s="19" cm="1">
        <f t="array" aca="1" ref="V11" ca="1">SUMPRODUCT(('Data Sheet'!AJ$3:AJ$373)*(MONTH('Data Sheet'!$AZ$3:$AZ$373)=MONTH($A11)))</f>
        <v>0</v>
      </c>
    </row>
    <row r="12" spans="1:22" hidden="1" x14ac:dyDescent="0.35">
      <c r="A12" s="16">
        <v>46352</v>
      </c>
      <c r="B12" s="14">
        <v>0.85</v>
      </c>
      <c r="C12" s="20" t="str">
        <f t="shared" ca="1" si="0"/>
        <v/>
      </c>
      <c r="D12" s="15" cm="1">
        <f t="array" ref="D12">SUMPRODUCT(('Data Sheet'!S$3:S$373)*(MONTH('Data Sheet'!$AZ$3:$AZ$373)=MONTH($A12)))</f>
        <v>0</v>
      </c>
      <c r="E12" s="15" cm="1">
        <f t="array" ref="E12">SUMPRODUCT(('Data Sheet'!T$3:T$373)*(MONTH('Data Sheet'!$AZ$3:$AZ$373)=MONTH($A12)))</f>
        <v>0</v>
      </c>
      <c r="F12" s="15" cm="1">
        <f t="array" ref="F12">SUMPRODUCT(('Data Sheet'!U$3:U$373)*(MONTH('Data Sheet'!$AZ$3:$AZ$373)=MONTH($A12)))</f>
        <v>0</v>
      </c>
      <c r="G12" s="15" cm="1">
        <f t="array" ref="G12">SUMPRODUCT(('Data Sheet'!V$3:V$373)*(MONTH('Data Sheet'!$AZ$3:$AZ$373)=MONTH($A12)))</f>
        <v>0</v>
      </c>
      <c r="H12" s="15" cm="1">
        <f t="array" ref="H12">SUMPRODUCT(('Data Sheet'!W$3:W$373)*(MONTH('Data Sheet'!$AZ$3:$AZ$373)=MONTH($A12)))</f>
        <v>0</v>
      </c>
      <c r="I12" s="15" cm="1">
        <f t="array" ref="I12">SUMPRODUCT(('Data Sheet'!X$3:X$373)*(MONTH('Data Sheet'!$AZ$3:$AZ$373)=MONTH($A12)))</f>
        <v>0</v>
      </c>
      <c r="J12" s="15" cm="1">
        <f t="array" ref="J12">SUMPRODUCT(('Data Sheet'!Y$3:Y$373)*(MONTH('Data Sheet'!$AZ$3:$AZ$373)=MONTH($A12)))</f>
        <v>0</v>
      </c>
      <c r="K12" s="15" cm="1">
        <f t="array" ref="K12">SUMPRODUCT(('Data Sheet'!Z$3:Z$373)*(MONTH('Data Sheet'!$AZ$3:$AZ$373)=MONTH($A12)))</f>
        <v>0</v>
      </c>
      <c r="M12" s="15" cm="1">
        <f t="array" ref="M12">SUMPRODUCT(('Data Sheet'!AB$3:AB$373)*(MONTH('Data Sheet'!$AZ$3:$AZ$373)=MONTH($A12)))</f>
        <v>0</v>
      </c>
      <c r="N12" s="15" cm="1">
        <f t="array" ref="N12">SUMPRODUCT(('Data Sheet'!AC$3:AC$373)*(MONTH('Data Sheet'!$AZ$3:$AZ$373)=MONTH($A12)))</f>
        <v>0</v>
      </c>
      <c r="O12" s="15" cm="1">
        <f t="array" ref="O12">SUMPRODUCT(('Data Sheet'!AD$3:AD$373)*(MONTH('Data Sheet'!$AZ$3:$AZ$373)=MONTH($A12)))</f>
        <v>0</v>
      </c>
      <c r="P12" s="15" cm="1">
        <f t="array" ref="P12">SUMPRODUCT(('Data Sheet'!AE$3:AE$373)*(MONTH('Data Sheet'!$AZ$3:$AZ$373)=MONTH($A12)))</f>
        <v>0</v>
      </c>
      <c r="Q12" s="15" cm="1">
        <f t="array" ref="Q12">SUMPRODUCT(('Data Sheet'!AF$3:AF$373)*(MONTH('Data Sheet'!$AZ$3:$AZ$373)=MONTH($A12)))</f>
        <v>0</v>
      </c>
      <c r="R12" s="15" cm="1">
        <f t="array" ref="R12">SUMPRODUCT(('Data Sheet'!AG$3:AG$373)*(MONTH('Data Sheet'!$AZ$3:$AZ$373)=MONTH($A12)))</f>
        <v>0</v>
      </c>
      <c r="S12" s="15" cm="1">
        <f t="array" aca="1" ref="S12" ca="1">SUMPRODUCT(('Data Sheet'!AH$3:AH$373)*(MONTH('Data Sheet'!$AZ$3:$AZ$373)=MONTH($A12)))</f>
        <v>0</v>
      </c>
      <c r="T12" s="15" cm="1">
        <f t="array" aca="1" ref="T12" ca="1">SUMPRODUCT(('Data Sheet'!AI$3:AI$373)*(MONTH('Data Sheet'!$AZ$3:$AZ$373)=MONTH($A12)))</f>
        <v>0</v>
      </c>
      <c r="U12" s="15"/>
      <c r="V12" s="19" cm="1">
        <f t="array" aca="1" ref="V12" ca="1">SUMPRODUCT(('Data Sheet'!AJ$3:AJ$373)*(MONTH('Data Sheet'!$AZ$3:$AZ$373)=MONTH($A12)))</f>
        <v>0</v>
      </c>
    </row>
    <row r="13" spans="1:22" ht="15" hidden="1" thickBot="1" x14ac:dyDescent="0.4">
      <c r="A13" s="16">
        <v>46382</v>
      </c>
      <c r="B13" s="14">
        <v>0.85</v>
      </c>
      <c r="C13" s="20" t="str">
        <f t="shared" ca="1" si="0"/>
        <v/>
      </c>
      <c r="D13" s="15" cm="1">
        <f t="array" ref="D13">SUMPRODUCT(('Data Sheet'!S$3:S$373)*(MONTH('Data Sheet'!$AZ$3:$AZ$373)=MONTH($A13)))</f>
        <v>0</v>
      </c>
      <c r="E13" s="15" cm="1">
        <f t="array" ref="E13">SUMPRODUCT(('Data Sheet'!T$3:T$373)*(MONTH('Data Sheet'!$AZ$3:$AZ$373)=MONTH($A13)))</f>
        <v>0</v>
      </c>
      <c r="F13" s="15" cm="1">
        <f t="array" ref="F13">SUMPRODUCT(('Data Sheet'!U$3:U$373)*(MONTH('Data Sheet'!$AZ$3:$AZ$373)=MONTH($A13)))</f>
        <v>0</v>
      </c>
      <c r="G13" s="15" cm="1">
        <f t="array" ref="G13">SUMPRODUCT(('Data Sheet'!V$3:V$373)*(MONTH('Data Sheet'!$AZ$3:$AZ$373)=MONTH($A13)))</f>
        <v>0</v>
      </c>
      <c r="H13" s="15" cm="1">
        <f t="array" ref="H13">SUMPRODUCT(('Data Sheet'!W$3:W$373)*(MONTH('Data Sheet'!$AZ$3:$AZ$373)=MONTH($A13)))</f>
        <v>0</v>
      </c>
      <c r="I13" s="15" cm="1">
        <f t="array" ref="I13">SUMPRODUCT(('Data Sheet'!X$3:X$373)*(MONTH('Data Sheet'!$AZ$3:$AZ$373)=MONTH($A13)))</f>
        <v>0</v>
      </c>
      <c r="J13" s="15" cm="1">
        <f t="array" ref="J13">SUMPRODUCT(('Data Sheet'!Y$3:Y$373)*(MONTH('Data Sheet'!$AZ$3:$AZ$373)=MONTH($A13)))</f>
        <v>0</v>
      </c>
      <c r="K13" s="15" cm="1">
        <f t="array" ref="K13">SUMPRODUCT(('Data Sheet'!Z$3:Z$373)*(MONTH('Data Sheet'!$AZ$3:$AZ$373)=MONTH($A13)))</f>
        <v>0</v>
      </c>
      <c r="M13" s="15" cm="1">
        <f t="array" ref="M13">SUMPRODUCT(('Data Sheet'!AB$3:AB$373)*(MONTH('Data Sheet'!$AZ$3:$AZ$373)=MONTH($A13)))</f>
        <v>0</v>
      </c>
      <c r="N13" s="15" cm="1">
        <f t="array" ref="N13">SUMPRODUCT(('Data Sheet'!AC$3:AC$373)*(MONTH('Data Sheet'!$AZ$3:$AZ$373)=MONTH($A13)))</f>
        <v>0</v>
      </c>
      <c r="O13" s="15" cm="1">
        <f t="array" ref="O13">SUMPRODUCT(('Data Sheet'!AD$3:AD$373)*(MONTH('Data Sheet'!$AZ$3:$AZ$373)=MONTH($A13)))</f>
        <v>0</v>
      </c>
      <c r="P13" s="15" cm="1">
        <f t="array" ref="P13">SUMPRODUCT(('Data Sheet'!AE$3:AE$373)*(MONTH('Data Sheet'!$AZ$3:$AZ$373)=MONTH($A13)))</f>
        <v>0</v>
      </c>
      <c r="Q13" s="15" cm="1">
        <f t="array" ref="Q13">SUMPRODUCT(('Data Sheet'!AF$3:AF$373)*(MONTH('Data Sheet'!$AZ$3:$AZ$373)=MONTH($A13)))</f>
        <v>0</v>
      </c>
      <c r="R13" s="15" cm="1">
        <f t="array" ref="R13">SUMPRODUCT(('Data Sheet'!AG$3:AG$373)*(MONTH('Data Sheet'!$AZ$3:$AZ$373)=MONTH($A13)))</f>
        <v>0</v>
      </c>
      <c r="S13" s="15" cm="1">
        <f t="array" aca="1" ref="S13" ca="1">SUMPRODUCT(('Data Sheet'!AH$3:AH$373)*(MONTH('Data Sheet'!$AZ$3:$AZ$373)=MONTH($A13)))</f>
        <v>0</v>
      </c>
      <c r="T13" s="15" cm="1">
        <f t="array" aca="1" ref="T13" ca="1">SUMPRODUCT(('Data Sheet'!AI$3:AI$373)*(MONTH('Data Sheet'!$AZ$3:$AZ$373)=MONTH($A13)))</f>
        <v>0</v>
      </c>
      <c r="U13" s="15"/>
      <c r="V13" s="19" cm="1">
        <f t="array" aca="1" ref="V13" ca="1">SUMPRODUCT(('Data Sheet'!AJ$3:AJ$373)*(MONTH('Data Sheet'!$AZ$3:$AZ$373)=MONTH($A13)))</f>
        <v>0</v>
      </c>
    </row>
    <row r="14" spans="1:22" x14ac:dyDescent="0.35">
      <c r="A14" s="4" t="s">
        <v>353</v>
      </c>
      <c r="B14" s="5" t="s">
        <v>354</v>
      </c>
      <c r="C14" s="6" t="s">
        <v>355</v>
      </c>
      <c r="D14" s="6" t="s">
        <v>71</v>
      </c>
      <c r="E14" s="7" t="s">
        <v>72</v>
      </c>
      <c r="F14" s="8" t="s">
        <v>356</v>
      </c>
      <c r="G14" s="8" t="s">
        <v>74</v>
      </c>
      <c r="H14" s="8" t="s">
        <v>75</v>
      </c>
      <c r="I14" s="8" t="s">
        <v>76</v>
      </c>
      <c r="J14" s="8" t="s">
        <v>77</v>
      </c>
      <c r="K14" s="9" t="s">
        <v>78</v>
      </c>
      <c r="L14" s="35" t="s">
        <v>360</v>
      </c>
      <c r="M14" s="10" t="s">
        <v>80</v>
      </c>
      <c r="N14" s="11" t="s">
        <v>53</v>
      </c>
      <c r="O14" s="11" t="s">
        <v>81</v>
      </c>
      <c r="P14" s="11" t="s">
        <v>82</v>
      </c>
      <c r="Q14" s="11" t="s">
        <v>357</v>
      </c>
      <c r="R14" s="11" t="s">
        <v>84</v>
      </c>
      <c r="S14" s="11" t="s">
        <v>358</v>
      </c>
      <c r="T14" s="12" t="s">
        <v>359</v>
      </c>
      <c r="U14" s="17" t="s">
        <v>361</v>
      </c>
      <c r="V14" s="17" t="s">
        <v>87</v>
      </c>
    </row>
    <row r="15" spans="1:22" x14ac:dyDescent="0.35">
      <c r="A15" s="16">
        <v>46048</v>
      </c>
      <c r="B15" s="14">
        <v>0.81</v>
      </c>
      <c r="C15" s="67">
        <f ca="1">C2</f>
        <v>0.81512567375554501</v>
      </c>
      <c r="D15" s="15">
        <f>D2</f>
        <v>804</v>
      </c>
      <c r="E15" s="34">
        <f t="shared" ref="E15:E26" si="1">IFERROR(E2/$D15,"")</f>
        <v>1.0945273631840797E-2</v>
      </c>
      <c r="F15" s="34">
        <f t="shared" ref="F15:F26" si="2">IFERROR(F2/$D15,"")</f>
        <v>3.2338308457711446E-3</v>
      </c>
      <c r="G15" s="34">
        <f t="shared" ref="G15:G26" si="3">IFERROR(G2/$D15,"")</f>
        <v>3.7313432835820892E-2</v>
      </c>
      <c r="H15" s="34">
        <f t="shared" ref="H15:H26" si="4">IFERROR(H2/$D15,"")</f>
        <v>1.8407960199004977E-2</v>
      </c>
      <c r="I15" s="34">
        <f t="shared" ref="I15:I26" si="5">IFERROR(I2/$D15,"")</f>
        <v>0</v>
      </c>
      <c r="J15" s="34">
        <f t="shared" ref="J15:J26" si="6">IFERROR(J2/$D15,"")</f>
        <v>0</v>
      </c>
      <c r="K15" s="34">
        <f t="shared" ref="K15:K26" si="7">IFERROR(K2/$D15,"")</f>
        <v>7.462686567164179E-3</v>
      </c>
      <c r="L15" s="67">
        <f>SUM(E15:K15)</f>
        <v>7.7363184079601979E-2</v>
      </c>
      <c r="M15" s="34">
        <f t="shared" ref="M15:T26" si="8">IFERROR(M2/$D15,"")</f>
        <v>8.312603648424545E-3</v>
      </c>
      <c r="N15" s="34">
        <f t="shared" si="8"/>
        <v>3.7308250414593701E-2</v>
      </c>
      <c r="O15" s="34">
        <f t="shared" si="8"/>
        <v>8.5820895522388061E-3</v>
      </c>
      <c r="P15" s="34">
        <f t="shared" si="8"/>
        <v>0</v>
      </c>
      <c r="Q15" s="34">
        <f t="shared" si="8"/>
        <v>0</v>
      </c>
      <c r="R15" s="34">
        <f t="shared" si="8"/>
        <v>3.7313432835820895E-3</v>
      </c>
      <c r="S15" s="34">
        <f t="shared" ca="1" si="8"/>
        <v>1.4264338900473131E-2</v>
      </c>
      <c r="T15" s="34">
        <f t="shared" ca="1" si="8"/>
        <v>3.5312516365540711E-2</v>
      </c>
      <c r="U15" s="34">
        <f t="shared" ref="U15:U26" ca="1" si="9">IFERROR(SUM(M15:T15),"")</f>
        <v>0.10751114216485298</v>
      </c>
    </row>
    <row r="16" spans="1:22" x14ac:dyDescent="0.35">
      <c r="A16" s="16">
        <v>46079</v>
      </c>
      <c r="B16" s="14">
        <v>0.81</v>
      </c>
      <c r="C16" s="67">
        <f t="shared" ref="C16:D26" ca="1" si="10">C3</f>
        <v>0.80468415560498729</v>
      </c>
      <c r="D16" s="15">
        <f t="shared" si="10"/>
        <v>592</v>
      </c>
      <c r="E16" s="34">
        <f t="shared" si="1"/>
        <v>6.7567567567567571E-3</v>
      </c>
      <c r="F16" s="34">
        <f t="shared" si="2"/>
        <v>1.3682432432432431E-2</v>
      </c>
      <c r="G16" s="34">
        <f t="shared" si="3"/>
        <v>3.2601351351351351E-2</v>
      </c>
      <c r="H16" s="34">
        <f t="shared" si="4"/>
        <v>8.4459459459459464E-3</v>
      </c>
      <c r="I16" s="34">
        <f t="shared" si="5"/>
        <v>0</v>
      </c>
      <c r="J16" s="34">
        <f t="shared" si="6"/>
        <v>0</v>
      </c>
      <c r="K16" s="34">
        <f t="shared" si="7"/>
        <v>0</v>
      </c>
      <c r="L16" s="67">
        <f t="shared" ref="L16:L26" si="11">SUM(E16:K16)</f>
        <v>6.1486486486486483E-2</v>
      </c>
      <c r="M16" s="34">
        <f t="shared" si="8"/>
        <v>3.0184920467342348E-3</v>
      </c>
      <c r="N16" s="34">
        <f t="shared" ref="N16:T16" si="12">IFERROR(N3/$D16,"")</f>
        <v>3.4628378378378379E-2</v>
      </c>
      <c r="O16" s="34">
        <f t="shared" si="12"/>
        <v>1.9425675675675675E-2</v>
      </c>
      <c r="P16" s="34">
        <f t="shared" si="12"/>
        <v>5.2364864864864868E-3</v>
      </c>
      <c r="Q16" s="34">
        <f t="shared" si="12"/>
        <v>2.1790540540540537E-2</v>
      </c>
      <c r="R16" s="34">
        <f t="shared" si="12"/>
        <v>0</v>
      </c>
      <c r="S16" s="34">
        <f t="shared" ca="1" si="12"/>
        <v>8.2377341909159116E-3</v>
      </c>
      <c r="T16" s="34">
        <f t="shared" ca="1" si="12"/>
        <v>4.1492050589794945E-2</v>
      </c>
      <c r="U16" s="34">
        <f t="shared" ca="1" si="9"/>
        <v>0.13382935790852615</v>
      </c>
    </row>
    <row r="17" spans="1:21" x14ac:dyDescent="0.35">
      <c r="A17" s="16">
        <v>46107</v>
      </c>
      <c r="B17" s="14">
        <v>0.82</v>
      </c>
      <c r="C17" s="67">
        <f t="shared" ca="1" si="10"/>
        <v>0.80618172781558906</v>
      </c>
      <c r="D17" s="15">
        <f t="shared" si="10"/>
        <v>628</v>
      </c>
      <c r="E17" s="34">
        <f t="shared" si="1"/>
        <v>8.7579617834394902E-3</v>
      </c>
      <c r="F17" s="34">
        <f t="shared" si="2"/>
        <v>1.4331210191082803E-2</v>
      </c>
      <c r="G17" s="34">
        <f t="shared" si="3"/>
        <v>2.9299363057324838E-2</v>
      </c>
      <c r="H17" s="34">
        <f t="shared" si="4"/>
        <v>7.9617834394904458E-3</v>
      </c>
      <c r="I17" s="34">
        <f t="shared" si="5"/>
        <v>7.9617834394904463E-4</v>
      </c>
      <c r="J17" s="34">
        <f t="shared" si="6"/>
        <v>0</v>
      </c>
      <c r="K17" s="34">
        <f t="shared" si="7"/>
        <v>1.2738853503184714E-2</v>
      </c>
      <c r="L17" s="14">
        <f t="shared" si="11"/>
        <v>7.3885350318471335E-2</v>
      </c>
      <c r="M17" s="34">
        <f t="shared" si="8"/>
        <v>4.7770700636942673E-3</v>
      </c>
      <c r="N17" s="34">
        <f t="shared" ref="N17:T17" si="13">IFERROR(N4/$D17,"")</f>
        <v>3.3625265392781316E-2</v>
      </c>
      <c r="O17" s="34">
        <f t="shared" si="13"/>
        <v>1.1013800424628449E-2</v>
      </c>
      <c r="P17" s="34">
        <f t="shared" si="13"/>
        <v>1.5923566878980893E-3</v>
      </c>
      <c r="Q17" s="34">
        <f t="shared" si="13"/>
        <v>2.1496815286624203E-3</v>
      </c>
      <c r="R17" s="34">
        <f t="shared" si="13"/>
        <v>0</v>
      </c>
      <c r="S17" s="34">
        <f t="shared" ca="1" si="13"/>
        <v>3.2906067879289631E-2</v>
      </c>
      <c r="T17" s="34">
        <f t="shared" ca="1" si="13"/>
        <v>3.3868679888985433E-2</v>
      </c>
      <c r="U17" s="34">
        <f t="shared" ca="1" si="9"/>
        <v>0.1199329218659396</v>
      </c>
    </row>
    <row r="18" spans="1:21" x14ac:dyDescent="0.35">
      <c r="A18" s="16">
        <v>46138</v>
      </c>
      <c r="B18" s="14">
        <v>0.83</v>
      </c>
      <c r="C18" s="67">
        <f t="shared" ca="1" si="10"/>
        <v>0.80122259184358724</v>
      </c>
      <c r="D18" s="15">
        <f t="shared" si="10"/>
        <v>836</v>
      </c>
      <c r="E18" s="34">
        <f t="shared" si="1"/>
        <v>1.2799043062200956E-2</v>
      </c>
      <c r="F18" s="34">
        <f t="shared" si="2"/>
        <v>5.7416267942583732E-3</v>
      </c>
      <c r="G18" s="34">
        <f t="shared" si="3"/>
        <v>3.4688995215311005E-2</v>
      </c>
      <c r="H18" s="34">
        <f t="shared" si="4"/>
        <v>4.7846889952153108E-3</v>
      </c>
      <c r="I18" s="34">
        <f t="shared" si="5"/>
        <v>0</v>
      </c>
      <c r="J18" s="34">
        <f t="shared" si="6"/>
        <v>0</v>
      </c>
      <c r="K18" s="34">
        <f t="shared" si="7"/>
        <v>0</v>
      </c>
      <c r="L18" s="14">
        <f t="shared" si="11"/>
        <v>5.8014354066985643E-2</v>
      </c>
      <c r="M18" s="34">
        <f t="shared" si="8"/>
        <v>2.8708133971291866E-3</v>
      </c>
      <c r="N18" s="34">
        <f t="shared" ref="N18:T18" si="14">IFERROR(N5/$D18,"")</f>
        <v>4.5773524720893147E-2</v>
      </c>
      <c r="O18" s="34">
        <f t="shared" si="14"/>
        <v>1.4174641148325359E-2</v>
      </c>
      <c r="P18" s="34">
        <f t="shared" si="14"/>
        <v>0</v>
      </c>
      <c r="Q18" s="34">
        <f t="shared" si="14"/>
        <v>1.4473684210526317E-2</v>
      </c>
      <c r="R18" s="34">
        <f t="shared" si="14"/>
        <v>0</v>
      </c>
      <c r="S18" s="34">
        <f t="shared" ca="1" si="14"/>
        <v>3.1807586986947918E-2</v>
      </c>
      <c r="T18" s="34">
        <f t="shared" ca="1" si="14"/>
        <v>3.1662803625605362E-2</v>
      </c>
      <c r="U18" s="34">
        <f t="shared" ca="1" si="9"/>
        <v>0.1407630540894273</v>
      </c>
    </row>
    <row r="19" spans="1:21" x14ac:dyDescent="0.35">
      <c r="A19" s="16">
        <v>46168</v>
      </c>
      <c r="B19" s="14">
        <v>0.83</v>
      </c>
      <c r="C19" s="67">
        <f t="shared" ca="1" si="10"/>
        <v>0.81094226851141449</v>
      </c>
      <c r="D19" s="15">
        <f t="shared" si="10"/>
        <v>672</v>
      </c>
      <c r="E19" s="34">
        <f t="shared" si="1"/>
        <v>9.6726190476190479E-3</v>
      </c>
      <c r="F19" s="34">
        <f t="shared" si="2"/>
        <v>1.7410714285714286E-2</v>
      </c>
      <c r="G19" s="34">
        <f t="shared" si="3"/>
        <v>4.2708333333333334E-2</v>
      </c>
      <c r="H19" s="34">
        <f t="shared" si="4"/>
        <v>5.9523809523809521E-3</v>
      </c>
      <c r="I19" s="34">
        <f t="shared" si="5"/>
        <v>2.232142857142857E-3</v>
      </c>
      <c r="J19" s="34">
        <f t="shared" si="6"/>
        <v>0</v>
      </c>
      <c r="K19" s="34">
        <f t="shared" si="7"/>
        <v>0</v>
      </c>
      <c r="L19" s="14">
        <f t="shared" si="11"/>
        <v>7.7976190476190491E-2</v>
      </c>
      <c r="M19" s="34">
        <f t="shared" si="8"/>
        <v>5.8035714285714288E-3</v>
      </c>
      <c r="N19" s="34">
        <f t="shared" ref="N19:T19" si="15">IFERROR(N6/$D19,"")</f>
        <v>3.6011904761904759E-2</v>
      </c>
      <c r="O19" s="34">
        <f t="shared" si="15"/>
        <v>6.8204365079365089E-3</v>
      </c>
      <c r="P19" s="34">
        <f t="shared" si="15"/>
        <v>2.728174603174603E-3</v>
      </c>
      <c r="Q19" s="34">
        <f t="shared" si="15"/>
        <v>0</v>
      </c>
      <c r="R19" s="34">
        <f t="shared" si="15"/>
        <v>0</v>
      </c>
      <c r="S19" s="34">
        <f t="shared" ca="1" si="15"/>
        <v>2.7351355642507721E-2</v>
      </c>
      <c r="T19" s="34">
        <f t="shared" ca="1" si="15"/>
        <v>3.2366098068299994E-2</v>
      </c>
      <c r="U19" s="34">
        <f t="shared" ca="1" si="9"/>
        <v>0.11108154101239501</v>
      </c>
    </row>
    <row r="20" spans="1:21" x14ac:dyDescent="0.35">
      <c r="A20" s="16">
        <v>46199</v>
      </c>
      <c r="B20" s="14">
        <v>0.83</v>
      </c>
      <c r="C20" s="67">
        <f t="shared" ca="1" si="10"/>
        <v>0.67195167055393579</v>
      </c>
      <c r="D20" s="15">
        <f t="shared" si="10"/>
        <v>672</v>
      </c>
      <c r="E20" s="34">
        <f t="shared" si="1"/>
        <v>1.3392857142857142E-2</v>
      </c>
      <c r="F20" s="34">
        <f t="shared" si="2"/>
        <v>1.011904761904762E-2</v>
      </c>
      <c r="G20" s="34">
        <f t="shared" si="3"/>
        <v>0.18005952380952381</v>
      </c>
      <c r="H20" s="34">
        <f t="shared" si="4"/>
        <v>0</v>
      </c>
      <c r="I20" s="34">
        <f t="shared" si="5"/>
        <v>0</v>
      </c>
      <c r="J20" s="34">
        <f t="shared" si="6"/>
        <v>0</v>
      </c>
      <c r="K20" s="34">
        <f t="shared" si="7"/>
        <v>0</v>
      </c>
      <c r="L20" s="14">
        <f t="shared" si="11"/>
        <v>0.20357142857142857</v>
      </c>
      <c r="M20" s="34">
        <f t="shared" si="8"/>
        <v>4.464285714285714E-3</v>
      </c>
      <c r="N20" s="34">
        <f t="shared" ref="N20:T20" si="16">IFERROR(N7/$D20,"")</f>
        <v>3.7251984126984126E-2</v>
      </c>
      <c r="O20" s="34">
        <f t="shared" si="16"/>
        <v>1.3839285714285715E-2</v>
      </c>
      <c r="P20" s="34">
        <f t="shared" si="16"/>
        <v>0</v>
      </c>
      <c r="Q20" s="34">
        <f t="shared" si="16"/>
        <v>0</v>
      </c>
      <c r="R20" s="34">
        <f t="shared" si="16"/>
        <v>0</v>
      </c>
      <c r="S20" s="34">
        <f t="shared" ca="1" si="16"/>
        <v>3.060137447359898E-2</v>
      </c>
      <c r="T20" s="34">
        <f t="shared" ca="1" si="16"/>
        <v>3.8319970845481048E-2</v>
      </c>
      <c r="U20" s="34">
        <f t="shared" ca="1" si="9"/>
        <v>0.12447690087463559</v>
      </c>
    </row>
    <row r="21" spans="1:21" x14ac:dyDescent="0.35">
      <c r="A21" s="16">
        <v>46229</v>
      </c>
      <c r="B21" s="14">
        <v>0.84</v>
      </c>
      <c r="C21" s="67">
        <f t="shared" ca="1" si="10"/>
        <v>0.74978626219227718</v>
      </c>
      <c r="D21" s="15">
        <f t="shared" si="10"/>
        <v>528</v>
      </c>
      <c r="E21" s="34">
        <f t="shared" si="1"/>
        <v>9.46969696969697E-3</v>
      </c>
      <c r="F21" s="34">
        <f t="shared" si="2"/>
        <v>1.6856060606060607E-2</v>
      </c>
      <c r="G21" s="34">
        <f t="shared" si="3"/>
        <v>4.5454545454545456E-2</v>
      </c>
      <c r="H21" s="34">
        <f t="shared" si="4"/>
        <v>4.734848484848485E-3</v>
      </c>
      <c r="I21" s="34">
        <f t="shared" si="5"/>
        <v>0</v>
      </c>
      <c r="J21" s="34">
        <f t="shared" si="6"/>
        <v>0</v>
      </c>
      <c r="K21" s="34">
        <f t="shared" si="7"/>
        <v>1.3257575757575758E-2</v>
      </c>
      <c r="L21" s="14">
        <f t="shared" si="11"/>
        <v>8.9772727272727268E-2</v>
      </c>
      <c r="M21" s="34">
        <f t="shared" si="8"/>
        <v>1.893939393939394E-3</v>
      </c>
      <c r="N21" s="34">
        <f t="shared" ref="N21:T21" si="17">IFERROR(N8/$D21,"")</f>
        <v>8.9772727272727268E-2</v>
      </c>
      <c r="O21" s="34">
        <f t="shared" si="17"/>
        <v>1.0890151515151516E-2</v>
      </c>
      <c r="P21" s="34">
        <f t="shared" si="17"/>
        <v>1.4204545454545455E-3</v>
      </c>
      <c r="Q21" s="34">
        <f t="shared" si="17"/>
        <v>0</v>
      </c>
      <c r="R21" s="34">
        <f t="shared" si="17"/>
        <v>0</v>
      </c>
      <c r="S21" s="34">
        <f t="shared" ca="1" si="17"/>
        <v>1.8347824376959761E-2</v>
      </c>
      <c r="T21" s="34">
        <f t="shared" ca="1" si="17"/>
        <v>3.8115913430763045E-2</v>
      </c>
      <c r="U21" s="34">
        <f t="shared" ca="1" si="9"/>
        <v>0.16044101053499552</v>
      </c>
    </row>
    <row r="22" spans="1:21" x14ac:dyDescent="0.35">
      <c r="A22" s="16">
        <v>46260</v>
      </c>
      <c r="B22" s="14">
        <v>0.84</v>
      </c>
      <c r="C22" s="67">
        <f t="shared" ca="1" si="10"/>
        <v>0.46315789473684205</v>
      </c>
      <c r="D22" s="15">
        <f t="shared" si="10"/>
        <v>192</v>
      </c>
      <c r="E22" s="34">
        <f t="shared" si="1"/>
        <v>0</v>
      </c>
      <c r="F22" s="34">
        <f t="shared" si="2"/>
        <v>0</v>
      </c>
      <c r="G22" s="34">
        <f t="shared" si="3"/>
        <v>0</v>
      </c>
      <c r="H22" s="34">
        <f t="shared" si="4"/>
        <v>0</v>
      </c>
      <c r="I22" s="34">
        <f t="shared" si="5"/>
        <v>0</v>
      </c>
      <c r="J22" s="34">
        <f t="shared" si="6"/>
        <v>0</v>
      </c>
      <c r="K22" s="34">
        <f t="shared" si="7"/>
        <v>0</v>
      </c>
      <c r="L22" s="14">
        <f t="shared" si="11"/>
        <v>0</v>
      </c>
      <c r="M22" s="34">
        <f t="shared" si="8"/>
        <v>0</v>
      </c>
      <c r="N22" s="34">
        <f t="shared" ref="N22:T22" si="18">IFERROR(N9/$D22,"")</f>
        <v>0</v>
      </c>
      <c r="O22" s="34">
        <f t="shared" si="18"/>
        <v>0</v>
      </c>
      <c r="P22" s="34">
        <f t="shared" si="18"/>
        <v>0</v>
      </c>
      <c r="Q22" s="34">
        <f t="shared" si="18"/>
        <v>0</v>
      </c>
      <c r="R22" s="34">
        <f t="shared" si="18"/>
        <v>0</v>
      </c>
      <c r="S22" s="34">
        <f t="shared" ca="1" si="18"/>
        <v>0.5368421052631579</v>
      </c>
      <c r="T22" s="34">
        <f t="shared" ca="1" si="18"/>
        <v>0</v>
      </c>
      <c r="U22" s="34">
        <f t="shared" ca="1" si="9"/>
        <v>0.5368421052631579</v>
      </c>
    </row>
    <row r="23" spans="1:21" x14ac:dyDescent="0.35">
      <c r="A23" s="16">
        <v>46291</v>
      </c>
      <c r="B23" s="14">
        <v>0.84</v>
      </c>
      <c r="C23" s="67">
        <f t="shared" ca="1" si="10"/>
        <v>0.69145084934558609</v>
      </c>
      <c r="D23" s="15">
        <f t="shared" si="10"/>
        <v>288</v>
      </c>
      <c r="E23" s="34">
        <f t="shared" si="1"/>
        <v>0</v>
      </c>
      <c r="F23" s="34">
        <f t="shared" si="2"/>
        <v>1.8229166666666668E-2</v>
      </c>
      <c r="G23" s="34">
        <f t="shared" si="3"/>
        <v>4.1666666666666664E-2</v>
      </c>
      <c r="H23" s="34">
        <f t="shared" si="4"/>
        <v>6.076388888888889E-3</v>
      </c>
      <c r="I23" s="34">
        <f t="shared" si="5"/>
        <v>0</v>
      </c>
      <c r="J23" s="34">
        <f t="shared" si="6"/>
        <v>0</v>
      </c>
      <c r="K23" s="34">
        <f t="shared" si="7"/>
        <v>2.4305555555555556E-2</v>
      </c>
      <c r="L23" s="14">
        <f t="shared" si="11"/>
        <v>9.0277777777777776E-2</v>
      </c>
      <c r="M23" s="34">
        <f t="shared" si="8"/>
        <v>3.0497685185185183E-2</v>
      </c>
      <c r="N23" s="34">
        <f t="shared" ref="N23:T23" si="19">IFERROR(N10/$D23,"")</f>
        <v>5.9259259259259268E-2</v>
      </c>
      <c r="O23" s="34">
        <f t="shared" si="19"/>
        <v>1.3310185185185184E-2</v>
      </c>
      <c r="P23" s="34">
        <f t="shared" si="19"/>
        <v>5.7870370370370376E-3</v>
      </c>
      <c r="Q23" s="34">
        <f t="shared" si="19"/>
        <v>0</v>
      </c>
      <c r="R23" s="34">
        <f t="shared" si="19"/>
        <v>1.736111111111111E-3</v>
      </c>
      <c r="S23" s="34">
        <f t="shared" ca="1" si="19"/>
        <v>7.0738540299160685E-2</v>
      </c>
      <c r="T23" s="34">
        <f t="shared" ca="1" si="19"/>
        <v>3.6942554799697651E-2</v>
      </c>
      <c r="U23" s="34">
        <f t="shared" ca="1" si="9"/>
        <v>0.21827137287663612</v>
      </c>
    </row>
    <row r="24" spans="1:21" x14ac:dyDescent="0.35">
      <c r="A24" s="16">
        <v>46321</v>
      </c>
      <c r="B24" s="14">
        <v>0.85</v>
      </c>
      <c r="C24" s="67" t="str">
        <f t="shared" ca="1" si="10"/>
        <v/>
      </c>
      <c r="D24" s="15">
        <f t="shared" si="10"/>
        <v>0</v>
      </c>
      <c r="E24" s="34" t="str">
        <f t="shared" si="1"/>
        <v/>
      </c>
      <c r="F24" s="34" t="str">
        <f t="shared" si="2"/>
        <v/>
      </c>
      <c r="G24" s="34" t="str">
        <f t="shared" si="3"/>
        <v/>
      </c>
      <c r="H24" s="34" t="str">
        <f t="shared" si="4"/>
        <v/>
      </c>
      <c r="I24" s="34" t="str">
        <f t="shared" si="5"/>
        <v/>
      </c>
      <c r="J24" s="34" t="str">
        <f t="shared" si="6"/>
        <v/>
      </c>
      <c r="K24" s="34" t="str">
        <f t="shared" si="7"/>
        <v/>
      </c>
      <c r="L24" s="14">
        <f t="shared" si="11"/>
        <v>0</v>
      </c>
      <c r="M24" s="34" t="str">
        <f t="shared" si="8"/>
        <v/>
      </c>
      <c r="N24" s="34" t="str">
        <f t="shared" ref="N24:T24" si="20">IFERROR(N11/$D24,"")</f>
        <v/>
      </c>
      <c r="O24" s="34" t="str">
        <f t="shared" si="20"/>
        <v/>
      </c>
      <c r="P24" s="34" t="str">
        <f t="shared" si="20"/>
        <v/>
      </c>
      <c r="Q24" s="34" t="str">
        <f t="shared" si="20"/>
        <v/>
      </c>
      <c r="R24" s="34" t="str">
        <f t="shared" si="20"/>
        <v/>
      </c>
      <c r="S24" s="34" t="str">
        <f t="shared" ca="1" si="20"/>
        <v/>
      </c>
      <c r="T24" s="34" t="str">
        <f t="shared" ca="1" si="20"/>
        <v/>
      </c>
      <c r="U24" s="34">
        <f t="shared" ca="1" si="9"/>
        <v>0</v>
      </c>
    </row>
    <row r="25" spans="1:21" x14ac:dyDescent="0.35">
      <c r="A25" s="16">
        <v>46352</v>
      </c>
      <c r="B25" s="14">
        <v>0.85</v>
      </c>
      <c r="C25" s="67" t="str">
        <f t="shared" ca="1" si="10"/>
        <v/>
      </c>
      <c r="D25" s="15">
        <f t="shared" si="10"/>
        <v>0</v>
      </c>
      <c r="E25" s="34" t="str">
        <f t="shared" si="1"/>
        <v/>
      </c>
      <c r="F25" s="34" t="str">
        <f t="shared" si="2"/>
        <v/>
      </c>
      <c r="G25" s="34" t="str">
        <f t="shared" si="3"/>
        <v/>
      </c>
      <c r="H25" s="34" t="str">
        <f t="shared" si="4"/>
        <v/>
      </c>
      <c r="I25" s="34" t="str">
        <f t="shared" si="5"/>
        <v/>
      </c>
      <c r="J25" s="34" t="str">
        <f t="shared" si="6"/>
        <v/>
      </c>
      <c r="K25" s="34" t="str">
        <f t="shared" si="7"/>
        <v/>
      </c>
      <c r="L25" s="14">
        <f t="shared" si="11"/>
        <v>0</v>
      </c>
      <c r="M25" s="34" t="str">
        <f t="shared" si="8"/>
        <v/>
      </c>
      <c r="N25" s="34" t="str">
        <f t="shared" ref="N25:T25" si="21">IFERROR(N12/$D25,"")</f>
        <v/>
      </c>
      <c r="O25" s="34" t="str">
        <f t="shared" si="21"/>
        <v/>
      </c>
      <c r="P25" s="34" t="str">
        <f t="shared" si="21"/>
        <v/>
      </c>
      <c r="Q25" s="34" t="str">
        <f t="shared" si="21"/>
        <v/>
      </c>
      <c r="R25" s="34" t="str">
        <f t="shared" si="21"/>
        <v/>
      </c>
      <c r="S25" s="34" t="str">
        <f t="shared" ca="1" si="21"/>
        <v/>
      </c>
      <c r="T25" s="34" t="str">
        <f t="shared" ca="1" si="21"/>
        <v/>
      </c>
      <c r="U25" s="34">
        <f t="shared" ca="1" si="9"/>
        <v>0</v>
      </c>
    </row>
    <row r="26" spans="1:21" x14ac:dyDescent="0.35">
      <c r="A26" s="16">
        <v>46382</v>
      </c>
      <c r="B26" s="14">
        <v>0.85</v>
      </c>
      <c r="C26" s="67" t="str">
        <f t="shared" ca="1" si="10"/>
        <v/>
      </c>
      <c r="D26" s="15">
        <f t="shared" si="10"/>
        <v>0</v>
      </c>
      <c r="E26" s="34" t="str">
        <f t="shared" si="1"/>
        <v/>
      </c>
      <c r="F26" s="34" t="str">
        <f t="shared" si="2"/>
        <v/>
      </c>
      <c r="G26" s="34" t="str">
        <f t="shared" si="3"/>
        <v/>
      </c>
      <c r="H26" s="34" t="str">
        <f t="shared" si="4"/>
        <v/>
      </c>
      <c r="I26" s="34" t="str">
        <f t="shared" si="5"/>
        <v/>
      </c>
      <c r="J26" s="34" t="str">
        <f t="shared" si="6"/>
        <v/>
      </c>
      <c r="K26" s="34" t="str">
        <f t="shared" si="7"/>
        <v/>
      </c>
      <c r="L26" s="14">
        <f t="shared" si="11"/>
        <v>0</v>
      </c>
      <c r="M26" s="34" t="str">
        <f t="shared" si="8"/>
        <v/>
      </c>
      <c r="N26" s="34" t="str">
        <f t="shared" ref="N26:T26" si="22">IFERROR(N13/$D26,"")</f>
        <v/>
      </c>
      <c r="O26" s="34" t="str">
        <f t="shared" si="22"/>
        <v/>
      </c>
      <c r="P26" s="34" t="str">
        <f t="shared" si="22"/>
        <v/>
      </c>
      <c r="Q26" s="34" t="str">
        <f t="shared" si="22"/>
        <v/>
      </c>
      <c r="R26" s="34" t="str">
        <f t="shared" si="22"/>
        <v/>
      </c>
      <c r="S26" s="34" t="str">
        <f t="shared" ca="1" si="22"/>
        <v/>
      </c>
      <c r="T26" s="34" t="str">
        <f t="shared" ca="1" si="22"/>
        <v/>
      </c>
      <c r="U26" s="34">
        <f t="shared" ca="1" si="9"/>
        <v>0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45AA1-61A1-4D5F-BB87-F9D92FB079CC}">
  <sheetPr codeName="Sheet3"/>
  <dimension ref="A1:Y88"/>
  <sheetViews>
    <sheetView showGridLines="0" workbookViewId="0">
      <selection activeCell="B12" sqref="B12"/>
    </sheetView>
  </sheetViews>
  <sheetFormatPr defaultRowHeight="14.5" x14ac:dyDescent="0.35"/>
  <cols>
    <col min="1" max="1" width="46.54296875" bestFit="1" customWidth="1"/>
    <col min="2" max="2" width="19.1796875" bestFit="1" customWidth="1"/>
    <col min="3" max="3" width="20.1796875" bestFit="1" customWidth="1"/>
    <col min="4" max="4" width="10.1796875" bestFit="1" customWidth="1"/>
    <col min="5" max="5" width="8.81640625" bestFit="1" customWidth="1"/>
    <col min="6" max="6" width="10.26953125" bestFit="1" customWidth="1"/>
    <col min="7" max="7" width="12" bestFit="1" customWidth="1"/>
    <col min="8" max="8" width="29.26953125" bestFit="1" customWidth="1"/>
    <col min="9" max="9" width="10" bestFit="1" customWidth="1"/>
    <col min="10" max="10" width="14.81640625" bestFit="1" customWidth="1"/>
    <col min="11" max="11" width="11" bestFit="1" customWidth="1"/>
    <col min="12" max="12" width="18.1796875" bestFit="1" customWidth="1"/>
    <col min="13" max="13" width="11.7265625" bestFit="1" customWidth="1"/>
    <col min="14" max="14" width="22.54296875" bestFit="1" customWidth="1"/>
    <col min="15" max="15" width="24.54296875" bestFit="1" customWidth="1"/>
    <col min="16" max="16" width="9.453125" bestFit="1" customWidth="1"/>
    <col min="17" max="17" width="20.81640625" bestFit="1" customWidth="1"/>
    <col min="18" max="18" width="15.453125" bestFit="1" customWidth="1"/>
    <col min="19" max="19" width="9.26953125" bestFit="1" customWidth="1"/>
    <col min="20" max="20" width="17.1796875" bestFit="1" customWidth="1"/>
    <col min="21" max="21" width="12.453125" bestFit="1" customWidth="1"/>
    <col min="22" max="22" width="18.81640625" bestFit="1" customWidth="1"/>
    <col min="24" max="24" width="12.54296875" bestFit="1" customWidth="1"/>
    <col min="25" max="25" width="19.1796875" bestFit="1" customWidth="1"/>
    <col min="26" max="26" width="20" bestFit="1" customWidth="1"/>
  </cols>
  <sheetData>
    <row r="1" spans="1:25" x14ac:dyDescent="0.35">
      <c r="E1" s="63" t="s">
        <v>353</v>
      </c>
      <c r="F1" t="s">
        <v>362</v>
      </c>
    </row>
    <row r="2" spans="1:25" x14ac:dyDescent="0.35">
      <c r="A2" s="63" t="s">
        <v>12</v>
      </c>
      <c r="B2" t="s">
        <v>362</v>
      </c>
      <c r="U2" s="63" t="s">
        <v>363</v>
      </c>
      <c r="V2" t="s">
        <v>364</v>
      </c>
    </row>
    <row r="3" spans="1:25" x14ac:dyDescent="0.35">
      <c r="A3" s="63" t="s">
        <v>46</v>
      </c>
      <c r="B3" t="s">
        <v>365</v>
      </c>
      <c r="E3" t="s">
        <v>366</v>
      </c>
      <c r="F3" t="s">
        <v>367</v>
      </c>
      <c r="G3" t="s">
        <v>368</v>
      </c>
      <c r="H3" t="s">
        <v>369</v>
      </c>
      <c r="I3" t="s">
        <v>370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P3" t="s">
        <v>377</v>
      </c>
      <c r="Q3" t="s">
        <v>378</v>
      </c>
      <c r="R3" t="s">
        <v>379</v>
      </c>
      <c r="S3" t="s">
        <v>380</v>
      </c>
      <c r="U3" s="64" t="s">
        <v>106</v>
      </c>
      <c r="V3" s="13">
        <v>1.0655712896825391</v>
      </c>
    </row>
    <row r="4" spans="1:25" x14ac:dyDescent="0.35">
      <c r="E4" s="13">
        <v>0.40212554505721071</v>
      </c>
      <c r="F4" s="3">
        <v>0.25113803281447056</v>
      </c>
      <c r="G4" s="13">
        <v>5.0287608016886115E-2</v>
      </c>
      <c r="H4" s="13">
        <v>8.1374922774367267E-2</v>
      </c>
      <c r="I4" s="3">
        <v>0.31437203506826267</v>
      </c>
      <c r="J4" s="3">
        <v>8.4746080538242036E-2</v>
      </c>
      <c r="K4" s="3">
        <v>3.1140775692778767E-2</v>
      </c>
      <c r="L4" s="13">
        <v>7.1794208394411169E-2</v>
      </c>
      <c r="M4" s="13">
        <v>3.0283212010919014E-3</v>
      </c>
      <c r="N4" s="13">
        <v>0</v>
      </c>
      <c r="O4" s="13">
        <v>3.345911582792465E-2</v>
      </c>
      <c r="P4" s="3">
        <v>1.0977472323013724E-2</v>
      </c>
      <c r="Q4" s="3">
        <v>3.8413906279729272E-2</v>
      </c>
      <c r="R4" s="3">
        <v>3.7313432835820895E-3</v>
      </c>
      <c r="S4" s="3">
        <v>-24.346687799181957</v>
      </c>
      <c r="U4" s="64" t="s">
        <v>108</v>
      </c>
      <c r="V4" s="13">
        <v>0.80311448597820312</v>
      </c>
      <c r="X4" s="63" t="s">
        <v>46</v>
      </c>
      <c r="Y4" t="s">
        <v>50</v>
      </c>
    </row>
    <row r="5" spans="1:25" x14ac:dyDescent="0.35">
      <c r="A5" s="63" t="s">
        <v>363</v>
      </c>
      <c r="B5" t="s">
        <v>381</v>
      </c>
      <c r="C5" t="s">
        <v>382</v>
      </c>
      <c r="U5" s="64" t="s">
        <v>383</v>
      </c>
      <c r="V5" s="13">
        <v>0.9358173642556763</v>
      </c>
    </row>
    <row r="6" spans="1:25" x14ac:dyDescent="0.35">
      <c r="A6" s="64" t="s">
        <v>141</v>
      </c>
      <c r="B6">
        <v>1760</v>
      </c>
      <c r="C6" s="65">
        <v>0.10772409289121979</v>
      </c>
      <c r="E6" s="68" t="str">
        <f t="shared" ref="E6:S6" si="0">E3</f>
        <v>Santation</v>
      </c>
      <c r="F6" s="68" t="str">
        <f t="shared" si="0"/>
        <v xml:space="preserve"> Qulity Loss</v>
      </c>
      <c r="G6" s="68" t="str">
        <f t="shared" si="0"/>
        <v xml:space="preserve"> Changeovars</v>
      </c>
      <c r="H6" s="68" t="str">
        <f t="shared" si="0"/>
        <v>Planed Autonomous Maintenance</v>
      </c>
      <c r="I6" s="68" t="str">
        <f t="shared" si="0"/>
        <v>Brakdowns</v>
      </c>
      <c r="J6" s="68" t="str">
        <f t="shared" si="0"/>
        <v>Operational Loss</v>
      </c>
      <c r="K6" s="68" t="str">
        <f t="shared" si="0"/>
        <v xml:space="preserve"> Minor Stops</v>
      </c>
      <c r="L6" s="68" t="str">
        <f t="shared" si="0"/>
        <v>Planed Maintenance</v>
      </c>
      <c r="M6" s="68" t="str">
        <f t="shared" si="0"/>
        <v>Planed Stops</v>
      </c>
      <c r="N6" s="68" t="str">
        <f t="shared" si="0"/>
        <v>Consumables replacment</v>
      </c>
      <c r="O6" s="68" t="str">
        <f t="shared" si="0"/>
        <v>Sum of Start and Finish Prod</v>
      </c>
      <c r="P6" s="68" t="str">
        <f t="shared" si="0"/>
        <v>Line Delay</v>
      </c>
      <c r="Q6" s="68" t="str">
        <f t="shared" si="0"/>
        <v>Labor Management Loss</v>
      </c>
      <c r="R6" s="68" t="str">
        <f t="shared" si="0"/>
        <v>Material Shortage</v>
      </c>
      <c r="S6" s="68" t="str">
        <f t="shared" si="0"/>
        <v>Speed Los</v>
      </c>
      <c r="X6" s="63" t="s">
        <v>363</v>
      </c>
      <c r="Y6" t="s">
        <v>381</v>
      </c>
    </row>
    <row r="7" spans="1:25" x14ac:dyDescent="0.35">
      <c r="A7" s="64" t="s">
        <v>189</v>
      </c>
      <c r="B7">
        <v>930</v>
      </c>
      <c r="C7" s="65">
        <v>0.16464648288487568</v>
      </c>
      <c r="E7" s="68">
        <f t="shared" ref="E7:S7" si="1">E4</f>
        <v>0.40212554505721071</v>
      </c>
      <c r="F7" s="68">
        <f t="shared" si="1"/>
        <v>0.25113803281447056</v>
      </c>
      <c r="G7" s="68">
        <f t="shared" si="1"/>
        <v>5.0287608016886115E-2</v>
      </c>
      <c r="H7" s="68">
        <f t="shared" si="1"/>
        <v>8.1374922774367267E-2</v>
      </c>
      <c r="I7" s="68">
        <f t="shared" si="1"/>
        <v>0.31437203506826267</v>
      </c>
      <c r="J7" s="68">
        <f t="shared" si="1"/>
        <v>8.4746080538242036E-2</v>
      </c>
      <c r="K7" s="68">
        <f t="shared" si="1"/>
        <v>3.1140775692778767E-2</v>
      </c>
      <c r="L7" s="68">
        <f t="shared" si="1"/>
        <v>7.1794208394411169E-2</v>
      </c>
      <c r="M7" s="68">
        <f t="shared" si="1"/>
        <v>3.0283212010919014E-3</v>
      </c>
      <c r="N7" s="68">
        <f t="shared" si="1"/>
        <v>0</v>
      </c>
      <c r="O7" s="68">
        <f t="shared" si="1"/>
        <v>3.345911582792465E-2</v>
      </c>
      <c r="P7" s="68">
        <f t="shared" si="1"/>
        <v>1.0977472323013724E-2</v>
      </c>
      <c r="Q7" s="68">
        <f t="shared" si="1"/>
        <v>3.8413906279729272E-2</v>
      </c>
      <c r="R7" s="68">
        <f t="shared" si="1"/>
        <v>3.7313432835820895E-3</v>
      </c>
      <c r="S7" s="68">
        <f t="shared" si="1"/>
        <v>-24.346687799181957</v>
      </c>
      <c r="X7" s="64" t="s">
        <v>40</v>
      </c>
      <c r="Y7">
        <v>4225</v>
      </c>
    </row>
    <row r="8" spans="1:25" x14ac:dyDescent="0.35">
      <c r="A8" s="64" t="s">
        <v>155</v>
      </c>
      <c r="B8">
        <v>751</v>
      </c>
      <c r="C8" s="65">
        <v>0.21061284297652685</v>
      </c>
      <c r="P8" s="13"/>
      <c r="X8" s="64" t="s">
        <v>25</v>
      </c>
      <c r="Y8">
        <v>1601</v>
      </c>
    </row>
    <row r="9" spans="1:25" x14ac:dyDescent="0.35">
      <c r="A9" s="64" t="s">
        <v>289</v>
      </c>
      <c r="B9">
        <v>750</v>
      </c>
      <c r="C9" s="65">
        <v>0.2565179961972171</v>
      </c>
      <c r="P9" s="13"/>
      <c r="X9" s="64" t="s">
        <v>115</v>
      </c>
      <c r="Y9">
        <v>1335</v>
      </c>
    </row>
    <row r="10" spans="1:25" x14ac:dyDescent="0.35">
      <c r="A10" s="64" t="s">
        <v>184</v>
      </c>
      <c r="B10">
        <v>690</v>
      </c>
      <c r="C10" s="65">
        <v>0.29875073716025213</v>
      </c>
      <c r="P10" s="3"/>
      <c r="X10" s="64" t="s">
        <v>129</v>
      </c>
      <c r="Y10">
        <v>1325</v>
      </c>
    </row>
    <row r="11" spans="1:25" x14ac:dyDescent="0.35">
      <c r="A11" s="64" t="s">
        <v>144</v>
      </c>
      <c r="B11">
        <v>660</v>
      </c>
      <c r="C11" s="65">
        <v>0.33914727199445954</v>
      </c>
      <c r="P11" s="13"/>
      <c r="X11" s="64" t="s">
        <v>136</v>
      </c>
      <c r="Y11">
        <v>1310</v>
      </c>
    </row>
    <row r="12" spans="1:25" x14ac:dyDescent="0.35">
      <c r="A12" s="64" t="s">
        <v>270</v>
      </c>
      <c r="B12">
        <v>620</v>
      </c>
      <c r="C12" s="65">
        <v>0.37709553199023016</v>
      </c>
      <c r="P12" s="13"/>
      <c r="X12" s="64" t="s">
        <v>22</v>
      </c>
      <c r="Y12">
        <v>1152</v>
      </c>
    </row>
    <row r="13" spans="1:25" x14ac:dyDescent="0.35">
      <c r="A13" s="64" t="s">
        <v>254</v>
      </c>
      <c r="B13">
        <v>600</v>
      </c>
      <c r="C13" s="65">
        <v>0.41381965456678238</v>
      </c>
      <c r="P13" s="13"/>
      <c r="X13" s="64" t="s">
        <v>33</v>
      </c>
      <c r="Y13">
        <v>1085.0349999999999</v>
      </c>
    </row>
    <row r="14" spans="1:25" x14ac:dyDescent="0.35">
      <c r="A14" s="64" t="s">
        <v>169</v>
      </c>
      <c r="B14">
        <v>540</v>
      </c>
      <c r="C14" s="65">
        <v>0.44687136488567936</v>
      </c>
      <c r="P14" s="13"/>
      <c r="X14" s="64" t="s">
        <v>167</v>
      </c>
      <c r="Y14">
        <v>900</v>
      </c>
    </row>
    <row r="15" spans="1:25" x14ac:dyDescent="0.35">
      <c r="A15" s="64" t="s">
        <v>31</v>
      </c>
      <c r="B15">
        <v>510</v>
      </c>
      <c r="C15" s="65">
        <v>0.47808686907574871</v>
      </c>
      <c r="P15" s="3"/>
      <c r="X15" s="64" t="s">
        <v>186</v>
      </c>
      <c r="Y15">
        <v>830</v>
      </c>
    </row>
    <row r="16" spans="1:25" x14ac:dyDescent="0.35">
      <c r="A16" s="64" t="s">
        <v>38</v>
      </c>
      <c r="B16">
        <v>410</v>
      </c>
      <c r="C16" s="65">
        <v>0.50318168616972603</v>
      </c>
      <c r="P16" s="3"/>
      <c r="X16" s="64" t="s">
        <v>18</v>
      </c>
      <c r="Y16">
        <v>780</v>
      </c>
    </row>
    <row r="17" spans="1:25" x14ac:dyDescent="0.35">
      <c r="A17" s="64" t="s">
        <v>228</v>
      </c>
      <c r="B17">
        <v>395</v>
      </c>
      <c r="C17" s="65">
        <v>0.52735840019928959</v>
      </c>
      <c r="P17" s="3"/>
      <c r="X17" s="64" t="s">
        <v>29</v>
      </c>
      <c r="Y17">
        <v>730</v>
      </c>
    </row>
    <row r="18" spans="1:25" x14ac:dyDescent="0.35">
      <c r="A18" s="64" t="s">
        <v>211</v>
      </c>
      <c r="B18">
        <v>390</v>
      </c>
      <c r="C18" s="65">
        <v>0.55122907987404846</v>
      </c>
      <c r="P18" s="3"/>
      <c r="X18" s="64" t="s">
        <v>161</v>
      </c>
      <c r="Y18">
        <v>580</v>
      </c>
    </row>
    <row r="19" spans="1:25" x14ac:dyDescent="0.35">
      <c r="A19" s="64" t="s">
        <v>233</v>
      </c>
      <c r="B19">
        <v>360</v>
      </c>
      <c r="C19" s="65">
        <v>0.57326355341997981</v>
      </c>
      <c r="P19" s="3"/>
      <c r="X19" s="64" t="s">
        <v>226</v>
      </c>
      <c r="Y19">
        <v>395</v>
      </c>
    </row>
    <row r="20" spans="1:25" x14ac:dyDescent="0.35">
      <c r="A20" s="64" t="s">
        <v>149</v>
      </c>
      <c r="B20">
        <v>357</v>
      </c>
      <c r="C20" s="65">
        <v>0.59511440635302837</v>
      </c>
      <c r="P20" s="3"/>
      <c r="X20" s="64" t="s">
        <v>176</v>
      </c>
      <c r="Y20">
        <v>90</v>
      </c>
    </row>
    <row r="21" spans="1:25" x14ac:dyDescent="0.35">
      <c r="A21" s="64" t="s">
        <v>151</v>
      </c>
      <c r="B21">
        <v>355</v>
      </c>
      <c r="C21" s="65">
        <v>0.61684284554415514</v>
      </c>
      <c r="X21" s="64" t="s">
        <v>383</v>
      </c>
      <c r="Y21">
        <v>16338.035</v>
      </c>
    </row>
    <row r="22" spans="1:25" x14ac:dyDescent="0.35">
      <c r="A22" s="64" t="s">
        <v>290</v>
      </c>
      <c r="B22">
        <v>330</v>
      </c>
      <c r="C22" s="65">
        <v>0.63704111296125876</v>
      </c>
    </row>
    <row r="23" spans="1:25" x14ac:dyDescent="0.35">
      <c r="A23" s="64" t="s">
        <v>182</v>
      </c>
      <c r="B23">
        <v>305</v>
      </c>
      <c r="C23" s="65">
        <v>0.65570920860433957</v>
      </c>
    </row>
    <row r="24" spans="1:25" x14ac:dyDescent="0.35">
      <c r="A24" s="64" t="s">
        <v>44</v>
      </c>
      <c r="B24">
        <v>300</v>
      </c>
      <c r="C24" s="65">
        <v>0.67407126989261557</v>
      </c>
    </row>
    <row r="25" spans="1:25" x14ac:dyDescent="0.35">
      <c r="A25" s="64" t="s">
        <v>42</v>
      </c>
      <c r="B25">
        <v>255</v>
      </c>
      <c r="C25" s="65">
        <v>0.6896790219876503</v>
      </c>
    </row>
    <row r="26" spans="1:25" x14ac:dyDescent="0.35">
      <c r="A26" s="64" t="s">
        <v>288</v>
      </c>
      <c r="B26">
        <v>240</v>
      </c>
      <c r="C26" s="65">
        <v>0.70436867101827116</v>
      </c>
    </row>
    <row r="27" spans="1:25" x14ac:dyDescent="0.35">
      <c r="A27" s="64" t="s">
        <v>213</v>
      </c>
      <c r="B27">
        <v>240</v>
      </c>
      <c r="C27" s="65">
        <v>0.71905832004889203</v>
      </c>
    </row>
    <row r="28" spans="1:25" x14ac:dyDescent="0.35">
      <c r="A28" s="64" t="s">
        <v>209</v>
      </c>
      <c r="B28">
        <v>215</v>
      </c>
      <c r="C28" s="65">
        <v>0.73221779730548997</v>
      </c>
    </row>
    <row r="29" spans="1:25" x14ac:dyDescent="0.35">
      <c r="A29" s="64" t="s">
        <v>27</v>
      </c>
      <c r="B29">
        <v>195</v>
      </c>
      <c r="C29" s="65">
        <v>0.74415313714286935</v>
      </c>
    </row>
    <row r="30" spans="1:25" x14ac:dyDescent="0.35">
      <c r="A30" s="64" t="s">
        <v>163</v>
      </c>
      <c r="B30">
        <v>190</v>
      </c>
      <c r="C30" s="65">
        <v>0.75578244262544425</v>
      </c>
    </row>
    <row r="31" spans="1:25" x14ac:dyDescent="0.35">
      <c r="A31" s="64" t="s">
        <v>159</v>
      </c>
      <c r="B31">
        <v>180</v>
      </c>
      <c r="C31" s="65">
        <v>0.76679967939840987</v>
      </c>
    </row>
    <row r="32" spans="1:25" x14ac:dyDescent="0.35">
      <c r="A32" s="64" t="s">
        <v>271</v>
      </c>
      <c r="B32">
        <v>180</v>
      </c>
      <c r="C32" s="65">
        <v>0.77781691617137561</v>
      </c>
    </row>
    <row r="33" spans="1:3" x14ac:dyDescent="0.35">
      <c r="A33" s="64" t="s">
        <v>156</v>
      </c>
      <c r="B33">
        <v>180</v>
      </c>
      <c r="C33" s="65">
        <v>0.78883415294434123</v>
      </c>
    </row>
    <row r="34" spans="1:3" x14ac:dyDescent="0.35">
      <c r="A34" s="64" t="s">
        <v>223</v>
      </c>
      <c r="B34">
        <v>180</v>
      </c>
      <c r="C34" s="65">
        <v>0.79985138971730685</v>
      </c>
    </row>
    <row r="35" spans="1:3" x14ac:dyDescent="0.35">
      <c r="A35" s="64" t="s">
        <v>201</v>
      </c>
      <c r="B35">
        <v>150</v>
      </c>
      <c r="C35" s="65">
        <v>0.80903242036144496</v>
      </c>
    </row>
    <row r="36" spans="1:3" x14ac:dyDescent="0.35">
      <c r="A36" s="64" t="s">
        <v>138</v>
      </c>
      <c r="B36">
        <v>140</v>
      </c>
      <c r="C36" s="65">
        <v>0.81760138229597379</v>
      </c>
    </row>
    <row r="37" spans="1:3" x14ac:dyDescent="0.35">
      <c r="A37" s="64" t="s">
        <v>196</v>
      </c>
      <c r="B37">
        <v>120</v>
      </c>
      <c r="C37" s="65">
        <v>0.82494620681128428</v>
      </c>
    </row>
    <row r="38" spans="1:3" x14ac:dyDescent="0.35">
      <c r="A38" s="64" t="s">
        <v>192</v>
      </c>
      <c r="B38">
        <v>120</v>
      </c>
      <c r="C38" s="65">
        <v>0.83229103132659465</v>
      </c>
    </row>
    <row r="39" spans="1:3" x14ac:dyDescent="0.35">
      <c r="A39" s="64" t="s">
        <v>221</v>
      </c>
      <c r="B39">
        <v>120</v>
      </c>
      <c r="C39" s="65">
        <v>0.83963585584190514</v>
      </c>
    </row>
    <row r="40" spans="1:3" x14ac:dyDescent="0.35">
      <c r="A40" s="64" t="s">
        <v>239</v>
      </c>
      <c r="B40">
        <v>120</v>
      </c>
      <c r="C40" s="65">
        <v>0.84698068035721552</v>
      </c>
    </row>
    <row r="41" spans="1:3" x14ac:dyDescent="0.35">
      <c r="A41" s="64" t="s">
        <v>249</v>
      </c>
      <c r="B41">
        <v>120</v>
      </c>
      <c r="C41" s="65">
        <v>0.85432550487252601</v>
      </c>
    </row>
    <row r="42" spans="1:3" x14ac:dyDescent="0.35">
      <c r="A42" s="64" t="s">
        <v>235</v>
      </c>
      <c r="B42">
        <v>120</v>
      </c>
      <c r="C42" s="65">
        <v>0.86167032938783639</v>
      </c>
    </row>
    <row r="43" spans="1:3" x14ac:dyDescent="0.35">
      <c r="A43" s="64" t="s">
        <v>20</v>
      </c>
      <c r="B43">
        <v>115</v>
      </c>
      <c r="C43" s="65">
        <v>0.86870911954834229</v>
      </c>
    </row>
    <row r="44" spans="1:3" x14ac:dyDescent="0.35">
      <c r="A44" s="64" t="s">
        <v>197</v>
      </c>
      <c r="B44">
        <v>110</v>
      </c>
      <c r="C44" s="65">
        <v>0.8754418753540435</v>
      </c>
    </row>
    <row r="45" spans="1:3" x14ac:dyDescent="0.35">
      <c r="A45" s="64" t="s">
        <v>250</v>
      </c>
      <c r="B45">
        <v>110</v>
      </c>
      <c r="C45" s="65">
        <v>0.8821746311597447</v>
      </c>
    </row>
    <row r="46" spans="1:3" x14ac:dyDescent="0.35">
      <c r="A46" s="64" t="s">
        <v>242</v>
      </c>
      <c r="B46">
        <v>90</v>
      </c>
      <c r="C46" s="65">
        <v>0.88768324954622757</v>
      </c>
    </row>
    <row r="47" spans="1:3" x14ac:dyDescent="0.35">
      <c r="A47" s="64" t="s">
        <v>258</v>
      </c>
      <c r="B47">
        <v>90</v>
      </c>
      <c r="C47" s="65">
        <v>0.89319186793271044</v>
      </c>
    </row>
    <row r="48" spans="1:3" x14ac:dyDescent="0.35">
      <c r="A48" s="64" t="s">
        <v>218</v>
      </c>
      <c r="B48">
        <v>90</v>
      </c>
      <c r="C48" s="65">
        <v>0.89870048631919319</v>
      </c>
    </row>
    <row r="49" spans="1:3" x14ac:dyDescent="0.35">
      <c r="A49" s="64" t="s">
        <v>282</v>
      </c>
      <c r="B49">
        <v>90</v>
      </c>
      <c r="C49" s="65">
        <v>0.90420910470567606</v>
      </c>
    </row>
    <row r="50" spans="1:3" x14ac:dyDescent="0.35">
      <c r="A50" s="64" t="s">
        <v>178</v>
      </c>
      <c r="B50">
        <v>90</v>
      </c>
      <c r="C50" s="65">
        <v>0.90971772309215893</v>
      </c>
    </row>
    <row r="51" spans="1:3" x14ac:dyDescent="0.35">
      <c r="A51" s="64" t="s">
        <v>195</v>
      </c>
      <c r="B51">
        <v>90</v>
      </c>
      <c r="C51" s="65">
        <v>0.91522634147864168</v>
      </c>
    </row>
    <row r="52" spans="1:3" x14ac:dyDescent="0.35">
      <c r="A52" s="64" t="s">
        <v>253</v>
      </c>
      <c r="B52">
        <v>90</v>
      </c>
      <c r="C52" s="65">
        <v>0.92073495986512455</v>
      </c>
    </row>
    <row r="53" spans="1:3" x14ac:dyDescent="0.35">
      <c r="A53" s="64" t="s">
        <v>122</v>
      </c>
      <c r="B53">
        <v>75</v>
      </c>
      <c r="C53" s="65">
        <v>0.92532547518719355</v>
      </c>
    </row>
    <row r="54" spans="1:3" x14ac:dyDescent="0.35">
      <c r="A54" s="64" t="s">
        <v>194</v>
      </c>
      <c r="B54">
        <v>75</v>
      </c>
      <c r="C54" s="65">
        <v>0.92991599050926255</v>
      </c>
    </row>
    <row r="55" spans="1:3" x14ac:dyDescent="0.35">
      <c r="A55" s="64" t="s">
        <v>281</v>
      </c>
      <c r="B55">
        <v>75</v>
      </c>
      <c r="C55" s="65">
        <v>0.93450650583133166</v>
      </c>
    </row>
    <row r="56" spans="1:3" x14ac:dyDescent="0.35">
      <c r="A56" s="64" t="s">
        <v>263</v>
      </c>
      <c r="B56">
        <v>75</v>
      </c>
      <c r="C56" s="65">
        <v>0.93909702115340066</v>
      </c>
    </row>
    <row r="57" spans="1:3" x14ac:dyDescent="0.35">
      <c r="A57" s="64" t="s">
        <v>237</v>
      </c>
      <c r="B57">
        <v>60</v>
      </c>
      <c r="C57" s="65">
        <v>0.9427694334110559</v>
      </c>
    </row>
    <row r="58" spans="1:3" x14ac:dyDescent="0.35">
      <c r="A58" s="64" t="s">
        <v>217</v>
      </c>
      <c r="B58">
        <v>60</v>
      </c>
      <c r="C58" s="65">
        <v>0.94644184566871103</v>
      </c>
    </row>
    <row r="59" spans="1:3" x14ac:dyDescent="0.35">
      <c r="A59" s="64" t="s">
        <v>157</v>
      </c>
      <c r="B59">
        <v>60</v>
      </c>
      <c r="C59" s="65">
        <v>0.95011425792636628</v>
      </c>
    </row>
    <row r="60" spans="1:3" x14ac:dyDescent="0.35">
      <c r="A60" s="64" t="s">
        <v>188</v>
      </c>
      <c r="B60">
        <v>60</v>
      </c>
      <c r="C60" s="65">
        <v>0.95378667018402152</v>
      </c>
    </row>
    <row r="61" spans="1:3" x14ac:dyDescent="0.35">
      <c r="A61" s="64" t="s">
        <v>285</v>
      </c>
      <c r="B61">
        <v>50</v>
      </c>
      <c r="C61" s="65">
        <v>0.9568470137320676</v>
      </c>
    </row>
    <row r="62" spans="1:3" x14ac:dyDescent="0.35">
      <c r="A62" s="64" t="s">
        <v>148</v>
      </c>
      <c r="B62">
        <v>45</v>
      </c>
      <c r="C62" s="65">
        <v>0.95960132292530897</v>
      </c>
    </row>
    <row r="63" spans="1:3" x14ac:dyDescent="0.35">
      <c r="A63" s="64" t="s">
        <v>152</v>
      </c>
      <c r="B63">
        <v>45</v>
      </c>
      <c r="C63" s="65">
        <v>0.96235563211855035</v>
      </c>
    </row>
    <row r="64" spans="1:3" x14ac:dyDescent="0.35">
      <c r="A64" s="64" t="s">
        <v>198</v>
      </c>
      <c r="B64">
        <v>45</v>
      </c>
      <c r="C64" s="65">
        <v>0.96510994131179184</v>
      </c>
    </row>
    <row r="65" spans="1:3" x14ac:dyDescent="0.35">
      <c r="A65" s="64" t="s">
        <v>256</v>
      </c>
      <c r="B65">
        <v>45</v>
      </c>
      <c r="C65" s="65">
        <v>0.96786425050503322</v>
      </c>
    </row>
    <row r="66" spans="1:3" x14ac:dyDescent="0.35">
      <c r="A66" s="64" t="s">
        <v>35</v>
      </c>
      <c r="B66">
        <v>36.25</v>
      </c>
      <c r="C66" s="65">
        <v>0.97008299957736654</v>
      </c>
    </row>
    <row r="67" spans="1:3" x14ac:dyDescent="0.35">
      <c r="A67" s="64" t="s">
        <v>207</v>
      </c>
      <c r="B67">
        <v>35</v>
      </c>
      <c r="C67" s="65">
        <v>0.97222524006099875</v>
      </c>
    </row>
    <row r="68" spans="1:3" x14ac:dyDescent="0.35">
      <c r="A68" s="64" t="s">
        <v>278</v>
      </c>
      <c r="B68">
        <v>35</v>
      </c>
      <c r="C68" s="65">
        <v>0.97436748054463096</v>
      </c>
    </row>
    <row r="69" spans="1:3" x14ac:dyDescent="0.35">
      <c r="A69" s="64" t="s">
        <v>204</v>
      </c>
      <c r="B69">
        <v>35</v>
      </c>
      <c r="C69" s="65">
        <v>0.97650972102826317</v>
      </c>
    </row>
    <row r="70" spans="1:3" x14ac:dyDescent="0.35">
      <c r="A70" s="64" t="s">
        <v>166</v>
      </c>
      <c r="B70">
        <v>30</v>
      </c>
      <c r="C70" s="65">
        <v>0.97834592715709079</v>
      </c>
    </row>
    <row r="71" spans="1:3" x14ac:dyDescent="0.35">
      <c r="A71" s="64" t="s">
        <v>210</v>
      </c>
      <c r="B71">
        <v>30</v>
      </c>
      <c r="C71" s="65">
        <v>0.98018213328591841</v>
      </c>
    </row>
    <row r="72" spans="1:3" x14ac:dyDescent="0.35">
      <c r="A72" s="64" t="s">
        <v>260</v>
      </c>
      <c r="B72">
        <v>30</v>
      </c>
      <c r="C72" s="65">
        <v>0.98201833941474603</v>
      </c>
    </row>
    <row r="73" spans="1:3" x14ac:dyDescent="0.35">
      <c r="A73" s="64" t="s">
        <v>244</v>
      </c>
      <c r="B73">
        <v>30</v>
      </c>
      <c r="C73" s="65">
        <v>0.98385454554357366</v>
      </c>
    </row>
    <row r="74" spans="1:3" x14ac:dyDescent="0.35">
      <c r="A74" s="64" t="s">
        <v>246</v>
      </c>
      <c r="B74">
        <v>30</v>
      </c>
      <c r="C74" s="65">
        <v>0.98569075167240128</v>
      </c>
    </row>
    <row r="75" spans="1:3" x14ac:dyDescent="0.35">
      <c r="A75" s="64" t="s">
        <v>126</v>
      </c>
      <c r="B75">
        <v>28.785</v>
      </c>
      <c r="C75" s="65">
        <v>0.98745259145301134</v>
      </c>
    </row>
    <row r="76" spans="1:3" x14ac:dyDescent="0.35">
      <c r="A76" s="64" t="s">
        <v>267</v>
      </c>
      <c r="B76">
        <v>25</v>
      </c>
      <c r="C76" s="65">
        <v>0.98898276322703438</v>
      </c>
    </row>
    <row r="77" spans="1:3" x14ac:dyDescent="0.35">
      <c r="A77" s="64" t="s">
        <v>173</v>
      </c>
      <c r="B77">
        <v>25</v>
      </c>
      <c r="C77" s="65">
        <v>0.9905129350010573</v>
      </c>
    </row>
    <row r="78" spans="1:3" x14ac:dyDescent="0.35">
      <c r="A78" s="64" t="s">
        <v>294</v>
      </c>
      <c r="B78">
        <v>25</v>
      </c>
      <c r="C78" s="65">
        <v>0.99204310677508034</v>
      </c>
    </row>
    <row r="79" spans="1:3" x14ac:dyDescent="0.35">
      <c r="A79" s="64" t="s">
        <v>247</v>
      </c>
      <c r="B79">
        <v>20</v>
      </c>
      <c r="C79" s="65">
        <v>0.99326724419429879</v>
      </c>
    </row>
    <row r="80" spans="1:3" x14ac:dyDescent="0.35">
      <c r="A80" s="64" t="s">
        <v>293</v>
      </c>
      <c r="B80">
        <v>20</v>
      </c>
      <c r="C80" s="65">
        <v>0.99449138161351713</v>
      </c>
    </row>
    <row r="81" spans="1:3" x14ac:dyDescent="0.35">
      <c r="A81" s="64" t="s">
        <v>276</v>
      </c>
      <c r="B81">
        <v>20</v>
      </c>
      <c r="C81" s="65">
        <v>0.99571551903273559</v>
      </c>
    </row>
    <row r="82" spans="1:3" x14ac:dyDescent="0.35">
      <c r="A82" s="64" t="s">
        <v>269</v>
      </c>
      <c r="B82">
        <v>15</v>
      </c>
      <c r="C82" s="65">
        <v>0.99663362209714934</v>
      </c>
    </row>
    <row r="83" spans="1:3" x14ac:dyDescent="0.35">
      <c r="A83" s="64" t="s">
        <v>286</v>
      </c>
      <c r="B83">
        <v>15</v>
      </c>
      <c r="C83" s="65">
        <v>0.99755172516156321</v>
      </c>
    </row>
    <row r="84" spans="1:3" x14ac:dyDescent="0.35">
      <c r="A84" s="64" t="s">
        <v>268</v>
      </c>
      <c r="B84">
        <v>15</v>
      </c>
      <c r="C84" s="65">
        <v>0.99846982822597696</v>
      </c>
    </row>
    <row r="85" spans="1:3" x14ac:dyDescent="0.35">
      <c r="A85" s="64" t="s">
        <v>131</v>
      </c>
      <c r="B85">
        <v>15</v>
      </c>
      <c r="C85" s="65">
        <v>0.99938793129039083</v>
      </c>
    </row>
    <row r="86" spans="1:3" x14ac:dyDescent="0.35">
      <c r="A86" s="64" t="s">
        <v>203</v>
      </c>
      <c r="B86">
        <v>10</v>
      </c>
      <c r="C86" s="65">
        <v>1</v>
      </c>
    </row>
    <row r="87" spans="1:3" x14ac:dyDescent="0.35">
      <c r="A87" s="64" t="s">
        <v>384</v>
      </c>
      <c r="C87" s="65">
        <v>1</v>
      </c>
    </row>
    <row r="88" spans="1:3" x14ac:dyDescent="0.35">
      <c r="A88" s="64" t="s">
        <v>383</v>
      </c>
      <c r="B88">
        <v>16338.035</v>
      </c>
      <c r="C88" s="65"/>
    </row>
  </sheetData>
  <sortState xmlns:xlrd2="http://schemas.microsoft.com/office/spreadsheetml/2017/richdata2" ref="E3:S4">
    <sortCondition descending="1" ref="E4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BD5DC-8016-49F4-BD39-20F0A26D7643}">
  <sheetPr codeName="Sheet6"/>
  <dimension ref="A1:BQ1048529"/>
  <sheetViews>
    <sheetView showGridLines="0" showRowColHeaders="0" topLeftCell="D3" zoomScale="75" zoomScaleNormal="75" workbookViewId="0">
      <selection activeCell="K6" sqref="K6"/>
    </sheetView>
  </sheetViews>
  <sheetFormatPr defaultColWidth="0" defaultRowHeight="14.9" customHeight="1" zeroHeight="1" x14ac:dyDescent="0.35"/>
  <cols>
    <col min="1" max="1" width="1.453125" style="89" customWidth="1"/>
    <col min="2" max="2" width="18.453125" style="94" customWidth="1"/>
    <col min="3" max="3" width="4.453125" style="88" customWidth="1"/>
    <col min="4" max="4" width="18.453125" style="89" customWidth="1"/>
    <col min="5" max="5" width="31.453125" style="89" customWidth="1"/>
    <col min="6" max="8" width="8.453125" style="89" customWidth="1"/>
    <col min="9" max="9" width="28.453125" style="89" customWidth="1"/>
    <col min="10" max="12" width="8.453125" style="89" customWidth="1"/>
    <col min="13" max="13" width="32.453125" style="89" customWidth="1"/>
    <col min="14" max="14" width="8.453125" style="88" customWidth="1"/>
    <col min="15" max="16" width="8.453125" style="89" customWidth="1"/>
    <col min="17" max="17" width="2.453125" style="89" customWidth="1"/>
    <col min="18" max="18" width="16.453125" style="88" hidden="1" customWidth="1"/>
    <col min="19" max="21" width="9.453125" style="89" hidden="1" customWidth="1"/>
    <col min="22" max="22" width="36.453125" style="89" hidden="1" customWidth="1"/>
    <col min="23" max="25" width="9.453125" style="89" hidden="1" customWidth="1"/>
    <col min="26" max="30" width="1.453125" style="89" hidden="1" customWidth="1"/>
    <col min="31" max="69" width="9.453125" style="89" hidden="1" customWidth="1"/>
    <col min="70" max="16384" width="0" style="89" hidden="1"/>
  </cols>
  <sheetData>
    <row r="1" spans="1:30" ht="11.25" customHeight="1" x14ac:dyDescent="0.35">
      <c r="A1" s="85" t="s">
        <v>385</v>
      </c>
      <c r="B1" s="86"/>
      <c r="C1" s="87"/>
      <c r="D1" s="85"/>
      <c r="E1" s="85"/>
      <c r="F1" s="85"/>
      <c r="G1" s="85"/>
      <c r="H1" s="85"/>
      <c r="I1" s="85"/>
      <c r="J1" s="85"/>
      <c r="K1" s="85"/>
      <c r="L1" s="85"/>
      <c r="M1" s="85"/>
      <c r="N1" s="87"/>
      <c r="O1" s="85"/>
      <c r="P1" s="85"/>
      <c r="Q1" s="85"/>
      <c r="Z1" s="89" t="s">
        <v>386</v>
      </c>
      <c r="AA1" s="363" t="s">
        <v>387</v>
      </c>
      <c r="AB1" s="363"/>
      <c r="AC1" s="363"/>
      <c r="AD1" s="363"/>
    </row>
    <row r="2" spans="1:30" ht="50.15" customHeight="1" x14ac:dyDescent="0.35">
      <c r="A2" s="85"/>
      <c r="B2" s="364"/>
      <c r="C2" s="364"/>
      <c r="D2" s="365" t="s">
        <v>388</v>
      </c>
      <c r="E2" s="365"/>
      <c r="F2" s="365"/>
      <c r="G2" s="365"/>
      <c r="H2" s="365"/>
      <c r="I2" s="365"/>
      <c r="J2" s="365"/>
      <c r="K2" s="365"/>
      <c r="L2" s="365"/>
      <c r="M2" s="365"/>
      <c r="N2" s="365"/>
      <c r="O2" s="365"/>
      <c r="P2" s="365"/>
      <c r="Q2" s="90"/>
      <c r="R2" s="91"/>
      <c r="T2" s="92" t="s">
        <v>0</v>
      </c>
      <c r="U2" s="92" t="s">
        <v>13</v>
      </c>
      <c r="V2" s="92" t="s">
        <v>14</v>
      </c>
      <c r="W2" s="92" t="s">
        <v>389</v>
      </c>
      <c r="X2" s="93"/>
    </row>
    <row r="3" spans="1:30" ht="3" customHeight="1" thickBot="1" x14ac:dyDescent="0.4">
      <c r="A3" s="85"/>
      <c r="Q3" s="85"/>
      <c r="T3" s="95"/>
      <c r="W3" s="96"/>
      <c r="X3" s="93"/>
    </row>
    <row r="4" spans="1:30" ht="34.4" customHeight="1" thickBot="1" x14ac:dyDescent="0.4">
      <c r="A4" s="85"/>
      <c r="B4" s="366" t="s">
        <v>390</v>
      </c>
      <c r="C4" s="367"/>
      <c r="D4" s="370">
        <f ca="1">TODAY()-1</f>
        <v>46277</v>
      </c>
      <c r="E4" s="372" t="s">
        <v>391</v>
      </c>
      <c r="F4" s="373"/>
      <c r="G4" s="373"/>
      <c r="H4" s="374"/>
      <c r="I4" s="372" t="s">
        <v>392</v>
      </c>
      <c r="J4" s="373"/>
      <c r="K4" s="373"/>
      <c r="L4" s="375"/>
      <c r="M4" s="376" t="s">
        <v>393</v>
      </c>
      <c r="N4" s="373"/>
      <c r="O4" s="373"/>
      <c r="P4" s="374"/>
      <c r="Q4" s="85"/>
      <c r="R4" s="89"/>
      <c r="T4" s="97">
        <f t="shared" ref="T4:T12" ca="1" si="0">TODAY()-1</f>
        <v>46277</v>
      </c>
      <c r="U4" s="98" t="e">
        <f t="array" aca="1" ref="U4" ca="1">IF(ROWS(U$4:U4)&lt;=COUNTIF(#REF!,$T$4),INDEX(#REF!,SMALL(IF(#REF!=$T$4,ROW(#REF!)-ROW($A$5)+1),ROWS(U$4:U4)),1),"")</f>
        <v>#REF!</v>
      </c>
      <c r="V4" s="99" t="e">
        <f t="array" aca="1" ref="V4" ca="1">IF(ROWS(V$4:V4)&lt;=COUNTIF(#REF!,$T$4),INDEX(#REF!,SMALL(IF(#REF!=$T$4,ROW(#REF!)-ROW($A$5)+1),ROWS(V$4:V4)),1),"")</f>
        <v>#REF!</v>
      </c>
      <c r="W4" s="100" t="e">
        <f t="array" aca="1" ref="W4" ca="1">IF(ROWS(W$4:W4)&lt;=COUNTIF(#REF!,$T$4),INDEX(#REF!,SMALL(IF(#REF!=$T$4,ROW(#REF!)-ROW($A$5)+1),ROWS(W$4:W4)),1),"")</f>
        <v>#REF!</v>
      </c>
      <c r="X4" s="93" t="e">
        <f t="shared" ref="X4:X12" ca="1" si="1">IF(W4="","",$Z$1)</f>
        <v>#REF!</v>
      </c>
    </row>
    <row r="5" spans="1:30" ht="18" customHeight="1" thickBot="1" x14ac:dyDescent="0.4">
      <c r="A5" s="85"/>
      <c r="B5" s="368"/>
      <c r="C5" s="369"/>
      <c r="D5" s="371"/>
      <c r="E5" s="101" t="s">
        <v>394</v>
      </c>
      <c r="F5" s="102">
        <f ca="1">$D$4</f>
        <v>46277</v>
      </c>
      <c r="G5" s="103" t="s">
        <v>395</v>
      </c>
      <c r="H5" s="104" t="s">
        <v>396</v>
      </c>
      <c r="I5" s="105" t="s">
        <v>394</v>
      </c>
      <c r="J5" s="106">
        <f ca="1">$D$4</f>
        <v>46277</v>
      </c>
      <c r="K5" s="107" t="s">
        <v>395</v>
      </c>
      <c r="L5" s="108" t="s">
        <v>396</v>
      </c>
      <c r="M5" s="101" t="s">
        <v>394</v>
      </c>
      <c r="N5" s="377" t="s">
        <v>395</v>
      </c>
      <c r="O5" s="378"/>
      <c r="P5" s="379"/>
      <c r="Q5" s="85"/>
      <c r="R5" s="89"/>
      <c r="T5" s="97">
        <f t="shared" ca="1" si="0"/>
        <v>46277</v>
      </c>
      <c r="U5" s="98" t="e">
        <f t="array" aca="1" ref="U5" ca="1">IF(ROWS(U$4:U5)&lt;=COUNTIF(#REF!,$T$4),INDEX(#REF!,SMALL(IF(#REF!=$T$4,ROW(#REF!)-ROW($A$5)+1),ROWS(U$4:U5)),1),"")</f>
        <v>#REF!</v>
      </c>
      <c r="V5" s="99" t="e">
        <f t="array" aca="1" ref="V5" ca="1">IF(ROWS(V$4:V5)&lt;=COUNTIF(#REF!,$T$4),INDEX(#REF!,SMALL(IF(#REF!=$T$4,ROW(#REF!)-ROW($A$5)+1),ROWS(V$4:V5)),1),"")</f>
        <v>#REF!</v>
      </c>
      <c r="W5" s="100" t="e">
        <f t="array" aca="1" ref="W5" ca="1">IF(ROWS(W$4:W5)&lt;=COUNTIF(#REF!,$T$4),INDEX(#REF!,SMALL(IF(#REF!=$T$4,ROW(#REF!)-ROW($A$5)+1),ROWS(W$4:W5)),1),"")</f>
        <v>#REF!</v>
      </c>
      <c r="X5" s="93" t="e">
        <f t="shared" ca="1" si="1"/>
        <v>#REF!</v>
      </c>
    </row>
    <row r="6" spans="1:30" ht="35.15" customHeight="1" thickBot="1" x14ac:dyDescent="0.4">
      <c r="A6" s="85"/>
      <c r="B6" s="380" t="s">
        <v>62</v>
      </c>
      <c r="C6" s="381"/>
      <c r="D6" s="109"/>
      <c r="E6" s="110" t="s">
        <v>397</v>
      </c>
      <c r="G6" s="111">
        <f ca="1">COUNTIFS(Table1[Date],"&gt;="&amp;EOMONTH('Line Name'!$D$4,-1)+1,Table1[Date],"&lt;="&amp;EOMONTH('Line Name'!$D$4,0),Table1[CIL-DONE],"YES")/((COUNTIFS(Table1[Date],"&gt;="&amp;EOMONTH('Line Name'!$D$4,-1)+1,Table1[Date],"&lt;="&amp;EOMONTH('Line Name'!$D$4,0),Table1[CIL-DONE],"YES"))+(COUNTIFS(Table1[Date],"&gt;="&amp;EOMONTH('Line Name'!$D$4,-1)+1,Table1[Date],"&lt;="&amp;EOMONTH('Line Name'!$D$4,0),Table1[CIL-DONE],"NO")))</f>
        <v>1</v>
      </c>
      <c r="H6" s="112" t="e">
        <v>#REF!</v>
      </c>
      <c r="I6" s="113" t="s">
        <v>398</v>
      </c>
      <c r="J6" s="114">
        <f ca="1">VLOOKUP(TODAY()-1,Table1[[#All],[Date]]:Table1[Plan],5,FALSE)</f>
        <v>0</v>
      </c>
      <c r="K6" s="114">
        <f ca="1">SUMIFS('Data Sheet'!E:E,'Data Sheet'!A:A,"&gt;="&amp;EOMONTH(TODAY(),-1)+1)</f>
        <v>229.7</v>
      </c>
      <c r="L6" s="115">
        <f>SUM('Data Sheet'!E:E)</f>
        <v>11389.294574000001</v>
      </c>
      <c r="M6" s="110" t="s">
        <v>399</v>
      </c>
      <c r="N6" s="382">
        <v>1.4E-2</v>
      </c>
      <c r="O6" s="382"/>
      <c r="P6" s="383"/>
      <c r="Q6" s="85"/>
      <c r="R6" s="89"/>
      <c r="T6" s="97">
        <f t="shared" ca="1" si="0"/>
        <v>46277</v>
      </c>
      <c r="U6" s="98" t="e">
        <f t="array" aca="1" ref="U6" ca="1">IF(ROWS(U$4:U6)&lt;=COUNTIF(#REF!,$T$4),INDEX(#REF!,SMALL(IF(#REF!=$T$4,ROW(#REF!)-ROW($A$5)+1),ROWS(U$4:U6)),1),"")</f>
        <v>#REF!</v>
      </c>
      <c r="V6" s="99" t="e">
        <f t="array" aca="1" ref="V6" ca="1">IF(ROWS(V$4:V6)&lt;=COUNTIF(#REF!,$T$4),INDEX(#REF!,SMALL(IF(#REF!=$T$4,ROW(#REF!)-ROW($A$5)+1),ROWS(V$4:V6)),1),"")</f>
        <v>#REF!</v>
      </c>
      <c r="W6" s="100" t="e">
        <f t="array" aca="1" ref="W6" ca="1">IF(ROWS(W$4:W6)&lt;=COUNTIF(#REF!,$T$4),INDEX(#REF!,SMALL(IF(#REF!=$T$4,ROW(#REF!)-ROW($A$5)+1),ROWS(W$4:W6)),1),"")</f>
        <v>#REF!</v>
      </c>
      <c r="X6" s="93" t="e">
        <f t="shared" ca="1" si="1"/>
        <v>#REF!</v>
      </c>
    </row>
    <row r="7" spans="1:30" ht="35.15" customHeight="1" x14ac:dyDescent="0.35">
      <c r="A7" s="85"/>
      <c r="B7" s="384" t="s">
        <v>56</v>
      </c>
      <c r="C7" s="385"/>
      <c r="D7" s="116"/>
      <c r="E7" s="117" t="s">
        <v>400</v>
      </c>
      <c r="F7" s="118"/>
      <c r="G7" s="111">
        <f ca="1">COUNTIFS(Table1[Date],"&gt;="&amp;EOMONTH('Line Name'!$D$4,-1)+1,Table1[Date],"&lt;="&amp;EOMONTH('Line Name'!$D$4,0),Table1[[centreline check ]],"YES")/((COUNTIFS(Table1[Date],"&gt;="&amp;EOMONTH('Line Name'!$D$4,-1)+1,Table1[Date],"&lt;="&amp;EOMONTH('Line Name'!$D$4,0),Table1[[centreline check ]],"YES"))+(COUNTIFS(Table1[Date],"&gt;="&amp;EOMONTH('Line Name'!$D$4,-1)+1,Table1[Date],"&lt;="&amp;EOMONTH('Line Name'!$D$4,0),Table1[[centreline check ]],"NO")))</f>
        <v>1</v>
      </c>
      <c r="H7" s="119" t="e">
        <v>#REF!</v>
      </c>
      <c r="I7" s="120" t="s">
        <v>58</v>
      </c>
      <c r="J7" s="121">
        <f ca="1">VLOOKUP(TODAY()-1,Table1[[#All],[Date]]:Table1[Volume Delivered (T)],6,FALSE)</f>
        <v>28.7</v>
      </c>
      <c r="K7" s="121">
        <f ca="1">SUMIFS('Data Sheet'!F:F,'Data Sheet'!A:A,"&gt;="&amp;EOMONTH(TODAY(),-1)+1)</f>
        <v>278.3</v>
      </c>
      <c r="L7" s="116">
        <f>SUM('Data Sheet'!F:F)</f>
        <v>11842.939135999994</v>
      </c>
      <c r="M7" s="117" t="s">
        <v>66</v>
      </c>
      <c r="N7" s="386">
        <f ca="1">VLOOKUP(D4,Table1[],14,FALSE)</f>
        <v>0</v>
      </c>
      <c r="O7" s="386"/>
      <c r="P7" s="387"/>
      <c r="Q7" s="85"/>
      <c r="R7" s="89"/>
      <c r="T7" s="97">
        <f t="shared" ca="1" si="0"/>
        <v>46277</v>
      </c>
      <c r="U7" s="98" t="e">
        <f t="array" aca="1" ref="U7" ca="1">IF(ROWS(U$4:U7)&lt;=COUNTIF(#REF!,$T$4),INDEX(#REF!,SMALL(IF(#REF!=$T$4,ROW(#REF!)-ROW($A$5)+1),ROWS(U$4:U7)),1),"")</f>
        <v>#REF!</v>
      </c>
      <c r="V7" s="99" t="e">
        <f t="array" aca="1" ref="V7" ca="1">IF(ROWS(V$4:V7)&lt;=COUNTIF(#REF!,$T$4),INDEX(#REF!,SMALL(IF(#REF!=$T$4,ROW(#REF!)-ROW($A$5)+1),ROWS(V$4:V7)),1),"")</f>
        <v>#REF!</v>
      </c>
      <c r="W7" s="100" t="e">
        <f t="array" aca="1" ref="W7" ca="1">IF(ROWS(W$4:W7)&lt;=COUNTIF(#REF!,$T$4),INDEX(#REF!,SMALL(IF(#REF!=$T$4,ROW(#REF!)-ROW($A$5)+1),ROWS(W$4:W7)),1),"")</f>
        <v>#REF!</v>
      </c>
      <c r="X7" s="93" t="e">
        <f t="shared" ca="1" si="1"/>
        <v>#REF!</v>
      </c>
    </row>
    <row r="8" spans="1:30" ht="35.15" customHeight="1" thickBot="1" x14ac:dyDescent="0.4">
      <c r="A8" s="85"/>
      <c r="B8" s="388" t="s">
        <v>55</v>
      </c>
      <c r="C8" s="389"/>
      <c r="D8" s="121" t="str">
        <f ca="1">VLOOKUP(TODAY()-1,Table1[[#All],[Date]]:Table1[SKU],3,FALSE)</f>
        <v>_10.3GM_HT</v>
      </c>
      <c r="E8" s="122" t="s">
        <v>401</v>
      </c>
      <c r="F8" s="123">
        <f ca="1">VLOOKUP(D4,Table1[#All],39,FALSE)</f>
        <v>0</v>
      </c>
      <c r="G8" s="123" t="str">
        <f ca="1">IFERROR(G7/#REF!,"")</f>
        <v/>
      </c>
      <c r="H8" s="124" t="str">
        <f>IFERROR(H7/H6,"")</f>
        <v/>
      </c>
      <c r="I8" s="113" t="s">
        <v>354</v>
      </c>
      <c r="J8" s="125">
        <f ca="1">VLOOKUP(TODAY()-1,Table1[[#All],[Date]]:Table1[GE - Target],7,FALSE)</f>
        <v>0</v>
      </c>
      <c r="K8" s="128">
        <f ca="1">AVERAGEIFS('GE Loss%'!C:C,'GE Loss%'!A:A,"&gt;="&amp;EOMONTH(TODAY(),-1)+1)</f>
        <v>0.69145084934558609</v>
      </c>
      <c r="L8" s="126">
        <f>AVERAGE('GE Loss%'!B:B)</f>
        <v>0.83416666666666694</v>
      </c>
      <c r="M8" s="117" t="s">
        <v>402</v>
      </c>
      <c r="N8" s="390">
        <f ca="1">VLOOKUP(TODAY()-1,Table1[[#All],[Date]]:Table1[waste (%) - MTD],13,FALSE)</f>
        <v>0</v>
      </c>
      <c r="O8" s="390">
        <f ca="1">VLOOKUP(TODAY()-1,Table1[[#All],[Date]]:Table1[Volume Delivered (T)],6,FALSE)</f>
        <v>28.7</v>
      </c>
      <c r="P8" s="391">
        <f ca="1">VLOOKUP(TODAY()-1,Table1[[#All],[Date]]:Table1[Volume Delivered (T)],6,FALSE)</f>
        <v>28.7</v>
      </c>
      <c r="Q8" s="85"/>
      <c r="R8" s="89"/>
      <c r="T8" s="97">
        <f t="shared" ca="1" si="0"/>
        <v>46277</v>
      </c>
      <c r="U8" s="98" t="e">
        <f t="array" aca="1" ref="U8" ca="1">IF(ROWS(U$4:U8)&lt;=COUNTIF(#REF!,$T$4),INDEX(#REF!,SMALL(IF(#REF!=$T$4,ROW(#REF!)-ROW($A$5)+1),ROWS(U$4:U8)),1),"")</f>
        <v>#REF!</v>
      </c>
      <c r="V8" s="99" t="e">
        <f t="array" aca="1" ref="V8" ca="1">IF(ROWS(V$4:V8)&lt;=COUNTIF(#REF!,$T$4),INDEX(#REF!,SMALL(IF(#REF!=$T$4,ROW(#REF!)-ROW($A$5)+1),ROWS(V$4:V8)),1),"")</f>
        <v>#REF!</v>
      </c>
      <c r="W8" s="100" t="e">
        <f t="array" aca="1" ref="W8" ca="1">IF(ROWS(W$4:W8)&lt;=COUNTIF(#REF!,$T$4),INDEX(#REF!,SMALL(IF(#REF!=$T$4,ROW(#REF!)-ROW($A$5)+1),ROWS(W$4:W8)),1),"")</f>
        <v>#REF!</v>
      </c>
      <c r="X8" s="93" t="e">
        <f t="shared" ca="1" si="1"/>
        <v>#REF!</v>
      </c>
    </row>
    <row r="9" spans="1:30" ht="35.15" customHeight="1" thickBot="1" x14ac:dyDescent="0.4">
      <c r="A9" s="85"/>
      <c r="E9" s="127" t="s">
        <v>403</v>
      </c>
      <c r="F9" s="123">
        <f ca="1">VLOOKUP(D4,Table1[#All],39,FALSE)</f>
        <v>0</v>
      </c>
      <c r="I9" s="122" t="s">
        <v>404</v>
      </c>
      <c r="J9" s="128">
        <f ca="1">VLOOKUP(D4,Table1[],8,FALSE)</f>
        <v>0.83918128654970758</v>
      </c>
      <c r="K9" s="129" cm="1">
        <f t="array" aca="1" ref="K9" ca="1">IFERROR(
  _xlfn.XLOOKUP(
    1,
    (MONTH('GE Loss%'!A:A)=MONTH(TODAY()))*
    (YEAR('GE Loss%'!A:A)=YEAR(TODAY())),
    'GE Loss%'!C:C
  ),
"")</f>
        <v>0.69145084934558609</v>
      </c>
      <c r="L9" s="130">
        <f ca="1">AVERAGE('GE Loss%'!C:C)</f>
        <v>0.734944788262196</v>
      </c>
      <c r="M9" s="117" t="s">
        <v>405</v>
      </c>
      <c r="N9" s="390"/>
      <c r="O9" s="390"/>
      <c r="P9" s="391"/>
      <c r="Q9" s="85"/>
      <c r="T9" s="97">
        <f t="shared" ca="1" si="0"/>
        <v>46277</v>
      </c>
      <c r="U9" s="98" t="e">
        <f t="array" aca="1" ref="U9" ca="1">IF(ROWS(U$4:U9)&lt;=COUNTIF(#REF!,$T$4),INDEX(#REF!,SMALL(IF(#REF!=$T$4,ROW(#REF!)-ROW($A$5)+1),ROWS(U$4:U9)),1),"")</f>
        <v>#REF!</v>
      </c>
      <c r="V9" s="99" t="e">
        <f t="array" aca="1" ref="V9" ca="1">IF(ROWS(V$4:V9)&lt;=COUNTIF(#REF!,$T$4),INDEX(#REF!,SMALL(IF(#REF!=$T$4,ROW(#REF!)-ROW($A$5)+1),ROWS(V$4:V9)),1),"")</f>
        <v>#REF!</v>
      </c>
      <c r="W9" s="100" t="e">
        <f t="array" aca="1" ref="W9" ca="1">IF(ROWS(W$4:W9)&lt;=COUNTIF(#REF!,$T$4),INDEX(#REF!,SMALL(IF(#REF!=$T$4,ROW(#REF!)-ROW($A$5)+1),ROWS(W$4:W9)),1),"")</f>
        <v>#REF!</v>
      </c>
      <c r="X9" s="93" t="e">
        <f t="shared" ca="1" si="1"/>
        <v>#REF!</v>
      </c>
    </row>
    <row r="10" spans="1:30" ht="35.15" customHeight="1" x14ac:dyDescent="0.35">
      <c r="A10" s="85"/>
      <c r="E10" s="127" t="s">
        <v>96</v>
      </c>
      <c r="F10" s="89">
        <f ca="1">VLOOKUP(D4,Table1[],45,FALSE)</f>
        <v>0</v>
      </c>
      <c r="G10" s="89">
        <f ca="1">SUMIFS('Data Sheet'!AS:AS,'Data Sheet'!A:A,"&gt;="&amp;EOMONTH(TODAY(),-1)+1)</f>
        <v>0</v>
      </c>
      <c r="M10" s="117" t="s">
        <v>406</v>
      </c>
      <c r="N10" s="395">
        <f ca="1">VLOOKUP(TODAY()-1,Table1[[#All],[Date]]:Table1[CL Deployed at Line],38,FALSE)</f>
        <v>0</v>
      </c>
      <c r="O10" s="395">
        <f ca="1">VLOOKUP(TODAY()-1,Table1[[#All],[Date]]:Table1[Volume Delivered (T)],6,FALSE)</f>
        <v>28.7</v>
      </c>
      <c r="P10" s="396">
        <f ca="1">VLOOKUP(TODAY()-1,Table1[[#All],[Date]]:Table1[Volume Delivered (T)],6,FALSE)</f>
        <v>28.7</v>
      </c>
      <c r="Q10" s="85"/>
      <c r="T10" s="97">
        <f t="shared" ca="1" si="0"/>
        <v>46277</v>
      </c>
      <c r="U10" s="98" t="e">
        <f t="array" aca="1" ref="U10" ca="1">IF(ROWS(U$4:U10)&lt;=COUNTIF(#REF!,$T$4),INDEX(#REF!,SMALL(IF(#REF!=$T$4,ROW(#REF!)-ROW($A$5)+1),ROWS(U$4:U10)),1),"")</f>
        <v>#REF!</v>
      </c>
      <c r="V10" s="99" t="e">
        <f t="array" aca="1" ref="V10" ca="1">IF(ROWS(V$4:V10)&lt;=COUNTIF(#REF!,$T$4),INDEX(#REF!,SMALL(IF(#REF!=$T$4,ROW(#REF!)-ROW($A$5)+1),ROWS(V$4:V10)),1),"")</f>
        <v>#REF!</v>
      </c>
      <c r="W10" s="100" t="e">
        <f t="array" aca="1" ref="W10" ca="1">IF(ROWS(W$4:W10)&lt;=COUNTIF(#REF!,$T$4),INDEX(#REF!,SMALL(IF(#REF!=$T$4,ROW(#REF!)-ROW($A$5)+1),ROWS(W$4:W10)),1),"")</f>
        <v>#REF!</v>
      </c>
      <c r="X10" s="93" t="e">
        <f t="shared" ca="1" si="1"/>
        <v>#REF!</v>
      </c>
    </row>
    <row r="11" spans="1:30" ht="35.15" customHeight="1" thickBot="1" x14ac:dyDescent="0.4">
      <c r="A11" s="85"/>
      <c r="B11" s="397" t="s">
        <v>407</v>
      </c>
      <c r="C11" s="398"/>
      <c r="D11" s="399"/>
      <c r="E11" s="127" t="s">
        <v>99</v>
      </c>
      <c r="F11" s="89">
        <f ca="1">VLOOKUP(D4,Table1[],48,FALSE)</f>
        <v>1208.421052631579</v>
      </c>
      <c r="G11" s="233">
        <f ca="1">SUMIFS(Table1[MTBB],Table1[Date],"&gt;="&amp;EOMONTH(TODAY(),-1)+1)/DAY(TODAY())-1</f>
        <v>599.43251410429775</v>
      </c>
      <c r="M11" s="122" t="s">
        <v>408</v>
      </c>
      <c r="N11" s="400">
        <v>88</v>
      </c>
      <c r="O11" s="401">
        <f ca="1">SUMIFS('Data Sheet'!I:I,'Data Sheet'!E:E,"&gt;="&amp;EOMONTH(TODAY(),-1)+1)</f>
        <v>0</v>
      </c>
      <c r="P11" s="402">
        <f ca="1">SUMIFS('Data Sheet'!J:J,'Data Sheet'!F:F,"&gt;="&amp;EOMONTH(TODAY(),-1)+1)</f>
        <v>0</v>
      </c>
      <c r="Q11" s="85"/>
      <c r="T11" s="97">
        <f t="shared" ca="1" si="0"/>
        <v>46277</v>
      </c>
      <c r="U11" s="98" t="e">
        <f t="array" aca="1" ref="U11" ca="1">IF(ROWS(U$4:U11)&lt;=COUNTIF(#REF!,$T$4),INDEX(#REF!,SMALL(IF(#REF!=$T$4,ROW(#REF!)-ROW($A$5)+1),ROWS(U$4:U11)),1),"")</f>
        <v>#REF!</v>
      </c>
      <c r="V11" s="99" t="e">
        <f t="array" aca="1" ref="V11" ca="1">IF(ROWS(V$4:V11)&lt;=COUNTIF(#REF!,$T$4),INDEX(#REF!,SMALL(IF(#REF!=$T$4,ROW(#REF!)-ROW($A$5)+1),ROWS(V$4:V11)),1),"")</f>
        <v>#REF!</v>
      </c>
      <c r="W11" s="100" t="e">
        <f t="array" aca="1" ref="W11" ca="1">IF(ROWS(W$4:W11)&lt;=COUNTIF(#REF!,$T$4),INDEX(#REF!,SMALL(IF(#REF!=$T$4,ROW(#REF!)-ROW($A$5)+1),ROWS(W$4:W11)),1),"")</f>
        <v>#REF!</v>
      </c>
      <c r="X11" s="93" t="e">
        <f t="shared" ca="1" si="1"/>
        <v>#REF!</v>
      </c>
    </row>
    <row r="12" spans="1:30" ht="35.15" customHeight="1" thickBot="1" x14ac:dyDescent="0.4">
      <c r="A12" s="85"/>
      <c r="B12" s="398"/>
      <c r="C12" s="398"/>
      <c r="D12" s="398"/>
      <c r="E12" s="127" t="s">
        <v>101</v>
      </c>
      <c r="F12" s="89" t="str">
        <f ca="1">VLOOKUP(D4,Table1[],50,FALSE)</f>
        <v/>
      </c>
      <c r="G12" s="233">
        <f ca="1">AVERAGEIFS(Table1[MTTR],Table1[Date],"&gt;="&amp;EOMONTH(TODAY(),-1)+1)</f>
        <v>16.098147010647011</v>
      </c>
      <c r="J12" s="127"/>
      <c r="M12" s="127" t="s">
        <v>409</v>
      </c>
      <c r="N12" s="407">
        <f ca="1">IFERROR(SUMIFS(Table1[TBM ACTIVITIES COMPLETED2],Table1[Date],"&gt;="&amp;EOMONTH(D4,-1)+1,Table1[Date],"&lt;"&amp;D4)/SUMIFS(Table1[TBM ACTIVITIES PLANNED2],Table1[Date],"&gt;="&amp;EOMONTH(D4,-1)+1,Table1[Date],"&lt;"&amp;D4),"")</f>
        <v>0</v>
      </c>
      <c r="O12" s="407">
        <f>SUMIFS(Table1[Volume Delivered (T)],Table1[Date],"&gt;="&amp;EOMONTH('DMS-2'!#REF!,-1)+1,Table1[Date],"&lt;"&amp;#REF!)</f>
        <v>0</v>
      </c>
      <c r="P12" s="407">
        <f>SUMIFS(Table1[Volume Delivered (T)],Table1[Date],"&gt;="&amp;EOMONTH('DMS-2'!#REF!,-1)+1,Table1[Date],"&lt;"&amp;#REF!)</f>
        <v>0</v>
      </c>
      <c r="Q12" s="85"/>
      <c r="T12" s="131">
        <f t="shared" ca="1" si="0"/>
        <v>46277</v>
      </c>
      <c r="U12" s="132" t="e">
        <f t="array" aca="1" ref="U12" ca="1">IF(ROWS(U$4:U12)&lt;=COUNTIF(#REF!,$T$4),INDEX(#REF!,SMALL(IF(#REF!=$T$4,ROW(#REF!)-ROW($A$5)+1),ROWS(U$4:U12)),1),"")</f>
        <v>#REF!</v>
      </c>
      <c r="V12" s="133" t="e">
        <f t="array" aca="1" ref="V12" ca="1">IF(ROWS(V$4:V12)&lt;=COUNTIF(#REF!,$T$4),INDEX(#REF!,SMALL(IF(#REF!=$T$4,ROW(#REF!)-ROW($A$5)+1),ROWS(V$4:V12)),1),"")</f>
        <v>#REF!</v>
      </c>
      <c r="W12" s="134" t="e">
        <f t="array" aca="1" ref="W12" ca="1">IF(ROWS(W$4:W12)&lt;=COUNTIF(#REF!,$T$4),INDEX(#REF!,SMALL(IF(#REF!=$T$4,ROW(#REF!)-ROW($A$5)+1),ROWS(W$4:W12)),1),"")</f>
        <v>#REF!</v>
      </c>
      <c r="X12" s="89" t="e">
        <f t="shared" ca="1" si="1"/>
        <v>#REF!</v>
      </c>
    </row>
    <row r="13" spans="1:30" ht="35.15" customHeight="1" x14ac:dyDescent="0.35">
      <c r="A13" s="85"/>
      <c r="B13" s="398"/>
      <c r="C13" s="398"/>
      <c r="D13" s="398"/>
      <c r="M13" s="127" t="s">
        <v>410</v>
      </c>
      <c r="N13" s="408">
        <f ca="1">VLOOKUP(D4,Table1[],16,FALSE)</f>
        <v>0</v>
      </c>
      <c r="O13" s="408"/>
      <c r="P13" s="408"/>
      <c r="Q13" s="85"/>
    </row>
    <row r="14" spans="1:30" ht="35.15" customHeight="1" x14ac:dyDescent="0.35">
      <c r="A14" s="85"/>
      <c r="B14" s="398"/>
      <c r="C14" s="398"/>
      <c r="D14" s="399"/>
      <c r="O14" s="135"/>
      <c r="P14" s="135"/>
      <c r="Q14" s="136"/>
      <c r="R14" s="137"/>
    </row>
    <row r="15" spans="1:30" ht="6" customHeight="1" x14ac:dyDescent="0.35">
      <c r="A15" s="85"/>
      <c r="B15" s="85"/>
      <c r="C15" s="85"/>
      <c r="D15" s="85"/>
      <c r="E15" s="138"/>
      <c r="F15" s="138"/>
      <c r="G15" s="138"/>
      <c r="H15" s="138"/>
      <c r="I15" s="85"/>
      <c r="J15" s="85"/>
      <c r="K15" s="85"/>
      <c r="L15" s="85"/>
      <c r="M15" s="138"/>
      <c r="N15" s="138"/>
      <c r="O15" s="138"/>
      <c r="P15" s="138"/>
      <c r="Q15" s="139"/>
      <c r="R15" s="140"/>
    </row>
    <row r="16" spans="1:30" ht="18" hidden="1" customHeight="1" x14ac:dyDescent="0.35">
      <c r="B16" s="89"/>
      <c r="C16" s="89"/>
      <c r="E16" s="141"/>
      <c r="F16" s="141"/>
      <c r="G16" s="141"/>
      <c r="H16" s="141"/>
      <c r="M16" s="141"/>
      <c r="N16" s="141"/>
      <c r="O16" s="141"/>
      <c r="P16" s="141"/>
    </row>
    <row r="17" spans="2:16" ht="32.15" hidden="1" customHeight="1" x14ac:dyDescent="0.35">
      <c r="B17" s="89"/>
      <c r="C17" s="89"/>
      <c r="N17" s="89"/>
    </row>
    <row r="18" spans="2:16" ht="32.15" hidden="1" customHeight="1" x14ac:dyDescent="0.35">
      <c r="B18" s="89"/>
      <c r="C18" s="89"/>
      <c r="M18" s="142"/>
      <c r="N18" s="143"/>
      <c r="O18" s="142"/>
      <c r="P18" s="142"/>
    </row>
    <row r="19" spans="2:16" ht="15.75" hidden="1" customHeight="1" x14ac:dyDescent="0.35">
      <c r="B19" s="89"/>
      <c r="C19" s="89"/>
    </row>
    <row r="20" spans="2:16" ht="14.5" hidden="1" x14ac:dyDescent="0.35">
      <c r="B20" s="89"/>
    </row>
    <row r="21" spans="2:16" ht="14.5" hidden="1" x14ac:dyDescent="0.35">
      <c r="B21" s="89"/>
    </row>
    <row r="22" spans="2:16" ht="14.5" hidden="1" x14ac:dyDescent="0.35">
      <c r="B22" s="89"/>
    </row>
    <row r="23" spans="2:16" ht="14.5" hidden="1" x14ac:dyDescent="0.35">
      <c r="B23" s="89"/>
    </row>
    <row r="24" spans="2:16" ht="14.5" hidden="1" x14ac:dyDescent="0.35">
      <c r="B24" s="89"/>
    </row>
    <row r="25" spans="2:16" ht="14.5" hidden="1" x14ac:dyDescent="0.35">
      <c r="B25" s="89"/>
      <c r="F25" s="144"/>
    </row>
    <row r="26" spans="2:16" ht="14.5" hidden="1" x14ac:dyDescent="0.35">
      <c r="B26" s="89"/>
    </row>
    <row r="27" spans="2:16" ht="14.5" hidden="1" x14ac:dyDescent="0.35">
      <c r="B27" s="89"/>
    </row>
    <row r="28" spans="2:16" ht="14.5" hidden="1" x14ac:dyDescent="0.35">
      <c r="B28" s="89"/>
    </row>
    <row r="29" spans="2:16" ht="14.5" hidden="1" x14ac:dyDescent="0.35">
      <c r="B29" s="89"/>
    </row>
    <row r="30" spans="2:16" ht="14.5" hidden="1" x14ac:dyDescent="0.35">
      <c r="B30" s="89"/>
    </row>
    <row r="31" spans="2:16" ht="14.5" hidden="1" x14ac:dyDescent="0.35">
      <c r="B31" s="89"/>
    </row>
    <row r="32" spans="2:16" ht="14.5" hidden="1" x14ac:dyDescent="0.35">
      <c r="B32" s="89"/>
    </row>
    <row r="34" spans="2:2" ht="14.5" hidden="1" x14ac:dyDescent="0.35">
      <c r="B34" s="89"/>
    </row>
    <row r="35" spans="2:2" ht="14.5" hidden="1" x14ac:dyDescent="0.35">
      <c r="B35" s="89"/>
    </row>
    <row r="36" spans="2:2" ht="14.5" hidden="1" x14ac:dyDescent="0.35">
      <c r="B36" s="89"/>
    </row>
    <row r="37" spans="2:2" ht="14.5" hidden="1" x14ac:dyDescent="0.35">
      <c r="B37" s="89"/>
    </row>
    <row r="38" spans="2:2" ht="14.5" hidden="1" x14ac:dyDescent="0.35">
      <c r="B38" s="89"/>
    </row>
    <row r="39" spans="2:2" ht="14.5" hidden="1" x14ac:dyDescent="0.35">
      <c r="B39" s="89"/>
    </row>
    <row r="40" spans="2:2" ht="14.5" hidden="1" x14ac:dyDescent="0.35">
      <c r="B40" s="89"/>
    </row>
    <row r="41" spans="2:2" ht="14.5" hidden="1" x14ac:dyDescent="0.35">
      <c r="B41" s="89"/>
    </row>
    <row r="42" spans="2:2" ht="14.5" hidden="1" x14ac:dyDescent="0.35">
      <c r="B42" s="89"/>
    </row>
    <row r="43" spans="2:2" ht="14.5" hidden="1" x14ac:dyDescent="0.35">
      <c r="B43" s="89"/>
    </row>
    <row r="44" spans="2:2" ht="14.5" hidden="1" x14ac:dyDescent="0.35">
      <c r="B44" s="89"/>
    </row>
    <row r="45" spans="2:2" ht="14.5" hidden="1" x14ac:dyDescent="0.35">
      <c r="B45" s="89"/>
    </row>
    <row r="46" spans="2:2" ht="14.5" hidden="1" x14ac:dyDescent="0.35">
      <c r="B46" s="89"/>
    </row>
    <row r="47" spans="2:2" ht="14.5" hidden="1" x14ac:dyDescent="0.35">
      <c r="B47" s="89"/>
    </row>
    <row r="48" spans="2:2" ht="14.5" hidden="1" x14ac:dyDescent="0.35">
      <c r="B48" s="89"/>
    </row>
    <row r="49" spans="2:13" ht="14.5" hidden="1" x14ac:dyDescent="0.35">
      <c r="B49" s="89"/>
    </row>
    <row r="50" spans="2:13" ht="14.5" hidden="1" x14ac:dyDescent="0.35">
      <c r="B50" s="89"/>
    </row>
    <row r="51" spans="2:13" ht="14.5" hidden="1" x14ac:dyDescent="0.35">
      <c r="B51" s="89"/>
    </row>
    <row r="52" spans="2:13" ht="14.5" hidden="1" x14ac:dyDescent="0.35">
      <c r="B52" s="89"/>
    </row>
    <row r="54" spans="2:13" ht="14.5" hidden="1" x14ac:dyDescent="0.35">
      <c r="D54" s="145" t="s">
        <v>0</v>
      </c>
      <c r="E54" s="146" t="s">
        <v>13</v>
      </c>
      <c r="F54" s="403" t="s">
        <v>14</v>
      </c>
      <c r="G54" s="403"/>
      <c r="H54" s="403"/>
      <c r="I54" s="403"/>
      <c r="J54" s="403"/>
      <c r="K54" s="403"/>
      <c r="L54" s="403"/>
      <c r="M54" s="147" t="s">
        <v>389</v>
      </c>
    </row>
    <row r="55" spans="2:13" ht="14.5" hidden="1" x14ac:dyDescent="0.35">
      <c r="D55" s="148">
        <f ca="1">TODAY()-1</f>
        <v>46277</v>
      </c>
      <c r="E55" s="149" t="e">
        <v>#REF!</v>
      </c>
      <c r="F55" s="150" t="e">
        <v>#REF!</v>
      </c>
      <c r="G55" s="151"/>
      <c r="H55" s="151"/>
      <c r="I55" s="151"/>
      <c r="J55" s="151"/>
      <c r="K55" s="151"/>
      <c r="L55" s="152"/>
      <c r="M55" s="153" t="e">
        <v>#REF!</v>
      </c>
    </row>
    <row r="56" spans="2:13" ht="14.5" hidden="1" x14ac:dyDescent="0.35">
      <c r="D56" s="154">
        <f t="shared" ref="D56:D63" ca="1" si="2">D55</f>
        <v>46277</v>
      </c>
      <c r="E56" s="155" t="e">
        <v>#REF!</v>
      </c>
      <c r="F56" s="156" t="e">
        <v>#REF!</v>
      </c>
      <c r="L56" s="157"/>
      <c r="M56" s="158" t="e">
        <v>#REF!</v>
      </c>
    </row>
    <row r="57" spans="2:13" ht="14.5" hidden="1" x14ac:dyDescent="0.35">
      <c r="D57" s="154">
        <f t="shared" ca="1" si="2"/>
        <v>46277</v>
      </c>
      <c r="E57" s="155" t="e">
        <v>#REF!</v>
      </c>
      <c r="F57" s="156" t="e">
        <v>#REF!</v>
      </c>
      <c r="L57" s="157"/>
      <c r="M57" s="158" t="e">
        <v>#REF!</v>
      </c>
    </row>
    <row r="58" spans="2:13" ht="14.5" hidden="1" x14ac:dyDescent="0.35">
      <c r="D58" s="154">
        <f t="shared" ca="1" si="2"/>
        <v>46277</v>
      </c>
      <c r="E58" s="155" t="e">
        <v>#REF!</v>
      </c>
      <c r="F58" s="156" t="e">
        <v>#REF!</v>
      </c>
      <c r="L58" s="157"/>
      <c r="M58" s="158" t="e">
        <v>#REF!</v>
      </c>
    </row>
    <row r="59" spans="2:13" ht="14.5" hidden="1" x14ac:dyDescent="0.35">
      <c r="D59" s="154">
        <f t="shared" ca="1" si="2"/>
        <v>46277</v>
      </c>
      <c r="E59" s="155" t="e">
        <v>#REF!</v>
      </c>
      <c r="F59" s="156" t="e">
        <v>#REF!</v>
      </c>
      <c r="L59" s="157"/>
      <c r="M59" s="158" t="e">
        <v>#REF!</v>
      </c>
    </row>
    <row r="60" spans="2:13" ht="14.5" hidden="1" x14ac:dyDescent="0.35">
      <c r="D60" s="154">
        <f t="shared" ca="1" si="2"/>
        <v>46277</v>
      </c>
      <c r="E60" s="155" t="e">
        <v>#REF!</v>
      </c>
      <c r="F60" s="156" t="e">
        <v>#REF!</v>
      </c>
      <c r="L60" s="157"/>
      <c r="M60" s="158" t="e">
        <v>#REF!</v>
      </c>
    </row>
    <row r="61" spans="2:13" ht="14.5" hidden="1" x14ac:dyDescent="0.35">
      <c r="D61" s="154">
        <f t="shared" ca="1" si="2"/>
        <v>46277</v>
      </c>
      <c r="E61" s="155" t="e">
        <v>#REF!</v>
      </c>
      <c r="F61" s="156" t="e">
        <v>#REF!</v>
      </c>
      <c r="L61" s="157"/>
      <c r="M61" s="158" t="e">
        <v>#REF!</v>
      </c>
    </row>
    <row r="62" spans="2:13" ht="14.5" hidden="1" x14ac:dyDescent="0.35">
      <c r="D62" s="154">
        <f t="shared" ca="1" si="2"/>
        <v>46277</v>
      </c>
      <c r="E62" s="155" t="e">
        <v>#REF!</v>
      </c>
      <c r="F62" s="156" t="e">
        <v>#REF!</v>
      </c>
      <c r="L62" s="157"/>
      <c r="M62" s="158" t="e">
        <v>#REF!</v>
      </c>
    </row>
    <row r="63" spans="2:13" ht="15" hidden="1" thickBot="1" x14ac:dyDescent="0.4">
      <c r="D63" s="159">
        <f t="shared" ca="1" si="2"/>
        <v>46277</v>
      </c>
      <c r="E63" s="160" t="e">
        <v>#REF!</v>
      </c>
      <c r="F63" s="161" t="e">
        <v>#REF!</v>
      </c>
      <c r="G63" s="162"/>
      <c r="H63" s="162"/>
      <c r="I63" s="162"/>
      <c r="J63" s="162"/>
      <c r="K63" s="162"/>
      <c r="L63" s="163"/>
      <c r="M63" s="164" t="e">
        <v>#REF!</v>
      </c>
    </row>
    <row r="65" spans="4:13" ht="16" hidden="1" x14ac:dyDescent="0.35">
      <c r="D65" s="404" t="e">
        <f t="shared" ref="D65:D73" si="3">IF(E55="","",IF(_xlfn.CONCAT(E55," ",":"," ",F55," ","-"," ",M55," ",H55&amp;"Min")=$BJ$1,"",_xlfn.CONCAT(E55," ",":"," ",F55," ","-"," ",M55," ",H55&amp;"Min")))</f>
        <v>#REF!</v>
      </c>
      <c r="E65" s="405"/>
      <c r="F65" s="405"/>
      <c r="G65" s="405"/>
      <c r="H65" s="405"/>
      <c r="I65" s="405"/>
      <c r="J65" s="405"/>
      <c r="K65" s="405"/>
      <c r="L65" s="405"/>
      <c r="M65" s="406"/>
    </row>
    <row r="66" spans="4:13" ht="16" hidden="1" x14ac:dyDescent="0.35">
      <c r="D66" s="392" t="e">
        <f t="shared" si="3"/>
        <v>#REF!</v>
      </c>
      <c r="E66" s="393"/>
      <c r="F66" s="393"/>
      <c r="G66" s="393"/>
      <c r="H66" s="393"/>
      <c r="I66" s="393"/>
      <c r="J66" s="393"/>
      <c r="K66" s="393"/>
      <c r="L66" s="393"/>
      <c r="M66" s="394"/>
    </row>
    <row r="67" spans="4:13" ht="16" hidden="1" x14ac:dyDescent="0.35">
      <c r="D67" s="392" t="e">
        <f t="shared" si="3"/>
        <v>#REF!</v>
      </c>
      <c r="E67" s="393"/>
      <c r="F67" s="393"/>
      <c r="G67" s="393"/>
      <c r="H67" s="393"/>
      <c r="I67" s="393"/>
      <c r="J67" s="393"/>
      <c r="K67" s="393"/>
      <c r="L67" s="393"/>
      <c r="M67" s="394"/>
    </row>
    <row r="68" spans="4:13" ht="16" hidden="1" x14ac:dyDescent="0.35">
      <c r="D68" s="392" t="e">
        <f t="shared" si="3"/>
        <v>#REF!</v>
      </c>
      <c r="E68" s="393"/>
      <c r="F68" s="393"/>
      <c r="G68" s="393"/>
      <c r="H68" s="393"/>
      <c r="I68" s="393"/>
      <c r="J68" s="393"/>
      <c r="K68" s="393"/>
      <c r="L68" s="393"/>
      <c r="M68" s="394"/>
    </row>
    <row r="69" spans="4:13" ht="16" hidden="1" x14ac:dyDescent="0.35">
      <c r="D69" s="392" t="e">
        <f t="shared" si="3"/>
        <v>#REF!</v>
      </c>
      <c r="E69" s="393"/>
      <c r="F69" s="393"/>
      <c r="G69" s="393"/>
      <c r="H69" s="393"/>
      <c r="I69" s="393"/>
      <c r="J69" s="393"/>
      <c r="K69" s="393"/>
      <c r="L69" s="393"/>
      <c r="M69" s="394"/>
    </row>
    <row r="70" spans="4:13" ht="16" hidden="1" x14ac:dyDescent="0.35">
      <c r="D70" s="392" t="e">
        <f t="shared" si="3"/>
        <v>#REF!</v>
      </c>
      <c r="E70" s="393"/>
      <c r="F70" s="393"/>
      <c r="G70" s="393"/>
      <c r="H70" s="393"/>
      <c r="I70" s="393"/>
      <c r="J70" s="393"/>
      <c r="K70" s="393"/>
      <c r="L70" s="393"/>
      <c r="M70" s="394"/>
    </row>
    <row r="71" spans="4:13" ht="16" hidden="1" x14ac:dyDescent="0.35">
      <c r="D71" s="392" t="e">
        <f t="shared" si="3"/>
        <v>#REF!</v>
      </c>
      <c r="E71" s="393"/>
      <c r="F71" s="393"/>
      <c r="G71" s="393"/>
      <c r="H71" s="393"/>
      <c r="I71" s="393"/>
      <c r="J71" s="393"/>
      <c r="K71" s="393"/>
      <c r="L71" s="393"/>
      <c r="M71" s="394"/>
    </row>
    <row r="72" spans="4:13" ht="16" hidden="1" x14ac:dyDescent="0.35">
      <c r="D72" s="392" t="e">
        <f t="shared" si="3"/>
        <v>#REF!</v>
      </c>
      <c r="E72" s="393"/>
      <c r="F72" s="393"/>
      <c r="G72" s="393"/>
      <c r="H72" s="393"/>
      <c r="I72" s="393"/>
      <c r="J72" s="393"/>
      <c r="K72" s="393"/>
      <c r="L72" s="393"/>
      <c r="M72" s="394"/>
    </row>
    <row r="73" spans="4:13" ht="16" hidden="1" x14ac:dyDescent="0.35">
      <c r="D73" s="392" t="e">
        <f t="shared" si="3"/>
        <v>#REF!</v>
      </c>
      <c r="E73" s="393"/>
      <c r="F73" s="393"/>
      <c r="G73" s="393"/>
      <c r="H73" s="393"/>
      <c r="I73" s="393"/>
      <c r="J73" s="393"/>
      <c r="K73" s="393"/>
      <c r="L73" s="393"/>
      <c r="M73" s="394"/>
    </row>
    <row r="74" spans="4:13" ht="16" hidden="1" x14ac:dyDescent="0.35">
      <c r="D74" s="392" t="str">
        <f>IF(E64="","",IF(_xlfn.CONCAT(E64," ",":"," ",F64," ","-"," ",M64," ",H64&amp;"Min")=$BJ$1,"",_xlfn.CONCAT(E64," ",":"," ",F64," ","-"," ",M64," ",H64&amp;"Min")))</f>
        <v/>
      </c>
      <c r="E74" s="393"/>
      <c r="F74" s="393"/>
      <c r="G74" s="393"/>
      <c r="H74" s="393"/>
      <c r="I74" s="393"/>
      <c r="J74" s="393"/>
      <c r="K74" s="393"/>
      <c r="L74" s="393"/>
      <c r="M74" s="394"/>
    </row>
    <row r="75" spans="4:13" ht="16" hidden="1" x14ac:dyDescent="0.35">
      <c r="D75" s="392" t="str">
        <f>IF(E65="","",IF(_xlfn.CONCAT(E65," ",":"," ",F65," ","-"," ",M65," ",H65&amp;"Min")=$BJ$1,"",_xlfn.CONCAT(E65," ",":"," ",F65," ","-"," ",M65," ",H65&amp;"Min")))</f>
        <v/>
      </c>
      <c r="E75" s="393"/>
      <c r="F75" s="393"/>
      <c r="G75" s="393"/>
      <c r="H75" s="393"/>
      <c r="I75" s="393"/>
      <c r="J75" s="393"/>
      <c r="K75" s="393"/>
      <c r="L75" s="393"/>
      <c r="M75" s="394"/>
    </row>
    <row r="76" spans="4:13" ht="16.5" hidden="1" thickBot="1" x14ac:dyDescent="0.4">
      <c r="D76" s="409" t="str">
        <f>IF(E66="","",IF(_xlfn.CONCAT(E66," ",":"," ",F66," ","-"," ",M66," ",H66&amp;"Min")=$BJ$1,"",_xlfn.CONCAT(E66," ",":"," ",F66," ","-"," ",M66," ",H66&amp;"Min")))</f>
        <v/>
      </c>
      <c r="E76" s="410"/>
      <c r="F76" s="410"/>
      <c r="G76" s="410"/>
      <c r="H76" s="410"/>
      <c r="I76" s="410"/>
      <c r="J76" s="410"/>
      <c r="K76" s="410"/>
      <c r="L76" s="410"/>
      <c r="M76" s="411"/>
    </row>
    <row r="1048526" s="89" customFormat="1" ht="14.5" hidden="1" x14ac:dyDescent="0.35"/>
    <row r="1048527" s="89" customFormat="1" ht="14.5" hidden="1" x14ac:dyDescent="0.35"/>
    <row r="1048528" s="89" customFormat="1" ht="14.5" hidden="1" x14ac:dyDescent="0.35"/>
    <row r="1048529" s="89" customFormat="1" ht="14.5" hidden="1" x14ac:dyDescent="0.35"/>
  </sheetData>
  <mergeCells count="34">
    <mergeCell ref="D72:M72"/>
    <mergeCell ref="D73:M73"/>
    <mergeCell ref="D74:M74"/>
    <mergeCell ref="D75:M75"/>
    <mergeCell ref="D76:M76"/>
    <mergeCell ref="D71:M71"/>
    <mergeCell ref="N9:P9"/>
    <mergeCell ref="N10:P10"/>
    <mergeCell ref="B11:D14"/>
    <mergeCell ref="N11:P11"/>
    <mergeCell ref="F54:L54"/>
    <mergeCell ref="D65:M65"/>
    <mergeCell ref="D66:M66"/>
    <mergeCell ref="D67:M67"/>
    <mergeCell ref="D68:M68"/>
    <mergeCell ref="D69:M69"/>
    <mergeCell ref="D70:M70"/>
    <mergeCell ref="N12:P12"/>
    <mergeCell ref="N13:P13"/>
    <mergeCell ref="B6:C6"/>
    <mergeCell ref="N6:P6"/>
    <mergeCell ref="B7:C7"/>
    <mergeCell ref="N7:P7"/>
    <mergeCell ref="B8:C8"/>
    <mergeCell ref="N8:P8"/>
    <mergeCell ref="AA1:AD1"/>
    <mergeCell ref="B2:C2"/>
    <mergeCell ref="D2:P2"/>
    <mergeCell ref="B4:C5"/>
    <mergeCell ref="D4:D5"/>
    <mergeCell ref="E4:H4"/>
    <mergeCell ref="I4:L4"/>
    <mergeCell ref="M4:P4"/>
    <mergeCell ref="N5:P5"/>
  </mergeCells>
  <conditionalFormatting sqref="D8">
    <cfRule type="containsBlanks" dxfId="164" priority="1">
      <formula>LEN(TRIM(D8))=0</formula>
    </cfRule>
    <cfRule type="cellIs" dxfId="163" priority="2" operator="greaterThanOrEqual">
      <formula>D7</formula>
    </cfRule>
    <cfRule type="cellIs" dxfId="162" priority="3" operator="lessThan">
      <formula>D7</formula>
    </cfRule>
  </conditionalFormatting>
  <conditionalFormatting sqref="J7 L7">
    <cfRule type="containsBlanks" dxfId="161" priority="19">
      <formula>LEN(TRIM(J7))=0</formula>
    </cfRule>
    <cfRule type="cellIs" dxfId="160" priority="20" operator="greaterThanOrEqual">
      <formula>J6</formula>
    </cfRule>
    <cfRule type="cellIs" dxfId="159" priority="21" operator="lessThan">
      <formula>J6</formula>
    </cfRule>
  </conditionalFormatting>
  <conditionalFormatting sqref="J9:L9">
    <cfRule type="containsBlanks" dxfId="158" priority="13">
      <formula>LEN(TRIM(J9))=0</formula>
    </cfRule>
    <cfRule type="cellIs" dxfId="157" priority="14" operator="greaterThanOrEqual">
      <formula>J8</formula>
    </cfRule>
    <cfRule type="cellIs" dxfId="156" priority="15" operator="lessThan">
      <formula>J8</formula>
    </cfRule>
  </conditionalFormatting>
  <hyperlinks>
    <hyperlink ref="B4:C5" location="'Data Sheet'!A1" display="Data Sheet" xr:uid="{F61F3420-5571-449A-AE0F-CBD836E4F855}"/>
  </hyperlinks>
  <pageMargins left="0.7" right="0.7" top="0.75" bottom="0.75" header="0.3" footer="0.3"/>
  <pageSetup paperSize="9" orientation="portrait" r:id="rId1"/>
  <headerFooter>
    <oddFooter>&amp;C_x000D_&amp;1#&amp;"Calibri"&amp;10&amp;K000000 Mondelez International Internal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68859-4569-4C6D-BAA0-918C9F783DA6}">
  <dimension ref="A1:F200"/>
  <sheetViews>
    <sheetView showGridLines="0" topLeftCell="A161" workbookViewId="0">
      <selection activeCell="D177" sqref="D177"/>
    </sheetView>
  </sheetViews>
  <sheetFormatPr defaultRowHeight="14.5" x14ac:dyDescent="0.35"/>
  <cols>
    <col min="1" max="1" width="9.1796875" bestFit="1" customWidth="1"/>
    <col min="2" max="2" width="9.453125" bestFit="1" customWidth="1"/>
    <col min="3" max="3" width="12.453125" bestFit="1" customWidth="1"/>
    <col min="4" max="4" width="9" bestFit="1" customWidth="1"/>
    <col min="5" max="5" width="15.453125" bestFit="1" customWidth="1"/>
    <col min="6" max="6" width="13.81640625" bestFit="1" customWidth="1"/>
  </cols>
  <sheetData>
    <row r="1" spans="1:6" x14ac:dyDescent="0.35">
      <c r="A1" t="s">
        <v>411</v>
      </c>
      <c r="B1" t="s">
        <v>412</v>
      </c>
      <c r="C1" t="s">
        <v>413</v>
      </c>
      <c r="D1" t="s">
        <v>414</v>
      </c>
      <c r="E1" t="s">
        <v>415</v>
      </c>
      <c r="F1" t="s">
        <v>416</v>
      </c>
    </row>
    <row r="2" spans="1:6" x14ac:dyDescent="0.35">
      <c r="A2" s="83">
        <v>46023</v>
      </c>
      <c r="B2">
        <v>31.024000000000001</v>
      </c>
      <c r="C2">
        <v>2496</v>
      </c>
      <c r="D2">
        <v>740</v>
      </c>
      <c r="E2">
        <v>1756</v>
      </c>
      <c r="F2" s="68">
        <v>5.6601340897369776E-2</v>
      </c>
    </row>
    <row r="3" spans="1:6" x14ac:dyDescent="0.35">
      <c r="A3" s="83">
        <v>46024</v>
      </c>
      <c r="B3">
        <v>32.110999999999997</v>
      </c>
      <c r="C3">
        <v>2169</v>
      </c>
      <c r="D3">
        <v>783</v>
      </c>
      <c r="E3">
        <v>1386</v>
      </c>
      <c r="F3" s="68">
        <v>4.3162779109962322E-2</v>
      </c>
    </row>
    <row r="4" spans="1:6" x14ac:dyDescent="0.35">
      <c r="A4" s="83">
        <v>46025</v>
      </c>
      <c r="B4">
        <v>32.082999999999998</v>
      </c>
      <c r="C4">
        <v>2711</v>
      </c>
      <c r="D4">
        <v>673</v>
      </c>
      <c r="E4">
        <v>2038</v>
      </c>
      <c r="F4" s="68">
        <v>6.3522737898575571E-2</v>
      </c>
    </row>
    <row r="5" spans="1:6" x14ac:dyDescent="0.35">
      <c r="A5" s="83">
        <v>46026</v>
      </c>
      <c r="B5">
        <v>41.138000000000005</v>
      </c>
      <c r="C5">
        <v>2911</v>
      </c>
      <c r="D5">
        <v>882</v>
      </c>
      <c r="E5">
        <v>2029</v>
      </c>
      <c r="F5" s="68">
        <v>4.9321794934124162E-2</v>
      </c>
    </row>
    <row r="6" spans="1:6" x14ac:dyDescent="0.35">
      <c r="A6" s="83">
        <v>46027</v>
      </c>
      <c r="B6">
        <v>29.741</v>
      </c>
      <c r="C6">
        <v>2428</v>
      </c>
      <c r="D6">
        <v>1061</v>
      </c>
      <c r="E6">
        <v>1367</v>
      </c>
      <c r="F6" s="68">
        <v>4.5963484751689584E-2</v>
      </c>
    </row>
    <row r="7" spans="1:6" x14ac:dyDescent="0.35">
      <c r="A7" s="83">
        <v>46028</v>
      </c>
      <c r="B7">
        <v>29.884999999999998</v>
      </c>
      <c r="C7">
        <v>2474</v>
      </c>
      <c r="D7">
        <v>779</v>
      </c>
      <c r="E7">
        <v>1695</v>
      </c>
      <c r="F7" s="68">
        <v>5.6717416764263014E-2</v>
      </c>
    </row>
    <row r="8" spans="1:6" x14ac:dyDescent="0.35">
      <c r="A8" s="83">
        <v>46029</v>
      </c>
      <c r="B8">
        <v>28.847999999999999</v>
      </c>
      <c r="C8">
        <v>2525</v>
      </c>
      <c r="D8">
        <v>916</v>
      </c>
      <c r="E8">
        <v>1609</v>
      </c>
      <c r="F8" s="68">
        <v>5.5775097060454797E-2</v>
      </c>
    </row>
    <row r="9" spans="1:6" x14ac:dyDescent="0.35">
      <c r="A9" s="83">
        <v>46030</v>
      </c>
      <c r="B9">
        <v>32.847999999999999</v>
      </c>
      <c r="C9">
        <v>2336</v>
      </c>
      <c r="D9">
        <v>802</v>
      </c>
      <c r="E9">
        <v>1534</v>
      </c>
      <c r="F9" s="68">
        <v>4.6699951290793962E-2</v>
      </c>
    </row>
    <row r="10" spans="1:6" x14ac:dyDescent="0.35">
      <c r="A10" s="83">
        <v>46031</v>
      </c>
      <c r="B10">
        <v>25.177</v>
      </c>
      <c r="C10">
        <v>2091</v>
      </c>
      <c r="D10">
        <v>728</v>
      </c>
      <c r="E10">
        <v>1363</v>
      </c>
      <c r="F10" s="68">
        <v>5.4136712078484334E-2</v>
      </c>
    </row>
    <row r="11" spans="1:6" x14ac:dyDescent="0.35">
      <c r="A11" s="83">
        <v>46032</v>
      </c>
      <c r="B11">
        <v>15.061999999999999</v>
      </c>
      <c r="C11">
        <v>1402</v>
      </c>
      <c r="D11">
        <v>312</v>
      </c>
      <c r="E11">
        <v>1090</v>
      </c>
      <c r="F11" s="68">
        <v>7.2367547470455457E-2</v>
      </c>
    </row>
    <row r="12" spans="1:6" x14ac:dyDescent="0.35">
      <c r="A12" s="83">
        <v>46033</v>
      </c>
      <c r="B12">
        <v>31.504999999999999</v>
      </c>
      <c r="C12">
        <v>2269</v>
      </c>
      <c r="D12">
        <v>666</v>
      </c>
      <c r="E12">
        <v>1603</v>
      </c>
      <c r="F12" s="68">
        <v>5.0880812569433422E-2</v>
      </c>
    </row>
    <row r="13" spans="1:6" x14ac:dyDescent="0.35">
      <c r="A13" s="83">
        <v>46034</v>
      </c>
      <c r="B13">
        <v>25.975999999999999</v>
      </c>
      <c r="C13">
        <v>2102</v>
      </c>
      <c r="D13">
        <v>820</v>
      </c>
      <c r="E13">
        <v>1282</v>
      </c>
      <c r="F13" s="68">
        <v>4.9353249153064369E-2</v>
      </c>
    </row>
    <row r="14" spans="1:6" x14ac:dyDescent="0.35">
      <c r="A14" s="83">
        <v>46035</v>
      </c>
      <c r="B14">
        <v>35.398999999999994</v>
      </c>
      <c r="C14">
        <v>2198</v>
      </c>
      <c r="D14">
        <v>836</v>
      </c>
      <c r="E14">
        <v>1362</v>
      </c>
      <c r="F14" s="68">
        <v>3.8475663154326399E-2</v>
      </c>
    </row>
    <row r="15" spans="1:6" x14ac:dyDescent="0.35">
      <c r="A15" s="83">
        <v>46036</v>
      </c>
      <c r="B15">
        <v>26.611000000000004</v>
      </c>
      <c r="C15">
        <v>3041</v>
      </c>
      <c r="D15">
        <v>914</v>
      </c>
      <c r="E15">
        <v>2127</v>
      </c>
      <c r="F15" s="68">
        <v>7.9929352523392574E-2</v>
      </c>
    </row>
    <row r="16" spans="1:6" x14ac:dyDescent="0.35">
      <c r="A16" s="83">
        <v>46037</v>
      </c>
      <c r="B16">
        <v>35.313000000000002</v>
      </c>
      <c r="C16">
        <v>2556</v>
      </c>
      <c r="D16">
        <v>858</v>
      </c>
      <c r="E16">
        <v>1698</v>
      </c>
      <c r="F16" s="68">
        <v>4.8084274912921589E-2</v>
      </c>
    </row>
    <row r="17" spans="1:6" x14ac:dyDescent="0.35">
      <c r="A17" s="83">
        <v>46038</v>
      </c>
      <c r="B17">
        <v>39.580999999999996</v>
      </c>
      <c r="C17">
        <v>2254</v>
      </c>
      <c r="D17">
        <v>862</v>
      </c>
      <c r="E17">
        <v>1392</v>
      </c>
      <c r="F17" s="68">
        <v>3.5168388873449391E-2</v>
      </c>
    </row>
    <row r="18" spans="1:6" x14ac:dyDescent="0.35">
      <c r="A18" s="83">
        <v>46039</v>
      </c>
      <c r="B18">
        <v>17.106000000000002</v>
      </c>
      <c r="C18">
        <v>2753</v>
      </c>
      <c r="D18">
        <v>830</v>
      </c>
      <c r="E18">
        <v>1923</v>
      </c>
      <c r="F18" s="68">
        <v>0.11241669589617678</v>
      </c>
    </row>
    <row r="19" spans="1:6" x14ac:dyDescent="0.35">
      <c r="A19" s="83">
        <v>46040</v>
      </c>
      <c r="B19">
        <v>32.561</v>
      </c>
      <c r="C19">
        <v>2465</v>
      </c>
      <c r="D19">
        <v>745</v>
      </c>
      <c r="E19">
        <v>1720</v>
      </c>
      <c r="F19" s="68">
        <v>5.2823930468965941E-2</v>
      </c>
    </row>
    <row r="20" spans="1:6" x14ac:dyDescent="0.35">
      <c r="A20" s="83">
        <v>46041</v>
      </c>
      <c r="B20">
        <v>33.08</v>
      </c>
      <c r="C20">
        <v>2956</v>
      </c>
      <c r="D20">
        <v>908</v>
      </c>
      <c r="E20">
        <v>2048</v>
      </c>
      <c r="F20" s="68">
        <v>6.1910519951632409E-2</v>
      </c>
    </row>
    <row r="21" spans="1:6" x14ac:dyDescent="0.35">
      <c r="A21" s="83">
        <v>46042</v>
      </c>
      <c r="B21">
        <v>36.36</v>
      </c>
      <c r="C21">
        <v>2462</v>
      </c>
      <c r="D21">
        <v>339</v>
      </c>
      <c r="E21">
        <v>2123</v>
      </c>
      <c r="F21" s="68">
        <v>5.8388338833883391E-2</v>
      </c>
    </row>
    <row r="22" spans="1:6" x14ac:dyDescent="0.35">
      <c r="A22" s="83">
        <v>46043</v>
      </c>
      <c r="B22">
        <v>7.8900000000000006</v>
      </c>
      <c r="C22">
        <v>1586</v>
      </c>
      <c r="D22">
        <v>326</v>
      </c>
      <c r="E22">
        <v>1260</v>
      </c>
      <c r="F22" s="68">
        <v>0.15969581749049427</v>
      </c>
    </row>
    <row r="23" spans="1:6" x14ac:dyDescent="0.35">
      <c r="A23" s="83">
        <v>46044</v>
      </c>
      <c r="B23">
        <v>12.139999999999999</v>
      </c>
      <c r="C23">
        <v>2619</v>
      </c>
      <c r="D23">
        <v>691</v>
      </c>
      <c r="E23">
        <v>1928</v>
      </c>
      <c r="F23" s="68">
        <v>0.15881383855024714</v>
      </c>
    </row>
    <row r="24" spans="1:6" x14ac:dyDescent="0.35">
      <c r="A24" s="83">
        <v>46045</v>
      </c>
      <c r="B24">
        <v>13.495999999999999</v>
      </c>
      <c r="C24">
        <v>2971</v>
      </c>
      <c r="D24">
        <v>840</v>
      </c>
      <c r="E24">
        <v>2131</v>
      </c>
      <c r="F24" s="68">
        <v>0.15789863663307649</v>
      </c>
    </row>
    <row r="25" spans="1:6" x14ac:dyDescent="0.35">
      <c r="A25" s="83">
        <v>46046</v>
      </c>
      <c r="B25">
        <v>16.083000000000002</v>
      </c>
      <c r="C25">
        <v>2567</v>
      </c>
      <c r="D25">
        <v>841</v>
      </c>
      <c r="E25">
        <v>1726</v>
      </c>
      <c r="F25" s="68">
        <v>0.1073182863893552</v>
      </c>
    </row>
    <row r="26" spans="1:6" x14ac:dyDescent="0.35">
      <c r="A26" s="83">
        <v>46047</v>
      </c>
      <c r="B26">
        <v>13.587</v>
      </c>
      <c r="C26">
        <v>2433</v>
      </c>
      <c r="D26">
        <v>797</v>
      </c>
      <c r="E26">
        <v>1636</v>
      </c>
      <c r="F26" s="68">
        <v>0.12040921469051299</v>
      </c>
    </row>
    <row r="27" spans="1:6" x14ac:dyDescent="0.35">
      <c r="A27" s="83">
        <v>46049</v>
      </c>
      <c r="B27">
        <v>16.751999999999999</v>
      </c>
      <c r="C27">
        <v>2044</v>
      </c>
      <c r="D27">
        <v>178</v>
      </c>
      <c r="E27">
        <v>1866</v>
      </c>
      <c r="F27" s="68">
        <v>0.11138968481375358</v>
      </c>
    </row>
    <row r="28" spans="1:6" x14ac:dyDescent="0.35">
      <c r="A28" s="83">
        <v>46050</v>
      </c>
      <c r="B28">
        <v>31.683</v>
      </c>
      <c r="C28">
        <v>2653</v>
      </c>
      <c r="D28">
        <v>713</v>
      </c>
      <c r="E28">
        <v>1940</v>
      </c>
      <c r="F28" s="68">
        <v>6.1231575292743742E-2</v>
      </c>
    </row>
    <row r="29" spans="1:6" x14ac:dyDescent="0.35">
      <c r="A29" s="83">
        <v>46051</v>
      </c>
      <c r="B29">
        <v>32.003999999999998</v>
      </c>
      <c r="C29">
        <v>2584</v>
      </c>
      <c r="D29">
        <v>740</v>
      </c>
      <c r="E29">
        <v>1844</v>
      </c>
      <c r="F29" s="68">
        <v>5.7617797775278097E-2</v>
      </c>
    </row>
    <row r="30" spans="1:6" x14ac:dyDescent="0.35">
      <c r="A30" s="83">
        <v>46052</v>
      </c>
      <c r="B30">
        <v>38.448999999999998</v>
      </c>
      <c r="C30">
        <v>2788</v>
      </c>
      <c r="D30">
        <v>300</v>
      </c>
      <c r="E30">
        <v>2488</v>
      </c>
      <c r="F30" s="68">
        <v>6.4709095165023794E-2</v>
      </c>
    </row>
    <row r="31" spans="1:6" x14ac:dyDescent="0.35">
      <c r="A31" s="83">
        <v>46053</v>
      </c>
      <c r="B31">
        <v>29.402999999999999</v>
      </c>
      <c r="C31">
        <v>2933</v>
      </c>
      <c r="D31">
        <v>340</v>
      </c>
      <c r="E31">
        <v>2593</v>
      </c>
      <c r="F31" s="68">
        <v>8.8188280107472025E-2</v>
      </c>
    </row>
    <row r="32" spans="1:6" x14ac:dyDescent="0.35">
      <c r="A32" s="83">
        <v>46054</v>
      </c>
      <c r="B32">
        <v>28.798999999999999</v>
      </c>
      <c r="C32">
        <v>3628</v>
      </c>
      <c r="D32">
        <v>855</v>
      </c>
      <c r="E32">
        <v>2773</v>
      </c>
      <c r="F32" s="68">
        <v>9.6288065557831884E-2</v>
      </c>
    </row>
    <row r="33" spans="1:6" x14ac:dyDescent="0.35">
      <c r="A33" s="83">
        <v>46055</v>
      </c>
      <c r="B33">
        <v>19.171999999999997</v>
      </c>
      <c r="C33">
        <v>1553</v>
      </c>
      <c r="D33">
        <v>302</v>
      </c>
      <c r="E33">
        <v>1251</v>
      </c>
      <c r="F33" s="68">
        <v>6.5251408303776348E-2</v>
      </c>
    </row>
    <row r="34" spans="1:6" x14ac:dyDescent="0.35">
      <c r="A34" s="83">
        <v>46056</v>
      </c>
      <c r="B34">
        <v>26.468</v>
      </c>
      <c r="C34">
        <v>2888</v>
      </c>
      <c r="D34">
        <v>703</v>
      </c>
      <c r="E34">
        <v>2185</v>
      </c>
      <c r="F34" s="68">
        <v>8.255251624603295E-2</v>
      </c>
    </row>
    <row r="35" spans="1:6" x14ac:dyDescent="0.35">
      <c r="A35" s="83">
        <v>46057</v>
      </c>
      <c r="B35">
        <v>26.853999999999999</v>
      </c>
      <c r="C35">
        <v>2448</v>
      </c>
      <c r="D35">
        <v>768</v>
      </c>
      <c r="E35">
        <v>1680</v>
      </c>
      <c r="F35" s="68">
        <v>6.2560512400387278E-2</v>
      </c>
    </row>
    <row r="36" spans="1:6" x14ac:dyDescent="0.35">
      <c r="A36" s="83">
        <v>46058</v>
      </c>
      <c r="B36">
        <v>24.436</v>
      </c>
      <c r="C36">
        <v>2578</v>
      </c>
      <c r="D36">
        <v>930</v>
      </c>
      <c r="E36">
        <v>1648</v>
      </c>
      <c r="F36" s="68">
        <v>6.7441479783925354E-2</v>
      </c>
    </row>
    <row r="37" spans="1:6" x14ac:dyDescent="0.35">
      <c r="A37" s="83">
        <v>46059</v>
      </c>
      <c r="B37">
        <v>25.570999999999998</v>
      </c>
      <c r="C37">
        <v>2680</v>
      </c>
      <c r="D37">
        <v>831</v>
      </c>
      <c r="E37">
        <v>1849</v>
      </c>
      <c r="F37" s="68">
        <v>7.2308474443705764E-2</v>
      </c>
    </row>
    <row r="38" spans="1:6" x14ac:dyDescent="0.35">
      <c r="A38" s="83">
        <v>46060</v>
      </c>
      <c r="B38">
        <v>24.286000000000001</v>
      </c>
      <c r="C38">
        <v>2750</v>
      </c>
      <c r="D38">
        <v>927</v>
      </c>
      <c r="E38">
        <v>1823</v>
      </c>
      <c r="F38" s="68">
        <v>7.5063822778555542E-2</v>
      </c>
    </row>
    <row r="39" spans="1:6" x14ac:dyDescent="0.35">
      <c r="A39" s="83">
        <v>46061</v>
      </c>
      <c r="B39">
        <v>27.077000000000002</v>
      </c>
      <c r="C39">
        <v>2562</v>
      </c>
      <c r="D39">
        <v>677</v>
      </c>
      <c r="E39">
        <v>1885</v>
      </c>
      <c r="F39" s="68">
        <v>6.9616279499205971E-2</v>
      </c>
    </row>
    <row r="40" spans="1:6" x14ac:dyDescent="0.35">
      <c r="A40" s="83">
        <v>46062</v>
      </c>
      <c r="B40">
        <v>26.074999999999999</v>
      </c>
      <c r="C40">
        <v>2228</v>
      </c>
      <c r="D40">
        <v>921</v>
      </c>
      <c r="E40">
        <v>1307</v>
      </c>
      <c r="F40" s="68">
        <v>5.012464046021093E-2</v>
      </c>
    </row>
    <row r="41" spans="1:6" x14ac:dyDescent="0.35">
      <c r="A41" s="83">
        <v>46063</v>
      </c>
      <c r="B41">
        <v>21.754999999999999</v>
      </c>
      <c r="C41">
        <v>2398</v>
      </c>
      <c r="D41">
        <v>979</v>
      </c>
      <c r="E41">
        <v>1419</v>
      </c>
      <c r="F41" s="68">
        <v>6.5226384739140428E-2</v>
      </c>
    </row>
    <row r="42" spans="1:6" x14ac:dyDescent="0.35">
      <c r="A42" s="83">
        <v>46064</v>
      </c>
      <c r="B42">
        <v>17.350999999999999</v>
      </c>
      <c r="C42">
        <v>2397</v>
      </c>
      <c r="D42">
        <v>808</v>
      </c>
      <c r="E42">
        <v>1589</v>
      </c>
      <c r="F42" s="68">
        <v>9.1579736038268689E-2</v>
      </c>
    </row>
    <row r="43" spans="1:6" x14ac:dyDescent="0.35">
      <c r="A43" s="83">
        <v>46065</v>
      </c>
      <c r="B43">
        <v>24.058000000000003</v>
      </c>
      <c r="C43">
        <v>2493</v>
      </c>
      <c r="D43">
        <v>422</v>
      </c>
      <c r="E43">
        <v>2071</v>
      </c>
      <c r="F43" s="68">
        <v>8.6083631224540685E-2</v>
      </c>
    </row>
    <row r="44" spans="1:6" x14ac:dyDescent="0.35">
      <c r="A44" s="83">
        <v>46066</v>
      </c>
      <c r="B44">
        <v>28.078000000000003</v>
      </c>
      <c r="C44">
        <v>2498</v>
      </c>
      <c r="D44">
        <v>724</v>
      </c>
      <c r="E44">
        <v>1774</v>
      </c>
      <c r="F44" s="68">
        <v>6.3181138257710656E-2</v>
      </c>
    </row>
    <row r="45" spans="1:6" x14ac:dyDescent="0.35">
      <c r="A45" s="83">
        <v>46067</v>
      </c>
      <c r="B45">
        <v>15.553000000000001</v>
      </c>
      <c r="C45">
        <v>1500</v>
      </c>
      <c r="D45">
        <v>336</v>
      </c>
      <c r="E45">
        <v>1164</v>
      </c>
      <c r="F45" s="68">
        <v>7.4840866713817275E-2</v>
      </c>
    </row>
    <row r="46" spans="1:6" x14ac:dyDescent="0.35">
      <c r="A46" s="83">
        <v>46068</v>
      </c>
      <c r="B46">
        <v>30.719000000000001</v>
      </c>
      <c r="C46">
        <v>2401</v>
      </c>
      <c r="D46">
        <v>578</v>
      </c>
      <c r="E46">
        <v>1823</v>
      </c>
      <c r="F46" s="68">
        <v>5.934437969986002E-2</v>
      </c>
    </row>
    <row r="47" spans="1:6" x14ac:dyDescent="0.35">
      <c r="A47" s="83">
        <v>46069</v>
      </c>
      <c r="B47">
        <v>35.718999999999994</v>
      </c>
      <c r="C47">
        <v>2452</v>
      </c>
      <c r="D47">
        <v>884</v>
      </c>
      <c r="E47">
        <v>1568</v>
      </c>
      <c r="F47" s="68">
        <v>4.3898205436882339E-2</v>
      </c>
    </row>
    <row r="48" spans="1:6" x14ac:dyDescent="0.35">
      <c r="A48" s="83">
        <v>46070</v>
      </c>
      <c r="B48">
        <v>36.929000000000002</v>
      </c>
      <c r="C48">
        <v>2171</v>
      </c>
      <c r="D48">
        <v>891</v>
      </c>
      <c r="E48">
        <v>1280</v>
      </c>
      <c r="F48" s="68">
        <v>3.4661106447507382E-2</v>
      </c>
    </row>
    <row r="49" spans="1:6" x14ac:dyDescent="0.35">
      <c r="A49" s="83">
        <v>46071</v>
      </c>
      <c r="B49">
        <v>34.983999999999995</v>
      </c>
      <c r="C49">
        <v>2695</v>
      </c>
      <c r="D49">
        <v>801</v>
      </c>
      <c r="E49">
        <v>1894</v>
      </c>
      <c r="F49" s="68">
        <v>5.4139034987422834E-2</v>
      </c>
    </row>
    <row r="50" spans="1:6" x14ac:dyDescent="0.35">
      <c r="A50" s="83">
        <v>46072</v>
      </c>
      <c r="B50">
        <v>36.533000000000001</v>
      </c>
      <c r="C50">
        <v>2399</v>
      </c>
      <c r="D50">
        <v>828</v>
      </c>
      <c r="E50">
        <v>1571</v>
      </c>
      <c r="F50" s="68">
        <v>4.3002217173514358E-2</v>
      </c>
    </row>
    <row r="51" spans="1:6" x14ac:dyDescent="0.35">
      <c r="A51" s="83">
        <v>46073</v>
      </c>
      <c r="B51">
        <v>35.912999999999997</v>
      </c>
      <c r="C51">
        <v>2668</v>
      </c>
      <c r="D51">
        <v>1004</v>
      </c>
      <c r="E51">
        <v>1664</v>
      </c>
      <c r="F51" s="68">
        <v>4.6334196530504274E-2</v>
      </c>
    </row>
    <row r="52" spans="1:6" x14ac:dyDescent="0.35">
      <c r="A52" s="83">
        <v>46074</v>
      </c>
      <c r="B52">
        <v>34.728999999999999</v>
      </c>
      <c r="C52">
        <v>2995</v>
      </c>
      <c r="D52">
        <v>811</v>
      </c>
      <c r="E52">
        <v>2184</v>
      </c>
      <c r="F52" s="68">
        <v>6.2886924472342995E-2</v>
      </c>
    </row>
    <row r="53" spans="1:6" x14ac:dyDescent="0.35">
      <c r="A53" s="83">
        <v>46075</v>
      </c>
      <c r="B53">
        <v>18.138000000000002</v>
      </c>
      <c r="C53">
        <v>2606</v>
      </c>
      <c r="D53">
        <v>885</v>
      </c>
      <c r="E53">
        <v>1721</v>
      </c>
      <c r="F53" s="68">
        <v>9.4883669643841664E-2</v>
      </c>
    </row>
    <row r="54" spans="1:6" x14ac:dyDescent="0.35">
      <c r="A54" s="83">
        <v>46076</v>
      </c>
      <c r="B54">
        <v>51.300999999999995</v>
      </c>
      <c r="C54">
        <v>2068</v>
      </c>
      <c r="D54">
        <v>648</v>
      </c>
      <c r="E54">
        <v>1420</v>
      </c>
      <c r="F54" s="68">
        <v>2.7679772324126242E-2</v>
      </c>
    </row>
    <row r="55" spans="1:6" x14ac:dyDescent="0.35">
      <c r="A55" s="83">
        <v>46077</v>
      </c>
      <c r="B55">
        <v>29.687999999999999</v>
      </c>
      <c r="C55">
        <v>2147</v>
      </c>
      <c r="D55">
        <v>1061</v>
      </c>
      <c r="E55">
        <v>1086</v>
      </c>
      <c r="F55" s="68">
        <v>3.6580436540016179E-2</v>
      </c>
    </row>
    <row r="56" spans="1:6" x14ac:dyDescent="0.35">
      <c r="A56" s="83">
        <v>46078</v>
      </c>
      <c r="B56">
        <v>26.126999999999999</v>
      </c>
      <c r="C56">
        <v>2549</v>
      </c>
      <c r="D56">
        <v>934</v>
      </c>
      <c r="E56">
        <v>1615</v>
      </c>
      <c r="F56" s="68">
        <v>6.1813449688062155E-2</v>
      </c>
    </row>
    <row r="57" spans="1:6" x14ac:dyDescent="0.35">
      <c r="A57" s="83">
        <v>46079</v>
      </c>
      <c r="B57">
        <v>24.029</v>
      </c>
      <c r="C57">
        <v>3106</v>
      </c>
      <c r="D57">
        <v>990</v>
      </c>
      <c r="E57">
        <v>2116</v>
      </c>
      <c r="F57" s="68">
        <v>8.8060260518540101E-2</v>
      </c>
    </row>
    <row r="58" spans="1:6" x14ac:dyDescent="0.35">
      <c r="A58" s="83">
        <v>46080</v>
      </c>
      <c r="B58">
        <v>2.3729999999999998</v>
      </c>
      <c r="C58">
        <v>0</v>
      </c>
      <c r="D58">
        <v>0</v>
      </c>
      <c r="E58">
        <v>0</v>
      </c>
      <c r="F58" s="68">
        <v>0</v>
      </c>
    </row>
    <row r="59" spans="1:6" x14ac:dyDescent="0.35">
      <c r="A59" s="83">
        <v>46081</v>
      </c>
      <c r="B59">
        <v>4.9560000000000004</v>
      </c>
      <c r="C59">
        <v>0</v>
      </c>
      <c r="D59">
        <v>0</v>
      </c>
      <c r="E59">
        <v>0</v>
      </c>
      <c r="F59" s="68">
        <v>0</v>
      </c>
    </row>
    <row r="60" spans="1:6" x14ac:dyDescent="0.35">
      <c r="A60" s="83">
        <v>46082</v>
      </c>
      <c r="B60">
        <v>6.6690000000000005</v>
      </c>
      <c r="C60">
        <v>0</v>
      </c>
      <c r="D60">
        <v>0</v>
      </c>
      <c r="E60">
        <v>0</v>
      </c>
      <c r="F60" s="68">
        <v>0</v>
      </c>
    </row>
    <row r="61" spans="1:6" x14ac:dyDescent="0.35">
      <c r="A61" s="83">
        <v>46083</v>
      </c>
      <c r="B61">
        <v>4.3970000000000002</v>
      </c>
      <c r="C61">
        <v>685</v>
      </c>
      <c r="D61">
        <v>40</v>
      </c>
      <c r="E61">
        <v>645</v>
      </c>
      <c r="F61" s="68">
        <v>0.14669092563111211</v>
      </c>
    </row>
    <row r="62" spans="1:6" x14ac:dyDescent="0.35">
      <c r="A62" s="83">
        <v>46084</v>
      </c>
      <c r="B62">
        <v>26.835000000000001</v>
      </c>
      <c r="C62">
        <v>2757</v>
      </c>
      <c r="D62">
        <v>828</v>
      </c>
      <c r="E62">
        <v>1929</v>
      </c>
      <c r="F62" s="68">
        <v>7.1883733929569593E-2</v>
      </c>
    </row>
    <row r="63" spans="1:6" x14ac:dyDescent="0.35">
      <c r="A63" s="83">
        <v>46086</v>
      </c>
      <c r="B63">
        <v>23.518000000000001</v>
      </c>
      <c r="C63">
        <v>2807</v>
      </c>
      <c r="D63">
        <v>597</v>
      </c>
      <c r="E63">
        <v>2210</v>
      </c>
      <c r="F63" s="68">
        <v>9.3970575729228678E-2</v>
      </c>
    </row>
    <row r="64" spans="1:6" x14ac:dyDescent="0.35">
      <c r="A64" s="83">
        <v>46087</v>
      </c>
      <c r="B64">
        <v>30.522000000000002</v>
      </c>
      <c r="C64">
        <v>2253</v>
      </c>
      <c r="D64">
        <v>924</v>
      </c>
      <c r="E64">
        <v>1329</v>
      </c>
      <c r="F64" s="68">
        <v>4.3542362885787299E-2</v>
      </c>
    </row>
    <row r="65" spans="1:6" x14ac:dyDescent="0.35">
      <c r="A65" s="83">
        <v>46088</v>
      </c>
      <c r="B65">
        <v>31.856999999999999</v>
      </c>
      <c r="C65">
        <v>2619</v>
      </c>
      <c r="D65">
        <v>909</v>
      </c>
      <c r="E65">
        <v>1710</v>
      </c>
      <c r="F65" s="68">
        <v>5.3677370750541485E-2</v>
      </c>
    </row>
    <row r="66" spans="1:6" x14ac:dyDescent="0.35">
      <c r="A66" s="83">
        <v>46089</v>
      </c>
      <c r="B66">
        <v>31.325000000000003</v>
      </c>
      <c r="C66">
        <v>2578</v>
      </c>
      <c r="D66">
        <v>975</v>
      </c>
      <c r="E66">
        <v>1603</v>
      </c>
      <c r="F66" s="68">
        <v>5.1173184357541895E-2</v>
      </c>
    </row>
    <row r="67" spans="1:6" x14ac:dyDescent="0.35">
      <c r="A67" s="83">
        <v>46090</v>
      </c>
      <c r="B67">
        <v>25.384999999999998</v>
      </c>
      <c r="C67">
        <v>2527</v>
      </c>
      <c r="D67">
        <v>852</v>
      </c>
      <c r="E67">
        <v>1675</v>
      </c>
      <c r="F67" s="68">
        <v>6.5983848729564712E-2</v>
      </c>
    </row>
    <row r="68" spans="1:6" x14ac:dyDescent="0.35">
      <c r="A68" s="83">
        <v>46091</v>
      </c>
      <c r="B68">
        <v>31.262999999999998</v>
      </c>
      <c r="C68">
        <v>2284</v>
      </c>
      <c r="D68">
        <v>870</v>
      </c>
      <c r="E68">
        <v>1414</v>
      </c>
      <c r="F68" s="68">
        <v>4.5229184659181784E-2</v>
      </c>
    </row>
    <row r="69" spans="1:6" x14ac:dyDescent="0.35">
      <c r="A69" s="83">
        <v>46092</v>
      </c>
      <c r="B69">
        <v>33.093999999999994</v>
      </c>
      <c r="C69">
        <v>2804</v>
      </c>
      <c r="D69">
        <v>808</v>
      </c>
      <c r="E69">
        <v>1996</v>
      </c>
      <c r="F69" s="68">
        <v>6.0313047682359351E-2</v>
      </c>
    </row>
    <row r="70" spans="1:6" x14ac:dyDescent="0.35">
      <c r="A70" s="83">
        <v>46093</v>
      </c>
      <c r="B70">
        <v>26.738</v>
      </c>
      <c r="C70">
        <v>2324</v>
      </c>
      <c r="D70">
        <v>745</v>
      </c>
      <c r="E70">
        <v>1579</v>
      </c>
      <c r="F70" s="68">
        <v>5.9054529134565041E-2</v>
      </c>
    </row>
    <row r="71" spans="1:6" x14ac:dyDescent="0.35">
      <c r="A71" s="83">
        <v>46094</v>
      </c>
      <c r="B71">
        <v>30.992000000000001</v>
      </c>
      <c r="C71">
        <v>2530</v>
      </c>
      <c r="D71">
        <v>894</v>
      </c>
      <c r="E71">
        <v>1636</v>
      </c>
      <c r="F71" s="68">
        <v>5.2787816210635011E-2</v>
      </c>
    </row>
    <row r="72" spans="1:6" x14ac:dyDescent="0.35">
      <c r="A72" s="83">
        <v>46095</v>
      </c>
      <c r="B72">
        <v>11.534000000000001</v>
      </c>
      <c r="C72">
        <v>1728</v>
      </c>
      <c r="D72">
        <v>427</v>
      </c>
      <c r="E72">
        <v>1301</v>
      </c>
      <c r="F72" s="68">
        <v>0.11279694815328592</v>
      </c>
    </row>
    <row r="73" spans="1:6" x14ac:dyDescent="0.35">
      <c r="A73" s="83">
        <v>46096</v>
      </c>
      <c r="B73">
        <v>22.745999999999999</v>
      </c>
      <c r="C73">
        <v>2344</v>
      </c>
      <c r="D73">
        <v>834</v>
      </c>
      <c r="E73">
        <v>1510</v>
      </c>
      <c r="F73" s="68">
        <v>6.6385298514024443E-2</v>
      </c>
    </row>
    <row r="74" spans="1:6" x14ac:dyDescent="0.35">
      <c r="A74" s="83">
        <v>46097</v>
      </c>
      <c r="B74">
        <v>26.187999999999999</v>
      </c>
      <c r="C74">
        <v>2044</v>
      </c>
      <c r="D74">
        <v>821</v>
      </c>
      <c r="E74">
        <v>1223</v>
      </c>
      <c r="F74" s="68">
        <v>4.6700778982740186E-2</v>
      </c>
    </row>
    <row r="75" spans="1:6" x14ac:dyDescent="0.35">
      <c r="A75" s="83">
        <v>46098</v>
      </c>
      <c r="B75">
        <v>27.544</v>
      </c>
      <c r="C75">
        <v>2600</v>
      </c>
      <c r="D75">
        <v>859</v>
      </c>
      <c r="E75">
        <v>1741</v>
      </c>
      <c r="F75" s="68">
        <v>6.3207958176009299E-2</v>
      </c>
    </row>
    <row r="76" spans="1:6" x14ac:dyDescent="0.35">
      <c r="A76" s="83">
        <v>46099</v>
      </c>
      <c r="B76">
        <v>30.247</v>
      </c>
      <c r="C76">
        <v>2504</v>
      </c>
      <c r="D76">
        <v>935</v>
      </c>
      <c r="E76">
        <v>1569</v>
      </c>
      <c r="F76" s="68">
        <v>5.1872913016166894E-2</v>
      </c>
    </row>
    <row r="77" spans="1:6" x14ac:dyDescent="0.35">
      <c r="A77" s="83">
        <v>46100</v>
      </c>
      <c r="B77">
        <v>28.507000000000001</v>
      </c>
      <c r="C77">
        <v>2313</v>
      </c>
      <c r="D77">
        <v>941</v>
      </c>
      <c r="E77">
        <v>1372</v>
      </c>
      <c r="F77" s="68">
        <v>4.8128529834777424E-2</v>
      </c>
    </row>
    <row r="78" spans="1:6" x14ac:dyDescent="0.35">
      <c r="A78" s="83">
        <v>46101</v>
      </c>
      <c r="B78">
        <v>29.002000000000002</v>
      </c>
      <c r="C78">
        <v>2730</v>
      </c>
      <c r="D78">
        <v>839</v>
      </c>
      <c r="E78">
        <v>1891</v>
      </c>
      <c r="F78" s="68">
        <v>6.5202399834494162E-2</v>
      </c>
    </row>
    <row r="79" spans="1:6" x14ac:dyDescent="0.35">
      <c r="A79" s="83">
        <v>46102</v>
      </c>
      <c r="B79">
        <v>25.161000000000001</v>
      </c>
      <c r="C79">
        <v>2433</v>
      </c>
      <c r="D79">
        <v>838</v>
      </c>
      <c r="E79">
        <v>1595</v>
      </c>
      <c r="F79" s="68">
        <v>6.339175708437661E-2</v>
      </c>
    </row>
    <row r="80" spans="1:6" x14ac:dyDescent="0.35">
      <c r="A80" s="83">
        <v>46103</v>
      </c>
      <c r="B80">
        <v>31.882999999999999</v>
      </c>
      <c r="C80">
        <v>1950</v>
      </c>
      <c r="D80">
        <v>878</v>
      </c>
      <c r="E80">
        <v>1072</v>
      </c>
      <c r="F80" s="68">
        <v>3.3622933851895992E-2</v>
      </c>
    </row>
    <row r="81" spans="1:6" x14ac:dyDescent="0.35">
      <c r="A81" s="83">
        <v>46104</v>
      </c>
      <c r="B81">
        <v>14.124000000000001</v>
      </c>
      <c r="C81">
        <v>2886</v>
      </c>
      <c r="D81">
        <v>858</v>
      </c>
      <c r="E81">
        <v>2028</v>
      </c>
      <c r="F81" s="68">
        <v>0.14358538657604078</v>
      </c>
    </row>
    <row r="82" spans="1:6" x14ac:dyDescent="0.35">
      <c r="A82" s="83">
        <v>46105</v>
      </c>
      <c r="B82">
        <v>18.900999999999996</v>
      </c>
      <c r="C82">
        <v>1246</v>
      </c>
      <c r="D82">
        <v>636</v>
      </c>
      <c r="E82">
        <v>610</v>
      </c>
      <c r="F82" s="68">
        <v>3.2273424686524527E-2</v>
      </c>
    </row>
    <row r="83" spans="1:6" x14ac:dyDescent="0.35">
      <c r="A83" s="83">
        <v>46106</v>
      </c>
      <c r="B83">
        <v>39.721000000000004</v>
      </c>
      <c r="C83">
        <v>1889</v>
      </c>
      <c r="D83">
        <v>1018</v>
      </c>
      <c r="E83">
        <v>871</v>
      </c>
      <c r="F83" s="68">
        <v>2.1927947433347601E-2</v>
      </c>
    </row>
    <row r="84" spans="1:6" x14ac:dyDescent="0.35">
      <c r="A84" s="83">
        <v>46107</v>
      </c>
      <c r="B84">
        <v>27.024000000000001</v>
      </c>
      <c r="C84">
        <v>2432</v>
      </c>
      <c r="D84">
        <v>766</v>
      </c>
      <c r="E84">
        <v>1666</v>
      </c>
      <c r="F84" s="68">
        <v>6.1648904677323861E-2</v>
      </c>
    </row>
    <row r="85" spans="1:6" x14ac:dyDescent="0.35">
      <c r="A85" s="83">
        <v>46108</v>
      </c>
      <c r="B85">
        <v>50.858000000000004</v>
      </c>
      <c r="C85">
        <v>1963</v>
      </c>
      <c r="D85">
        <v>842</v>
      </c>
      <c r="E85">
        <v>1121</v>
      </c>
      <c r="F85" s="68">
        <v>2.2041763341067281E-2</v>
      </c>
    </row>
    <row r="86" spans="1:6" x14ac:dyDescent="0.35">
      <c r="A86" s="83">
        <v>46109</v>
      </c>
      <c r="B86">
        <v>33.621000000000002</v>
      </c>
      <c r="C86">
        <v>2515</v>
      </c>
      <c r="D86">
        <v>777</v>
      </c>
      <c r="E86">
        <v>1738</v>
      </c>
      <c r="F86" s="68">
        <v>5.1693881800065435E-2</v>
      </c>
    </row>
    <row r="87" spans="1:6" x14ac:dyDescent="0.35">
      <c r="A87" s="83">
        <v>46110</v>
      </c>
      <c r="B87">
        <v>37.576000000000001</v>
      </c>
      <c r="C87">
        <v>2439</v>
      </c>
      <c r="D87">
        <v>851</v>
      </c>
      <c r="E87">
        <v>1588</v>
      </c>
      <c r="F87" s="68">
        <v>4.2261017670853739E-2</v>
      </c>
    </row>
    <row r="88" spans="1:6" x14ac:dyDescent="0.35">
      <c r="A88" s="83">
        <v>46111</v>
      </c>
      <c r="B88">
        <v>26.763999999999999</v>
      </c>
      <c r="C88">
        <v>2391</v>
      </c>
      <c r="D88">
        <v>745</v>
      </c>
      <c r="E88">
        <v>1646</v>
      </c>
      <c r="F88" s="68">
        <v>6.1500523090718878E-2</v>
      </c>
    </row>
    <row r="89" spans="1:6" x14ac:dyDescent="0.35">
      <c r="A89" s="83">
        <v>46112</v>
      </c>
      <c r="B89">
        <v>31.056000000000001</v>
      </c>
      <c r="C89">
        <v>2450</v>
      </c>
      <c r="D89">
        <v>787</v>
      </c>
      <c r="E89">
        <v>1663</v>
      </c>
      <c r="F89" s="68">
        <v>5.3548428645028338E-2</v>
      </c>
    </row>
    <row r="90" spans="1:6" x14ac:dyDescent="0.35">
      <c r="A90" s="83">
        <v>46113</v>
      </c>
      <c r="B90">
        <v>35.326999999999998</v>
      </c>
      <c r="C90">
        <v>2826</v>
      </c>
      <c r="D90">
        <v>1012</v>
      </c>
      <c r="E90">
        <v>1814</v>
      </c>
      <c r="F90" s="68">
        <v>5.1348826676479747E-2</v>
      </c>
    </row>
    <row r="91" spans="1:6" x14ac:dyDescent="0.35">
      <c r="A91" s="83">
        <v>46114</v>
      </c>
      <c r="B91">
        <v>35.056000000000004</v>
      </c>
      <c r="C91">
        <v>2475</v>
      </c>
      <c r="D91">
        <v>846</v>
      </c>
      <c r="E91">
        <v>1629</v>
      </c>
      <c r="F91" s="68">
        <v>4.6468507530807841E-2</v>
      </c>
    </row>
    <row r="92" spans="1:6" x14ac:dyDescent="0.35">
      <c r="A92" s="83">
        <v>46115</v>
      </c>
      <c r="B92">
        <v>24.759</v>
      </c>
      <c r="C92">
        <v>2216</v>
      </c>
      <c r="D92">
        <v>704</v>
      </c>
      <c r="E92">
        <v>1512</v>
      </c>
      <c r="F92" s="68">
        <v>6.1068702290076333E-2</v>
      </c>
    </row>
    <row r="93" spans="1:6" x14ac:dyDescent="0.35">
      <c r="A93" s="83">
        <v>46116</v>
      </c>
      <c r="B93">
        <v>20.399000000000001</v>
      </c>
      <c r="C93">
        <v>1951</v>
      </c>
      <c r="D93">
        <v>401</v>
      </c>
      <c r="E93">
        <v>1550</v>
      </c>
      <c r="F93" s="68">
        <v>7.598411686847395E-2</v>
      </c>
    </row>
    <row r="94" spans="1:6" x14ac:dyDescent="0.35">
      <c r="A94" s="83">
        <v>46117</v>
      </c>
      <c r="B94">
        <v>32.672999999999995</v>
      </c>
      <c r="C94">
        <v>2516</v>
      </c>
      <c r="D94">
        <v>886</v>
      </c>
      <c r="E94">
        <v>1630</v>
      </c>
      <c r="F94" s="68">
        <v>4.9888286964772141E-2</v>
      </c>
    </row>
    <row r="95" spans="1:6" x14ac:dyDescent="0.35">
      <c r="A95" s="83">
        <v>46118</v>
      </c>
      <c r="B95">
        <v>12.311</v>
      </c>
      <c r="C95">
        <v>2123</v>
      </c>
      <c r="D95">
        <v>870</v>
      </c>
      <c r="E95">
        <v>1253</v>
      </c>
      <c r="F95" s="68">
        <v>0.10177889692145237</v>
      </c>
    </row>
    <row r="96" spans="1:6" x14ac:dyDescent="0.35">
      <c r="A96" s="83">
        <v>46119</v>
      </c>
      <c r="B96">
        <v>28.977</v>
      </c>
      <c r="C96">
        <v>2474</v>
      </c>
      <c r="D96">
        <v>779</v>
      </c>
      <c r="E96">
        <v>1695</v>
      </c>
      <c r="F96" s="68">
        <v>5.8494668185112328E-2</v>
      </c>
    </row>
    <row r="97" spans="1:6" x14ac:dyDescent="0.35">
      <c r="A97" s="83">
        <v>46120</v>
      </c>
      <c r="B97">
        <v>23.362000000000002</v>
      </c>
      <c r="C97">
        <v>2650</v>
      </c>
      <c r="D97">
        <v>969</v>
      </c>
      <c r="E97">
        <v>1681</v>
      </c>
      <c r="F97" s="68">
        <v>7.1954455954113511E-2</v>
      </c>
    </row>
    <row r="98" spans="1:6" x14ac:dyDescent="0.35">
      <c r="A98" s="83">
        <v>46121</v>
      </c>
      <c r="B98">
        <v>29.498999999999999</v>
      </c>
      <c r="C98">
        <v>2507</v>
      </c>
      <c r="D98">
        <v>832</v>
      </c>
      <c r="E98">
        <v>1675</v>
      </c>
      <c r="F98" s="68">
        <v>5.6781585816468354E-2</v>
      </c>
    </row>
    <row r="99" spans="1:6" x14ac:dyDescent="0.35">
      <c r="A99" s="83">
        <v>46122</v>
      </c>
      <c r="B99">
        <v>28.244</v>
      </c>
      <c r="C99">
        <v>2229</v>
      </c>
      <c r="D99">
        <v>846</v>
      </c>
      <c r="E99">
        <v>1383</v>
      </c>
      <c r="F99" s="68">
        <v>4.8966152103101547E-2</v>
      </c>
    </row>
    <row r="100" spans="1:6" x14ac:dyDescent="0.35">
      <c r="A100" s="83">
        <v>46123</v>
      </c>
      <c r="B100">
        <v>32.203000000000003</v>
      </c>
      <c r="C100">
        <v>2549</v>
      </c>
      <c r="D100">
        <v>902</v>
      </c>
      <c r="E100">
        <v>1647</v>
      </c>
      <c r="F100" s="68">
        <v>5.1144303325777095E-2</v>
      </c>
    </row>
    <row r="101" spans="1:6" x14ac:dyDescent="0.35">
      <c r="A101" s="83">
        <v>46124</v>
      </c>
      <c r="B101">
        <v>29.827999999999996</v>
      </c>
      <c r="C101">
        <v>2611</v>
      </c>
      <c r="D101">
        <v>1087</v>
      </c>
      <c r="E101">
        <v>1524</v>
      </c>
      <c r="F101" s="68">
        <v>5.1092932814804891E-2</v>
      </c>
    </row>
    <row r="102" spans="1:6" x14ac:dyDescent="0.35">
      <c r="A102" s="83">
        <v>46125</v>
      </c>
      <c r="B102">
        <v>28.277999999999999</v>
      </c>
      <c r="C102">
        <v>2185</v>
      </c>
      <c r="D102">
        <v>927</v>
      </c>
      <c r="E102">
        <v>1258</v>
      </c>
      <c r="F102" s="68">
        <v>4.4486880260273011E-2</v>
      </c>
    </row>
    <row r="103" spans="1:6" x14ac:dyDescent="0.35">
      <c r="A103" s="83">
        <v>46126</v>
      </c>
      <c r="B103">
        <v>30.227</v>
      </c>
      <c r="C103">
        <v>1741</v>
      </c>
      <c r="D103">
        <v>929</v>
      </c>
      <c r="E103">
        <v>812</v>
      </c>
      <c r="F103" s="68">
        <v>2.6863400271280643E-2</v>
      </c>
    </row>
    <row r="104" spans="1:6" x14ac:dyDescent="0.35">
      <c r="A104" s="83">
        <v>46127</v>
      </c>
      <c r="B104">
        <v>27.381</v>
      </c>
      <c r="C104">
        <v>1955</v>
      </c>
      <c r="D104">
        <v>1682</v>
      </c>
      <c r="E104">
        <v>273</v>
      </c>
      <c r="F104" s="68">
        <v>9.9704174427522729E-3</v>
      </c>
    </row>
    <row r="105" spans="1:6" x14ac:dyDescent="0.35">
      <c r="A105" s="83">
        <v>46128</v>
      </c>
      <c r="B105">
        <v>12.111000000000001</v>
      </c>
      <c r="C105">
        <v>1347</v>
      </c>
      <c r="D105">
        <v>1057</v>
      </c>
      <c r="E105">
        <v>290</v>
      </c>
      <c r="F105" s="68">
        <v>2.3945173808934028E-2</v>
      </c>
    </row>
    <row r="106" spans="1:6" x14ac:dyDescent="0.35">
      <c r="A106" s="83">
        <v>46129</v>
      </c>
      <c r="B106">
        <v>23.329000000000001</v>
      </c>
      <c r="C106">
        <v>2263</v>
      </c>
      <c r="D106">
        <v>1014</v>
      </c>
      <c r="E106">
        <v>1249</v>
      </c>
      <c r="F106" s="68">
        <v>5.3538514295512027E-2</v>
      </c>
    </row>
    <row r="107" spans="1:6" x14ac:dyDescent="0.35">
      <c r="A107" s="83">
        <v>46130</v>
      </c>
      <c r="B107">
        <v>23.943000000000001</v>
      </c>
      <c r="C107">
        <v>2456</v>
      </c>
      <c r="D107">
        <v>903</v>
      </c>
      <c r="E107">
        <v>1553</v>
      </c>
      <c r="F107" s="68">
        <v>6.4862381489370582E-2</v>
      </c>
    </row>
    <row r="108" spans="1:6" x14ac:dyDescent="0.35">
      <c r="A108" s="83">
        <v>46131</v>
      </c>
      <c r="B108">
        <v>29.922000000000004</v>
      </c>
      <c r="C108">
        <v>2098</v>
      </c>
      <c r="D108">
        <v>1029</v>
      </c>
      <c r="E108">
        <v>1069</v>
      </c>
      <c r="F108" s="68">
        <v>3.5726221509257396E-2</v>
      </c>
    </row>
    <row r="109" spans="1:6" x14ac:dyDescent="0.35">
      <c r="A109" s="83">
        <v>46132</v>
      </c>
      <c r="B109">
        <v>22.033000000000001</v>
      </c>
      <c r="C109">
        <v>1866</v>
      </c>
      <c r="D109">
        <v>795</v>
      </c>
      <c r="E109">
        <v>1071</v>
      </c>
      <c r="F109" s="68">
        <v>4.8608904824581307E-2</v>
      </c>
    </row>
    <row r="110" spans="1:6" x14ac:dyDescent="0.35">
      <c r="A110" s="83">
        <v>46133</v>
      </c>
      <c r="B110">
        <v>25.9</v>
      </c>
      <c r="C110">
        <v>2531</v>
      </c>
      <c r="D110">
        <v>1052</v>
      </c>
      <c r="E110">
        <v>1479</v>
      </c>
      <c r="F110" s="68">
        <v>5.7104247104247101E-2</v>
      </c>
    </row>
    <row r="111" spans="1:6" x14ac:dyDescent="0.35">
      <c r="A111" s="83">
        <v>46134</v>
      </c>
      <c r="B111">
        <v>26.595000000000002</v>
      </c>
      <c r="C111">
        <v>2039</v>
      </c>
      <c r="D111">
        <v>934</v>
      </c>
      <c r="E111">
        <v>1105</v>
      </c>
      <c r="F111" s="68">
        <v>4.1549163376574536E-2</v>
      </c>
    </row>
    <row r="112" spans="1:6" x14ac:dyDescent="0.35">
      <c r="A112" s="83">
        <v>46135</v>
      </c>
      <c r="B112">
        <v>30.05</v>
      </c>
      <c r="C112">
        <v>1590</v>
      </c>
      <c r="D112">
        <v>1001</v>
      </c>
      <c r="E112">
        <v>589</v>
      </c>
      <c r="F112" s="68">
        <v>1.9600665557404327E-2</v>
      </c>
    </row>
    <row r="113" spans="1:6" x14ac:dyDescent="0.35">
      <c r="A113" s="83">
        <v>46136</v>
      </c>
      <c r="B113">
        <v>31.231999999999999</v>
      </c>
      <c r="C113">
        <v>2162</v>
      </c>
      <c r="D113">
        <v>921</v>
      </c>
      <c r="E113">
        <v>1241</v>
      </c>
      <c r="F113" s="68">
        <v>3.9734887295081969E-2</v>
      </c>
    </row>
    <row r="114" spans="1:6" x14ac:dyDescent="0.35">
      <c r="A114" s="83">
        <v>46137</v>
      </c>
      <c r="B114">
        <v>29.563000000000002</v>
      </c>
      <c r="C114">
        <v>2361</v>
      </c>
      <c r="D114">
        <v>963</v>
      </c>
      <c r="E114">
        <v>1398</v>
      </c>
      <c r="F114" s="68">
        <v>4.7288840780705603E-2</v>
      </c>
    </row>
    <row r="115" spans="1:6" x14ac:dyDescent="0.35">
      <c r="A115" s="83">
        <v>46138</v>
      </c>
      <c r="B115">
        <v>38.971999999999994</v>
      </c>
      <c r="C115">
        <v>2294</v>
      </c>
      <c r="D115">
        <v>854</v>
      </c>
      <c r="E115">
        <v>1440</v>
      </c>
      <c r="F115" s="68">
        <v>3.6949604844503763E-2</v>
      </c>
    </row>
    <row r="116" spans="1:6" x14ac:dyDescent="0.35">
      <c r="A116" s="83">
        <v>46139</v>
      </c>
      <c r="B116">
        <v>43.871000000000002</v>
      </c>
      <c r="C116">
        <v>2383</v>
      </c>
      <c r="D116">
        <v>997</v>
      </c>
      <c r="E116">
        <v>1386</v>
      </c>
      <c r="F116" s="68">
        <v>3.1592623828953066E-2</v>
      </c>
    </row>
    <row r="117" spans="1:6" x14ac:dyDescent="0.35">
      <c r="A117" s="83">
        <v>46140</v>
      </c>
      <c r="B117">
        <v>22.841000000000001</v>
      </c>
      <c r="C117">
        <v>1442</v>
      </c>
      <c r="D117">
        <v>436</v>
      </c>
      <c r="E117">
        <v>1006</v>
      </c>
      <c r="F117" s="68">
        <v>4.4043605796593846E-2</v>
      </c>
    </row>
    <row r="118" spans="1:6" x14ac:dyDescent="0.35">
      <c r="A118" s="83">
        <v>46141</v>
      </c>
      <c r="B118">
        <v>28.953999999999997</v>
      </c>
      <c r="C118">
        <v>2811</v>
      </c>
      <c r="D118">
        <v>968</v>
      </c>
      <c r="E118">
        <v>1843</v>
      </c>
      <c r="F118" s="68">
        <v>6.3652690474545845E-2</v>
      </c>
    </row>
    <row r="119" spans="1:6" x14ac:dyDescent="0.35">
      <c r="A119" s="83">
        <v>46142</v>
      </c>
      <c r="B119">
        <v>23.811999999999998</v>
      </c>
      <c r="C119">
        <v>3046</v>
      </c>
      <c r="D119">
        <v>990</v>
      </c>
      <c r="E119">
        <v>2056</v>
      </c>
      <c r="F119" s="68">
        <v>8.6343020325886116E-2</v>
      </c>
    </row>
    <row r="120" spans="1:6" x14ac:dyDescent="0.35">
      <c r="A120" s="83">
        <v>46143</v>
      </c>
      <c r="B120">
        <v>30.718</v>
      </c>
      <c r="C120">
        <v>2268</v>
      </c>
      <c r="D120">
        <v>844</v>
      </c>
      <c r="E120">
        <v>1424</v>
      </c>
      <c r="F120" s="68">
        <v>4.6357184712546393E-2</v>
      </c>
    </row>
    <row r="121" spans="1:6" x14ac:dyDescent="0.35">
      <c r="A121" s="83">
        <v>46144</v>
      </c>
      <c r="B121">
        <v>28.754999999999999</v>
      </c>
      <c r="C121">
        <v>2335</v>
      </c>
      <c r="D121">
        <v>763</v>
      </c>
      <c r="E121">
        <v>1572</v>
      </c>
      <c r="F121" s="68">
        <v>5.4668753260302558E-2</v>
      </c>
    </row>
    <row r="122" spans="1:6" x14ac:dyDescent="0.35">
      <c r="A122" s="83">
        <v>46145</v>
      </c>
      <c r="B122">
        <v>30.584999999999997</v>
      </c>
      <c r="C122">
        <v>2180</v>
      </c>
      <c r="D122">
        <v>796</v>
      </c>
      <c r="E122">
        <v>1384</v>
      </c>
      <c r="F122" s="68">
        <v>4.5250940003269582E-2</v>
      </c>
    </row>
    <row r="123" spans="1:6" x14ac:dyDescent="0.35">
      <c r="A123" s="83">
        <v>46146</v>
      </c>
      <c r="B123">
        <v>33.552</v>
      </c>
      <c r="C123">
        <v>2302</v>
      </c>
      <c r="D123">
        <v>751</v>
      </c>
      <c r="E123">
        <v>1551</v>
      </c>
      <c r="F123" s="68">
        <v>4.6226752503576538E-2</v>
      </c>
    </row>
    <row r="124" spans="1:6" x14ac:dyDescent="0.35">
      <c r="A124" s="83">
        <v>46147</v>
      </c>
      <c r="B124">
        <v>29.622</v>
      </c>
      <c r="C124">
        <v>2091</v>
      </c>
      <c r="D124">
        <v>909</v>
      </c>
      <c r="E124">
        <v>1182</v>
      </c>
      <c r="F124" s="68">
        <v>3.990277496455337E-2</v>
      </c>
    </row>
    <row r="125" spans="1:6" x14ac:dyDescent="0.35">
      <c r="A125" s="83">
        <v>46148</v>
      </c>
      <c r="B125">
        <v>30.228000000000002</v>
      </c>
      <c r="C125">
        <v>2038</v>
      </c>
      <c r="D125">
        <v>781</v>
      </c>
      <c r="E125">
        <v>1257</v>
      </c>
      <c r="F125" s="68">
        <v>4.1583961889638747E-2</v>
      </c>
    </row>
    <row r="126" spans="1:6" x14ac:dyDescent="0.35">
      <c r="A126" s="83">
        <v>46149</v>
      </c>
      <c r="B126">
        <v>30.521999999999998</v>
      </c>
      <c r="C126">
        <v>2078</v>
      </c>
      <c r="D126">
        <v>797</v>
      </c>
      <c r="E126">
        <v>1281</v>
      </c>
      <c r="F126" s="68">
        <v>4.1969726754472185E-2</v>
      </c>
    </row>
    <row r="127" spans="1:6" x14ac:dyDescent="0.35">
      <c r="A127" s="83">
        <v>46150</v>
      </c>
      <c r="B127">
        <v>34.698</v>
      </c>
      <c r="C127">
        <v>2464</v>
      </c>
      <c r="D127">
        <v>941</v>
      </c>
      <c r="E127">
        <v>1523</v>
      </c>
      <c r="F127" s="68">
        <v>4.3893019770591971E-2</v>
      </c>
    </row>
    <row r="128" spans="1:6" x14ac:dyDescent="0.35">
      <c r="A128" s="83">
        <v>46151</v>
      </c>
      <c r="B128">
        <v>30.768999999999998</v>
      </c>
      <c r="C128">
        <v>2927</v>
      </c>
      <c r="D128">
        <v>935</v>
      </c>
      <c r="E128">
        <v>1992</v>
      </c>
      <c r="F128" s="68">
        <v>6.4740485553641647E-2</v>
      </c>
    </row>
    <row r="129" spans="1:6" x14ac:dyDescent="0.35">
      <c r="A129" s="83">
        <v>46152</v>
      </c>
      <c r="B129">
        <v>25.963000000000001</v>
      </c>
      <c r="C129">
        <v>2192</v>
      </c>
      <c r="D129">
        <v>944</v>
      </c>
      <c r="E129">
        <v>1248</v>
      </c>
      <c r="F129" s="68">
        <v>4.8068405037938605E-2</v>
      </c>
    </row>
    <row r="130" spans="1:6" x14ac:dyDescent="0.35">
      <c r="A130" s="83">
        <v>46153</v>
      </c>
      <c r="B130">
        <v>12.593999999999999</v>
      </c>
      <c r="C130">
        <v>1648</v>
      </c>
      <c r="D130">
        <v>528</v>
      </c>
      <c r="E130">
        <v>1120</v>
      </c>
      <c r="F130" s="68">
        <v>8.8931237097030338E-2</v>
      </c>
    </row>
    <row r="131" spans="1:6" x14ac:dyDescent="0.35">
      <c r="A131" s="83">
        <v>46154</v>
      </c>
      <c r="B131">
        <v>28.447000000000003</v>
      </c>
      <c r="C131">
        <v>2065</v>
      </c>
      <c r="D131">
        <v>1022</v>
      </c>
      <c r="E131">
        <v>1043</v>
      </c>
      <c r="F131" s="68">
        <v>3.6664674658136179E-2</v>
      </c>
    </row>
    <row r="132" spans="1:6" x14ac:dyDescent="0.35">
      <c r="A132" s="83">
        <v>46155</v>
      </c>
      <c r="B132">
        <v>34.035000000000004</v>
      </c>
      <c r="C132">
        <v>2129</v>
      </c>
      <c r="D132">
        <v>766</v>
      </c>
      <c r="E132">
        <v>1363</v>
      </c>
      <c r="F132" s="68">
        <v>4.0047010430439248E-2</v>
      </c>
    </row>
    <row r="133" spans="1:6" x14ac:dyDescent="0.35">
      <c r="A133" s="83">
        <v>46156</v>
      </c>
      <c r="B133">
        <v>33.394000000000005</v>
      </c>
      <c r="C133">
        <v>2148</v>
      </c>
      <c r="D133">
        <v>978</v>
      </c>
      <c r="E133">
        <v>1170</v>
      </c>
      <c r="F133" s="68">
        <v>3.5036234054021675E-2</v>
      </c>
    </row>
    <row r="134" spans="1:6" x14ac:dyDescent="0.35">
      <c r="A134" s="83">
        <v>46157</v>
      </c>
      <c r="B134">
        <v>30.186</v>
      </c>
      <c r="C134">
        <v>2292</v>
      </c>
      <c r="D134">
        <v>904</v>
      </c>
      <c r="E134">
        <v>1388</v>
      </c>
      <c r="F134" s="68">
        <v>4.5981580865301797E-2</v>
      </c>
    </row>
    <row r="135" spans="1:6" x14ac:dyDescent="0.35">
      <c r="A135" s="83">
        <v>46158</v>
      </c>
      <c r="B135">
        <v>30.753999999999998</v>
      </c>
      <c r="C135">
        <v>2320</v>
      </c>
      <c r="D135">
        <v>1037</v>
      </c>
      <c r="E135">
        <v>1283</v>
      </c>
      <c r="F135" s="68">
        <v>4.1718150484489826E-2</v>
      </c>
    </row>
    <row r="136" spans="1:6" x14ac:dyDescent="0.35">
      <c r="A136" s="83">
        <v>46159</v>
      </c>
      <c r="B136">
        <v>42.816000000000003</v>
      </c>
      <c r="C136">
        <v>2255</v>
      </c>
      <c r="D136">
        <v>1140</v>
      </c>
      <c r="E136">
        <v>1115</v>
      </c>
      <c r="F136" s="68">
        <v>2.6041666666666668E-2</v>
      </c>
    </row>
    <row r="137" spans="1:6" x14ac:dyDescent="0.35">
      <c r="A137" s="83">
        <v>46160</v>
      </c>
      <c r="B137">
        <v>30.384999999999998</v>
      </c>
      <c r="C137">
        <v>2011</v>
      </c>
      <c r="D137">
        <v>964</v>
      </c>
      <c r="E137">
        <v>1047</v>
      </c>
      <c r="F137" s="68">
        <v>3.4457791673523121E-2</v>
      </c>
    </row>
    <row r="138" spans="1:6" x14ac:dyDescent="0.35">
      <c r="A138" s="83">
        <v>46161</v>
      </c>
      <c r="B138">
        <v>29.837000000000003</v>
      </c>
      <c r="C138">
        <v>2097</v>
      </c>
      <c r="D138">
        <v>965</v>
      </c>
      <c r="E138">
        <v>1132</v>
      </c>
      <c r="F138" s="68">
        <v>3.7939471126453725E-2</v>
      </c>
    </row>
    <row r="139" spans="1:6" x14ac:dyDescent="0.35">
      <c r="A139" s="83">
        <v>46162</v>
      </c>
      <c r="B139">
        <v>32.597999999999999</v>
      </c>
      <c r="C139">
        <v>2310</v>
      </c>
      <c r="D139">
        <v>795</v>
      </c>
      <c r="E139">
        <v>1515</v>
      </c>
      <c r="F139" s="68">
        <v>4.6475243879992641E-2</v>
      </c>
    </row>
    <row r="140" spans="1:6" x14ac:dyDescent="0.35">
      <c r="A140" s="83">
        <v>46163</v>
      </c>
      <c r="B140">
        <v>28.116000000000003</v>
      </c>
      <c r="C140">
        <v>2179</v>
      </c>
      <c r="D140">
        <v>847</v>
      </c>
      <c r="E140">
        <v>1332</v>
      </c>
      <c r="F140" s="68">
        <v>4.7375160051216385E-2</v>
      </c>
    </row>
    <row r="141" spans="1:6" x14ac:dyDescent="0.35">
      <c r="A141" s="83">
        <v>46164</v>
      </c>
      <c r="B141">
        <v>28.074999999999999</v>
      </c>
      <c r="C141">
        <v>2044</v>
      </c>
      <c r="D141">
        <v>899</v>
      </c>
      <c r="E141">
        <v>1145</v>
      </c>
      <c r="F141" s="68">
        <v>4.0783615316117544E-2</v>
      </c>
    </row>
    <row r="142" spans="1:6" x14ac:dyDescent="0.35">
      <c r="A142" s="83">
        <v>46165</v>
      </c>
      <c r="B142">
        <v>17.63</v>
      </c>
      <c r="C142">
        <v>1731</v>
      </c>
      <c r="D142">
        <v>586</v>
      </c>
      <c r="E142">
        <v>1145</v>
      </c>
      <c r="F142" s="68">
        <v>6.4946114577424843E-2</v>
      </c>
    </row>
    <row r="143" spans="1:6" x14ac:dyDescent="0.35">
      <c r="A143" s="83">
        <v>46166</v>
      </c>
      <c r="B143">
        <v>28.72</v>
      </c>
      <c r="C143">
        <v>2110</v>
      </c>
      <c r="D143">
        <v>797</v>
      </c>
      <c r="E143">
        <v>1313</v>
      </c>
      <c r="F143" s="68">
        <v>4.5717270194986073E-2</v>
      </c>
    </row>
    <row r="144" spans="1:6" x14ac:dyDescent="0.35">
      <c r="A144" s="83">
        <v>46167</v>
      </c>
      <c r="B144">
        <v>30.061</v>
      </c>
      <c r="C144">
        <v>2501</v>
      </c>
      <c r="D144">
        <v>712</v>
      </c>
      <c r="E144">
        <v>1789</v>
      </c>
      <c r="F144" s="68">
        <v>5.9512324939290109E-2</v>
      </c>
    </row>
    <row r="145" spans="1:6" x14ac:dyDescent="0.35">
      <c r="A145" s="83">
        <v>46168</v>
      </c>
      <c r="B145">
        <v>33.905000000000001</v>
      </c>
      <c r="C145">
        <v>2387</v>
      </c>
      <c r="D145">
        <v>816</v>
      </c>
      <c r="E145">
        <v>1571</v>
      </c>
      <c r="F145" s="68">
        <v>4.6335348768618195E-2</v>
      </c>
    </row>
    <row r="146" spans="1:6" x14ac:dyDescent="0.35">
      <c r="A146" s="83">
        <v>46169</v>
      </c>
      <c r="B146">
        <v>27.917999999999999</v>
      </c>
      <c r="C146">
        <v>2590</v>
      </c>
      <c r="D146">
        <v>828</v>
      </c>
      <c r="E146">
        <v>1762</v>
      </c>
      <c r="F146" s="68">
        <v>6.311340353893545E-2</v>
      </c>
    </row>
    <row r="147" spans="1:6" x14ac:dyDescent="0.35">
      <c r="A147" s="83">
        <v>46170</v>
      </c>
      <c r="B147">
        <v>34.020000000000003</v>
      </c>
      <c r="C147">
        <v>2075</v>
      </c>
      <c r="D147">
        <v>855</v>
      </c>
      <c r="E147">
        <v>1220</v>
      </c>
      <c r="F147" s="68">
        <v>3.5861258083480306E-2</v>
      </c>
    </row>
    <row r="148" spans="1:6" x14ac:dyDescent="0.35">
      <c r="A148" s="83">
        <v>46171</v>
      </c>
      <c r="B148">
        <v>29.546999999999997</v>
      </c>
      <c r="C148">
        <v>2497</v>
      </c>
      <c r="D148">
        <v>917</v>
      </c>
      <c r="E148">
        <v>1580</v>
      </c>
      <c r="F148" s="68">
        <v>5.3474125968795486E-2</v>
      </c>
    </row>
    <row r="149" spans="1:6" x14ac:dyDescent="0.35">
      <c r="A149" s="83">
        <v>46172</v>
      </c>
      <c r="B149">
        <v>30.472999999999999</v>
      </c>
      <c r="C149">
        <v>2233</v>
      </c>
      <c r="D149">
        <v>871</v>
      </c>
      <c r="E149">
        <v>1362</v>
      </c>
      <c r="F149" s="68">
        <v>4.4695304039641649E-2</v>
      </c>
    </row>
    <row r="150" spans="1:6" x14ac:dyDescent="0.35">
      <c r="A150" s="83">
        <v>46173</v>
      </c>
      <c r="B150">
        <v>25.277999999999999</v>
      </c>
      <c r="C150">
        <v>2723</v>
      </c>
      <c r="D150">
        <v>823</v>
      </c>
      <c r="E150">
        <v>1900</v>
      </c>
      <c r="F150" s="68">
        <v>7.516417438088456E-2</v>
      </c>
    </row>
    <row r="151" spans="1:6" x14ac:dyDescent="0.35">
      <c r="A151" s="83">
        <v>46174</v>
      </c>
      <c r="B151">
        <v>2.2290000000000001</v>
      </c>
      <c r="C151">
        <v>0</v>
      </c>
      <c r="D151">
        <v>0</v>
      </c>
      <c r="E151">
        <v>0</v>
      </c>
      <c r="F151" s="68">
        <v>0</v>
      </c>
    </row>
    <row r="152" spans="1:6" x14ac:dyDescent="0.35">
      <c r="A152" s="83">
        <v>46175</v>
      </c>
      <c r="B152">
        <v>3.1449999999999996</v>
      </c>
      <c r="C152">
        <v>0</v>
      </c>
      <c r="D152">
        <v>0</v>
      </c>
      <c r="E152">
        <v>0</v>
      </c>
      <c r="F152" s="68">
        <v>0</v>
      </c>
    </row>
    <row r="153" spans="1:6" x14ac:dyDescent="0.35">
      <c r="A153" s="83">
        <v>46176</v>
      </c>
      <c r="B153">
        <v>2.7199999999999998</v>
      </c>
      <c r="C153">
        <v>0</v>
      </c>
      <c r="D153">
        <v>0</v>
      </c>
      <c r="E153">
        <v>0</v>
      </c>
      <c r="F153" s="68">
        <v>0</v>
      </c>
    </row>
    <row r="154" spans="1:6" x14ac:dyDescent="0.35">
      <c r="A154" s="83">
        <v>46177</v>
      </c>
      <c r="B154">
        <v>3.3040000000000003</v>
      </c>
      <c r="C154">
        <v>0</v>
      </c>
      <c r="D154">
        <v>0</v>
      </c>
      <c r="E154">
        <v>0</v>
      </c>
      <c r="F154" s="68">
        <v>0</v>
      </c>
    </row>
    <row r="155" spans="1:6" x14ac:dyDescent="0.35">
      <c r="A155" s="83">
        <v>46178</v>
      </c>
      <c r="B155">
        <v>6.661999999999999</v>
      </c>
      <c r="C155">
        <v>1691</v>
      </c>
      <c r="D155">
        <v>276</v>
      </c>
      <c r="E155">
        <v>1415</v>
      </c>
      <c r="F155" s="68">
        <v>0.21239867907535279</v>
      </c>
    </row>
    <row r="156" spans="1:6" x14ac:dyDescent="0.35">
      <c r="A156" s="83">
        <v>46179</v>
      </c>
      <c r="B156">
        <v>13.230000000000002</v>
      </c>
      <c r="C156">
        <v>2290</v>
      </c>
      <c r="D156">
        <v>764</v>
      </c>
      <c r="E156">
        <v>1526</v>
      </c>
      <c r="F156" s="68">
        <v>0.11534391534391532</v>
      </c>
    </row>
    <row r="157" spans="1:6" x14ac:dyDescent="0.35">
      <c r="A157" s="83">
        <v>46180</v>
      </c>
      <c r="B157">
        <v>17.463999999999999</v>
      </c>
      <c r="C157">
        <v>2320</v>
      </c>
      <c r="D157">
        <v>765</v>
      </c>
      <c r="E157">
        <v>1555</v>
      </c>
      <c r="F157" s="68">
        <v>8.9040311497938618E-2</v>
      </c>
    </row>
    <row r="158" spans="1:6" x14ac:dyDescent="0.35">
      <c r="A158" s="83">
        <v>46181</v>
      </c>
      <c r="B158">
        <v>17.352</v>
      </c>
      <c r="C158">
        <v>2542</v>
      </c>
      <c r="D158">
        <v>846</v>
      </c>
      <c r="E158">
        <v>1696</v>
      </c>
      <c r="F158" s="68">
        <v>9.7740894421392346E-2</v>
      </c>
    </row>
    <row r="159" spans="1:6" x14ac:dyDescent="0.35">
      <c r="A159" s="83">
        <v>46182</v>
      </c>
      <c r="B159">
        <v>19.694000000000003</v>
      </c>
      <c r="C159">
        <v>1971</v>
      </c>
      <c r="D159">
        <v>575</v>
      </c>
      <c r="E159">
        <v>1396</v>
      </c>
      <c r="F159" s="68">
        <v>7.0884533360414323E-2</v>
      </c>
    </row>
    <row r="160" spans="1:6" x14ac:dyDescent="0.35">
      <c r="A160" s="83">
        <v>46183</v>
      </c>
      <c r="B160">
        <v>14.675999999999998</v>
      </c>
      <c r="C160">
        <v>1715</v>
      </c>
      <c r="D160">
        <v>703</v>
      </c>
      <c r="E160">
        <v>1012</v>
      </c>
      <c r="F160" s="68">
        <v>6.8956118833469623E-2</v>
      </c>
    </row>
    <row r="161" spans="1:6" x14ac:dyDescent="0.35">
      <c r="A161" s="83">
        <v>46184</v>
      </c>
      <c r="B161">
        <v>9.9660000000000011</v>
      </c>
      <c r="C161">
        <v>1730</v>
      </c>
      <c r="D161">
        <v>626</v>
      </c>
      <c r="E161">
        <v>1104</v>
      </c>
      <c r="F161" s="68">
        <v>0.11077664057796506</v>
      </c>
    </row>
    <row r="162" spans="1:6" x14ac:dyDescent="0.35">
      <c r="A162" s="83">
        <v>46185</v>
      </c>
      <c r="B162">
        <v>9.3650000000000002</v>
      </c>
      <c r="C162">
        <v>2282</v>
      </c>
      <c r="D162">
        <v>727</v>
      </c>
      <c r="E162">
        <v>1555</v>
      </c>
      <c r="F162" s="68">
        <v>0.16604378003203418</v>
      </c>
    </row>
    <row r="163" spans="1:6" x14ac:dyDescent="0.35">
      <c r="A163" s="83">
        <v>46186</v>
      </c>
      <c r="B163">
        <v>19.05</v>
      </c>
      <c r="C163">
        <v>2334</v>
      </c>
      <c r="D163">
        <v>768</v>
      </c>
      <c r="E163">
        <v>1566</v>
      </c>
      <c r="F163" s="68">
        <v>8.2204724409448815E-2</v>
      </c>
    </row>
    <row r="164" spans="1:6" x14ac:dyDescent="0.35">
      <c r="A164" s="83">
        <v>46187</v>
      </c>
      <c r="B164">
        <v>24.002000000000002</v>
      </c>
      <c r="C164">
        <v>2427</v>
      </c>
      <c r="D164">
        <v>888</v>
      </c>
      <c r="E164">
        <v>1539</v>
      </c>
      <c r="F164" s="68">
        <v>6.411965669527539E-2</v>
      </c>
    </row>
    <row r="165" spans="1:6" x14ac:dyDescent="0.35">
      <c r="A165" s="83">
        <v>46188</v>
      </c>
      <c r="B165">
        <v>27.144999999999996</v>
      </c>
      <c r="C165">
        <v>2528</v>
      </c>
      <c r="D165">
        <v>769</v>
      </c>
      <c r="E165">
        <v>1759</v>
      </c>
      <c r="F165" s="68">
        <v>6.480014735678763E-2</v>
      </c>
    </row>
    <row r="166" spans="1:6" x14ac:dyDescent="0.35">
      <c r="A166" s="83">
        <v>46189</v>
      </c>
      <c r="B166">
        <v>31.492000000000004</v>
      </c>
      <c r="C166">
        <v>2724</v>
      </c>
      <c r="D166">
        <v>956</v>
      </c>
      <c r="E166">
        <v>1768</v>
      </c>
      <c r="F166" s="68">
        <v>5.6141242220246405E-2</v>
      </c>
    </row>
    <row r="167" spans="1:6" x14ac:dyDescent="0.35">
      <c r="A167" s="83">
        <v>46190</v>
      </c>
      <c r="B167">
        <v>26.911999999999999</v>
      </c>
      <c r="C167">
        <v>2354</v>
      </c>
      <c r="D167">
        <v>779</v>
      </c>
      <c r="E167">
        <v>1575</v>
      </c>
      <c r="F167" s="68">
        <v>5.8524078478002381E-2</v>
      </c>
    </row>
    <row r="168" spans="1:6" x14ac:dyDescent="0.35">
      <c r="A168" s="83">
        <v>46191</v>
      </c>
      <c r="B168">
        <v>33.974000000000004</v>
      </c>
      <c r="C168">
        <v>2285</v>
      </c>
      <c r="D168">
        <v>847</v>
      </c>
      <c r="E168">
        <v>1438</v>
      </c>
      <c r="F168" s="68">
        <v>4.232648495908635E-2</v>
      </c>
    </row>
    <row r="169" spans="1:6" x14ac:dyDescent="0.35">
      <c r="A169" s="83">
        <v>46192</v>
      </c>
      <c r="B169">
        <v>34.000999999999998</v>
      </c>
      <c r="C169">
        <v>2480</v>
      </c>
      <c r="D169">
        <v>843</v>
      </c>
      <c r="E169">
        <v>1637</v>
      </c>
      <c r="F169" s="68">
        <v>4.8145642775212494E-2</v>
      </c>
    </row>
    <row r="170" spans="1:6" x14ac:dyDescent="0.35">
      <c r="A170" s="83">
        <v>46193</v>
      </c>
      <c r="B170">
        <v>22.863</v>
      </c>
      <c r="C170">
        <v>1521</v>
      </c>
      <c r="D170">
        <v>452</v>
      </c>
      <c r="E170">
        <v>1069</v>
      </c>
      <c r="F170" s="68">
        <v>4.6756768578051874E-2</v>
      </c>
    </row>
    <row r="171" spans="1:6" x14ac:dyDescent="0.35">
      <c r="A171" s="83">
        <v>46194</v>
      </c>
      <c r="B171">
        <v>40.237000000000002</v>
      </c>
      <c r="C171">
        <v>2345</v>
      </c>
      <c r="D171">
        <v>576</v>
      </c>
      <c r="E171">
        <v>1769</v>
      </c>
      <c r="F171" s="3">
        <v>4.396451027661108E-2</v>
      </c>
    </row>
    <row r="172" spans="1:6" x14ac:dyDescent="0.35">
      <c r="A172" s="83">
        <v>46195</v>
      </c>
      <c r="B172">
        <v>34</v>
      </c>
      <c r="C172">
        <v>2391</v>
      </c>
      <c r="D172">
        <v>979</v>
      </c>
      <c r="E172">
        <v>1412</v>
      </c>
      <c r="F172" s="3">
        <v>4.1529411764705891E-2</v>
      </c>
    </row>
    <row r="173" spans="1:6" x14ac:dyDescent="0.35">
      <c r="A173" s="83">
        <v>46196</v>
      </c>
      <c r="B173">
        <v>33.511000000000003</v>
      </c>
      <c r="C173">
        <v>2381</v>
      </c>
      <c r="D173">
        <v>984</v>
      </c>
      <c r="E173">
        <v>1397</v>
      </c>
      <c r="F173" s="3">
        <v>4.1687804004655181E-2</v>
      </c>
    </row>
    <row r="174" spans="1:6" x14ac:dyDescent="0.35">
      <c r="A174" s="83">
        <v>46197</v>
      </c>
      <c r="B174">
        <v>34.869</v>
      </c>
      <c r="C174">
        <v>2303</v>
      </c>
      <c r="D174">
        <v>816</v>
      </c>
      <c r="E174">
        <v>1487</v>
      </c>
      <c r="F174" s="3">
        <v>4.2645329662450888E-2</v>
      </c>
    </row>
    <row r="175" spans="1:6" x14ac:dyDescent="0.35">
      <c r="A175" s="83">
        <v>46198</v>
      </c>
      <c r="B175">
        <v>34.548000000000002</v>
      </c>
      <c r="C175">
        <v>2406</v>
      </c>
      <c r="D175">
        <v>972</v>
      </c>
      <c r="E175">
        <v>1434</v>
      </c>
      <c r="F175" s="3">
        <v>4.1507467870788461E-2</v>
      </c>
    </row>
    <row r="176" spans="1:6" x14ac:dyDescent="0.35">
      <c r="A176" s="83">
        <v>46199</v>
      </c>
      <c r="B176">
        <v>29.932000000000002</v>
      </c>
      <c r="C176">
        <v>2379</v>
      </c>
      <c r="D176">
        <v>739</v>
      </c>
      <c r="E176">
        <v>1640</v>
      </c>
      <c r="F176" s="3">
        <v>5.479085928103701E-2</v>
      </c>
    </row>
    <row r="177" spans="1:6" x14ac:dyDescent="0.35">
      <c r="A177" s="83">
        <v>46200</v>
      </c>
      <c r="B177">
        <v>31.305999999999997</v>
      </c>
      <c r="C177">
        <v>2330</v>
      </c>
      <c r="D177">
        <v>701</v>
      </c>
      <c r="E177">
        <v>1629</v>
      </c>
      <c r="F177" s="3">
        <v>5.203475372133138E-2</v>
      </c>
    </row>
    <row r="178" spans="1:6" x14ac:dyDescent="0.35">
      <c r="A178" s="83">
        <v>46201</v>
      </c>
      <c r="B178">
        <v>32.85</v>
      </c>
      <c r="C178">
        <v>2384</v>
      </c>
      <c r="D178">
        <v>858</v>
      </c>
      <c r="E178">
        <v>1526</v>
      </c>
      <c r="F178" s="3">
        <v>4.6453576864535766E-2</v>
      </c>
    </row>
    <row r="179" spans="1:6" x14ac:dyDescent="0.35">
      <c r="A179" s="83">
        <v>46202</v>
      </c>
      <c r="B179">
        <v>32.491</v>
      </c>
      <c r="C179">
        <v>2222</v>
      </c>
      <c r="D179">
        <v>894</v>
      </c>
      <c r="E179">
        <v>1328</v>
      </c>
      <c r="F179" s="3">
        <v>4.0872857098888923E-2</v>
      </c>
    </row>
    <row r="180" spans="1:6" x14ac:dyDescent="0.35">
      <c r="A180" s="83">
        <v>46203</v>
      </c>
      <c r="B180">
        <v>29.306999999999999</v>
      </c>
      <c r="C180">
        <v>2341</v>
      </c>
      <c r="D180">
        <v>774</v>
      </c>
      <c r="E180">
        <v>1567</v>
      </c>
      <c r="F180" s="3">
        <v>5.3468454635411333E-2</v>
      </c>
    </row>
    <row r="181" spans="1:6" x14ac:dyDescent="0.35">
      <c r="A181" s="83">
        <v>46204</v>
      </c>
      <c r="B181">
        <v>28.835000000000001</v>
      </c>
      <c r="C181">
        <v>2291</v>
      </c>
      <c r="D181">
        <v>735</v>
      </c>
      <c r="E181">
        <v>1556</v>
      </c>
      <c r="F181" s="3">
        <v>5.3962198716837176E-2</v>
      </c>
    </row>
    <row r="182" spans="1:6" x14ac:dyDescent="0.35">
      <c r="A182" s="83">
        <v>46205</v>
      </c>
      <c r="B182">
        <v>30.335999999999999</v>
      </c>
      <c r="C182">
        <v>2344</v>
      </c>
      <c r="D182">
        <v>895</v>
      </c>
      <c r="E182">
        <v>1449</v>
      </c>
      <c r="F182" s="3">
        <v>4.7765031645569618E-2</v>
      </c>
    </row>
    <row r="183" spans="1:6" x14ac:dyDescent="0.35">
      <c r="A183" s="83">
        <v>46206</v>
      </c>
      <c r="B183">
        <v>12.34</v>
      </c>
      <c r="C183">
        <v>1468</v>
      </c>
      <c r="D183">
        <v>335</v>
      </c>
      <c r="E183">
        <v>1133</v>
      </c>
      <c r="F183" s="3">
        <v>9.1815235008103721E-2</v>
      </c>
    </row>
    <row r="184" spans="1:6" x14ac:dyDescent="0.35">
      <c r="A184" s="83">
        <v>46207</v>
      </c>
      <c r="B184">
        <v>16.39</v>
      </c>
      <c r="C184">
        <v>2110</v>
      </c>
      <c r="D184">
        <v>859</v>
      </c>
      <c r="E184">
        <v>1251</v>
      </c>
      <c r="F184" s="3">
        <v>7.6327028676021966E-2</v>
      </c>
    </row>
    <row r="185" spans="1:6" x14ac:dyDescent="0.35">
      <c r="A185" s="83">
        <v>46208</v>
      </c>
      <c r="B185">
        <v>19.821000000000002</v>
      </c>
      <c r="C185">
        <v>2099</v>
      </c>
      <c r="D185">
        <v>825</v>
      </c>
      <c r="E185">
        <v>1274</v>
      </c>
      <c r="F185" s="3">
        <v>6.427526360930326E-2</v>
      </c>
    </row>
    <row r="186" spans="1:6" x14ac:dyDescent="0.35">
      <c r="A186" s="83">
        <v>46209</v>
      </c>
      <c r="B186">
        <v>28.183</v>
      </c>
      <c r="C186">
        <v>2453</v>
      </c>
      <c r="D186">
        <v>779</v>
      </c>
      <c r="E186">
        <v>1674</v>
      </c>
      <c r="F186" s="3">
        <v>5.9397509136713621E-2</v>
      </c>
    </row>
    <row r="187" spans="1:6" x14ac:dyDescent="0.35">
      <c r="A187" s="83">
        <v>46210</v>
      </c>
      <c r="B187">
        <v>25.475999999999999</v>
      </c>
      <c r="C187">
        <v>2195</v>
      </c>
      <c r="D187">
        <v>810</v>
      </c>
      <c r="E187">
        <v>1385</v>
      </c>
      <c r="F187" s="3">
        <v>5.4364892447794001E-2</v>
      </c>
    </row>
    <row r="188" spans="1:6" x14ac:dyDescent="0.35">
      <c r="A188" s="83">
        <v>46211</v>
      </c>
      <c r="B188">
        <v>20.010000000000002</v>
      </c>
      <c r="C188">
        <v>1903</v>
      </c>
      <c r="D188">
        <v>883</v>
      </c>
      <c r="E188">
        <v>1020</v>
      </c>
      <c r="F188" s="3">
        <v>5.0974512743628186E-2</v>
      </c>
    </row>
    <row r="189" spans="1:6" x14ac:dyDescent="0.35">
      <c r="A189" s="83">
        <v>46212</v>
      </c>
      <c r="B189">
        <v>26.503</v>
      </c>
      <c r="C189">
        <v>2619</v>
      </c>
      <c r="D189">
        <v>767</v>
      </c>
      <c r="E189">
        <v>1852</v>
      </c>
      <c r="F189" s="3">
        <v>6.987888163604121E-2</v>
      </c>
    </row>
    <row r="190" spans="1:6" x14ac:dyDescent="0.35">
      <c r="A190" s="83">
        <v>46213</v>
      </c>
      <c r="B190">
        <v>17.490000000000002</v>
      </c>
      <c r="C190">
        <v>1481</v>
      </c>
      <c r="D190">
        <v>663</v>
      </c>
      <c r="E190">
        <v>818</v>
      </c>
      <c r="F190" s="3">
        <v>4.6769582618639213E-2</v>
      </c>
    </row>
    <row r="191" spans="1:6" x14ac:dyDescent="0.35">
      <c r="A191" s="83">
        <v>46214</v>
      </c>
      <c r="B191">
        <v>30.468000000000004</v>
      </c>
      <c r="C191">
        <v>2282</v>
      </c>
      <c r="D191">
        <v>692</v>
      </c>
      <c r="E191">
        <v>1590</v>
      </c>
      <c r="F191" s="3">
        <v>5.2185899960614408E-2</v>
      </c>
    </row>
    <row r="192" spans="1:6" x14ac:dyDescent="0.35">
      <c r="A192" s="83">
        <v>46215</v>
      </c>
      <c r="B192">
        <v>32.308</v>
      </c>
      <c r="C192">
        <v>2213</v>
      </c>
      <c r="D192">
        <v>750</v>
      </c>
      <c r="E192">
        <v>1463</v>
      </c>
      <c r="F192" s="3">
        <v>4.5282902067599357E-2</v>
      </c>
    </row>
    <row r="193" spans="1:6" x14ac:dyDescent="0.35">
      <c r="A193" s="83">
        <v>46216</v>
      </c>
      <c r="B193">
        <v>33.778000000000006</v>
      </c>
      <c r="C193">
        <v>2146</v>
      </c>
      <c r="D193">
        <v>859</v>
      </c>
      <c r="E193">
        <v>1287</v>
      </c>
      <c r="F193" s="3">
        <v>3.8101723014980153E-2</v>
      </c>
    </row>
    <row r="194" spans="1:6" x14ac:dyDescent="0.35">
      <c r="A194" s="83">
        <v>46217</v>
      </c>
      <c r="B194">
        <v>34.036000000000001</v>
      </c>
      <c r="C194">
        <v>2350</v>
      </c>
      <c r="D194">
        <v>721</v>
      </c>
      <c r="E194">
        <v>1629</v>
      </c>
      <c r="F194" s="3">
        <v>4.7861088259489953E-2</v>
      </c>
    </row>
    <row r="195" spans="1:6" x14ac:dyDescent="0.35">
      <c r="A195" s="83">
        <v>46218</v>
      </c>
      <c r="B195">
        <v>34.082000000000001</v>
      </c>
      <c r="C195">
        <v>2797</v>
      </c>
      <c r="D195">
        <v>966</v>
      </c>
      <c r="E195">
        <v>1831</v>
      </c>
      <c r="F195" s="3">
        <v>5.3723373041488179E-2</v>
      </c>
    </row>
    <row r="196" spans="1:6" x14ac:dyDescent="0.35">
      <c r="A196" s="83">
        <v>46219</v>
      </c>
      <c r="B196">
        <v>5.9450000000000003</v>
      </c>
      <c r="C196">
        <v>1081</v>
      </c>
      <c r="D196">
        <v>333</v>
      </c>
      <c r="E196">
        <v>748</v>
      </c>
      <c r="F196" s="3">
        <v>0.12582001682085786</v>
      </c>
    </row>
    <row r="197" spans="1:6" x14ac:dyDescent="0.35">
      <c r="A197" s="83">
        <v>46220</v>
      </c>
      <c r="B197">
        <v>28.776999999999997</v>
      </c>
      <c r="C197">
        <v>2394</v>
      </c>
      <c r="D197">
        <v>745</v>
      </c>
      <c r="E197">
        <v>1649</v>
      </c>
      <c r="F197" s="3">
        <v>5.7302707022969739E-2</v>
      </c>
    </row>
    <row r="198" spans="1:6" x14ac:dyDescent="0.35">
      <c r="A198" s="83">
        <v>46221</v>
      </c>
      <c r="B198">
        <v>33.460999999999999</v>
      </c>
      <c r="C198">
        <v>2195</v>
      </c>
      <c r="D198">
        <v>875</v>
      </c>
      <c r="E198">
        <v>1320</v>
      </c>
      <c r="F198" s="3">
        <v>3.9448910672125762E-2</v>
      </c>
    </row>
    <row r="199" spans="1:6" x14ac:dyDescent="0.35">
      <c r="A199" s="83"/>
      <c r="F199" s="3"/>
    </row>
    <row r="200" spans="1:6" x14ac:dyDescent="0.35">
      <c r="A200" s="83"/>
      <c r="F200" s="3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5BADF-D558-4105-A236-55AA12E4486D}">
  <sheetPr codeName="Sheet13"/>
  <dimension ref="A1:AH29"/>
  <sheetViews>
    <sheetView showGridLines="0" zoomScale="90" zoomScaleNormal="90" workbookViewId="0">
      <pane ySplit="4" topLeftCell="A5" activePane="bottomLeft" state="frozen"/>
      <selection activeCell="B1" sqref="B1"/>
      <selection pane="bottomLeft" activeCell="E19" sqref="E19"/>
    </sheetView>
  </sheetViews>
  <sheetFormatPr defaultRowHeight="14.5" x14ac:dyDescent="0.35"/>
  <cols>
    <col min="1" max="1" width="1.453125" customWidth="1"/>
    <col min="2" max="2" width="17.453125" customWidth="1"/>
    <col min="4" max="4" width="20.453125" customWidth="1"/>
    <col min="5" max="5" width="10.453125" customWidth="1"/>
    <col min="6" max="6" width="0.81640625" customWidth="1"/>
    <col min="7" max="7" width="10.453125" style="15" customWidth="1"/>
    <col min="8" max="8" width="12.453125" style="15" customWidth="1"/>
    <col min="9" max="9" width="0.81640625" style="15" customWidth="1"/>
    <col min="10" max="10" width="10.453125" style="15" customWidth="1"/>
    <col min="11" max="11" width="12.453125" style="15" customWidth="1"/>
    <col min="12" max="12" width="0.453125" style="15" customWidth="1"/>
    <col min="13" max="13" width="8.7265625" style="15"/>
    <col min="14" max="14" width="11.1796875" style="15" customWidth="1"/>
    <col min="15" max="15" width="0.453125" style="15" customWidth="1"/>
    <col min="16" max="17" width="8.7265625" style="15"/>
    <col min="18" max="18" width="0.453125" style="15" customWidth="1"/>
    <col min="19" max="20" width="8.7265625" style="15"/>
    <col min="21" max="21" width="0.453125" style="15" customWidth="1"/>
    <col min="22" max="22" width="8.7265625" style="15" customWidth="1"/>
    <col min="23" max="23" width="8.7265625" style="15"/>
    <col min="24" max="24" width="2" customWidth="1"/>
    <col min="25" max="25" width="0.453125" customWidth="1"/>
    <col min="34" max="34" width="10.453125" bestFit="1" customWidth="1"/>
  </cols>
  <sheetData>
    <row r="1" spans="1:34" ht="9" customHeight="1" thickBot="1" x14ac:dyDescent="0.4">
      <c r="A1" s="360"/>
      <c r="B1" s="361"/>
      <c r="C1" s="361"/>
      <c r="D1" s="361"/>
      <c r="E1" s="361"/>
      <c r="F1" s="361"/>
      <c r="G1" s="361"/>
      <c r="H1" s="361"/>
      <c r="I1" s="361"/>
      <c r="J1" s="361"/>
      <c r="K1" s="361"/>
      <c r="L1" s="361"/>
      <c r="M1" s="361"/>
      <c r="N1" s="361"/>
      <c r="O1" s="361"/>
      <c r="P1" s="361"/>
      <c r="Q1" s="361"/>
      <c r="R1" s="361"/>
      <c r="S1" s="361"/>
      <c r="T1" s="361"/>
      <c r="U1" s="361"/>
      <c r="V1" s="361"/>
      <c r="W1" s="361"/>
      <c r="X1" s="362"/>
    </row>
    <row r="2" spans="1:34" ht="30" customHeight="1" x14ac:dyDescent="0.35">
      <c r="A2" s="330"/>
      <c r="B2" s="333" t="s">
        <v>417</v>
      </c>
      <c r="C2" s="333"/>
      <c r="D2" s="333"/>
      <c r="E2" s="333"/>
      <c r="F2" s="333"/>
      <c r="G2" s="333"/>
      <c r="H2" s="333"/>
      <c r="I2" s="333"/>
      <c r="J2" s="333"/>
      <c r="K2" s="333"/>
      <c r="L2" s="333"/>
      <c r="M2" s="333"/>
      <c r="N2" s="333"/>
      <c r="O2" s="333"/>
      <c r="P2" s="333"/>
      <c r="Q2" s="333"/>
      <c r="R2" s="333"/>
      <c r="S2" s="333"/>
      <c r="T2" s="333"/>
      <c r="U2" s="333"/>
      <c r="V2" s="333"/>
      <c r="W2" s="333"/>
      <c r="X2" s="334"/>
    </row>
    <row r="3" spans="1:34" ht="5.15" customHeight="1" thickBot="1" x14ac:dyDescent="0.4">
      <c r="A3" s="331"/>
      <c r="X3" s="335"/>
    </row>
    <row r="4" spans="1:34" ht="23.9" customHeight="1" thickBot="1" x14ac:dyDescent="0.4">
      <c r="A4" s="331"/>
      <c r="B4" s="205">
        <f ca="1">TODAY()-1</f>
        <v>46277</v>
      </c>
      <c r="C4" s="337" t="s">
        <v>418</v>
      </c>
      <c r="D4" s="338"/>
      <c r="E4" s="339"/>
      <c r="F4" s="340"/>
      <c r="G4" s="344">
        <f ca="1">TODAY()-1</f>
        <v>46277</v>
      </c>
      <c r="H4" s="345"/>
      <c r="I4" s="204"/>
      <c r="J4" s="344">
        <f ca="1">TODAY()-2</f>
        <v>46276</v>
      </c>
      <c r="K4" s="345"/>
      <c r="L4" s="203"/>
      <c r="M4" s="344">
        <f ca="1">TODAY()-3</f>
        <v>46275</v>
      </c>
      <c r="N4" s="345"/>
      <c r="O4" s="203"/>
      <c r="P4" s="344">
        <f ca="1">TODAY()-4</f>
        <v>46274</v>
      </c>
      <c r="Q4" s="345"/>
      <c r="R4" s="202"/>
      <c r="S4" s="344">
        <f ca="1">TODAY()-5</f>
        <v>46273</v>
      </c>
      <c r="T4" s="345"/>
      <c r="U4" s="201"/>
      <c r="V4" s="344">
        <f ca="1">TODAY()-6</f>
        <v>46272</v>
      </c>
      <c r="W4" s="345"/>
      <c r="X4" s="335"/>
    </row>
    <row r="5" spans="1:34" ht="17.25" customHeight="1" thickBot="1" x14ac:dyDescent="0.4">
      <c r="A5" s="331"/>
      <c r="B5" s="200">
        <f ca="1">NOW()</f>
        <v>46278.567910185186</v>
      </c>
      <c r="C5" s="199"/>
      <c r="D5" s="199"/>
      <c r="E5" s="198"/>
      <c r="F5" s="341"/>
      <c r="G5" s="319" t="str">
        <f ca="1">IF(G4="","",TEXT(G4,"dddd"))</f>
        <v>Saturday</v>
      </c>
      <c r="H5" s="320"/>
      <c r="I5" s="197"/>
      <c r="J5" s="319" t="str">
        <f ca="1">IF(J4="","",TEXT(J4,"dddd"))</f>
        <v>Friday</v>
      </c>
      <c r="K5" s="320"/>
      <c r="L5" s="196"/>
      <c r="M5" s="319" t="str">
        <f ca="1">IF(M4="","",TEXT(M4,"dddd"))</f>
        <v>Thursday</v>
      </c>
      <c r="N5" s="320"/>
      <c r="O5" s="196"/>
      <c r="P5" s="319" t="str">
        <f ca="1">IF(P4="","",TEXT(P4,"dddd"))</f>
        <v>Wednesday</v>
      </c>
      <c r="Q5" s="320"/>
      <c r="R5" s="196"/>
      <c r="S5" s="319" t="str">
        <f ca="1">IF(S4="","",TEXT(S4,"dddd"))</f>
        <v>Tuesday</v>
      </c>
      <c r="T5" s="320"/>
      <c r="U5" s="196"/>
      <c r="V5" s="319" t="str">
        <f ca="1">IF(V4="","",TEXT(V4,"dddd"))</f>
        <v>Monday</v>
      </c>
      <c r="W5" s="320"/>
      <c r="X5" s="335"/>
    </row>
    <row r="6" spans="1:34" ht="15.65" customHeight="1" thickBot="1" x14ac:dyDescent="0.4">
      <c r="A6" s="331"/>
      <c r="B6" s="195"/>
      <c r="C6" s="194"/>
      <c r="D6" s="193"/>
      <c r="E6" s="192"/>
      <c r="F6" s="342"/>
      <c r="G6" s="191" t="s">
        <v>419</v>
      </c>
      <c r="H6" s="191" t="s">
        <v>420</v>
      </c>
      <c r="I6" s="169"/>
      <c r="J6" s="191" t="s">
        <v>419</v>
      </c>
      <c r="K6" s="191" t="s">
        <v>420</v>
      </c>
      <c r="L6" s="61"/>
      <c r="M6" s="191" t="s">
        <v>419</v>
      </c>
      <c r="N6" s="191" t="s">
        <v>420</v>
      </c>
      <c r="O6" s="61"/>
      <c r="P6" s="191" t="s">
        <v>419</v>
      </c>
      <c r="Q6" s="191" t="s">
        <v>420</v>
      </c>
      <c r="R6" s="324">
        <v>120</v>
      </c>
      <c r="S6" s="191" t="s">
        <v>419</v>
      </c>
      <c r="T6" s="191" t="s">
        <v>420</v>
      </c>
      <c r="U6" s="61"/>
      <c r="V6" s="191" t="s">
        <v>419</v>
      </c>
      <c r="W6" s="191" t="s">
        <v>420</v>
      </c>
      <c r="X6" s="335"/>
      <c r="Y6" s="181"/>
    </row>
    <row r="7" spans="1:34" ht="17.149999999999999" customHeight="1" thickTop="1" thickBot="1" x14ac:dyDescent="0.4">
      <c r="A7" s="332"/>
      <c r="B7" s="329" t="s">
        <v>421</v>
      </c>
      <c r="C7" s="327" t="s">
        <v>422</v>
      </c>
      <c r="D7" s="327"/>
      <c r="E7" s="190" t="s">
        <v>423</v>
      </c>
      <c r="F7" s="343"/>
      <c r="G7" s="184"/>
      <c r="H7" s="187" t="str">
        <f ca="1">VLOOKUP(G4,Table1[],44,FALSE)</f>
        <v/>
      </c>
      <c r="I7" s="169"/>
      <c r="J7" s="184"/>
      <c r="K7" s="187" t="str">
        <f ca="1">VLOOKUP(J4,Table1[],44,FALSE)</f>
        <v/>
      </c>
      <c r="L7" s="61"/>
      <c r="M7" s="184"/>
      <c r="N7" s="187" t="str">
        <f ca="1">VLOOKUP(M4,Table1[],44,FALSE)</f>
        <v/>
      </c>
      <c r="O7" s="61"/>
      <c r="P7" s="184"/>
      <c r="Q7" s="187" t="str">
        <f ca="1">VLOOKUP(P4,Table1[],44,FALSE)</f>
        <v/>
      </c>
      <c r="R7" s="324"/>
      <c r="S7" s="184"/>
      <c r="T7" s="187" t="str">
        <f ca="1">VLOOKUP(S4,Table1[],44,FALSE)</f>
        <v/>
      </c>
      <c r="U7" s="61"/>
      <c r="V7" s="184"/>
      <c r="W7" s="187" t="str">
        <f ca="1">VLOOKUP(V4,Table1[],44,FALSE)</f>
        <v/>
      </c>
      <c r="X7" s="335"/>
    </row>
    <row r="8" spans="1:34" ht="17.149999999999999" customHeight="1" thickTop="1" thickBot="1" x14ac:dyDescent="0.4">
      <c r="A8" s="332"/>
      <c r="B8" s="346"/>
      <c r="C8" s="328" t="s">
        <v>424</v>
      </c>
      <c r="D8" s="328"/>
      <c r="E8" s="190"/>
      <c r="F8" s="343"/>
      <c r="G8" s="184"/>
      <c r="H8" s="187">
        <f ca="1">VLOOKUP(G4,Table1[],45,FALSE)</f>
        <v>0</v>
      </c>
      <c r="I8" s="169"/>
      <c r="J8" s="184"/>
      <c r="K8" s="187">
        <f ca="1">VLOOKUP(J4,Table1[],45,FALSE)</f>
        <v>0</v>
      </c>
      <c r="L8" s="61"/>
      <c r="M8" s="184"/>
      <c r="N8" s="187">
        <f ca="1">VLOOKUP(M4,Table1[],45,FALSE)</f>
        <v>0</v>
      </c>
      <c r="O8" s="61"/>
      <c r="P8" s="184"/>
      <c r="Q8" s="187">
        <f ca="1">VLOOKUP(P4,Table1[],45,FALSE)</f>
        <v>0</v>
      </c>
      <c r="R8" s="324"/>
      <c r="S8" s="184"/>
      <c r="T8" s="187">
        <f ca="1">VLOOKUP(S4,Table1[],45,FALSE)</f>
        <v>0</v>
      </c>
      <c r="U8" s="61"/>
      <c r="V8" s="184"/>
      <c r="W8" s="187">
        <f ca="1">VLOOKUP(V4,Table1[],45,FALSE)</f>
        <v>0</v>
      </c>
      <c r="X8" s="335"/>
    </row>
    <row r="9" spans="1:34" ht="18.649999999999999" customHeight="1" thickTop="1" thickBot="1" x14ac:dyDescent="0.4">
      <c r="A9" s="332"/>
      <c r="B9" s="347" t="s">
        <v>425</v>
      </c>
      <c r="C9" s="321" t="s">
        <v>426</v>
      </c>
      <c r="D9" s="322"/>
      <c r="E9" s="189" t="s">
        <v>427</v>
      </c>
      <c r="F9" s="343"/>
      <c r="G9" s="209">
        <v>1</v>
      </c>
      <c r="H9" s="188">
        <f ca="1">VLOOKUP(G4,Table1[],12,FALSE)</f>
        <v>1.9300000000000002</v>
      </c>
      <c r="I9" s="169"/>
      <c r="J9" s="184"/>
      <c r="K9" s="188">
        <f ca="1">VLOOKUP(J4,Table1[],12,FALSE)</f>
        <v>1.63</v>
      </c>
      <c r="L9" s="61"/>
      <c r="M9" s="184"/>
      <c r="N9" s="188">
        <f ca="1">VLOOKUP(M4,Table1[],12,FALSE)</f>
        <v>0.65</v>
      </c>
      <c r="O9" s="61"/>
      <c r="P9" s="184"/>
      <c r="Q9" s="188">
        <f ca="1">VLOOKUP(P4,Table1[],12,FALSE)</f>
        <v>1.63</v>
      </c>
      <c r="R9" s="324"/>
      <c r="S9" s="184"/>
      <c r="T9" s="188">
        <f ca="1">VLOOKUP(S4,Table1[],12,FALSE)</f>
        <v>1.72</v>
      </c>
      <c r="U9" s="61"/>
      <c r="V9" s="184"/>
      <c r="W9" s="188">
        <f ca="1">VLOOKUP(V4,Table1[],12,FALSE)</f>
        <v>1.72</v>
      </c>
      <c r="X9" s="335"/>
      <c r="Y9" s="181"/>
    </row>
    <row r="10" spans="1:34" ht="18.649999999999999" customHeight="1" thickTop="1" thickBot="1" x14ac:dyDescent="0.4">
      <c r="A10" s="332"/>
      <c r="B10" s="348"/>
      <c r="C10" s="321" t="s">
        <v>428</v>
      </c>
      <c r="D10" s="322"/>
      <c r="E10" s="189" t="s">
        <v>429</v>
      </c>
      <c r="F10" s="343"/>
      <c r="G10" s="184"/>
      <c r="H10" s="188"/>
      <c r="I10" s="169"/>
      <c r="J10" s="184"/>
      <c r="K10" s="188"/>
      <c r="L10" s="61"/>
      <c r="M10" s="184"/>
      <c r="N10" s="187"/>
      <c r="O10" s="61"/>
      <c r="P10" s="184"/>
      <c r="Q10" s="187"/>
      <c r="R10" s="324"/>
      <c r="S10" s="184"/>
      <c r="T10" s="187"/>
      <c r="U10" s="61"/>
      <c r="V10" s="184"/>
      <c r="W10" s="186"/>
      <c r="X10" s="335"/>
      <c r="Y10" s="181"/>
    </row>
    <row r="11" spans="1:34" ht="17.25" customHeight="1" thickTop="1" thickBot="1" x14ac:dyDescent="0.4">
      <c r="A11" s="332"/>
      <c r="B11" s="349" t="s">
        <v>433</v>
      </c>
      <c r="C11" s="325" t="s">
        <v>842</v>
      </c>
      <c r="D11" s="326"/>
      <c r="E11" s="171" t="s">
        <v>434</v>
      </c>
      <c r="F11" s="343"/>
      <c r="G11" s="209">
        <v>0.5</v>
      </c>
      <c r="H11" s="206">
        <f ca="1">VLOOKUP(G4,Table1[],28,FALSE)</f>
        <v>0</v>
      </c>
      <c r="I11" s="209">
        <v>0.5</v>
      </c>
      <c r="J11" s="209">
        <v>0.5</v>
      </c>
      <c r="K11" s="206">
        <f ca="1">VLOOKUP(J4,Table1[],28,FALSE)</f>
        <v>0</v>
      </c>
      <c r="L11" s="61"/>
      <c r="M11" s="209">
        <v>0.5</v>
      </c>
      <c r="N11" s="206">
        <f ca="1">VLOOKUP(M4,Table1[],28,FALSE)</f>
        <v>0</v>
      </c>
      <c r="O11" s="61"/>
      <c r="P11" s="209">
        <v>0.5</v>
      </c>
      <c r="Q11" s="206">
        <f ca="1">VLOOKUP(P4,Table1[],28,FALSE)</f>
        <v>1.65</v>
      </c>
      <c r="R11" s="324"/>
      <c r="S11" s="209">
        <v>0.5</v>
      </c>
      <c r="T11" s="206">
        <f ca="1">VLOOKUP(S4,Table1[],28,FALSE)</f>
        <v>0</v>
      </c>
      <c r="U11" s="61"/>
      <c r="V11" s="209">
        <v>0.5</v>
      </c>
      <c r="W11" s="206">
        <f ca="1">VLOOKUP(V4,Table1[],28,FALSE)</f>
        <v>0</v>
      </c>
      <c r="X11" s="335"/>
      <c r="Y11" s="181"/>
      <c r="AH11" s="182"/>
    </row>
    <row r="12" spans="1:34" ht="17.25" customHeight="1" thickTop="1" thickBot="1" x14ac:dyDescent="0.4">
      <c r="A12" s="332"/>
      <c r="B12" s="350"/>
      <c r="C12" s="325" t="s">
        <v>435</v>
      </c>
      <c r="D12" s="326"/>
      <c r="E12" s="171" t="s">
        <v>434</v>
      </c>
      <c r="F12" s="343"/>
      <c r="G12" s="209">
        <v>0.5</v>
      </c>
      <c r="H12" s="206">
        <f ca="1">VLOOKUP(G4,Table1[],29,FALSE)</f>
        <v>0</v>
      </c>
      <c r="I12" s="169"/>
      <c r="J12" s="166"/>
      <c r="K12" s="206">
        <f ca="1">VLOOKUP(J4,Table1[],29,FALSE)</f>
        <v>5.0999999999999996</v>
      </c>
      <c r="L12" s="61"/>
      <c r="M12" s="166"/>
      <c r="N12" s="206">
        <f ca="1">VLOOKUP(M4,Table1[],29,FALSE)</f>
        <v>2.2000000000000002</v>
      </c>
      <c r="O12" s="61"/>
      <c r="P12" s="166"/>
      <c r="Q12" s="206">
        <f ca="1">VLOOKUP(P4,Table1[],29,FALSE)</f>
        <v>0</v>
      </c>
      <c r="R12" s="324"/>
      <c r="S12" s="175"/>
      <c r="T12" s="206">
        <f ca="1">VLOOKUP(S4,Table1[],29,FALSE)</f>
        <v>0</v>
      </c>
      <c r="U12" s="61"/>
      <c r="V12" s="168"/>
      <c r="W12" s="206">
        <f ca="1">VLOOKUP(V4,Table1[],29,FALSE)</f>
        <v>0</v>
      </c>
      <c r="X12" s="335"/>
      <c r="Y12" s="181"/>
    </row>
    <row r="13" spans="1:34" ht="17.25" customHeight="1" thickTop="1" thickBot="1" x14ac:dyDescent="0.4">
      <c r="A13" s="332"/>
      <c r="B13" s="350"/>
      <c r="C13" s="325" t="s">
        <v>436</v>
      </c>
      <c r="D13" s="326"/>
      <c r="E13" s="171" t="s">
        <v>423</v>
      </c>
      <c r="F13" s="343"/>
      <c r="G13" s="180">
        <v>120</v>
      </c>
      <c r="H13" s="179">
        <f ca="1">VLOOKUP(G4,Table1[],43,FALSE)</f>
        <v>0</v>
      </c>
      <c r="I13" s="169"/>
      <c r="J13" s="180">
        <v>120</v>
      </c>
      <c r="K13" s="179">
        <f ca="1">VLOOKUP(J4,Table1[],43,FALSE)</f>
        <v>0</v>
      </c>
      <c r="L13" s="61"/>
      <c r="M13" s="180">
        <v>120</v>
      </c>
      <c r="N13" s="179">
        <f ca="1">VLOOKUP(M4,Table1[],43,FALSE)</f>
        <v>0</v>
      </c>
      <c r="O13" s="61"/>
      <c r="P13" s="180">
        <v>120</v>
      </c>
      <c r="Q13" s="179">
        <f ca="1">VLOOKUP(P4,Table1[],43,FALSE)</f>
        <v>0</v>
      </c>
      <c r="R13" s="324"/>
      <c r="S13" s="180">
        <v>120</v>
      </c>
      <c r="T13" s="179">
        <f ca="1">VLOOKUP(S4,Table1[],43,FALSE)</f>
        <v>0</v>
      </c>
      <c r="U13" s="61"/>
      <c r="V13" s="180">
        <v>120</v>
      </c>
      <c r="W13" s="179">
        <f ca="1">VLOOKUP(V4,Table1[],43,FALSE)</f>
        <v>0</v>
      </c>
      <c r="X13" s="335"/>
      <c r="Y13" s="181"/>
    </row>
    <row r="14" spans="1:34" ht="17.149999999999999" customHeight="1" thickTop="1" thickBot="1" x14ac:dyDescent="0.4">
      <c r="A14" s="332"/>
      <c r="B14" s="350"/>
      <c r="C14" s="325" t="s">
        <v>437</v>
      </c>
      <c r="D14" s="326"/>
      <c r="E14" s="171" t="s">
        <v>429</v>
      </c>
      <c r="F14" s="343"/>
      <c r="G14" s="168"/>
      <c r="H14" s="167"/>
      <c r="I14" s="169"/>
      <c r="J14" s="168"/>
      <c r="K14" s="167"/>
      <c r="L14" s="61"/>
      <c r="M14" s="174"/>
      <c r="N14" s="176"/>
      <c r="O14" s="61"/>
      <c r="P14" s="174"/>
      <c r="Q14" s="173"/>
      <c r="R14" s="324"/>
      <c r="S14" s="175"/>
      <c r="T14" s="173"/>
      <c r="U14" s="61"/>
      <c r="V14" s="174"/>
      <c r="W14" s="173"/>
      <c r="X14" s="335"/>
    </row>
    <row r="15" spans="1:34" ht="17.25" customHeight="1" thickTop="1" thickBot="1" x14ac:dyDescent="0.4">
      <c r="A15" s="332"/>
      <c r="B15" s="350"/>
      <c r="C15" s="310" t="s">
        <v>438</v>
      </c>
      <c r="D15" s="310"/>
      <c r="E15" s="171" t="s">
        <v>427</v>
      </c>
      <c r="F15" s="343"/>
      <c r="G15" s="210">
        <f ca="1">VLOOKUP(G4,Table1[],5,FALSE)</f>
        <v>0</v>
      </c>
      <c r="H15" s="208">
        <f ca="1">VLOOKUP(G4,Table1[],6,FALSE)</f>
        <v>28.7</v>
      </c>
      <c r="I15" s="169"/>
      <c r="J15" s="210">
        <f ca="1">VLOOKUP(J4,Table1[],5,FALSE)</f>
        <v>0</v>
      </c>
      <c r="K15" s="208">
        <f ca="1">VLOOKUP(J4,Table1[],6,FALSE)</f>
        <v>27.9</v>
      </c>
      <c r="L15" s="61"/>
      <c r="M15" s="210">
        <f ca="1">VLOOKUP(M4,Table1[],5,FALSE)</f>
        <v>0</v>
      </c>
      <c r="N15" s="208">
        <f ca="1">VLOOKUP(M4,Table1[],6,FALSE)</f>
        <v>15.299999999999999</v>
      </c>
      <c r="O15" s="61"/>
      <c r="P15" s="210">
        <f ca="1">VLOOKUP(P4,Table1[],5,FALSE)</f>
        <v>33</v>
      </c>
      <c r="Q15" s="208">
        <f ca="1">VLOOKUP(P4,Table1[],6,FALSE)</f>
        <v>31.9</v>
      </c>
      <c r="R15" s="324"/>
      <c r="S15" s="210">
        <f ca="1">VLOOKUP(S4,Table1[],5,FALSE)</f>
        <v>33</v>
      </c>
      <c r="T15" s="208">
        <f ca="1">VLOOKUP(S4,Table1[],6,FALSE)</f>
        <v>34.799999999999997</v>
      </c>
      <c r="U15" s="61"/>
      <c r="V15" s="210">
        <f ca="1">VLOOKUP(V4,Table1[],5,FALSE)</f>
        <v>31</v>
      </c>
      <c r="W15" s="208">
        <f ca="1">VLOOKUP(V4,Table1[],6,FALSE)</f>
        <v>31.4</v>
      </c>
      <c r="X15" s="335"/>
      <c r="Z15" s="172"/>
    </row>
    <row r="16" spans="1:34" ht="17.25" hidden="1" customHeight="1" thickTop="1" thickBot="1" x14ac:dyDescent="0.4">
      <c r="A16" s="332"/>
      <c r="B16" s="350"/>
      <c r="C16" s="310" t="s">
        <v>439</v>
      </c>
      <c r="D16" s="310"/>
      <c r="E16" s="171" t="s">
        <v>427</v>
      </c>
      <c r="F16" s="343"/>
      <c r="G16" s="311"/>
      <c r="H16" s="312"/>
      <c r="I16" s="169"/>
      <c r="J16" s="311"/>
      <c r="K16" s="312"/>
      <c r="L16" s="61"/>
      <c r="M16" s="313"/>
      <c r="N16" s="315"/>
      <c r="O16" s="61"/>
      <c r="P16" s="313"/>
      <c r="Q16" s="315"/>
      <c r="R16" s="324"/>
      <c r="S16" s="313"/>
      <c r="T16" s="315"/>
      <c r="U16" s="61"/>
      <c r="V16" s="313"/>
      <c r="W16" s="314"/>
      <c r="X16" s="335"/>
    </row>
    <row r="17" spans="1:26" ht="17.25" customHeight="1" thickTop="1" thickBot="1" x14ac:dyDescent="0.4">
      <c r="A17" s="332"/>
      <c r="B17" s="351"/>
      <c r="C17" s="310" t="s">
        <v>440</v>
      </c>
      <c r="D17" s="310"/>
      <c r="E17" s="171"/>
      <c r="F17" s="343"/>
      <c r="G17" s="222">
        <f ca="1">SUMIFS(Table1[Plan],Table1[Date],"&gt;="&amp;EOMONTH('DMS-2'!G4,-1)+1,Table1[Date],"&lt;"&amp;G4)</f>
        <v>229.7</v>
      </c>
      <c r="H17" s="223">
        <f ca="1">SUMIFS(Table1[Volume Delivered (T)],Table1[Date],"&gt;="&amp;EOMONTH('DMS-2'!G4,-1)+1,Table1[Date],"&lt;"&amp;G4)</f>
        <v>249.60000000000002</v>
      </c>
      <c r="I17" s="169"/>
      <c r="J17" s="222">
        <f ca="1">SUMIFS(Table1[Plan],Table1[Date],"&gt;="&amp;EOMONTH('DMS-2'!J4,-1)+1,Table1[Date],"&lt;"&amp;J4)</f>
        <v>229.7</v>
      </c>
      <c r="K17" s="223">
        <f ca="1">SUMIFS(Table1[Volume Delivered (T)],Table1[Date],"&gt;="&amp;EOMONTH('DMS-2'!J4,-1)+1,Table1[Date],"&lt;"&amp;J4)</f>
        <v>221.70000000000002</v>
      </c>
      <c r="L17" s="61"/>
      <c r="M17" s="222">
        <f ca="1">SUMIFS(Table1[Plan],Table1[Date],"&gt;="&amp;EOMONTH('DMS-2'!M4,-1)+1,Table1[Date],"&lt;"&amp;M4)</f>
        <v>229.7</v>
      </c>
      <c r="N17" s="223">
        <f ca="1">SUMIFS(Table1[Volume Delivered (T)],Table1[Date],"&gt;="&amp;EOMONTH('DMS-2'!M4,-1)+1,Table1[Date],"&lt;"&amp;M4)</f>
        <v>206.4</v>
      </c>
      <c r="O17" s="61"/>
      <c r="P17" s="222">
        <f ca="1">SUMIFS(Table1[Plan],Table1[Date],"&gt;="&amp;EOMONTH('DMS-2'!P4,-1)+1,Table1[Date],"&lt;"&amp;P4)</f>
        <v>196.7</v>
      </c>
      <c r="Q17" s="223">
        <f ca="1">SUMIFS(Table1[Volume Delivered (T)],Table1[Date],"&gt;="&amp;EOMONTH('DMS-2'!P4,-1)+1,Table1[Date],"&lt;"&amp;P4)</f>
        <v>174.5</v>
      </c>
      <c r="R17" s="324"/>
      <c r="S17" s="222">
        <f ca="1">SUMIFS(Table1[Plan],Table1[Date],"&gt;="&amp;EOMONTH('DMS-2'!S4,-1)+1,Table1[Date],"&lt;"&amp;S4)</f>
        <v>163.69999999999999</v>
      </c>
      <c r="T17" s="223">
        <f ca="1">SUMIFS(Table1[Volume Delivered (T)],Table1[Date],"&gt;="&amp;EOMONTH('DMS-2'!S4,-1)+1,Table1[Date],"&lt;"&amp;S4)</f>
        <v>139.70000000000002</v>
      </c>
      <c r="U17" s="61"/>
      <c r="V17" s="222">
        <f ca="1">SUMIFS(Table1[Plan],Table1[Date],"&gt;="&amp;EOMONTH('DMS-2'!V4,-1)+1,Table1[Date],"&lt;"&amp;V4)</f>
        <v>132.69999999999999</v>
      </c>
      <c r="W17" s="223">
        <f ca="1">SUMIFS(Table1[Volume Delivered (T)],Table1[Date],"&gt;="&amp;EOMONTH('DMS-2'!V4,-1)+1,Table1[Date],"&lt;"&amp;V4)</f>
        <v>108.30000000000001</v>
      </c>
      <c r="X17" s="335"/>
    </row>
    <row r="18" spans="1:26" s="68" customFormat="1" ht="17.149999999999999" customHeight="1" thickTop="1" thickBot="1" x14ac:dyDescent="0.4">
      <c r="A18" s="332"/>
      <c r="B18" s="358" t="s">
        <v>441</v>
      </c>
      <c r="C18" s="308" t="s">
        <v>442</v>
      </c>
      <c r="D18" s="308"/>
      <c r="E18" s="224" t="s">
        <v>429</v>
      </c>
      <c r="F18" s="343"/>
      <c r="G18" s="166">
        <v>2.5000000000000001E-2</v>
      </c>
      <c r="H18" s="225">
        <f ca="1">VLOOKUP(G4,Table1[],13,FALSE)</f>
        <v>0</v>
      </c>
      <c r="I18" s="20"/>
      <c r="J18" s="166">
        <v>2.5000000000000001E-2</v>
      </c>
      <c r="K18" s="225">
        <f ca="1">VLOOKUP(J4,Table1[],13,FALSE)</f>
        <v>0</v>
      </c>
      <c r="L18" s="61"/>
      <c r="M18" s="166">
        <v>2.5000000000000001E-2</v>
      </c>
      <c r="N18" s="225">
        <f ca="1">VLOOKUP(M4,Table1[],13,FALSE)</f>
        <v>0</v>
      </c>
      <c r="O18" s="61"/>
      <c r="P18" s="166">
        <v>2.5000000000000001E-2</v>
      </c>
      <c r="Q18" s="225">
        <f ca="1">VLOOKUP(P4,Table1[],13,FALSE)</f>
        <v>0</v>
      </c>
      <c r="R18" s="324"/>
      <c r="S18" s="166">
        <v>2.5000000000000001E-2</v>
      </c>
      <c r="T18" s="225">
        <f ca="1">VLOOKUP(S4,Table1[],13,FALSE)</f>
        <v>0</v>
      </c>
      <c r="U18" s="61"/>
      <c r="V18" s="166">
        <v>2.5000000000000001E-2</v>
      </c>
      <c r="W18" s="225">
        <f ca="1">VLOOKUP(V4,Table1[],13,FALSE)</f>
        <v>0</v>
      </c>
      <c r="X18" s="335"/>
    </row>
    <row r="19" spans="1:26" ht="17.149999999999999" customHeight="1" thickTop="1" thickBot="1" x14ac:dyDescent="0.4">
      <c r="A19" s="332"/>
      <c r="B19" s="359"/>
      <c r="C19" s="309" t="s">
        <v>443</v>
      </c>
      <c r="D19" s="309"/>
      <c r="E19" s="170" t="s">
        <v>429</v>
      </c>
      <c r="F19" s="343"/>
      <c r="G19" s="166">
        <v>1.4999999999999999E-2</v>
      </c>
      <c r="H19" s="167">
        <f ca="1">VLOOKUP(G4,Table4[],6,FALSE)</f>
        <v>0</v>
      </c>
      <c r="I19" s="169"/>
      <c r="J19" s="166">
        <v>1.4999999999999999E-2</v>
      </c>
      <c r="K19" s="167">
        <f ca="1">VLOOKUP(J4,Table4[],6,FALSE)</f>
        <v>0</v>
      </c>
      <c r="L19" s="323"/>
      <c r="M19" s="166">
        <v>1.4999999999999999E-2</v>
      </c>
      <c r="N19" s="167">
        <f ca="1">VLOOKUP(M4,Table4[],6,FALSE)</f>
        <v>0</v>
      </c>
      <c r="O19" s="61"/>
      <c r="P19" s="166">
        <v>1.4999999999999999E-2</v>
      </c>
      <c r="Q19" s="167">
        <f ca="1">VLOOKUP(P4,Table4[],6,FALSE)</f>
        <v>2.7863720073664815E-2</v>
      </c>
      <c r="R19" s="324"/>
      <c r="S19" s="166">
        <v>1.4999999999999999E-2</v>
      </c>
      <c r="T19" s="167">
        <f ca="1">VLOOKUP(S4,Table4[],6,FALSE)</f>
        <v>2.9162062615101302E-2</v>
      </c>
      <c r="U19" s="61"/>
      <c r="V19" s="166">
        <v>1.4999999999999999E-2</v>
      </c>
      <c r="W19" s="167">
        <f ca="1">VLOOKUP(V4,Table4[],6,FALSE)</f>
        <v>3.1187845303867406E-2</v>
      </c>
      <c r="X19" s="335"/>
    </row>
    <row r="20" spans="1:26" ht="17.25" customHeight="1" thickTop="1" thickBot="1" x14ac:dyDescent="0.4">
      <c r="A20" s="332"/>
      <c r="B20" s="355" t="s">
        <v>444</v>
      </c>
      <c r="C20" s="316" t="s">
        <v>430</v>
      </c>
      <c r="D20" s="304"/>
      <c r="E20" s="316" t="s">
        <v>429</v>
      </c>
      <c r="F20" s="343"/>
      <c r="G20" s="168">
        <v>0.9</v>
      </c>
      <c r="H20" s="185">
        <f ca="1">IFERROR('Line Name'!$G$6,"")</f>
        <v>1</v>
      </c>
      <c r="I20" s="169"/>
      <c r="J20" s="168">
        <v>0.9</v>
      </c>
      <c r="K20" s="185">
        <f ca="1">IFERROR('Line Name'!$G$6,"")</f>
        <v>1</v>
      </c>
      <c r="L20" s="61"/>
      <c r="M20" s="168">
        <v>0.9</v>
      </c>
      <c r="N20" s="185">
        <f ca="1">IFERROR('Line Name'!$G$6,"")</f>
        <v>1</v>
      </c>
      <c r="O20" s="61"/>
      <c r="P20" s="168">
        <v>0.9</v>
      </c>
      <c r="Q20" s="185">
        <f ca="1">IFERROR('Line Name'!$G$6,"")</f>
        <v>1</v>
      </c>
      <c r="R20" s="324"/>
      <c r="S20" s="168">
        <v>0.9</v>
      </c>
      <c r="T20" s="185">
        <f ca="1">IFERROR('Line Name'!$G$6,"")</f>
        <v>1</v>
      </c>
      <c r="U20" s="61"/>
      <c r="V20" s="168">
        <v>0.9</v>
      </c>
      <c r="W20" s="185">
        <f ca="1">IFERROR('Line Name'!$G$6,"")</f>
        <v>1</v>
      </c>
      <c r="X20" s="335"/>
      <c r="Y20" s="181"/>
    </row>
    <row r="21" spans="1:26" ht="17.25" customHeight="1" thickTop="1" thickBot="1" x14ac:dyDescent="0.4">
      <c r="A21" s="332"/>
      <c r="B21" s="356"/>
      <c r="C21" s="316" t="s">
        <v>431</v>
      </c>
      <c r="D21" s="316"/>
      <c r="E21" s="316"/>
      <c r="F21" s="343"/>
      <c r="G21" s="168">
        <v>0.9</v>
      </c>
      <c r="H21" s="185">
        <f ca="1">IFERROR('Line Name'!$G$7,"")</f>
        <v>1</v>
      </c>
      <c r="I21" s="169"/>
      <c r="J21" s="168">
        <v>0.9</v>
      </c>
      <c r="K21" s="185">
        <f ca="1">IFERROR('Line Name'!$G$7,"")</f>
        <v>1</v>
      </c>
      <c r="L21" s="61"/>
      <c r="M21" s="168">
        <v>0.9</v>
      </c>
      <c r="N21" s="185">
        <f ca="1">IFERROR('Line Name'!$G$7,"")</f>
        <v>1</v>
      </c>
      <c r="O21" s="61"/>
      <c r="P21" s="168">
        <v>0.9</v>
      </c>
      <c r="Q21" s="185">
        <f ca="1">IFERROR('Line Name'!$G$7,"")</f>
        <v>1</v>
      </c>
      <c r="R21" s="324"/>
      <c r="S21" s="168">
        <v>0.9</v>
      </c>
      <c r="T21" s="185">
        <f ca="1">IFERROR('Line Name'!$G$7,"")</f>
        <v>1</v>
      </c>
      <c r="U21" s="61"/>
      <c r="V21" s="168">
        <v>0.9</v>
      </c>
      <c r="W21" s="185">
        <f ca="1">IFERROR('Line Name'!$G$7,"")</f>
        <v>1</v>
      </c>
      <c r="X21" s="335"/>
      <c r="Y21" s="181"/>
      <c r="Z21" s="183"/>
    </row>
    <row r="22" spans="1:26" ht="17.25" customHeight="1" thickTop="1" thickBot="1" x14ac:dyDescent="0.4">
      <c r="A22" s="332"/>
      <c r="B22" s="356"/>
      <c r="C22" s="316" t="s">
        <v>432</v>
      </c>
      <c r="D22" s="316"/>
      <c r="E22" s="316" t="s">
        <v>429</v>
      </c>
      <c r="F22" s="343"/>
      <c r="G22" s="168">
        <v>0.95</v>
      </c>
      <c r="H22" s="207">
        <f ca="1">IFERROR('Line Name'!$N$12,"")</f>
        <v>0</v>
      </c>
      <c r="I22" s="169"/>
      <c r="J22" s="180"/>
      <c r="K22" s="207">
        <f ca="1">IFERROR('Line Name'!$N$12,"")</f>
        <v>0</v>
      </c>
      <c r="L22" s="61"/>
      <c r="M22" s="180"/>
      <c r="N22" s="207">
        <f ca="1">IFERROR('Line Name'!$N$12,"")</f>
        <v>0</v>
      </c>
      <c r="O22" s="61"/>
      <c r="P22" s="180"/>
      <c r="Q22" s="207">
        <f ca="1">IFERROR('Line Name'!$N$12,"")</f>
        <v>0</v>
      </c>
      <c r="R22" s="324"/>
      <c r="S22" s="178"/>
      <c r="T22" s="207">
        <f ca="1">IFERROR('Line Name'!$N$12,"")</f>
        <v>0</v>
      </c>
      <c r="U22" s="61"/>
      <c r="V22" s="177"/>
      <c r="W22" s="207">
        <f ca="1">IFERROR('Line Name'!$N$12,"")</f>
        <v>0</v>
      </c>
      <c r="X22" s="335"/>
      <c r="Y22" s="181"/>
    </row>
    <row r="23" spans="1:26" ht="17.149999999999999" customHeight="1" thickTop="1" thickBot="1" x14ac:dyDescent="0.4">
      <c r="A23" s="215"/>
      <c r="B23" s="357"/>
      <c r="C23" s="316" t="s">
        <v>445</v>
      </c>
      <c r="D23" s="316"/>
      <c r="E23" s="316" t="s">
        <v>446</v>
      </c>
      <c r="F23" s="216"/>
      <c r="G23" s="209">
        <v>2.5</v>
      </c>
      <c r="H23" s="167"/>
      <c r="I23" s="169"/>
      <c r="J23" s="209">
        <v>2.5</v>
      </c>
      <c r="K23" s="167"/>
      <c r="L23" s="217"/>
      <c r="M23" s="209">
        <v>2.5</v>
      </c>
      <c r="N23" s="167"/>
      <c r="O23" s="169"/>
      <c r="P23" s="209">
        <v>2.5</v>
      </c>
      <c r="Q23" s="167"/>
      <c r="R23" s="218"/>
      <c r="S23" s="209">
        <v>2.5</v>
      </c>
      <c r="T23" s="167"/>
      <c r="U23" s="169"/>
      <c r="V23" s="209">
        <v>2.5</v>
      </c>
      <c r="W23" s="167"/>
      <c r="X23" s="335"/>
    </row>
    <row r="24" spans="1:26" ht="17.149999999999999" customHeight="1" thickTop="1" thickBot="1" x14ac:dyDescent="0.4">
      <c r="A24" s="215"/>
      <c r="B24" s="352" t="s">
        <v>447</v>
      </c>
      <c r="C24" s="317" t="s">
        <v>448</v>
      </c>
      <c r="D24" s="318"/>
      <c r="E24" s="232"/>
      <c r="F24" s="216"/>
      <c r="G24" s="230">
        <v>1</v>
      </c>
      <c r="H24" s="231"/>
      <c r="I24" s="169"/>
      <c r="J24" s="230"/>
      <c r="K24" s="231"/>
      <c r="L24" s="217"/>
      <c r="M24" s="230"/>
      <c r="N24" s="231"/>
      <c r="O24" s="169"/>
      <c r="P24" s="230"/>
      <c r="Q24" s="231"/>
      <c r="R24" s="218"/>
      <c r="S24" s="230"/>
      <c r="T24" s="231"/>
      <c r="U24" s="169"/>
      <c r="V24" s="230"/>
      <c r="W24" s="231"/>
      <c r="X24" s="335"/>
    </row>
    <row r="25" spans="1:26" ht="9" customHeight="1" thickTop="1" thickBot="1" x14ac:dyDescent="0.4">
      <c r="A25" s="305"/>
      <c r="B25" s="306"/>
      <c r="C25" s="306"/>
      <c r="D25" s="306"/>
      <c r="E25" s="306"/>
      <c r="F25" s="307"/>
      <c r="G25" s="306"/>
      <c r="H25" s="306"/>
      <c r="I25" s="307"/>
      <c r="J25" s="306"/>
      <c r="K25" s="306"/>
      <c r="L25" s="307"/>
      <c r="M25" s="306"/>
      <c r="N25" s="306"/>
      <c r="O25" s="307"/>
      <c r="P25" s="306"/>
      <c r="Q25" s="306"/>
      <c r="R25" s="307"/>
      <c r="S25" s="306"/>
      <c r="T25" s="306"/>
      <c r="U25" s="307"/>
      <c r="V25" s="306"/>
      <c r="W25" s="306"/>
      <c r="X25" s="336"/>
    </row>
    <row r="29" spans="1:26" x14ac:dyDescent="0.35">
      <c r="D29" s="165"/>
    </row>
  </sheetData>
  <mergeCells count="3">
    <mergeCell ref="B20:B23"/>
    <mergeCell ref="B18:B19"/>
    <mergeCell ref="A1:X1"/>
  </mergeCells>
  <conditionalFormatting sqref="H9">
    <cfRule type="cellIs" dxfId="155" priority="77" operator="lessThan">
      <formula>1</formula>
    </cfRule>
    <cfRule type="cellIs" dxfId="154" priority="78" operator="greaterThan">
      <formula>1</formula>
    </cfRule>
  </conditionalFormatting>
  <conditionalFormatting sqref="H11:H12">
    <cfRule type="cellIs" dxfId="153" priority="323" operator="lessThan">
      <formula>0.6</formula>
    </cfRule>
    <cfRule type="cellIs" dxfId="152" priority="324" operator="greaterThan">
      <formula>0.5</formula>
    </cfRule>
  </conditionalFormatting>
  <conditionalFormatting sqref="H13">
    <cfRule type="cellIs" dxfId="151" priority="289" operator="lessThan">
      <formula>120</formula>
    </cfRule>
    <cfRule type="cellIs" dxfId="150" priority="290" operator="greaterThan">
      <formula>119</formula>
    </cfRule>
  </conditionalFormatting>
  <conditionalFormatting sqref="H15">
    <cfRule type="cellIs" dxfId="149" priority="337" operator="lessThan">
      <formula>$G$15</formula>
    </cfRule>
    <cfRule type="cellIs" dxfId="148" priority="338" operator="greaterThan">
      <formula>$G$15</formula>
    </cfRule>
  </conditionalFormatting>
  <conditionalFormatting sqref="H17">
    <cfRule type="cellIs" dxfId="147" priority="261" operator="lessThan">
      <formula>$G$17</formula>
    </cfRule>
    <cfRule type="cellIs" dxfId="146" priority="262" operator="greaterThan">
      <formula>$G$17</formula>
    </cfRule>
  </conditionalFormatting>
  <conditionalFormatting sqref="H18">
    <cfRule type="cellIs" dxfId="145" priority="233" operator="lessThan">
      <formula>0.026</formula>
    </cfRule>
    <cfRule type="cellIs" dxfId="144" priority="242" operator="lessThan">
      <formula>0.026</formula>
    </cfRule>
    <cfRule type="cellIs" dxfId="143" priority="243" operator="lessThan">
      <formula>0.026</formula>
    </cfRule>
    <cfRule type="cellIs" dxfId="142" priority="244" operator="lessThan">
      <formula>0.026</formula>
    </cfRule>
    <cfRule type="cellIs" dxfId="141" priority="245" operator="greaterThan">
      <formula>0.025</formula>
    </cfRule>
  </conditionalFormatting>
  <conditionalFormatting sqref="H19">
    <cfRule type="cellIs" dxfId="140" priority="207" operator="greaterThan">
      <formula>0.015</formula>
    </cfRule>
  </conditionalFormatting>
  <conditionalFormatting sqref="H20:H21 K20:K21 N20:N21 Q20:Q21 T20:T21 W20:W21">
    <cfRule type="containsText" dxfId="139" priority="25" operator="containsText" text="NO">
      <formula>NOT(ISERROR(SEARCH("NO",H20)))</formula>
    </cfRule>
    <cfRule type="containsText" dxfId="138" priority="26" operator="containsText" text="YES">
      <formula>NOT(ISERROR(SEARCH("YES",H20)))</formula>
    </cfRule>
  </conditionalFormatting>
  <conditionalFormatting sqref="H21">
    <cfRule type="cellIs" dxfId="137" priority="21" operator="lessThan">
      <formula>0.9</formula>
    </cfRule>
    <cfRule type="cellIs" dxfId="136" priority="22" operator="greaterThan">
      <formula>0.89</formula>
    </cfRule>
  </conditionalFormatting>
  <conditionalFormatting sqref="H22">
    <cfRule type="cellIs" dxfId="135" priority="23" operator="lessThan">
      <formula>0.95</formula>
    </cfRule>
    <cfRule type="cellIs" dxfId="134" priority="24" operator="greaterThan">
      <formula>0.94</formula>
    </cfRule>
  </conditionalFormatting>
  <conditionalFormatting sqref="H23">
    <cfRule type="cellIs" dxfId="133" priority="200" operator="lessThan">
      <formula>2.6</formula>
    </cfRule>
    <cfRule type="cellIs" dxfId="132" priority="201" operator="greaterThan">
      <formula>2.5</formula>
    </cfRule>
  </conditionalFormatting>
  <conditionalFormatting sqref="H24">
    <cfRule type="cellIs" dxfId="131" priority="188" operator="lessThan">
      <formula>1</formula>
    </cfRule>
    <cfRule type="cellIs" dxfId="130" priority="189" operator="greaterThan">
      <formula>0.99</formula>
    </cfRule>
  </conditionalFormatting>
  <conditionalFormatting sqref="K9">
    <cfRule type="cellIs" dxfId="129" priority="75" operator="lessThan">
      <formula>1</formula>
    </cfRule>
    <cfRule type="cellIs" dxfId="128" priority="76" operator="greaterThan">
      <formula>1</formula>
    </cfRule>
  </conditionalFormatting>
  <conditionalFormatting sqref="K11:K12">
    <cfRule type="cellIs" dxfId="127" priority="311" operator="lessThan">
      <formula>0.6</formula>
    </cfRule>
    <cfRule type="cellIs" dxfId="126" priority="312" operator="greaterThan">
      <formula>0.5</formula>
    </cfRule>
  </conditionalFormatting>
  <conditionalFormatting sqref="K13">
    <cfRule type="cellIs" dxfId="125" priority="283" operator="lessThan">
      <formula>120</formula>
    </cfRule>
    <cfRule type="cellIs" dxfId="124" priority="284" operator="greaterThan">
      <formula>119</formula>
    </cfRule>
  </conditionalFormatting>
  <conditionalFormatting sqref="K15">
    <cfRule type="cellIs" dxfId="123" priority="333" operator="lessThan">
      <formula>$J$15</formula>
    </cfRule>
    <cfRule type="cellIs" dxfId="122" priority="334" operator="greaterThan">
      <formula>$J$15</formula>
    </cfRule>
  </conditionalFormatting>
  <conditionalFormatting sqref="K17">
    <cfRule type="cellIs" dxfId="121" priority="255" operator="lessThan">
      <formula>$J$17</formula>
    </cfRule>
    <cfRule type="cellIs" dxfId="120" priority="256" operator="greaterThan">
      <formula>$J$17</formula>
    </cfRule>
    <cfRule type="cellIs" dxfId="119" priority="259" operator="lessThan">
      <formula>$G$17</formula>
    </cfRule>
    <cfRule type="cellIs" dxfId="118" priority="260" operator="greaterThan">
      <formula>$G$17</formula>
    </cfRule>
  </conditionalFormatting>
  <conditionalFormatting sqref="K18">
    <cfRule type="cellIs" dxfId="117" priority="228" operator="lessThan">
      <formula>0.026</formula>
    </cfRule>
    <cfRule type="cellIs" dxfId="116" priority="229" operator="lessThan">
      <formula>0.026</formula>
    </cfRule>
    <cfRule type="cellIs" dxfId="115" priority="230" operator="lessThan">
      <formula>0.026</formula>
    </cfRule>
    <cfRule type="cellIs" dxfId="114" priority="231" operator="lessThan">
      <formula>0.026</formula>
    </cfRule>
    <cfRule type="cellIs" dxfId="113" priority="232" operator="greaterThan">
      <formula>0.025</formula>
    </cfRule>
  </conditionalFormatting>
  <conditionalFormatting sqref="K19">
    <cfRule type="cellIs" dxfId="112" priority="206" operator="greaterThan">
      <formula>0.015</formula>
    </cfRule>
  </conditionalFormatting>
  <conditionalFormatting sqref="K21">
    <cfRule type="cellIs" dxfId="111" priority="19" operator="lessThan">
      <formula>0.9</formula>
    </cfRule>
    <cfRule type="cellIs" dxfId="110" priority="20" operator="greaterThan">
      <formula>0.89</formula>
    </cfRule>
  </conditionalFormatting>
  <conditionalFormatting sqref="K22">
    <cfRule type="cellIs" dxfId="109" priority="9" operator="lessThan">
      <formula>0.95</formula>
    </cfRule>
    <cfRule type="cellIs" dxfId="108" priority="10" operator="greaterThan">
      <formula>0.94</formula>
    </cfRule>
  </conditionalFormatting>
  <conditionalFormatting sqref="K23">
    <cfRule type="cellIs" dxfId="107" priority="198" operator="lessThan">
      <formula>2.6</formula>
    </cfRule>
    <cfRule type="cellIs" dxfId="106" priority="199" operator="greaterThan">
      <formula>2.5</formula>
    </cfRule>
  </conditionalFormatting>
  <conditionalFormatting sqref="K24">
    <cfRule type="cellIs" dxfId="105" priority="186" operator="lessThan">
      <formula>1</formula>
    </cfRule>
    <cfRule type="cellIs" dxfId="104" priority="187" operator="greaterThan">
      <formula>0.99</formula>
    </cfRule>
  </conditionalFormatting>
  <conditionalFormatting sqref="N9">
    <cfRule type="cellIs" dxfId="103" priority="73" operator="lessThan">
      <formula>1</formula>
    </cfRule>
    <cfRule type="cellIs" dxfId="102" priority="74" operator="greaterThan">
      <formula>1</formula>
    </cfRule>
  </conditionalFormatting>
  <conditionalFormatting sqref="N11:N12">
    <cfRule type="cellIs" dxfId="101" priority="309" operator="lessThan">
      <formula>0.6</formula>
    </cfRule>
    <cfRule type="cellIs" dxfId="100" priority="310" operator="greaterThan">
      <formula>0.5</formula>
    </cfRule>
  </conditionalFormatting>
  <conditionalFormatting sqref="N13">
    <cfRule type="cellIs" dxfId="99" priority="281" operator="lessThan">
      <formula>120</formula>
    </cfRule>
    <cfRule type="cellIs" dxfId="98" priority="282" operator="greaterThan">
      <formula>119</formula>
    </cfRule>
  </conditionalFormatting>
  <conditionalFormatting sqref="N15">
    <cfRule type="cellIs" dxfId="97" priority="331" operator="lessThan">
      <formula>$M$15</formula>
    </cfRule>
    <cfRule type="cellIs" dxfId="96" priority="332" operator="greaterThan">
      <formula>$M$15</formula>
    </cfRule>
  </conditionalFormatting>
  <conditionalFormatting sqref="N17">
    <cfRule type="cellIs" dxfId="95" priority="253" operator="lessThan">
      <formula>$M$17</formula>
    </cfRule>
    <cfRule type="cellIs" dxfId="94" priority="254" operator="greaterThan">
      <formula>$M$17</formula>
    </cfRule>
    <cfRule type="cellIs" dxfId="93" priority="257" operator="lessThan">
      <formula>$G$17</formula>
    </cfRule>
    <cfRule type="cellIs" dxfId="92" priority="258" operator="greaterThan">
      <formula>$G$17</formula>
    </cfRule>
  </conditionalFormatting>
  <conditionalFormatting sqref="N18">
    <cfRule type="cellIs" dxfId="91" priority="223" operator="lessThan">
      <formula>0.026</formula>
    </cfRule>
    <cfRule type="cellIs" dxfId="90" priority="224" operator="lessThan">
      <formula>0.026</formula>
    </cfRule>
    <cfRule type="cellIs" dxfId="89" priority="225" operator="lessThan">
      <formula>0.026</formula>
    </cfRule>
    <cfRule type="cellIs" dxfId="88" priority="226" operator="lessThan">
      <formula>0.026</formula>
    </cfRule>
    <cfRule type="cellIs" dxfId="87" priority="227" operator="greaterThan">
      <formula>0.025</formula>
    </cfRule>
  </conditionalFormatting>
  <conditionalFormatting sqref="N19">
    <cfRule type="cellIs" dxfId="86" priority="205" operator="greaterThan">
      <formula>0.015</formula>
    </cfRule>
  </conditionalFormatting>
  <conditionalFormatting sqref="N21">
    <cfRule type="cellIs" dxfId="85" priority="17" operator="lessThan">
      <formula>0.9</formula>
    </cfRule>
    <cfRule type="cellIs" dxfId="84" priority="18" operator="greaterThan">
      <formula>0.89</formula>
    </cfRule>
  </conditionalFormatting>
  <conditionalFormatting sqref="N22">
    <cfRule type="cellIs" dxfId="83" priority="7" operator="lessThan">
      <formula>0.95</formula>
    </cfRule>
    <cfRule type="cellIs" dxfId="82" priority="8" operator="greaterThan">
      <formula>0.94</formula>
    </cfRule>
  </conditionalFormatting>
  <conditionalFormatting sqref="N23">
    <cfRule type="cellIs" dxfId="81" priority="196" operator="lessThan">
      <formula>2.6</formula>
    </cfRule>
    <cfRule type="cellIs" dxfId="80" priority="197" operator="greaterThan">
      <formula>2.5</formula>
    </cfRule>
  </conditionalFormatting>
  <conditionalFormatting sqref="N24">
    <cfRule type="cellIs" dxfId="79" priority="184" operator="lessThan">
      <formula>1</formula>
    </cfRule>
    <cfRule type="cellIs" dxfId="78" priority="185" operator="greaterThan">
      <formula>0.99</formula>
    </cfRule>
  </conditionalFormatting>
  <conditionalFormatting sqref="Q9">
    <cfRule type="cellIs" dxfId="77" priority="71" operator="lessThan">
      <formula>1</formula>
    </cfRule>
    <cfRule type="cellIs" dxfId="76" priority="72" operator="greaterThan">
      <formula>1</formula>
    </cfRule>
  </conditionalFormatting>
  <conditionalFormatting sqref="Q11:Q12">
    <cfRule type="cellIs" dxfId="75" priority="307" operator="lessThan">
      <formula>0.6</formula>
    </cfRule>
    <cfRule type="cellIs" dxfId="74" priority="308" operator="greaterThan">
      <formula>0.5</formula>
    </cfRule>
  </conditionalFormatting>
  <conditionalFormatting sqref="Q13">
    <cfRule type="cellIs" dxfId="73" priority="279" operator="lessThan">
      <formula>120</formula>
    </cfRule>
    <cfRule type="cellIs" dxfId="72" priority="280" operator="greaterThan">
      <formula>119</formula>
    </cfRule>
  </conditionalFormatting>
  <conditionalFormatting sqref="Q15">
    <cfRule type="cellIs" dxfId="71" priority="329" operator="lessThan">
      <formula>$P$15</formula>
    </cfRule>
    <cfRule type="cellIs" dxfId="70" priority="330" operator="greaterThan">
      <formula>$P$15</formula>
    </cfRule>
  </conditionalFormatting>
  <conditionalFormatting sqref="Q17">
    <cfRule type="cellIs" dxfId="69" priority="250" operator="greaterThan">
      <formula>$P$17</formula>
    </cfRule>
    <cfRule type="cellIs" dxfId="68" priority="251" operator="lessThan">
      <formula>$P$17</formula>
    </cfRule>
    <cfRule type="cellIs" dxfId="67" priority="252" operator="greaterThan">
      <formula>"685$P$22"</formula>
    </cfRule>
  </conditionalFormatting>
  <conditionalFormatting sqref="Q18">
    <cfRule type="cellIs" dxfId="66" priority="218" operator="lessThan">
      <formula>0.026</formula>
    </cfRule>
    <cfRule type="cellIs" dxfId="65" priority="219" operator="lessThan">
      <formula>0.026</formula>
    </cfRule>
    <cfRule type="cellIs" dxfId="64" priority="220" operator="lessThan">
      <formula>0.026</formula>
    </cfRule>
    <cfRule type="cellIs" dxfId="63" priority="221" operator="lessThan">
      <formula>0.026</formula>
    </cfRule>
    <cfRule type="cellIs" dxfId="62" priority="222" operator="greaterThan">
      <formula>0.025</formula>
    </cfRule>
  </conditionalFormatting>
  <conditionalFormatting sqref="Q19">
    <cfRule type="cellIs" dxfId="61" priority="204" operator="greaterThan">
      <formula>0.015</formula>
    </cfRule>
  </conditionalFormatting>
  <conditionalFormatting sqref="Q21">
    <cfRule type="cellIs" dxfId="60" priority="15" operator="lessThan">
      <formula>0.9</formula>
    </cfRule>
    <cfRule type="cellIs" dxfId="59" priority="16" operator="greaterThan">
      <formula>0.89</formula>
    </cfRule>
  </conditionalFormatting>
  <conditionalFormatting sqref="Q22">
    <cfRule type="cellIs" dxfId="58" priority="5" operator="lessThan">
      <formula>0.95</formula>
    </cfRule>
    <cfRule type="cellIs" dxfId="57" priority="6" operator="greaterThan">
      <formula>0.94</formula>
    </cfRule>
  </conditionalFormatting>
  <conditionalFormatting sqref="Q23">
    <cfRule type="cellIs" dxfId="56" priority="194" operator="lessThan">
      <formula>2.6</formula>
    </cfRule>
    <cfRule type="cellIs" dxfId="55" priority="195" operator="greaterThan">
      <formula>2.5</formula>
    </cfRule>
  </conditionalFormatting>
  <conditionalFormatting sqref="Q24">
    <cfRule type="cellIs" dxfId="54" priority="182" operator="lessThan">
      <formula>1</formula>
    </cfRule>
    <cfRule type="cellIs" dxfId="53" priority="183" operator="greaterThan">
      <formula>0.99</formula>
    </cfRule>
  </conditionalFormatting>
  <conditionalFormatting sqref="T9">
    <cfRule type="cellIs" dxfId="52" priority="69" operator="lessThan">
      <formula>1</formula>
    </cfRule>
    <cfRule type="cellIs" dxfId="51" priority="70" operator="greaterThan">
      <formula>1</formula>
    </cfRule>
  </conditionalFormatting>
  <conditionalFormatting sqref="T11:T12">
    <cfRule type="cellIs" dxfId="50" priority="305" operator="lessThan">
      <formula>0.6</formula>
    </cfRule>
    <cfRule type="cellIs" dxfId="49" priority="306" operator="greaterThan">
      <formula>0.5</formula>
    </cfRule>
  </conditionalFormatting>
  <conditionalFormatting sqref="T13">
    <cfRule type="cellIs" dxfId="48" priority="277" operator="lessThan">
      <formula>120</formula>
    </cfRule>
    <cfRule type="cellIs" dxfId="47" priority="278" operator="greaterThan">
      <formula>119</formula>
    </cfRule>
  </conditionalFormatting>
  <conditionalFormatting sqref="T15">
    <cfRule type="cellIs" dxfId="46" priority="327" operator="lessThan">
      <formula>$S$15</formula>
    </cfRule>
    <cfRule type="cellIs" dxfId="45" priority="328" operator="greaterThan">
      <formula>$S$15</formula>
    </cfRule>
  </conditionalFormatting>
  <conditionalFormatting sqref="T17">
    <cfRule type="cellIs" dxfId="44" priority="248" operator="lessThan">
      <formula>$S$17</formula>
    </cfRule>
    <cfRule type="cellIs" dxfId="43" priority="249" operator="greaterThan">
      <formula>$S$17</formula>
    </cfRule>
  </conditionalFormatting>
  <conditionalFormatting sqref="T18">
    <cfRule type="cellIs" dxfId="42" priority="213" operator="lessThan">
      <formula>0.026</formula>
    </cfRule>
    <cfRule type="cellIs" dxfId="41" priority="214" operator="lessThan">
      <formula>0.026</formula>
    </cfRule>
    <cfRule type="cellIs" dxfId="40" priority="215" operator="lessThan">
      <formula>0.026</formula>
    </cfRule>
    <cfRule type="cellIs" dxfId="39" priority="216" operator="lessThan">
      <formula>0.026</formula>
    </cfRule>
    <cfRule type="cellIs" dxfId="38" priority="217" operator="greaterThan">
      <formula>0.025</formula>
    </cfRule>
  </conditionalFormatting>
  <conditionalFormatting sqref="T19">
    <cfRule type="cellIs" dxfId="37" priority="203" operator="greaterThan">
      <formula>0.015</formula>
    </cfRule>
  </conditionalFormatting>
  <conditionalFormatting sqref="T21">
    <cfRule type="cellIs" dxfId="36" priority="13" operator="lessThan">
      <formula>0.9</formula>
    </cfRule>
    <cfRule type="cellIs" dxfId="35" priority="14" operator="greaterThan">
      <formula>0.89</formula>
    </cfRule>
  </conditionalFormatting>
  <conditionalFormatting sqref="T22">
    <cfRule type="cellIs" dxfId="34" priority="3" operator="lessThan">
      <formula>0.95</formula>
    </cfRule>
    <cfRule type="cellIs" dxfId="33" priority="4" operator="greaterThan">
      <formula>0.94</formula>
    </cfRule>
  </conditionalFormatting>
  <conditionalFormatting sqref="T23">
    <cfRule type="cellIs" dxfId="32" priority="192" operator="lessThan">
      <formula>2.6</formula>
    </cfRule>
    <cfRule type="cellIs" dxfId="31" priority="193" operator="greaterThan">
      <formula>2.5</formula>
    </cfRule>
  </conditionalFormatting>
  <conditionalFormatting sqref="T24">
    <cfRule type="cellIs" dxfId="30" priority="180" operator="lessThan">
      <formula>1</formula>
    </cfRule>
    <cfRule type="cellIs" dxfId="29" priority="181" operator="greaterThan">
      <formula>0.99</formula>
    </cfRule>
  </conditionalFormatting>
  <conditionalFormatting sqref="W9">
    <cfRule type="cellIs" dxfId="28" priority="67" operator="lessThan">
      <formula>1</formula>
    </cfRule>
    <cfRule type="cellIs" dxfId="27" priority="68" operator="greaterThan">
      <formula>1</formula>
    </cfRule>
  </conditionalFormatting>
  <conditionalFormatting sqref="W11:W12">
    <cfRule type="cellIs" dxfId="26" priority="303" operator="lessThan">
      <formula>0.6</formula>
    </cfRule>
    <cfRule type="cellIs" dxfId="25" priority="304" operator="greaterThan">
      <formula>0.5</formula>
    </cfRule>
  </conditionalFormatting>
  <conditionalFormatting sqref="W13">
    <cfRule type="cellIs" dxfId="24" priority="275" operator="lessThan">
      <formula>120</formula>
    </cfRule>
    <cfRule type="cellIs" dxfId="23" priority="276" operator="greaterThan">
      <formula>119</formula>
    </cfRule>
  </conditionalFormatting>
  <conditionalFormatting sqref="W15">
    <cfRule type="cellIs" dxfId="22" priority="325" operator="lessThan">
      <formula>$V$15</formula>
    </cfRule>
    <cfRule type="cellIs" dxfId="21" priority="326" operator="greaterThan">
      <formula>$V$15</formula>
    </cfRule>
  </conditionalFormatting>
  <conditionalFormatting sqref="W17">
    <cfRule type="cellIs" dxfId="20" priority="246" operator="lessThan">
      <formula>$V$17</formula>
    </cfRule>
    <cfRule type="cellIs" dxfId="19" priority="247" operator="greaterThan">
      <formula>$V$17</formula>
    </cfRule>
  </conditionalFormatting>
  <conditionalFormatting sqref="W18">
    <cfRule type="cellIs" dxfId="18" priority="208" operator="lessThan">
      <formula>0.026</formula>
    </cfRule>
    <cfRule type="cellIs" dxfId="17" priority="209" operator="lessThan">
      <formula>0.026</formula>
    </cfRule>
    <cfRule type="cellIs" dxfId="16" priority="210" operator="lessThan">
      <formula>0.026</formula>
    </cfRule>
    <cfRule type="cellIs" dxfId="15" priority="211" operator="lessThan">
      <formula>0.026</formula>
    </cfRule>
    <cfRule type="cellIs" dxfId="14" priority="212" operator="greaterThan">
      <formula>0.025</formula>
    </cfRule>
  </conditionalFormatting>
  <conditionalFormatting sqref="W19">
    <cfRule type="cellIs" dxfId="13" priority="202" operator="greaterThan">
      <formula>0.015</formula>
    </cfRule>
  </conditionalFormatting>
  <conditionalFormatting sqref="W21">
    <cfRule type="cellIs" dxfId="12" priority="11" operator="lessThan">
      <formula>0.9</formula>
    </cfRule>
    <cfRule type="cellIs" dxfId="11" priority="12" operator="greaterThan">
      <formula>0.89</formula>
    </cfRule>
  </conditionalFormatting>
  <conditionalFormatting sqref="W22">
    <cfRule type="cellIs" dxfId="10" priority="1" operator="lessThan">
      <formula>0.95</formula>
    </cfRule>
    <cfRule type="cellIs" dxfId="9" priority="2" operator="greaterThan">
      <formula>0.94</formula>
    </cfRule>
  </conditionalFormatting>
  <conditionalFormatting sqref="W23">
    <cfRule type="cellIs" dxfId="8" priority="190" operator="lessThan">
      <formula>2.6</formula>
    </cfRule>
    <cfRule type="cellIs" dxfId="7" priority="191" operator="greaterThan">
      <formula>2.5</formula>
    </cfRule>
  </conditionalFormatting>
  <conditionalFormatting sqref="W24">
    <cfRule type="cellIs" dxfId="6" priority="178" operator="lessThan">
      <formula>1</formula>
    </cfRule>
    <cfRule type="cellIs" dxfId="5" priority="179" operator="greaterThan">
      <formula>0.99</formula>
    </cfRule>
  </conditionalFormatting>
  <pageMargins left="0.7" right="0.7" top="0.75" bottom="0.75" header="0.3" footer="0.3"/>
  <headerFooter>
    <oddFooter>&amp;C_x000D_&amp;1#&amp;"Calibri"&amp;10&amp;K000000 Mondelez International Internal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0D729-AEC4-4855-8716-DD8CF8EAE233}">
  <dimension ref="A1:AA15"/>
  <sheetViews>
    <sheetView showGridLines="0" workbookViewId="0">
      <selection activeCell="E9" sqref="E9"/>
    </sheetView>
  </sheetViews>
  <sheetFormatPr defaultRowHeight="14.5" x14ac:dyDescent="0.35"/>
  <cols>
    <col min="1" max="1" width="15.1796875" style="15" customWidth="1"/>
    <col min="2" max="2" width="16.453125" style="15" customWidth="1"/>
    <col min="3" max="27" width="15.1796875" style="15" customWidth="1"/>
  </cols>
  <sheetData>
    <row r="1" spans="1:27" s="262" customFormat="1" x14ac:dyDescent="0.3">
      <c r="A1" s="260" t="s">
        <v>449</v>
      </c>
      <c r="B1" s="260" t="s">
        <v>448</v>
      </c>
      <c r="C1" s="261" t="s">
        <v>450</v>
      </c>
      <c r="D1" s="261" t="s">
        <v>451</v>
      </c>
      <c r="E1" s="261" t="s">
        <v>452</v>
      </c>
      <c r="F1" s="261" t="s">
        <v>453</v>
      </c>
      <c r="G1" s="261" t="s">
        <v>454</v>
      </c>
      <c r="H1" s="261" t="s">
        <v>455</v>
      </c>
      <c r="I1" s="261" t="s">
        <v>456</v>
      </c>
      <c r="J1" s="261" t="s">
        <v>457</v>
      </c>
      <c r="K1" s="261" t="s">
        <v>458</v>
      </c>
      <c r="L1" s="261" t="s">
        <v>459</v>
      </c>
      <c r="M1" s="261" t="s">
        <v>460</v>
      </c>
      <c r="N1" s="261" t="s">
        <v>461</v>
      </c>
      <c r="O1" s="261" t="s">
        <v>462</v>
      </c>
      <c r="P1" s="261" t="s">
        <v>463</v>
      </c>
      <c r="Q1" s="261" t="s">
        <v>464</v>
      </c>
      <c r="R1" s="261" t="s">
        <v>465</v>
      </c>
      <c r="S1" s="261" t="s">
        <v>466</v>
      </c>
      <c r="T1" s="261" t="s">
        <v>467</v>
      </c>
      <c r="U1" s="261" t="s">
        <v>468</v>
      </c>
      <c r="V1" s="261" t="s">
        <v>469</v>
      </c>
      <c r="W1" s="261" t="s">
        <v>470</v>
      </c>
      <c r="X1" s="261" t="s">
        <v>471</v>
      </c>
      <c r="Y1" s="261" t="s">
        <v>472</v>
      </c>
      <c r="Z1" s="261" t="s">
        <v>473</v>
      </c>
      <c r="AA1" s="261" t="s">
        <v>474</v>
      </c>
    </row>
    <row r="2" spans="1:27" x14ac:dyDescent="0.35">
      <c r="A2" s="64" t="s">
        <v>475</v>
      </c>
      <c r="B2" s="258">
        <f>COUNTIF(Table8[[#This Row],[27-May]:[20-Jun]],TRUE)/COUNTA(Table8[[#This Row],[27-May]:[20-Jun]])</f>
        <v>0.5</v>
      </c>
      <c r="C2" s="256" t="b">
        <v>1</v>
      </c>
      <c r="D2" s="256" t="b">
        <v>0</v>
      </c>
    </row>
    <row r="3" spans="1:27" x14ac:dyDescent="0.35">
      <c r="A3" s="64" t="s">
        <v>476</v>
      </c>
      <c r="B3" s="258">
        <f>COUNTIF(Table8[[#This Row],[27-May]:[20-Jun]],TRUE)/COUNTA(Table8[[#This Row],[27-May]:[20-Jun]])</f>
        <v>0</v>
      </c>
      <c r="D3" s="256" t="b">
        <v>0</v>
      </c>
    </row>
    <row r="4" spans="1:27" x14ac:dyDescent="0.35">
      <c r="A4" s="64" t="s">
        <v>477</v>
      </c>
      <c r="B4" s="258">
        <f>COUNTIF(Table8[[#This Row],[27-May]:[20-Jun]],TRUE)/COUNTA(Table8[[#This Row],[27-May]:[20-Jun]])</f>
        <v>0.5</v>
      </c>
      <c r="C4" s="256" t="b">
        <v>1</v>
      </c>
      <c r="D4" s="256" t="b">
        <v>0</v>
      </c>
    </row>
    <row r="5" spans="1:27" x14ac:dyDescent="0.35">
      <c r="A5" s="64" t="s">
        <v>478</v>
      </c>
      <c r="B5" s="258">
        <f>COUNTIF(Table8[[#This Row],[27-May]:[20-Jun]],TRUE)/COUNTA(Table8[[#This Row],[27-May]:[20-Jun]])</f>
        <v>0.5</v>
      </c>
      <c r="C5" s="256" t="b">
        <v>1</v>
      </c>
      <c r="D5" s="256" t="b">
        <v>0</v>
      </c>
    </row>
    <row r="6" spans="1:27" x14ac:dyDescent="0.35">
      <c r="A6" s="64" t="s">
        <v>391</v>
      </c>
      <c r="B6" s="34">
        <f>COUNTIF(Table8[[#This Row],[27-May]:[20-Jun]],TRUE)/COUNTA(Table8[[#This Row],[27-May]:[20-Jun]])</f>
        <v>0</v>
      </c>
      <c r="C6" s="256" t="b">
        <v>0</v>
      </c>
      <c r="D6" s="256" t="b">
        <v>0</v>
      </c>
    </row>
    <row r="7" spans="1:27" x14ac:dyDescent="0.35">
      <c r="A7" s="64" t="s">
        <v>479</v>
      </c>
      <c r="B7" s="34">
        <f>COUNTIF(Table8[[#This Row],[27-May]:[20-Jun]],TRUE)/COUNTA(Table8[[#This Row],[27-May]:[20-Jun]])</f>
        <v>0.5</v>
      </c>
      <c r="C7" s="256" t="b">
        <v>1</v>
      </c>
      <c r="D7" s="256" t="b">
        <v>0</v>
      </c>
    </row>
    <row r="8" spans="1:27" x14ac:dyDescent="0.35">
      <c r="A8" s="64" t="s">
        <v>480</v>
      </c>
      <c r="B8" s="258">
        <f>COUNTIF(Table8[[#This Row],[27-May]:[20-Jun]],TRUE)/COUNTA(Table8[[#This Row],[27-May]:[20-Jun]])</f>
        <v>0.5</v>
      </c>
      <c r="C8" s="256" t="b">
        <v>1</v>
      </c>
      <c r="D8" s="256" t="b">
        <v>0</v>
      </c>
    </row>
    <row r="9" spans="1:27" x14ac:dyDescent="0.35">
      <c r="A9" s="64" t="s">
        <v>41</v>
      </c>
      <c r="B9" s="258">
        <f>COUNTIF(Table8[[#This Row],[27-May]:[20-Jun]],TRUE)/COUNTA(Table8[[#This Row],[27-May]:[20-Jun]])</f>
        <v>0.5</v>
      </c>
      <c r="C9" s="256" t="b">
        <v>1</v>
      </c>
      <c r="D9" s="256" t="b">
        <v>0</v>
      </c>
    </row>
    <row r="10" spans="1:27" x14ac:dyDescent="0.35">
      <c r="A10" s="64" t="s">
        <v>481</v>
      </c>
      <c r="B10" s="258">
        <f>COUNTIF(Table8[[#This Row],[27-May]:[20-Jun]],TRUE)/COUNTA(Table8[[#This Row],[27-May]:[20-Jun]])</f>
        <v>0</v>
      </c>
      <c r="C10" s="256" t="b">
        <v>0</v>
      </c>
      <c r="D10" s="256" t="b">
        <v>0</v>
      </c>
    </row>
    <row r="11" spans="1:27" x14ac:dyDescent="0.35">
      <c r="A11" s="64" t="s">
        <v>482</v>
      </c>
      <c r="B11" s="258">
        <f>COUNTIF(Table8[[#This Row],[27-May]:[20-Jun]],TRUE)/COUNTA(Table8[[#This Row],[27-May]:[20-Jun]])</f>
        <v>0.5</v>
      </c>
      <c r="C11" s="256" t="b">
        <v>1</v>
      </c>
      <c r="D11" s="256" t="b">
        <v>0</v>
      </c>
    </row>
    <row r="12" spans="1:27" x14ac:dyDescent="0.35">
      <c r="A12" s="64" t="s">
        <v>483</v>
      </c>
      <c r="B12" s="258">
        <f>COUNTIF(Table8[[#This Row],[27-May]:[20-Jun]],TRUE)/COUNTA(Table8[[#This Row],[27-May]:[20-Jun]])</f>
        <v>0.5</v>
      </c>
      <c r="C12" s="256" t="b">
        <v>1</v>
      </c>
      <c r="D12" s="256" t="b">
        <v>0</v>
      </c>
    </row>
    <row r="13" spans="1:27" x14ac:dyDescent="0.35">
      <c r="A13" s="64" t="s">
        <v>484</v>
      </c>
      <c r="B13" s="258">
        <f>COUNTIF(Table8[[#This Row],[27-May]:[20-Jun]],TRUE)/COUNTA(Table8[[#This Row],[27-May]:[20-Jun]])</f>
        <v>0.5</v>
      </c>
      <c r="C13" s="256" t="b">
        <v>1</v>
      </c>
      <c r="D13" s="256" t="b">
        <v>0</v>
      </c>
    </row>
    <row r="14" spans="1:27" ht="15" thickBot="1" x14ac:dyDescent="0.4">
      <c r="A14" s="254" t="s">
        <v>485</v>
      </c>
      <c r="B14" s="259">
        <f>COUNTIF(Table8[[#This Row],[27-May]:[20-Jun]],TRUE)/COUNTA(Table8[[#This Row],[27-May]:[20-Jun]])</f>
        <v>0</v>
      </c>
      <c r="C14" s="257" t="b">
        <v>0</v>
      </c>
      <c r="D14" s="257" t="b">
        <v>0</v>
      </c>
      <c r="E14" s="255"/>
      <c r="F14" s="255"/>
      <c r="G14" s="255"/>
      <c r="H14" s="255"/>
      <c r="I14" s="255"/>
      <c r="J14" s="255"/>
      <c r="K14" s="255"/>
      <c r="L14" s="255"/>
      <c r="M14" s="255"/>
      <c r="N14" s="255"/>
      <c r="O14" s="255"/>
      <c r="P14" s="255"/>
      <c r="Q14" s="255"/>
      <c r="R14" s="255"/>
      <c r="S14" s="255"/>
      <c r="T14" s="255"/>
      <c r="U14" s="255"/>
      <c r="V14" s="255"/>
      <c r="W14" s="255"/>
      <c r="X14" s="255"/>
      <c r="Y14" s="255"/>
      <c r="Z14" s="255"/>
      <c r="AA14" s="255"/>
    </row>
    <row r="15" spans="1:27" x14ac:dyDescent="0.35">
      <c r="A15" s="64"/>
      <c r="B15" s="67"/>
      <c r="C15" s="263">
        <f>IFERROR(COUNTIF(Table8[27-May],TRUE)/COUNTA(Table8[27-May]),"")</f>
        <v>0.75</v>
      </c>
      <c r="D15" s="263">
        <f>IFERROR(COUNTIF(Table8[28-May],TRUE)/COUNTA(Table8[28-May]),"")</f>
        <v>0</v>
      </c>
      <c r="E15" s="263" t="str">
        <f>IFERROR(COUNTIF(Table8[29-May],TRUE)/COUNTA(Table8[29-May]),"")</f>
        <v/>
      </c>
      <c r="F15" s="263" t="str">
        <f>IFERROR(COUNTIF(Table8[30-May],TRUE)/COUNTA(Table8[30-May]),"")</f>
        <v/>
      </c>
      <c r="G15" s="263" t="str">
        <f>IFERROR(COUNTIF(Table8[31-May],TRUE)/COUNTA(Table8[31-May]),"")</f>
        <v/>
      </c>
      <c r="H15" s="263" t="str">
        <f>IFERROR(COUNTIF(Table8[1-Jun],TRUE)/COUNTA(Table8[1-Jun]),"")</f>
        <v/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65741-2C74-4127-BA1A-24FDF466C617}">
  <sheetPr codeName="Sheet7"/>
  <dimension ref="A1:N1096"/>
  <sheetViews>
    <sheetView topLeftCell="A739" workbookViewId="0">
      <selection activeCell="K754" sqref="K754"/>
    </sheetView>
  </sheetViews>
  <sheetFormatPr defaultRowHeight="14.5" x14ac:dyDescent="0.35"/>
  <cols>
    <col min="1" max="1" width="8.7265625" style="81"/>
    <col min="2" max="2" width="8.7265625" customWidth="1"/>
    <col min="3" max="3" width="16.453125" style="15" customWidth="1"/>
    <col min="4" max="4" width="14.453125" style="18" customWidth="1"/>
    <col min="5" max="5" width="14.1796875" style="15" customWidth="1"/>
    <col min="6" max="6" width="17.1796875" style="50" customWidth="1"/>
    <col min="7" max="7" width="11.81640625" bestFit="1" customWidth="1"/>
  </cols>
  <sheetData>
    <row r="1" spans="1:7" x14ac:dyDescent="0.35">
      <c r="A1" s="226" t="s">
        <v>0</v>
      </c>
      <c r="B1" s="73" t="s">
        <v>486</v>
      </c>
      <c r="C1" s="74" t="s">
        <v>487</v>
      </c>
      <c r="D1" s="75" t="s">
        <v>488</v>
      </c>
      <c r="E1" s="73" t="s">
        <v>489</v>
      </c>
      <c r="F1" s="76" t="s">
        <v>399</v>
      </c>
      <c r="G1" s="76" t="s">
        <v>490</v>
      </c>
    </row>
    <row r="2" spans="1:7" x14ac:dyDescent="0.35">
      <c r="A2" s="227">
        <v>46023</v>
      </c>
      <c r="B2" s="62" t="s">
        <v>7</v>
      </c>
      <c r="C2" s="62"/>
      <c r="D2" s="77"/>
      <c r="E2" s="78" t="str">
        <f t="shared" ref="E2:E65" si="0">IF(D2="","",(D2-C2)/C2)</f>
        <v/>
      </c>
      <c r="F2" s="213">
        <f>IFERROR(AVERAGE(E2:E4),"")</f>
        <v>1.7073170731707239E-2</v>
      </c>
      <c r="G2" s="212">
        <v>1.4999999999999999E-2</v>
      </c>
    </row>
    <row r="3" spans="1:7" x14ac:dyDescent="0.35">
      <c r="A3" s="228"/>
      <c r="B3" s="62" t="s">
        <v>8</v>
      </c>
      <c r="C3" s="62"/>
      <c r="D3" s="77"/>
      <c r="E3" s="78" t="str">
        <f t="shared" si="0"/>
        <v/>
      </c>
      <c r="F3" s="214"/>
      <c r="G3" s="212"/>
    </row>
    <row r="4" spans="1:7" x14ac:dyDescent="0.35">
      <c r="A4" s="229"/>
      <c r="B4" s="62" t="s">
        <v>9</v>
      </c>
      <c r="C4" s="62">
        <v>574</v>
      </c>
      <c r="D4" s="77">
        <v>583.79999999999995</v>
      </c>
      <c r="E4" s="78">
        <f t="shared" si="0"/>
        <v>1.7073170731707239E-2</v>
      </c>
      <c r="F4" s="214"/>
      <c r="G4" s="212"/>
    </row>
    <row r="5" spans="1:7" x14ac:dyDescent="0.35">
      <c r="A5" s="227">
        <v>46024</v>
      </c>
      <c r="B5" s="62" t="s">
        <v>7</v>
      </c>
      <c r="C5" s="62">
        <v>574</v>
      </c>
      <c r="D5" s="77">
        <v>589.62</v>
      </c>
      <c r="E5" s="78">
        <f t="shared" si="0"/>
        <v>2.7212543554006978E-2</v>
      </c>
      <c r="F5" s="213">
        <f>IFERROR(AVERAGE(E5:E7),"")</f>
        <v>2.8879210220673648E-2</v>
      </c>
      <c r="G5" s="212">
        <v>1.4999999999999999E-2</v>
      </c>
    </row>
    <row r="6" spans="1:7" x14ac:dyDescent="0.35">
      <c r="A6" s="228"/>
      <c r="B6" s="62" t="s">
        <v>8</v>
      </c>
      <c r="C6" s="62">
        <v>574</v>
      </c>
      <c r="D6" s="77">
        <v>592.46</v>
      </c>
      <c r="E6" s="78">
        <f t="shared" si="0"/>
        <v>3.2160278745644665E-2</v>
      </c>
      <c r="F6" s="214"/>
      <c r="G6" s="212"/>
    </row>
    <row r="7" spans="1:7" x14ac:dyDescent="0.35">
      <c r="A7" s="229"/>
      <c r="B7" s="62" t="s">
        <v>9</v>
      </c>
      <c r="C7" s="62">
        <v>574</v>
      </c>
      <c r="D7" s="77">
        <v>589.65</v>
      </c>
      <c r="E7" s="78">
        <f t="shared" si="0"/>
        <v>2.7264808362369299E-2</v>
      </c>
      <c r="F7" s="214"/>
      <c r="G7" s="212"/>
    </row>
    <row r="8" spans="1:7" x14ac:dyDescent="0.35">
      <c r="A8" s="227">
        <v>46025</v>
      </c>
      <c r="B8" s="62" t="s">
        <v>7</v>
      </c>
      <c r="C8" s="62">
        <v>574</v>
      </c>
      <c r="D8" s="77">
        <v>592.48</v>
      </c>
      <c r="E8" s="78">
        <f t="shared" si="0"/>
        <v>3.2195121951219541E-2</v>
      </c>
      <c r="F8" s="213">
        <f>IFERROR(AVERAGE(E8:E10),"")</f>
        <v>3.6184668989547066E-2</v>
      </c>
      <c r="G8" s="212">
        <v>1.4999999999999999E-2</v>
      </c>
    </row>
    <row r="9" spans="1:7" x14ac:dyDescent="0.35">
      <c r="A9" s="228"/>
      <c r="B9" s="62" t="s">
        <v>8</v>
      </c>
      <c r="C9" s="62">
        <v>574</v>
      </c>
      <c r="D9" s="77">
        <v>596.94000000000005</v>
      </c>
      <c r="E9" s="78">
        <f t="shared" si="0"/>
        <v>3.996515679442518E-2</v>
      </c>
      <c r="F9" s="214"/>
      <c r="G9" s="212"/>
    </row>
    <row r="10" spans="1:7" x14ac:dyDescent="0.35">
      <c r="A10" s="229"/>
      <c r="B10" s="62" t="s">
        <v>9</v>
      </c>
      <c r="C10" s="62">
        <v>574</v>
      </c>
      <c r="D10" s="77">
        <v>594.89</v>
      </c>
      <c r="E10" s="78">
        <f t="shared" si="0"/>
        <v>3.639372822299649E-2</v>
      </c>
      <c r="F10" s="214"/>
      <c r="G10" s="212"/>
    </row>
    <row r="11" spans="1:7" x14ac:dyDescent="0.35">
      <c r="A11" s="227">
        <v>46026</v>
      </c>
      <c r="B11" s="62" t="s">
        <v>7</v>
      </c>
      <c r="C11" s="62">
        <v>574</v>
      </c>
      <c r="D11" s="77">
        <v>588.91999999999996</v>
      </c>
      <c r="E11" s="78">
        <f t="shared" si="0"/>
        <v>2.5993031358884946E-2</v>
      </c>
      <c r="F11" s="213">
        <f>IFERROR(AVERAGE(E11:E13),"")</f>
        <v>2.7462253193960489E-2</v>
      </c>
      <c r="G11" s="212">
        <v>1.4999999999999999E-2</v>
      </c>
    </row>
    <row r="12" spans="1:7" x14ac:dyDescent="0.35">
      <c r="A12" s="228"/>
      <c r="B12" s="62" t="s">
        <v>8</v>
      </c>
      <c r="C12" s="62">
        <v>574</v>
      </c>
      <c r="D12" s="77">
        <v>588.11</v>
      </c>
      <c r="E12" s="78">
        <f t="shared" si="0"/>
        <v>2.458188153310107E-2</v>
      </c>
      <c r="F12" s="214"/>
      <c r="G12" s="212"/>
    </row>
    <row r="13" spans="1:7" x14ac:dyDescent="0.35">
      <c r="A13" s="229"/>
      <c r="B13" s="62" t="s">
        <v>9</v>
      </c>
      <c r="C13" s="62">
        <v>574</v>
      </c>
      <c r="D13" s="77">
        <v>592.26</v>
      </c>
      <c r="E13" s="78">
        <f t="shared" si="0"/>
        <v>3.1811846689895458E-2</v>
      </c>
      <c r="F13" s="214"/>
      <c r="G13" s="212"/>
    </row>
    <row r="14" spans="1:7" x14ac:dyDescent="0.35">
      <c r="A14" s="227">
        <v>46027</v>
      </c>
      <c r="B14" s="62" t="s">
        <v>7</v>
      </c>
      <c r="C14" s="62">
        <v>574</v>
      </c>
      <c r="D14" s="77">
        <v>589.29999999999995</v>
      </c>
      <c r="E14" s="78">
        <f t="shared" si="0"/>
        <v>2.6655052264808281E-2</v>
      </c>
      <c r="F14" s="213">
        <f>IFERROR(AVERAGE(E14:E16),"")</f>
        <v>2.2648083623693315E-2</v>
      </c>
      <c r="G14" s="212">
        <v>1.4999999999999999E-2</v>
      </c>
    </row>
    <row r="15" spans="1:7" x14ac:dyDescent="0.35">
      <c r="A15" s="228"/>
      <c r="B15" s="62" t="s">
        <v>8</v>
      </c>
      <c r="C15" s="62">
        <v>574</v>
      </c>
      <c r="D15" s="77">
        <v>585.9</v>
      </c>
      <c r="E15" s="78">
        <f t="shared" si="0"/>
        <v>2.073170731707313E-2</v>
      </c>
      <c r="F15" s="214"/>
      <c r="G15" s="212"/>
    </row>
    <row r="16" spans="1:7" x14ac:dyDescent="0.35">
      <c r="A16" s="229"/>
      <c r="B16" s="62" t="s">
        <v>9</v>
      </c>
      <c r="C16" s="62">
        <v>574</v>
      </c>
      <c r="D16" s="77">
        <v>585.79999999999995</v>
      </c>
      <c r="E16" s="78">
        <f t="shared" si="0"/>
        <v>2.0557491289198527E-2</v>
      </c>
      <c r="F16" s="214"/>
      <c r="G16" s="212"/>
    </row>
    <row r="17" spans="1:7" x14ac:dyDescent="0.35">
      <c r="A17" s="227">
        <v>46028</v>
      </c>
      <c r="B17" s="62" t="s">
        <v>7</v>
      </c>
      <c r="C17" s="62">
        <v>574</v>
      </c>
      <c r="D17" s="77">
        <v>580.16</v>
      </c>
      <c r="E17" s="78">
        <f t="shared" si="0"/>
        <v>1.0731707317073116E-2</v>
      </c>
      <c r="F17" s="213">
        <f>IFERROR(AVERAGE(E17:E19),"")</f>
        <v>1.8388357364236579E-2</v>
      </c>
      <c r="G17" s="212">
        <v>1.4999999999999999E-2</v>
      </c>
    </row>
    <row r="18" spans="1:7" x14ac:dyDescent="0.35">
      <c r="A18" s="228"/>
      <c r="B18" s="62" t="s">
        <v>8</v>
      </c>
      <c r="C18" s="62">
        <v>574</v>
      </c>
      <c r="D18" s="77">
        <v>580.16</v>
      </c>
      <c r="E18" s="78">
        <f t="shared" si="0"/>
        <v>1.0731707317073116E-2</v>
      </c>
      <c r="F18" s="214"/>
      <c r="G18" s="212"/>
    </row>
    <row r="19" spans="1:7" x14ac:dyDescent="0.35">
      <c r="A19" s="229"/>
      <c r="B19" s="62" t="s">
        <v>9</v>
      </c>
      <c r="C19" s="62">
        <v>362</v>
      </c>
      <c r="D19" s="77">
        <v>374.2</v>
      </c>
      <c r="E19" s="78">
        <f t="shared" si="0"/>
        <v>3.3701657458563503E-2</v>
      </c>
      <c r="F19" s="214"/>
      <c r="G19" s="212"/>
    </row>
    <row r="20" spans="1:7" x14ac:dyDescent="0.35">
      <c r="A20" s="227">
        <v>46029</v>
      </c>
      <c r="B20" s="62" t="s">
        <v>7</v>
      </c>
      <c r="C20" s="62">
        <v>362</v>
      </c>
      <c r="D20" s="77">
        <v>367.31</v>
      </c>
      <c r="E20" s="78">
        <f t="shared" si="0"/>
        <v>1.4668508287292823E-2</v>
      </c>
      <c r="F20" s="213">
        <f>IFERROR(AVERAGE(E20:E22),"")</f>
        <v>1.7863720073664803E-2</v>
      </c>
      <c r="G20" s="212">
        <v>1.4999999999999999E-2</v>
      </c>
    </row>
    <row r="21" spans="1:7" x14ac:dyDescent="0.35">
      <c r="A21" s="228"/>
      <c r="B21" s="62" t="s">
        <v>8</v>
      </c>
      <c r="C21" s="62">
        <v>362</v>
      </c>
      <c r="D21" s="77">
        <v>368.58</v>
      </c>
      <c r="E21" s="78">
        <f t="shared" si="0"/>
        <v>1.8176795580110452E-2</v>
      </c>
      <c r="F21" s="214"/>
      <c r="G21" s="212"/>
    </row>
    <row r="22" spans="1:7" x14ac:dyDescent="0.35">
      <c r="A22" s="229"/>
      <c r="B22" s="62" t="s">
        <v>9</v>
      </c>
      <c r="C22" s="62">
        <v>362</v>
      </c>
      <c r="D22" s="77">
        <v>369.51</v>
      </c>
      <c r="E22" s="78">
        <f t="shared" si="0"/>
        <v>2.0745856353591136E-2</v>
      </c>
      <c r="F22" s="214"/>
      <c r="G22" s="212"/>
    </row>
    <row r="23" spans="1:7" x14ac:dyDescent="0.35">
      <c r="A23" s="227">
        <v>46030</v>
      </c>
      <c r="B23" s="62" t="s">
        <v>7</v>
      </c>
      <c r="C23" s="62">
        <v>362</v>
      </c>
      <c r="D23" s="77">
        <v>371.1</v>
      </c>
      <c r="E23" s="78">
        <f t="shared" si="0"/>
        <v>2.5138121546961389E-2</v>
      </c>
      <c r="F23" s="213">
        <f>IFERROR(AVERAGE(E23:E25),"")</f>
        <v>2.5497237569060773E-2</v>
      </c>
      <c r="G23" s="212">
        <v>1.4999999999999999E-2</v>
      </c>
    </row>
    <row r="24" spans="1:7" x14ac:dyDescent="0.35">
      <c r="A24" s="228"/>
      <c r="B24" s="62" t="s">
        <v>8</v>
      </c>
      <c r="C24" s="62">
        <v>362</v>
      </c>
      <c r="D24" s="77">
        <v>369.03</v>
      </c>
      <c r="E24" s="78">
        <f t="shared" si="0"/>
        <v>1.9419889502762355E-2</v>
      </c>
      <c r="F24" s="214"/>
      <c r="G24" s="212"/>
    </row>
    <row r="25" spans="1:7" x14ac:dyDescent="0.35">
      <c r="A25" s="229"/>
      <c r="B25" s="62" t="s">
        <v>9</v>
      </c>
      <c r="C25" s="62">
        <v>362</v>
      </c>
      <c r="D25" s="77">
        <v>373.56</v>
      </c>
      <c r="E25" s="78">
        <f t="shared" si="0"/>
        <v>3.1933701657458569E-2</v>
      </c>
      <c r="F25" s="214"/>
      <c r="G25" s="212"/>
    </row>
    <row r="26" spans="1:7" x14ac:dyDescent="0.35">
      <c r="A26" s="227">
        <v>46031</v>
      </c>
      <c r="B26" s="62" t="s">
        <v>7</v>
      </c>
      <c r="C26" s="62">
        <v>362</v>
      </c>
      <c r="D26" s="77">
        <v>366.54</v>
      </c>
      <c r="E26" s="78">
        <f t="shared" si="0"/>
        <v>1.2541436464088455E-2</v>
      </c>
      <c r="F26" s="213">
        <f>IFERROR(AVERAGE(E26:E28),"")</f>
        <v>2.7108655616942961E-2</v>
      </c>
      <c r="G26" s="212">
        <v>1.4999999999999999E-2</v>
      </c>
    </row>
    <row r="27" spans="1:7" x14ac:dyDescent="0.35">
      <c r="A27" s="228"/>
      <c r="B27" s="62" t="s">
        <v>8</v>
      </c>
      <c r="C27" s="62">
        <v>362</v>
      </c>
      <c r="D27" s="77">
        <v>375.3</v>
      </c>
      <c r="E27" s="78">
        <f t="shared" si="0"/>
        <v>3.6740331491712741E-2</v>
      </c>
      <c r="F27" s="214"/>
      <c r="G27" s="212"/>
    </row>
    <row r="28" spans="1:7" x14ac:dyDescent="0.35">
      <c r="A28" s="229"/>
      <c r="B28" s="62" t="s">
        <v>9</v>
      </c>
      <c r="C28" s="62">
        <v>362</v>
      </c>
      <c r="D28" s="77">
        <v>373.6</v>
      </c>
      <c r="E28" s="78">
        <f t="shared" si="0"/>
        <v>3.2044198895027687E-2</v>
      </c>
      <c r="F28" s="214"/>
      <c r="G28" s="212"/>
    </row>
    <row r="29" spans="1:7" x14ac:dyDescent="0.35">
      <c r="A29" s="227">
        <v>46032</v>
      </c>
      <c r="B29" s="62" t="s">
        <v>7</v>
      </c>
      <c r="C29" s="62">
        <v>362</v>
      </c>
      <c r="D29" s="77">
        <v>372.14</v>
      </c>
      <c r="E29" s="78">
        <f t="shared" si="0"/>
        <v>2.801104972375687E-2</v>
      </c>
      <c r="F29" s="213">
        <f>IFERROR(AVERAGE(E29:E31),"")</f>
        <v>3.1372007366482497E-2</v>
      </c>
      <c r="G29" s="212">
        <v>1.4999999999999999E-2</v>
      </c>
    </row>
    <row r="30" spans="1:7" x14ac:dyDescent="0.35">
      <c r="A30" s="228"/>
      <c r="B30" s="62" t="s">
        <v>8</v>
      </c>
      <c r="C30" s="62">
        <v>362</v>
      </c>
      <c r="D30" s="77">
        <v>374.66</v>
      </c>
      <c r="E30" s="78">
        <f t="shared" si="0"/>
        <v>3.4972375690607807E-2</v>
      </c>
      <c r="F30" s="214"/>
      <c r="G30" s="212"/>
    </row>
    <row r="31" spans="1:7" x14ac:dyDescent="0.35">
      <c r="A31" s="229"/>
      <c r="B31" s="62" t="s">
        <v>9</v>
      </c>
      <c r="C31" s="62">
        <v>362</v>
      </c>
      <c r="D31" s="77">
        <v>373.27</v>
      </c>
      <c r="E31" s="78">
        <f t="shared" si="0"/>
        <v>3.1132596685082822E-2</v>
      </c>
      <c r="F31" s="214"/>
      <c r="G31" s="212"/>
    </row>
    <row r="32" spans="1:7" x14ac:dyDescent="0.35">
      <c r="A32" s="227">
        <v>46033</v>
      </c>
      <c r="B32" s="62" t="s">
        <v>7</v>
      </c>
      <c r="C32" s="62">
        <v>362</v>
      </c>
      <c r="D32" s="77">
        <v>365.37</v>
      </c>
      <c r="E32" s="78">
        <f t="shared" si="0"/>
        <v>9.3093922651933825E-3</v>
      </c>
      <c r="F32" s="213">
        <f>IFERROR(AVERAGE(E32:E34),"")</f>
        <v>1.355432780847148E-2</v>
      </c>
      <c r="G32" s="212">
        <v>1.4999999999999999E-2</v>
      </c>
    </row>
    <row r="33" spans="1:7" x14ac:dyDescent="0.35">
      <c r="A33" s="228"/>
      <c r="B33" s="62" t="s">
        <v>8</v>
      </c>
      <c r="C33" s="62">
        <v>362</v>
      </c>
      <c r="D33" s="77">
        <v>366.91</v>
      </c>
      <c r="E33" s="78">
        <f t="shared" si="0"/>
        <v>1.356353591160228E-2</v>
      </c>
      <c r="F33" s="214"/>
      <c r="G33" s="212"/>
    </row>
    <row r="34" spans="1:7" x14ac:dyDescent="0.35">
      <c r="A34" s="229"/>
      <c r="B34" s="62" t="s">
        <v>9</v>
      </c>
      <c r="C34" s="62">
        <v>362</v>
      </c>
      <c r="D34" s="77">
        <v>368.44</v>
      </c>
      <c r="E34" s="78">
        <f t="shared" si="0"/>
        <v>1.7790055248618777E-2</v>
      </c>
      <c r="F34" s="214"/>
      <c r="G34" s="212"/>
    </row>
    <row r="35" spans="1:7" x14ac:dyDescent="0.35">
      <c r="A35" s="227">
        <v>46034</v>
      </c>
      <c r="B35" s="62" t="s">
        <v>7</v>
      </c>
      <c r="C35" s="62">
        <v>362</v>
      </c>
      <c r="D35" s="77">
        <v>378.87</v>
      </c>
      <c r="E35" s="78">
        <f t="shared" si="0"/>
        <v>4.6602209944751394E-2</v>
      </c>
      <c r="F35" s="213">
        <f>IFERROR(AVERAGE(E35:E37),"")</f>
        <v>2.3304104824789368E-2</v>
      </c>
      <c r="G35" s="212">
        <v>1.4999999999999999E-2</v>
      </c>
    </row>
    <row r="36" spans="1:7" x14ac:dyDescent="0.35">
      <c r="A36" s="228"/>
      <c r="B36" s="62" t="s">
        <v>8</v>
      </c>
      <c r="C36" s="62">
        <v>574</v>
      </c>
      <c r="D36" s="77">
        <v>575.54</v>
      </c>
      <c r="E36" s="78">
        <f t="shared" si="0"/>
        <v>2.6829268292682291E-3</v>
      </c>
      <c r="F36" s="214"/>
      <c r="G36" s="212"/>
    </row>
    <row r="37" spans="1:7" x14ac:dyDescent="0.35">
      <c r="A37" s="229"/>
      <c r="B37" s="62" t="s">
        <v>9</v>
      </c>
      <c r="C37" s="62">
        <v>574</v>
      </c>
      <c r="D37" s="77">
        <v>585.84</v>
      </c>
      <c r="E37" s="78">
        <f t="shared" si="0"/>
        <v>2.0627177700348488E-2</v>
      </c>
      <c r="F37" s="214"/>
      <c r="G37" s="212"/>
    </row>
    <row r="38" spans="1:7" x14ac:dyDescent="0.35">
      <c r="A38" s="227">
        <v>46035</v>
      </c>
      <c r="B38" s="62" t="s">
        <v>7</v>
      </c>
      <c r="C38" s="62">
        <v>574</v>
      </c>
      <c r="D38" s="77">
        <v>582.77</v>
      </c>
      <c r="E38" s="78">
        <f t="shared" si="0"/>
        <v>1.5278745644599271E-2</v>
      </c>
      <c r="F38" s="213">
        <f>IFERROR(AVERAGE(E38:E40),"")</f>
        <v>2.1852497096399536E-2</v>
      </c>
      <c r="G38" s="212">
        <v>1.4999999999999999E-2</v>
      </c>
    </row>
    <row r="39" spans="1:7" x14ac:dyDescent="0.35">
      <c r="A39" s="228"/>
      <c r="B39" s="62" t="s">
        <v>8</v>
      </c>
      <c r="C39" s="62">
        <v>574</v>
      </c>
      <c r="D39" s="77">
        <v>591.66</v>
      </c>
      <c r="E39" s="78">
        <f t="shared" si="0"/>
        <v>3.0766550522648029E-2</v>
      </c>
      <c r="F39" s="214"/>
      <c r="G39" s="212"/>
    </row>
    <row r="40" spans="1:7" x14ac:dyDescent="0.35">
      <c r="A40" s="229"/>
      <c r="B40" s="62" t="s">
        <v>9</v>
      </c>
      <c r="C40" s="62">
        <v>574</v>
      </c>
      <c r="D40" s="77">
        <v>585.20000000000005</v>
      </c>
      <c r="E40" s="78">
        <f t="shared" si="0"/>
        <v>1.9512195121951299E-2</v>
      </c>
      <c r="F40" s="214"/>
      <c r="G40" s="212"/>
    </row>
    <row r="41" spans="1:7" x14ac:dyDescent="0.35">
      <c r="A41" s="227">
        <v>46036</v>
      </c>
      <c r="B41" s="62" t="s">
        <v>7</v>
      </c>
      <c r="C41" s="62">
        <v>574</v>
      </c>
      <c r="D41" s="77">
        <v>584.79999999999995</v>
      </c>
      <c r="E41" s="78">
        <f t="shared" si="0"/>
        <v>1.8815331010452883E-2</v>
      </c>
      <c r="F41" s="213">
        <f>IFERROR(AVERAGE(E41:E43),"")</f>
        <v>1.9628659980364532E-2</v>
      </c>
      <c r="G41" s="212">
        <v>1.4999999999999999E-2</v>
      </c>
    </row>
    <row r="42" spans="1:7" x14ac:dyDescent="0.35">
      <c r="A42" s="228"/>
      <c r="B42" s="62" t="s">
        <v>8</v>
      </c>
      <c r="C42" s="62">
        <v>362</v>
      </c>
      <c r="D42" s="77"/>
      <c r="E42" s="78" t="str">
        <f t="shared" si="0"/>
        <v/>
      </c>
      <c r="F42" s="214"/>
      <c r="G42" s="212"/>
    </row>
    <row r="43" spans="1:7" x14ac:dyDescent="0.35">
      <c r="A43" s="229"/>
      <c r="B43" s="62" t="s">
        <v>9</v>
      </c>
      <c r="C43" s="62">
        <v>362</v>
      </c>
      <c r="D43" s="77">
        <v>369.4</v>
      </c>
      <c r="E43" s="78">
        <f t="shared" si="0"/>
        <v>2.0441988950276182E-2</v>
      </c>
      <c r="F43" s="214"/>
      <c r="G43" s="212"/>
    </row>
    <row r="44" spans="1:7" x14ac:dyDescent="0.35">
      <c r="A44" s="227">
        <v>46037</v>
      </c>
      <c r="B44" s="62" t="s">
        <v>7</v>
      </c>
      <c r="C44" s="62">
        <v>362</v>
      </c>
      <c r="D44" s="77">
        <v>368.76</v>
      </c>
      <c r="E44" s="78">
        <f t="shared" si="0"/>
        <v>1.8674033149171244E-2</v>
      </c>
      <c r="F44" s="213">
        <f>IFERROR(AVERAGE(E44:E46),"")</f>
        <v>2.3287292817679578E-2</v>
      </c>
      <c r="G44" s="212">
        <v>1.4999999999999999E-2</v>
      </c>
    </row>
    <row r="45" spans="1:7" x14ac:dyDescent="0.35">
      <c r="A45" s="228"/>
      <c r="B45" s="62" t="s">
        <v>8</v>
      </c>
      <c r="C45" s="62">
        <v>362</v>
      </c>
      <c r="D45" s="77">
        <v>371.36</v>
      </c>
      <c r="E45" s="78">
        <f t="shared" si="0"/>
        <v>2.5856353591160258E-2</v>
      </c>
      <c r="F45" s="214"/>
      <c r="G45" s="212"/>
    </row>
    <row r="46" spans="1:7" x14ac:dyDescent="0.35">
      <c r="A46" s="229"/>
      <c r="B46" s="62" t="s">
        <v>9</v>
      </c>
      <c r="C46" s="62">
        <v>362</v>
      </c>
      <c r="D46" s="77">
        <v>371.17</v>
      </c>
      <c r="E46" s="78">
        <f t="shared" si="0"/>
        <v>2.5331491712707228E-2</v>
      </c>
      <c r="F46" s="214"/>
      <c r="G46" s="212"/>
    </row>
    <row r="47" spans="1:7" x14ac:dyDescent="0.35">
      <c r="A47" s="227">
        <v>46038</v>
      </c>
      <c r="B47" s="62" t="s">
        <v>7</v>
      </c>
      <c r="C47" s="62">
        <v>362</v>
      </c>
      <c r="D47" s="77">
        <v>369.87</v>
      </c>
      <c r="E47" s="78">
        <f t="shared" si="0"/>
        <v>2.1740331491712721E-2</v>
      </c>
      <c r="F47" s="213">
        <f>IFERROR(AVERAGE(E47:E49),"")</f>
        <v>2.5580110497237598E-2</v>
      </c>
      <c r="G47" s="212">
        <v>1.4999999999999999E-2</v>
      </c>
    </row>
    <row r="48" spans="1:7" x14ac:dyDescent="0.35">
      <c r="A48" s="228"/>
      <c r="B48" s="62" t="s">
        <v>8</v>
      </c>
      <c r="C48" s="62">
        <v>362</v>
      </c>
      <c r="D48" s="77">
        <v>371.55</v>
      </c>
      <c r="E48" s="78">
        <f t="shared" si="0"/>
        <v>2.6381215469613292E-2</v>
      </c>
      <c r="F48" s="214"/>
      <c r="G48" s="212"/>
    </row>
    <row r="49" spans="1:7" x14ac:dyDescent="0.35">
      <c r="A49" s="229"/>
      <c r="B49" s="62" t="s">
        <v>9</v>
      </c>
      <c r="C49" s="62">
        <v>362</v>
      </c>
      <c r="D49" s="77">
        <v>372.36</v>
      </c>
      <c r="E49" s="78">
        <f t="shared" si="0"/>
        <v>2.8618784530386777E-2</v>
      </c>
      <c r="F49" s="214"/>
      <c r="G49" s="212"/>
    </row>
    <row r="50" spans="1:7" x14ac:dyDescent="0.35">
      <c r="A50" s="227">
        <v>46039</v>
      </c>
      <c r="B50" s="62" t="s">
        <v>7</v>
      </c>
      <c r="C50" s="62">
        <v>362</v>
      </c>
      <c r="D50" s="77">
        <v>374.88</v>
      </c>
      <c r="E50" s="78">
        <f t="shared" si="0"/>
        <v>3.5580110497237555E-2</v>
      </c>
      <c r="F50" s="213">
        <f>IFERROR(AVERAGE(E50:E52),"")</f>
        <v>3.1058931860036793E-2</v>
      </c>
      <c r="G50" s="212">
        <v>1.4999999999999999E-2</v>
      </c>
    </row>
    <row r="51" spans="1:7" x14ac:dyDescent="0.35">
      <c r="A51" s="228"/>
      <c r="B51" s="62" t="s">
        <v>8</v>
      </c>
      <c r="C51" s="62">
        <v>362</v>
      </c>
      <c r="D51" s="77">
        <v>373.32</v>
      </c>
      <c r="E51" s="78">
        <f t="shared" si="0"/>
        <v>3.1270718232044178E-2</v>
      </c>
      <c r="F51" s="214"/>
      <c r="G51" s="212"/>
    </row>
    <row r="52" spans="1:7" x14ac:dyDescent="0.35">
      <c r="A52" s="229"/>
      <c r="B52" s="62" t="s">
        <v>9</v>
      </c>
      <c r="C52" s="62">
        <v>362</v>
      </c>
      <c r="D52" s="77">
        <v>371.53</v>
      </c>
      <c r="E52" s="78">
        <f t="shared" si="0"/>
        <v>2.6325966850828653E-2</v>
      </c>
      <c r="F52" s="214"/>
      <c r="G52" s="212"/>
    </row>
    <row r="53" spans="1:7" x14ac:dyDescent="0.35">
      <c r="A53" s="227">
        <v>46040</v>
      </c>
      <c r="B53" s="62" t="s">
        <v>7</v>
      </c>
      <c r="C53" s="62">
        <v>362</v>
      </c>
      <c r="D53" s="77">
        <v>368.76</v>
      </c>
      <c r="E53" s="78">
        <f t="shared" si="0"/>
        <v>1.8674033149171244E-2</v>
      </c>
      <c r="F53" s="213">
        <f>IFERROR(AVERAGE(E53:E55),"")</f>
        <v>1.8075506445672185E-2</v>
      </c>
      <c r="G53" s="212">
        <v>1.4999999999999999E-2</v>
      </c>
    </row>
    <row r="54" spans="1:7" x14ac:dyDescent="0.35">
      <c r="A54" s="228"/>
      <c r="B54" s="62" t="s">
        <v>8</v>
      </c>
      <c r="C54" s="62">
        <v>362</v>
      </c>
      <c r="D54" s="77">
        <v>366.4</v>
      </c>
      <c r="E54" s="78">
        <f t="shared" si="0"/>
        <v>1.2154696132596622E-2</v>
      </c>
      <c r="F54" s="214"/>
      <c r="G54" s="212"/>
    </row>
    <row r="55" spans="1:7" x14ac:dyDescent="0.35">
      <c r="A55" s="229"/>
      <c r="B55" s="62" t="s">
        <v>9</v>
      </c>
      <c r="C55" s="62">
        <v>362</v>
      </c>
      <c r="D55" s="77">
        <v>370.47</v>
      </c>
      <c r="E55" s="78">
        <f t="shared" si="0"/>
        <v>2.3397790055248693E-2</v>
      </c>
      <c r="F55" s="214"/>
      <c r="G55" s="212"/>
    </row>
    <row r="56" spans="1:7" x14ac:dyDescent="0.35">
      <c r="A56" s="227">
        <v>46041</v>
      </c>
      <c r="B56" s="62" t="s">
        <v>7</v>
      </c>
      <c r="C56" s="62">
        <v>362</v>
      </c>
      <c r="D56" s="77">
        <v>369.75</v>
      </c>
      <c r="E56" s="78">
        <f t="shared" si="0"/>
        <v>2.1408839779005526E-2</v>
      </c>
      <c r="F56" s="213">
        <f>IFERROR(AVERAGE(E56:E58),"")</f>
        <v>2.0856353591160254E-2</v>
      </c>
      <c r="G56" s="212">
        <v>1.4999999999999999E-2</v>
      </c>
    </row>
    <row r="57" spans="1:7" x14ac:dyDescent="0.35">
      <c r="A57" s="228"/>
      <c r="B57" s="62" t="s">
        <v>8</v>
      </c>
      <c r="C57" s="62">
        <v>362</v>
      </c>
      <c r="D57" s="77">
        <v>371.16</v>
      </c>
      <c r="E57" s="78">
        <f t="shared" si="0"/>
        <v>2.5303867403314986E-2</v>
      </c>
      <c r="F57" s="214"/>
      <c r="G57" s="212"/>
    </row>
    <row r="58" spans="1:7" x14ac:dyDescent="0.35">
      <c r="A58" s="229"/>
      <c r="B58" s="62" t="s">
        <v>9</v>
      </c>
      <c r="C58" s="62">
        <v>362</v>
      </c>
      <c r="D58" s="77">
        <v>367.74</v>
      </c>
      <c r="E58" s="78">
        <f t="shared" si="0"/>
        <v>1.5856353591160246E-2</v>
      </c>
      <c r="F58" s="214"/>
      <c r="G58" s="212"/>
    </row>
    <row r="59" spans="1:7" x14ac:dyDescent="0.35">
      <c r="A59" s="227">
        <v>46042</v>
      </c>
      <c r="B59" s="62" t="s">
        <v>7</v>
      </c>
      <c r="C59" s="62">
        <v>362</v>
      </c>
      <c r="D59" s="77">
        <v>370.7</v>
      </c>
      <c r="E59" s="78">
        <f t="shared" si="0"/>
        <v>2.4033149171270685E-2</v>
      </c>
      <c r="F59" s="213">
        <f>IFERROR(AVERAGE(E59:E61),"")</f>
        <v>2.8775322283609576E-2</v>
      </c>
      <c r="G59" s="212">
        <v>1.4999999999999999E-2</v>
      </c>
    </row>
    <row r="60" spans="1:7" x14ac:dyDescent="0.35">
      <c r="A60" s="228"/>
      <c r="B60" s="62" t="s">
        <v>8</v>
      </c>
      <c r="C60" s="62">
        <v>362</v>
      </c>
      <c r="D60" s="77">
        <v>372.25</v>
      </c>
      <c r="E60" s="78">
        <f t="shared" si="0"/>
        <v>2.8314917127071824E-2</v>
      </c>
      <c r="F60" s="214"/>
      <c r="G60" s="212"/>
    </row>
    <row r="61" spans="1:7" x14ac:dyDescent="0.35">
      <c r="A61" s="229"/>
      <c r="B61" s="62" t="s">
        <v>9</v>
      </c>
      <c r="C61" s="62">
        <v>362</v>
      </c>
      <c r="D61" s="77">
        <v>374.3</v>
      </c>
      <c r="E61" s="78">
        <f t="shared" si="0"/>
        <v>3.3977900552486222E-2</v>
      </c>
      <c r="F61" s="214"/>
      <c r="G61" s="212"/>
    </row>
    <row r="62" spans="1:7" x14ac:dyDescent="0.35">
      <c r="A62" s="227">
        <v>46043</v>
      </c>
      <c r="B62" s="62" t="s">
        <v>7</v>
      </c>
      <c r="C62" s="62">
        <v>362</v>
      </c>
      <c r="D62" s="77">
        <v>372.2</v>
      </c>
      <c r="E62" s="78">
        <f t="shared" ref="E62:E64" si="1">IF(D62="","",(D62-C62)/C62)</f>
        <v>2.8176795580110464E-2</v>
      </c>
      <c r="F62" s="213">
        <f>IFERROR(AVERAGE(E62:E64),"")</f>
        <v>2.2812174013831472E-2</v>
      </c>
      <c r="G62" s="212">
        <v>1.4999999999999999E-2</v>
      </c>
    </row>
    <row r="63" spans="1:7" x14ac:dyDescent="0.35">
      <c r="A63" s="228"/>
      <c r="B63" s="62" t="s">
        <v>8</v>
      </c>
      <c r="C63" s="62"/>
      <c r="D63" s="77"/>
      <c r="E63" s="78"/>
      <c r="F63" s="214"/>
      <c r="G63" s="212"/>
    </row>
    <row r="64" spans="1:7" x14ac:dyDescent="0.35">
      <c r="A64" s="229"/>
      <c r="B64" s="62" t="s">
        <v>9</v>
      </c>
      <c r="C64" s="62">
        <v>572</v>
      </c>
      <c r="D64" s="77">
        <v>581.98</v>
      </c>
      <c r="E64" s="78">
        <f t="shared" si="1"/>
        <v>1.7447552447552479E-2</v>
      </c>
      <c r="F64" s="214"/>
      <c r="G64" s="212"/>
    </row>
    <row r="65" spans="1:7" x14ac:dyDescent="0.35">
      <c r="A65" s="227">
        <v>46044</v>
      </c>
      <c r="B65" s="62" t="s">
        <v>7</v>
      </c>
      <c r="C65" s="62"/>
      <c r="D65" s="77"/>
      <c r="E65" s="78" t="str">
        <f t="shared" si="0"/>
        <v/>
      </c>
      <c r="F65" s="213" t="str">
        <f>IFERROR(AVERAGE(E65:E67),"")</f>
        <v/>
      </c>
      <c r="G65" s="212">
        <v>1.4999999999999999E-2</v>
      </c>
    </row>
    <row r="66" spans="1:7" x14ac:dyDescent="0.35">
      <c r="A66" s="228"/>
      <c r="B66" s="62" t="s">
        <v>8</v>
      </c>
      <c r="C66" s="62"/>
      <c r="D66" s="77"/>
      <c r="E66" s="78" t="str">
        <f t="shared" ref="E66:E129" si="2">IF(D66="","",(D66-C66)/C66)</f>
        <v/>
      </c>
      <c r="F66" s="214"/>
      <c r="G66" s="212"/>
    </row>
    <row r="67" spans="1:7" x14ac:dyDescent="0.35">
      <c r="A67" s="229"/>
      <c r="B67" s="62" t="s">
        <v>9</v>
      </c>
      <c r="C67" s="62"/>
      <c r="D67" s="77"/>
      <c r="E67" s="78" t="str">
        <f t="shared" si="2"/>
        <v/>
      </c>
      <c r="F67" s="214"/>
      <c r="G67" s="212"/>
    </row>
    <row r="68" spans="1:7" x14ac:dyDescent="0.35">
      <c r="A68" s="227">
        <v>46045</v>
      </c>
      <c r="B68" s="62" t="s">
        <v>7</v>
      </c>
      <c r="C68" s="62"/>
      <c r="D68" s="77"/>
      <c r="E68" s="78" t="str">
        <f t="shared" si="2"/>
        <v/>
      </c>
      <c r="F68" s="213" t="str">
        <f>IFERROR(AVERAGE(E68:E70),"")</f>
        <v/>
      </c>
      <c r="G68" s="212">
        <v>1.4999999999999999E-2</v>
      </c>
    </row>
    <row r="69" spans="1:7" x14ac:dyDescent="0.35">
      <c r="A69" s="228"/>
      <c r="B69" s="62" t="s">
        <v>8</v>
      </c>
      <c r="C69" s="62"/>
      <c r="D69" s="77"/>
      <c r="E69" s="78" t="str">
        <f t="shared" si="2"/>
        <v/>
      </c>
      <c r="F69" s="214"/>
      <c r="G69" s="212"/>
    </row>
    <row r="70" spans="1:7" x14ac:dyDescent="0.35">
      <c r="A70" s="229"/>
      <c r="B70" s="62" t="s">
        <v>9</v>
      </c>
      <c r="C70" s="62"/>
      <c r="D70" s="77"/>
      <c r="E70" s="78" t="str">
        <f t="shared" si="2"/>
        <v/>
      </c>
      <c r="F70" s="214"/>
      <c r="G70" s="212"/>
    </row>
    <row r="71" spans="1:7" x14ac:dyDescent="0.35">
      <c r="A71" s="227">
        <v>46046</v>
      </c>
      <c r="B71" s="62" t="s">
        <v>7</v>
      </c>
      <c r="C71" s="62"/>
      <c r="D71" s="77"/>
      <c r="E71" s="78" t="str">
        <f t="shared" si="2"/>
        <v/>
      </c>
      <c r="F71" s="213" t="str">
        <f>IFERROR(AVERAGE(E71:E73),"")</f>
        <v/>
      </c>
      <c r="G71" s="212">
        <v>1.4999999999999999E-2</v>
      </c>
    </row>
    <row r="72" spans="1:7" x14ac:dyDescent="0.35">
      <c r="A72" s="228"/>
      <c r="B72" s="62" t="s">
        <v>8</v>
      </c>
      <c r="C72" s="62"/>
      <c r="D72" s="77"/>
      <c r="E72" s="78" t="str">
        <f t="shared" si="2"/>
        <v/>
      </c>
      <c r="F72" s="214"/>
      <c r="G72" s="212"/>
    </row>
    <row r="73" spans="1:7" x14ac:dyDescent="0.35">
      <c r="A73" s="229"/>
      <c r="B73" s="62" t="s">
        <v>9</v>
      </c>
      <c r="C73" s="62"/>
      <c r="D73" s="77"/>
      <c r="E73" s="78" t="str">
        <f t="shared" si="2"/>
        <v/>
      </c>
      <c r="F73" s="214"/>
      <c r="G73" s="212"/>
    </row>
    <row r="74" spans="1:7" x14ac:dyDescent="0.35">
      <c r="A74" s="227">
        <v>46047</v>
      </c>
      <c r="B74" s="62" t="s">
        <v>7</v>
      </c>
      <c r="C74" s="62"/>
      <c r="D74" s="77"/>
      <c r="E74" s="78" t="str">
        <f t="shared" si="2"/>
        <v/>
      </c>
      <c r="F74" s="213" t="str">
        <f>IFERROR(AVERAGE(E74:E76),"")</f>
        <v/>
      </c>
      <c r="G74" s="212">
        <v>1.4999999999999999E-2</v>
      </c>
    </row>
    <row r="75" spans="1:7" x14ac:dyDescent="0.35">
      <c r="A75" s="228"/>
      <c r="B75" s="62" t="s">
        <v>8</v>
      </c>
      <c r="C75" s="62"/>
      <c r="D75" s="77"/>
      <c r="E75" s="78" t="str">
        <f t="shared" si="2"/>
        <v/>
      </c>
      <c r="F75" s="214"/>
      <c r="G75" s="212"/>
    </row>
    <row r="76" spans="1:7" x14ac:dyDescent="0.35">
      <c r="A76" s="229"/>
      <c r="B76" s="62" t="s">
        <v>9</v>
      </c>
      <c r="C76" s="62"/>
      <c r="D76" s="77"/>
      <c r="E76" s="78" t="str">
        <f t="shared" si="2"/>
        <v/>
      </c>
      <c r="F76" s="214"/>
      <c r="G76" s="212"/>
    </row>
    <row r="77" spans="1:7" x14ac:dyDescent="0.35">
      <c r="A77" s="227">
        <v>46048</v>
      </c>
      <c r="B77" s="62" t="s">
        <v>7</v>
      </c>
      <c r="C77" s="62"/>
      <c r="D77" s="77"/>
      <c r="E77" s="78" t="str">
        <f t="shared" si="2"/>
        <v/>
      </c>
      <c r="F77" s="213" t="str">
        <f>IFERROR(AVERAGE(E77:E79),"")</f>
        <v/>
      </c>
      <c r="G77" s="212">
        <v>1.4999999999999999E-2</v>
      </c>
    </row>
    <row r="78" spans="1:7" x14ac:dyDescent="0.35">
      <c r="A78" s="228"/>
      <c r="B78" s="62" t="s">
        <v>8</v>
      </c>
      <c r="C78" s="62"/>
      <c r="D78" s="77"/>
      <c r="E78" s="78" t="str">
        <f t="shared" si="2"/>
        <v/>
      </c>
      <c r="F78" s="214"/>
      <c r="G78" s="212"/>
    </row>
    <row r="79" spans="1:7" x14ac:dyDescent="0.35">
      <c r="A79" s="229"/>
      <c r="B79" s="62" t="s">
        <v>9</v>
      </c>
      <c r="C79" s="62"/>
      <c r="D79" s="77"/>
      <c r="E79" s="78" t="str">
        <f t="shared" si="2"/>
        <v/>
      </c>
      <c r="F79" s="214"/>
      <c r="G79" s="212"/>
    </row>
    <row r="80" spans="1:7" x14ac:dyDescent="0.35">
      <c r="A80" s="227">
        <v>46049</v>
      </c>
      <c r="B80" s="62" t="s">
        <v>7</v>
      </c>
      <c r="C80" s="62">
        <v>574</v>
      </c>
      <c r="D80" s="77">
        <v>601.26</v>
      </c>
      <c r="E80" s="78">
        <f t="shared" si="2"/>
        <v>4.7491289198606255E-2</v>
      </c>
      <c r="F80" s="213">
        <f>IFERROR(AVERAGE(E80:E82),"")</f>
        <v>4.8388501742160236E-2</v>
      </c>
      <c r="G80" s="212">
        <v>1.4999999999999999E-2</v>
      </c>
    </row>
    <row r="81" spans="1:9" x14ac:dyDescent="0.35">
      <c r="A81" s="228"/>
      <c r="B81" s="62" t="s">
        <v>8</v>
      </c>
      <c r="C81" s="62">
        <v>574</v>
      </c>
      <c r="D81" s="77"/>
      <c r="E81" s="78" t="str">
        <f t="shared" si="2"/>
        <v/>
      </c>
      <c r="F81" s="214"/>
      <c r="G81" s="212"/>
    </row>
    <row r="82" spans="1:9" x14ac:dyDescent="0.35">
      <c r="A82" s="229"/>
      <c r="B82" s="62" t="s">
        <v>9</v>
      </c>
      <c r="C82" s="62">
        <v>574</v>
      </c>
      <c r="D82" s="77">
        <v>602.29</v>
      </c>
      <c r="E82" s="78">
        <f t="shared" si="2"/>
        <v>4.9285714285714224E-2</v>
      </c>
      <c r="F82" s="214"/>
      <c r="G82" s="212"/>
    </row>
    <row r="83" spans="1:9" x14ac:dyDescent="0.35">
      <c r="A83" s="227">
        <v>46050</v>
      </c>
      <c r="B83" s="62" t="s">
        <v>7</v>
      </c>
      <c r="C83" s="62">
        <v>574</v>
      </c>
      <c r="D83" s="77">
        <v>589.28</v>
      </c>
      <c r="E83" s="78">
        <f t="shared" si="2"/>
        <v>2.6620209059233402E-2</v>
      </c>
      <c r="F83" s="213">
        <f>IFERROR(AVERAGE(E83:E85),"")</f>
        <v>3.1713124274099891E-2</v>
      </c>
      <c r="G83" s="212">
        <v>1.4999999999999999E-2</v>
      </c>
    </row>
    <row r="84" spans="1:9" x14ac:dyDescent="0.35">
      <c r="A84" s="228"/>
      <c r="B84" s="62" t="s">
        <v>8</v>
      </c>
      <c r="C84" s="62">
        <v>574</v>
      </c>
      <c r="D84" s="77">
        <v>600.95000000000005</v>
      </c>
      <c r="E84" s="78">
        <f t="shared" si="2"/>
        <v>4.6951219512195198E-2</v>
      </c>
      <c r="F84" s="214"/>
      <c r="G84" s="212"/>
    </row>
    <row r="85" spans="1:9" x14ac:dyDescent="0.35">
      <c r="A85" s="229"/>
      <c r="B85" s="62" t="s">
        <v>9</v>
      </c>
      <c r="C85" s="62">
        <v>574</v>
      </c>
      <c r="D85" s="77">
        <v>586.38</v>
      </c>
      <c r="E85" s="78">
        <f t="shared" si="2"/>
        <v>2.1567944250871073E-2</v>
      </c>
      <c r="F85" s="214"/>
      <c r="G85" s="212"/>
    </row>
    <row r="86" spans="1:9" x14ac:dyDescent="0.35">
      <c r="A86" s="227">
        <v>46051</v>
      </c>
      <c r="B86" s="62" t="s">
        <v>7</v>
      </c>
      <c r="C86" s="62"/>
      <c r="D86" s="77"/>
      <c r="E86" s="78" t="str">
        <f t="shared" si="2"/>
        <v/>
      </c>
      <c r="F86" s="213" t="str">
        <f>IFERROR(AVERAGE(E86:E88),"")</f>
        <v/>
      </c>
      <c r="G86" s="212">
        <v>1.4999999999999999E-2</v>
      </c>
    </row>
    <row r="87" spans="1:9" x14ac:dyDescent="0.35">
      <c r="A87" s="228"/>
      <c r="B87" s="62" t="s">
        <v>8</v>
      </c>
      <c r="C87" s="62"/>
      <c r="D87" s="77"/>
      <c r="E87" s="78" t="str">
        <f t="shared" si="2"/>
        <v/>
      </c>
      <c r="F87" s="214"/>
      <c r="G87" s="212"/>
    </row>
    <row r="88" spans="1:9" x14ac:dyDescent="0.35">
      <c r="A88" s="229"/>
      <c r="B88" s="62" t="s">
        <v>9</v>
      </c>
      <c r="C88" s="62"/>
      <c r="D88" s="77"/>
      <c r="E88" s="78" t="str">
        <f t="shared" si="2"/>
        <v/>
      </c>
      <c r="F88" s="214"/>
      <c r="G88" s="212"/>
    </row>
    <row r="89" spans="1:9" x14ac:dyDescent="0.35">
      <c r="A89" s="227">
        <v>46052</v>
      </c>
      <c r="B89" s="62" t="s">
        <v>7</v>
      </c>
      <c r="C89" s="62">
        <v>362</v>
      </c>
      <c r="D89" s="77">
        <v>369.08</v>
      </c>
      <c r="E89" s="78">
        <f t="shared" si="2"/>
        <v>1.9558011049723711E-2</v>
      </c>
      <c r="F89" s="213">
        <f>IFERROR(AVERAGE(E89:E91),"")</f>
        <v>2.813075506445668E-2</v>
      </c>
      <c r="G89" s="212">
        <v>1.4999999999999999E-2</v>
      </c>
    </row>
    <row r="90" spans="1:9" x14ac:dyDescent="0.35">
      <c r="A90" s="228"/>
      <c r="B90" s="62" t="s">
        <v>8</v>
      </c>
      <c r="C90" s="62">
        <v>362</v>
      </c>
      <c r="D90" s="77">
        <v>375.4</v>
      </c>
      <c r="E90" s="78">
        <f t="shared" si="2"/>
        <v>3.7016574585635294E-2</v>
      </c>
      <c r="F90" s="214"/>
      <c r="G90" s="212"/>
    </row>
    <row r="91" spans="1:9" x14ac:dyDescent="0.35">
      <c r="A91" s="229"/>
      <c r="B91" s="62" t="s">
        <v>9</v>
      </c>
      <c r="C91" s="62">
        <v>362</v>
      </c>
      <c r="D91" s="77">
        <v>372.07</v>
      </c>
      <c r="E91" s="78">
        <f t="shared" si="2"/>
        <v>2.7817679558011031E-2</v>
      </c>
      <c r="F91" s="214"/>
      <c r="G91" s="212"/>
    </row>
    <row r="92" spans="1:9" x14ac:dyDescent="0.35">
      <c r="A92" s="227">
        <v>46053</v>
      </c>
      <c r="B92" s="62" t="s">
        <v>7</v>
      </c>
      <c r="C92" s="62"/>
      <c r="D92" s="77"/>
      <c r="E92" s="78" t="str">
        <f t="shared" si="2"/>
        <v/>
      </c>
      <c r="F92" s="213" t="str">
        <f>IFERROR(AVERAGE(E92:E94),"")</f>
        <v/>
      </c>
      <c r="G92" s="212">
        <v>1.4999999999999999E-2</v>
      </c>
    </row>
    <row r="93" spans="1:9" x14ac:dyDescent="0.35">
      <c r="A93" s="228"/>
      <c r="B93" s="62" t="s">
        <v>8</v>
      </c>
      <c r="C93" s="62"/>
      <c r="D93" s="77"/>
      <c r="E93" s="78" t="str">
        <f t="shared" si="2"/>
        <v/>
      </c>
      <c r="F93" s="214"/>
      <c r="G93" s="212"/>
    </row>
    <row r="94" spans="1:9" x14ac:dyDescent="0.35">
      <c r="A94" s="229"/>
      <c r="B94" s="62" t="s">
        <v>9</v>
      </c>
      <c r="C94" s="62"/>
      <c r="D94" s="77"/>
      <c r="E94" s="78" t="str">
        <f t="shared" si="2"/>
        <v/>
      </c>
      <c r="F94" s="214"/>
      <c r="G94" s="212"/>
      <c r="I94" s="82"/>
    </row>
    <row r="95" spans="1:9" x14ac:dyDescent="0.35">
      <c r="A95" s="227">
        <v>46054</v>
      </c>
      <c r="B95" s="62" t="s">
        <v>7</v>
      </c>
      <c r="C95" s="62"/>
      <c r="D95" s="77"/>
      <c r="E95" s="78" t="str">
        <f t="shared" si="2"/>
        <v/>
      </c>
      <c r="F95" s="213" t="str">
        <f>IFERROR(AVERAGE(E95:E97),"")</f>
        <v/>
      </c>
      <c r="G95" s="212">
        <v>1.4999999999999999E-2</v>
      </c>
    </row>
    <row r="96" spans="1:9" x14ac:dyDescent="0.35">
      <c r="A96" s="228"/>
      <c r="B96" s="62" t="s">
        <v>8</v>
      </c>
      <c r="C96" s="62"/>
      <c r="D96" s="77"/>
      <c r="E96" s="78" t="str">
        <f t="shared" si="2"/>
        <v/>
      </c>
      <c r="F96" s="214"/>
      <c r="G96" s="212"/>
    </row>
    <row r="97" spans="1:7" x14ac:dyDescent="0.35">
      <c r="A97" s="229"/>
      <c r="B97" s="62" t="s">
        <v>9</v>
      </c>
      <c r="C97" s="62"/>
      <c r="D97" s="77"/>
      <c r="E97" s="78" t="str">
        <f t="shared" si="2"/>
        <v/>
      </c>
      <c r="F97" s="214"/>
      <c r="G97" s="212"/>
    </row>
    <row r="98" spans="1:7" x14ac:dyDescent="0.35">
      <c r="A98" s="227">
        <v>46055</v>
      </c>
      <c r="B98" s="62" t="s">
        <v>7</v>
      </c>
      <c r="C98" s="62">
        <v>362</v>
      </c>
      <c r="D98" s="77">
        <v>371.5</v>
      </c>
      <c r="E98" s="78">
        <f t="shared" si="2"/>
        <v>2.6243093922651933E-2</v>
      </c>
      <c r="F98" s="213">
        <f>IFERROR(AVERAGE(E98:E100),"")</f>
        <v>2.9226519337016608E-2</v>
      </c>
      <c r="G98" s="212">
        <v>1.4999999999999999E-2</v>
      </c>
    </row>
    <row r="99" spans="1:7" x14ac:dyDescent="0.35">
      <c r="A99" s="228"/>
      <c r="B99" s="62" t="s">
        <v>8</v>
      </c>
      <c r="C99" s="62">
        <v>362</v>
      </c>
      <c r="D99" s="77"/>
      <c r="E99" s="78" t="str">
        <f t="shared" si="2"/>
        <v/>
      </c>
      <c r="F99" s="214"/>
      <c r="G99" s="212"/>
    </row>
    <row r="100" spans="1:7" x14ac:dyDescent="0.35">
      <c r="A100" s="229"/>
      <c r="B100" s="62" t="s">
        <v>9</v>
      </c>
      <c r="C100" s="62">
        <v>362</v>
      </c>
      <c r="D100" s="77">
        <v>373.66</v>
      </c>
      <c r="E100" s="78">
        <f t="shared" si="2"/>
        <v>3.2209944751381288E-2</v>
      </c>
      <c r="F100" s="214"/>
      <c r="G100" s="212"/>
    </row>
    <row r="101" spans="1:7" x14ac:dyDescent="0.35">
      <c r="A101" s="227">
        <v>46056</v>
      </c>
      <c r="B101" s="62" t="s">
        <v>7</v>
      </c>
      <c r="C101" s="62">
        <v>362</v>
      </c>
      <c r="D101" s="77">
        <v>368.23</v>
      </c>
      <c r="E101" s="78">
        <f t="shared" si="2"/>
        <v>1.7209944751381264E-2</v>
      </c>
      <c r="F101" s="213">
        <f>IFERROR(AVERAGE(E101:E103),"")</f>
        <v>3.0322283609576433E-2</v>
      </c>
      <c r="G101" s="212">
        <v>1.4999999999999999E-2</v>
      </c>
    </row>
    <row r="102" spans="1:7" x14ac:dyDescent="0.35">
      <c r="A102" s="228"/>
      <c r="B102" s="62" t="s">
        <v>8</v>
      </c>
      <c r="C102" s="62">
        <v>362</v>
      </c>
      <c r="D102" s="77">
        <v>375.99</v>
      </c>
      <c r="E102" s="78">
        <f t="shared" si="2"/>
        <v>3.8646408839779031E-2</v>
      </c>
      <c r="F102" s="214"/>
      <c r="G102" s="212"/>
    </row>
    <row r="103" spans="1:7" x14ac:dyDescent="0.35">
      <c r="A103" s="229"/>
      <c r="B103" s="62" t="s">
        <v>9</v>
      </c>
      <c r="C103" s="62">
        <v>362</v>
      </c>
      <c r="D103" s="77">
        <v>374.71</v>
      </c>
      <c r="E103" s="78">
        <f t="shared" si="2"/>
        <v>3.5110497237569004E-2</v>
      </c>
      <c r="F103" s="214"/>
      <c r="G103" s="212"/>
    </row>
    <row r="104" spans="1:7" x14ac:dyDescent="0.35">
      <c r="A104" s="227">
        <v>46057</v>
      </c>
      <c r="B104" s="62" t="s">
        <v>7</v>
      </c>
      <c r="C104" s="62">
        <v>362</v>
      </c>
      <c r="D104" s="77">
        <v>375.14</v>
      </c>
      <c r="E104" s="78">
        <f t="shared" si="2"/>
        <v>3.6298342541436428E-2</v>
      </c>
      <c r="F104" s="213">
        <f>IFERROR(AVERAGE(E104:E106),"")</f>
        <v>3.4263351749539574E-2</v>
      </c>
      <c r="G104" s="212">
        <v>1.4999999999999999E-2</v>
      </c>
    </row>
    <row r="105" spans="1:7" x14ac:dyDescent="0.35">
      <c r="A105" s="228"/>
      <c r="B105" s="62" t="s">
        <v>8</v>
      </c>
      <c r="C105" s="62">
        <v>362</v>
      </c>
      <c r="D105" s="77">
        <v>374.81</v>
      </c>
      <c r="E105" s="78">
        <f t="shared" si="2"/>
        <v>3.5386740331491716E-2</v>
      </c>
      <c r="F105" s="214"/>
      <c r="G105" s="212"/>
    </row>
    <row r="106" spans="1:7" x14ac:dyDescent="0.35">
      <c r="A106" s="229"/>
      <c r="B106" s="62" t="s">
        <v>9</v>
      </c>
      <c r="C106" s="62">
        <v>362</v>
      </c>
      <c r="D106" s="77">
        <v>373.26</v>
      </c>
      <c r="E106" s="78">
        <f t="shared" si="2"/>
        <v>3.1104972375690581E-2</v>
      </c>
      <c r="F106" s="214"/>
      <c r="G106" s="212"/>
    </row>
    <row r="107" spans="1:7" x14ac:dyDescent="0.35">
      <c r="A107" s="227">
        <v>46058</v>
      </c>
      <c r="B107" s="62" t="s">
        <v>7</v>
      </c>
      <c r="C107" s="62">
        <v>362</v>
      </c>
      <c r="D107" s="77">
        <v>375.14</v>
      </c>
      <c r="E107" s="78">
        <f t="shared" si="2"/>
        <v>3.6298342541436428E-2</v>
      </c>
      <c r="F107" s="213">
        <f>IFERROR(AVERAGE(E107:E109),"")</f>
        <v>3.334254143646407E-2</v>
      </c>
      <c r="G107" s="212">
        <v>1.4999999999999999E-2</v>
      </c>
    </row>
    <row r="108" spans="1:7" x14ac:dyDescent="0.35">
      <c r="A108" s="228"/>
      <c r="B108" s="62" t="s">
        <v>8</v>
      </c>
      <c r="C108" s="62">
        <v>362</v>
      </c>
      <c r="D108" s="77">
        <v>374.81</v>
      </c>
      <c r="E108" s="78">
        <f t="shared" si="2"/>
        <v>3.5386740331491716E-2</v>
      </c>
      <c r="F108" s="214"/>
      <c r="G108" s="212"/>
    </row>
    <row r="109" spans="1:7" x14ac:dyDescent="0.35">
      <c r="A109" s="229"/>
      <c r="B109" s="62" t="s">
        <v>9</v>
      </c>
      <c r="C109" s="62">
        <v>362</v>
      </c>
      <c r="D109" s="77">
        <v>372.26</v>
      </c>
      <c r="E109" s="78">
        <f t="shared" si="2"/>
        <v>2.8342541436464062E-2</v>
      </c>
      <c r="F109" s="214"/>
      <c r="G109" s="212"/>
    </row>
    <row r="110" spans="1:7" x14ac:dyDescent="0.35">
      <c r="A110" s="227">
        <v>46059</v>
      </c>
      <c r="B110" s="62" t="s">
        <v>7</v>
      </c>
      <c r="C110" s="62">
        <v>362</v>
      </c>
      <c r="D110" s="77">
        <v>378.3</v>
      </c>
      <c r="E110" s="78">
        <f t="shared" si="2"/>
        <v>4.5027624309392299E-2</v>
      </c>
      <c r="F110" s="213">
        <f>IFERROR(AVERAGE(E110:E112),"")</f>
        <v>4.4401473296500897E-2</v>
      </c>
      <c r="G110" s="212">
        <v>1.4999999999999999E-2</v>
      </c>
    </row>
    <row r="111" spans="1:7" x14ac:dyDescent="0.35">
      <c r="A111" s="228"/>
      <c r="B111" s="62" t="s">
        <v>8</v>
      </c>
      <c r="C111" s="62">
        <v>362</v>
      </c>
      <c r="D111" s="77">
        <v>373.96</v>
      </c>
      <c r="E111" s="78">
        <f t="shared" si="2"/>
        <v>3.3038674033149112E-2</v>
      </c>
      <c r="F111" s="214"/>
      <c r="G111" s="212"/>
    </row>
    <row r="112" spans="1:7" x14ac:dyDescent="0.35">
      <c r="A112" s="229"/>
      <c r="B112" s="62" t="s">
        <v>9</v>
      </c>
      <c r="C112" s="62">
        <v>362</v>
      </c>
      <c r="D112" s="77">
        <v>381.96</v>
      </c>
      <c r="E112" s="78">
        <f t="shared" si="2"/>
        <v>5.5138121546961266E-2</v>
      </c>
      <c r="F112" s="214"/>
      <c r="G112" s="212"/>
    </row>
    <row r="113" spans="1:7" x14ac:dyDescent="0.35">
      <c r="A113" s="227">
        <v>46060</v>
      </c>
      <c r="B113" s="62" t="s">
        <v>7</v>
      </c>
      <c r="C113" s="62">
        <v>362</v>
      </c>
      <c r="D113" s="77">
        <v>379.74</v>
      </c>
      <c r="E113" s="78">
        <f t="shared" si="2"/>
        <v>4.900552486187848E-2</v>
      </c>
      <c r="F113" s="213">
        <f>IFERROR(AVERAGE(E113:E115),"")</f>
        <v>4.5027624309392243E-2</v>
      </c>
      <c r="G113" s="212">
        <v>1.4999999999999999E-2</v>
      </c>
    </row>
    <row r="114" spans="1:7" x14ac:dyDescent="0.35">
      <c r="A114" s="228"/>
      <c r="B114" s="62" t="s">
        <v>8</v>
      </c>
      <c r="C114" s="62">
        <v>362</v>
      </c>
      <c r="D114" s="77">
        <v>377.09</v>
      </c>
      <c r="E114" s="78">
        <f t="shared" si="2"/>
        <v>4.168508287292811E-2</v>
      </c>
      <c r="F114" s="214"/>
      <c r="G114" s="212"/>
    </row>
    <row r="115" spans="1:7" x14ac:dyDescent="0.35">
      <c r="A115" s="229"/>
      <c r="B115" s="62" t="s">
        <v>9</v>
      </c>
      <c r="C115" s="62">
        <v>362</v>
      </c>
      <c r="D115" s="77">
        <v>378.07</v>
      </c>
      <c r="E115" s="78">
        <f t="shared" si="2"/>
        <v>4.4392265193370146E-2</v>
      </c>
      <c r="F115" s="214"/>
      <c r="G115" s="212"/>
    </row>
    <row r="116" spans="1:7" x14ac:dyDescent="0.35">
      <c r="A116" s="227">
        <v>46061</v>
      </c>
      <c r="B116" s="62" t="s">
        <v>7</v>
      </c>
      <c r="C116" s="62">
        <v>362</v>
      </c>
      <c r="D116" s="77">
        <v>378.6</v>
      </c>
      <c r="E116" s="78">
        <f t="shared" si="2"/>
        <v>4.5856353591160283E-2</v>
      </c>
      <c r="F116" s="213">
        <f>IFERROR(AVERAGE(E116:E118),"")</f>
        <v>3.9049030742872547E-2</v>
      </c>
      <c r="G116" s="212">
        <v>1.4999999999999999E-2</v>
      </c>
    </row>
    <row r="117" spans="1:7" x14ac:dyDescent="0.35">
      <c r="A117" s="228"/>
      <c r="B117" s="62" t="s">
        <v>8</v>
      </c>
      <c r="C117" s="62">
        <v>362</v>
      </c>
      <c r="D117" s="77">
        <v>376.14</v>
      </c>
      <c r="E117" s="78">
        <f t="shared" si="2"/>
        <v>3.9060773480662947E-2</v>
      </c>
      <c r="F117" s="214"/>
      <c r="G117" s="212"/>
    </row>
    <row r="118" spans="1:7" x14ac:dyDescent="0.35">
      <c r="A118" s="229"/>
      <c r="B118" s="62" t="s">
        <v>9</v>
      </c>
      <c r="C118" s="62">
        <v>574</v>
      </c>
      <c r="D118" s="77">
        <v>592.5</v>
      </c>
      <c r="E118" s="78">
        <f t="shared" si="2"/>
        <v>3.2229965156794424E-2</v>
      </c>
      <c r="F118" s="214"/>
      <c r="G118" s="212"/>
    </row>
    <row r="119" spans="1:7" x14ac:dyDescent="0.35">
      <c r="A119" s="227">
        <v>46062</v>
      </c>
      <c r="B119" s="62" t="s">
        <v>7</v>
      </c>
      <c r="C119" s="62">
        <v>574</v>
      </c>
      <c r="D119" s="77">
        <v>592.41</v>
      </c>
      <c r="E119" s="78">
        <f t="shared" ref="E119:E121" si="3">IF(D119="","",(D119-C119)/C119)</f>
        <v>3.2073170731707262E-2</v>
      </c>
      <c r="F119" s="213">
        <f>IFERROR(AVERAGE(E119:E121),"")</f>
        <v>3.3344947735191609E-2</v>
      </c>
      <c r="G119" s="212">
        <v>1.4999999999999999E-2</v>
      </c>
    </row>
    <row r="120" spans="1:7" x14ac:dyDescent="0.35">
      <c r="A120" s="228"/>
      <c r="B120" s="62" t="s">
        <v>8</v>
      </c>
      <c r="C120" s="62">
        <v>574</v>
      </c>
      <c r="D120" s="77">
        <v>597.86</v>
      </c>
      <c r="E120" s="78">
        <f t="shared" si="3"/>
        <v>4.1567944250871104E-2</v>
      </c>
      <c r="F120" s="214"/>
      <c r="G120" s="212"/>
    </row>
    <row r="121" spans="1:7" x14ac:dyDescent="0.35">
      <c r="A121" s="229"/>
      <c r="B121" s="62" t="s">
        <v>9</v>
      </c>
      <c r="C121" s="62">
        <v>574</v>
      </c>
      <c r="D121" s="77">
        <v>589.15</v>
      </c>
      <c r="E121" s="78">
        <f t="shared" si="3"/>
        <v>2.6393728222996477E-2</v>
      </c>
      <c r="F121" s="214"/>
      <c r="G121" s="212"/>
    </row>
    <row r="122" spans="1:7" x14ac:dyDescent="0.35">
      <c r="A122" s="227">
        <v>46063</v>
      </c>
      <c r="B122" s="62" t="s">
        <v>7</v>
      </c>
      <c r="C122" s="62">
        <v>574</v>
      </c>
      <c r="D122" s="77">
        <v>587.16999999999996</v>
      </c>
      <c r="E122" s="78">
        <f t="shared" si="2"/>
        <v>2.2944250871080069E-2</v>
      </c>
      <c r="F122" s="213">
        <f>IFERROR(AVERAGE(E122:E124),"")</f>
        <v>2.462833914053424E-2</v>
      </c>
      <c r="G122" s="212">
        <v>1.4999999999999999E-2</v>
      </c>
    </row>
    <row r="123" spans="1:7" x14ac:dyDescent="0.35">
      <c r="A123" s="228"/>
      <c r="B123" s="62" t="s">
        <v>8</v>
      </c>
      <c r="C123" s="62">
        <v>574</v>
      </c>
      <c r="D123" s="77">
        <v>583.49</v>
      </c>
      <c r="E123" s="78">
        <f t="shared" si="2"/>
        <v>1.6533101045296181E-2</v>
      </c>
      <c r="F123" s="214"/>
      <c r="G123" s="212"/>
    </row>
    <row r="124" spans="1:7" x14ac:dyDescent="0.35">
      <c r="A124" s="229"/>
      <c r="B124" s="62" t="s">
        <v>9</v>
      </c>
      <c r="C124" s="62">
        <v>574</v>
      </c>
      <c r="D124" s="77">
        <v>593.75</v>
      </c>
      <c r="E124" s="78">
        <f t="shared" si="2"/>
        <v>3.4407665505226483E-2</v>
      </c>
      <c r="F124" s="214"/>
      <c r="G124" s="212"/>
    </row>
    <row r="125" spans="1:7" x14ac:dyDescent="0.35">
      <c r="A125" s="227">
        <v>46064</v>
      </c>
      <c r="B125" s="62" t="s">
        <v>7</v>
      </c>
      <c r="C125" s="62"/>
      <c r="D125" s="77"/>
      <c r="E125" s="78" t="str">
        <f t="shared" si="2"/>
        <v/>
      </c>
      <c r="F125" s="213" t="str">
        <f>IFERROR(AVERAGE(E125:E127),"")</f>
        <v/>
      </c>
      <c r="G125" s="212">
        <v>1.4999999999999999E-2</v>
      </c>
    </row>
    <row r="126" spans="1:7" x14ac:dyDescent="0.35">
      <c r="A126" s="228"/>
      <c r="B126" s="62" t="s">
        <v>8</v>
      </c>
      <c r="C126" s="62"/>
      <c r="D126" s="77"/>
      <c r="E126" s="78" t="str">
        <f t="shared" si="2"/>
        <v/>
      </c>
      <c r="F126" s="214"/>
      <c r="G126" s="212"/>
    </row>
    <row r="127" spans="1:7" x14ac:dyDescent="0.35">
      <c r="A127" s="229"/>
      <c r="B127" s="62" t="s">
        <v>9</v>
      </c>
      <c r="C127" s="62"/>
      <c r="D127" s="77"/>
      <c r="E127" s="78" t="str">
        <f t="shared" si="2"/>
        <v/>
      </c>
      <c r="F127" s="214"/>
      <c r="G127" s="212"/>
    </row>
    <row r="128" spans="1:7" x14ac:dyDescent="0.35">
      <c r="A128" s="227">
        <v>46065</v>
      </c>
      <c r="B128" s="62" t="s">
        <v>7</v>
      </c>
      <c r="C128" s="62">
        <v>362</v>
      </c>
      <c r="D128" s="77">
        <v>371.5</v>
      </c>
      <c r="E128" s="78">
        <f t="shared" si="2"/>
        <v>2.6243093922651933E-2</v>
      </c>
      <c r="F128" s="213">
        <f>IFERROR(AVERAGE(E128:E130),"")</f>
        <v>2.0438620132057654E-2</v>
      </c>
      <c r="G128" s="212">
        <v>1.4999999999999999E-2</v>
      </c>
    </row>
    <row r="129" spans="1:7" x14ac:dyDescent="0.35">
      <c r="A129" s="228"/>
      <c r="B129" s="62" t="s">
        <v>8</v>
      </c>
      <c r="C129" s="62">
        <v>574</v>
      </c>
      <c r="D129" s="77">
        <v>582.4</v>
      </c>
      <c r="E129" s="78">
        <f t="shared" si="2"/>
        <v>1.4634146341463376E-2</v>
      </c>
      <c r="F129" s="214"/>
      <c r="G129" s="212"/>
    </row>
    <row r="130" spans="1:7" x14ac:dyDescent="0.35">
      <c r="A130" s="229"/>
      <c r="B130" s="62" t="s">
        <v>9</v>
      </c>
      <c r="C130" s="62"/>
      <c r="D130" s="77"/>
      <c r="E130" s="78" t="str">
        <f t="shared" ref="E130:E193" si="4">IF(D130="","",(D130-C130)/C130)</f>
        <v/>
      </c>
      <c r="F130" s="214"/>
      <c r="G130" s="212"/>
    </row>
    <row r="131" spans="1:7" x14ac:dyDescent="0.35">
      <c r="A131" s="227">
        <v>46066</v>
      </c>
      <c r="B131" s="62" t="s">
        <v>7</v>
      </c>
      <c r="C131" s="62">
        <v>362</v>
      </c>
      <c r="D131" s="77">
        <v>376.97</v>
      </c>
      <c r="E131" s="78">
        <f t="shared" si="4"/>
        <v>4.1353591160221068E-2</v>
      </c>
      <c r="F131" s="213">
        <f>IFERROR(AVERAGE(E131:E133),"")</f>
        <v>2.7357274401473328E-2</v>
      </c>
      <c r="G131" s="212">
        <v>1.4999999999999999E-2</v>
      </c>
    </row>
    <row r="132" spans="1:7" x14ac:dyDescent="0.35">
      <c r="A132" s="228"/>
      <c r="B132" s="62" t="s">
        <v>8</v>
      </c>
      <c r="C132" s="62">
        <v>362</v>
      </c>
      <c r="D132" s="77">
        <v>369.87</v>
      </c>
      <c r="E132" s="78">
        <f t="shared" si="4"/>
        <v>2.1740331491712721E-2</v>
      </c>
      <c r="F132" s="214"/>
      <c r="G132" s="212"/>
    </row>
    <row r="133" spans="1:7" x14ac:dyDescent="0.35">
      <c r="A133" s="229"/>
      <c r="B133" s="62" t="s">
        <v>9</v>
      </c>
      <c r="C133" s="62">
        <v>362</v>
      </c>
      <c r="D133" s="77">
        <v>368.87</v>
      </c>
      <c r="E133" s="78">
        <f t="shared" si="4"/>
        <v>1.8977900552486202E-2</v>
      </c>
      <c r="F133" s="214"/>
      <c r="G133" s="212"/>
    </row>
    <row r="134" spans="1:7" x14ac:dyDescent="0.35">
      <c r="A134" s="227">
        <v>46067</v>
      </c>
      <c r="B134" s="62" t="s">
        <v>7</v>
      </c>
      <c r="C134" s="62">
        <v>362</v>
      </c>
      <c r="D134" s="77">
        <v>372.39</v>
      </c>
      <c r="E134" s="78">
        <f t="shared" si="4"/>
        <v>2.8701657458563498E-2</v>
      </c>
      <c r="F134" s="213">
        <f>IFERROR(AVERAGE(E134:E136),"")</f>
        <v>4.7651933701657462E-2</v>
      </c>
      <c r="G134" s="212">
        <v>1.4999999999999999E-2</v>
      </c>
    </row>
    <row r="135" spans="1:7" x14ac:dyDescent="0.35">
      <c r="A135" s="228"/>
      <c r="B135" s="62" t="s">
        <v>8</v>
      </c>
      <c r="C135" s="62">
        <v>362</v>
      </c>
      <c r="D135" s="77">
        <v>390.86</v>
      </c>
      <c r="E135" s="78">
        <f t="shared" si="4"/>
        <v>7.9723756906077387E-2</v>
      </c>
      <c r="F135" s="214"/>
      <c r="G135" s="212"/>
    </row>
    <row r="136" spans="1:7" x14ac:dyDescent="0.35">
      <c r="A136" s="229"/>
      <c r="B136" s="62" t="s">
        <v>9</v>
      </c>
      <c r="C136" s="62">
        <v>362</v>
      </c>
      <c r="D136" s="77">
        <v>374.5</v>
      </c>
      <c r="E136" s="78">
        <f t="shared" si="4"/>
        <v>3.4530386740331494E-2</v>
      </c>
      <c r="F136" s="214"/>
      <c r="G136" s="212"/>
    </row>
    <row r="137" spans="1:7" x14ac:dyDescent="0.35">
      <c r="A137" s="227">
        <v>46068</v>
      </c>
      <c r="B137" s="62" t="s">
        <v>7</v>
      </c>
      <c r="C137" s="62">
        <v>362</v>
      </c>
      <c r="D137" s="77">
        <v>382.12</v>
      </c>
      <c r="E137" s="78">
        <f t="shared" si="4"/>
        <v>5.558011049723758E-2</v>
      </c>
      <c r="F137" s="213">
        <f>IFERROR(AVERAGE(E137:E139),"")</f>
        <v>4.1077348066298348E-2</v>
      </c>
      <c r="G137" s="212">
        <v>1.4999999999999999E-2</v>
      </c>
    </row>
    <row r="138" spans="1:7" x14ac:dyDescent="0.35">
      <c r="A138" s="228"/>
      <c r="B138" s="62" t="s">
        <v>8</v>
      </c>
      <c r="C138" s="62">
        <v>362</v>
      </c>
      <c r="D138" s="77">
        <v>375.73</v>
      </c>
      <c r="E138" s="78">
        <f t="shared" si="4"/>
        <v>3.7928176795580158E-2</v>
      </c>
      <c r="F138" s="214"/>
      <c r="G138" s="212"/>
    </row>
    <row r="139" spans="1:7" x14ac:dyDescent="0.35">
      <c r="A139" s="229"/>
      <c r="B139" s="62" t="s">
        <v>9</v>
      </c>
      <c r="C139" s="62">
        <v>362</v>
      </c>
      <c r="D139" s="77">
        <v>372.76</v>
      </c>
      <c r="E139" s="78">
        <f t="shared" si="4"/>
        <v>2.9723756906077321E-2</v>
      </c>
      <c r="F139" s="214"/>
      <c r="G139" s="212"/>
    </row>
    <row r="140" spans="1:7" x14ac:dyDescent="0.35">
      <c r="A140" s="227">
        <v>46069</v>
      </c>
      <c r="B140" s="62" t="s">
        <v>7</v>
      </c>
      <c r="C140" s="62">
        <v>362</v>
      </c>
      <c r="D140" s="77">
        <v>379.77</v>
      </c>
      <c r="E140" s="78">
        <f t="shared" si="4"/>
        <v>4.9088397790055201E-2</v>
      </c>
      <c r="F140" s="213">
        <f>IFERROR(AVERAGE(E140:E142),"")</f>
        <v>4.6086556169429062E-2</v>
      </c>
      <c r="G140" s="212">
        <v>1.4999999999999999E-2</v>
      </c>
    </row>
    <row r="141" spans="1:7" x14ac:dyDescent="0.35">
      <c r="A141" s="228"/>
      <c r="B141" s="62" t="s">
        <v>8</v>
      </c>
      <c r="C141" s="62">
        <v>362</v>
      </c>
      <c r="D141" s="77">
        <v>378.15</v>
      </c>
      <c r="E141" s="78">
        <f t="shared" si="4"/>
        <v>4.4613259668508223E-2</v>
      </c>
      <c r="F141" s="214"/>
      <c r="G141" s="212"/>
    </row>
    <row r="142" spans="1:7" x14ac:dyDescent="0.35">
      <c r="A142" s="229"/>
      <c r="B142" s="62" t="s">
        <v>9</v>
      </c>
      <c r="C142" s="62">
        <v>362</v>
      </c>
      <c r="D142" s="77">
        <v>378.13</v>
      </c>
      <c r="E142" s="78">
        <f t="shared" si="4"/>
        <v>4.4558011049723747E-2</v>
      </c>
      <c r="F142" s="214"/>
      <c r="G142" s="212"/>
    </row>
    <row r="143" spans="1:7" x14ac:dyDescent="0.35">
      <c r="A143" s="227">
        <v>46070</v>
      </c>
      <c r="B143" s="62" t="s">
        <v>7</v>
      </c>
      <c r="C143" s="62">
        <v>362</v>
      </c>
      <c r="D143" s="77">
        <v>373.32</v>
      </c>
      <c r="E143" s="78">
        <f t="shared" si="4"/>
        <v>3.1270718232044178E-2</v>
      </c>
      <c r="F143" s="213">
        <f>IFERROR(AVERAGE(E143:E145),"")</f>
        <v>2.6252302025782676E-2</v>
      </c>
      <c r="G143" s="212">
        <v>1.4999999999999999E-2</v>
      </c>
    </row>
    <row r="144" spans="1:7" x14ac:dyDescent="0.35">
      <c r="A144" s="228"/>
      <c r="B144" s="62" t="s">
        <v>8</v>
      </c>
      <c r="C144" s="62">
        <v>362</v>
      </c>
      <c r="D144" s="77">
        <v>369.29</v>
      </c>
      <c r="E144" s="78">
        <f t="shared" si="4"/>
        <v>2.0138121546961381E-2</v>
      </c>
      <c r="F144" s="214"/>
      <c r="G144" s="212"/>
    </row>
    <row r="145" spans="1:7" x14ac:dyDescent="0.35">
      <c r="A145" s="229"/>
      <c r="B145" s="62" t="s">
        <v>9</v>
      </c>
      <c r="C145" s="62">
        <v>362</v>
      </c>
      <c r="D145" s="77">
        <v>371.9</v>
      </c>
      <c r="E145" s="78">
        <f t="shared" si="4"/>
        <v>2.734806629834248E-2</v>
      </c>
      <c r="F145" s="214"/>
      <c r="G145" s="212"/>
    </row>
    <row r="146" spans="1:7" x14ac:dyDescent="0.35">
      <c r="A146" s="227">
        <v>46071</v>
      </c>
      <c r="B146" s="62" t="s">
        <v>7</v>
      </c>
      <c r="C146" s="62">
        <v>362</v>
      </c>
      <c r="D146" s="77">
        <v>371.33</v>
      </c>
      <c r="E146" s="78">
        <f t="shared" si="4"/>
        <v>2.5773480662983381E-2</v>
      </c>
      <c r="F146" s="213">
        <f>IFERROR(AVERAGE(E146:E148),"")</f>
        <v>3.1583793738489879E-2</v>
      </c>
      <c r="G146" s="212">
        <v>1.4999999999999999E-2</v>
      </c>
    </row>
    <row r="147" spans="1:7" x14ac:dyDescent="0.35">
      <c r="A147" s="228"/>
      <c r="B147" s="62" t="s">
        <v>8</v>
      </c>
      <c r="C147" s="62">
        <v>362</v>
      </c>
      <c r="D147" s="77">
        <v>369.8</v>
      </c>
      <c r="E147" s="78">
        <f t="shared" si="4"/>
        <v>2.1546961325966882E-2</v>
      </c>
      <c r="F147" s="214"/>
      <c r="G147" s="212"/>
    </row>
    <row r="148" spans="1:7" x14ac:dyDescent="0.35">
      <c r="A148" s="229"/>
      <c r="B148" s="62" t="s">
        <v>9</v>
      </c>
      <c r="C148" s="62">
        <v>362</v>
      </c>
      <c r="D148" s="77">
        <v>379.17</v>
      </c>
      <c r="E148" s="78">
        <f t="shared" si="4"/>
        <v>4.7430939226519378E-2</v>
      </c>
      <c r="F148" s="214"/>
      <c r="G148" s="212"/>
    </row>
    <row r="149" spans="1:7" x14ac:dyDescent="0.35">
      <c r="A149" s="227">
        <v>46072</v>
      </c>
      <c r="B149" s="62" t="s">
        <v>7</v>
      </c>
      <c r="C149" s="62">
        <v>362</v>
      </c>
      <c r="D149" s="77">
        <v>375.48</v>
      </c>
      <c r="E149" s="78">
        <f t="shared" si="4"/>
        <v>3.723756906077353E-2</v>
      </c>
      <c r="F149" s="213">
        <f>IFERROR(AVERAGE(E149:E151),"")</f>
        <v>3.7660596377076673E-2</v>
      </c>
      <c r="G149" s="212">
        <v>1.4999999999999999E-2</v>
      </c>
    </row>
    <row r="150" spans="1:7" x14ac:dyDescent="0.35">
      <c r="A150" s="228"/>
      <c r="B150" s="62" t="s">
        <v>8</v>
      </c>
      <c r="C150" s="62"/>
      <c r="D150" s="77"/>
      <c r="E150" s="78" t="str">
        <f t="shared" si="4"/>
        <v/>
      </c>
      <c r="F150" s="214"/>
      <c r="G150" s="212"/>
    </row>
    <row r="151" spans="1:7" x14ac:dyDescent="0.35">
      <c r="A151" s="229"/>
      <c r="B151" s="62" t="s">
        <v>9</v>
      </c>
      <c r="C151" s="62">
        <v>574</v>
      </c>
      <c r="D151" s="77">
        <v>595.86</v>
      </c>
      <c r="E151" s="78">
        <f t="shared" si="4"/>
        <v>3.8083623693379816E-2</v>
      </c>
      <c r="F151" s="214"/>
      <c r="G151" s="212"/>
    </row>
    <row r="152" spans="1:7" x14ac:dyDescent="0.35">
      <c r="A152" s="227">
        <v>46073</v>
      </c>
      <c r="B152" s="62" t="s">
        <v>7</v>
      </c>
      <c r="C152" s="62">
        <v>574</v>
      </c>
      <c r="D152" s="77">
        <v>594.59</v>
      </c>
      <c r="E152" s="78">
        <f t="shared" si="4"/>
        <v>3.5871080139372881E-2</v>
      </c>
      <c r="F152" s="213">
        <f>IFERROR(AVERAGE(E152:E154),"")</f>
        <v>3.7229965156794435E-2</v>
      </c>
      <c r="G152" s="212">
        <v>1.4999999999999999E-2</v>
      </c>
    </row>
    <row r="153" spans="1:7" x14ac:dyDescent="0.35">
      <c r="A153" s="228"/>
      <c r="B153" s="62" t="s">
        <v>8</v>
      </c>
      <c r="C153" s="62">
        <v>574</v>
      </c>
      <c r="D153" s="77">
        <v>590</v>
      </c>
      <c r="E153" s="78">
        <f t="shared" si="4"/>
        <v>2.7874564459930314E-2</v>
      </c>
      <c r="F153" s="214"/>
      <c r="G153" s="212"/>
    </row>
    <row r="154" spans="1:7" x14ac:dyDescent="0.35">
      <c r="A154" s="229"/>
      <c r="B154" s="62" t="s">
        <v>9</v>
      </c>
      <c r="C154" s="62">
        <v>574</v>
      </c>
      <c r="D154" s="77">
        <v>601.52</v>
      </c>
      <c r="E154" s="78">
        <f t="shared" si="4"/>
        <v>4.7944250871080105E-2</v>
      </c>
      <c r="F154" s="214"/>
      <c r="G154" s="212"/>
    </row>
    <row r="155" spans="1:7" x14ac:dyDescent="0.35">
      <c r="A155" s="227">
        <v>46074</v>
      </c>
      <c r="B155" s="62" t="s">
        <v>7</v>
      </c>
      <c r="C155" s="62">
        <v>574</v>
      </c>
      <c r="D155" s="77">
        <v>596.02</v>
      </c>
      <c r="E155" s="78">
        <f t="shared" si="4"/>
        <v>3.8362369337979062E-2</v>
      </c>
      <c r="F155" s="213">
        <f>IFERROR(AVERAGE(E155:E157),"")</f>
        <v>3.3649825783972118E-2</v>
      </c>
      <c r="G155" s="212">
        <v>1.4999999999999999E-2</v>
      </c>
    </row>
    <row r="156" spans="1:7" x14ac:dyDescent="0.35">
      <c r="A156" s="228"/>
      <c r="B156" s="62" t="s">
        <v>8</v>
      </c>
      <c r="C156" s="62">
        <v>574</v>
      </c>
      <c r="D156" s="77">
        <v>590.61</v>
      </c>
      <c r="E156" s="78">
        <f t="shared" si="4"/>
        <v>2.8937282229965181E-2</v>
      </c>
      <c r="F156" s="214"/>
      <c r="G156" s="212"/>
    </row>
    <row r="157" spans="1:7" x14ac:dyDescent="0.35">
      <c r="A157" s="229"/>
      <c r="B157" s="62" t="s">
        <v>9</v>
      </c>
      <c r="C157" s="62"/>
      <c r="D157" s="77"/>
      <c r="E157" s="78" t="str">
        <f t="shared" si="4"/>
        <v/>
      </c>
      <c r="F157" s="214"/>
      <c r="G157" s="212"/>
    </row>
    <row r="158" spans="1:7" x14ac:dyDescent="0.35">
      <c r="A158" s="227">
        <v>46075</v>
      </c>
      <c r="B158" s="62" t="s">
        <v>7</v>
      </c>
      <c r="C158" s="62">
        <v>362</v>
      </c>
      <c r="D158" s="77">
        <v>376.41</v>
      </c>
      <c r="E158" s="78">
        <f t="shared" si="4"/>
        <v>3.980662983425421E-2</v>
      </c>
      <c r="F158" s="213">
        <f>IFERROR(AVERAGE(E158:E160),"")</f>
        <v>4.2292817679558066E-2</v>
      </c>
      <c r="G158" s="212">
        <v>1.4999999999999999E-2</v>
      </c>
    </row>
    <row r="159" spans="1:7" x14ac:dyDescent="0.35">
      <c r="A159" s="228"/>
      <c r="B159" s="62" t="s">
        <v>8</v>
      </c>
      <c r="C159" s="62">
        <v>362</v>
      </c>
      <c r="D159" s="77">
        <v>374.17</v>
      </c>
      <c r="E159" s="78">
        <f t="shared" si="4"/>
        <v>3.3618784530386782E-2</v>
      </c>
      <c r="F159" s="214"/>
      <c r="G159" s="212"/>
    </row>
    <row r="160" spans="1:7" x14ac:dyDescent="0.35">
      <c r="A160" s="229"/>
      <c r="B160" s="62" t="s">
        <v>9</v>
      </c>
      <c r="C160" s="62">
        <v>362</v>
      </c>
      <c r="D160" s="77">
        <v>381.35</v>
      </c>
      <c r="E160" s="78">
        <f t="shared" si="4"/>
        <v>5.3453038674033213E-2</v>
      </c>
      <c r="F160" s="214"/>
      <c r="G160" s="212"/>
    </row>
    <row r="161" spans="1:7" x14ac:dyDescent="0.35">
      <c r="A161" s="227">
        <v>46076</v>
      </c>
      <c r="B161" s="62" t="s">
        <v>7</v>
      </c>
      <c r="C161" s="62">
        <v>362</v>
      </c>
      <c r="D161" s="77">
        <v>373.28</v>
      </c>
      <c r="E161" s="78">
        <f t="shared" si="4"/>
        <v>3.1160220994475064E-2</v>
      </c>
      <c r="F161" s="213">
        <f>IFERROR(AVERAGE(E161:E163),"")</f>
        <v>2.6169429097605851E-2</v>
      </c>
      <c r="G161" s="212">
        <v>1.4999999999999999E-2</v>
      </c>
    </row>
    <row r="162" spans="1:7" x14ac:dyDescent="0.35">
      <c r="A162" s="228"/>
      <c r="B162" s="62" t="s">
        <v>8</v>
      </c>
      <c r="C162" s="62">
        <v>362</v>
      </c>
      <c r="D162" s="77">
        <v>373.27</v>
      </c>
      <c r="E162" s="78">
        <f t="shared" si="4"/>
        <v>3.1132596685082822E-2</v>
      </c>
      <c r="F162" s="214"/>
      <c r="G162" s="212"/>
    </row>
    <row r="163" spans="1:7" x14ac:dyDescent="0.35">
      <c r="A163" s="229"/>
      <c r="B163" s="62" t="s">
        <v>9</v>
      </c>
      <c r="C163" s="62">
        <v>362</v>
      </c>
      <c r="D163" s="77">
        <v>367.87</v>
      </c>
      <c r="E163" s="78">
        <f t="shared" si="4"/>
        <v>1.6215469613259682E-2</v>
      </c>
      <c r="F163" s="214"/>
      <c r="G163" s="212"/>
    </row>
    <row r="164" spans="1:7" x14ac:dyDescent="0.35">
      <c r="A164" s="227">
        <v>46077</v>
      </c>
      <c r="B164" s="62" t="s">
        <v>7</v>
      </c>
      <c r="C164" s="62">
        <v>362</v>
      </c>
      <c r="D164" s="77">
        <v>370.79</v>
      </c>
      <c r="E164" s="78">
        <f t="shared" si="4"/>
        <v>2.4281767955801163E-2</v>
      </c>
      <c r="F164" s="213">
        <f>IFERROR(AVERAGE(E164:E166),"")</f>
        <v>2.9189686924493544E-2</v>
      </c>
      <c r="G164" s="212">
        <v>1.4999999999999999E-2</v>
      </c>
    </row>
    <row r="165" spans="1:7" x14ac:dyDescent="0.35">
      <c r="A165" s="228"/>
      <c r="B165" s="62" t="s">
        <v>8</v>
      </c>
      <c r="C165" s="62">
        <v>362</v>
      </c>
      <c r="D165" s="77">
        <v>372.03</v>
      </c>
      <c r="E165" s="78">
        <f t="shared" si="4"/>
        <v>2.7707182320441913E-2</v>
      </c>
      <c r="F165" s="214"/>
      <c r="G165" s="212"/>
    </row>
    <row r="166" spans="1:7" x14ac:dyDescent="0.35">
      <c r="A166" s="229"/>
      <c r="B166" s="62" t="s">
        <v>9</v>
      </c>
      <c r="C166" s="62">
        <v>362</v>
      </c>
      <c r="D166" s="77">
        <v>374.88</v>
      </c>
      <c r="E166" s="78">
        <f t="shared" si="4"/>
        <v>3.5580110497237555E-2</v>
      </c>
      <c r="F166" s="214"/>
      <c r="G166" s="212"/>
    </row>
    <row r="167" spans="1:7" x14ac:dyDescent="0.35">
      <c r="A167" s="227">
        <v>46078</v>
      </c>
      <c r="B167" s="62" t="s">
        <v>7</v>
      </c>
      <c r="C167" s="62"/>
      <c r="D167" s="77"/>
      <c r="E167" s="78" t="str">
        <f t="shared" si="4"/>
        <v/>
      </c>
      <c r="F167" s="213" t="str">
        <f>IFERROR(AVERAGE(E167:E169),"")</f>
        <v/>
      </c>
      <c r="G167" s="212">
        <v>1.4999999999999999E-2</v>
      </c>
    </row>
    <row r="168" spans="1:7" x14ac:dyDescent="0.35">
      <c r="A168" s="228"/>
      <c r="B168" s="62" t="s">
        <v>8</v>
      </c>
      <c r="C168" s="62"/>
      <c r="D168" s="77"/>
      <c r="E168" s="78" t="str">
        <f t="shared" si="4"/>
        <v/>
      </c>
      <c r="F168" s="214"/>
      <c r="G168" s="212"/>
    </row>
    <row r="169" spans="1:7" x14ac:dyDescent="0.35">
      <c r="A169" s="229"/>
      <c r="B169" s="62" t="s">
        <v>9</v>
      </c>
      <c r="C169" s="62"/>
      <c r="D169" s="77"/>
      <c r="E169" s="78" t="str">
        <f t="shared" si="4"/>
        <v/>
      </c>
      <c r="F169" s="214"/>
      <c r="G169" s="212"/>
    </row>
    <row r="170" spans="1:7" x14ac:dyDescent="0.35">
      <c r="A170" s="227">
        <v>46079</v>
      </c>
      <c r="B170" s="62" t="s">
        <v>7</v>
      </c>
      <c r="C170" s="62"/>
      <c r="D170" s="77"/>
      <c r="E170" s="78" t="str">
        <f t="shared" si="4"/>
        <v/>
      </c>
      <c r="F170" s="213" t="str">
        <f>IFERROR(AVERAGE(E170:E172),"")</f>
        <v/>
      </c>
      <c r="G170" s="212">
        <v>1.4999999999999999E-2</v>
      </c>
    </row>
    <row r="171" spans="1:7" x14ac:dyDescent="0.35">
      <c r="A171" s="228"/>
      <c r="B171" s="62" t="s">
        <v>8</v>
      </c>
      <c r="C171" s="62"/>
      <c r="D171" s="77"/>
      <c r="E171" s="78" t="str">
        <f t="shared" si="4"/>
        <v/>
      </c>
      <c r="F171" s="214"/>
      <c r="G171" s="212"/>
    </row>
    <row r="172" spans="1:7" x14ac:dyDescent="0.35">
      <c r="A172" s="229"/>
      <c r="B172" s="62" t="s">
        <v>9</v>
      </c>
      <c r="C172" s="62"/>
      <c r="D172" s="77"/>
      <c r="E172" s="78" t="str">
        <f t="shared" si="4"/>
        <v/>
      </c>
      <c r="F172" s="214"/>
      <c r="G172" s="212"/>
    </row>
    <row r="173" spans="1:7" x14ac:dyDescent="0.35">
      <c r="A173" s="227">
        <v>46080</v>
      </c>
      <c r="B173" s="62" t="s">
        <v>7</v>
      </c>
      <c r="C173" s="62"/>
      <c r="D173" s="77"/>
      <c r="E173" s="78" t="str">
        <f t="shared" si="4"/>
        <v/>
      </c>
      <c r="F173" s="213" t="str">
        <f>IFERROR(AVERAGE(E173:E175),"")</f>
        <v/>
      </c>
      <c r="G173" s="212">
        <v>1.4999999999999999E-2</v>
      </c>
    </row>
    <row r="174" spans="1:7" x14ac:dyDescent="0.35">
      <c r="A174" s="228"/>
      <c r="B174" s="62" t="s">
        <v>8</v>
      </c>
      <c r="C174" s="62"/>
      <c r="D174" s="77"/>
      <c r="E174" s="78" t="str">
        <f t="shared" si="4"/>
        <v/>
      </c>
      <c r="F174" s="214"/>
      <c r="G174" s="212"/>
    </row>
    <row r="175" spans="1:7" x14ac:dyDescent="0.35">
      <c r="A175" s="229"/>
      <c r="B175" s="62" t="s">
        <v>9</v>
      </c>
      <c r="C175" s="62"/>
      <c r="D175" s="77"/>
      <c r="E175" s="78" t="str">
        <f t="shared" si="4"/>
        <v/>
      </c>
      <c r="F175" s="214"/>
      <c r="G175" s="212"/>
    </row>
    <row r="176" spans="1:7" x14ac:dyDescent="0.35">
      <c r="A176" s="227">
        <v>46081</v>
      </c>
      <c r="B176" s="62" t="s">
        <v>7</v>
      </c>
      <c r="C176" s="62"/>
      <c r="D176" s="77"/>
      <c r="E176" s="78" t="str">
        <f t="shared" si="4"/>
        <v/>
      </c>
      <c r="F176" s="213" t="str">
        <f>IFERROR(AVERAGE(E176:E178),"")</f>
        <v/>
      </c>
      <c r="G176" s="212">
        <v>1.4999999999999999E-2</v>
      </c>
    </row>
    <row r="177" spans="1:7" x14ac:dyDescent="0.35">
      <c r="A177" s="228"/>
      <c r="B177" s="62" t="s">
        <v>8</v>
      </c>
      <c r="C177" s="62"/>
      <c r="D177" s="77"/>
      <c r="E177" s="78" t="str">
        <f t="shared" si="4"/>
        <v/>
      </c>
      <c r="F177" s="214"/>
      <c r="G177" s="212"/>
    </row>
    <row r="178" spans="1:7" x14ac:dyDescent="0.35">
      <c r="A178" s="229"/>
      <c r="B178" s="62" t="s">
        <v>9</v>
      </c>
      <c r="C178" s="62"/>
      <c r="D178" s="77"/>
      <c r="E178" s="78" t="str">
        <f t="shared" si="4"/>
        <v/>
      </c>
      <c r="F178" s="214"/>
      <c r="G178" s="212"/>
    </row>
    <row r="179" spans="1:7" x14ac:dyDescent="0.35">
      <c r="A179" s="227">
        <v>46082</v>
      </c>
      <c r="B179" s="62" t="s">
        <v>7</v>
      </c>
      <c r="C179" s="62"/>
      <c r="D179" s="77"/>
      <c r="E179" s="78" t="str">
        <f t="shared" si="4"/>
        <v/>
      </c>
      <c r="F179" s="213" t="str">
        <f>IFERROR(AVERAGE(E179:E181),"")</f>
        <v/>
      </c>
      <c r="G179" s="212">
        <v>1.4999999999999999E-2</v>
      </c>
    </row>
    <row r="180" spans="1:7" x14ac:dyDescent="0.35">
      <c r="A180" s="227">
        <v>46082</v>
      </c>
      <c r="B180" s="62" t="s">
        <v>8</v>
      </c>
      <c r="C180" s="62"/>
      <c r="D180" s="77"/>
      <c r="E180" s="78" t="str">
        <f t="shared" si="4"/>
        <v/>
      </c>
      <c r="F180" s="214"/>
      <c r="G180" s="212"/>
    </row>
    <row r="181" spans="1:7" x14ac:dyDescent="0.35">
      <c r="A181" s="227">
        <v>46082</v>
      </c>
      <c r="B181" s="62" t="s">
        <v>9</v>
      </c>
      <c r="C181" s="62"/>
      <c r="D181" s="77"/>
      <c r="E181" s="78" t="str">
        <f t="shared" si="4"/>
        <v/>
      </c>
      <c r="F181" s="214"/>
      <c r="G181" s="212"/>
    </row>
    <row r="182" spans="1:7" x14ac:dyDescent="0.35">
      <c r="A182" s="227">
        <v>46083</v>
      </c>
      <c r="B182" s="62" t="s">
        <v>7</v>
      </c>
      <c r="C182" s="62"/>
      <c r="D182" s="77"/>
      <c r="E182" s="78" t="str">
        <f t="shared" si="4"/>
        <v/>
      </c>
      <c r="F182" s="213" t="str">
        <f>IFERROR(AVERAGE(E182:E184),"")</f>
        <v/>
      </c>
      <c r="G182" s="212">
        <v>1.4999999999999999E-2</v>
      </c>
    </row>
    <row r="183" spans="1:7" x14ac:dyDescent="0.35">
      <c r="A183" s="227">
        <v>46083</v>
      </c>
      <c r="B183" s="62" t="s">
        <v>8</v>
      </c>
      <c r="C183" s="62"/>
      <c r="D183" s="77"/>
      <c r="E183" s="78" t="str">
        <f t="shared" si="4"/>
        <v/>
      </c>
      <c r="F183" s="214"/>
      <c r="G183" s="212"/>
    </row>
    <row r="184" spans="1:7" x14ac:dyDescent="0.35">
      <c r="A184" s="227">
        <v>46083</v>
      </c>
      <c r="B184" s="62" t="s">
        <v>9</v>
      </c>
      <c r="C184" s="62"/>
      <c r="D184" s="77"/>
      <c r="E184" s="78" t="str">
        <f t="shared" si="4"/>
        <v/>
      </c>
      <c r="F184" s="214"/>
      <c r="G184" s="212"/>
    </row>
    <row r="185" spans="1:7" x14ac:dyDescent="0.35">
      <c r="A185" s="227">
        <v>46084</v>
      </c>
      <c r="B185" s="62" t="s">
        <v>7</v>
      </c>
      <c r="C185" s="62"/>
      <c r="D185" s="77"/>
      <c r="E185" s="78" t="str">
        <f t="shared" si="4"/>
        <v/>
      </c>
      <c r="F185" s="213" t="str">
        <f>IFERROR(AVERAGE(E185:E187),"")</f>
        <v/>
      </c>
      <c r="G185" s="212">
        <v>1.4999999999999999E-2</v>
      </c>
    </row>
    <row r="186" spans="1:7" x14ac:dyDescent="0.35">
      <c r="A186" s="227">
        <v>46084</v>
      </c>
      <c r="B186" s="62" t="s">
        <v>8</v>
      </c>
      <c r="C186" s="62"/>
      <c r="D186" s="77"/>
      <c r="E186" s="78" t="str">
        <f t="shared" si="4"/>
        <v/>
      </c>
      <c r="F186" s="214"/>
      <c r="G186" s="212"/>
    </row>
    <row r="187" spans="1:7" x14ac:dyDescent="0.35">
      <c r="A187" s="227">
        <v>46084</v>
      </c>
      <c r="B187" s="62" t="s">
        <v>9</v>
      </c>
      <c r="C187" s="62"/>
      <c r="D187" s="77"/>
      <c r="E187" s="78" t="str">
        <f t="shared" si="4"/>
        <v/>
      </c>
      <c r="F187" s="214"/>
      <c r="G187" s="212"/>
    </row>
    <row r="188" spans="1:7" x14ac:dyDescent="0.35">
      <c r="A188" s="227">
        <v>46085</v>
      </c>
      <c r="B188" s="62" t="s">
        <v>7</v>
      </c>
      <c r="C188" s="62"/>
      <c r="D188" s="77"/>
      <c r="E188" s="78" t="str">
        <f t="shared" si="4"/>
        <v/>
      </c>
      <c r="F188" s="213" t="str">
        <f>IFERROR(AVERAGE(E188:E190),"")</f>
        <v/>
      </c>
      <c r="G188" s="212">
        <v>1.4999999999999999E-2</v>
      </c>
    </row>
    <row r="189" spans="1:7" x14ac:dyDescent="0.35">
      <c r="A189" s="227">
        <v>46085</v>
      </c>
      <c r="B189" s="62" t="s">
        <v>8</v>
      </c>
      <c r="C189" s="62"/>
      <c r="D189" s="77"/>
      <c r="E189" s="78" t="str">
        <f t="shared" si="4"/>
        <v/>
      </c>
      <c r="F189" s="214"/>
      <c r="G189" s="212"/>
    </row>
    <row r="190" spans="1:7" x14ac:dyDescent="0.35">
      <c r="A190" s="227">
        <v>46085</v>
      </c>
      <c r="B190" s="62" t="s">
        <v>9</v>
      </c>
      <c r="C190" s="62"/>
      <c r="D190" s="77"/>
      <c r="E190" s="78" t="str">
        <f t="shared" si="4"/>
        <v/>
      </c>
      <c r="F190" s="214"/>
      <c r="G190" s="212"/>
    </row>
    <row r="191" spans="1:7" x14ac:dyDescent="0.35">
      <c r="A191" s="227">
        <v>46086</v>
      </c>
      <c r="B191" s="62" t="s">
        <v>7</v>
      </c>
      <c r="C191" s="62"/>
      <c r="D191" s="77"/>
      <c r="E191" s="78" t="str">
        <f t="shared" si="4"/>
        <v/>
      </c>
      <c r="F191" s="213">
        <f>IFERROR(AVERAGE(E191:E193),"")</f>
        <v>1.8107734806629854E-2</v>
      </c>
      <c r="G191" s="212">
        <v>1.4999999999999999E-2</v>
      </c>
    </row>
    <row r="192" spans="1:7" x14ac:dyDescent="0.35">
      <c r="A192" s="227">
        <v>46086</v>
      </c>
      <c r="B192" s="62" t="s">
        <v>8</v>
      </c>
      <c r="C192" s="62">
        <v>362</v>
      </c>
      <c r="D192" s="77">
        <v>373.11</v>
      </c>
      <c r="E192" s="78">
        <f t="shared" si="4"/>
        <v>3.0690607734806669E-2</v>
      </c>
      <c r="F192" s="214"/>
      <c r="G192" s="212"/>
    </row>
    <row r="193" spans="1:7" x14ac:dyDescent="0.35">
      <c r="A193" s="227">
        <v>46086</v>
      </c>
      <c r="B193" s="62" t="s">
        <v>9</v>
      </c>
      <c r="C193" s="62">
        <v>362</v>
      </c>
      <c r="D193" s="77">
        <v>364</v>
      </c>
      <c r="E193" s="78">
        <f t="shared" si="4"/>
        <v>5.5248618784530384E-3</v>
      </c>
      <c r="F193" s="214"/>
      <c r="G193" s="212"/>
    </row>
    <row r="194" spans="1:7" x14ac:dyDescent="0.35">
      <c r="A194" s="227">
        <v>46087</v>
      </c>
      <c r="B194" s="62" t="s">
        <v>7</v>
      </c>
      <c r="C194" s="62">
        <v>362</v>
      </c>
      <c r="D194" s="77">
        <v>367.57</v>
      </c>
      <c r="E194" s="78">
        <f t="shared" ref="E194:E257" si="5">IF(D194="","",(D194-C194)/C194)</f>
        <v>1.5386740331491695E-2</v>
      </c>
      <c r="F194" s="213">
        <f>IFERROR(AVERAGE(E194:E196),"")</f>
        <v>2.233885819521178E-2</v>
      </c>
      <c r="G194" s="212">
        <v>1.4999999999999999E-2</v>
      </c>
    </row>
    <row r="195" spans="1:7" x14ac:dyDescent="0.35">
      <c r="A195" s="227">
        <v>46087</v>
      </c>
      <c r="B195" s="62" t="s">
        <v>8</v>
      </c>
      <c r="C195" s="62">
        <v>362</v>
      </c>
      <c r="D195" s="77">
        <v>371.89</v>
      </c>
      <c r="E195" s="78">
        <f t="shared" si="5"/>
        <v>2.7320441988950239E-2</v>
      </c>
      <c r="F195" s="214"/>
      <c r="G195" s="212"/>
    </row>
    <row r="196" spans="1:7" x14ac:dyDescent="0.35">
      <c r="A196" s="227">
        <v>46087</v>
      </c>
      <c r="B196" s="62" t="s">
        <v>9</v>
      </c>
      <c r="C196" s="62">
        <v>362</v>
      </c>
      <c r="D196" s="77">
        <v>370.8</v>
      </c>
      <c r="E196" s="78">
        <f t="shared" si="5"/>
        <v>2.4309392265193401E-2</v>
      </c>
      <c r="F196" s="214"/>
      <c r="G196" s="212"/>
    </row>
    <row r="197" spans="1:7" x14ac:dyDescent="0.35">
      <c r="A197" s="227">
        <v>46088</v>
      </c>
      <c r="B197" s="62" t="s">
        <v>7</v>
      </c>
      <c r="C197" s="62">
        <v>572</v>
      </c>
      <c r="D197" s="77">
        <v>584.12</v>
      </c>
      <c r="E197" s="78">
        <f t="shared" si="5"/>
        <v>2.1188811188811198E-2</v>
      </c>
      <c r="F197" s="213">
        <f>IFERROR(AVERAGE(E197:E199),"")</f>
        <v>3.2680652680652705E-2</v>
      </c>
      <c r="G197" s="212">
        <v>1.4999999999999999E-2</v>
      </c>
    </row>
    <row r="198" spans="1:7" x14ac:dyDescent="0.35">
      <c r="A198" s="228"/>
      <c r="B198" s="62" t="s">
        <v>8</v>
      </c>
      <c r="C198" s="62">
        <v>572</v>
      </c>
      <c r="D198" s="77">
        <v>593.98</v>
      </c>
      <c r="E198" s="78">
        <f t="shared" si="5"/>
        <v>3.8426573426573456E-2</v>
      </c>
      <c r="F198" s="214"/>
      <c r="G198" s="212"/>
    </row>
    <row r="199" spans="1:7" x14ac:dyDescent="0.35">
      <c r="A199" s="229"/>
      <c r="B199" s="62" t="s">
        <v>9</v>
      </c>
      <c r="C199" s="62">
        <v>572</v>
      </c>
      <c r="D199" s="77">
        <v>593.98</v>
      </c>
      <c r="E199" s="78">
        <f t="shared" si="5"/>
        <v>3.8426573426573456E-2</v>
      </c>
      <c r="F199" s="214"/>
      <c r="G199" s="212"/>
    </row>
    <row r="200" spans="1:7" x14ac:dyDescent="0.35">
      <c r="A200" s="227">
        <v>46089</v>
      </c>
      <c r="B200" s="62" t="s">
        <v>7</v>
      </c>
      <c r="C200" s="62">
        <v>572</v>
      </c>
      <c r="D200" s="77">
        <v>580.16999999999996</v>
      </c>
      <c r="E200" s="78">
        <f t="shared" si="5"/>
        <v>1.4283216783216712E-2</v>
      </c>
      <c r="F200" s="213">
        <f>IFERROR(AVERAGE(E200:E202),"")</f>
        <v>2.1620046620046563E-2</v>
      </c>
      <c r="G200" s="212">
        <v>1.4999999999999999E-2</v>
      </c>
    </row>
    <row r="201" spans="1:7" x14ac:dyDescent="0.35">
      <c r="A201" s="228"/>
      <c r="B201" s="62" t="s">
        <v>8</v>
      </c>
      <c r="C201" s="62">
        <v>572</v>
      </c>
      <c r="D201" s="77">
        <v>586.67999999999995</v>
      </c>
      <c r="E201" s="78">
        <f t="shared" si="5"/>
        <v>2.5664335664335576E-2</v>
      </c>
      <c r="F201" s="214"/>
      <c r="G201" s="212"/>
    </row>
    <row r="202" spans="1:7" x14ac:dyDescent="0.35">
      <c r="A202" s="229"/>
      <c r="B202" s="62" t="s">
        <v>9</v>
      </c>
      <c r="C202" s="62">
        <v>572</v>
      </c>
      <c r="D202" s="77">
        <v>586.25</v>
      </c>
      <c r="E202" s="78">
        <f t="shared" si="5"/>
        <v>2.4912587412587412E-2</v>
      </c>
      <c r="F202" s="214"/>
      <c r="G202" s="212"/>
    </row>
    <row r="203" spans="1:7" x14ac:dyDescent="0.35">
      <c r="A203" s="227">
        <v>46090</v>
      </c>
      <c r="B203" s="62" t="s">
        <v>7</v>
      </c>
      <c r="C203" s="62">
        <v>572</v>
      </c>
      <c r="D203" s="77">
        <v>584.48</v>
      </c>
      <c r="E203" s="78">
        <f t="shared" si="5"/>
        <v>2.1818181818181851E-2</v>
      </c>
      <c r="F203" s="213">
        <f>IFERROR(AVERAGE(E203:E205),"")</f>
        <v>1.5489510489510513E-2</v>
      </c>
      <c r="G203" s="212">
        <v>1.4999999999999999E-2</v>
      </c>
    </row>
    <row r="204" spans="1:7" x14ac:dyDescent="0.35">
      <c r="A204" s="228"/>
      <c r="B204" s="62" t="s">
        <v>8</v>
      </c>
      <c r="C204" s="62"/>
      <c r="D204" s="77"/>
      <c r="E204" s="78" t="str">
        <f t="shared" si="5"/>
        <v/>
      </c>
      <c r="F204" s="214"/>
      <c r="G204" s="212"/>
    </row>
    <row r="205" spans="1:7" x14ac:dyDescent="0.35">
      <c r="A205" s="229"/>
      <c r="B205" s="62" t="s">
        <v>9</v>
      </c>
      <c r="C205" s="62">
        <v>572</v>
      </c>
      <c r="D205" s="77">
        <v>577.24</v>
      </c>
      <c r="E205" s="78">
        <f t="shared" si="5"/>
        <v>9.1608391608391775E-3</v>
      </c>
      <c r="F205" s="214"/>
      <c r="G205" s="212"/>
    </row>
    <row r="206" spans="1:7" x14ac:dyDescent="0.35">
      <c r="A206" s="227">
        <v>46091</v>
      </c>
      <c r="B206" s="62" t="s">
        <v>7</v>
      </c>
      <c r="C206" s="62">
        <v>362</v>
      </c>
      <c r="D206" s="77">
        <v>370</v>
      </c>
      <c r="E206" s="78">
        <f t="shared" si="5"/>
        <v>2.2099447513812154E-2</v>
      </c>
      <c r="F206" s="213">
        <f>IFERROR(AVERAGE(E206:E208),"")</f>
        <v>2.383977900552485E-2</v>
      </c>
      <c r="G206" s="212">
        <v>1.4999999999999999E-2</v>
      </c>
    </row>
    <row r="207" spans="1:7" x14ac:dyDescent="0.35">
      <c r="A207" s="228"/>
      <c r="B207" s="62" t="s">
        <v>8</v>
      </c>
      <c r="C207" s="62">
        <v>362</v>
      </c>
      <c r="D207" s="77">
        <v>371</v>
      </c>
      <c r="E207" s="78">
        <f t="shared" si="5"/>
        <v>2.4861878453038673E-2</v>
      </c>
      <c r="F207" s="214"/>
      <c r="G207" s="212"/>
    </row>
    <row r="208" spans="1:7" x14ac:dyDescent="0.35">
      <c r="A208" s="229"/>
      <c r="B208" s="62" t="s">
        <v>9</v>
      </c>
      <c r="C208" s="62">
        <v>362</v>
      </c>
      <c r="D208" s="77">
        <v>370.89</v>
      </c>
      <c r="E208" s="78">
        <f t="shared" si="5"/>
        <v>2.4558011049723719E-2</v>
      </c>
      <c r="F208" s="214"/>
      <c r="G208" s="212"/>
    </row>
    <row r="209" spans="1:7" x14ac:dyDescent="0.35">
      <c r="A209" s="227">
        <v>46092</v>
      </c>
      <c r="B209" s="62" t="s">
        <v>7</v>
      </c>
      <c r="C209" s="62">
        <v>362</v>
      </c>
      <c r="D209" s="77">
        <v>371</v>
      </c>
      <c r="E209" s="78">
        <f t="shared" ref="E209:E211" si="6">IF(D209="","",(D209-C209)/C209)</f>
        <v>2.4861878453038673E-2</v>
      </c>
      <c r="F209" s="213">
        <f>IFERROR(AVERAGE(E209:E211),"")</f>
        <v>2.3941068139963165E-2</v>
      </c>
      <c r="G209" s="212">
        <v>1.4999999999999999E-2</v>
      </c>
    </row>
    <row r="210" spans="1:7" x14ac:dyDescent="0.35">
      <c r="A210" s="228"/>
      <c r="B210" s="62" t="s">
        <v>8</v>
      </c>
      <c r="C210" s="62">
        <v>362</v>
      </c>
      <c r="D210" s="77">
        <v>372</v>
      </c>
      <c r="E210" s="78">
        <f t="shared" si="6"/>
        <v>2.7624309392265192E-2</v>
      </c>
      <c r="F210" s="214"/>
      <c r="G210" s="212"/>
    </row>
    <row r="211" spans="1:7" x14ac:dyDescent="0.35">
      <c r="A211" s="229"/>
      <c r="B211" s="62" t="s">
        <v>9</v>
      </c>
      <c r="C211" s="62">
        <v>362</v>
      </c>
      <c r="D211" s="77">
        <v>369</v>
      </c>
      <c r="E211" s="78">
        <f t="shared" si="6"/>
        <v>1.9337016574585635E-2</v>
      </c>
      <c r="F211" s="214"/>
      <c r="G211" s="212"/>
    </row>
    <row r="212" spans="1:7" x14ac:dyDescent="0.35">
      <c r="A212" s="227">
        <v>46093</v>
      </c>
      <c r="B212" s="62" t="s">
        <v>7</v>
      </c>
      <c r="C212" s="62">
        <v>362</v>
      </c>
      <c r="D212" s="77">
        <v>374.69</v>
      </c>
      <c r="E212" s="78">
        <f t="shared" si="5"/>
        <v>3.5055248618784521E-2</v>
      </c>
      <c r="F212" s="213">
        <f>IFERROR(AVERAGE(E212:E214),"")</f>
        <v>3.6878453038673993E-2</v>
      </c>
      <c r="G212" s="212">
        <v>1.4999999999999999E-2</v>
      </c>
    </row>
    <row r="213" spans="1:7" x14ac:dyDescent="0.35">
      <c r="A213" s="228"/>
      <c r="B213" s="62" t="s">
        <v>8</v>
      </c>
      <c r="C213" s="62">
        <v>362</v>
      </c>
      <c r="D213" s="77">
        <v>372.27</v>
      </c>
      <c r="E213" s="78">
        <f t="shared" si="5"/>
        <v>2.8370165745856303E-2</v>
      </c>
      <c r="F213" s="214"/>
      <c r="G213" s="212"/>
    </row>
    <row r="214" spans="1:7" x14ac:dyDescent="0.35">
      <c r="A214" s="229"/>
      <c r="B214" s="62" t="s">
        <v>9</v>
      </c>
      <c r="C214" s="62">
        <v>362</v>
      </c>
      <c r="D214" s="77">
        <v>379.09</v>
      </c>
      <c r="E214" s="78">
        <f t="shared" si="5"/>
        <v>4.7209944751381148E-2</v>
      </c>
      <c r="F214" s="214"/>
      <c r="G214" s="212"/>
    </row>
    <row r="215" spans="1:7" x14ac:dyDescent="0.35">
      <c r="A215" s="227">
        <v>46094</v>
      </c>
      <c r="B215" s="62" t="s">
        <v>7</v>
      </c>
      <c r="C215" s="62">
        <v>362</v>
      </c>
      <c r="D215" s="77">
        <v>379.09</v>
      </c>
      <c r="E215" s="78">
        <f t="shared" si="5"/>
        <v>4.7209944751381148E-2</v>
      </c>
      <c r="F215" s="213">
        <f>IFERROR(AVERAGE(E215:E217),"")</f>
        <v>3.6022099447513757E-2</v>
      </c>
      <c r="G215" s="212">
        <v>1.4999999999999999E-2</v>
      </c>
    </row>
    <row r="216" spans="1:7" x14ac:dyDescent="0.35">
      <c r="A216" s="228"/>
      <c r="B216" s="62" t="s">
        <v>8</v>
      </c>
      <c r="C216" s="62">
        <v>362</v>
      </c>
      <c r="D216" s="77">
        <v>373.27</v>
      </c>
      <c r="E216" s="78">
        <f t="shared" si="5"/>
        <v>3.1132596685082822E-2</v>
      </c>
      <c r="F216" s="214"/>
      <c r="G216" s="212"/>
    </row>
    <row r="217" spans="1:7" x14ac:dyDescent="0.35">
      <c r="A217" s="229"/>
      <c r="B217" s="62" t="s">
        <v>9</v>
      </c>
      <c r="C217" s="62">
        <v>362</v>
      </c>
      <c r="D217" s="77">
        <v>372.76</v>
      </c>
      <c r="E217" s="78">
        <f t="shared" si="5"/>
        <v>2.9723756906077321E-2</v>
      </c>
      <c r="F217" s="214"/>
      <c r="G217" s="212"/>
    </row>
    <row r="218" spans="1:7" x14ac:dyDescent="0.35">
      <c r="A218" s="227">
        <v>46095</v>
      </c>
      <c r="B218" s="62" t="s">
        <v>7</v>
      </c>
      <c r="C218" s="62"/>
      <c r="D218" s="77"/>
      <c r="E218" s="78" t="str">
        <f t="shared" si="5"/>
        <v/>
      </c>
      <c r="F218" s="213" t="str">
        <f>IFERROR(AVERAGE(E218:E220),"")</f>
        <v/>
      </c>
      <c r="G218" s="212">
        <v>1.4999999999999999E-2</v>
      </c>
    </row>
    <row r="219" spans="1:7" x14ac:dyDescent="0.35">
      <c r="A219" s="228"/>
      <c r="B219" s="62" t="s">
        <v>8</v>
      </c>
      <c r="C219" s="62"/>
      <c r="D219" s="77"/>
      <c r="E219" s="78" t="str">
        <f t="shared" si="5"/>
        <v/>
      </c>
      <c r="F219" s="214"/>
      <c r="G219" s="212"/>
    </row>
    <row r="220" spans="1:7" x14ac:dyDescent="0.35">
      <c r="A220" s="229"/>
      <c r="B220" s="62" t="s">
        <v>9</v>
      </c>
      <c r="C220" s="62"/>
      <c r="D220" s="77"/>
      <c r="E220" s="78" t="str">
        <f t="shared" si="5"/>
        <v/>
      </c>
      <c r="F220" s="214"/>
      <c r="G220" s="212"/>
    </row>
    <row r="221" spans="1:7" x14ac:dyDescent="0.35">
      <c r="A221" s="227">
        <v>46096</v>
      </c>
      <c r="B221" s="62" t="s">
        <v>7</v>
      </c>
      <c r="C221" s="62">
        <v>572</v>
      </c>
      <c r="D221" s="77"/>
      <c r="E221" s="78" t="str">
        <f t="shared" si="5"/>
        <v/>
      </c>
      <c r="F221" s="213">
        <f>IFERROR(AVERAGE(E221:E223),"")</f>
        <v>2.593531468531475E-2</v>
      </c>
      <c r="G221" s="212">
        <v>1.4999999999999999E-2</v>
      </c>
    </row>
    <row r="222" spans="1:7" x14ac:dyDescent="0.35">
      <c r="A222" s="228"/>
      <c r="B222" s="62" t="s">
        <v>8</v>
      </c>
      <c r="C222" s="62">
        <v>572</v>
      </c>
      <c r="D222" s="77">
        <v>585.69000000000005</v>
      </c>
      <c r="E222" s="78">
        <f t="shared" si="5"/>
        <v>2.393356643356653E-2</v>
      </c>
      <c r="F222" s="214"/>
      <c r="G222" s="212"/>
    </row>
    <row r="223" spans="1:7" x14ac:dyDescent="0.35">
      <c r="A223" s="229"/>
      <c r="B223" s="62" t="s">
        <v>9</v>
      </c>
      <c r="C223" s="62">
        <v>572</v>
      </c>
      <c r="D223" s="77">
        <v>587.98</v>
      </c>
      <c r="E223" s="78">
        <f t="shared" si="5"/>
        <v>2.7937062937062968E-2</v>
      </c>
      <c r="F223" s="214"/>
      <c r="G223" s="212"/>
    </row>
    <row r="224" spans="1:7" x14ac:dyDescent="0.35">
      <c r="A224" s="227">
        <v>46097</v>
      </c>
      <c r="B224" s="62" t="s">
        <v>7</v>
      </c>
      <c r="C224" s="62">
        <v>572</v>
      </c>
      <c r="D224" s="77">
        <v>581.21</v>
      </c>
      <c r="E224" s="78">
        <f t="shared" si="5"/>
        <v>1.6101398601398666E-2</v>
      </c>
      <c r="F224" s="213">
        <f>IFERROR(AVERAGE(E224:E226),"")</f>
        <v>2.0052447552447603E-2</v>
      </c>
      <c r="G224" s="212">
        <v>1.4999999999999999E-2</v>
      </c>
    </row>
    <row r="225" spans="1:7" x14ac:dyDescent="0.35">
      <c r="A225" s="228"/>
      <c r="B225" s="62" t="s">
        <v>8</v>
      </c>
      <c r="C225" s="62">
        <v>572</v>
      </c>
      <c r="D225" s="77">
        <v>587.5</v>
      </c>
      <c r="E225" s="78">
        <f t="shared" si="5"/>
        <v>2.7097902097902096E-2</v>
      </c>
      <c r="F225" s="214"/>
      <c r="G225" s="212"/>
    </row>
    <row r="226" spans="1:7" x14ac:dyDescent="0.35">
      <c r="A226" s="229"/>
      <c r="B226" s="62" t="s">
        <v>9</v>
      </c>
      <c r="C226" s="62">
        <v>572</v>
      </c>
      <c r="D226" s="77">
        <v>581.70000000000005</v>
      </c>
      <c r="E226" s="78">
        <f t="shared" si="5"/>
        <v>1.6958041958042038E-2</v>
      </c>
      <c r="F226" s="214"/>
      <c r="G226" s="212"/>
    </row>
    <row r="227" spans="1:7" x14ac:dyDescent="0.35">
      <c r="A227" s="227">
        <v>46098</v>
      </c>
      <c r="B227" s="62" t="s">
        <v>7</v>
      </c>
      <c r="C227" s="62"/>
      <c r="D227" s="77"/>
      <c r="E227" s="78" t="str">
        <f t="shared" si="5"/>
        <v/>
      </c>
      <c r="F227" s="213">
        <f>IFERROR(AVERAGE(E227:E229),"")</f>
        <v>2.7638121546961311E-2</v>
      </c>
      <c r="G227" s="212">
        <v>1.4999999999999999E-2</v>
      </c>
    </row>
    <row r="228" spans="1:7" x14ac:dyDescent="0.35">
      <c r="A228" s="228"/>
      <c r="B228" s="62" t="s">
        <v>8</v>
      </c>
      <c r="C228" s="62">
        <v>362</v>
      </c>
      <c r="D228" s="77">
        <v>373.27</v>
      </c>
      <c r="E228" s="78">
        <f t="shared" si="5"/>
        <v>3.1132596685082822E-2</v>
      </c>
      <c r="F228" s="214"/>
      <c r="G228" s="212"/>
    </row>
    <row r="229" spans="1:7" x14ac:dyDescent="0.35">
      <c r="A229" s="229"/>
      <c r="B229" s="62" t="s">
        <v>9</v>
      </c>
      <c r="C229" s="62">
        <v>362</v>
      </c>
      <c r="D229" s="77">
        <v>370.74</v>
      </c>
      <c r="E229" s="78">
        <f t="shared" si="5"/>
        <v>2.4143646408839804E-2</v>
      </c>
      <c r="F229" s="214"/>
      <c r="G229" s="212"/>
    </row>
    <row r="230" spans="1:7" x14ac:dyDescent="0.35">
      <c r="A230" s="227">
        <v>46099</v>
      </c>
      <c r="B230" s="62" t="s">
        <v>7</v>
      </c>
      <c r="C230" s="62">
        <v>572</v>
      </c>
      <c r="D230" s="77">
        <v>585.09</v>
      </c>
      <c r="E230" s="78">
        <f t="shared" si="5"/>
        <v>2.2884615384615441E-2</v>
      </c>
      <c r="F230" s="213">
        <f>IFERROR(AVERAGE(E230:E232),"")</f>
        <v>2.6386946386946372E-2</v>
      </c>
      <c r="G230" s="212">
        <v>1.4999999999999999E-2</v>
      </c>
    </row>
    <row r="231" spans="1:7" x14ac:dyDescent="0.35">
      <c r="A231" s="228"/>
      <c r="B231" s="62" t="s">
        <v>8</v>
      </c>
      <c r="C231" s="62">
        <v>572</v>
      </c>
      <c r="D231" s="77">
        <v>592.29999999999995</v>
      </c>
      <c r="E231" s="78">
        <f t="shared" si="5"/>
        <v>3.5489510489510413E-2</v>
      </c>
      <c r="F231" s="214"/>
      <c r="G231" s="212"/>
    </row>
    <row r="232" spans="1:7" x14ac:dyDescent="0.35">
      <c r="A232" s="229"/>
      <c r="B232" s="62" t="s">
        <v>9</v>
      </c>
      <c r="C232" s="62">
        <v>572</v>
      </c>
      <c r="D232" s="77">
        <v>583.89</v>
      </c>
      <c r="E232" s="78">
        <f t="shared" si="5"/>
        <v>2.0786713286713263E-2</v>
      </c>
      <c r="F232" s="214"/>
      <c r="G232" s="212"/>
    </row>
    <row r="233" spans="1:7" x14ac:dyDescent="0.35">
      <c r="A233" s="227">
        <v>46100</v>
      </c>
      <c r="B233" s="62" t="s">
        <v>7</v>
      </c>
      <c r="C233" s="62">
        <v>572</v>
      </c>
      <c r="D233" s="77">
        <v>584.96</v>
      </c>
      <c r="E233" s="78">
        <f t="shared" si="5"/>
        <v>2.2657342657342722E-2</v>
      </c>
      <c r="F233" s="213">
        <f>IFERROR(AVERAGE(E233:E235),"")</f>
        <v>1.8420745920745996E-2</v>
      </c>
      <c r="G233" s="212">
        <v>1.4999999999999999E-2</v>
      </c>
    </row>
    <row r="234" spans="1:7" x14ac:dyDescent="0.35">
      <c r="A234" s="228"/>
      <c r="B234" s="62" t="s">
        <v>8</v>
      </c>
      <c r="C234" s="62">
        <v>572</v>
      </c>
      <c r="D234" s="77">
        <v>580.07000000000005</v>
      </c>
      <c r="E234" s="78">
        <f t="shared" si="5"/>
        <v>1.4108391608391696E-2</v>
      </c>
      <c r="F234" s="214"/>
      <c r="G234" s="212"/>
    </row>
    <row r="235" spans="1:7" x14ac:dyDescent="0.35">
      <c r="A235" s="229"/>
      <c r="B235" s="62" t="s">
        <v>9</v>
      </c>
      <c r="C235" s="62">
        <v>572</v>
      </c>
      <c r="D235" s="77">
        <v>582.58000000000004</v>
      </c>
      <c r="E235" s="78">
        <f t="shared" si="5"/>
        <v>1.8496503496503568E-2</v>
      </c>
      <c r="F235" s="214"/>
      <c r="G235" s="212"/>
    </row>
    <row r="236" spans="1:7" x14ac:dyDescent="0.35">
      <c r="A236" s="227">
        <v>46101</v>
      </c>
      <c r="B236" s="62" t="s">
        <v>7</v>
      </c>
      <c r="C236" s="62">
        <v>572</v>
      </c>
      <c r="D236" s="77">
        <v>578.19000000000005</v>
      </c>
      <c r="E236" s="78">
        <f t="shared" si="5"/>
        <v>1.0821678321678418E-2</v>
      </c>
      <c r="F236" s="213">
        <f>IFERROR(AVERAGE(E236:E238),"")</f>
        <v>2.5697465517907497E-2</v>
      </c>
      <c r="G236" s="212">
        <v>1.4999999999999999E-2</v>
      </c>
    </row>
    <row r="237" spans="1:7" x14ac:dyDescent="0.35">
      <c r="A237" s="228"/>
      <c r="B237" s="62" t="s">
        <v>8</v>
      </c>
      <c r="C237" s="62">
        <v>362</v>
      </c>
      <c r="D237" s="77">
        <v>372.4</v>
      </c>
      <c r="E237" s="78">
        <f t="shared" si="5"/>
        <v>2.872928176795574E-2</v>
      </c>
      <c r="F237" s="214"/>
      <c r="G237" s="212"/>
    </row>
    <row r="238" spans="1:7" x14ac:dyDescent="0.35">
      <c r="A238" s="229"/>
      <c r="B238" s="62" t="s">
        <v>9</v>
      </c>
      <c r="C238" s="62">
        <v>362</v>
      </c>
      <c r="D238" s="77">
        <v>375.59</v>
      </c>
      <c r="E238" s="78">
        <f t="shared" si="5"/>
        <v>3.7541436464088328E-2</v>
      </c>
      <c r="F238" s="214"/>
      <c r="G238" s="212"/>
    </row>
    <row r="239" spans="1:7" x14ac:dyDescent="0.35">
      <c r="A239" s="227">
        <v>46102</v>
      </c>
      <c r="B239" s="62" t="s">
        <v>7</v>
      </c>
      <c r="C239" s="62">
        <v>362</v>
      </c>
      <c r="D239" s="77">
        <v>373.91</v>
      </c>
      <c r="E239" s="78">
        <f t="shared" si="5"/>
        <v>3.2900552486187916E-2</v>
      </c>
      <c r="F239" s="213">
        <f>IFERROR(AVERAGE(E239:E241),"")</f>
        <v>3.8047882136279972E-2</v>
      </c>
      <c r="G239" s="212">
        <v>1.4999999999999999E-2</v>
      </c>
    </row>
    <row r="240" spans="1:7" x14ac:dyDescent="0.35">
      <c r="A240" s="228"/>
      <c r="B240" s="62" t="s">
        <v>8</v>
      </c>
      <c r="C240" s="62">
        <v>362</v>
      </c>
      <c r="D240" s="77">
        <v>375.41</v>
      </c>
      <c r="E240" s="78">
        <f t="shared" si="5"/>
        <v>3.7044198895027691E-2</v>
      </c>
      <c r="F240" s="214"/>
      <c r="G240" s="212"/>
    </row>
    <row r="241" spans="1:7" x14ac:dyDescent="0.35">
      <c r="A241" s="229"/>
      <c r="B241" s="62" t="s">
        <v>9</v>
      </c>
      <c r="C241" s="62">
        <v>362</v>
      </c>
      <c r="D241" s="77">
        <v>378</v>
      </c>
      <c r="E241" s="78">
        <f t="shared" si="5"/>
        <v>4.4198895027624308E-2</v>
      </c>
      <c r="F241" s="214"/>
      <c r="G241" s="212"/>
    </row>
    <row r="242" spans="1:7" x14ac:dyDescent="0.35">
      <c r="A242" s="227">
        <v>46103</v>
      </c>
      <c r="B242" s="62" t="s">
        <v>7</v>
      </c>
      <c r="C242" s="62">
        <v>362</v>
      </c>
      <c r="D242" s="77">
        <v>369.91</v>
      </c>
      <c r="E242" s="78">
        <f t="shared" si="5"/>
        <v>2.1850828729281836E-2</v>
      </c>
      <c r="F242" s="213">
        <f>IFERROR(AVERAGE(E242:E244),"")</f>
        <v>2.2357274401473323E-2</v>
      </c>
      <c r="G242" s="212">
        <v>1.4999999999999999E-2</v>
      </c>
    </row>
    <row r="243" spans="1:7" x14ac:dyDescent="0.35">
      <c r="A243" s="228"/>
      <c r="B243" s="62" t="s">
        <v>8</v>
      </c>
      <c r="C243" s="62">
        <v>362</v>
      </c>
      <c r="D243" s="77">
        <v>368.58</v>
      </c>
      <c r="E243" s="78">
        <f t="shared" si="5"/>
        <v>1.8176795580110452E-2</v>
      </c>
      <c r="F243" s="214"/>
      <c r="G243" s="212"/>
    </row>
    <row r="244" spans="1:7" x14ac:dyDescent="0.35">
      <c r="A244" s="229"/>
      <c r="B244" s="62" t="s">
        <v>9</v>
      </c>
      <c r="C244" s="62">
        <v>362</v>
      </c>
      <c r="D244" s="77">
        <v>371.79</v>
      </c>
      <c r="E244" s="78">
        <f t="shared" si="5"/>
        <v>2.7044198895027682E-2</v>
      </c>
      <c r="F244" s="214"/>
      <c r="G244" s="212"/>
    </row>
    <row r="245" spans="1:7" x14ac:dyDescent="0.35">
      <c r="A245" s="227">
        <v>46104</v>
      </c>
      <c r="B245" s="62" t="s">
        <v>7</v>
      </c>
      <c r="C245" s="62"/>
      <c r="D245" s="77"/>
      <c r="E245" s="78" t="str">
        <f t="shared" si="5"/>
        <v/>
      </c>
      <c r="F245" s="213" t="str">
        <f>IFERROR(AVERAGE(E245:E247),"")</f>
        <v/>
      </c>
      <c r="G245" s="212">
        <v>1.4999999999999999E-2</v>
      </c>
    </row>
    <row r="246" spans="1:7" x14ac:dyDescent="0.35">
      <c r="A246" s="228"/>
      <c r="B246" s="62" t="s">
        <v>8</v>
      </c>
      <c r="C246" s="62"/>
      <c r="D246" s="77"/>
      <c r="E246" s="78" t="str">
        <f t="shared" si="5"/>
        <v/>
      </c>
      <c r="F246" s="214"/>
      <c r="G246" s="212"/>
    </row>
    <row r="247" spans="1:7" x14ac:dyDescent="0.35">
      <c r="A247" s="229"/>
      <c r="B247" s="62" t="s">
        <v>9</v>
      </c>
      <c r="C247" s="62"/>
      <c r="D247" s="77"/>
      <c r="E247" s="78" t="str">
        <f t="shared" si="5"/>
        <v/>
      </c>
      <c r="F247" s="214"/>
      <c r="G247" s="212"/>
    </row>
    <row r="248" spans="1:7" x14ac:dyDescent="0.35">
      <c r="A248" s="227">
        <v>46105</v>
      </c>
      <c r="B248" s="62" t="s">
        <v>7</v>
      </c>
      <c r="C248" s="62"/>
      <c r="D248" s="77"/>
      <c r="E248" s="78" t="str">
        <f t="shared" si="5"/>
        <v/>
      </c>
      <c r="F248" s="213" t="str">
        <f>IFERROR(AVERAGE(E248:E250),"")</f>
        <v/>
      </c>
      <c r="G248" s="212">
        <v>1.4999999999999999E-2</v>
      </c>
    </row>
    <row r="249" spans="1:7" x14ac:dyDescent="0.35">
      <c r="A249" s="228"/>
      <c r="B249" s="62" t="s">
        <v>8</v>
      </c>
      <c r="C249" s="62"/>
      <c r="D249" s="77"/>
      <c r="E249" s="78" t="str">
        <f t="shared" si="5"/>
        <v/>
      </c>
      <c r="F249" s="214"/>
      <c r="G249" s="212"/>
    </row>
    <row r="250" spans="1:7" x14ac:dyDescent="0.35">
      <c r="A250" s="229"/>
      <c r="B250" s="62" t="s">
        <v>9</v>
      </c>
      <c r="C250" s="62"/>
      <c r="D250" s="77"/>
      <c r="E250" s="78" t="str">
        <f t="shared" si="5"/>
        <v/>
      </c>
      <c r="F250" s="214"/>
      <c r="G250" s="212"/>
    </row>
    <row r="251" spans="1:7" x14ac:dyDescent="0.35">
      <c r="A251" s="227">
        <v>46106</v>
      </c>
      <c r="B251" s="62" t="s">
        <v>7</v>
      </c>
      <c r="C251" s="62">
        <v>362</v>
      </c>
      <c r="D251" s="77">
        <v>370.78</v>
      </c>
      <c r="E251" s="78">
        <f t="shared" si="5"/>
        <v>2.4254143646408766E-2</v>
      </c>
      <c r="F251" s="213">
        <f>IFERROR(AVERAGE(E251:E253),"")</f>
        <v>3.4318600368324112E-2</v>
      </c>
      <c r="G251" s="212">
        <v>1.4999999999999999E-2</v>
      </c>
    </row>
    <row r="252" spans="1:7" x14ac:dyDescent="0.35">
      <c r="A252" s="228"/>
      <c r="B252" s="62" t="s">
        <v>8</v>
      </c>
      <c r="C252" s="62">
        <v>362</v>
      </c>
      <c r="D252" s="77">
        <v>378.31</v>
      </c>
      <c r="E252" s="78">
        <f t="shared" si="5"/>
        <v>4.5055248618784537E-2</v>
      </c>
      <c r="F252" s="214"/>
      <c r="G252" s="212"/>
    </row>
    <row r="253" spans="1:7" x14ac:dyDescent="0.35">
      <c r="A253" s="229"/>
      <c r="B253" s="62" t="s">
        <v>9</v>
      </c>
      <c r="C253" s="62">
        <v>362</v>
      </c>
      <c r="D253" s="77">
        <v>374.18</v>
      </c>
      <c r="E253" s="78">
        <f t="shared" si="5"/>
        <v>3.3646408839779027E-2</v>
      </c>
      <c r="F253" s="214"/>
      <c r="G253" s="212"/>
    </row>
    <row r="254" spans="1:7" x14ac:dyDescent="0.35">
      <c r="A254" s="227">
        <v>46107</v>
      </c>
      <c r="B254" s="62" t="s">
        <v>7</v>
      </c>
      <c r="C254" s="62">
        <v>362</v>
      </c>
      <c r="D254" s="77">
        <v>371.85</v>
      </c>
      <c r="E254" s="78">
        <f t="shared" ref="E254:E256" si="7">IF(D254="","",(D254-C254)/C254)</f>
        <v>2.720994475138128E-2</v>
      </c>
      <c r="F254" s="213">
        <f>IFERROR(AVERAGE(E254:E256),"")</f>
        <v>2.5911602209944744E-2</v>
      </c>
      <c r="G254" s="212">
        <v>1.4999999999999999E-2</v>
      </c>
    </row>
    <row r="255" spans="1:7" x14ac:dyDescent="0.35">
      <c r="A255" s="228"/>
      <c r="B255" s="62" t="s">
        <v>8</v>
      </c>
      <c r="C255" s="62">
        <v>362</v>
      </c>
      <c r="D255" s="77">
        <v>370.9</v>
      </c>
      <c r="E255" s="78">
        <f t="shared" si="7"/>
        <v>2.4585635359115961E-2</v>
      </c>
      <c r="F255" s="214"/>
      <c r="G255" s="212"/>
    </row>
    <row r="256" spans="1:7" x14ac:dyDescent="0.35">
      <c r="A256" s="229"/>
      <c r="B256" s="62" t="s">
        <v>9</v>
      </c>
      <c r="C256" s="62">
        <v>362</v>
      </c>
      <c r="D256" s="77">
        <v>371.39</v>
      </c>
      <c r="E256" s="78">
        <f t="shared" si="7"/>
        <v>2.5939226519336979E-2</v>
      </c>
      <c r="F256" s="214"/>
      <c r="G256" s="212"/>
    </row>
    <row r="257" spans="1:7" x14ac:dyDescent="0.35">
      <c r="A257" s="227">
        <v>46108</v>
      </c>
      <c r="B257" s="62" t="s">
        <v>7</v>
      </c>
      <c r="C257" s="62">
        <v>362</v>
      </c>
      <c r="D257" s="77">
        <v>370.78</v>
      </c>
      <c r="E257" s="78">
        <f t="shared" si="5"/>
        <v>2.4254143646408766E-2</v>
      </c>
      <c r="F257" s="213">
        <f>IFERROR(AVERAGE(E257:E259),"")</f>
        <v>2.5294659300184135E-2</v>
      </c>
      <c r="G257" s="212">
        <v>1.4999999999999999E-2</v>
      </c>
    </row>
    <row r="258" spans="1:7" x14ac:dyDescent="0.35">
      <c r="A258" s="228"/>
      <c r="B258" s="62" t="s">
        <v>8</v>
      </c>
      <c r="C258" s="62">
        <v>362</v>
      </c>
      <c r="D258" s="77">
        <v>371.81</v>
      </c>
      <c r="E258" s="78">
        <f t="shared" ref="E258:E313" si="8">IF(D258="","",(D258-C258)/C258)</f>
        <v>2.7099447513812162E-2</v>
      </c>
      <c r="F258" s="214"/>
      <c r="G258" s="212"/>
    </row>
    <row r="259" spans="1:7" x14ac:dyDescent="0.35">
      <c r="A259" s="229"/>
      <c r="B259" s="62" t="s">
        <v>9</v>
      </c>
      <c r="C259" s="62">
        <v>362</v>
      </c>
      <c r="D259" s="77">
        <v>370.88</v>
      </c>
      <c r="E259" s="78">
        <f t="shared" si="8"/>
        <v>2.4530386740331478E-2</v>
      </c>
      <c r="F259" s="214"/>
      <c r="G259" s="212"/>
    </row>
    <row r="260" spans="1:7" x14ac:dyDescent="0.35">
      <c r="A260" s="227">
        <v>46109</v>
      </c>
      <c r="B260" s="62" t="s">
        <v>7</v>
      </c>
      <c r="C260" s="62">
        <v>362</v>
      </c>
      <c r="D260" s="77">
        <v>373</v>
      </c>
      <c r="E260" s="78">
        <f t="shared" si="8"/>
        <v>3.0386740331491711E-2</v>
      </c>
      <c r="F260" s="213">
        <f>IFERROR(AVERAGE(E260:E262),"")</f>
        <v>2.5909799224716378E-2</v>
      </c>
      <c r="G260" s="212">
        <v>1.4999999999999999E-2</v>
      </c>
    </row>
    <row r="261" spans="1:7" x14ac:dyDescent="0.35">
      <c r="A261" s="228"/>
      <c r="B261" s="62" t="s">
        <v>8</v>
      </c>
      <c r="C261" s="62">
        <v>572</v>
      </c>
      <c r="D261" s="77">
        <v>586.47</v>
      </c>
      <c r="E261" s="78">
        <f t="shared" si="8"/>
        <v>2.5297202797202843E-2</v>
      </c>
      <c r="F261" s="214"/>
      <c r="G261" s="212"/>
    </row>
    <row r="262" spans="1:7" x14ac:dyDescent="0.35">
      <c r="A262" s="229"/>
      <c r="B262" s="62" t="s">
        <v>9</v>
      </c>
      <c r="C262" s="62">
        <v>572</v>
      </c>
      <c r="D262" s="77">
        <v>584.61</v>
      </c>
      <c r="E262" s="78">
        <f t="shared" si="8"/>
        <v>2.2045454545454569E-2</v>
      </c>
      <c r="F262" s="214"/>
      <c r="G262" s="212"/>
    </row>
    <row r="263" spans="1:7" x14ac:dyDescent="0.35">
      <c r="A263" s="227">
        <v>46110</v>
      </c>
      <c r="B263" s="62" t="s">
        <v>7</v>
      </c>
      <c r="C263" s="62">
        <v>572</v>
      </c>
      <c r="D263" s="77">
        <v>582.04999999999995</v>
      </c>
      <c r="E263" s="78">
        <f t="shared" si="8"/>
        <v>1.756993006992999E-2</v>
      </c>
      <c r="F263" s="213">
        <f>IFERROR(AVERAGE(E263:E265),"")</f>
        <v>2.0530303030303041E-2</v>
      </c>
      <c r="G263" s="212">
        <v>1.4999999999999999E-2</v>
      </c>
    </row>
    <row r="264" spans="1:7" x14ac:dyDescent="0.35">
      <c r="A264" s="228"/>
      <c r="B264" s="62" t="s">
        <v>8</v>
      </c>
      <c r="C264" s="62">
        <v>572</v>
      </c>
      <c r="D264" s="77">
        <v>590.35</v>
      </c>
      <c r="E264" s="78">
        <f t="shared" si="8"/>
        <v>3.2080419580419621E-2</v>
      </c>
      <c r="F264" s="214"/>
      <c r="G264" s="212"/>
    </row>
    <row r="265" spans="1:7" x14ac:dyDescent="0.35">
      <c r="A265" s="229"/>
      <c r="B265" s="62" t="s">
        <v>9</v>
      </c>
      <c r="C265" s="62">
        <v>572</v>
      </c>
      <c r="D265" s="77">
        <v>578.83000000000004</v>
      </c>
      <c r="E265" s="78">
        <f t="shared" si="8"/>
        <v>1.1940559440559512E-2</v>
      </c>
      <c r="F265" s="214"/>
      <c r="G265" s="212"/>
    </row>
    <row r="266" spans="1:7" x14ac:dyDescent="0.35">
      <c r="A266" s="227">
        <v>46111</v>
      </c>
      <c r="B266" s="62" t="s">
        <v>7</v>
      </c>
      <c r="C266" s="62">
        <v>572</v>
      </c>
      <c r="D266" s="77"/>
      <c r="E266" s="78" t="str">
        <f t="shared" ref="E266:E268" si="9">IF(D266="","",(D266-C266)/C266)</f>
        <v/>
      </c>
      <c r="F266" s="213">
        <f>IFERROR(AVERAGE(E266:E268),"")</f>
        <v>3.1005244755244778E-2</v>
      </c>
      <c r="G266" s="212">
        <v>1.4999999999999999E-2</v>
      </c>
    </row>
    <row r="267" spans="1:7" x14ac:dyDescent="0.35">
      <c r="A267" s="228"/>
      <c r="B267" s="62" t="s">
        <v>8</v>
      </c>
      <c r="C267" s="62">
        <v>572</v>
      </c>
      <c r="D267" s="77">
        <v>585.33000000000004</v>
      </c>
      <c r="E267" s="78">
        <f t="shared" si="9"/>
        <v>2.3304195804195876E-2</v>
      </c>
      <c r="F267" s="214"/>
      <c r="G267" s="212"/>
    </row>
    <row r="268" spans="1:7" x14ac:dyDescent="0.35">
      <c r="A268" s="229"/>
      <c r="B268" s="62" t="s">
        <v>9</v>
      </c>
      <c r="C268" s="62">
        <v>572</v>
      </c>
      <c r="D268" s="77">
        <v>594.14</v>
      </c>
      <c r="E268" s="78">
        <f t="shared" si="9"/>
        <v>3.8706293706293679E-2</v>
      </c>
      <c r="F268" s="214"/>
      <c r="G268" s="212"/>
    </row>
    <row r="269" spans="1:7" x14ac:dyDescent="0.35">
      <c r="A269" s="227">
        <v>46112</v>
      </c>
      <c r="B269" s="62" t="s">
        <v>7</v>
      </c>
      <c r="C269" s="62">
        <v>362</v>
      </c>
      <c r="D269" s="77">
        <v>378.9</v>
      </c>
      <c r="E269" s="78">
        <f t="shared" si="8"/>
        <v>4.6685082872928114E-2</v>
      </c>
      <c r="F269" s="213">
        <f>IFERROR(AVERAGE(E269:E271),"")</f>
        <v>3.5064456721915271E-2</v>
      </c>
      <c r="G269" s="212">
        <v>1.4999999999999999E-2</v>
      </c>
    </row>
    <row r="270" spans="1:7" x14ac:dyDescent="0.35">
      <c r="A270" s="228"/>
      <c r="B270" s="62" t="s">
        <v>8</v>
      </c>
      <c r="C270" s="62">
        <v>362</v>
      </c>
      <c r="D270" s="77">
        <v>373.99</v>
      </c>
      <c r="E270" s="78">
        <f t="shared" si="8"/>
        <v>3.3121546961325993E-2</v>
      </c>
      <c r="F270" s="214"/>
      <c r="G270" s="212"/>
    </row>
    <row r="271" spans="1:7" x14ac:dyDescent="0.35">
      <c r="A271" s="229"/>
      <c r="B271" s="62" t="s">
        <v>9</v>
      </c>
      <c r="C271" s="62">
        <v>362</v>
      </c>
      <c r="D271" s="77">
        <v>371.19</v>
      </c>
      <c r="E271" s="78">
        <f t="shared" si="8"/>
        <v>2.5386740331491707E-2</v>
      </c>
      <c r="F271" s="214"/>
      <c r="G271" s="212"/>
    </row>
    <row r="272" spans="1:7" x14ac:dyDescent="0.35">
      <c r="A272" s="227">
        <v>46113</v>
      </c>
      <c r="B272" s="62" t="s">
        <v>7</v>
      </c>
      <c r="C272" s="62">
        <v>362</v>
      </c>
      <c r="D272" s="77">
        <v>372.64</v>
      </c>
      <c r="E272" s="78">
        <f t="shared" ref="E272:E274" si="10">IF(D272="","",(D272-C272)/C272)</f>
        <v>2.939226519337013E-2</v>
      </c>
      <c r="F272" s="213">
        <f>IFERROR(AVERAGE(E272:E274),"")</f>
        <v>3.6390423572743996E-2</v>
      </c>
      <c r="G272" s="212">
        <v>1.4999999999999999E-2</v>
      </c>
    </row>
    <row r="273" spans="1:7" x14ac:dyDescent="0.35">
      <c r="A273" s="228"/>
      <c r="B273" s="62" t="s">
        <v>8</v>
      </c>
      <c r="C273" s="62">
        <v>362</v>
      </c>
      <c r="D273" s="77">
        <v>381.52</v>
      </c>
      <c r="E273" s="78">
        <f t="shared" si="10"/>
        <v>5.3922651933701604E-2</v>
      </c>
      <c r="F273" s="214"/>
      <c r="G273" s="212"/>
    </row>
    <row r="274" spans="1:7" x14ac:dyDescent="0.35">
      <c r="A274" s="229"/>
      <c r="B274" s="62" t="s">
        <v>9</v>
      </c>
      <c r="C274" s="62">
        <v>362</v>
      </c>
      <c r="D274" s="77">
        <v>371.36</v>
      </c>
      <c r="E274" s="78">
        <f t="shared" si="10"/>
        <v>2.5856353591160258E-2</v>
      </c>
      <c r="F274" s="214"/>
      <c r="G274" s="212"/>
    </row>
    <row r="275" spans="1:7" x14ac:dyDescent="0.35">
      <c r="A275" s="227">
        <v>46114</v>
      </c>
      <c r="B275" s="62" t="s">
        <v>7</v>
      </c>
      <c r="C275" s="62">
        <v>362</v>
      </c>
      <c r="D275" s="77">
        <v>372.91</v>
      </c>
      <c r="E275" s="78">
        <f t="shared" ref="E275:E277" si="11">IF(D275="","",(D275-C275)/C275)</f>
        <v>3.0138121546961397E-2</v>
      </c>
      <c r="F275" s="213">
        <f>IFERROR(AVERAGE(E275:E277),"")</f>
        <v>2.7799263351749592E-2</v>
      </c>
      <c r="G275" s="212">
        <v>1.4999999999999999E-2</v>
      </c>
    </row>
    <row r="276" spans="1:7" x14ac:dyDescent="0.35">
      <c r="A276" s="228"/>
      <c r="B276" s="62" t="s">
        <v>8</v>
      </c>
      <c r="C276" s="62">
        <v>362</v>
      </c>
      <c r="D276" s="77">
        <v>374.97</v>
      </c>
      <c r="E276" s="78">
        <f t="shared" si="11"/>
        <v>3.5828729281768029E-2</v>
      </c>
      <c r="F276" s="214"/>
      <c r="G276" s="212"/>
    </row>
    <row r="277" spans="1:7" x14ac:dyDescent="0.35">
      <c r="A277" s="229"/>
      <c r="B277" s="62" t="s">
        <v>9</v>
      </c>
      <c r="C277" s="62">
        <v>362</v>
      </c>
      <c r="D277" s="77">
        <v>368.31</v>
      </c>
      <c r="E277" s="78">
        <f t="shared" si="11"/>
        <v>1.7430939226519344E-2</v>
      </c>
      <c r="F277" s="214"/>
      <c r="G277" s="212"/>
    </row>
    <row r="278" spans="1:7" x14ac:dyDescent="0.35">
      <c r="A278" s="227">
        <v>46115</v>
      </c>
      <c r="B278" s="62" t="s">
        <v>7</v>
      </c>
      <c r="C278" s="62">
        <v>362</v>
      </c>
      <c r="D278" s="77">
        <v>376.6</v>
      </c>
      <c r="E278" s="78">
        <f t="shared" ref="E278:E283" si="12">IF(D278="","",(D278-C278)/C278)</f>
        <v>4.0331491712707244E-2</v>
      </c>
      <c r="F278" s="213">
        <f>IFERROR(AVERAGE(E278:E280),"")</f>
        <v>2.7624309392265192E-2</v>
      </c>
      <c r="G278" s="212">
        <v>1.4999999999999999E-2</v>
      </c>
    </row>
    <row r="279" spans="1:7" x14ac:dyDescent="0.35">
      <c r="A279" s="228"/>
      <c r="B279" s="62" t="s">
        <v>8</v>
      </c>
      <c r="C279" s="62">
        <v>362</v>
      </c>
      <c r="D279" s="77">
        <v>371.4</v>
      </c>
      <c r="E279" s="78">
        <f t="shared" si="12"/>
        <v>2.596685082872922E-2</v>
      </c>
      <c r="F279" s="214"/>
      <c r="G279" s="212"/>
    </row>
    <row r="280" spans="1:7" x14ac:dyDescent="0.35">
      <c r="A280" s="229"/>
      <c r="B280" s="62" t="s">
        <v>9</v>
      </c>
      <c r="C280" s="62">
        <v>362</v>
      </c>
      <c r="D280" s="77">
        <v>368</v>
      </c>
      <c r="E280" s="78">
        <f t="shared" si="12"/>
        <v>1.6574585635359115E-2</v>
      </c>
      <c r="F280" s="214"/>
      <c r="G280" s="212"/>
    </row>
    <row r="281" spans="1:7" x14ac:dyDescent="0.35">
      <c r="A281" s="227">
        <v>46116</v>
      </c>
      <c r="B281" s="62" t="s">
        <v>7</v>
      </c>
      <c r="C281" s="62">
        <v>362</v>
      </c>
      <c r="D281" s="77">
        <v>370.79</v>
      </c>
      <c r="E281" s="78">
        <f t="shared" si="12"/>
        <v>2.4281767955801163E-2</v>
      </c>
      <c r="F281" s="213">
        <f>IFERROR(AVERAGE(E281:E283),"")</f>
        <v>2.8121546961325988E-2</v>
      </c>
      <c r="G281" s="212">
        <v>1.4999999999999999E-2</v>
      </c>
    </row>
    <row r="282" spans="1:7" x14ac:dyDescent="0.35">
      <c r="A282" s="228"/>
      <c r="B282" s="62" t="s">
        <v>8</v>
      </c>
      <c r="C282" s="62">
        <v>362</v>
      </c>
      <c r="D282" s="77">
        <v>373.27</v>
      </c>
      <c r="E282" s="78">
        <f t="shared" si="12"/>
        <v>3.1132596685082822E-2</v>
      </c>
      <c r="F282" s="214"/>
      <c r="G282" s="212"/>
    </row>
    <row r="283" spans="1:7" x14ac:dyDescent="0.35">
      <c r="A283" s="229"/>
      <c r="B283" s="62" t="s">
        <v>9</v>
      </c>
      <c r="C283" s="62">
        <v>362</v>
      </c>
      <c r="D283" s="77">
        <v>372.48</v>
      </c>
      <c r="E283" s="78">
        <f t="shared" si="12"/>
        <v>2.8950276243093973E-2</v>
      </c>
      <c r="F283" s="214"/>
      <c r="G283" s="212"/>
    </row>
    <row r="284" spans="1:7" x14ac:dyDescent="0.35">
      <c r="A284" s="227">
        <v>46117</v>
      </c>
      <c r="B284" s="62" t="s">
        <v>7</v>
      </c>
      <c r="C284" s="62">
        <v>362</v>
      </c>
      <c r="D284" s="77">
        <v>374.6</v>
      </c>
      <c r="E284" s="78">
        <f t="shared" si="8"/>
        <v>3.4806629834254206E-2</v>
      </c>
      <c r="F284" s="213">
        <f>IFERROR(AVERAGE(E284:E286),"")</f>
        <v>3.5046040515653777E-2</v>
      </c>
      <c r="G284" s="212">
        <v>1.4999999999999999E-2</v>
      </c>
    </row>
    <row r="285" spans="1:7" x14ac:dyDescent="0.35">
      <c r="A285" s="228"/>
      <c r="B285" s="62" t="s">
        <v>8</v>
      </c>
      <c r="C285" s="62">
        <v>362</v>
      </c>
      <c r="D285" s="77">
        <v>375.07</v>
      </c>
      <c r="E285" s="78">
        <f t="shared" si="8"/>
        <v>3.6104972375690589E-2</v>
      </c>
      <c r="F285" s="214"/>
      <c r="G285" s="212"/>
    </row>
    <row r="286" spans="1:7" x14ac:dyDescent="0.35">
      <c r="A286" s="229"/>
      <c r="B286" s="62" t="s">
        <v>9</v>
      </c>
      <c r="C286" s="62">
        <v>362</v>
      </c>
      <c r="D286" s="77">
        <v>374.39</v>
      </c>
      <c r="E286" s="78">
        <f t="shared" si="8"/>
        <v>3.4226519337016537E-2</v>
      </c>
      <c r="F286" s="214"/>
      <c r="G286" s="212"/>
    </row>
    <row r="287" spans="1:7" x14ac:dyDescent="0.35">
      <c r="A287" s="227">
        <v>46118</v>
      </c>
      <c r="B287" s="62" t="s">
        <v>7</v>
      </c>
      <c r="C287" s="62">
        <v>362</v>
      </c>
      <c r="D287" s="77">
        <v>368.66</v>
      </c>
      <c r="E287" s="78">
        <f t="shared" ref="E287:E289" si="13">IF(D287="","",(D287-C287)/C287)</f>
        <v>1.8397790055248688E-2</v>
      </c>
      <c r="F287" s="213">
        <f>IFERROR(AVERAGE(E287:E289),"")</f>
        <v>2.7066027894757261E-2</v>
      </c>
      <c r="G287" s="212">
        <v>1.4999999999999999E-2</v>
      </c>
    </row>
    <row r="288" spans="1:7" x14ac:dyDescent="0.35">
      <c r="A288" s="228"/>
      <c r="B288" s="62" t="s">
        <v>8</v>
      </c>
      <c r="C288" s="62"/>
      <c r="D288" s="77"/>
      <c r="E288" s="78" t="str">
        <f t="shared" si="13"/>
        <v/>
      </c>
      <c r="F288" s="214"/>
      <c r="G288" s="212"/>
    </row>
    <row r="289" spans="1:7" x14ac:dyDescent="0.35">
      <c r="A289" s="229"/>
      <c r="B289" s="62" t="s">
        <v>9</v>
      </c>
      <c r="C289" s="62">
        <v>572</v>
      </c>
      <c r="D289" s="77">
        <v>592.44000000000005</v>
      </c>
      <c r="E289" s="78">
        <f t="shared" si="13"/>
        <v>3.573426573426583E-2</v>
      </c>
      <c r="F289" s="214"/>
      <c r="G289" s="212"/>
    </row>
    <row r="290" spans="1:7" x14ac:dyDescent="0.35">
      <c r="A290" s="227">
        <v>46119</v>
      </c>
      <c r="B290" s="62" t="s">
        <v>7</v>
      </c>
      <c r="C290" s="62">
        <v>572</v>
      </c>
      <c r="D290" s="77">
        <v>592.44000000000005</v>
      </c>
      <c r="E290" s="78">
        <f t="shared" ref="E290:E298" si="14">IF(D290="","",(D290-C290)/C290)</f>
        <v>3.573426573426583E-2</v>
      </c>
      <c r="F290" s="213">
        <f>IFERROR(AVERAGE(E290:E292),"")</f>
        <v>3.573426573426583E-2</v>
      </c>
      <c r="G290" s="212">
        <v>1.4999999999999999E-2</v>
      </c>
    </row>
    <row r="291" spans="1:7" x14ac:dyDescent="0.35">
      <c r="A291" s="228"/>
      <c r="B291" s="62" t="s">
        <v>8</v>
      </c>
      <c r="C291" s="62">
        <v>572</v>
      </c>
      <c r="D291" s="77">
        <v>592.44000000000005</v>
      </c>
      <c r="E291" s="78">
        <f t="shared" si="14"/>
        <v>3.573426573426583E-2</v>
      </c>
      <c r="F291" s="214"/>
      <c r="G291" s="212"/>
    </row>
    <row r="292" spans="1:7" x14ac:dyDescent="0.35">
      <c r="A292" s="229"/>
      <c r="B292" s="62" t="s">
        <v>9</v>
      </c>
      <c r="C292" s="62">
        <v>572</v>
      </c>
      <c r="D292" s="77">
        <v>592.44000000000005</v>
      </c>
      <c r="E292" s="78">
        <f t="shared" si="14"/>
        <v>3.573426573426583E-2</v>
      </c>
      <c r="F292" s="214"/>
      <c r="G292" s="212"/>
    </row>
    <row r="293" spans="1:7" x14ac:dyDescent="0.35">
      <c r="A293" s="227">
        <v>46120</v>
      </c>
      <c r="B293" s="62" t="s">
        <v>7</v>
      </c>
      <c r="C293" s="62">
        <v>572</v>
      </c>
      <c r="D293" s="77">
        <v>588.19000000000005</v>
      </c>
      <c r="E293" s="78">
        <f t="shared" si="14"/>
        <v>2.8304195804195898E-2</v>
      </c>
      <c r="F293" s="213">
        <f>IFERROR(AVERAGE(E293:E295),"")</f>
        <v>3.0821678321678314E-2</v>
      </c>
      <c r="G293" s="212">
        <v>1.4999999999999999E-2</v>
      </c>
    </row>
    <row r="294" spans="1:7" x14ac:dyDescent="0.35">
      <c r="A294" s="228"/>
      <c r="B294" s="62" t="s">
        <v>8</v>
      </c>
      <c r="C294" s="62">
        <v>572</v>
      </c>
      <c r="D294" s="77">
        <v>591.66999999999996</v>
      </c>
      <c r="E294" s="78">
        <f t="shared" si="14"/>
        <v>3.4388111888111819E-2</v>
      </c>
      <c r="F294" s="214"/>
      <c r="G294" s="212"/>
    </row>
    <row r="295" spans="1:7" x14ac:dyDescent="0.35">
      <c r="A295" s="229"/>
      <c r="B295" s="62" t="s">
        <v>9</v>
      </c>
      <c r="C295" s="62">
        <v>572</v>
      </c>
      <c r="D295" s="77">
        <v>589.03</v>
      </c>
      <c r="E295" s="78">
        <f t="shared" si="14"/>
        <v>2.9772727272727225E-2</v>
      </c>
      <c r="F295" s="214"/>
      <c r="G295" s="212"/>
    </row>
    <row r="296" spans="1:7" x14ac:dyDescent="0.35">
      <c r="A296" s="227">
        <v>46121</v>
      </c>
      <c r="B296" s="62" t="s">
        <v>7</v>
      </c>
      <c r="C296" s="62">
        <v>572</v>
      </c>
      <c r="D296" s="77">
        <v>580.30999999999995</v>
      </c>
      <c r="E296" s="78">
        <f t="shared" si="14"/>
        <v>1.4527972027971932E-2</v>
      </c>
      <c r="F296" s="213">
        <f>IFERROR(AVERAGE(E296:E298),"")</f>
        <v>2.1660839160839135E-2</v>
      </c>
      <c r="G296" s="212">
        <v>1.4999999999999999E-2</v>
      </c>
    </row>
    <row r="297" spans="1:7" x14ac:dyDescent="0.35">
      <c r="A297" s="228"/>
      <c r="B297" s="62" t="s">
        <v>8</v>
      </c>
      <c r="C297" s="62">
        <v>572</v>
      </c>
      <c r="D297" s="77">
        <v>583.5</v>
      </c>
      <c r="E297" s="78">
        <f t="shared" si="14"/>
        <v>2.0104895104895104E-2</v>
      </c>
      <c r="F297" s="214"/>
      <c r="G297" s="212"/>
    </row>
    <row r="298" spans="1:7" x14ac:dyDescent="0.35">
      <c r="A298" s="229"/>
      <c r="B298" s="62" t="s">
        <v>9</v>
      </c>
      <c r="C298" s="62">
        <v>572</v>
      </c>
      <c r="D298" s="77">
        <v>589.36</v>
      </c>
      <c r="E298" s="78">
        <f t="shared" si="14"/>
        <v>3.0349650349650373E-2</v>
      </c>
      <c r="F298" s="214"/>
      <c r="G298" s="212"/>
    </row>
    <row r="299" spans="1:7" x14ac:dyDescent="0.35">
      <c r="A299" s="227">
        <v>46122</v>
      </c>
      <c r="B299" s="62" t="s">
        <v>7</v>
      </c>
      <c r="C299" s="62">
        <v>572</v>
      </c>
      <c r="D299" s="77">
        <v>584.08000000000004</v>
      </c>
      <c r="E299" s="78">
        <f t="shared" ref="E299:E301" si="15">IF(D299="","",(D299-C299)/C299)</f>
        <v>2.1118881118881192E-2</v>
      </c>
      <c r="F299" s="213">
        <f>IFERROR(AVERAGE(E299:E301),"")</f>
        <v>2.2365967365967365E-2</v>
      </c>
      <c r="G299" s="212">
        <v>1.4999999999999999E-2</v>
      </c>
    </row>
    <row r="300" spans="1:7" x14ac:dyDescent="0.35">
      <c r="A300" s="228"/>
      <c r="B300" s="62" t="s">
        <v>8</v>
      </c>
      <c r="C300" s="62">
        <v>572</v>
      </c>
      <c r="D300" s="77">
        <v>584.38</v>
      </c>
      <c r="E300" s="78">
        <f t="shared" si="15"/>
        <v>2.1643356643356634E-2</v>
      </c>
      <c r="F300" s="214"/>
      <c r="G300" s="212"/>
    </row>
    <row r="301" spans="1:7" x14ac:dyDescent="0.35">
      <c r="A301" s="229"/>
      <c r="B301" s="62" t="s">
        <v>9</v>
      </c>
      <c r="C301" s="62">
        <v>572</v>
      </c>
      <c r="D301" s="77">
        <v>585.91999999999996</v>
      </c>
      <c r="E301" s="78">
        <f t="shared" si="15"/>
        <v>2.4335664335664264E-2</v>
      </c>
      <c r="F301" s="214"/>
      <c r="G301" s="212"/>
    </row>
    <row r="302" spans="1:7" x14ac:dyDescent="0.35">
      <c r="A302" s="227">
        <v>46123</v>
      </c>
      <c r="B302" s="62" t="s">
        <v>7</v>
      </c>
      <c r="C302" s="62">
        <v>572</v>
      </c>
      <c r="D302" s="77">
        <v>581.98</v>
      </c>
      <c r="E302" s="78">
        <f t="shared" ref="E302:E304" si="16">IF(D302="","",(D302-C302)/C302)</f>
        <v>1.7447552447552479E-2</v>
      </c>
      <c r="F302" s="213">
        <f>IFERROR(AVERAGE(E302:E304),"")</f>
        <v>2.0947533129853618E-2</v>
      </c>
      <c r="G302" s="212">
        <v>1.4999999999999999E-2</v>
      </c>
    </row>
    <row r="303" spans="1:7" x14ac:dyDescent="0.35">
      <c r="A303" s="228"/>
      <c r="B303" s="62" t="s">
        <v>8</v>
      </c>
      <c r="C303" s="62"/>
      <c r="D303" s="77"/>
      <c r="E303" s="78"/>
      <c r="F303" s="214"/>
      <c r="G303" s="212"/>
    </row>
    <row r="304" spans="1:7" x14ac:dyDescent="0.35">
      <c r="A304" s="229"/>
      <c r="B304" s="62" t="s">
        <v>9</v>
      </c>
      <c r="C304" s="62">
        <v>362</v>
      </c>
      <c r="D304" s="77">
        <v>370.85</v>
      </c>
      <c r="E304" s="78">
        <f t="shared" si="16"/>
        <v>2.4447513812154757E-2</v>
      </c>
      <c r="F304" s="214"/>
      <c r="G304" s="212"/>
    </row>
    <row r="305" spans="1:7" x14ac:dyDescent="0.35">
      <c r="A305" s="227">
        <v>46124</v>
      </c>
      <c r="B305" s="62" t="s">
        <v>7</v>
      </c>
      <c r="C305" s="62">
        <v>362</v>
      </c>
      <c r="D305" s="77">
        <v>374.34</v>
      </c>
      <c r="E305" s="78">
        <f t="shared" ref="E305:E307" si="17">IF(D305="","",(D305-C305)/C305)</f>
        <v>3.408839779005518E-2</v>
      </c>
      <c r="F305" s="213">
        <f>IFERROR(AVERAGE(E305:E307),"")</f>
        <v>2.764272559852669E-2</v>
      </c>
      <c r="G305" s="212">
        <v>1.4999999999999999E-2</v>
      </c>
    </row>
    <row r="306" spans="1:7" x14ac:dyDescent="0.35">
      <c r="A306" s="228"/>
      <c r="B306" s="62" t="s">
        <v>8</v>
      </c>
      <c r="C306" s="62">
        <v>362</v>
      </c>
      <c r="D306" s="77">
        <v>369.48</v>
      </c>
      <c r="E306" s="78">
        <f t="shared" si="17"/>
        <v>2.0662983425414415E-2</v>
      </c>
      <c r="F306" s="214"/>
      <c r="G306" s="212"/>
    </row>
    <row r="307" spans="1:7" x14ac:dyDescent="0.35">
      <c r="A307" s="229"/>
      <c r="B307" s="62" t="s">
        <v>9</v>
      </c>
      <c r="C307" s="62">
        <v>362</v>
      </c>
      <c r="D307" s="77">
        <v>372.2</v>
      </c>
      <c r="E307" s="78">
        <f t="shared" si="17"/>
        <v>2.8176795580110464E-2</v>
      </c>
      <c r="F307" s="214"/>
      <c r="G307" s="212"/>
    </row>
    <row r="308" spans="1:7" x14ac:dyDescent="0.35">
      <c r="A308" s="227">
        <v>46125</v>
      </c>
      <c r="B308" s="62" t="s">
        <v>7</v>
      </c>
      <c r="C308" s="62"/>
      <c r="D308" s="77"/>
      <c r="E308" s="78" t="str">
        <f t="shared" si="8"/>
        <v/>
      </c>
      <c r="F308" s="213">
        <f>IFERROR(AVERAGE(E308:E310),"")</f>
        <v>2.0966850828729289E-2</v>
      </c>
      <c r="G308" s="212">
        <v>1.4999999999999999E-2</v>
      </c>
    </row>
    <row r="309" spans="1:7" x14ac:dyDescent="0.35">
      <c r="A309" s="228"/>
      <c r="B309" s="62" t="s">
        <v>8</v>
      </c>
      <c r="C309" s="62">
        <v>362</v>
      </c>
      <c r="D309" s="77">
        <v>368.47</v>
      </c>
      <c r="E309" s="78">
        <f t="shared" si="8"/>
        <v>1.7872928176795654E-2</v>
      </c>
      <c r="F309" s="214"/>
      <c r="G309" s="212"/>
    </row>
    <row r="310" spans="1:7" x14ac:dyDescent="0.35">
      <c r="A310" s="229"/>
      <c r="B310" s="62" t="s">
        <v>9</v>
      </c>
      <c r="C310" s="62">
        <v>362</v>
      </c>
      <c r="D310" s="77">
        <v>370.71</v>
      </c>
      <c r="E310" s="78">
        <f t="shared" si="8"/>
        <v>2.4060773480662927E-2</v>
      </c>
      <c r="F310" s="214"/>
      <c r="G310" s="212"/>
    </row>
    <row r="311" spans="1:7" x14ac:dyDescent="0.35">
      <c r="A311" s="227">
        <v>46126</v>
      </c>
      <c r="B311" s="62" t="s">
        <v>7</v>
      </c>
      <c r="C311" s="62">
        <v>362</v>
      </c>
      <c r="D311" s="77">
        <v>375.38</v>
      </c>
      <c r="E311" s="78">
        <f t="shared" si="8"/>
        <v>3.6961325966850818E-2</v>
      </c>
      <c r="F311" s="213">
        <f>IFERROR(AVERAGE(E311:E313),"")</f>
        <v>2.9539594843462233E-2</v>
      </c>
      <c r="G311" s="212">
        <v>1.4999999999999999E-2</v>
      </c>
    </row>
    <row r="312" spans="1:7" x14ac:dyDescent="0.35">
      <c r="A312" s="228"/>
      <c r="B312" s="62" t="s">
        <v>8</v>
      </c>
      <c r="C312" s="62">
        <v>362</v>
      </c>
      <c r="D312" s="77">
        <v>371.43</v>
      </c>
      <c r="E312" s="78">
        <f t="shared" si="8"/>
        <v>2.6049723756906097E-2</v>
      </c>
      <c r="F312" s="214"/>
      <c r="G312" s="212"/>
    </row>
    <row r="313" spans="1:7" x14ac:dyDescent="0.35">
      <c r="A313" s="229"/>
      <c r="B313" s="62" t="s">
        <v>9</v>
      </c>
      <c r="C313" s="62">
        <v>362</v>
      </c>
      <c r="D313" s="77">
        <v>371.27</v>
      </c>
      <c r="E313" s="78">
        <f t="shared" si="8"/>
        <v>2.5607734806629784E-2</v>
      </c>
      <c r="F313" s="214"/>
      <c r="G313" s="212"/>
    </row>
    <row r="314" spans="1:7" x14ac:dyDescent="0.35">
      <c r="A314" s="227">
        <v>46127</v>
      </c>
      <c r="B314" s="62" t="s">
        <v>7</v>
      </c>
      <c r="C314" s="62">
        <v>362</v>
      </c>
      <c r="D314" s="77">
        <v>371.37</v>
      </c>
      <c r="E314" s="78">
        <f t="shared" ref="E314:E316" si="18">IF(D314="","",(D314-C314)/C314)</f>
        <v>2.58839779005525E-2</v>
      </c>
      <c r="F314" s="213">
        <f>IFERROR(AVERAGE(E314:E316),"")</f>
        <v>2.8139963167587479E-2</v>
      </c>
      <c r="G314" s="212">
        <v>1.4999999999999999E-2</v>
      </c>
    </row>
    <row r="315" spans="1:7" x14ac:dyDescent="0.35">
      <c r="A315" s="228"/>
      <c r="B315" s="62" t="s">
        <v>8</v>
      </c>
      <c r="C315" s="62">
        <v>362</v>
      </c>
      <c r="D315" s="77">
        <v>373.39</v>
      </c>
      <c r="E315" s="78">
        <f t="shared" si="18"/>
        <v>3.1464088397790017E-2</v>
      </c>
      <c r="F315" s="214"/>
      <c r="G315" s="212"/>
    </row>
    <row r="316" spans="1:7" x14ac:dyDescent="0.35">
      <c r="A316" s="229"/>
      <c r="B316" s="62" t="s">
        <v>9</v>
      </c>
      <c r="C316" s="62">
        <v>362</v>
      </c>
      <c r="D316" s="77">
        <v>371.8</v>
      </c>
      <c r="E316" s="78">
        <f t="shared" si="18"/>
        <v>2.707182320441992E-2</v>
      </c>
      <c r="F316" s="214"/>
      <c r="G316" s="212"/>
    </row>
    <row r="317" spans="1:7" x14ac:dyDescent="0.35">
      <c r="A317" s="227">
        <v>46128</v>
      </c>
      <c r="B317" s="62" t="s">
        <v>7</v>
      </c>
      <c r="C317" s="62">
        <v>362</v>
      </c>
      <c r="D317" s="77">
        <v>370.79</v>
      </c>
      <c r="E317" s="78">
        <f t="shared" ref="E317:E319" si="19">IF(D317="","",(D317-C317)/C317)</f>
        <v>2.4281767955801163E-2</v>
      </c>
      <c r="F317" s="213">
        <f>IFERROR(AVERAGE(E317:E319),"")</f>
        <v>2.6519337016574596E-2</v>
      </c>
      <c r="G317" s="212">
        <v>1.4999999999999999E-2</v>
      </c>
    </row>
    <row r="318" spans="1:7" x14ac:dyDescent="0.35">
      <c r="A318" s="228"/>
      <c r="B318" s="62" t="s">
        <v>8</v>
      </c>
      <c r="C318" s="62">
        <v>362</v>
      </c>
      <c r="D318" s="77">
        <v>373.27</v>
      </c>
      <c r="E318" s="78">
        <f t="shared" si="19"/>
        <v>3.1132596685082822E-2</v>
      </c>
      <c r="F318" s="214"/>
      <c r="G318" s="212"/>
    </row>
    <row r="319" spans="1:7" x14ac:dyDescent="0.35">
      <c r="A319" s="229"/>
      <c r="B319" s="62" t="s">
        <v>9</v>
      </c>
      <c r="C319" s="62">
        <v>362</v>
      </c>
      <c r="D319" s="77">
        <v>370.74</v>
      </c>
      <c r="E319" s="78">
        <f t="shared" si="19"/>
        <v>2.4143646408839804E-2</v>
      </c>
      <c r="F319" s="214"/>
      <c r="G319" s="212"/>
    </row>
    <row r="320" spans="1:7" x14ac:dyDescent="0.35">
      <c r="A320" s="227">
        <v>46129</v>
      </c>
      <c r="B320" s="62" t="s">
        <v>7</v>
      </c>
      <c r="C320" s="62">
        <v>572</v>
      </c>
      <c r="D320" s="77">
        <v>590.16999999999996</v>
      </c>
      <c r="E320" s="78">
        <f t="shared" ref="E320:E322" si="20">IF(D320="","",(D320-C320)/C320)</f>
        <v>3.1765734265734195E-2</v>
      </c>
      <c r="F320" s="213">
        <f>IFERROR(AVERAGE(E320:E322),"")</f>
        <v>2.4388111888111835E-2</v>
      </c>
      <c r="G320" s="212">
        <v>1.4999999999999999E-2</v>
      </c>
    </row>
    <row r="321" spans="1:7" x14ac:dyDescent="0.35">
      <c r="A321" s="228"/>
      <c r="B321" s="62" t="s">
        <v>8</v>
      </c>
      <c r="C321" s="62">
        <v>572</v>
      </c>
      <c r="D321" s="77">
        <v>587.89</v>
      </c>
      <c r="E321" s="78">
        <f t="shared" si="20"/>
        <v>2.7779720279720255E-2</v>
      </c>
      <c r="F321" s="214"/>
      <c r="G321" s="212"/>
    </row>
    <row r="322" spans="1:7" x14ac:dyDescent="0.35">
      <c r="A322" s="229"/>
      <c r="B322" s="62" t="s">
        <v>9</v>
      </c>
      <c r="C322" s="62">
        <v>572</v>
      </c>
      <c r="D322" s="77">
        <v>579.79</v>
      </c>
      <c r="E322" s="78">
        <f t="shared" si="20"/>
        <v>1.3618881118881055E-2</v>
      </c>
      <c r="F322" s="214"/>
      <c r="G322" s="212"/>
    </row>
    <row r="323" spans="1:7" x14ac:dyDescent="0.35">
      <c r="A323" s="227">
        <v>46130</v>
      </c>
      <c r="B323" s="62" t="s">
        <v>7</v>
      </c>
      <c r="C323" s="62">
        <v>572</v>
      </c>
      <c r="D323" s="77">
        <v>579.79</v>
      </c>
      <c r="E323" s="78">
        <f t="shared" ref="E323:E382" si="21">IF(D323="","",(D323-C323)/C323)</f>
        <v>1.3618881118881055E-2</v>
      </c>
      <c r="F323" s="213">
        <f>IFERROR(AVERAGE(E323:E325),"")</f>
        <v>1.6118881118881101E-2</v>
      </c>
      <c r="G323" s="212">
        <v>1.4999999999999999E-2</v>
      </c>
    </row>
    <row r="324" spans="1:7" x14ac:dyDescent="0.35">
      <c r="A324" s="228"/>
      <c r="B324" s="62" t="s">
        <v>8</v>
      </c>
      <c r="C324" s="62">
        <v>572</v>
      </c>
      <c r="D324" s="77">
        <v>583.27</v>
      </c>
      <c r="E324" s="78">
        <f t="shared" si="21"/>
        <v>1.9702797202797172E-2</v>
      </c>
      <c r="F324" s="214"/>
      <c r="G324" s="212"/>
    </row>
    <row r="325" spans="1:7" x14ac:dyDescent="0.35">
      <c r="A325" s="229"/>
      <c r="B325" s="62" t="s">
        <v>9</v>
      </c>
      <c r="C325" s="62">
        <v>572</v>
      </c>
      <c r="D325" s="77">
        <v>580.6</v>
      </c>
      <c r="E325" s="78">
        <f t="shared" si="21"/>
        <v>1.5034965034965075E-2</v>
      </c>
      <c r="F325" s="214"/>
      <c r="G325" s="212"/>
    </row>
    <row r="326" spans="1:7" x14ac:dyDescent="0.35">
      <c r="A326" s="227">
        <v>46131</v>
      </c>
      <c r="B326" s="62" t="s">
        <v>7</v>
      </c>
      <c r="C326" s="62">
        <v>572</v>
      </c>
      <c r="D326" s="77">
        <v>581.07000000000005</v>
      </c>
      <c r="E326" s="78">
        <f t="shared" si="21"/>
        <v>1.5856643356643444E-2</v>
      </c>
      <c r="F326" s="213">
        <f>IFERROR(AVERAGE(E326:E328),"")</f>
        <v>1.6864801864801899E-2</v>
      </c>
      <c r="G326" s="212">
        <v>1.4999999999999999E-2</v>
      </c>
    </row>
    <row r="327" spans="1:7" x14ac:dyDescent="0.35">
      <c r="A327" s="228"/>
      <c r="B327" s="62" t="s">
        <v>8</v>
      </c>
      <c r="C327" s="62">
        <v>572</v>
      </c>
      <c r="D327" s="77">
        <v>583.27</v>
      </c>
      <c r="E327" s="78">
        <f t="shared" si="21"/>
        <v>1.9702797202797172E-2</v>
      </c>
      <c r="F327" s="214"/>
      <c r="G327" s="212"/>
    </row>
    <row r="328" spans="1:7" x14ac:dyDescent="0.35">
      <c r="A328" s="229"/>
      <c r="B328" s="62" t="s">
        <v>9</v>
      </c>
      <c r="C328" s="62">
        <v>572</v>
      </c>
      <c r="D328" s="77">
        <v>580.6</v>
      </c>
      <c r="E328" s="78">
        <f t="shared" si="21"/>
        <v>1.5034965034965075E-2</v>
      </c>
      <c r="F328" s="214"/>
      <c r="G328" s="212"/>
    </row>
    <row r="329" spans="1:7" x14ac:dyDescent="0.35">
      <c r="A329" s="227">
        <v>46132</v>
      </c>
      <c r="B329" s="62" t="s">
        <v>7</v>
      </c>
      <c r="C329" s="62">
        <v>572</v>
      </c>
      <c r="D329" s="77">
        <v>581.07000000000005</v>
      </c>
      <c r="E329" s="78">
        <f t="shared" si="21"/>
        <v>1.5856643356643444E-2</v>
      </c>
      <c r="F329" s="213">
        <f>IFERROR(AVERAGE(E329:E331),"")</f>
        <v>1.6497668997668965E-2</v>
      </c>
      <c r="G329" s="212">
        <v>1.4999999999999999E-2</v>
      </c>
    </row>
    <row r="330" spans="1:7" x14ac:dyDescent="0.35">
      <c r="A330" s="228"/>
      <c r="B330" s="62" t="s">
        <v>8</v>
      </c>
      <c r="C330" s="62">
        <v>572</v>
      </c>
      <c r="D330" s="77">
        <v>581.05999999999995</v>
      </c>
      <c r="E330" s="78">
        <f t="shared" si="21"/>
        <v>1.5839160839160742E-2</v>
      </c>
      <c r="F330" s="214"/>
      <c r="G330" s="212"/>
    </row>
    <row r="331" spans="1:7" x14ac:dyDescent="0.35">
      <c r="A331" s="229"/>
      <c r="B331" s="62" t="s">
        <v>9</v>
      </c>
      <c r="C331" s="62">
        <v>572</v>
      </c>
      <c r="D331" s="77">
        <v>582.17999999999995</v>
      </c>
      <c r="E331" s="78">
        <f t="shared" si="21"/>
        <v>1.7797202797202708E-2</v>
      </c>
      <c r="F331" s="214"/>
      <c r="G331" s="212"/>
    </row>
    <row r="332" spans="1:7" x14ac:dyDescent="0.35">
      <c r="A332" s="227">
        <v>46133</v>
      </c>
      <c r="B332" s="62" t="s">
        <v>7</v>
      </c>
      <c r="C332" s="62">
        <v>572</v>
      </c>
      <c r="D332" s="77">
        <v>581.91999999999996</v>
      </c>
      <c r="E332" s="78">
        <f t="shared" si="21"/>
        <v>1.7342657342657272E-2</v>
      </c>
      <c r="F332" s="213">
        <f>IFERROR(AVERAGE(E332:E334),"")</f>
        <v>2.3698952980720896E-2</v>
      </c>
      <c r="G332" s="212">
        <v>1.4999999999999999E-2</v>
      </c>
    </row>
    <row r="333" spans="1:7" x14ac:dyDescent="0.35">
      <c r="A333" s="228"/>
      <c r="B333" s="62" t="s">
        <v>8</v>
      </c>
      <c r="C333" s="62">
        <v>362</v>
      </c>
      <c r="D333" s="77">
        <v>372.88</v>
      </c>
      <c r="E333" s="78">
        <f t="shared" si="21"/>
        <v>3.0055248618784516E-2</v>
      </c>
      <c r="F333" s="214"/>
      <c r="G333" s="212"/>
    </row>
    <row r="334" spans="1:7" x14ac:dyDescent="0.35">
      <c r="A334" s="229"/>
      <c r="B334" s="62" t="s">
        <v>9</v>
      </c>
      <c r="C334" s="62"/>
      <c r="D334" s="77"/>
      <c r="E334" s="78" t="str">
        <f t="shared" si="21"/>
        <v/>
      </c>
      <c r="F334" s="214"/>
      <c r="G334" s="212"/>
    </row>
    <row r="335" spans="1:7" x14ac:dyDescent="0.35">
      <c r="A335" s="227">
        <v>46134</v>
      </c>
      <c r="B335" s="62" t="s">
        <v>7</v>
      </c>
      <c r="C335" s="62">
        <v>362</v>
      </c>
      <c r="D335" s="77">
        <v>369.86</v>
      </c>
      <c r="E335" s="78">
        <f t="shared" si="21"/>
        <v>2.1712707182320479E-2</v>
      </c>
      <c r="F335" s="213">
        <f>IFERROR(AVERAGE(E335:E337),"")</f>
        <v>2.2338858195211777E-2</v>
      </c>
      <c r="G335" s="212">
        <v>1.4999999999999999E-2</v>
      </c>
    </row>
    <row r="336" spans="1:7" x14ac:dyDescent="0.35">
      <c r="A336" s="228"/>
      <c r="B336" s="62" t="s">
        <v>8</v>
      </c>
      <c r="C336" s="62">
        <v>362</v>
      </c>
      <c r="D336" s="77">
        <v>372.88</v>
      </c>
      <c r="E336" s="78">
        <f t="shared" si="21"/>
        <v>3.0055248618784516E-2</v>
      </c>
      <c r="F336" s="214"/>
      <c r="G336" s="212"/>
    </row>
    <row r="337" spans="1:7" x14ac:dyDescent="0.35">
      <c r="A337" s="229"/>
      <c r="B337" s="62" t="s">
        <v>9</v>
      </c>
      <c r="C337" s="62">
        <v>362</v>
      </c>
      <c r="D337" s="77">
        <v>367.52</v>
      </c>
      <c r="E337" s="78">
        <f t="shared" si="21"/>
        <v>1.5248618784530337E-2</v>
      </c>
      <c r="F337" s="214"/>
      <c r="G337" s="212"/>
    </row>
    <row r="338" spans="1:7" x14ac:dyDescent="0.35">
      <c r="A338" s="227">
        <v>46135</v>
      </c>
      <c r="B338" s="62" t="s">
        <v>7</v>
      </c>
      <c r="C338" s="62">
        <v>362</v>
      </c>
      <c r="D338" s="77">
        <v>373.4</v>
      </c>
      <c r="E338" s="78">
        <f t="shared" si="21"/>
        <v>3.1491712707182255E-2</v>
      </c>
      <c r="F338" s="213">
        <f>IFERROR(AVERAGE(E338:E340),"")</f>
        <v>3.1381215469613193E-2</v>
      </c>
      <c r="G338" s="212">
        <v>1.4999999999999999E-2</v>
      </c>
    </row>
    <row r="339" spans="1:7" x14ac:dyDescent="0.35">
      <c r="A339" s="228"/>
      <c r="B339" s="62" t="s">
        <v>8</v>
      </c>
      <c r="C339" s="62">
        <v>362</v>
      </c>
      <c r="D339" s="77">
        <v>378.28</v>
      </c>
      <c r="E339" s="78">
        <f t="shared" si="21"/>
        <v>4.4972375690607656E-2</v>
      </c>
      <c r="F339" s="214"/>
      <c r="G339" s="212"/>
    </row>
    <row r="340" spans="1:7" x14ac:dyDescent="0.35">
      <c r="A340" s="229"/>
      <c r="B340" s="62" t="s">
        <v>9</v>
      </c>
      <c r="C340" s="62">
        <v>362</v>
      </c>
      <c r="D340" s="77">
        <v>368.4</v>
      </c>
      <c r="E340" s="78">
        <f t="shared" si="21"/>
        <v>1.7679558011049663E-2</v>
      </c>
      <c r="F340" s="214"/>
      <c r="G340" s="212"/>
    </row>
    <row r="341" spans="1:7" x14ac:dyDescent="0.35">
      <c r="A341" s="227">
        <v>46136</v>
      </c>
      <c r="B341" s="62" t="s">
        <v>7</v>
      </c>
      <c r="C341" s="62">
        <v>362</v>
      </c>
      <c r="D341" s="77">
        <v>376.29</v>
      </c>
      <c r="E341" s="78">
        <f t="shared" si="21"/>
        <v>3.9475138121547015E-2</v>
      </c>
      <c r="F341" s="213">
        <f>IFERROR(AVERAGE(E341:E343),"")</f>
        <v>2.7790055248618842E-2</v>
      </c>
      <c r="G341" s="212">
        <v>1.4999999999999999E-2</v>
      </c>
    </row>
    <row r="342" spans="1:7" x14ac:dyDescent="0.35">
      <c r="A342" s="228"/>
      <c r="B342" s="62" t="s">
        <v>8</v>
      </c>
      <c r="C342" s="62">
        <v>362</v>
      </c>
      <c r="D342" s="77">
        <v>371.22</v>
      </c>
      <c r="E342" s="78">
        <f t="shared" si="21"/>
        <v>2.5469613259668584E-2</v>
      </c>
      <c r="F342" s="214"/>
      <c r="G342" s="212"/>
    </row>
    <row r="343" spans="1:7" x14ac:dyDescent="0.35">
      <c r="A343" s="229"/>
      <c r="B343" s="62" t="s">
        <v>9</v>
      </c>
      <c r="C343" s="62">
        <v>362</v>
      </c>
      <c r="D343" s="77">
        <v>368.67</v>
      </c>
      <c r="E343" s="78">
        <f t="shared" si="21"/>
        <v>1.842541436464093E-2</v>
      </c>
      <c r="F343" s="214"/>
      <c r="G343" s="212"/>
    </row>
    <row r="344" spans="1:7" x14ac:dyDescent="0.35">
      <c r="A344" s="227">
        <v>46137</v>
      </c>
      <c r="B344" s="62" t="s">
        <v>7</v>
      </c>
      <c r="C344" s="62">
        <v>362</v>
      </c>
      <c r="D344" s="77">
        <v>371.44</v>
      </c>
      <c r="E344" s="78">
        <f t="shared" si="21"/>
        <v>2.6077348066298335E-2</v>
      </c>
      <c r="F344" s="213">
        <f>IFERROR(AVERAGE(E344:E346),"")</f>
        <v>2.4088397790055272E-2</v>
      </c>
      <c r="G344" s="212">
        <v>1.4999999999999999E-2</v>
      </c>
    </row>
    <row r="345" spans="1:7" x14ac:dyDescent="0.35">
      <c r="A345" s="228"/>
      <c r="B345" s="62" t="s">
        <v>8</v>
      </c>
      <c r="C345" s="62">
        <v>362</v>
      </c>
      <c r="D345" s="77">
        <v>371.49</v>
      </c>
      <c r="E345" s="78">
        <f t="shared" si="21"/>
        <v>2.6215469613259695E-2</v>
      </c>
      <c r="F345" s="214"/>
      <c r="G345" s="212"/>
    </row>
    <row r="346" spans="1:7" x14ac:dyDescent="0.35">
      <c r="A346" s="229"/>
      <c r="B346" s="62" t="s">
        <v>9</v>
      </c>
      <c r="C346" s="62">
        <v>362</v>
      </c>
      <c r="D346" s="77">
        <v>369.23</v>
      </c>
      <c r="E346" s="78">
        <f t="shared" si="21"/>
        <v>1.9972375690607787E-2</v>
      </c>
      <c r="F346" s="214"/>
      <c r="G346" s="212"/>
    </row>
    <row r="347" spans="1:7" x14ac:dyDescent="0.35">
      <c r="A347" s="227">
        <v>46138</v>
      </c>
      <c r="B347" s="62" t="s">
        <v>7</v>
      </c>
      <c r="C347" s="62">
        <v>362</v>
      </c>
      <c r="D347" s="77">
        <v>372.12</v>
      </c>
      <c r="E347" s="78">
        <f t="shared" si="21"/>
        <v>2.7955801104972387E-2</v>
      </c>
      <c r="F347" s="213">
        <f>IFERROR(AVERAGE(E347:E349),"")</f>
        <v>2.7808471454880284E-2</v>
      </c>
      <c r="G347" s="212">
        <v>1.4999999999999999E-2</v>
      </c>
    </row>
    <row r="348" spans="1:7" x14ac:dyDescent="0.35">
      <c r="A348" s="228"/>
      <c r="B348" s="62" t="s">
        <v>8</v>
      </c>
      <c r="C348" s="62">
        <v>362</v>
      </c>
      <c r="D348" s="77">
        <v>371.24</v>
      </c>
      <c r="E348" s="78">
        <f t="shared" si="21"/>
        <v>2.5524861878453063E-2</v>
      </c>
      <c r="F348" s="214"/>
      <c r="G348" s="212"/>
    </row>
    <row r="349" spans="1:7" x14ac:dyDescent="0.35">
      <c r="A349" s="229"/>
      <c r="B349" s="62" t="s">
        <v>9</v>
      </c>
      <c r="C349" s="62">
        <v>362</v>
      </c>
      <c r="D349" s="77">
        <v>372.84</v>
      </c>
      <c r="E349" s="78">
        <f t="shared" si="21"/>
        <v>2.9944751381215402E-2</v>
      </c>
      <c r="F349" s="214"/>
      <c r="G349" s="212"/>
    </row>
    <row r="350" spans="1:7" x14ac:dyDescent="0.35">
      <c r="A350" s="227">
        <v>46139</v>
      </c>
      <c r="B350" s="62" t="s">
        <v>7</v>
      </c>
      <c r="C350" s="62">
        <v>362</v>
      </c>
      <c r="D350" s="77">
        <v>374.88</v>
      </c>
      <c r="E350" s="78">
        <f t="shared" si="21"/>
        <v>3.5580110497237555E-2</v>
      </c>
      <c r="F350" s="213">
        <f>IFERROR(AVERAGE(E350:E352),"")</f>
        <v>3.5580110497237555E-2</v>
      </c>
      <c r="G350" s="212">
        <v>1.4999999999999999E-2</v>
      </c>
    </row>
    <row r="351" spans="1:7" x14ac:dyDescent="0.35">
      <c r="A351" s="228"/>
      <c r="B351" s="62" t="s">
        <v>8</v>
      </c>
      <c r="C351" s="62"/>
      <c r="D351" s="77"/>
      <c r="E351" s="78" t="str">
        <f t="shared" si="21"/>
        <v/>
      </c>
      <c r="F351" s="214"/>
      <c r="G351" s="212"/>
    </row>
    <row r="352" spans="1:7" x14ac:dyDescent="0.35">
      <c r="A352" s="229"/>
      <c r="B352" s="62" t="s">
        <v>9</v>
      </c>
      <c r="C352" s="62"/>
      <c r="D352" s="77"/>
      <c r="E352" s="78" t="str">
        <f t="shared" si="21"/>
        <v/>
      </c>
      <c r="F352" s="214"/>
      <c r="G352" s="212"/>
    </row>
    <row r="353" spans="1:7" x14ac:dyDescent="0.35">
      <c r="A353" s="227">
        <v>46140</v>
      </c>
      <c r="B353" s="62" t="s">
        <v>7</v>
      </c>
      <c r="C353" s="62">
        <v>362</v>
      </c>
      <c r="D353" s="77">
        <v>370.79</v>
      </c>
      <c r="E353" s="78">
        <f t="shared" si="21"/>
        <v>2.4281767955801163E-2</v>
      </c>
      <c r="F353" s="213">
        <f>IFERROR(AVERAGE(E353:E355),"")</f>
        <v>3.0151933701657516E-2</v>
      </c>
      <c r="G353" s="212">
        <v>1.4999999999999999E-2</v>
      </c>
    </row>
    <row r="354" spans="1:7" x14ac:dyDescent="0.35">
      <c r="A354" s="228"/>
      <c r="B354" s="62" t="s">
        <v>8</v>
      </c>
      <c r="C354" s="62">
        <v>362</v>
      </c>
      <c r="D354" s="77">
        <v>373.27</v>
      </c>
      <c r="E354" s="78"/>
      <c r="F354" s="214"/>
      <c r="G354" s="212"/>
    </row>
    <row r="355" spans="1:7" x14ac:dyDescent="0.35">
      <c r="A355" s="229"/>
      <c r="B355" s="62" t="s">
        <v>9</v>
      </c>
      <c r="C355" s="62">
        <v>362</v>
      </c>
      <c r="D355" s="77">
        <v>375.04</v>
      </c>
      <c r="E355" s="78">
        <f t="shared" ref="E355:E356" si="22">IF(D355="","",(D355-C355)/C355)</f>
        <v>3.6022099447513868E-2</v>
      </c>
      <c r="F355" s="214"/>
      <c r="G355" s="212"/>
    </row>
    <row r="356" spans="1:7" x14ac:dyDescent="0.35">
      <c r="A356" s="227">
        <v>46141</v>
      </c>
      <c r="B356" s="62" t="s">
        <v>7</v>
      </c>
      <c r="C356" s="62">
        <v>362</v>
      </c>
      <c r="D356" s="77">
        <v>370.42</v>
      </c>
      <c r="E356" s="78">
        <f t="shared" si="22"/>
        <v>2.3259668508287337E-2</v>
      </c>
      <c r="F356" s="213">
        <f>IFERROR(AVERAGE(E356:E358),"")</f>
        <v>1.9523190897500285E-2</v>
      </c>
      <c r="G356" s="212">
        <v>1.4999999999999999E-2</v>
      </c>
    </row>
    <row r="357" spans="1:7" x14ac:dyDescent="0.35">
      <c r="A357" s="228"/>
      <c r="B357" s="62" t="s">
        <v>8</v>
      </c>
      <c r="C357" s="62"/>
      <c r="D357" s="77"/>
      <c r="E357" s="78"/>
      <c r="F357" s="214"/>
      <c r="G357" s="212"/>
    </row>
    <row r="358" spans="1:7" x14ac:dyDescent="0.35">
      <c r="A358" s="229"/>
      <c r="B358" s="62" t="s">
        <v>9</v>
      </c>
      <c r="C358" s="62">
        <v>572</v>
      </c>
      <c r="D358" s="77">
        <v>581.03</v>
      </c>
      <c r="E358" s="78">
        <f t="shared" ref="E358" si="23">IF(D358="","",(D358-C358)/C358)</f>
        <v>1.5786713286713237E-2</v>
      </c>
      <c r="F358" s="214"/>
      <c r="G358" s="212"/>
    </row>
    <row r="359" spans="1:7" x14ac:dyDescent="0.35">
      <c r="A359" s="227">
        <v>46142</v>
      </c>
      <c r="B359" s="62" t="s">
        <v>7</v>
      </c>
      <c r="C359" s="62">
        <v>572</v>
      </c>
      <c r="D359" s="77">
        <v>583.5</v>
      </c>
      <c r="E359" s="78">
        <f t="shared" ref="E359:E361" si="24">IF(D359="","",(D359-C359)/C359)</f>
        <v>2.0104895104895104E-2</v>
      </c>
      <c r="F359" s="213">
        <f>IFERROR(AVERAGE(E359:E361),"")</f>
        <v>2.0273892773892754E-2</v>
      </c>
      <c r="G359" s="212">
        <v>1.4999999999999999E-2</v>
      </c>
    </row>
    <row r="360" spans="1:7" x14ac:dyDescent="0.35">
      <c r="A360" s="228"/>
      <c r="B360" s="62" t="s">
        <v>8</v>
      </c>
      <c r="C360" s="62">
        <v>572</v>
      </c>
      <c r="D360" s="77">
        <v>584.29999999999995</v>
      </c>
      <c r="E360" s="78">
        <f t="shared" si="24"/>
        <v>2.1503496503496426E-2</v>
      </c>
      <c r="F360" s="214"/>
      <c r="G360" s="212"/>
    </row>
    <row r="361" spans="1:7" x14ac:dyDescent="0.35">
      <c r="A361" s="229"/>
      <c r="B361" s="62" t="s">
        <v>9</v>
      </c>
      <c r="C361" s="62">
        <v>572</v>
      </c>
      <c r="D361" s="77">
        <v>582.99</v>
      </c>
      <c r="E361" s="78">
        <f t="shared" si="24"/>
        <v>1.9213286713286728E-2</v>
      </c>
      <c r="F361" s="214"/>
      <c r="G361" s="212"/>
    </row>
    <row r="362" spans="1:7" x14ac:dyDescent="0.35">
      <c r="A362" s="227">
        <v>46143</v>
      </c>
      <c r="B362" s="62" t="s">
        <v>7</v>
      </c>
      <c r="C362" s="62">
        <v>572</v>
      </c>
      <c r="D362" s="77">
        <v>584.41</v>
      </c>
      <c r="E362" s="78">
        <f t="shared" si="21"/>
        <v>2.1695804195804139E-2</v>
      </c>
      <c r="F362" s="213">
        <f>IFERROR(AVERAGE(E362:E364),"")</f>
        <v>1.8350815850815858E-2</v>
      </c>
      <c r="G362" s="212">
        <v>1.4999999999999999E-2</v>
      </c>
    </row>
    <row r="363" spans="1:7" x14ac:dyDescent="0.35">
      <c r="A363" s="228"/>
      <c r="B363" s="62" t="s">
        <v>8</v>
      </c>
      <c r="C363" s="62">
        <v>572</v>
      </c>
      <c r="D363" s="77">
        <v>581.89</v>
      </c>
      <c r="E363" s="78">
        <f t="shared" si="21"/>
        <v>1.7290209790209767E-2</v>
      </c>
      <c r="F363" s="214"/>
      <c r="G363" s="212"/>
    </row>
    <row r="364" spans="1:7" x14ac:dyDescent="0.35">
      <c r="A364" s="229"/>
      <c r="B364" s="62" t="s">
        <v>9</v>
      </c>
      <c r="C364" s="62">
        <v>572</v>
      </c>
      <c r="D364" s="77">
        <v>581.19000000000005</v>
      </c>
      <c r="E364" s="78">
        <f t="shared" si="21"/>
        <v>1.6066433566433662E-2</v>
      </c>
      <c r="F364" s="214"/>
      <c r="G364" s="212"/>
    </row>
    <row r="365" spans="1:7" x14ac:dyDescent="0.35">
      <c r="A365" s="227">
        <v>46144</v>
      </c>
      <c r="B365" s="62" t="s">
        <v>7</v>
      </c>
      <c r="C365" s="62">
        <v>572</v>
      </c>
      <c r="D365" s="77">
        <v>590.88</v>
      </c>
      <c r="E365" s="78">
        <f t="shared" si="21"/>
        <v>3.3006993006993002E-2</v>
      </c>
      <c r="F365" s="213">
        <f>IFERROR(AVERAGE(E365:E367),"")</f>
        <v>2.9254079254079284E-2</v>
      </c>
      <c r="G365" s="212">
        <v>1.4999999999999999E-2</v>
      </c>
    </row>
    <row r="366" spans="1:7" x14ac:dyDescent="0.35">
      <c r="A366" s="228"/>
      <c r="B366" s="62" t="s">
        <v>8</v>
      </c>
      <c r="C366" s="62">
        <v>572</v>
      </c>
      <c r="D366" s="77">
        <v>585.61</v>
      </c>
      <c r="E366" s="78">
        <f t="shared" si="21"/>
        <v>2.3793706293706317E-2</v>
      </c>
      <c r="F366" s="214"/>
      <c r="G366" s="212"/>
    </row>
    <row r="367" spans="1:7" x14ac:dyDescent="0.35">
      <c r="A367" s="229"/>
      <c r="B367" s="62" t="s">
        <v>9</v>
      </c>
      <c r="C367" s="62">
        <v>572</v>
      </c>
      <c r="D367" s="77">
        <v>589.71</v>
      </c>
      <c r="E367" s="78">
        <f t="shared" si="21"/>
        <v>3.0961538461538526E-2</v>
      </c>
      <c r="F367" s="214"/>
      <c r="G367" s="212"/>
    </row>
    <row r="368" spans="1:7" x14ac:dyDescent="0.35">
      <c r="A368" s="227">
        <v>46145</v>
      </c>
      <c r="B368" s="62" t="s">
        <v>7</v>
      </c>
      <c r="C368" s="62"/>
      <c r="D368" s="77"/>
      <c r="E368" s="78" t="str">
        <f>IF(D368="","",(D368-C368)/C368)</f>
        <v/>
      </c>
      <c r="F368" s="213">
        <f>IFERROR(AVERAGE(E368:E370),"")</f>
        <v>2.7495605223505751E-2</v>
      </c>
      <c r="G368" s="212">
        <v>1.4999999999999999E-2</v>
      </c>
    </row>
    <row r="369" spans="1:7" x14ac:dyDescent="0.35">
      <c r="A369" s="228"/>
      <c r="B369" s="62" t="s">
        <v>8</v>
      </c>
      <c r="C369" s="62">
        <v>572</v>
      </c>
      <c r="D369" s="77">
        <v>589.54999999999995</v>
      </c>
      <c r="E369" s="78">
        <f>IF(D369="","",(D369-C369)/C369)</f>
        <v>3.0681818181818102E-2</v>
      </c>
      <c r="F369" s="214"/>
      <c r="G369" s="212"/>
    </row>
    <row r="370" spans="1:7" x14ac:dyDescent="0.35">
      <c r="A370" s="229"/>
      <c r="B370" s="62" t="s">
        <v>9</v>
      </c>
      <c r="C370" s="62">
        <v>362</v>
      </c>
      <c r="D370" s="77">
        <v>370.8</v>
      </c>
      <c r="E370" s="78">
        <f>IF(D370="","",(D370-C370)/C370)</f>
        <v>2.4309392265193401E-2</v>
      </c>
      <c r="F370" s="214"/>
      <c r="G370" s="212"/>
    </row>
    <row r="371" spans="1:7" x14ac:dyDescent="0.35">
      <c r="A371" s="227">
        <v>46146</v>
      </c>
      <c r="B371" s="62" t="s">
        <v>7</v>
      </c>
      <c r="C371" s="62">
        <v>362</v>
      </c>
      <c r="D371" s="77">
        <v>366.88</v>
      </c>
      <c r="E371" s="78">
        <f t="shared" si="21"/>
        <v>1.3480662983425401E-2</v>
      </c>
      <c r="F371" s="213">
        <f>IFERROR(AVERAGE(E371:E373),"")</f>
        <v>3.4640883977900556E-2</v>
      </c>
      <c r="G371" s="212">
        <v>1.4999999999999999E-2</v>
      </c>
    </row>
    <row r="372" spans="1:7" x14ac:dyDescent="0.35">
      <c r="A372" s="228"/>
      <c r="B372" s="62" t="s">
        <v>8</v>
      </c>
      <c r="C372" s="62">
        <v>362</v>
      </c>
      <c r="D372" s="77">
        <v>381.6</v>
      </c>
      <c r="E372" s="78">
        <f t="shared" si="21"/>
        <v>5.4143646408839841E-2</v>
      </c>
      <c r="F372" s="214"/>
      <c r="G372" s="212"/>
    </row>
    <row r="373" spans="1:7" x14ac:dyDescent="0.35">
      <c r="A373" s="229"/>
      <c r="B373" s="62" t="s">
        <v>9</v>
      </c>
      <c r="C373" s="62">
        <v>362</v>
      </c>
      <c r="D373" s="77">
        <v>375.14</v>
      </c>
      <c r="E373" s="78">
        <f t="shared" si="21"/>
        <v>3.6298342541436428E-2</v>
      </c>
      <c r="F373" s="214"/>
      <c r="G373" s="212"/>
    </row>
    <row r="374" spans="1:7" x14ac:dyDescent="0.35">
      <c r="A374" s="227">
        <v>46147</v>
      </c>
      <c r="B374" s="62" t="s">
        <v>7</v>
      </c>
      <c r="C374" s="62">
        <v>362</v>
      </c>
      <c r="D374" s="77">
        <v>373.85</v>
      </c>
      <c r="E374" s="78">
        <f t="shared" si="21"/>
        <v>3.2734806629834315E-2</v>
      </c>
      <c r="F374" s="213">
        <f>IFERROR(AVERAGE(E374:E376),"")</f>
        <v>3.9217311233885853E-2</v>
      </c>
      <c r="G374" s="212">
        <v>1.4999999999999999E-2</v>
      </c>
    </row>
    <row r="375" spans="1:7" x14ac:dyDescent="0.35">
      <c r="A375" s="228"/>
      <c r="B375" s="62" t="s">
        <v>8</v>
      </c>
      <c r="C375" s="62">
        <v>362</v>
      </c>
      <c r="D375" s="77">
        <v>373.76</v>
      </c>
      <c r="E375" s="78">
        <f t="shared" si="21"/>
        <v>3.2486187845303841E-2</v>
      </c>
      <c r="F375" s="214"/>
      <c r="G375" s="212"/>
    </row>
    <row r="376" spans="1:7" x14ac:dyDescent="0.35">
      <c r="A376" s="229"/>
      <c r="B376" s="62" t="s">
        <v>9</v>
      </c>
      <c r="C376" s="62">
        <v>362</v>
      </c>
      <c r="D376" s="77">
        <v>380.98</v>
      </c>
      <c r="E376" s="78">
        <f t="shared" si="21"/>
        <v>5.2430939226519389E-2</v>
      </c>
      <c r="F376" s="214"/>
      <c r="G376" s="212"/>
    </row>
    <row r="377" spans="1:7" x14ac:dyDescent="0.35">
      <c r="A377" s="227">
        <v>46148</v>
      </c>
      <c r="B377" s="62" t="s">
        <v>7</v>
      </c>
      <c r="C377" s="62">
        <v>362</v>
      </c>
      <c r="D377" s="77">
        <v>370.67</v>
      </c>
      <c r="E377" s="78">
        <f t="shared" si="21"/>
        <v>2.3950276243093968E-2</v>
      </c>
      <c r="F377" s="213">
        <f>IFERROR(AVERAGE(E377:E379),"")</f>
        <v>2.7412523020257814E-2</v>
      </c>
      <c r="G377" s="212">
        <v>1.4999999999999999E-2</v>
      </c>
    </row>
    <row r="378" spans="1:7" x14ac:dyDescent="0.35">
      <c r="A378" s="228"/>
      <c r="B378" s="62" t="s">
        <v>8</v>
      </c>
      <c r="C378" s="62">
        <v>362</v>
      </c>
      <c r="D378" s="77">
        <v>372.58</v>
      </c>
      <c r="E378" s="78">
        <f t="shared" si="21"/>
        <v>2.9226519337016532E-2</v>
      </c>
      <c r="F378" s="214"/>
      <c r="G378" s="212"/>
    </row>
    <row r="379" spans="1:7" x14ac:dyDescent="0.35">
      <c r="A379" s="229"/>
      <c r="B379" s="62" t="s">
        <v>9</v>
      </c>
      <c r="C379" s="62">
        <v>362</v>
      </c>
      <c r="D379" s="77">
        <v>372.52</v>
      </c>
      <c r="E379" s="78">
        <f t="shared" si="21"/>
        <v>2.9060773480662935E-2</v>
      </c>
      <c r="F379" s="214"/>
      <c r="G379" s="212"/>
    </row>
    <row r="380" spans="1:7" x14ac:dyDescent="0.35">
      <c r="A380" s="227">
        <v>46149</v>
      </c>
      <c r="B380" s="62" t="s">
        <v>7</v>
      </c>
      <c r="C380" s="62">
        <v>362</v>
      </c>
      <c r="D380" s="77"/>
      <c r="E380" s="78" t="str">
        <f t="shared" si="21"/>
        <v/>
      </c>
      <c r="F380" s="213">
        <f>IFERROR(AVERAGE(E380:E382),"")</f>
        <v>2.9005524861878455E-2</v>
      </c>
      <c r="G380" s="212">
        <v>1.4999999999999999E-2</v>
      </c>
    </row>
    <row r="381" spans="1:7" x14ac:dyDescent="0.35">
      <c r="A381" s="228"/>
      <c r="B381" s="62" t="s">
        <v>8</v>
      </c>
      <c r="C381" s="62">
        <v>362</v>
      </c>
      <c r="D381" s="77">
        <v>374.9</v>
      </c>
      <c r="E381" s="78">
        <f t="shared" si="21"/>
        <v>3.5635359116022038E-2</v>
      </c>
      <c r="F381" s="214"/>
      <c r="G381" s="212"/>
    </row>
    <row r="382" spans="1:7" x14ac:dyDescent="0.35">
      <c r="A382" s="229"/>
      <c r="B382" s="62" t="s">
        <v>9</v>
      </c>
      <c r="C382" s="62">
        <v>362</v>
      </c>
      <c r="D382" s="77">
        <v>370.1</v>
      </c>
      <c r="E382" s="78">
        <f t="shared" si="21"/>
        <v>2.237569060773487E-2</v>
      </c>
      <c r="F382" s="214"/>
      <c r="G382" s="212"/>
    </row>
    <row r="383" spans="1:7" x14ac:dyDescent="0.35">
      <c r="A383" s="227">
        <v>46150</v>
      </c>
      <c r="B383" s="62" t="s">
        <v>7</v>
      </c>
      <c r="C383" s="62">
        <v>362</v>
      </c>
      <c r="D383" s="77">
        <v>371.14</v>
      </c>
      <c r="E383" s="78">
        <f t="shared" ref="E383:E385" si="25">IF(D383="","",(D383-C383)/C383)</f>
        <v>2.5248618784530347E-2</v>
      </c>
      <c r="F383" s="213">
        <f>IFERROR(AVERAGE(E383:E385),"")</f>
        <v>3.0920810313075493E-2</v>
      </c>
      <c r="G383" s="212">
        <v>1.4999999999999999E-2</v>
      </c>
    </row>
    <row r="384" spans="1:7" x14ac:dyDescent="0.35">
      <c r="A384" s="228"/>
      <c r="B384" s="62" t="s">
        <v>8</v>
      </c>
      <c r="C384" s="62">
        <v>362</v>
      </c>
      <c r="D384" s="77">
        <v>373.06</v>
      </c>
      <c r="E384" s="78">
        <f t="shared" si="25"/>
        <v>3.0552486187845309E-2</v>
      </c>
      <c r="F384" s="214"/>
      <c r="G384" s="212"/>
    </row>
    <row r="385" spans="1:7" x14ac:dyDescent="0.35">
      <c r="A385" s="229"/>
      <c r="B385" s="62" t="s">
        <v>9</v>
      </c>
      <c r="C385" s="62">
        <v>362</v>
      </c>
      <c r="D385" s="77">
        <v>375.38</v>
      </c>
      <c r="E385" s="78">
        <f t="shared" si="25"/>
        <v>3.6961325966850818E-2</v>
      </c>
      <c r="F385" s="214"/>
      <c r="G385" s="212"/>
    </row>
    <row r="386" spans="1:7" x14ac:dyDescent="0.35">
      <c r="A386" s="227">
        <v>46151</v>
      </c>
      <c r="B386" s="62" t="s">
        <v>7</v>
      </c>
      <c r="C386" s="62">
        <v>362</v>
      </c>
      <c r="D386" s="77">
        <v>373.36</v>
      </c>
      <c r="E386" s="78">
        <f t="shared" ref="E386:E391" si="26">IF(D386="","",(D386-C386)/C386)</f>
        <v>3.1381215469613297E-2</v>
      </c>
      <c r="F386" s="213">
        <f>IFERROR(AVERAGE(E386:E388),"")</f>
        <v>2.6169429097605907E-2</v>
      </c>
      <c r="G386" s="212">
        <v>1.4999999999999999E-2</v>
      </c>
    </row>
    <row r="387" spans="1:7" x14ac:dyDescent="0.35">
      <c r="A387" s="228"/>
      <c r="B387" s="62" t="s">
        <v>8</v>
      </c>
      <c r="C387" s="62">
        <v>362</v>
      </c>
      <c r="D387" s="77">
        <v>370.47</v>
      </c>
      <c r="E387" s="78">
        <f t="shared" si="26"/>
        <v>2.3397790055248693E-2</v>
      </c>
      <c r="F387" s="214"/>
      <c r="G387" s="212"/>
    </row>
    <row r="388" spans="1:7" x14ac:dyDescent="0.35">
      <c r="A388" s="229"/>
      <c r="B388" s="62" t="s">
        <v>9</v>
      </c>
      <c r="C388" s="62">
        <v>362</v>
      </c>
      <c r="D388" s="77">
        <v>370.59</v>
      </c>
      <c r="E388" s="78">
        <f t="shared" si="26"/>
        <v>2.3729281767955732E-2</v>
      </c>
      <c r="F388" s="214"/>
      <c r="G388" s="212"/>
    </row>
    <row r="389" spans="1:7" x14ac:dyDescent="0.35">
      <c r="A389" s="227">
        <v>46152</v>
      </c>
      <c r="B389" s="62" t="s">
        <v>7</v>
      </c>
      <c r="C389" s="62">
        <v>362</v>
      </c>
      <c r="D389" s="77">
        <v>385</v>
      </c>
      <c r="E389" s="78">
        <f t="shared" si="26"/>
        <v>6.3535911602209949E-2</v>
      </c>
      <c r="F389" s="213">
        <f>IFERROR(AVERAGE(E389:E391),"")</f>
        <v>5.749539594843462E-2</v>
      </c>
      <c r="G389" s="212">
        <v>1.4999999999999999E-2</v>
      </c>
    </row>
    <row r="390" spans="1:7" x14ac:dyDescent="0.35">
      <c r="A390" s="228"/>
      <c r="B390" s="62" t="s">
        <v>8</v>
      </c>
      <c r="C390" s="62">
        <v>362</v>
      </c>
      <c r="D390" s="77">
        <v>387.21</v>
      </c>
      <c r="E390" s="78">
        <f t="shared" si="26"/>
        <v>6.9640883977900497E-2</v>
      </c>
      <c r="F390" s="214"/>
      <c r="G390" s="212"/>
    </row>
    <row r="391" spans="1:7" x14ac:dyDescent="0.35">
      <c r="A391" s="229"/>
      <c r="B391" s="62" t="s">
        <v>9</v>
      </c>
      <c r="C391" s="62">
        <v>362</v>
      </c>
      <c r="D391" s="77">
        <v>376.23</v>
      </c>
      <c r="E391" s="78">
        <f t="shared" si="26"/>
        <v>3.9309392265193421E-2</v>
      </c>
      <c r="F391" s="214"/>
      <c r="G391" s="212"/>
    </row>
    <row r="392" spans="1:7" x14ac:dyDescent="0.35">
      <c r="A392" s="227">
        <v>46153</v>
      </c>
      <c r="B392" s="62" t="s">
        <v>7</v>
      </c>
      <c r="C392" s="62"/>
      <c r="D392" s="77"/>
      <c r="E392" s="78" t="str">
        <f t="shared" ref="E392:E424" si="27">IF(D392="","",(D392-C392)/C392)</f>
        <v/>
      </c>
      <c r="F392" s="213">
        <f>IFERROR(AVERAGE(E392:E394),"")</f>
        <v>4.9861878453038702E-2</v>
      </c>
      <c r="G392" s="212">
        <v>1.4999999999999999E-2</v>
      </c>
    </row>
    <row r="393" spans="1:7" x14ac:dyDescent="0.35">
      <c r="A393" s="228"/>
      <c r="B393" s="62" t="s">
        <v>8</v>
      </c>
      <c r="C393" s="62">
        <v>362</v>
      </c>
      <c r="D393" s="77">
        <v>377.97</v>
      </c>
      <c r="E393" s="78">
        <f t="shared" si="27"/>
        <v>4.4116022099447587E-2</v>
      </c>
      <c r="F393" s="214"/>
      <c r="G393" s="212"/>
    </row>
    <row r="394" spans="1:7" x14ac:dyDescent="0.35">
      <c r="A394" s="229"/>
      <c r="B394" s="62" t="s">
        <v>9</v>
      </c>
      <c r="C394" s="62">
        <v>362</v>
      </c>
      <c r="D394" s="77">
        <v>382.13</v>
      </c>
      <c r="E394" s="78">
        <f t="shared" si="27"/>
        <v>5.5607734806629824E-2</v>
      </c>
      <c r="F394" s="214"/>
      <c r="G394" s="212"/>
    </row>
    <row r="395" spans="1:7" x14ac:dyDescent="0.35">
      <c r="A395" s="227">
        <v>46154</v>
      </c>
      <c r="B395" s="62" t="s">
        <v>7</v>
      </c>
      <c r="C395" s="62">
        <v>362</v>
      </c>
      <c r="D395" s="77">
        <v>373.01</v>
      </c>
      <c r="E395" s="78">
        <f t="shared" si="27"/>
        <v>3.0414364640883953E-2</v>
      </c>
      <c r="F395" s="213">
        <f>IFERROR(AVERAGE(E395:E397),"")</f>
        <v>3.8480662983425375E-2</v>
      </c>
      <c r="G395" s="212">
        <v>1.4999999999999999E-2</v>
      </c>
    </row>
    <row r="396" spans="1:7" x14ac:dyDescent="0.35">
      <c r="A396" s="228"/>
      <c r="B396" s="62" t="s">
        <v>8</v>
      </c>
      <c r="C396" s="62">
        <v>362</v>
      </c>
      <c r="D396" s="77">
        <v>376.5</v>
      </c>
      <c r="E396" s="78">
        <f t="shared" si="27"/>
        <v>4.0055248618784532E-2</v>
      </c>
      <c r="F396" s="214"/>
      <c r="G396" s="212"/>
    </row>
    <row r="397" spans="1:7" x14ac:dyDescent="0.35">
      <c r="A397" s="229"/>
      <c r="B397" s="62" t="s">
        <v>9</v>
      </c>
      <c r="C397" s="62">
        <v>362</v>
      </c>
      <c r="D397" s="77">
        <v>378.28</v>
      </c>
      <c r="E397" s="78">
        <f t="shared" si="27"/>
        <v>4.4972375690607656E-2</v>
      </c>
      <c r="F397" s="214"/>
      <c r="G397" s="212"/>
    </row>
    <row r="398" spans="1:7" x14ac:dyDescent="0.35">
      <c r="A398" s="227">
        <v>46155</v>
      </c>
      <c r="B398" s="62" t="s">
        <v>7</v>
      </c>
      <c r="C398" s="62">
        <v>362</v>
      </c>
      <c r="D398" s="77">
        <v>369.03</v>
      </c>
      <c r="E398" s="78">
        <f t="shared" ref="E398:E400" si="28">IF(D398="","",(D398-C398)/C398)</f>
        <v>1.9419889502762355E-2</v>
      </c>
      <c r="F398" s="213">
        <f>IFERROR(AVERAGE(E398:E400),"")</f>
        <v>2.7154696132596693E-2</v>
      </c>
      <c r="G398" s="212">
        <v>1.4999999999999999E-2</v>
      </c>
    </row>
    <row r="399" spans="1:7" x14ac:dyDescent="0.35">
      <c r="A399" s="228"/>
      <c r="B399" s="62" t="s">
        <v>8</v>
      </c>
      <c r="C399" s="62">
        <v>362</v>
      </c>
      <c r="D399" s="77">
        <v>376.24</v>
      </c>
      <c r="E399" s="78">
        <f t="shared" si="28"/>
        <v>3.9337016574585659E-2</v>
      </c>
      <c r="F399" s="214"/>
      <c r="G399" s="212"/>
    </row>
    <row r="400" spans="1:7" x14ac:dyDescent="0.35">
      <c r="A400" s="229"/>
      <c r="B400" s="62" t="s">
        <v>9</v>
      </c>
      <c r="C400" s="62">
        <v>362</v>
      </c>
      <c r="D400" s="77">
        <v>370.22</v>
      </c>
      <c r="E400" s="78">
        <f t="shared" si="28"/>
        <v>2.2707182320442065E-2</v>
      </c>
      <c r="F400" s="214"/>
      <c r="G400" s="212"/>
    </row>
    <row r="401" spans="1:7" x14ac:dyDescent="0.35">
      <c r="A401" s="227">
        <v>46156</v>
      </c>
      <c r="B401" s="62" t="s">
        <v>7</v>
      </c>
      <c r="C401" s="62">
        <v>362</v>
      </c>
      <c r="D401" s="77">
        <v>370.3</v>
      </c>
      <c r="E401" s="78">
        <f t="shared" si="27"/>
        <v>2.2928176795580141E-2</v>
      </c>
      <c r="F401" s="213">
        <f>IFERROR(AVERAGE(E401:E403),"")</f>
        <v>2.6721915285451231E-2</v>
      </c>
      <c r="G401" s="212">
        <v>1.4999999999999999E-2</v>
      </c>
    </row>
    <row r="402" spans="1:7" x14ac:dyDescent="0.35">
      <c r="A402" s="228"/>
      <c r="B402" s="62" t="s">
        <v>8</v>
      </c>
      <c r="C402" s="62">
        <v>362</v>
      </c>
      <c r="D402" s="77">
        <v>369.54</v>
      </c>
      <c r="E402" s="78">
        <f t="shared" si="27"/>
        <v>2.0828729281768012E-2</v>
      </c>
      <c r="F402" s="214"/>
      <c r="G402" s="212"/>
    </row>
    <row r="403" spans="1:7" x14ac:dyDescent="0.35">
      <c r="A403" s="229"/>
      <c r="B403" s="62" t="s">
        <v>9</v>
      </c>
      <c r="C403" s="62">
        <v>362</v>
      </c>
      <c r="D403" s="77">
        <v>375.18</v>
      </c>
      <c r="E403" s="78">
        <f t="shared" si="27"/>
        <v>3.6408839779005546E-2</v>
      </c>
      <c r="F403" s="214"/>
      <c r="G403" s="212"/>
    </row>
    <row r="404" spans="1:7" x14ac:dyDescent="0.35">
      <c r="A404" s="227">
        <v>46157</v>
      </c>
      <c r="B404" s="62" t="s">
        <v>7</v>
      </c>
      <c r="C404" s="62"/>
      <c r="D404" s="77"/>
      <c r="E404" s="78" t="str">
        <f t="shared" ref="E404:E406" si="29">IF(D404="","",(D404-C404)/C404)</f>
        <v/>
      </c>
      <c r="F404" s="213" t="str">
        <f>IFERROR(AVERAGE(E404:E406),"")</f>
        <v/>
      </c>
      <c r="G404" s="212">
        <v>1.4999999999999999E-2</v>
      </c>
    </row>
    <row r="405" spans="1:7" x14ac:dyDescent="0.35">
      <c r="A405" s="228"/>
      <c r="B405" s="62" t="s">
        <v>8</v>
      </c>
      <c r="C405" s="62"/>
      <c r="D405" s="77"/>
      <c r="E405" s="78" t="str">
        <f t="shared" si="29"/>
        <v/>
      </c>
      <c r="F405" s="214"/>
      <c r="G405" s="212"/>
    </row>
    <row r="406" spans="1:7" x14ac:dyDescent="0.35">
      <c r="A406" s="229"/>
      <c r="B406" s="62" t="s">
        <v>9</v>
      </c>
      <c r="C406" s="62"/>
      <c r="D406" s="77"/>
      <c r="E406" s="78" t="str">
        <f t="shared" si="29"/>
        <v/>
      </c>
      <c r="F406" s="214"/>
      <c r="G406" s="212"/>
    </row>
    <row r="407" spans="1:7" x14ac:dyDescent="0.35">
      <c r="A407" s="227">
        <v>46158</v>
      </c>
      <c r="B407" s="62" t="s">
        <v>7</v>
      </c>
      <c r="C407" s="62">
        <v>572</v>
      </c>
      <c r="D407" s="77">
        <v>591.22</v>
      </c>
      <c r="E407" s="78">
        <f t="shared" ref="E407:E409" si="30">IF(D407="","",(D407-C407)/C407)</f>
        <v>3.3601398601398651E-2</v>
      </c>
      <c r="F407" s="213">
        <f>IFERROR(AVERAGE(E407:E409),"")</f>
        <v>3.0512820512820588E-2</v>
      </c>
      <c r="G407" s="212">
        <v>1.4999999999999999E-2</v>
      </c>
    </row>
    <row r="408" spans="1:7" x14ac:dyDescent="0.35">
      <c r="A408" s="228"/>
      <c r="B408" s="62" t="s">
        <v>8</v>
      </c>
      <c r="C408" s="62">
        <v>572</v>
      </c>
      <c r="D408" s="77">
        <v>590.69000000000005</v>
      </c>
      <c r="E408" s="78">
        <f t="shared" si="30"/>
        <v>3.267482517482527E-2</v>
      </c>
      <c r="F408" s="214"/>
      <c r="G408" s="212"/>
    </row>
    <row r="409" spans="1:7" x14ac:dyDescent="0.35">
      <c r="A409" s="229"/>
      <c r="B409" s="62" t="s">
        <v>9</v>
      </c>
      <c r="C409" s="62">
        <v>572</v>
      </c>
      <c r="D409" s="77">
        <v>586.45000000000005</v>
      </c>
      <c r="E409" s="78">
        <f t="shared" si="30"/>
        <v>2.5262237762237842E-2</v>
      </c>
      <c r="F409" s="214"/>
      <c r="G409" s="212"/>
    </row>
    <row r="410" spans="1:7" x14ac:dyDescent="0.35">
      <c r="A410" s="227">
        <v>46159</v>
      </c>
      <c r="B410" s="62" t="s">
        <v>7</v>
      </c>
      <c r="C410" s="62">
        <v>572</v>
      </c>
      <c r="D410" s="77">
        <v>588.83000000000004</v>
      </c>
      <c r="E410" s="78">
        <f t="shared" si="27"/>
        <v>2.9423076923076996E-2</v>
      </c>
      <c r="F410" s="213">
        <f>IFERROR(AVERAGE(E410:E412),"")</f>
        <v>2.8869463869463916E-2</v>
      </c>
      <c r="G410" s="212">
        <v>1.4999999999999999E-2</v>
      </c>
    </row>
    <row r="411" spans="1:7" x14ac:dyDescent="0.35">
      <c r="A411" s="228"/>
      <c r="B411" s="62" t="s">
        <v>8</v>
      </c>
      <c r="C411" s="62">
        <v>572</v>
      </c>
      <c r="D411" s="77">
        <v>590.26</v>
      </c>
      <c r="E411" s="78">
        <f t="shared" si="27"/>
        <v>3.1923076923076908E-2</v>
      </c>
      <c r="F411" s="214"/>
      <c r="G411" s="212"/>
    </row>
    <row r="412" spans="1:7" x14ac:dyDescent="0.35">
      <c r="A412" s="229"/>
      <c r="B412" s="62" t="s">
        <v>9</v>
      </c>
      <c r="C412" s="62">
        <v>572</v>
      </c>
      <c r="D412" s="77">
        <v>586.45000000000005</v>
      </c>
      <c r="E412" s="78">
        <f t="shared" si="27"/>
        <v>2.5262237762237842E-2</v>
      </c>
      <c r="F412" s="214"/>
      <c r="G412" s="212"/>
    </row>
    <row r="413" spans="1:7" x14ac:dyDescent="0.35">
      <c r="A413" s="227">
        <v>46160</v>
      </c>
      <c r="B413" s="62" t="s">
        <v>7</v>
      </c>
      <c r="C413" s="62">
        <v>572</v>
      </c>
      <c r="D413" s="77">
        <v>582.64</v>
      </c>
      <c r="E413" s="78">
        <f t="shared" si="27"/>
        <v>1.8601398601398578E-2</v>
      </c>
      <c r="F413" s="213">
        <f>IFERROR(AVERAGE(E413:E415),"")</f>
        <v>2.9632867132867152E-2</v>
      </c>
      <c r="G413" s="212">
        <v>1.4999999999999999E-2</v>
      </c>
    </row>
    <row r="414" spans="1:7" x14ac:dyDescent="0.35">
      <c r="A414" s="228"/>
      <c r="B414" s="62" t="s">
        <v>8</v>
      </c>
      <c r="C414" s="62">
        <v>572</v>
      </c>
      <c r="D414" s="77">
        <v>591.71</v>
      </c>
      <c r="E414" s="78">
        <f t="shared" si="27"/>
        <v>3.4458041958042022E-2</v>
      </c>
      <c r="F414" s="214"/>
      <c r="G414" s="212"/>
    </row>
    <row r="415" spans="1:7" x14ac:dyDescent="0.35">
      <c r="A415" s="229"/>
      <c r="B415" s="62" t="s">
        <v>9</v>
      </c>
      <c r="C415" s="62">
        <v>572</v>
      </c>
      <c r="D415" s="77">
        <v>592.5</v>
      </c>
      <c r="E415" s="78">
        <f t="shared" si="27"/>
        <v>3.583916083916084E-2</v>
      </c>
      <c r="F415" s="214"/>
      <c r="G415" s="212"/>
    </row>
    <row r="416" spans="1:7" x14ac:dyDescent="0.35">
      <c r="A416" s="227">
        <v>46161</v>
      </c>
      <c r="B416" s="62" t="s">
        <v>7</v>
      </c>
      <c r="C416" s="62">
        <v>572</v>
      </c>
      <c r="D416" s="77">
        <v>586.1</v>
      </c>
      <c r="E416" s="78">
        <f t="shared" ref="E416:E418" si="31">IF(D416="","",(D416-C416)/C416)</f>
        <v>2.4650349650349689E-2</v>
      </c>
      <c r="F416" s="213">
        <f>IFERROR(AVERAGE(E416:E418),"")</f>
        <v>2.3717948717948745E-2</v>
      </c>
      <c r="G416" s="212">
        <v>1.4999999999999999E-2</v>
      </c>
    </row>
    <row r="417" spans="1:7" x14ac:dyDescent="0.35">
      <c r="A417" s="228"/>
      <c r="B417" s="62" t="s">
        <v>8</v>
      </c>
      <c r="C417" s="62">
        <v>572</v>
      </c>
      <c r="D417" s="77">
        <v>585.70000000000005</v>
      </c>
      <c r="E417" s="78">
        <f t="shared" si="31"/>
        <v>2.395104895104903E-2</v>
      </c>
      <c r="F417" s="214"/>
      <c r="G417" s="212"/>
    </row>
    <row r="418" spans="1:7" x14ac:dyDescent="0.35">
      <c r="A418" s="229"/>
      <c r="B418" s="62" t="s">
        <v>9</v>
      </c>
      <c r="C418" s="62">
        <v>572</v>
      </c>
      <c r="D418" s="77">
        <v>584.9</v>
      </c>
      <c r="E418" s="78">
        <f t="shared" si="31"/>
        <v>2.2552447552447511E-2</v>
      </c>
      <c r="F418" s="214"/>
      <c r="G418" s="212"/>
    </row>
    <row r="419" spans="1:7" x14ac:dyDescent="0.35">
      <c r="A419" s="227">
        <v>46162</v>
      </c>
      <c r="B419" s="62" t="s">
        <v>7</v>
      </c>
      <c r="C419" s="62">
        <v>572</v>
      </c>
      <c r="D419" s="77">
        <v>583</v>
      </c>
      <c r="E419" s="78">
        <f t="shared" si="27"/>
        <v>1.9230769230769232E-2</v>
      </c>
      <c r="F419" s="213">
        <f>IFERROR(AVERAGE(E419:E421),"")</f>
        <v>2.2115384615384575E-2</v>
      </c>
      <c r="G419" s="212">
        <v>1.4999999999999999E-2</v>
      </c>
    </row>
    <row r="420" spans="1:7" x14ac:dyDescent="0.35">
      <c r="A420" s="228"/>
      <c r="B420" s="62" t="s">
        <v>8</v>
      </c>
      <c r="C420" s="62">
        <v>572</v>
      </c>
      <c r="D420" s="77">
        <v>583.16</v>
      </c>
      <c r="E420" s="78">
        <f t="shared" si="27"/>
        <v>1.9510489510489455E-2</v>
      </c>
      <c r="F420" s="214"/>
      <c r="G420" s="212"/>
    </row>
    <row r="421" spans="1:7" x14ac:dyDescent="0.35">
      <c r="A421" s="229"/>
      <c r="B421" s="62" t="s">
        <v>9</v>
      </c>
      <c r="C421" s="62">
        <v>572</v>
      </c>
      <c r="D421" s="77">
        <v>587.79</v>
      </c>
      <c r="E421" s="78">
        <f t="shared" si="27"/>
        <v>2.7604895104895041E-2</v>
      </c>
      <c r="F421" s="214"/>
      <c r="G421" s="212"/>
    </row>
    <row r="422" spans="1:7" x14ac:dyDescent="0.35">
      <c r="A422" s="227">
        <v>46163</v>
      </c>
      <c r="B422" s="62" t="s">
        <v>7</v>
      </c>
      <c r="C422" s="62">
        <v>572</v>
      </c>
      <c r="D422" s="77">
        <v>582.94000000000005</v>
      </c>
      <c r="E422" s="78">
        <f t="shared" si="27"/>
        <v>1.9125874125874222E-2</v>
      </c>
      <c r="F422" s="213">
        <f>IFERROR(AVERAGE(E422:E424),"")</f>
        <v>2.0064102564102602E-2</v>
      </c>
      <c r="G422" s="212">
        <v>1.4999999999999999E-2</v>
      </c>
    </row>
    <row r="423" spans="1:7" x14ac:dyDescent="0.35">
      <c r="A423" s="228"/>
      <c r="B423" s="62" t="s">
        <v>8</v>
      </c>
      <c r="C423" s="62">
        <v>572</v>
      </c>
      <c r="D423" s="77">
        <v>587.6</v>
      </c>
      <c r="E423" s="78">
        <f t="shared" si="27"/>
        <v>2.7272727272727313E-2</v>
      </c>
      <c r="F423" s="214"/>
      <c r="G423" s="212"/>
    </row>
    <row r="424" spans="1:7" x14ac:dyDescent="0.35">
      <c r="A424" s="229"/>
      <c r="B424" s="62" t="s">
        <v>9</v>
      </c>
      <c r="C424" s="62">
        <v>572</v>
      </c>
      <c r="D424" s="77">
        <v>579.89</v>
      </c>
      <c r="E424" s="78">
        <f t="shared" si="27"/>
        <v>1.379370629370627E-2</v>
      </c>
      <c r="F424" s="214"/>
      <c r="G424" s="212"/>
    </row>
    <row r="425" spans="1:7" x14ac:dyDescent="0.35">
      <c r="A425" s="227">
        <v>46164</v>
      </c>
      <c r="B425" s="62" t="s">
        <v>7</v>
      </c>
      <c r="C425" s="62">
        <v>572</v>
      </c>
      <c r="D425" s="77">
        <v>580.97</v>
      </c>
      <c r="E425" s="78">
        <f t="shared" ref="E425:E430" si="32">IF(D425="","",(D425-C425)/C425)</f>
        <v>1.5681818181818231E-2</v>
      </c>
      <c r="F425" s="213">
        <f>IFERROR(AVERAGE(E425:E427),"")</f>
        <v>1.9283216783216803E-2</v>
      </c>
      <c r="G425" s="212">
        <v>1.4999999999999999E-2</v>
      </c>
    </row>
    <row r="426" spans="1:7" x14ac:dyDescent="0.35">
      <c r="A426" s="228"/>
      <c r="B426" s="62" t="s">
        <v>8</v>
      </c>
      <c r="C426" s="62">
        <v>572</v>
      </c>
      <c r="D426" s="77">
        <v>586.57000000000005</v>
      </c>
      <c r="E426" s="78">
        <f t="shared" si="32"/>
        <v>2.547202797202806E-2</v>
      </c>
      <c r="F426" s="214"/>
      <c r="G426" s="212"/>
    </row>
    <row r="427" spans="1:7" x14ac:dyDescent="0.35">
      <c r="A427" s="229"/>
      <c r="B427" s="62" t="s">
        <v>9</v>
      </c>
      <c r="C427" s="62">
        <v>572</v>
      </c>
      <c r="D427" s="77">
        <v>581.54999999999995</v>
      </c>
      <c r="E427" s="78">
        <f t="shared" si="32"/>
        <v>1.6695804195804118E-2</v>
      </c>
      <c r="F427" s="214"/>
      <c r="G427" s="212"/>
    </row>
    <row r="428" spans="1:7" x14ac:dyDescent="0.35">
      <c r="A428" s="227">
        <v>46165</v>
      </c>
      <c r="B428" s="62" t="s">
        <v>7</v>
      </c>
      <c r="C428" s="62">
        <v>362</v>
      </c>
      <c r="D428" s="77">
        <v>370.03</v>
      </c>
      <c r="E428" s="78">
        <f t="shared" si="32"/>
        <v>2.2182320441988874E-2</v>
      </c>
      <c r="F428" s="213">
        <f>IFERROR(AVERAGE(E428:E430),"")</f>
        <v>3.2744014732964961E-2</v>
      </c>
      <c r="G428" s="212">
        <v>1.4999999999999999E-2</v>
      </c>
    </row>
    <row r="429" spans="1:7" x14ac:dyDescent="0.35">
      <c r="A429" s="228"/>
      <c r="B429" s="62" t="s">
        <v>8</v>
      </c>
      <c r="C429" s="62">
        <v>362</v>
      </c>
      <c r="D429" s="77">
        <v>373.27</v>
      </c>
      <c r="E429" s="78">
        <f t="shared" si="32"/>
        <v>3.1132596685082822E-2</v>
      </c>
      <c r="F429" s="214"/>
      <c r="G429" s="212"/>
    </row>
    <row r="430" spans="1:7" x14ac:dyDescent="0.35">
      <c r="A430" s="229"/>
      <c r="B430" s="62" t="s">
        <v>9</v>
      </c>
      <c r="C430" s="62">
        <v>362</v>
      </c>
      <c r="D430" s="77">
        <v>378.26</v>
      </c>
      <c r="E430" s="78">
        <f t="shared" si="32"/>
        <v>4.491712707182318E-2</v>
      </c>
      <c r="F430" s="214"/>
      <c r="G430" s="212"/>
    </row>
    <row r="431" spans="1:7" x14ac:dyDescent="0.35">
      <c r="A431" s="227">
        <v>46166</v>
      </c>
      <c r="B431" s="62" t="s">
        <v>7</v>
      </c>
      <c r="C431" s="62">
        <v>362</v>
      </c>
      <c r="D431" s="77">
        <v>373.15</v>
      </c>
      <c r="E431" s="78">
        <f t="shared" ref="E431:E433" si="33">IF(D431="","",(D431-C431)/C431)</f>
        <v>3.0801104972375627E-2</v>
      </c>
      <c r="F431" s="213">
        <f>IFERROR(AVERAGE(E431:E433),"")</f>
        <v>2.3287292817679578E-2</v>
      </c>
      <c r="G431" s="212">
        <v>1.4999999999999999E-2</v>
      </c>
    </row>
    <row r="432" spans="1:7" x14ac:dyDescent="0.35">
      <c r="A432" s="228"/>
      <c r="B432" s="62" t="s">
        <v>8</v>
      </c>
      <c r="C432" s="62">
        <v>362</v>
      </c>
      <c r="D432" s="77">
        <v>372.29</v>
      </c>
      <c r="E432" s="78">
        <f t="shared" si="33"/>
        <v>2.8425414364640942E-2</v>
      </c>
      <c r="F432" s="214"/>
      <c r="G432" s="212"/>
    </row>
    <row r="433" spans="1:7" x14ac:dyDescent="0.35">
      <c r="A433" s="229"/>
      <c r="B433" s="62" t="s">
        <v>9</v>
      </c>
      <c r="C433" s="62">
        <v>362</v>
      </c>
      <c r="D433" s="77">
        <v>365.85</v>
      </c>
      <c r="E433" s="78">
        <f t="shared" si="33"/>
        <v>1.0635359116022163E-2</v>
      </c>
      <c r="F433" s="214"/>
      <c r="G433" s="212"/>
    </row>
    <row r="434" spans="1:7" x14ac:dyDescent="0.35">
      <c r="A434" s="227">
        <v>46167</v>
      </c>
      <c r="B434" s="62" t="s">
        <v>7</v>
      </c>
      <c r="C434" s="62">
        <v>362</v>
      </c>
      <c r="D434" s="77">
        <v>369.43</v>
      </c>
      <c r="E434" s="78">
        <f t="shared" ref="E434:E436" si="34">IF(D434="","",(D434-C434)/C434)</f>
        <v>2.0524861878453059E-2</v>
      </c>
      <c r="F434" s="213">
        <f>IFERROR(AVERAGE(E434:E436),"")</f>
        <v>2.1408839779005526E-2</v>
      </c>
      <c r="G434" s="212">
        <v>1.4999999999999999E-2</v>
      </c>
    </row>
    <row r="435" spans="1:7" x14ac:dyDescent="0.35">
      <c r="A435" s="228"/>
      <c r="B435" s="62" t="s">
        <v>8</v>
      </c>
      <c r="C435" s="62">
        <v>362</v>
      </c>
      <c r="D435" s="77">
        <v>372.5</v>
      </c>
      <c r="E435" s="78">
        <f t="shared" si="34"/>
        <v>2.9005524861878452E-2</v>
      </c>
      <c r="F435" s="214"/>
      <c r="G435" s="212"/>
    </row>
    <row r="436" spans="1:7" x14ac:dyDescent="0.35">
      <c r="A436" s="229"/>
      <c r="B436" s="62" t="s">
        <v>9</v>
      </c>
      <c r="C436" s="62">
        <v>362</v>
      </c>
      <c r="D436" s="77">
        <v>367.32</v>
      </c>
      <c r="E436" s="78">
        <f t="shared" si="34"/>
        <v>1.4696132596685065E-2</v>
      </c>
      <c r="F436" s="214"/>
      <c r="G436" s="212"/>
    </row>
    <row r="437" spans="1:7" x14ac:dyDescent="0.35">
      <c r="A437" s="227">
        <v>46168</v>
      </c>
      <c r="B437" s="62" t="s">
        <v>7</v>
      </c>
      <c r="C437" s="62">
        <v>362</v>
      </c>
      <c r="D437" s="77">
        <v>369.59</v>
      </c>
      <c r="E437" s="78">
        <f t="shared" ref="E437:E445" si="35">IF(D437="","",(D437-C437)/C437)</f>
        <v>2.0966850828729212E-2</v>
      </c>
      <c r="F437" s="213">
        <f>IFERROR(AVERAGE(E437:E439),"")</f>
        <v>1.9953959484346188E-2</v>
      </c>
      <c r="G437" s="212">
        <v>1.4999999999999999E-2</v>
      </c>
    </row>
    <row r="438" spans="1:7" x14ac:dyDescent="0.35">
      <c r="A438" s="228"/>
      <c r="B438" s="62" t="s">
        <v>8</v>
      </c>
      <c r="C438" s="62">
        <v>362</v>
      </c>
      <c r="D438" s="77">
        <v>369.18</v>
      </c>
      <c r="E438" s="78">
        <f t="shared" si="35"/>
        <v>1.9834254143646427E-2</v>
      </c>
      <c r="F438" s="214"/>
      <c r="G438" s="212"/>
    </row>
    <row r="439" spans="1:7" x14ac:dyDescent="0.35">
      <c r="A439" s="229"/>
      <c r="B439" s="62" t="s">
        <v>9</v>
      </c>
      <c r="C439" s="62">
        <v>362</v>
      </c>
      <c r="D439" s="77">
        <v>368.9</v>
      </c>
      <c r="E439" s="78">
        <f t="shared" si="35"/>
        <v>1.9060773480662922E-2</v>
      </c>
      <c r="F439" s="214"/>
      <c r="G439" s="212"/>
    </row>
    <row r="440" spans="1:7" x14ac:dyDescent="0.35">
      <c r="A440" s="227">
        <v>46169</v>
      </c>
      <c r="B440" s="62" t="s">
        <v>7</v>
      </c>
      <c r="C440" s="62">
        <v>362</v>
      </c>
      <c r="D440" s="77">
        <v>368.44</v>
      </c>
      <c r="E440" s="78">
        <f t="shared" si="35"/>
        <v>1.7790055248618777E-2</v>
      </c>
      <c r="F440" s="213">
        <f>IFERROR(AVERAGE(E440:E442),"")</f>
        <v>1.9208103130755026E-2</v>
      </c>
      <c r="G440" s="212">
        <v>1.4999999999999999E-2</v>
      </c>
    </row>
    <row r="441" spans="1:7" x14ac:dyDescent="0.35">
      <c r="A441" s="228"/>
      <c r="B441" s="62" t="s">
        <v>8</v>
      </c>
      <c r="C441" s="62">
        <v>362</v>
      </c>
      <c r="D441" s="77">
        <v>370.02</v>
      </c>
      <c r="E441" s="78">
        <f t="shared" si="35"/>
        <v>2.2154696132596637E-2</v>
      </c>
      <c r="F441" s="214"/>
      <c r="G441" s="212"/>
    </row>
    <row r="442" spans="1:7" x14ac:dyDescent="0.35">
      <c r="A442" s="229"/>
      <c r="B442" s="62" t="s">
        <v>9</v>
      </c>
      <c r="C442" s="62">
        <v>362</v>
      </c>
      <c r="D442" s="77">
        <v>368.4</v>
      </c>
      <c r="E442" s="78">
        <f t="shared" si="35"/>
        <v>1.7679558011049663E-2</v>
      </c>
      <c r="F442" s="214"/>
      <c r="G442" s="212"/>
    </row>
    <row r="443" spans="1:7" x14ac:dyDescent="0.35">
      <c r="A443" s="227">
        <v>46170</v>
      </c>
      <c r="B443" s="62" t="s">
        <v>7</v>
      </c>
      <c r="C443" s="62">
        <v>362</v>
      </c>
      <c r="D443" s="77">
        <v>372.3</v>
      </c>
      <c r="E443" s="78">
        <f t="shared" si="35"/>
        <v>2.845303867403318E-2</v>
      </c>
      <c r="F443" s="213">
        <f>IFERROR(AVERAGE(E443:E445),"")</f>
        <v>2.6740331491712722E-2</v>
      </c>
      <c r="G443" s="212">
        <v>1.4999999999999999E-2</v>
      </c>
    </row>
    <row r="444" spans="1:7" x14ac:dyDescent="0.35">
      <c r="A444" s="228"/>
      <c r="B444" s="62" t="s">
        <v>8</v>
      </c>
      <c r="C444" s="62">
        <v>362</v>
      </c>
      <c r="D444" s="77">
        <v>371.89</v>
      </c>
      <c r="E444" s="78">
        <f t="shared" si="35"/>
        <v>2.7320441988950239E-2</v>
      </c>
      <c r="F444" s="214"/>
      <c r="G444" s="212"/>
    </row>
    <row r="445" spans="1:7" x14ac:dyDescent="0.35">
      <c r="A445" s="229"/>
      <c r="B445" s="62" t="s">
        <v>9</v>
      </c>
      <c r="C445" s="62">
        <v>362</v>
      </c>
      <c r="D445" s="77">
        <v>370.85</v>
      </c>
      <c r="E445" s="78">
        <f t="shared" si="35"/>
        <v>2.4447513812154757E-2</v>
      </c>
      <c r="F445" s="214"/>
      <c r="G445" s="212"/>
    </row>
    <row r="446" spans="1:7" x14ac:dyDescent="0.35">
      <c r="A446" s="227">
        <v>46171</v>
      </c>
      <c r="B446" s="62" t="s">
        <v>7</v>
      </c>
      <c r="C446" s="62">
        <v>362</v>
      </c>
      <c r="D446" s="77">
        <v>370.75</v>
      </c>
      <c r="E446" s="78">
        <f t="shared" ref="E446:E448" si="36">IF(D446="","",(D446-C446)/C446)</f>
        <v>2.4171270718232045E-2</v>
      </c>
      <c r="F446" s="213">
        <f>IFERROR(AVERAGE(E446:E448),"")</f>
        <v>2.1243093922651928E-2</v>
      </c>
      <c r="G446" s="212">
        <v>1.4999999999999999E-2</v>
      </c>
    </row>
    <row r="447" spans="1:7" x14ac:dyDescent="0.35">
      <c r="A447" s="228"/>
      <c r="B447" s="62" t="s">
        <v>8</v>
      </c>
      <c r="C447" s="62">
        <v>362</v>
      </c>
      <c r="D447" s="77">
        <v>372.18</v>
      </c>
      <c r="E447" s="78">
        <f t="shared" si="36"/>
        <v>2.8121546961325985E-2</v>
      </c>
      <c r="F447" s="214"/>
      <c r="G447" s="212"/>
    </row>
    <row r="448" spans="1:7" x14ac:dyDescent="0.35">
      <c r="A448" s="229"/>
      <c r="B448" s="62" t="s">
        <v>9</v>
      </c>
      <c r="C448" s="62">
        <v>362</v>
      </c>
      <c r="D448" s="77">
        <v>366.14</v>
      </c>
      <c r="E448" s="78">
        <f t="shared" si="36"/>
        <v>1.1436464088397753E-2</v>
      </c>
      <c r="F448" s="214"/>
      <c r="G448" s="212"/>
    </row>
    <row r="449" spans="1:7" x14ac:dyDescent="0.35">
      <c r="A449" s="227">
        <v>46172</v>
      </c>
      <c r="B449" s="62" t="s">
        <v>7</v>
      </c>
      <c r="C449" s="62">
        <v>362</v>
      </c>
      <c r="D449" s="77"/>
      <c r="E449" s="78" t="str">
        <f t="shared" ref="E449:E451" si="37">IF(D449="","",(D449-C449)/C449)</f>
        <v/>
      </c>
      <c r="F449" s="213">
        <f>IFERROR(AVERAGE(E449:E451),"")</f>
        <v>2.5593922651933741E-2</v>
      </c>
      <c r="G449" s="212">
        <v>1.4999999999999999E-2</v>
      </c>
    </row>
    <row r="450" spans="1:7" x14ac:dyDescent="0.35">
      <c r="A450" s="228"/>
      <c r="B450" s="62" t="s">
        <v>8</v>
      </c>
      <c r="C450" s="62">
        <v>362</v>
      </c>
      <c r="D450" s="77">
        <v>372.93</v>
      </c>
      <c r="E450" s="78">
        <f t="shared" si="37"/>
        <v>3.0193370165745876E-2</v>
      </c>
      <c r="F450" s="214"/>
      <c r="G450" s="212"/>
    </row>
    <row r="451" spans="1:7" x14ac:dyDescent="0.35">
      <c r="A451" s="229"/>
      <c r="B451" s="62" t="s">
        <v>9</v>
      </c>
      <c r="C451" s="62">
        <v>362</v>
      </c>
      <c r="D451" s="77">
        <v>369.6</v>
      </c>
      <c r="E451" s="78">
        <f t="shared" si="37"/>
        <v>2.099447513812161E-2</v>
      </c>
      <c r="F451" s="214"/>
      <c r="G451" s="212"/>
    </row>
    <row r="452" spans="1:7" x14ac:dyDescent="0.35">
      <c r="A452" s="227">
        <v>46173</v>
      </c>
      <c r="B452" s="62" t="s">
        <v>7</v>
      </c>
      <c r="C452" s="62"/>
      <c r="D452" s="77"/>
      <c r="E452" s="78" t="str">
        <f t="shared" ref="E452:E511" si="38">IF(D452="","",(D452-C452)/C452)</f>
        <v/>
      </c>
      <c r="F452" s="213" t="str">
        <f>IFERROR(AVERAGE(E452:E454),"")</f>
        <v/>
      </c>
      <c r="G452" s="212">
        <v>1.4999999999999999E-2</v>
      </c>
    </row>
    <row r="453" spans="1:7" x14ac:dyDescent="0.35">
      <c r="A453" s="228"/>
      <c r="B453" s="62" t="s">
        <v>8</v>
      </c>
      <c r="C453" s="62"/>
      <c r="D453" s="77"/>
      <c r="E453" s="78" t="str">
        <f t="shared" si="38"/>
        <v/>
      </c>
      <c r="F453" s="214"/>
      <c r="G453" s="212"/>
    </row>
    <row r="454" spans="1:7" x14ac:dyDescent="0.35">
      <c r="A454" s="229"/>
      <c r="B454" s="62" t="s">
        <v>9</v>
      </c>
      <c r="C454" s="62"/>
      <c r="D454" s="77"/>
      <c r="E454" s="78" t="str">
        <f t="shared" si="38"/>
        <v/>
      </c>
      <c r="F454" s="214"/>
      <c r="G454" s="212"/>
    </row>
    <row r="455" spans="1:7" x14ac:dyDescent="0.35">
      <c r="A455" s="227">
        <v>46174</v>
      </c>
      <c r="B455" s="62" t="s">
        <v>7</v>
      </c>
      <c r="C455" s="62"/>
      <c r="D455" s="77"/>
      <c r="E455" s="78" t="str">
        <f t="shared" si="38"/>
        <v/>
      </c>
      <c r="F455" s="213" t="str">
        <f>IFERROR(AVERAGE(E455:E457),"")</f>
        <v/>
      </c>
      <c r="G455" s="212">
        <v>1.4999999999999999E-2</v>
      </c>
    </row>
    <row r="456" spans="1:7" x14ac:dyDescent="0.35">
      <c r="A456" s="228"/>
      <c r="B456" s="62" t="s">
        <v>8</v>
      </c>
      <c r="C456" s="62"/>
      <c r="D456" s="77"/>
      <c r="E456" s="78" t="str">
        <f t="shared" si="38"/>
        <v/>
      </c>
      <c r="F456" s="214"/>
      <c r="G456" s="212"/>
    </row>
    <row r="457" spans="1:7" x14ac:dyDescent="0.35">
      <c r="A457" s="229"/>
      <c r="B457" s="62" t="s">
        <v>9</v>
      </c>
      <c r="C457" s="62"/>
      <c r="D457" s="77"/>
      <c r="E457" s="78" t="str">
        <f t="shared" si="38"/>
        <v/>
      </c>
      <c r="F457" s="214"/>
      <c r="G457" s="212"/>
    </row>
    <row r="458" spans="1:7" x14ac:dyDescent="0.35">
      <c r="A458" s="227">
        <v>46175</v>
      </c>
      <c r="B458" s="62" t="s">
        <v>7</v>
      </c>
      <c r="C458" s="62"/>
      <c r="D458" s="77"/>
      <c r="E458" s="78" t="str">
        <f t="shared" si="38"/>
        <v/>
      </c>
      <c r="F458" s="213" t="str">
        <f>IFERROR(AVERAGE(E458:E460),"")</f>
        <v/>
      </c>
      <c r="G458" s="212">
        <v>1.4999999999999999E-2</v>
      </c>
    </row>
    <row r="459" spans="1:7" x14ac:dyDescent="0.35">
      <c r="A459" s="228"/>
      <c r="B459" s="62" t="s">
        <v>8</v>
      </c>
      <c r="C459" s="62"/>
      <c r="D459" s="77"/>
      <c r="E459" s="78" t="str">
        <f t="shared" si="38"/>
        <v/>
      </c>
      <c r="F459" s="214"/>
      <c r="G459" s="212"/>
    </row>
    <row r="460" spans="1:7" x14ac:dyDescent="0.35">
      <c r="A460" s="229"/>
      <c r="B460" s="62" t="s">
        <v>9</v>
      </c>
      <c r="C460" s="62"/>
      <c r="D460" s="77"/>
      <c r="E460" s="78" t="str">
        <f t="shared" si="38"/>
        <v/>
      </c>
      <c r="F460" s="214"/>
      <c r="G460" s="212"/>
    </row>
    <row r="461" spans="1:7" x14ac:dyDescent="0.35">
      <c r="A461" s="227">
        <v>46176</v>
      </c>
      <c r="B461" s="62" t="s">
        <v>7</v>
      </c>
      <c r="C461" s="62"/>
      <c r="D461" s="77"/>
      <c r="E461" s="78" t="str">
        <f t="shared" si="38"/>
        <v/>
      </c>
      <c r="F461" s="213" t="str">
        <f>IFERROR(AVERAGE(E461:E463),"")</f>
        <v/>
      </c>
      <c r="G461" s="212">
        <v>1.4999999999999999E-2</v>
      </c>
    </row>
    <row r="462" spans="1:7" x14ac:dyDescent="0.35">
      <c r="A462" s="228"/>
      <c r="B462" s="62" t="s">
        <v>8</v>
      </c>
      <c r="C462" s="62"/>
      <c r="D462" s="77"/>
      <c r="E462" s="78" t="str">
        <f t="shared" si="38"/>
        <v/>
      </c>
      <c r="F462" s="214"/>
      <c r="G462" s="212"/>
    </row>
    <row r="463" spans="1:7" x14ac:dyDescent="0.35">
      <c r="A463" s="229"/>
      <c r="B463" s="62" t="s">
        <v>9</v>
      </c>
      <c r="C463" s="62"/>
      <c r="D463" s="77"/>
      <c r="E463" s="78" t="str">
        <f t="shared" si="38"/>
        <v/>
      </c>
      <c r="F463" s="214"/>
      <c r="G463" s="212"/>
    </row>
    <row r="464" spans="1:7" x14ac:dyDescent="0.35">
      <c r="A464" s="227">
        <v>46177</v>
      </c>
      <c r="B464" s="62" t="s">
        <v>7</v>
      </c>
      <c r="C464" s="62"/>
      <c r="D464" s="77"/>
      <c r="E464" s="78" t="str">
        <f t="shared" si="38"/>
        <v/>
      </c>
      <c r="F464" s="213" t="str">
        <f>IFERROR(AVERAGE(E464:E466),"")</f>
        <v/>
      </c>
      <c r="G464" s="212">
        <v>1.4999999999999999E-2</v>
      </c>
    </row>
    <row r="465" spans="1:7" x14ac:dyDescent="0.35">
      <c r="A465" s="228"/>
      <c r="B465" s="62" t="s">
        <v>8</v>
      </c>
      <c r="C465" s="62"/>
      <c r="D465" s="77"/>
      <c r="E465" s="78" t="str">
        <f t="shared" si="38"/>
        <v/>
      </c>
      <c r="F465" s="214"/>
      <c r="G465" s="212"/>
    </row>
    <row r="466" spans="1:7" x14ac:dyDescent="0.35">
      <c r="A466" s="229"/>
      <c r="B466" s="62" t="s">
        <v>9</v>
      </c>
      <c r="C466" s="62"/>
      <c r="D466" s="77"/>
      <c r="E466" s="78" t="str">
        <f t="shared" si="38"/>
        <v/>
      </c>
      <c r="F466" s="214"/>
      <c r="G466" s="212"/>
    </row>
    <row r="467" spans="1:7" x14ac:dyDescent="0.35">
      <c r="A467" s="227">
        <v>46178</v>
      </c>
      <c r="B467" s="62" t="s">
        <v>7</v>
      </c>
      <c r="C467" s="62"/>
      <c r="D467" s="77"/>
      <c r="E467" s="78" t="str">
        <f t="shared" si="38"/>
        <v/>
      </c>
      <c r="F467" s="213" t="str">
        <f>IFERROR(AVERAGE(E467:E469),"")</f>
        <v/>
      </c>
      <c r="G467" s="212">
        <v>1.4999999999999999E-2</v>
      </c>
    </row>
    <row r="468" spans="1:7" x14ac:dyDescent="0.35">
      <c r="A468" s="228"/>
      <c r="B468" s="62" t="s">
        <v>8</v>
      </c>
      <c r="C468" s="62"/>
      <c r="D468" s="77"/>
      <c r="E468" s="78" t="str">
        <f t="shared" si="38"/>
        <v/>
      </c>
      <c r="F468" s="214"/>
      <c r="G468" s="212"/>
    </row>
    <row r="469" spans="1:7" x14ac:dyDescent="0.35">
      <c r="A469" s="229"/>
      <c r="B469" s="62" t="s">
        <v>9</v>
      </c>
      <c r="C469" s="62"/>
      <c r="D469" s="77"/>
      <c r="E469" s="78" t="str">
        <f t="shared" si="38"/>
        <v/>
      </c>
      <c r="F469" s="214"/>
      <c r="G469" s="212"/>
    </row>
    <row r="470" spans="1:7" x14ac:dyDescent="0.35">
      <c r="A470" s="227">
        <v>46179</v>
      </c>
      <c r="B470" s="62" t="s">
        <v>7</v>
      </c>
      <c r="C470" s="62"/>
      <c r="D470" s="77"/>
      <c r="E470" s="78" t="str">
        <f t="shared" si="38"/>
        <v/>
      </c>
      <c r="F470" s="213" t="str">
        <f>IFERROR(AVERAGE(E470:E472),"")</f>
        <v/>
      </c>
      <c r="G470" s="212">
        <v>1.4999999999999999E-2</v>
      </c>
    </row>
    <row r="471" spans="1:7" x14ac:dyDescent="0.35">
      <c r="A471" s="228"/>
      <c r="B471" s="62" t="s">
        <v>8</v>
      </c>
      <c r="C471" s="62"/>
      <c r="D471" s="77"/>
      <c r="E471" s="78" t="str">
        <f t="shared" si="38"/>
        <v/>
      </c>
      <c r="F471" s="214"/>
      <c r="G471" s="212"/>
    </row>
    <row r="472" spans="1:7" x14ac:dyDescent="0.35">
      <c r="A472" s="229"/>
      <c r="B472" s="62" t="s">
        <v>9</v>
      </c>
      <c r="C472" s="62"/>
      <c r="D472" s="77"/>
      <c r="E472" s="78" t="str">
        <f t="shared" si="38"/>
        <v/>
      </c>
      <c r="F472" s="214"/>
      <c r="G472" s="212"/>
    </row>
    <row r="473" spans="1:7" x14ac:dyDescent="0.35">
      <c r="A473" s="227">
        <v>46180</v>
      </c>
      <c r="B473" s="62" t="s">
        <v>7</v>
      </c>
      <c r="C473" s="62"/>
      <c r="D473" s="77"/>
      <c r="E473" s="78" t="str">
        <f t="shared" si="38"/>
        <v/>
      </c>
      <c r="F473" s="213" t="str">
        <f>IFERROR(AVERAGE(E473:E475),"")</f>
        <v/>
      </c>
      <c r="G473" s="212">
        <v>1.4999999999999999E-2</v>
      </c>
    </row>
    <row r="474" spans="1:7" x14ac:dyDescent="0.35">
      <c r="A474" s="228"/>
      <c r="B474" s="62" t="s">
        <v>8</v>
      </c>
      <c r="C474" s="62"/>
      <c r="D474" s="77"/>
      <c r="E474" s="78" t="str">
        <f t="shared" si="38"/>
        <v/>
      </c>
      <c r="F474" s="214"/>
      <c r="G474" s="212"/>
    </row>
    <row r="475" spans="1:7" x14ac:dyDescent="0.35">
      <c r="A475" s="229"/>
      <c r="B475" s="62" t="s">
        <v>9</v>
      </c>
      <c r="C475" s="62"/>
      <c r="D475" s="77"/>
      <c r="E475" s="78" t="str">
        <f t="shared" si="38"/>
        <v/>
      </c>
      <c r="F475" s="214"/>
      <c r="G475" s="212"/>
    </row>
    <row r="476" spans="1:7" x14ac:dyDescent="0.35">
      <c r="A476" s="227">
        <v>46181</v>
      </c>
      <c r="B476" s="62" t="s">
        <v>7</v>
      </c>
      <c r="C476" s="62"/>
      <c r="D476" s="77"/>
      <c r="E476" s="78" t="str">
        <f t="shared" si="38"/>
        <v/>
      </c>
      <c r="F476" s="213" t="str">
        <f>IFERROR(AVERAGE(E476:E478),"")</f>
        <v/>
      </c>
      <c r="G476" s="212">
        <v>1.4999999999999999E-2</v>
      </c>
    </row>
    <row r="477" spans="1:7" x14ac:dyDescent="0.35">
      <c r="A477" s="228"/>
      <c r="B477" s="62" t="s">
        <v>8</v>
      </c>
      <c r="C477" s="62"/>
      <c r="D477" s="77"/>
      <c r="E477" s="78" t="str">
        <f t="shared" si="38"/>
        <v/>
      </c>
      <c r="F477" s="214"/>
      <c r="G477" s="212"/>
    </row>
    <row r="478" spans="1:7" x14ac:dyDescent="0.35">
      <c r="A478" s="229"/>
      <c r="B478" s="62" t="s">
        <v>9</v>
      </c>
      <c r="C478" s="62"/>
      <c r="D478" s="77"/>
      <c r="E478" s="78" t="str">
        <f t="shared" si="38"/>
        <v/>
      </c>
      <c r="F478" s="214"/>
      <c r="G478" s="212"/>
    </row>
    <row r="479" spans="1:7" x14ac:dyDescent="0.35">
      <c r="A479" s="227">
        <v>46182</v>
      </c>
      <c r="B479" s="62" t="s">
        <v>7</v>
      </c>
      <c r="C479" s="62"/>
      <c r="D479" s="77"/>
      <c r="E479" s="78" t="str">
        <f t="shared" si="38"/>
        <v/>
      </c>
      <c r="F479" s="213" t="str">
        <f>IFERROR(AVERAGE(E479:E481),"")</f>
        <v/>
      </c>
      <c r="G479" s="212">
        <v>1.4999999999999999E-2</v>
      </c>
    </row>
    <row r="480" spans="1:7" x14ac:dyDescent="0.35">
      <c r="A480" s="228"/>
      <c r="B480" s="62" t="s">
        <v>8</v>
      </c>
      <c r="C480" s="62"/>
      <c r="D480" s="77"/>
      <c r="E480" s="78" t="str">
        <f t="shared" si="38"/>
        <v/>
      </c>
      <c r="F480" s="214"/>
      <c r="G480" s="212"/>
    </row>
    <row r="481" spans="1:7" x14ac:dyDescent="0.35">
      <c r="A481" s="229"/>
      <c r="B481" s="62" t="s">
        <v>9</v>
      </c>
      <c r="C481" s="62"/>
      <c r="D481" s="77"/>
      <c r="E481" s="78" t="str">
        <f t="shared" si="38"/>
        <v/>
      </c>
      <c r="F481" s="214"/>
      <c r="G481" s="212"/>
    </row>
    <row r="482" spans="1:7" x14ac:dyDescent="0.35">
      <c r="A482" s="227">
        <v>46183</v>
      </c>
      <c r="B482" s="62" t="s">
        <v>7</v>
      </c>
      <c r="C482" s="62"/>
      <c r="D482" s="77"/>
      <c r="E482" s="78" t="str">
        <f t="shared" si="38"/>
        <v/>
      </c>
      <c r="F482" s="213" t="str">
        <f>IFERROR(AVERAGE(E482:E484),"")</f>
        <v/>
      </c>
      <c r="G482" s="212">
        <v>1.4999999999999999E-2</v>
      </c>
    </row>
    <row r="483" spans="1:7" x14ac:dyDescent="0.35">
      <c r="A483" s="228"/>
      <c r="B483" s="62" t="s">
        <v>8</v>
      </c>
      <c r="C483" s="62"/>
      <c r="D483" s="77"/>
      <c r="E483" s="78" t="str">
        <f t="shared" si="38"/>
        <v/>
      </c>
      <c r="F483" s="214"/>
      <c r="G483" s="212"/>
    </row>
    <row r="484" spans="1:7" x14ac:dyDescent="0.35">
      <c r="A484" s="229"/>
      <c r="B484" s="62" t="s">
        <v>9</v>
      </c>
      <c r="C484" s="62"/>
      <c r="D484" s="77"/>
      <c r="E484" s="78" t="str">
        <f t="shared" si="38"/>
        <v/>
      </c>
      <c r="F484" s="214"/>
      <c r="G484" s="212"/>
    </row>
    <row r="485" spans="1:7" x14ac:dyDescent="0.35">
      <c r="A485" s="227">
        <v>46184</v>
      </c>
      <c r="B485" s="62" t="s">
        <v>7</v>
      </c>
      <c r="C485" s="62"/>
      <c r="D485" s="77"/>
      <c r="E485" s="78" t="str">
        <f t="shared" si="38"/>
        <v/>
      </c>
      <c r="F485" s="213" t="str">
        <f>IFERROR(AVERAGE(E485:E487),"")</f>
        <v/>
      </c>
      <c r="G485" s="212">
        <v>1.4999999999999999E-2</v>
      </c>
    </row>
    <row r="486" spans="1:7" x14ac:dyDescent="0.35">
      <c r="A486" s="228"/>
      <c r="B486" s="62" t="s">
        <v>8</v>
      </c>
      <c r="C486" s="62"/>
      <c r="D486" s="77"/>
      <c r="E486" s="78" t="str">
        <f t="shared" si="38"/>
        <v/>
      </c>
      <c r="F486" s="214"/>
      <c r="G486" s="212"/>
    </row>
    <row r="487" spans="1:7" x14ac:dyDescent="0.35">
      <c r="A487" s="229"/>
      <c r="B487" s="62" t="s">
        <v>9</v>
      </c>
      <c r="C487" s="62"/>
      <c r="D487" s="77"/>
      <c r="E487" s="78" t="str">
        <f t="shared" si="38"/>
        <v/>
      </c>
      <c r="F487" s="214"/>
      <c r="G487" s="212"/>
    </row>
    <row r="488" spans="1:7" x14ac:dyDescent="0.35">
      <c r="A488" s="227">
        <v>46185</v>
      </c>
      <c r="B488" s="62" t="s">
        <v>7</v>
      </c>
      <c r="C488" s="62"/>
      <c r="D488" s="77"/>
      <c r="E488" s="78" t="str">
        <f t="shared" si="38"/>
        <v/>
      </c>
      <c r="F488" s="213" t="str">
        <f>IFERROR(AVERAGE(E488:E490),"")</f>
        <v/>
      </c>
      <c r="G488" s="212">
        <v>1.4999999999999999E-2</v>
      </c>
    </row>
    <row r="489" spans="1:7" x14ac:dyDescent="0.35">
      <c r="A489" s="228"/>
      <c r="B489" s="62" t="s">
        <v>8</v>
      </c>
      <c r="C489" s="62"/>
      <c r="D489" s="77"/>
      <c r="E489" s="78" t="str">
        <f t="shared" si="38"/>
        <v/>
      </c>
      <c r="F489" s="214"/>
      <c r="G489" s="212"/>
    </row>
    <row r="490" spans="1:7" x14ac:dyDescent="0.35">
      <c r="A490" s="229"/>
      <c r="B490" s="62" t="s">
        <v>9</v>
      </c>
      <c r="C490" s="62"/>
      <c r="D490" s="77"/>
      <c r="E490" s="78" t="str">
        <f t="shared" si="38"/>
        <v/>
      </c>
      <c r="F490" s="214"/>
      <c r="G490" s="212"/>
    </row>
    <row r="491" spans="1:7" x14ac:dyDescent="0.35">
      <c r="A491" s="227">
        <v>46186</v>
      </c>
      <c r="B491" s="62" t="s">
        <v>7</v>
      </c>
      <c r="C491" s="62">
        <v>362</v>
      </c>
      <c r="D491" s="77">
        <v>366.21</v>
      </c>
      <c r="E491" s="78">
        <f t="shared" si="38"/>
        <v>1.162983425414359E-2</v>
      </c>
      <c r="F491" s="213">
        <f>IFERROR(AVERAGE(E491:E493),"")</f>
        <v>1.9594843462246752E-2</v>
      </c>
      <c r="G491" s="212">
        <v>1.4999999999999999E-2</v>
      </c>
    </row>
    <row r="492" spans="1:7" x14ac:dyDescent="0.35">
      <c r="A492" s="228"/>
      <c r="B492" s="62" t="s">
        <v>8</v>
      </c>
      <c r="C492" s="62">
        <v>362</v>
      </c>
      <c r="D492" s="77">
        <v>361.88</v>
      </c>
      <c r="E492" s="78">
        <f t="shared" si="38"/>
        <v>-3.3149171270719486E-4</v>
      </c>
      <c r="F492" s="214"/>
      <c r="G492" s="212"/>
    </row>
    <row r="493" spans="1:7" x14ac:dyDescent="0.35">
      <c r="A493" s="229"/>
      <c r="B493" s="62" t="s">
        <v>9</v>
      </c>
      <c r="C493" s="62">
        <v>362</v>
      </c>
      <c r="D493" s="77">
        <v>379.19</v>
      </c>
      <c r="E493" s="78">
        <f t="shared" si="38"/>
        <v>4.7486187845303861E-2</v>
      </c>
      <c r="F493" s="214"/>
      <c r="G493" s="212"/>
    </row>
    <row r="494" spans="1:7" x14ac:dyDescent="0.35">
      <c r="A494" s="227">
        <v>46187</v>
      </c>
      <c r="B494" s="62" t="s">
        <v>7</v>
      </c>
      <c r="C494" s="62">
        <v>362</v>
      </c>
      <c r="D494" s="77">
        <v>380.13</v>
      </c>
      <c r="E494" s="78">
        <f t="shared" si="38"/>
        <v>5.0082872928176786E-2</v>
      </c>
      <c r="F494" s="213">
        <f>IFERROR(AVERAGE(E494:E496),"")</f>
        <v>3.1556169429097593E-2</v>
      </c>
      <c r="G494" s="212">
        <v>1.4999999999999999E-2</v>
      </c>
    </row>
    <row r="495" spans="1:7" x14ac:dyDescent="0.35">
      <c r="A495" s="228"/>
      <c r="B495" s="62" t="s">
        <v>8</v>
      </c>
      <c r="C495" s="62">
        <v>362</v>
      </c>
      <c r="D495" s="77">
        <v>373.08</v>
      </c>
      <c r="E495" s="78">
        <f t="shared" si="38"/>
        <v>3.0607734806629792E-2</v>
      </c>
      <c r="F495" s="214"/>
      <c r="G495" s="212"/>
    </row>
    <row r="496" spans="1:7" x14ac:dyDescent="0.35">
      <c r="A496" s="229"/>
      <c r="B496" s="62" t="s">
        <v>9</v>
      </c>
      <c r="C496" s="62">
        <v>362</v>
      </c>
      <c r="D496" s="77">
        <v>367.06</v>
      </c>
      <c r="E496" s="78">
        <f t="shared" si="38"/>
        <v>1.3977900552486194E-2</v>
      </c>
      <c r="F496" s="214"/>
      <c r="G496" s="212"/>
    </row>
    <row r="497" spans="1:7" x14ac:dyDescent="0.35">
      <c r="A497" s="227">
        <v>46188</v>
      </c>
      <c r="B497" s="62" t="s">
        <v>7</v>
      </c>
      <c r="C497" s="62">
        <v>362</v>
      </c>
      <c r="D497" s="77">
        <v>374.22</v>
      </c>
      <c r="E497" s="78">
        <f t="shared" si="38"/>
        <v>3.3756906077348145E-2</v>
      </c>
      <c r="F497" s="213">
        <f>IFERROR(AVERAGE(E497:E499),"")</f>
        <v>3.6482504604051565E-2</v>
      </c>
      <c r="G497" s="212">
        <v>1.4999999999999999E-2</v>
      </c>
    </row>
    <row r="498" spans="1:7" x14ac:dyDescent="0.35">
      <c r="A498" s="228"/>
      <c r="B498" s="62" t="s">
        <v>8</v>
      </c>
      <c r="C498" s="62">
        <v>362</v>
      </c>
      <c r="D498" s="77">
        <v>368.96</v>
      </c>
      <c r="E498" s="78">
        <f t="shared" si="38"/>
        <v>1.9226519337016516E-2</v>
      </c>
      <c r="F498" s="214"/>
      <c r="G498" s="212"/>
    </row>
    <row r="499" spans="1:7" x14ac:dyDescent="0.35">
      <c r="A499" s="229"/>
      <c r="B499" s="62" t="s">
        <v>9</v>
      </c>
      <c r="C499" s="62">
        <v>362</v>
      </c>
      <c r="D499" s="77">
        <v>382.44</v>
      </c>
      <c r="E499" s="78">
        <f t="shared" si="38"/>
        <v>5.6464088397790047E-2</v>
      </c>
      <c r="F499" s="214"/>
      <c r="G499" s="212"/>
    </row>
    <row r="500" spans="1:7" x14ac:dyDescent="0.35">
      <c r="A500" s="227">
        <v>46189</v>
      </c>
      <c r="B500" s="62" t="s">
        <v>7</v>
      </c>
      <c r="C500" s="62">
        <v>362</v>
      </c>
      <c r="D500" s="77"/>
      <c r="E500" s="78" t="str">
        <f t="shared" si="38"/>
        <v/>
      </c>
      <c r="F500" s="213">
        <f>IFERROR(AVERAGE(E500:E502),"")</f>
        <v>2.1146408839779009E-2</v>
      </c>
      <c r="G500" s="212">
        <v>1.4999999999999999E-2</v>
      </c>
    </row>
    <row r="501" spans="1:7" x14ac:dyDescent="0.35">
      <c r="A501" s="228"/>
      <c r="B501" s="62" t="s">
        <v>8</v>
      </c>
      <c r="C501" s="62">
        <v>362</v>
      </c>
      <c r="D501" s="77">
        <v>368.29</v>
      </c>
      <c r="E501" s="78">
        <f t="shared" si="38"/>
        <v>1.7375690607734862E-2</v>
      </c>
      <c r="F501" s="214"/>
      <c r="G501" s="212"/>
    </row>
    <row r="502" spans="1:7" x14ac:dyDescent="0.35">
      <c r="A502" s="229"/>
      <c r="B502" s="62" t="s">
        <v>9</v>
      </c>
      <c r="C502" s="62">
        <v>362</v>
      </c>
      <c r="D502" s="77">
        <v>371.02</v>
      </c>
      <c r="E502" s="78">
        <f t="shared" si="38"/>
        <v>2.4917127071823156E-2</v>
      </c>
      <c r="F502" s="214"/>
      <c r="G502" s="212"/>
    </row>
    <row r="503" spans="1:7" x14ac:dyDescent="0.35">
      <c r="A503" s="227">
        <v>46190</v>
      </c>
      <c r="B503" s="62" t="s">
        <v>7</v>
      </c>
      <c r="C503" s="62">
        <v>362</v>
      </c>
      <c r="D503" s="77"/>
      <c r="E503" s="78" t="str">
        <f t="shared" si="38"/>
        <v/>
      </c>
      <c r="F503" s="213">
        <f>IFERROR(AVERAGE(E503:E505),"")</f>
        <v>3.6919889502762454E-2</v>
      </c>
      <c r="G503" s="212">
        <v>1.4999999999999999E-2</v>
      </c>
    </row>
    <row r="504" spans="1:7" x14ac:dyDescent="0.35">
      <c r="A504" s="228"/>
      <c r="B504" s="62" t="s">
        <v>8</v>
      </c>
      <c r="C504" s="62">
        <v>362</v>
      </c>
      <c r="D504" s="77">
        <v>368.29</v>
      </c>
      <c r="E504" s="78">
        <f t="shared" si="38"/>
        <v>1.7375690607734862E-2</v>
      </c>
      <c r="F504" s="214"/>
      <c r="G504" s="212"/>
    </row>
    <row r="505" spans="1:7" x14ac:dyDescent="0.35">
      <c r="A505" s="229"/>
      <c r="B505" s="62" t="s">
        <v>9</v>
      </c>
      <c r="C505" s="62">
        <v>362</v>
      </c>
      <c r="D505" s="77">
        <v>382.44</v>
      </c>
      <c r="E505" s="78">
        <f t="shared" si="38"/>
        <v>5.6464088397790047E-2</v>
      </c>
      <c r="F505" s="214"/>
      <c r="G505" s="212"/>
    </row>
    <row r="506" spans="1:7" x14ac:dyDescent="0.35">
      <c r="A506" s="227">
        <v>46191</v>
      </c>
      <c r="B506" s="62" t="s">
        <v>7</v>
      </c>
      <c r="C506" s="62">
        <v>362</v>
      </c>
      <c r="D506" s="77">
        <v>370.21</v>
      </c>
      <c r="E506" s="78">
        <f t="shared" si="38"/>
        <v>2.2679558011049667E-2</v>
      </c>
      <c r="F506" s="213">
        <f>IFERROR(AVERAGE(E506:E508),"")</f>
        <v>2.1206261510128888E-2</v>
      </c>
      <c r="G506" s="212">
        <v>1.4999999999999999E-2</v>
      </c>
    </row>
    <row r="507" spans="1:7" x14ac:dyDescent="0.35">
      <c r="A507" s="228"/>
      <c r="B507" s="62" t="s">
        <v>8</v>
      </c>
      <c r="C507" s="62">
        <v>362</v>
      </c>
      <c r="D507" s="77">
        <v>369.31</v>
      </c>
      <c r="E507" s="78">
        <f t="shared" si="38"/>
        <v>2.0193370165745864E-2</v>
      </c>
      <c r="F507" s="214"/>
      <c r="G507" s="212"/>
    </row>
    <row r="508" spans="1:7" x14ac:dyDescent="0.35">
      <c r="A508" s="229"/>
      <c r="B508" s="62" t="s">
        <v>9</v>
      </c>
      <c r="C508" s="62">
        <v>362</v>
      </c>
      <c r="D508" s="77">
        <v>369.51</v>
      </c>
      <c r="E508" s="78">
        <f t="shared" si="38"/>
        <v>2.0745856353591136E-2</v>
      </c>
      <c r="F508" s="214"/>
      <c r="G508" s="212"/>
    </row>
    <row r="509" spans="1:7" x14ac:dyDescent="0.35">
      <c r="A509" s="227">
        <v>46192</v>
      </c>
      <c r="B509" s="62" t="s">
        <v>7</v>
      </c>
      <c r="C509" s="62">
        <v>362</v>
      </c>
      <c r="D509" s="77">
        <v>358.28</v>
      </c>
      <c r="E509" s="78">
        <f t="shared" si="38"/>
        <v>-1.0276243093922728E-2</v>
      </c>
      <c r="F509" s="213">
        <f>IFERROR(AVERAGE(E509:E511),"")</f>
        <v>7.559852670349837E-3</v>
      </c>
      <c r="G509" s="212">
        <v>1.4999999999999999E-2</v>
      </c>
    </row>
    <row r="510" spans="1:7" x14ac:dyDescent="0.35">
      <c r="A510" s="228"/>
      <c r="B510" s="62" t="s">
        <v>8</v>
      </c>
      <c r="C510" s="62">
        <v>362</v>
      </c>
      <c r="D510" s="77">
        <v>367.65</v>
      </c>
      <c r="E510" s="78">
        <f t="shared" si="38"/>
        <v>1.5607734806629772E-2</v>
      </c>
      <c r="F510" s="214"/>
      <c r="G510" s="212"/>
    </row>
    <row r="511" spans="1:7" x14ac:dyDescent="0.35">
      <c r="A511" s="229"/>
      <c r="B511" s="62" t="s">
        <v>9</v>
      </c>
      <c r="C511" s="62">
        <v>362</v>
      </c>
      <c r="D511" s="77">
        <v>368.28</v>
      </c>
      <c r="E511" s="78">
        <f t="shared" si="38"/>
        <v>1.7348066298342468E-2</v>
      </c>
      <c r="F511" s="214"/>
      <c r="G511" s="212"/>
    </row>
    <row r="512" spans="1:7" x14ac:dyDescent="0.35">
      <c r="A512" s="227">
        <v>46193</v>
      </c>
      <c r="B512" s="62" t="s">
        <v>7</v>
      </c>
      <c r="C512" s="62">
        <v>362</v>
      </c>
      <c r="D512" s="77">
        <v>368.28</v>
      </c>
      <c r="E512" s="78">
        <f t="shared" ref="E512:E514" si="39">IF(D512="","",(D512-C512)/C512)</f>
        <v>1.7348066298342468E-2</v>
      </c>
      <c r="F512" s="213">
        <f>IFERROR(AVERAGE(E512:E514),"")</f>
        <v>1.6860036832412478E-2</v>
      </c>
      <c r="G512" s="212">
        <v>1.4999999999999999E-2</v>
      </c>
    </row>
    <row r="513" spans="1:7" x14ac:dyDescent="0.35">
      <c r="A513" s="228"/>
      <c r="B513" s="62" t="s">
        <v>8</v>
      </c>
      <c r="C513" s="62">
        <v>362</v>
      </c>
      <c r="D513" s="77">
        <v>367.75</v>
      </c>
      <c r="E513" s="78">
        <f t="shared" si="39"/>
        <v>1.5883977900552487E-2</v>
      </c>
      <c r="F513" s="214"/>
      <c r="G513" s="212"/>
    </row>
    <row r="514" spans="1:7" x14ac:dyDescent="0.35">
      <c r="A514" s="229"/>
      <c r="B514" s="62" t="s">
        <v>9</v>
      </c>
      <c r="C514" s="62">
        <v>362</v>
      </c>
      <c r="D514" s="77">
        <v>368.28</v>
      </c>
      <c r="E514" s="78">
        <f t="shared" si="39"/>
        <v>1.7348066298342468E-2</v>
      </c>
      <c r="F514" s="214"/>
      <c r="G514" s="212"/>
    </row>
    <row r="515" spans="1:7" x14ac:dyDescent="0.35">
      <c r="A515" s="227">
        <v>46194</v>
      </c>
      <c r="B515" s="62" t="s">
        <v>7</v>
      </c>
      <c r="C515" s="62">
        <v>362</v>
      </c>
      <c r="D515" s="77">
        <v>366.25</v>
      </c>
      <c r="E515" s="78">
        <f t="shared" ref="E515:E517" si="40">IF(D515="","",(D515-C515)/C515)</f>
        <v>1.1740331491712707E-2</v>
      </c>
      <c r="F515" s="213">
        <f>IFERROR(AVERAGE(E515:E517),"")</f>
        <v>1.9981583793738478E-2</v>
      </c>
      <c r="G515" s="212">
        <v>1.4999999999999999E-2</v>
      </c>
    </row>
    <row r="516" spans="1:7" x14ac:dyDescent="0.35">
      <c r="A516" s="228"/>
      <c r="B516" s="62" t="s">
        <v>8</v>
      </c>
      <c r="C516" s="62">
        <v>362</v>
      </c>
      <c r="D516" s="77">
        <v>372.2</v>
      </c>
      <c r="E516" s="78">
        <f t="shared" si="40"/>
        <v>2.8176795580110464E-2</v>
      </c>
      <c r="F516" s="214"/>
      <c r="G516" s="212"/>
    </row>
    <row r="517" spans="1:7" x14ac:dyDescent="0.35">
      <c r="A517" s="229"/>
      <c r="B517" s="62" t="s">
        <v>9</v>
      </c>
      <c r="C517" s="62">
        <v>362</v>
      </c>
      <c r="D517" s="77">
        <v>369.25</v>
      </c>
      <c r="E517" s="78">
        <f t="shared" si="40"/>
        <v>2.0027624309392266E-2</v>
      </c>
      <c r="F517" s="214"/>
      <c r="G517" s="212"/>
    </row>
    <row r="518" spans="1:7" x14ac:dyDescent="0.35">
      <c r="A518" s="227">
        <v>46195</v>
      </c>
      <c r="B518" s="62" t="s">
        <v>7</v>
      </c>
      <c r="C518" s="62">
        <v>362</v>
      </c>
      <c r="D518" s="77">
        <v>369.86</v>
      </c>
      <c r="E518" s="78">
        <f t="shared" ref="E518:E520" si="41">IF(D518="","",(D518-C518)/C518)</f>
        <v>2.1712707182320479E-2</v>
      </c>
      <c r="F518" s="213">
        <f>IFERROR(AVERAGE(E518:E520),"")</f>
        <v>3.1086556169429142E-2</v>
      </c>
      <c r="G518" s="212">
        <v>1.4999999999999999E-2</v>
      </c>
    </row>
    <row r="519" spans="1:7" x14ac:dyDescent="0.35">
      <c r="A519" s="228"/>
      <c r="B519" s="62" t="s">
        <v>8</v>
      </c>
      <c r="C519" s="62">
        <v>362</v>
      </c>
      <c r="D519" s="77">
        <v>369.11</v>
      </c>
      <c r="E519" s="78">
        <f t="shared" si="41"/>
        <v>1.9640883977900592E-2</v>
      </c>
      <c r="F519" s="214"/>
      <c r="G519" s="212"/>
    </row>
    <row r="520" spans="1:7" x14ac:dyDescent="0.35">
      <c r="A520" s="229"/>
      <c r="B520" s="62" t="s">
        <v>9</v>
      </c>
      <c r="C520" s="62">
        <v>362</v>
      </c>
      <c r="D520" s="77">
        <v>380.79</v>
      </c>
      <c r="E520" s="78">
        <f t="shared" si="41"/>
        <v>5.1906077348066355E-2</v>
      </c>
      <c r="F520" s="214"/>
      <c r="G520" s="212"/>
    </row>
    <row r="521" spans="1:7" x14ac:dyDescent="0.35">
      <c r="A521" s="227">
        <v>46196</v>
      </c>
      <c r="B521" s="62" t="s">
        <v>7</v>
      </c>
      <c r="C521" s="62">
        <v>362</v>
      </c>
      <c r="D521" s="77">
        <v>380.49</v>
      </c>
      <c r="E521" s="78">
        <f t="shared" ref="E521:E579" si="42">IF(D521="","",(D521-C521)/C521)</f>
        <v>5.1077348066298364E-2</v>
      </c>
      <c r="F521" s="213">
        <f>IFERROR(AVERAGE(E521:E523),"")</f>
        <v>4.0874769797421773E-2</v>
      </c>
      <c r="G521" s="212">
        <v>1.4999999999999999E-2</v>
      </c>
    </row>
    <row r="522" spans="1:7" x14ac:dyDescent="0.35">
      <c r="A522" s="228"/>
      <c r="B522" s="62" t="s">
        <v>8</v>
      </c>
      <c r="C522" s="62">
        <v>362</v>
      </c>
      <c r="D522" s="77">
        <v>369.11</v>
      </c>
      <c r="E522" s="78">
        <f t="shared" si="42"/>
        <v>1.9640883977900592E-2</v>
      </c>
      <c r="F522" s="214"/>
      <c r="G522" s="212"/>
    </row>
    <row r="523" spans="1:7" x14ac:dyDescent="0.35">
      <c r="A523" s="229"/>
      <c r="B523" s="62" t="s">
        <v>9</v>
      </c>
      <c r="C523" s="62">
        <v>362</v>
      </c>
      <c r="D523" s="77">
        <v>380.79</v>
      </c>
      <c r="E523" s="78">
        <f t="shared" si="42"/>
        <v>5.1906077348066355E-2</v>
      </c>
      <c r="F523" s="214"/>
      <c r="G523" s="212"/>
    </row>
    <row r="524" spans="1:7" x14ac:dyDescent="0.35">
      <c r="A524" s="227">
        <v>46197</v>
      </c>
      <c r="B524" s="62" t="s">
        <v>7</v>
      </c>
      <c r="C524" s="62">
        <v>572</v>
      </c>
      <c r="D524" s="77">
        <v>585.71</v>
      </c>
      <c r="E524" s="78">
        <f t="shared" si="42"/>
        <v>2.3968531468531531E-2</v>
      </c>
      <c r="F524" s="213">
        <f>IFERROR(AVERAGE(E524:E526),"")</f>
        <v>3.0069930069930084E-2</v>
      </c>
      <c r="G524" s="212">
        <v>1.4999999999999999E-2</v>
      </c>
    </row>
    <row r="525" spans="1:7" x14ac:dyDescent="0.35">
      <c r="A525" s="228"/>
      <c r="B525" s="62" t="s">
        <v>8</v>
      </c>
      <c r="C525" s="62">
        <v>572</v>
      </c>
      <c r="D525" s="77">
        <v>588.78</v>
      </c>
      <c r="E525" s="78">
        <f t="shared" si="42"/>
        <v>2.9335664335664289E-2</v>
      </c>
      <c r="F525" s="214"/>
      <c r="G525" s="212"/>
    </row>
    <row r="526" spans="1:7" x14ac:dyDescent="0.35">
      <c r="A526" s="229"/>
      <c r="B526" s="62" t="s">
        <v>9</v>
      </c>
      <c r="C526" s="62">
        <v>572</v>
      </c>
      <c r="D526" s="77">
        <v>593.11</v>
      </c>
      <c r="E526" s="78">
        <f t="shared" si="42"/>
        <v>3.6905594405594426E-2</v>
      </c>
      <c r="F526" s="214"/>
      <c r="G526" s="212"/>
    </row>
    <row r="527" spans="1:7" x14ac:dyDescent="0.35">
      <c r="A527" s="227">
        <v>46198</v>
      </c>
      <c r="B527" s="62" t="s">
        <v>7</v>
      </c>
      <c r="C527" s="62">
        <v>572</v>
      </c>
      <c r="D527" s="77">
        <v>583.28</v>
      </c>
      <c r="E527" s="78">
        <f t="shared" si="42"/>
        <v>1.9720279720279673E-2</v>
      </c>
      <c r="F527" s="213">
        <f>IFERROR(AVERAGE(E527:E529),"")</f>
        <v>2.3770396270396316E-2</v>
      </c>
      <c r="G527" s="212">
        <v>1.4999999999999999E-2</v>
      </c>
    </row>
    <row r="528" spans="1:7" x14ac:dyDescent="0.35">
      <c r="A528" s="228"/>
      <c r="B528" s="62" t="s">
        <v>8</v>
      </c>
      <c r="C528" s="62">
        <v>572</v>
      </c>
      <c r="D528" s="77">
        <v>584.07000000000005</v>
      </c>
      <c r="E528" s="78">
        <f t="shared" si="42"/>
        <v>2.1101398601398688E-2</v>
      </c>
      <c r="F528" s="214"/>
      <c r="G528" s="212"/>
    </row>
    <row r="529" spans="1:7" x14ac:dyDescent="0.35">
      <c r="A529" s="229"/>
      <c r="B529" s="62" t="s">
        <v>9</v>
      </c>
      <c r="C529" s="62">
        <v>572</v>
      </c>
      <c r="D529" s="77">
        <v>589.44000000000005</v>
      </c>
      <c r="E529" s="78">
        <f t="shared" si="42"/>
        <v>3.0489510489510586E-2</v>
      </c>
      <c r="F529" s="214"/>
      <c r="G529" s="212"/>
    </row>
    <row r="530" spans="1:7" x14ac:dyDescent="0.35">
      <c r="A530" s="227">
        <v>46199</v>
      </c>
      <c r="B530" s="62" t="s">
        <v>7</v>
      </c>
      <c r="C530" s="62">
        <v>572</v>
      </c>
      <c r="D530" s="77">
        <v>588.84</v>
      </c>
      <c r="E530" s="78">
        <f t="shared" si="42"/>
        <v>2.9440559440559497E-2</v>
      </c>
      <c r="F530" s="213">
        <f>IFERROR(AVERAGE(E530:E532),"")</f>
        <v>2.7296037296037315E-2</v>
      </c>
      <c r="G530" s="212">
        <v>1.4999999999999999E-2</v>
      </c>
    </row>
    <row r="531" spans="1:7" x14ac:dyDescent="0.35">
      <c r="A531" s="228"/>
      <c r="B531" s="62" t="s">
        <v>8</v>
      </c>
      <c r="C531" s="62">
        <v>572</v>
      </c>
      <c r="D531" s="77">
        <v>586.42999999999995</v>
      </c>
      <c r="E531" s="78">
        <f t="shared" si="42"/>
        <v>2.522727272727264E-2</v>
      </c>
      <c r="F531" s="214"/>
      <c r="G531" s="212"/>
    </row>
    <row r="532" spans="1:7" x14ac:dyDescent="0.35">
      <c r="A532" s="229"/>
      <c r="B532" s="62" t="s">
        <v>9</v>
      </c>
      <c r="C532" s="62">
        <v>572</v>
      </c>
      <c r="D532" s="77">
        <v>587.57000000000005</v>
      </c>
      <c r="E532" s="78">
        <f t="shared" si="42"/>
        <v>2.7220279720279808E-2</v>
      </c>
      <c r="F532" s="214"/>
      <c r="G532" s="212"/>
    </row>
    <row r="533" spans="1:7" x14ac:dyDescent="0.35">
      <c r="A533" s="227">
        <v>46200</v>
      </c>
      <c r="B533" s="62" t="s">
        <v>7</v>
      </c>
      <c r="C533" s="62"/>
      <c r="D533" s="77"/>
      <c r="E533" s="78" t="str">
        <f t="shared" si="42"/>
        <v/>
      </c>
      <c r="F533" s="213">
        <f>IFERROR(AVERAGE(E533:E535),"")</f>
        <v>2.5463286713286709E-2</v>
      </c>
      <c r="G533" s="212">
        <v>1.4999999999999999E-2</v>
      </c>
    </row>
    <row r="534" spans="1:7" x14ac:dyDescent="0.35">
      <c r="A534" s="228"/>
      <c r="B534" s="62" t="s">
        <v>8</v>
      </c>
      <c r="C534" s="62">
        <v>572</v>
      </c>
      <c r="D534" s="77">
        <v>582.41</v>
      </c>
      <c r="E534" s="78">
        <f t="shared" si="42"/>
        <v>1.8199300699300643E-2</v>
      </c>
      <c r="F534" s="214"/>
      <c r="G534" s="212"/>
    </row>
    <row r="535" spans="1:7" x14ac:dyDescent="0.35">
      <c r="A535" s="229"/>
      <c r="B535" s="62" t="s">
        <v>9</v>
      </c>
      <c r="C535" s="62">
        <v>572</v>
      </c>
      <c r="D535" s="77">
        <v>590.72</v>
      </c>
      <c r="E535" s="78">
        <f t="shared" si="42"/>
        <v>3.2727272727272778E-2</v>
      </c>
      <c r="F535" s="214"/>
      <c r="G535" s="212"/>
    </row>
    <row r="536" spans="1:7" x14ac:dyDescent="0.35">
      <c r="A536" s="227">
        <v>46201</v>
      </c>
      <c r="B536" s="62" t="s">
        <v>7</v>
      </c>
      <c r="C536" s="62">
        <v>572</v>
      </c>
      <c r="D536" s="77">
        <v>586.15</v>
      </c>
      <c r="E536" s="78">
        <f t="shared" si="42"/>
        <v>2.4737762237762199E-2</v>
      </c>
      <c r="F536" s="213">
        <f>IFERROR(AVERAGE(E536:E538),"")</f>
        <v>3.0174825174825157E-2</v>
      </c>
      <c r="G536" s="212">
        <v>1.4999999999999999E-2</v>
      </c>
    </row>
    <row r="537" spans="1:7" x14ac:dyDescent="0.35">
      <c r="A537" s="228"/>
      <c r="B537" s="62" t="s">
        <v>8</v>
      </c>
      <c r="C537" s="62">
        <v>572</v>
      </c>
      <c r="D537" s="77">
        <v>595.79</v>
      </c>
      <c r="E537" s="78">
        <f t="shared" si="42"/>
        <v>4.1590909090909026E-2</v>
      </c>
      <c r="F537" s="214"/>
      <c r="G537" s="212"/>
    </row>
    <row r="538" spans="1:7" x14ac:dyDescent="0.35">
      <c r="A538" s="229"/>
      <c r="B538" s="62" t="s">
        <v>9</v>
      </c>
      <c r="C538" s="62">
        <v>572</v>
      </c>
      <c r="D538" s="77">
        <v>585.84</v>
      </c>
      <c r="E538" s="78">
        <f t="shared" si="42"/>
        <v>2.4195804195804253E-2</v>
      </c>
      <c r="F538" s="214"/>
      <c r="G538" s="212"/>
    </row>
    <row r="539" spans="1:7" x14ac:dyDescent="0.35">
      <c r="A539" s="227">
        <v>46202</v>
      </c>
      <c r="B539" s="62" t="s">
        <v>7</v>
      </c>
      <c r="C539" s="62">
        <v>572</v>
      </c>
      <c r="D539" s="77">
        <v>585.74</v>
      </c>
      <c r="E539" s="78">
        <f t="shared" si="42"/>
        <v>2.4020979020979036E-2</v>
      </c>
      <c r="F539" s="213">
        <f>IFERROR(AVERAGE(E539:E541),"")</f>
        <v>2.3974358974358966E-2</v>
      </c>
      <c r="G539" s="212">
        <v>1.4999999999999999E-2</v>
      </c>
    </row>
    <row r="540" spans="1:7" x14ac:dyDescent="0.35">
      <c r="A540" s="228"/>
      <c r="B540" s="62" t="s">
        <v>8</v>
      </c>
      <c r="C540" s="62">
        <v>572</v>
      </c>
      <c r="D540" s="77">
        <v>585.74</v>
      </c>
      <c r="E540" s="78">
        <f t="shared" si="42"/>
        <v>2.4020979020979036E-2</v>
      </c>
      <c r="F540" s="214"/>
      <c r="G540" s="212"/>
    </row>
    <row r="541" spans="1:7" x14ac:dyDescent="0.35">
      <c r="A541" s="229"/>
      <c r="B541" s="62" t="s">
        <v>9</v>
      </c>
      <c r="C541" s="62">
        <v>572</v>
      </c>
      <c r="D541" s="77">
        <v>585.66</v>
      </c>
      <c r="E541" s="78">
        <f t="shared" si="42"/>
        <v>2.3881118881118827E-2</v>
      </c>
      <c r="F541" s="214"/>
      <c r="G541" s="212"/>
    </row>
    <row r="542" spans="1:7" x14ac:dyDescent="0.35">
      <c r="A542" s="227">
        <v>46203</v>
      </c>
      <c r="B542" s="62" t="s">
        <v>7</v>
      </c>
      <c r="C542" s="62">
        <v>362</v>
      </c>
      <c r="D542" s="77">
        <v>364.12</v>
      </c>
      <c r="E542" s="78">
        <f t="shared" si="42"/>
        <v>5.8563535911602335E-3</v>
      </c>
      <c r="F542" s="213">
        <f>IFERROR(AVERAGE(E542:E544),"")</f>
        <v>1.6454880294659305E-2</v>
      </c>
      <c r="G542" s="212">
        <v>1.4999999999999999E-2</v>
      </c>
    </row>
    <row r="543" spans="1:7" x14ac:dyDescent="0.35">
      <c r="A543" s="228"/>
      <c r="B543" s="62" t="s">
        <v>8</v>
      </c>
      <c r="C543" s="62">
        <v>362</v>
      </c>
      <c r="D543" s="77">
        <v>370.73</v>
      </c>
      <c r="E543" s="78">
        <f t="shared" si="42"/>
        <v>2.4116022099447566E-2</v>
      </c>
      <c r="F543" s="214"/>
      <c r="G543" s="212"/>
    </row>
    <row r="544" spans="1:7" x14ac:dyDescent="0.35">
      <c r="A544" s="229"/>
      <c r="B544" s="62" t="s">
        <v>9</v>
      </c>
      <c r="C544" s="62">
        <v>362</v>
      </c>
      <c r="D544" s="77">
        <v>369.02</v>
      </c>
      <c r="E544" s="78">
        <f t="shared" si="42"/>
        <v>1.9392265193370114E-2</v>
      </c>
      <c r="F544" s="214"/>
      <c r="G544" s="212"/>
    </row>
    <row r="545" spans="1:7" x14ac:dyDescent="0.35">
      <c r="A545" s="227">
        <v>46204</v>
      </c>
      <c r="B545" s="62" t="s">
        <v>7</v>
      </c>
      <c r="C545" s="62">
        <v>362</v>
      </c>
      <c r="D545" s="77">
        <v>370.12</v>
      </c>
      <c r="E545" s="78">
        <f t="shared" si="42"/>
        <v>2.2430939226519349E-2</v>
      </c>
      <c r="F545" s="213">
        <f>IFERROR(AVERAGE(E545:E547),"")</f>
        <v>2.2532228360957612E-2</v>
      </c>
      <c r="G545" s="212">
        <v>1.4999999999999999E-2</v>
      </c>
    </row>
    <row r="546" spans="1:7" x14ac:dyDescent="0.35">
      <c r="A546" s="228"/>
      <c r="B546" s="62" t="s">
        <v>8</v>
      </c>
      <c r="C546" s="62">
        <v>362</v>
      </c>
      <c r="D546" s="77">
        <v>370.27</v>
      </c>
      <c r="E546" s="78">
        <f t="shared" si="42"/>
        <v>2.2845303867403265E-2</v>
      </c>
      <c r="F546" s="214"/>
      <c r="G546" s="212"/>
    </row>
    <row r="547" spans="1:7" x14ac:dyDescent="0.35">
      <c r="A547" s="229"/>
      <c r="B547" s="62" t="s">
        <v>9</v>
      </c>
      <c r="C547" s="62">
        <v>362</v>
      </c>
      <c r="D547" s="77">
        <v>370.08</v>
      </c>
      <c r="E547" s="78">
        <f t="shared" si="42"/>
        <v>2.2320441988950231E-2</v>
      </c>
      <c r="F547" s="214"/>
      <c r="G547" s="212"/>
    </row>
    <row r="548" spans="1:7" x14ac:dyDescent="0.35">
      <c r="A548" s="227">
        <v>46205</v>
      </c>
      <c r="B548" s="62" t="s">
        <v>7</v>
      </c>
      <c r="C548" s="62">
        <v>362</v>
      </c>
      <c r="D548" s="77"/>
      <c r="E548" s="78" t="str">
        <f t="shared" si="42"/>
        <v/>
      </c>
      <c r="F548" s="213">
        <f>IFERROR(AVERAGE(E548:E550),"")</f>
        <v>3.5400552486187842E-2</v>
      </c>
      <c r="G548" s="212">
        <v>1.4999999999999999E-2</v>
      </c>
    </row>
    <row r="549" spans="1:7" x14ac:dyDescent="0.35">
      <c r="A549" s="228"/>
      <c r="B549" s="62" t="s">
        <v>8</v>
      </c>
      <c r="C549" s="62">
        <v>362</v>
      </c>
      <c r="D549" s="77">
        <v>374.98</v>
      </c>
      <c r="E549" s="78">
        <f t="shared" si="42"/>
        <v>3.5856353591160274E-2</v>
      </c>
      <c r="F549" s="214"/>
      <c r="G549" s="212"/>
    </row>
    <row r="550" spans="1:7" x14ac:dyDescent="0.35">
      <c r="A550" s="229"/>
      <c r="B550" s="62" t="s">
        <v>9</v>
      </c>
      <c r="C550" s="62">
        <v>362</v>
      </c>
      <c r="D550" s="77">
        <v>374.65</v>
      </c>
      <c r="E550" s="78">
        <f t="shared" si="42"/>
        <v>3.494475138121541E-2</v>
      </c>
      <c r="F550" s="214"/>
      <c r="G550" s="212"/>
    </row>
    <row r="551" spans="1:7" x14ac:dyDescent="0.35">
      <c r="A551" s="227">
        <v>46206</v>
      </c>
      <c r="B551" s="62" t="s">
        <v>7</v>
      </c>
      <c r="C551" s="62">
        <v>362</v>
      </c>
      <c r="D551" s="77"/>
      <c r="E551" s="78" t="str">
        <f t="shared" si="42"/>
        <v/>
      </c>
      <c r="F551" s="213">
        <f>IFERROR(AVERAGE(E551:E553),"")</f>
        <v>3.3936464088397782E-2</v>
      </c>
      <c r="G551" s="212">
        <v>1.4999999999999999E-2</v>
      </c>
    </row>
    <row r="552" spans="1:7" x14ac:dyDescent="0.35">
      <c r="A552" s="228"/>
      <c r="B552" s="62" t="s">
        <v>8</v>
      </c>
      <c r="C552" s="62">
        <v>362</v>
      </c>
      <c r="D552" s="77">
        <v>369.67</v>
      </c>
      <c r="E552" s="78">
        <f t="shared" si="42"/>
        <v>2.1187845303867449E-2</v>
      </c>
      <c r="F552" s="214"/>
      <c r="G552" s="212"/>
    </row>
    <row r="553" spans="1:7" x14ac:dyDescent="0.35">
      <c r="A553" s="229"/>
      <c r="B553" s="62" t="s">
        <v>9</v>
      </c>
      <c r="C553" s="62">
        <v>362</v>
      </c>
      <c r="D553" s="77">
        <v>378.9</v>
      </c>
      <c r="E553" s="78">
        <f t="shared" si="42"/>
        <v>4.6685082872928114E-2</v>
      </c>
      <c r="F553" s="214"/>
      <c r="G553" s="212"/>
    </row>
    <row r="554" spans="1:7" x14ac:dyDescent="0.35">
      <c r="A554" s="227">
        <v>46207</v>
      </c>
      <c r="B554" s="62" t="s">
        <v>7</v>
      </c>
      <c r="C554" s="62">
        <v>362</v>
      </c>
      <c r="D554" s="77"/>
      <c r="E554" s="78" t="str">
        <f t="shared" si="42"/>
        <v/>
      </c>
      <c r="F554" s="213">
        <f>IFERROR(AVERAGE(E554:E556),"")</f>
        <v>5.3245856353591095E-2</v>
      </c>
      <c r="G554" s="212">
        <v>1.4999999999999999E-2</v>
      </c>
    </row>
    <row r="555" spans="1:7" x14ac:dyDescent="0.35">
      <c r="A555" s="228"/>
      <c r="B555" s="62" t="s">
        <v>8</v>
      </c>
      <c r="C555" s="62">
        <v>362</v>
      </c>
      <c r="D555" s="77">
        <v>383.65</v>
      </c>
      <c r="E555" s="78">
        <f t="shared" si="42"/>
        <v>5.9806629834254083E-2</v>
      </c>
      <c r="F555" s="214"/>
      <c r="G555" s="212"/>
    </row>
    <row r="556" spans="1:7" x14ac:dyDescent="0.35">
      <c r="A556" s="229"/>
      <c r="B556" s="62" t="s">
        <v>9</v>
      </c>
      <c r="C556" s="62">
        <v>362</v>
      </c>
      <c r="D556" s="77">
        <v>378.9</v>
      </c>
      <c r="E556" s="78">
        <f t="shared" si="42"/>
        <v>4.6685082872928114E-2</v>
      </c>
      <c r="F556" s="214"/>
      <c r="G556" s="212"/>
    </row>
    <row r="557" spans="1:7" x14ac:dyDescent="0.35">
      <c r="A557" s="227">
        <v>46208</v>
      </c>
      <c r="B557" s="62" t="s">
        <v>7</v>
      </c>
      <c r="C557" s="62">
        <v>362</v>
      </c>
      <c r="D557" s="77">
        <v>370</v>
      </c>
      <c r="E557" s="78">
        <f t="shared" si="42"/>
        <v>2.2099447513812154E-2</v>
      </c>
      <c r="F557" s="213">
        <f>IFERROR(AVERAGE(E557:E559),"")</f>
        <v>3.1556169429097641E-2</v>
      </c>
      <c r="G557" s="212">
        <v>1.4999999999999999E-2</v>
      </c>
    </row>
    <row r="558" spans="1:7" x14ac:dyDescent="0.35">
      <c r="A558" s="228"/>
      <c r="B558" s="62" t="s">
        <v>8</v>
      </c>
      <c r="C558" s="62">
        <v>362</v>
      </c>
      <c r="D558" s="77">
        <v>376.42</v>
      </c>
      <c r="E558" s="78">
        <f t="shared" si="42"/>
        <v>3.9834254143646455E-2</v>
      </c>
      <c r="F558" s="214"/>
      <c r="G558" s="212"/>
    </row>
    <row r="559" spans="1:7" x14ac:dyDescent="0.35">
      <c r="A559" s="229"/>
      <c r="B559" s="62" t="s">
        <v>9</v>
      </c>
      <c r="C559" s="62">
        <v>362</v>
      </c>
      <c r="D559" s="77">
        <v>373.85</v>
      </c>
      <c r="E559" s="78">
        <f t="shared" si="42"/>
        <v>3.2734806629834315E-2</v>
      </c>
      <c r="F559" s="214"/>
      <c r="G559" s="212"/>
    </row>
    <row r="560" spans="1:7" x14ac:dyDescent="0.35">
      <c r="A560" s="227">
        <v>46209</v>
      </c>
      <c r="B560" s="62" t="s">
        <v>7</v>
      </c>
      <c r="C560" s="62">
        <v>362</v>
      </c>
      <c r="D560" s="77">
        <v>370.42</v>
      </c>
      <c r="E560" s="78">
        <f t="shared" ref="E560:E562" si="43">IF(D560="","",(D560-C560)/C560)</f>
        <v>2.3259668508287337E-2</v>
      </c>
      <c r="F560" s="213">
        <f>IFERROR(AVERAGE(E560:E562),"")</f>
        <v>2.4465930018416199E-2</v>
      </c>
      <c r="G560" s="212">
        <v>1.4999999999999999E-2</v>
      </c>
    </row>
    <row r="561" spans="1:7" x14ac:dyDescent="0.35">
      <c r="A561" s="228"/>
      <c r="B561" s="62" t="s">
        <v>8</v>
      </c>
      <c r="C561" s="62">
        <v>362</v>
      </c>
      <c r="D561" s="77">
        <v>370.44</v>
      </c>
      <c r="E561" s="78">
        <f t="shared" si="43"/>
        <v>2.3314917127071816E-2</v>
      </c>
      <c r="F561" s="214"/>
      <c r="G561" s="212"/>
    </row>
    <row r="562" spans="1:7" x14ac:dyDescent="0.35">
      <c r="A562" s="229"/>
      <c r="B562" s="62" t="s">
        <v>9</v>
      </c>
      <c r="C562" s="62">
        <v>362</v>
      </c>
      <c r="D562" s="77">
        <v>371.71</v>
      </c>
      <c r="E562" s="78">
        <f t="shared" si="43"/>
        <v>2.6823204419889446E-2</v>
      </c>
      <c r="F562" s="214"/>
      <c r="G562" s="212"/>
    </row>
    <row r="563" spans="1:7" x14ac:dyDescent="0.35">
      <c r="A563" s="227">
        <v>46210</v>
      </c>
      <c r="B563" s="62" t="s">
        <v>7</v>
      </c>
      <c r="C563" s="62">
        <v>362</v>
      </c>
      <c r="D563" s="77">
        <v>368.45</v>
      </c>
      <c r="E563" s="78">
        <f t="shared" si="42"/>
        <v>1.7817679558011019E-2</v>
      </c>
      <c r="F563" s="213">
        <f>IFERROR(AVERAGE(E563:E565),"")</f>
        <v>2.2513812154696122E-2</v>
      </c>
      <c r="G563" s="212">
        <v>1.4999999999999999E-2</v>
      </c>
    </row>
    <row r="564" spans="1:7" x14ac:dyDescent="0.35">
      <c r="A564" s="228"/>
      <c r="B564" s="62" t="s">
        <v>8</v>
      </c>
      <c r="C564" s="62">
        <v>362</v>
      </c>
      <c r="D564" s="77">
        <v>370.64</v>
      </c>
      <c r="E564" s="78">
        <f t="shared" si="42"/>
        <v>2.3867403314917088E-2</v>
      </c>
      <c r="F564" s="214"/>
      <c r="G564" s="212"/>
    </row>
    <row r="565" spans="1:7" x14ac:dyDescent="0.35">
      <c r="A565" s="229"/>
      <c r="B565" s="62" t="s">
        <v>9</v>
      </c>
      <c r="C565" s="62">
        <v>362</v>
      </c>
      <c r="D565" s="77">
        <v>371.36</v>
      </c>
      <c r="E565" s="78">
        <f t="shared" si="42"/>
        <v>2.5856353591160258E-2</v>
      </c>
      <c r="F565" s="214"/>
      <c r="G565" s="212"/>
    </row>
    <row r="566" spans="1:7" x14ac:dyDescent="0.35">
      <c r="A566" s="227">
        <v>46211</v>
      </c>
      <c r="B566" s="62" t="s">
        <v>7</v>
      </c>
      <c r="C566" s="62">
        <v>362</v>
      </c>
      <c r="D566" s="77">
        <v>372.98</v>
      </c>
      <c r="E566" s="78">
        <f t="shared" si="42"/>
        <v>3.0331491712707232E-2</v>
      </c>
      <c r="F566" s="213">
        <f>IFERROR(AVERAGE(E566:E568),"")</f>
        <v>3.2891344383057117E-2</v>
      </c>
      <c r="G566" s="212">
        <v>1.4999999999999999E-2</v>
      </c>
    </row>
    <row r="567" spans="1:7" x14ac:dyDescent="0.35">
      <c r="A567" s="228"/>
      <c r="B567" s="62" t="s">
        <v>8</v>
      </c>
      <c r="C567" s="62">
        <v>362</v>
      </c>
      <c r="D567" s="77">
        <v>371.49</v>
      </c>
      <c r="E567" s="78">
        <f t="shared" si="42"/>
        <v>2.6215469613259695E-2</v>
      </c>
      <c r="F567" s="214"/>
      <c r="G567" s="212"/>
    </row>
    <row r="568" spans="1:7" x14ac:dyDescent="0.35">
      <c r="A568" s="229"/>
      <c r="B568" s="62" t="s">
        <v>9</v>
      </c>
      <c r="C568" s="62">
        <v>362</v>
      </c>
      <c r="D568" s="77">
        <v>377.25</v>
      </c>
      <c r="E568" s="78">
        <f t="shared" si="42"/>
        <v>4.2127071823204423E-2</v>
      </c>
      <c r="F568" s="214"/>
      <c r="G568" s="212"/>
    </row>
    <row r="569" spans="1:7" x14ac:dyDescent="0.35">
      <c r="A569" s="227">
        <v>46212</v>
      </c>
      <c r="B569" s="62" t="s">
        <v>7</v>
      </c>
      <c r="C569" s="62">
        <v>362</v>
      </c>
      <c r="D569" s="77">
        <v>371.1</v>
      </c>
      <c r="E569" s="78">
        <f t="shared" si="42"/>
        <v>2.5138121546961389E-2</v>
      </c>
      <c r="F569" s="213">
        <f>IFERROR(AVERAGE(E569:E571),"")</f>
        <v>2.4023941068139997E-2</v>
      </c>
      <c r="G569" s="212">
        <v>1.4999999999999999E-2</v>
      </c>
    </row>
    <row r="570" spans="1:7" x14ac:dyDescent="0.35">
      <c r="A570" s="228"/>
      <c r="B570" s="62" t="s">
        <v>8</v>
      </c>
      <c r="C570" s="62">
        <v>362</v>
      </c>
      <c r="D570" s="77">
        <v>368.2</v>
      </c>
      <c r="E570" s="78">
        <f t="shared" si="42"/>
        <v>1.7127071823204387E-2</v>
      </c>
      <c r="F570" s="214"/>
      <c r="G570" s="212"/>
    </row>
    <row r="571" spans="1:7" x14ac:dyDescent="0.35">
      <c r="A571" s="229"/>
      <c r="B571" s="62" t="s">
        <v>9</v>
      </c>
      <c r="C571" s="62">
        <v>362</v>
      </c>
      <c r="D571" s="77">
        <v>372.79</v>
      </c>
      <c r="E571" s="78">
        <f t="shared" si="42"/>
        <v>2.9806629834254202E-2</v>
      </c>
      <c r="F571" s="214"/>
      <c r="G571" s="212"/>
    </row>
    <row r="572" spans="1:7" x14ac:dyDescent="0.35">
      <c r="A572" s="227">
        <v>46213</v>
      </c>
      <c r="B572" s="62" t="s">
        <v>7</v>
      </c>
      <c r="C572" s="62">
        <v>362</v>
      </c>
      <c r="D572" s="77">
        <v>370.19</v>
      </c>
      <c r="E572" s="78">
        <f t="shared" si="42"/>
        <v>2.2624309392265188E-2</v>
      </c>
      <c r="F572" s="213">
        <f>IFERROR(AVERAGE(E572:E574),"")</f>
        <v>3.8130755064456741E-2</v>
      </c>
      <c r="G572" s="212">
        <v>1.4999999999999999E-2</v>
      </c>
    </row>
    <row r="573" spans="1:7" x14ac:dyDescent="0.35">
      <c r="A573" s="228"/>
      <c r="B573" s="62" t="s">
        <v>8</v>
      </c>
      <c r="C573" s="62">
        <v>362</v>
      </c>
      <c r="D573" s="77">
        <v>369.16</v>
      </c>
      <c r="E573" s="78">
        <f t="shared" si="42"/>
        <v>1.9779005524861948E-2</v>
      </c>
      <c r="F573" s="214"/>
      <c r="G573" s="212"/>
    </row>
    <row r="574" spans="1:7" x14ac:dyDescent="0.35">
      <c r="A574" s="229"/>
      <c r="B574" s="62" t="s">
        <v>9</v>
      </c>
      <c r="C574" s="62">
        <v>362</v>
      </c>
      <c r="D574" s="77">
        <v>388.06</v>
      </c>
      <c r="E574" s="78">
        <f t="shared" si="42"/>
        <v>7.1988950276243094E-2</v>
      </c>
      <c r="F574" s="214"/>
      <c r="G574" s="212"/>
    </row>
    <row r="575" spans="1:7" x14ac:dyDescent="0.35">
      <c r="A575" s="227">
        <v>46214</v>
      </c>
      <c r="B575" s="62" t="s">
        <v>7</v>
      </c>
      <c r="C575" s="62">
        <v>362</v>
      </c>
      <c r="D575" s="77">
        <v>372.12</v>
      </c>
      <c r="E575" s="78">
        <f t="shared" ref="E575:E577" si="44">IF(D575="","",(D575-C575)/C575)</f>
        <v>2.7955801104972387E-2</v>
      </c>
      <c r="F575" s="213">
        <f>IFERROR(AVERAGE(E575:E577),"")</f>
        <v>2.4860558410282146E-2</v>
      </c>
      <c r="G575" s="212">
        <v>1.4999999999999999E-2</v>
      </c>
    </row>
    <row r="576" spans="1:7" x14ac:dyDescent="0.35">
      <c r="A576" s="228"/>
      <c r="B576" s="62" t="s">
        <v>8</v>
      </c>
      <c r="C576" s="62">
        <v>572</v>
      </c>
      <c r="D576" s="77">
        <v>583.25</v>
      </c>
      <c r="E576" s="78">
        <f t="shared" si="44"/>
        <v>1.9667832167832168E-2</v>
      </c>
      <c r="F576" s="214"/>
      <c r="G576" s="212"/>
    </row>
    <row r="577" spans="1:7" x14ac:dyDescent="0.35">
      <c r="A577" s="229"/>
      <c r="B577" s="62" t="s">
        <v>9</v>
      </c>
      <c r="C577" s="62">
        <v>572</v>
      </c>
      <c r="D577" s="77">
        <v>587.41999999999996</v>
      </c>
      <c r="E577" s="78">
        <f t="shared" si="44"/>
        <v>2.6958041958041887E-2</v>
      </c>
      <c r="F577" s="214"/>
      <c r="G577" s="212"/>
    </row>
    <row r="578" spans="1:7" x14ac:dyDescent="0.35">
      <c r="A578" s="227">
        <v>46215</v>
      </c>
      <c r="B578" s="62" t="s">
        <v>7</v>
      </c>
      <c r="C578" s="62">
        <v>572</v>
      </c>
      <c r="D578" s="77">
        <v>586.4</v>
      </c>
      <c r="E578" s="78">
        <f t="shared" si="42"/>
        <v>2.5174825174825135E-2</v>
      </c>
      <c r="F578" s="213">
        <f>IFERROR(AVERAGE(E578:E580),"")</f>
        <v>2.2062937062937066E-2</v>
      </c>
      <c r="G578" s="212">
        <v>1.4999999999999999E-2</v>
      </c>
    </row>
    <row r="579" spans="1:7" x14ac:dyDescent="0.35">
      <c r="A579" s="228"/>
      <c r="B579" s="62" t="s">
        <v>8</v>
      </c>
      <c r="C579" s="62">
        <v>572</v>
      </c>
      <c r="D579" s="77">
        <v>585.58000000000004</v>
      </c>
      <c r="E579" s="78">
        <f t="shared" si="42"/>
        <v>2.3741258741258812E-2</v>
      </c>
      <c r="F579" s="214"/>
      <c r="G579" s="212"/>
    </row>
    <row r="580" spans="1:7" x14ac:dyDescent="0.35">
      <c r="A580" s="229"/>
      <c r="B580" s="62" t="s">
        <v>9</v>
      </c>
      <c r="C580" s="62">
        <v>572</v>
      </c>
      <c r="D580" s="77">
        <v>581.88</v>
      </c>
      <c r="E580" s="78">
        <f t="shared" ref="E580:E640" si="45">IF(D580="","",(D580-C580)/C580)</f>
        <v>1.7272727272727266E-2</v>
      </c>
      <c r="F580" s="214"/>
      <c r="G580" s="212"/>
    </row>
    <row r="581" spans="1:7" x14ac:dyDescent="0.35">
      <c r="A581" s="227">
        <v>46216</v>
      </c>
      <c r="B581" s="62" t="s">
        <v>7</v>
      </c>
      <c r="C581" s="62">
        <v>572</v>
      </c>
      <c r="D581" s="77">
        <v>585.48</v>
      </c>
      <c r="E581" s="78">
        <f t="shared" si="45"/>
        <v>2.3566433566433599E-2</v>
      </c>
      <c r="F581" s="213">
        <f>IFERROR(AVERAGE(E581:E583),"")</f>
        <v>2.4090909090909041E-2</v>
      </c>
      <c r="G581" s="212">
        <v>1.4999999999999999E-2</v>
      </c>
    </row>
    <row r="582" spans="1:7" x14ac:dyDescent="0.35">
      <c r="A582" s="228"/>
      <c r="B582" s="62" t="s">
        <v>8</v>
      </c>
      <c r="C582" s="62">
        <v>572</v>
      </c>
      <c r="D582" s="77">
        <v>586.29999999999995</v>
      </c>
      <c r="E582" s="78">
        <f t="shared" si="45"/>
        <v>2.4999999999999922E-2</v>
      </c>
      <c r="F582" s="214"/>
      <c r="G582" s="212"/>
    </row>
    <row r="583" spans="1:7" x14ac:dyDescent="0.35">
      <c r="A583" s="229"/>
      <c r="B583" s="62" t="s">
        <v>9</v>
      </c>
      <c r="C583" s="62">
        <v>572</v>
      </c>
      <c r="D583" s="77">
        <v>585.55999999999995</v>
      </c>
      <c r="E583" s="78">
        <f t="shared" si="45"/>
        <v>2.370629370629361E-2</v>
      </c>
      <c r="F583" s="214"/>
      <c r="G583" s="212"/>
    </row>
    <row r="584" spans="1:7" x14ac:dyDescent="0.35">
      <c r="A584" s="227">
        <v>46217</v>
      </c>
      <c r="B584" s="62" t="s">
        <v>7</v>
      </c>
      <c r="C584" s="62">
        <v>572</v>
      </c>
      <c r="D584" s="77">
        <v>585.48</v>
      </c>
      <c r="E584" s="78">
        <f t="shared" si="45"/>
        <v>2.3566433566433599E-2</v>
      </c>
      <c r="F584" s="213">
        <f>IFERROR(AVERAGE(E584:E586),"")</f>
        <v>2.4090909090909041E-2</v>
      </c>
      <c r="G584" s="212">
        <v>1.4999999999999999E-2</v>
      </c>
    </row>
    <row r="585" spans="1:7" x14ac:dyDescent="0.35">
      <c r="A585" s="228"/>
      <c r="B585" s="62" t="s">
        <v>8</v>
      </c>
      <c r="C585" s="62">
        <v>572</v>
      </c>
      <c r="D585" s="77">
        <v>586.29999999999995</v>
      </c>
      <c r="E585" s="78">
        <f t="shared" si="45"/>
        <v>2.4999999999999922E-2</v>
      </c>
      <c r="F585" s="214"/>
      <c r="G585" s="212"/>
    </row>
    <row r="586" spans="1:7" x14ac:dyDescent="0.35">
      <c r="A586" s="229"/>
      <c r="B586" s="62" t="s">
        <v>9</v>
      </c>
      <c r="C586" s="62">
        <v>572</v>
      </c>
      <c r="D586" s="77">
        <v>585.55999999999995</v>
      </c>
      <c r="E586" s="78">
        <f t="shared" si="45"/>
        <v>2.370629370629361E-2</v>
      </c>
      <c r="F586" s="214"/>
      <c r="G586" s="212"/>
    </row>
    <row r="587" spans="1:7" x14ac:dyDescent="0.35">
      <c r="A587" s="227">
        <v>46218</v>
      </c>
      <c r="B587" s="62" t="s">
        <v>7</v>
      </c>
      <c r="C587" s="62">
        <v>572</v>
      </c>
      <c r="D587" s="77"/>
      <c r="E587" s="78" t="str">
        <f t="shared" si="45"/>
        <v/>
      </c>
      <c r="F587" s="213">
        <f>IFERROR(AVERAGE(E587:E589),"")</f>
        <v>2.891608391608385E-2</v>
      </c>
      <c r="G587" s="212">
        <v>1.4999999999999999E-2</v>
      </c>
    </row>
    <row r="588" spans="1:7" x14ac:dyDescent="0.35">
      <c r="A588" s="228"/>
      <c r="B588" s="62" t="s">
        <v>8</v>
      </c>
      <c r="C588" s="62">
        <v>572</v>
      </c>
      <c r="D588" s="77">
        <v>582.16</v>
      </c>
      <c r="E588" s="78">
        <f t="shared" si="45"/>
        <v>1.7762237762237707E-2</v>
      </c>
      <c r="F588" s="214"/>
      <c r="G588" s="212"/>
    </row>
    <row r="589" spans="1:7" x14ac:dyDescent="0.35">
      <c r="A589" s="229"/>
      <c r="B589" s="62" t="s">
        <v>9</v>
      </c>
      <c r="C589" s="62">
        <v>572</v>
      </c>
      <c r="D589" s="77">
        <v>594.91999999999996</v>
      </c>
      <c r="E589" s="78">
        <f t="shared" si="45"/>
        <v>4.0069930069929996E-2</v>
      </c>
      <c r="F589" s="214"/>
      <c r="G589" s="212"/>
    </row>
    <row r="590" spans="1:7" x14ac:dyDescent="0.35">
      <c r="A590" s="227">
        <v>46219</v>
      </c>
      <c r="B590" s="62" t="s">
        <v>7</v>
      </c>
      <c r="C590" s="62">
        <v>572</v>
      </c>
      <c r="D590" s="77"/>
      <c r="E590" s="78" t="str">
        <f t="shared" si="45"/>
        <v/>
      </c>
      <c r="F590" s="213">
        <f>IFERROR(AVERAGE(E590:E592),"")</f>
        <v>2.3382867132867132E-2</v>
      </c>
      <c r="G590" s="212">
        <v>1.4999999999999999E-2</v>
      </c>
    </row>
    <row r="591" spans="1:7" x14ac:dyDescent="0.35">
      <c r="A591" s="228"/>
      <c r="B591" s="62" t="s">
        <v>8</v>
      </c>
      <c r="C591" s="62">
        <v>572</v>
      </c>
      <c r="D591" s="77">
        <v>586.74</v>
      </c>
      <c r="E591" s="78">
        <f t="shared" si="45"/>
        <v>2.5769230769230784E-2</v>
      </c>
      <c r="F591" s="214"/>
      <c r="G591" s="212"/>
    </row>
    <row r="592" spans="1:7" x14ac:dyDescent="0.35">
      <c r="A592" s="229"/>
      <c r="B592" s="62" t="s">
        <v>9</v>
      </c>
      <c r="C592" s="62">
        <v>572</v>
      </c>
      <c r="D592" s="77">
        <v>584.01</v>
      </c>
      <c r="E592" s="78">
        <f t="shared" si="45"/>
        <v>2.099650349650348E-2</v>
      </c>
      <c r="F592" s="214"/>
      <c r="G592" s="212"/>
    </row>
    <row r="593" spans="1:7" x14ac:dyDescent="0.35">
      <c r="A593" s="227">
        <v>46220</v>
      </c>
      <c r="B593" s="62" t="s">
        <v>7</v>
      </c>
      <c r="C593" s="62">
        <v>572</v>
      </c>
      <c r="D593" s="77"/>
      <c r="E593" s="78" t="str">
        <f t="shared" si="45"/>
        <v/>
      </c>
      <c r="F593" s="213">
        <f>IFERROR(AVERAGE(E593:E595),"")</f>
        <v>2.3382867132867132E-2</v>
      </c>
      <c r="G593" s="212">
        <v>1.4999999999999999E-2</v>
      </c>
    </row>
    <row r="594" spans="1:7" x14ac:dyDescent="0.35">
      <c r="A594" s="228"/>
      <c r="B594" s="62" t="s">
        <v>8</v>
      </c>
      <c r="C594" s="62">
        <v>572</v>
      </c>
      <c r="D594" s="77">
        <v>586.74</v>
      </c>
      <c r="E594" s="78">
        <f t="shared" si="45"/>
        <v>2.5769230769230784E-2</v>
      </c>
      <c r="F594" s="214"/>
      <c r="G594" s="212"/>
    </row>
    <row r="595" spans="1:7" x14ac:dyDescent="0.35">
      <c r="A595" s="229"/>
      <c r="B595" s="62" t="s">
        <v>9</v>
      </c>
      <c r="C595" s="62">
        <v>572</v>
      </c>
      <c r="D595" s="77">
        <v>584.01</v>
      </c>
      <c r="E595" s="78">
        <f t="shared" si="45"/>
        <v>2.099650349650348E-2</v>
      </c>
      <c r="F595" s="214"/>
      <c r="G595" s="212"/>
    </row>
    <row r="596" spans="1:7" x14ac:dyDescent="0.35">
      <c r="A596" s="227">
        <v>46221</v>
      </c>
      <c r="B596" s="62" t="s">
        <v>7</v>
      </c>
      <c r="C596" s="62">
        <v>362</v>
      </c>
      <c r="D596" s="77">
        <v>370.9</v>
      </c>
      <c r="E596" s="78">
        <f t="shared" si="45"/>
        <v>2.4585635359115961E-2</v>
      </c>
      <c r="F596" s="213">
        <f>IFERROR(AVERAGE(E596:E598),"")</f>
        <v>2.734806629834248E-2</v>
      </c>
      <c r="G596" s="212">
        <v>1.4999999999999999E-2</v>
      </c>
    </row>
    <row r="597" spans="1:7" x14ac:dyDescent="0.35">
      <c r="A597" s="228"/>
      <c r="B597" s="62" t="s">
        <v>8</v>
      </c>
      <c r="C597" s="62">
        <v>362</v>
      </c>
      <c r="D597" s="77">
        <v>368.27</v>
      </c>
      <c r="E597" s="78">
        <f t="shared" si="45"/>
        <v>1.7320441988950226E-2</v>
      </c>
      <c r="F597" s="214"/>
      <c r="G597" s="212"/>
    </row>
    <row r="598" spans="1:7" x14ac:dyDescent="0.35">
      <c r="A598" s="229"/>
      <c r="B598" s="62" t="s">
        <v>9</v>
      </c>
      <c r="C598" s="62">
        <v>362</v>
      </c>
      <c r="D598" s="77">
        <v>376.53</v>
      </c>
      <c r="E598" s="78">
        <f t="shared" si="45"/>
        <v>4.0138121546961253E-2</v>
      </c>
      <c r="F598" s="214"/>
      <c r="G598" s="212"/>
    </row>
    <row r="599" spans="1:7" x14ac:dyDescent="0.35">
      <c r="A599" s="227">
        <v>46222</v>
      </c>
      <c r="B599" s="62" t="s">
        <v>7</v>
      </c>
      <c r="C599" s="62">
        <v>362</v>
      </c>
      <c r="D599" s="77">
        <v>373.07</v>
      </c>
      <c r="E599" s="78">
        <f t="shared" si="45"/>
        <v>3.058011049723755E-2</v>
      </c>
      <c r="F599" s="213">
        <f>IFERROR(AVERAGE(E599:E601),"")</f>
        <v>2.3351749539594856E-2</v>
      </c>
      <c r="G599" s="212">
        <v>1.4999999999999999E-2</v>
      </c>
    </row>
    <row r="600" spans="1:7" x14ac:dyDescent="0.35">
      <c r="A600" s="228"/>
      <c r="B600" s="62" t="s">
        <v>8</v>
      </c>
      <c r="C600" s="62">
        <v>362</v>
      </c>
      <c r="D600" s="77">
        <v>367.97</v>
      </c>
      <c r="E600" s="78">
        <f t="shared" si="45"/>
        <v>1.6491712707182395E-2</v>
      </c>
      <c r="F600" s="214"/>
      <c r="G600" s="212"/>
    </row>
    <row r="601" spans="1:7" x14ac:dyDescent="0.35">
      <c r="A601" s="229"/>
      <c r="B601" s="62" t="s">
        <v>9</v>
      </c>
      <c r="C601" s="62">
        <v>362</v>
      </c>
      <c r="D601" s="77">
        <v>370.32</v>
      </c>
      <c r="E601" s="78">
        <f t="shared" si="45"/>
        <v>2.2983425414364621E-2</v>
      </c>
      <c r="F601" s="214"/>
      <c r="G601" s="212"/>
    </row>
    <row r="602" spans="1:7" x14ac:dyDescent="0.35">
      <c r="A602" s="227">
        <v>46223</v>
      </c>
      <c r="B602" s="62" t="s">
        <v>7</v>
      </c>
      <c r="C602" s="62">
        <v>362</v>
      </c>
      <c r="D602" s="77">
        <v>369.31</v>
      </c>
      <c r="E602" s="78">
        <f t="shared" si="45"/>
        <v>2.0193370165745864E-2</v>
      </c>
      <c r="F602" s="213">
        <f>IFERROR(AVERAGE(E602:E604),"")</f>
        <v>2.8655616942909762E-2</v>
      </c>
      <c r="G602" s="212">
        <v>1.4999999999999999E-2</v>
      </c>
    </row>
    <row r="603" spans="1:7" x14ac:dyDescent="0.35">
      <c r="A603" s="228"/>
      <c r="B603" s="62" t="s">
        <v>8</v>
      </c>
      <c r="C603" s="62">
        <v>362</v>
      </c>
      <c r="D603" s="77">
        <v>376.56</v>
      </c>
      <c r="E603" s="78">
        <f t="shared" si="45"/>
        <v>4.0220994475138126E-2</v>
      </c>
      <c r="F603" s="214"/>
      <c r="G603" s="212"/>
    </row>
    <row r="604" spans="1:7" x14ac:dyDescent="0.35">
      <c r="A604" s="229"/>
      <c r="B604" s="62" t="s">
        <v>9</v>
      </c>
      <c r="C604" s="62">
        <v>362</v>
      </c>
      <c r="D604" s="77">
        <v>371.25</v>
      </c>
      <c r="E604" s="78">
        <f t="shared" si="45"/>
        <v>2.5552486187845305E-2</v>
      </c>
      <c r="F604" s="214"/>
      <c r="G604" s="212"/>
    </row>
    <row r="605" spans="1:7" x14ac:dyDescent="0.35">
      <c r="A605" s="227">
        <v>46224</v>
      </c>
      <c r="B605" s="62" t="s">
        <v>7</v>
      </c>
      <c r="C605" s="62"/>
      <c r="D605" s="77"/>
      <c r="E605" s="78" t="str">
        <f t="shared" si="45"/>
        <v/>
      </c>
      <c r="F605" s="213" t="str">
        <f>IFERROR(AVERAGE(E605:E607),"")</f>
        <v/>
      </c>
      <c r="G605" s="212">
        <v>1.4999999999999999E-2</v>
      </c>
    </row>
    <row r="606" spans="1:7" x14ac:dyDescent="0.35">
      <c r="A606" s="228"/>
      <c r="B606" s="62" t="s">
        <v>8</v>
      </c>
      <c r="C606" s="62"/>
      <c r="D606" s="77"/>
      <c r="E606" s="78" t="str">
        <f t="shared" si="45"/>
        <v/>
      </c>
      <c r="F606" s="214"/>
      <c r="G606" s="212"/>
    </row>
    <row r="607" spans="1:7" x14ac:dyDescent="0.35">
      <c r="A607" s="229"/>
      <c r="B607" s="62" t="s">
        <v>9</v>
      </c>
      <c r="C607" s="62"/>
      <c r="D607" s="77"/>
      <c r="E607" s="78" t="str">
        <f t="shared" si="45"/>
        <v/>
      </c>
      <c r="F607" s="214"/>
      <c r="G607" s="212"/>
    </row>
    <row r="608" spans="1:7" x14ac:dyDescent="0.35">
      <c r="A608" s="227">
        <v>46225</v>
      </c>
      <c r="B608" s="62" t="s">
        <v>7</v>
      </c>
      <c r="C608" s="62"/>
      <c r="D608" s="77"/>
      <c r="E608" s="78" t="str">
        <f t="shared" si="45"/>
        <v/>
      </c>
      <c r="F608" s="213" t="str">
        <f>IFERROR(AVERAGE(E608:E610),"")</f>
        <v/>
      </c>
      <c r="G608" s="212">
        <v>1.4999999999999999E-2</v>
      </c>
    </row>
    <row r="609" spans="1:7" x14ac:dyDescent="0.35">
      <c r="A609" s="228"/>
      <c r="B609" s="62" t="s">
        <v>8</v>
      </c>
      <c r="C609" s="62"/>
      <c r="D609" s="77"/>
      <c r="E609" s="78" t="str">
        <f t="shared" si="45"/>
        <v/>
      </c>
      <c r="F609" s="214"/>
      <c r="G609" s="212"/>
    </row>
    <row r="610" spans="1:7" x14ac:dyDescent="0.35">
      <c r="A610" s="229"/>
      <c r="B610" s="62" t="s">
        <v>9</v>
      </c>
      <c r="C610" s="62"/>
      <c r="D610" s="77"/>
      <c r="E610" s="78" t="str">
        <f t="shared" si="45"/>
        <v/>
      </c>
      <c r="F610" s="214"/>
      <c r="G610" s="212"/>
    </row>
    <row r="611" spans="1:7" x14ac:dyDescent="0.35">
      <c r="A611" s="227">
        <v>46226</v>
      </c>
      <c r="B611" s="62" t="s">
        <v>7</v>
      </c>
      <c r="C611" s="62"/>
      <c r="D611" s="77"/>
      <c r="E611" s="78" t="str">
        <f t="shared" si="45"/>
        <v/>
      </c>
      <c r="F611" s="213" t="str">
        <f>IFERROR(AVERAGE(E611:E613),"")</f>
        <v/>
      </c>
      <c r="G611" s="212">
        <v>1.4999999999999999E-2</v>
      </c>
    </row>
    <row r="612" spans="1:7" x14ac:dyDescent="0.35">
      <c r="A612" s="228"/>
      <c r="B612" s="62" t="s">
        <v>8</v>
      </c>
      <c r="C612" s="62"/>
      <c r="D612" s="77"/>
      <c r="E612" s="78" t="str">
        <f t="shared" si="45"/>
        <v/>
      </c>
      <c r="F612" s="214"/>
      <c r="G612" s="212"/>
    </row>
    <row r="613" spans="1:7" x14ac:dyDescent="0.35">
      <c r="A613" s="229"/>
      <c r="B613" s="62" t="s">
        <v>9</v>
      </c>
      <c r="C613" s="62"/>
      <c r="D613" s="77"/>
      <c r="E613" s="78" t="str">
        <f t="shared" si="45"/>
        <v/>
      </c>
      <c r="F613" s="214"/>
      <c r="G613" s="212"/>
    </row>
    <row r="614" spans="1:7" x14ac:dyDescent="0.35">
      <c r="A614" s="227">
        <v>46227</v>
      </c>
      <c r="B614" s="62" t="s">
        <v>7</v>
      </c>
      <c r="C614" s="62"/>
      <c r="D614" s="77"/>
      <c r="E614" s="78" t="str">
        <f t="shared" si="45"/>
        <v/>
      </c>
      <c r="F614" s="213" t="str">
        <f>IFERROR(AVERAGE(E614:E616),"")</f>
        <v/>
      </c>
      <c r="G614" s="212">
        <v>1.4999999999999999E-2</v>
      </c>
    </row>
    <row r="615" spans="1:7" x14ac:dyDescent="0.35">
      <c r="A615" s="228"/>
      <c r="B615" s="62" t="s">
        <v>8</v>
      </c>
      <c r="C615" s="62"/>
      <c r="D615" s="77"/>
      <c r="E615" s="78" t="str">
        <f t="shared" si="45"/>
        <v/>
      </c>
      <c r="F615" s="214"/>
      <c r="G615" s="212"/>
    </row>
    <row r="616" spans="1:7" x14ac:dyDescent="0.35">
      <c r="A616" s="229"/>
      <c r="B616" s="62" t="s">
        <v>9</v>
      </c>
      <c r="C616" s="62"/>
      <c r="D616" s="77"/>
      <c r="E616" s="78" t="str">
        <f t="shared" si="45"/>
        <v/>
      </c>
      <c r="F616" s="214"/>
      <c r="G616" s="212"/>
    </row>
    <row r="617" spans="1:7" x14ac:dyDescent="0.35">
      <c r="A617" s="227">
        <v>46228</v>
      </c>
      <c r="B617" s="62" t="s">
        <v>7</v>
      </c>
      <c r="C617" s="62"/>
      <c r="D617" s="77"/>
      <c r="E617" s="78" t="str">
        <f t="shared" si="45"/>
        <v/>
      </c>
      <c r="F617" s="213" t="str">
        <f>IFERROR(AVERAGE(E617:E619),"")</f>
        <v/>
      </c>
      <c r="G617" s="212">
        <v>1.4999999999999999E-2</v>
      </c>
    </row>
    <row r="618" spans="1:7" x14ac:dyDescent="0.35">
      <c r="A618" s="228"/>
      <c r="B618" s="62" t="s">
        <v>8</v>
      </c>
      <c r="C618" s="62"/>
      <c r="D618" s="77"/>
      <c r="E618" s="78" t="str">
        <f t="shared" si="45"/>
        <v/>
      </c>
      <c r="F618" s="214"/>
      <c r="G618" s="212"/>
    </row>
    <row r="619" spans="1:7" x14ac:dyDescent="0.35">
      <c r="A619" s="229"/>
      <c r="B619" s="62" t="s">
        <v>9</v>
      </c>
      <c r="C619" s="62"/>
      <c r="D619" s="77"/>
      <c r="E619" s="78" t="str">
        <f t="shared" si="45"/>
        <v/>
      </c>
      <c r="F619" s="214"/>
      <c r="G619" s="212"/>
    </row>
    <row r="620" spans="1:7" x14ac:dyDescent="0.35">
      <c r="A620" s="227">
        <v>46229</v>
      </c>
      <c r="B620" s="62" t="s">
        <v>7</v>
      </c>
      <c r="C620" s="62"/>
      <c r="D620" s="62"/>
      <c r="E620" s="78" t="str">
        <f t="shared" si="45"/>
        <v/>
      </c>
      <c r="F620" s="213" t="str">
        <f>IFERROR(AVERAGE(E620:E622),"")</f>
        <v/>
      </c>
      <c r="G620" s="212">
        <v>1.4999999999999999E-2</v>
      </c>
    </row>
    <row r="621" spans="1:7" x14ac:dyDescent="0.35">
      <c r="A621" s="228"/>
      <c r="B621" s="62" t="s">
        <v>8</v>
      </c>
      <c r="C621" s="62"/>
      <c r="D621" s="62"/>
      <c r="E621" s="78" t="str">
        <f t="shared" si="45"/>
        <v/>
      </c>
      <c r="F621" s="214"/>
      <c r="G621" s="212"/>
    </row>
    <row r="622" spans="1:7" x14ac:dyDescent="0.35">
      <c r="A622" s="229"/>
      <c r="B622" s="62" t="s">
        <v>9</v>
      </c>
      <c r="C622" s="62"/>
      <c r="D622" s="62"/>
      <c r="E622" s="78" t="str">
        <f t="shared" si="45"/>
        <v/>
      </c>
      <c r="F622" s="214"/>
      <c r="G622" s="212"/>
    </row>
    <row r="623" spans="1:7" x14ac:dyDescent="0.35">
      <c r="A623" s="227">
        <v>46230</v>
      </c>
      <c r="B623" s="62" t="s">
        <v>7</v>
      </c>
      <c r="C623" s="62"/>
      <c r="D623" s="62"/>
      <c r="E623" s="78" t="str">
        <f t="shared" si="45"/>
        <v/>
      </c>
      <c r="F623" s="213" t="str">
        <f>IFERROR(AVERAGE(E623:E625),"")</f>
        <v/>
      </c>
      <c r="G623" s="212">
        <v>1.4999999999999999E-2</v>
      </c>
    </row>
    <row r="624" spans="1:7" x14ac:dyDescent="0.35">
      <c r="A624" s="228"/>
      <c r="B624" s="62" t="s">
        <v>8</v>
      </c>
      <c r="C624" s="62"/>
      <c r="D624" s="62"/>
      <c r="E624" s="78" t="str">
        <f t="shared" si="45"/>
        <v/>
      </c>
      <c r="F624" s="214"/>
      <c r="G624" s="212"/>
    </row>
    <row r="625" spans="1:7" x14ac:dyDescent="0.35">
      <c r="A625" s="229"/>
      <c r="B625" s="62" t="s">
        <v>9</v>
      </c>
      <c r="C625" s="62"/>
      <c r="D625" s="62"/>
      <c r="E625" s="78" t="str">
        <f t="shared" si="45"/>
        <v/>
      </c>
      <c r="F625" s="214"/>
      <c r="G625" s="212"/>
    </row>
    <row r="626" spans="1:7" x14ac:dyDescent="0.35">
      <c r="A626" s="227">
        <v>46231</v>
      </c>
      <c r="B626" s="62" t="s">
        <v>7</v>
      </c>
      <c r="C626" s="62"/>
      <c r="D626" s="62"/>
      <c r="E626" s="78" t="str">
        <f t="shared" si="45"/>
        <v/>
      </c>
      <c r="F626" s="213" t="str">
        <f>IFERROR(AVERAGE(E626:E628),"")</f>
        <v/>
      </c>
      <c r="G626" s="212">
        <v>1.4999999999999999E-2</v>
      </c>
    </row>
    <row r="627" spans="1:7" x14ac:dyDescent="0.35">
      <c r="A627" s="228"/>
      <c r="B627" s="62" t="s">
        <v>8</v>
      </c>
      <c r="C627" s="62"/>
      <c r="D627" s="62"/>
      <c r="E627" s="78" t="str">
        <f t="shared" si="45"/>
        <v/>
      </c>
      <c r="F627" s="214"/>
      <c r="G627" s="212"/>
    </row>
    <row r="628" spans="1:7" x14ac:dyDescent="0.35">
      <c r="A628" s="229"/>
      <c r="B628" s="62" t="s">
        <v>9</v>
      </c>
      <c r="C628" s="62"/>
      <c r="D628" s="62"/>
      <c r="E628" s="78" t="str">
        <f t="shared" si="45"/>
        <v/>
      </c>
      <c r="F628" s="214"/>
      <c r="G628" s="212"/>
    </row>
    <row r="629" spans="1:7" x14ac:dyDescent="0.35">
      <c r="A629" s="227">
        <v>46232</v>
      </c>
      <c r="B629" s="62" t="s">
        <v>7</v>
      </c>
      <c r="C629" s="62"/>
      <c r="D629" s="62"/>
      <c r="E629" s="78" t="str">
        <f t="shared" si="45"/>
        <v/>
      </c>
      <c r="F629" s="213" t="str">
        <f>IFERROR(AVERAGE(E629:E631),"")</f>
        <v/>
      </c>
      <c r="G629" s="212">
        <v>1.4999999999999999E-2</v>
      </c>
    </row>
    <row r="630" spans="1:7" x14ac:dyDescent="0.35">
      <c r="A630" s="228"/>
      <c r="B630" s="62" t="s">
        <v>8</v>
      </c>
      <c r="C630" s="62"/>
      <c r="D630" s="62"/>
      <c r="E630" s="78" t="str">
        <f t="shared" si="45"/>
        <v/>
      </c>
      <c r="F630" s="214"/>
      <c r="G630" s="212"/>
    </row>
    <row r="631" spans="1:7" x14ac:dyDescent="0.35">
      <c r="A631" s="229"/>
      <c r="B631" s="62" t="s">
        <v>9</v>
      </c>
      <c r="C631" s="62"/>
      <c r="D631" s="62"/>
      <c r="E631" s="78" t="str">
        <f t="shared" si="45"/>
        <v/>
      </c>
      <c r="F631" s="214"/>
      <c r="G631" s="212"/>
    </row>
    <row r="632" spans="1:7" x14ac:dyDescent="0.35">
      <c r="A632" s="227">
        <v>46233</v>
      </c>
      <c r="B632" s="62" t="s">
        <v>7</v>
      </c>
      <c r="C632" s="62"/>
      <c r="D632" s="62"/>
      <c r="E632" s="78" t="str">
        <f t="shared" si="45"/>
        <v/>
      </c>
      <c r="F632" s="213" t="str">
        <f>IFERROR(AVERAGE(E632:E634),"")</f>
        <v/>
      </c>
      <c r="G632" s="212">
        <v>1.4999999999999999E-2</v>
      </c>
    </row>
    <row r="633" spans="1:7" x14ac:dyDescent="0.35">
      <c r="A633" s="228"/>
      <c r="B633" s="62" t="s">
        <v>8</v>
      </c>
      <c r="C633" s="62"/>
      <c r="D633" s="62"/>
      <c r="E633" s="78" t="str">
        <f t="shared" si="45"/>
        <v/>
      </c>
      <c r="F633" s="214"/>
      <c r="G633" s="212"/>
    </row>
    <row r="634" spans="1:7" x14ac:dyDescent="0.35">
      <c r="A634" s="229"/>
      <c r="B634" s="62" t="s">
        <v>9</v>
      </c>
      <c r="C634" s="62"/>
      <c r="D634" s="62"/>
      <c r="E634" s="78" t="str">
        <f t="shared" si="45"/>
        <v/>
      </c>
      <c r="F634" s="214"/>
      <c r="G634" s="212"/>
    </row>
    <row r="635" spans="1:7" x14ac:dyDescent="0.35">
      <c r="A635" s="227">
        <v>46234</v>
      </c>
      <c r="B635" s="62" t="s">
        <v>7</v>
      </c>
      <c r="C635" s="62"/>
      <c r="D635" s="62"/>
      <c r="E635" s="78" t="str">
        <f t="shared" si="45"/>
        <v/>
      </c>
      <c r="F635" s="213" t="str">
        <f>IFERROR(AVERAGE(E635:E637),"")</f>
        <v/>
      </c>
      <c r="G635" s="212">
        <v>1.4999999999999999E-2</v>
      </c>
    </row>
    <row r="636" spans="1:7" x14ac:dyDescent="0.35">
      <c r="A636" s="228"/>
      <c r="B636" s="62" t="s">
        <v>8</v>
      </c>
      <c r="C636" s="62"/>
      <c r="D636" s="62"/>
      <c r="E636" s="78" t="str">
        <f t="shared" si="45"/>
        <v/>
      </c>
      <c r="F636" s="214"/>
      <c r="G636" s="212"/>
    </row>
    <row r="637" spans="1:7" x14ac:dyDescent="0.35">
      <c r="A637" s="229"/>
      <c r="B637" s="62" t="s">
        <v>9</v>
      </c>
      <c r="C637" s="62"/>
      <c r="D637" s="62"/>
      <c r="E637" s="78" t="str">
        <f t="shared" si="45"/>
        <v/>
      </c>
      <c r="F637" s="214"/>
      <c r="G637" s="212"/>
    </row>
    <row r="638" spans="1:7" x14ac:dyDescent="0.35">
      <c r="A638" s="227">
        <v>46235</v>
      </c>
      <c r="B638" s="62" t="s">
        <v>7</v>
      </c>
      <c r="C638" s="62"/>
      <c r="D638" s="62"/>
      <c r="E638" s="78" t="str">
        <f t="shared" si="45"/>
        <v/>
      </c>
      <c r="F638" s="213" t="str">
        <f>IFERROR(AVERAGE(E638:E640),"")</f>
        <v/>
      </c>
      <c r="G638" s="212">
        <v>1.4999999999999999E-2</v>
      </c>
    </row>
    <row r="639" spans="1:7" x14ac:dyDescent="0.35">
      <c r="A639" s="228"/>
      <c r="B639" s="62" t="s">
        <v>8</v>
      </c>
      <c r="C639" s="62"/>
      <c r="D639" s="62"/>
      <c r="E639" s="78" t="str">
        <f t="shared" si="45"/>
        <v/>
      </c>
      <c r="F639" s="214"/>
      <c r="G639" s="212"/>
    </row>
    <row r="640" spans="1:7" x14ac:dyDescent="0.35">
      <c r="A640" s="229"/>
      <c r="B640" s="62" t="s">
        <v>9</v>
      </c>
      <c r="C640" s="62"/>
      <c r="D640" s="62"/>
      <c r="E640" s="78" t="str">
        <f t="shared" si="45"/>
        <v/>
      </c>
      <c r="F640" s="214"/>
      <c r="G640" s="212"/>
    </row>
    <row r="641" spans="1:7" x14ac:dyDescent="0.35">
      <c r="A641" s="227">
        <v>46236</v>
      </c>
      <c r="B641" s="62" t="s">
        <v>7</v>
      </c>
      <c r="F641" s="213">
        <f>IFERROR(AVERAGE(E734:E736),"")</f>
        <v>2.9539594843462233E-2</v>
      </c>
      <c r="G641" s="212">
        <v>1.4999999999999999E-2</v>
      </c>
    </row>
    <row r="642" spans="1:7" x14ac:dyDescent="0.35">
      <c r="A642" s="228"/>
      <c r="B642" s="62" t="s">
        <v>8</v>
      </c>
      <c r="F642" s="214"/>
      <c r="G642" s="212"/>
    </row>
    <row r="643" spans="1:7" x14ac:dyDescent="0.35">
      <c r="A643" s="229"/>
      <c r="B643" s="62" t="s">
        <v>9</v>
      </c>
      <c r="F643" s="214"/>
      <c r="G643" s="212"/>
    </row>
    <row r="644" spans="1:7" x14ac:dyDescent="0.35">
      <c r="A644" s="227">
        <v>46237</v>
      </c>
      <c r="B644" s="62" t="s">
        <v>7</v>
      </c>
      <c r="C644" s="62"/>
      <c r="D644" s="77"/>
      <c r="E644" s="78" t="str">
        <f t="shared" ref="E644:E707" si="46">IF(D644="","",(D644-C644)/C644)</f>
        <v/>
      </c>
      <c r="F644" s="213" t="str">
        <f>IFERROR(AVERAGE(E644:E646),"")</f>
        <v/>
      </c>
      <c r="G644" s="212">
        <v>1.4999999999999999E-2</v>
      </c>
    </row>
    <row r="645" spans="1:7" x14ac:dyDescent="0.35">
      <c r="A645" s="228"/>
      <c r="B645" s="62" t="s">
        <v>8</v>
      </c>
      <c r="C645" s="62"/>
      <c r="D645" s="77"/>
      <c r="E645" s="78" t="str">
        <f t="shared" si="46"/>
        <v/>
      </c>
      <c r="F645" s="214"/>
      <c r="G645" s="212"/>
    </row>
    <row r="646" spans="1:7" x14ac:dyDescent="0.35">
      <c r="A646" s="229"/>
      <c r="B646" s="62" t="s">
        <v>9</v>
      </c>
      <c r="C646" s="62"/>
      <c r="D646" s="77"/>
      <c r="E646" s="78" t="str">
        <f t="shared" si="46"/>
        <v/>
      </c>
      <c r="F646" s="214"/>
      <c r="G646" s="212"/>
    </row>
    <row r="647" spans="1:7" x14ac:dyDescent="0.35">
      <c r="A647" s="227">
        <v>46238</v>
      </c>
      <c r="B647" s="62" t="s">
        <v>7</v>
      </c>
      <c r="C647" s="62"/>
      <c r="D647" s="77"/>
      <c r="E647" s="78" t="str">
        <f t="shared" si="46"/>
        <v/>
      </c>
      <c r="F647" s="213" t="str">
        <f>IFERROR(AVERAGE(E647:E649),"")</f>
        <v/>
      </c>
      <c r="G647" s="212">
        <v>1.4999999999999999E-2</v>
      </c>
    </row>
    <row r="648" spans="1:7" x14ac:dyDescent="0.35">
      <c r="A648" s="228"/>
      <c r="B648" s="62" t="s">
        <v>8</v>
      </c>
      <c r="C648" s="62"/>
      <c r="D648" s="77"/>
      <c r="E648" s="78" t="str">
        <f t="shared" si="46"/>
        <v/>
      </c>
      <c r="F648" s="214"/>
      <c r="G648" s="212"/>
    </row>
    <row r="649" spans="1:7" x14ac:dyDescent="0.35">
      <c r="A649" s="229"/>
      <c r="B649" s="62" t="s">
        <v>9</v>
      </c>
      <c r="C649" s="62"/>
      <c r="D649" s="77"/>
      <c r="E649" s="78" t="str">
        <f t="shared" si="46"/>
        <v/>
      </c>
      <c r="F649" s="214"/>
      <c r="G649" s="212"/>
    </row>
    <row r="650" spans="1:7" x14ac:dyDescent="0.35">
      <c r="A650" s="227">
        <v>46239</v>
      </c>
      <c r="B650" s="62" t="s">
        <v>7</v>
      </c>
      <c r="C650" s="62"/>
      <c r="D650" s="77"/>
      <c r="E650" s="78" t="str">
        <f t="shared" si="46"/>
        <v/>
      </c>
      <c r="F650" s="213" t="str">
        <f>IFERROR(AVERAGE(E650:E652),"")</f>
        <v/>
      </c>
      <c r="G650" s="212">
        <v>1.4999999999999999E-2</v>
      </c>
    </row>
    <row r="651" spans="1:7" x14ac:dyDescent="0.35">
      <c r="A651" s="228"/>
      <c r="B651" s="62" t="s">
        <v>8</v>
      </c>
      <c r="C651" s="62"/>
      <c r="D651" s="77"/>
      <c r="E651" s="78" t="str">
        <f t="shared" si="46"/>
        <v/>
      </c>
      <c r="F651" s="214"/>
      <c r="G651" s="212"/>
    </row>
    <row r="652" spans="1:7" x14ac:dyDescent="0.35">
      <c r="A652" s="229"/>
      <c r="B652" s="62" t="s">
        <v>9</v>
      </c>
      <c r="C652" s="62"/>
      <c r="D652" s="77"/>
      <c r="E652" s="78" t="str">
        <f t="shared" si="46"/>
        <v/>
      </c>
      <c r="F652" s="214"/>
      <c r="G652" s="212"/>
    </row>
    <row r="653" spans="1:7" x14ac:dyDescent="0.35">
      <c r="A653" s="227">
        <v>46240</v>
      </c>
      <c r="B653" s="62" t="s">
        <v>7</v>
      </c>
      <c r="C653" s="62"/>
      <c r="D653" s="77"/>
      <c r="E653" s="78" t="str">
        <f t="shared" si="46"/>
        <v/>
      </c>
      <c r="F653" s="213" t="str">
        <f>IFERROR(AVERAGE(E653:E655),"")</f>
        <v/>
      </c>
      <c r="G653" s="212">
        <v>1.4999999999999999E-2</v>
      </c>
    </row>
    <row r="654" spans="1:7" x14ac:dyDescent="0.35">
      <c r="A654" s="228"/>
      <c r="B654" s="62" t="s">
        <v>8</v>
      </c>
      <c r="C654" s="62"/>
      <c r="D654" s="77"/>
      <c r="E654" s="78" t="str">
        <f t="shared" si="46"/>
        <v/>
      </c>
      <c r="F654" s="214"/>
      <c r="G654" s="212"/>
    </row>
    <row r="655" spans="1:7" x14ac:dyDescent="0.35">
      <c r="A655" s="229"/>
      <c r="B655" s="62" t="s">
        <v>9</v>
      </c>
      <c r="C655" s="62"/>
      <c r="D655" s="77"/>
      <c r="E655" s="78" t="str">
        <f t="shared" si="46"/>
        <v/>
      </c>
      <c r="F655" s="214"/>
      <c r="G655" s="212"/>
    </row>
    <row r="656" spans="1:7" x14ac:dyDescent="0.35">
      <c r="A656" s="227">
        <v>46241</v>
      </c>
      <c r="B656" s="62" t="s">
        <v>7</v>
      </c>
      <c r="C656" s="62"/>
      <c r="D656" s="77"/>
      <c r="E656" s="78" t="str">
        <f t="shared" si="46"/>
        <v/>
      </c>
      <c r="F656" s="213" t="str">
        <f>IFERROR(AVERAGE(E656:E658),"")</f>
        <v/>
      </c>
      <c r="G656" s="212">
        <v>1.4999999999999999E-2</v>
      </c>
    </row>
    <row r="657" spans="1:7" x14ac:dyDescent="0.35">
      <c r="A657" s="228"/>
      <c r="B657" s="62" t="s">
        <v>8</v>
      </c>
      <c r="C657" s="62"/>
      <c r="D657" s="77"/>
      <c r="E657" s="78" t="str">
        <f t="shared" si="46"/>
        <v/>
      </c>
      <c r="F657" s="214"/>
      <c r="G657" s="212"/>
    </row>
    <row r="658" spans="1:7" x14ac:dyDescent="0.35">
      <c r="A658" s="229"/>
      <c r="B658" s="62" t="s">
        <v>9</v>
      </c>
      <c r="C658" s="62"/>
      <c r="D658" s="77"/>
      <c r="E658" s="78" t="str">
        <f t="shared" si="46"/>
        <v/>
      </c>
      <c r="F658" s="214"/>
      <c r="G658" s="212"/>
    </row>
    <row r="659" spans="1:7" x14ac:dyDescent="0.35">
      <c r="A659" s="227">
        <v>46242</v>
      </c>
      <c r="B659" s="62" t="s">
        <v>7</v>
      </c>
      <c r="C659" s="62"/>
      <c r="D659" s="77"/>
      <c r="E659" s="78" t="str">
        <f t="shared" si="46"/>
        <v/>
      </c>
      <c r="F659" s="213" t="str">
        <f>IFERROR(AVERAGE(E659:E661),"")</f>
        <v/>
      </c>
      <c r="G659" s="212">
        <v>1.4999999999999999E-2</v>
      </c>
    </row>
    <row r="660" spans="1:7" x14ac:dyDescent="0.35">
      <c r="A660" s="228"/>
      <c r="B660" s="62" t="s">
        <v>8</v>
      </c>
      <c r="C660" s="62"/>
      <c r="D660" s="77"/>
      <c r="E660" s="78" t="str">
        <f t="shared" si="46"/>
        <v/>
      </c>
      <c r="F660" s="214"/>
      <c r="G660" s="212"/>
    </row>
    <row r="661" spans="1:7" x14ac:dyDescent="0.35">
      <c r="A661" s="229"/>
      <c r="B661" s="62" t="s">
        <v>9</v>
      </c>
      <c r="C661" s="62"/>
      <c r="D661" s="77"/>
      <c r="E661" s="78" t="str">
        <f t="shared" si="46"/>
        <v/>
      </c>
      <c r="F661" s="214"/>
      <c r="G661" s="212"/>
    </row>
    <row r="662" spans="1:7" x14ac:dyDescent="0.35">
      <c r="A662" s="227">
        <v>46243</v>
      </c>
      <c r="B662" s="62" t="s">
        <v>7</v>
      </c>
      <c r="C662" s="62"/>
      <c r="D662" s="77"/>
      <c r="E662" s="78" t="str">
        <f t="shared" si="46"/>
        <v/>
      </c>
      <c r="F662" s="213" t="str">
        <f>IFERROR(AVERAGE(E662:E664),"")</f>
        <v/>
      </c>
      <c r="G662" s="212">
        <v>1.4999999999999999E-2</v>
      </c>
    </row>
    <row r="663" spans="1:7" x14ac:dyDescent="0.35">
      <c r="A663" s="228"/>
      <c r="B663" s="62" t="s">
        <v>8</v>
      </c>
      <c r="C663" s="62"/>
      <c r="D663" s="77"/>
      <c r="E663" s="78" t="str">
        <f t="shared" si="46"/>
        <v/>
      </c>
      <c r="F663" s="214"/>
      <c r="G663" s="212"/>
    </row>
    <row r="664" spans="1:7" x14ac:dyDescent="0.35">
      <c r="A664" s="229"/>
      <c r="B664" s="62" t="s">
        <v>9</v>
      </c>
      <c r="C664" s="62"/>
      <c r="D664" s="77"/>
      <c r="E664" s="78" t="str">
        <f t="shared" si="46"/>
        <v/>
      </c>
      <c r="F664" s="214"/>
      <c r="G664" s="212"/>
    </row>
    <row r="665" spans="1:7" x14ac:dyDescent="0.35">
      <c r="A665" s="227">
        <v>46244</v>
      </c>
      <c r="B665" s="62" t="s">
        <v>7</v>
      </c>
      <c r="C665" s="62"/>
      <c r="D665" s="62"/>
      <c r="E665" s="78"/>
      <c r="F665" s="213"/>
      <c r="G665" s="212">
        <v>1.4999999999999999E-2</v>
      </c>
    </row>
    <row r="666" spans="1:7" x14ac:dyDescent="0.35">
      <c r="A666" s="228"/>
      <c r="B666" s="62" t="s">
        <v>8</v>
      </c>
      <c r="C666" s="62"/>
      <c r="D666" s="62"/>
      <c r="E666" s="78"/>
      <c r="F666" s="214"/>
      <c r="G666" s="212"/>
    </row>
    <row r="667" spans="1:7" x14ac:dyDescent="0.35">
      <c r="A667" s="229"/>
      <c r="B667" s="62" t="s">
        <v>9</v>
      </c>
      <c r="C667" s="62"/>
      <c r="D667" s="62"/>
      <c r="E667" s="78"/>
      <c r="F667" s="214"/>
      <c r="G667" s="212"/>
    </row>
    <row r="668" spans="1:7" x14ac:dyDescent="0.35">
      <c r="A668" s="227">
        <v>46245</v>
      </c>
      <c r="B668" s="62" t="s">
        <v>7</v>
      </c>
      <c r="C668" s="62"/>
      <c r="D668" s="62"/>
      <c r="E668" s="78" t="str">
        <f t="shared" si="46"/>
        <v/>
      </c>
      <c r="F668" s="213" t="str">
        <f>IFERROR(AVERAGE(E668:E670),"")</f>
        <v/>
      </c>
      <c r="G668" s="212">
        <v>1.4999999999999999E-2</v>
      </c>
    </row>
    <row r="669" spans="1:7" x14ac:dyDescent="0.35">
      <c r="A669" s="228"/>
      <c r="B669" s="62" t="s">
        <v>8</v>
      </c>
      <c r="C669" s="62"/>
      <c r="D669" s="62"/>
      <c r="E669" s="78" t="str">
        <f t="shared" si="46"/>
        <v/>
      </c>
      <c r="F669" s="214"/>
      <c r="G669" s="212"/>
    </row>
    <row r="670" spans="1:7" x14ac:dyDescent="0.35">
      <c r="A670" s="229"/>
      <c r="B670" s="62" t="s">
        <v>9</v>
      </c>
      <c r="C670" s="62"/>
      <c r="D670" s="62"/>
      <c r="E670" s="78" t="str">
        <f t="shared" si="46"/>
        <v/>
      </c>
      <c r="F670" s="214"/>
      <c r="G670" s="212"/>
    </row>
    <row r="671" spans="1:7" x14ac:dyDescent="0.35">
      <c r="A671" s="227">
        <v>46246</v>
      </c>
      <c r="B671" s="62" t="s">
        <v>7</v>
      </c>
      <c r="C671" s="62"/>
      <c r="D671" s="62"/>
      <c r="E671" s="78" t="str">
        <f t="shared" si="46"/>
        <v/>
      </c>
      <c r="F671" s="213" t="str">
        <f>IFERROR(AVERAGE(E671:E673),"")</f>
        <v/>
      </c>
      <c r="G671" s="212">
        <v>1.4999999999999999E-2</v>
      </c>
    </row>
    <row r="672" spans="1:7" x14ac:dyDescent="0.35">
      <c r="A672" s="228"/>
      <c r="B672" s="62" t="s">
        <v>8</v>
      </c>
      <c r="C672" s="62"/>
      <c r="D672" s="62"/>
      <c r="E672" s="78" t="str">
        <f t="shared" si="46"/>
        <v/>
      </c>
      <c r="F672" s="214"/>
      <c r="G672" s="212"/>
    </row>
    <row r="673" spans="1:7" x14ac:dyDescent="0.35">
      <c r="A673" s="229"/>
      <c r="B673" s="62" t="s">
        <v>9</v>
      </c>
      <c r="C673" s="62"/>
      <c r="D673" s="62"/>
      <c r="E673" s="78" t="str">
        <f t="shared" si="46"/>
        <v/>
      </c>
      <c r="F673" s="214"/>
      <c r="G673" s="212"/>
    </row>
    <row r="674" spans="1:7" x14ac:dyDescent="0.35">
      <c r="A674" s="227">
        <v>46247</v>
      </c>
      <c r="B674" s="62" t="s">
        <v>7</v>
      </c>
      <c r="C674" s="62"/>
      <c r="D674" s="62"/>
      <c r="E674" s="78" t="str">
        <f t="shared" si="46"/>
        <v/>
      </c>
      <c r="F674" s="213" t="str">
        <f>IFERROR(AVERAGE(E674:E676),"")</f>
        <v/>
      </c>
      <c r="G674" s="212">
        <v>1.4999999999999999E-2</v>
      </c>
    </row>
    <row r="675" spans="1:7" x14ac:dyDescent="0.35">
      <c r="A675" s="228"/>
      <c r="B675" s="62" t="s">
        <v>8</v>
      </c>
      <c r="C675" s="62"/>
      <c r="D675" s="62"/>
      <c r="E675" s="78" t="str">
        <f t="shared" si="46"/>
        <v/>
      </c>
      <c r="F675" s="214"/>
      <c r="G675" s="212"/>
    </row>
    <row r="676" spans="1:7" x14ac:dyDescent="0.35">
      <c r="A676" s="229"/>
      <c r="B676" s="62" t="s">
        <v>9</v>
      </c>
      <c r="C676" s="62"/>
      <c r="D676" s="62"/>
      <c r="E676" s="78" t="str">
        <f t="shared" si="46"/>
        <v/>
      </c>
      <c r="F676" s="214"/>
      <c r="G676" s="212"/>
    </row>
    <row r="677" spans="1:7" x14ac:dyDescent="0.35">
      <c r="A677" s="227">
        <v>46248</v>
      </c>
      <c r="B677" s="62" t="s">
        <v>7</v>
      </c>
      <c r="C677" s="62"/>
      <c r="D677" s="62"/>
      <c r="E677" s="78" t="str">
        <f t="shared" si="46"/>
        <v/>
      </c>
      <c r="F677" s="213" t="str">
        <f>IFERROR(AVERAGE(E677:E679),"")</f>
        <v/>
      </c>
      <c r="G677" s="212">
        <v>1.4999999999999999E-2</v>
      </c>
    </row>
    <row r="678" spans="1:7" x14ac:dyDescent="0.35">
      <c r="A678" s="228"/>
      <c r="B678" s="62" t="s">
        <v>8</v>
      </c>
      <c r="C678" s="62"/>
      <c r="D678" s="62"/>
      <c r="E678" s="78" t="str">
        <f t="shared" si="46"/>
        <v/>
      </c>
      <c r="F678" s="214"/>
      <c r="G678" s="212"/>
    </row>
    <row r="679" spans="1:7" x14ac:dyDescent="0.35">
      <c r="A679" s="229"/>
      <c r="B679" s="62" t="s">
        <v>9</v>
      </c>
      <c r="C679" s="62"/>
      <c r="D679" s="62"/>
      <c r="E679" s="78" t="str">
        <f t="shared" si="46"/>
        <v/>
      </c>
      <c r="F679" s="214"/>
      <c r="G679" s="212"/>
    </row>
    <row r="680" spans="1:7" x14ac:dyDescent="0.35">
      <c r="A680" s="227">
        <v>46249</v>
      </c>
      <c r="B680" s="62" t="s">
        <v>7</v>
      </c>
      <c r="C680" s="62"/>
      <c r="D680" s="62"/>
      <c r="E680" s="78" t="str">
        <f t="shared" si="46"/>
        <v/>
      </c>
      <c r="F680" s="213" t="str">
        <f>IFERROR(AVERAGE(E680:E682),"")</f>
        <v/>
      </c>
      <c r="G680" s="212">
        <v>1.4999999999999999E-2</v>
      </c>
    </row>
    <row r="681" spans="1:7" x14ac:dyDescent="0.35">
      <c r="A681" s="228"/>
      <c r="B681" s="62" t="s">
        <v>8</v>
      </c>
      <c r="C681" s="62"/>
      <c r="D681" s="62"/>
      <c r="E681" s="78" t="str">
        <f t="shared" si="46"/>
        <v/>
      </c>
      <c r="F681" s="214"/>
      <c r="G681" s="212"/>
    </row>
    <row r="682" spans="1:7" x14ac:dyDescent="0.35">
      <c r="A682" s="229"/>
      <c r="B682" s="62" t="s">
        <v>9</v>
      </c>
      <c r="C682" s="62"/>
      <c r="D682" s="62"/>
      <c r="E682" s="78" t="str">
        <f t="shared" si="46"/>
        <v/>
      </c>
      <c r="F682" s="214"/>
      <c r="G682" s="212"/>
    </row>
    <row r="683" spans="1:7" x14ac:dyDescent="0.35">
      <c r="A683" s="227">
        <v>46250</v>
      </c>
      <c r="B683" s="62" t="s">
        <v>7</v>
      </c>
      <c r="C683" s="62"/>
      <c r="D683" s="62"/>
      <c r="E683" s="78" t="str">
        <f t="shared" si="46"/>
        <v/>
      </c>
      <c r="F683" s="213" t="str">
        <f>IFERROR(AVERAGE(E683:E685),"")</f>
        <v/>
      </c>
      <c r="G683" s="212">
        <v>1.4999999999999999E-2</v>
      </c>
    </row>
    <row r="684" spans="1:7" x14ac:dyDescent="0.35">
      <c r="A684" s="228"/>
      <c r="B684" s="62" t="s">
        <v>8</v>
      </c>
      <c r="C684" s="62"/>
      <c r="D684" s="62"/>
      <c r="E684" s="78" t="str">
        <f t="shared" si="46"/>
        <v/>
      </c>
      <c r="F684" s="214"/>
      <c r="G684" s="212"/>
    </row>
    <row r="685" spans="1:7" x14ac:dyDescent="0.35">
      <c r="A685" s="229"/>
      <c r="B685" s="62" t="s">
        <v>9</v>
      </c>
      <c r="C685" s="62"/>
      <c r="D685" s="62"/>
      <c r="E685" s="78" t="str">
        <f t="shared" si="46"/>
        <v/>
      </c>
      <c r="F685" s="214"/>
      <c r="G685" s="212"/>
    </row>
    <row r="686" spans="1:7" x14ac:dyDescent="0.35">
      <c r="A686" s="227">
        <v>46251</v>
      </c>
      <c r="B686" s="62" t="s">
        <v>7</v>
      </c>
      <c r="C686" s="62"/>
      <c r="D686" s="62"/>
      <c r="E686" s="78" t="str">
        <f t="shared" si="46"/>
        <v/>
      </c>
      <c r="F686" s="213" t="str">
        <f>IFERROR(AVERAGE(E686:E688),"")</f>
        <v/>
      </c>
      <c r="G686" s="212">
        <v>1.4999999999999999E-2</v>
      </c>
    </row>
    <row r="687" spans="1:7" x14ac:dyDescent="0.35">
      <c r="A687" s="228"/>
      <c r="B687" s="62" t="s">
        <v>8</v>
      </c>
      <c r="C687" s="62"/>
      <c r="D687" s="62"/>
      <c r="E687" s="78" t="str">
        <f t="shared" si="46"/>
        <v/>
      </c>
      <c r="F687" s="214"/>
      <c r="G687" s="212"/>
    </row>
    <row r="688" spans="1:7" x14ac:dyDescent="0.35">
      <c r="A688" s="229"/>
      <c r="B688" s="62" t="s">
        <v>9</v>
      </c>
      <c r="C688" s="62"/>
      <c r="D688" s="62"/>
      <c r="E688" s="78" t="str">
        <f t="shared" si="46"/>
        <v/>
      </c>
      <c r="F688" s="214"/>
      <c r="G688" s="212"/>
    </row>
    <row r="689" spans="1:7" x14ac:dyDescent="0.35">
      <c r="A689" s="227">
        <v>46252</v>
      </c>
      <c r="B689" s="62" t="s">
        <v>7</v>
      </c>
      <c r="C689" s="62"/>
      <c r="D689" s="62"/>
      <c r="E689" s="78" t="str">
        <f t="shared" si="46"/>
        <v/>
      </c>
      <c r="F689" s="213" t="str">
        <f>IFERROR(AVERAGE(E689:E691),"")</f>
        <v/>
      </c>
      <c r="G689" s="212">
        <v>1.4999999999999999E-2</v>
      </c>
    </row>
    <row r="690" spans="1:7" x14ac:dyDescent="0.35">
      <c r="A690" s="228"/>
      <c r="B690" s="62" t="s">
        <v>8</v>
      </c>
      <c r="C690" s="62"/>
      <c r="D690" s="62"/>
      <c r="E690" s="78" t="str">
        <f t="shared" si="46"/>
        <v/>
      </c>
      <c r="F690" s="214"/>
      <c r="G690" s="212"/>
    </row>
    <row r="691" spans="1:7" x14ac:dyDescent="0.35">
      <c r="A691" s="229"/>
      <c r="B691" s="62" t="s">
        <v>9</v>
      </c>
      <c r="C691" s="62"/>
      <c r="D691" s="62"/>
      <c r="E691" s="78" t="str">
        <f t="shared" si="46"/>
        <v/>
      </c>
      <c r="F691" s="214"/>
      <c r="G691" s="212"/>
    </row>
    <row r="692" spans="1:7" x14ac:dyDescent="0.35">
      <c r="A692" s="227">
        <v>46253</v>
      </c>
      <c r="B692" s="62" t="s">
        <v>7</v>
      </c>
      <c r="C692" s="62"/>
      <c r="D692" s="62"/>
      <c r="E692" s="78" t="str">
        <f t="shared" si="46"/>
        <v/>
      </c>
      <c r="F692" s="213" t="str">
        <f>IFERROR(AVERAGE(E692:E694),"")</f>
        <v/>
      </c>
      <c r="G692" s="212">
        <v>1.4999999999999999E-2</v>
      </c>
    </row>
    <row r="693" spans="1:7" x14ac:dyDescent="0.35">
      <c r="A693" s="228"/>
      <c r="B693" s="62" t="s">
        <v>8</v>
      </c>
      <c r="C693" s="62"/>
      <c r="D693" s="62"/>
      <c r="E693" s="78" t="str">
        <f t="shared" si="46"/>
        <v/>
      </c>
      <c r="F693" s="214"/>
      <c r="G693" s="212"/>
    </row>
    <row r="694" spans="1:7" x14ac:dyDescent="0.35">
      <c r="A694" s="229"/>
      <c r="B694" s="62" t="s">
        <v>9</v>
      </c>
      <c r="C694" s="62"/>
      <c r="D694" s="62"/>
      <c r="E694" s="78" t="str">
        <f t="shared" si="46"/>
        <v/>
      </c>
      <c r="F694" s="214"/>
      <c r="G694" s="212"/>
    </row>
    <row r="695" spans="1:7" x14ac:dyDescent="0.35">
      <c r="A695" s="227">
        <v>46254</v>
      </c>
      <c r="B695" s="62" t="s">
        <v>7</v>
      </c>
      <c r="C695" s="62"/>
      <c r="D695" s="77"/>
      <c r="E695" s="78" t="str">
        <f t="shared" si="46"/>
        <v/>
      </c>
      <c r="F695" s="213" t="str">
        <f>IFERROR(AVERAGE(E695:E697),"")</f>
        <v/>
      </c>
      <c r="G695" s="212">
        <v>1.4999999999999999E-2</v>
      </c>
    </row>
    <row r="696" spans="1:7" x14ac:dyDescent="0.35">
      <c r="A696" s="228"/>
      <c r="B696" s="62" t="s">
        <v>8</v>
      </c>
      <c r="C696" s="62"/>
      <c r="D696" s="77"/>
      <c r="E696" s="78" t="str">
        <f t="shared" si="46"/>
        <v/>
      </c>
      <c r="F696" s="214"/>
      <c r="G696" s="212"/>
    </row>
    <row r="697" spans="1:7" x14ac:dyDescent="0.35">
      <c r="A697" s="229"/>
      <c r="B697" s="62" t="s">
        <v>9</v>
      </c>
      <c r="C697" s="62"/>
      <c r="D697" s="77"/>
      <c r="E697" s="78" t="str">
        <f t="shared" si="46"/>
        <v/>
      </c>
      <c r="F697" s="214"/>
      <c r="G697" s="212"/>
    </row>
    <row r="698" spans="1:7" x14ac:dyDescent="0.35">
      <c r="A698" s="227">
        <v>46255</v>
      </c>
      <c r="B698" s="62" t="s">
        <v>7</v>
      </c>
      <c r="C698" s="62"/>
      <c r="D698" s="77"/>
      <c r="E698" s="78" t="str">
        <f t="shared" si="46"/>
        <v/>
      </c>
      <c r="F698" s="213" t="str">
        <f>IFERROR(AVERAGE(E698:E700),"")</f>
        <v/>
      </c>
      <c r="G698" s="212">
        <v>1.4999999999999999E-2</v>
      </c>
    </row>
    <row r="699" spans="1:7" x14ac:dyDescent="0.35">
      <c r="A699" s="228"/>
      <c r="B699" s="62" t="s">
        <v>8</v>
      </c>
      <c r="C699" s="62"/>
      <c r="D699" s="77"/>
      <c r="E699" s="78" t="str">
        <f t="shared" si="46"/>
        <v/>
      </c>
      <c r="F699" s="214"/>
      <c r="G699" s="212"/>
    </row>
    <row r="700" spans="1:7" x14ac:dyDescent="0.35">
      <c r="A700" s="229"/>
      <c r="B700" s="62" t="s">
        <v>9</v>
      </c>
      <c r="C700" s="62"/>
      <c r="D700" s="77"/>
      <c r="E700" s="78" t="str">
        <f t="shared" si="46"/>
        <v/>
      </c>
      <c r="F700" s="214"/>
      <c r="G700" s="212"/>
    </row>
    <row r="701" spans="1:7" x14ac:dyDescent="0.35">
      <c r="A701" s="227">
        <v>46256</v>
      </c>
      <c r="B701" s="62" t="s">
        <v>7</v>
      </c>
      <c r="C701" s="62"/>
      <c r="D701" s="77"/>
      <c r="E701" s="78" t="str">
        <f t="shared" si="46"/>
        <v/>
      </c>
      <c r="F701" s="213" t="str">
        <f>IFERROR(AVERAGE(E701:E703),"")</f>
        <v/>
      </c>
      <c r="G701" s="212">
        <v>1.4999999999999999E-2</v>
      </c>
    </row>
    <row r="702" spans="1:7" x14ac:dyDescent="0.35">
      <c r="A702" s="228"/>
      <c r="B702" s="62" t="s">
        <v>8</v>
      </c>
      <c r="C702" s="62"/>
      <c r="D702" s="77"/>
      <c r="E702" s="78" t="str">
        <f t="shared" si="46"/>
        <v/>
      </c>
      <c r="F702" s="214"/>
      <c r="G702" s="212"/>
    </row>
    <row r="703" spans="1:7" x14ac:dyDescent="0.35">
      <c r="A703" s="229"/>
      <c r="B703" s="62" t="s">
        <v>9</v>
      </c>
      <c r="C703" s="62"/>
      <c r="D703" s="77"/>
      <c r="E703" s="78" t="str">
        <f t="shared" si="46"/>
        <v/>
      </c>
      <c r="F703" s="214"/>
      <c r="G703" s="212"/>
    </row>
    <row r="704" spans="1:7" x14ac:dyDescent="0.35">
      <c r="A704" s="227">
        <v>46257</v>
      </c>
      <c r="B704" s="62" t="s">
        <v>7</v>
      </c>
      <c r="C704" s="62"/>
      <c r="D704" s="77"/>
      <c r="E704" s="78" t="str">
        <f t="shared" si="46"/>
        <v/>
      </c>
      <c r="F704" s="213" t="str">
        <f>IFERROR(AVERAGE(E704:E706),"")</f>
        <v/>
      </c>
      <c r="G704" s="212">
        <v>1.4999999999999999E-2</v>
      </c>
    </row>
    <row r="705" spans="1:7" x14ac:dyDescent="0.35">
      <c r="A705" s="228"/>
      <c r="B705" s="62" t="s">
        <v>8</v>
      </c>
      <c r="C705" s="62"/>
      <c r="D705" s="77"/>
      <c r="E705" s="78" t="str">
        <f t="shared" si="46"/>
        <v/>
      </c>
      <c r="F705" s="214"/>
      <c r="G705" s="212"/>
    </row>
    <row r="706" spans="1:7" x14ac:dyDescent="0.35">
      <c r="A706" s="229"/>
      <c r="B706" s="62" t="s">
        <v>9</v>
      </c>
      <c r="C706" s="62"/>
      <c r="D706" s="77"/>
      <c r="E706" s="78" t="str">
        <f t="shared" si="46"/>
        <v/>
      </c>
      <c r="F706" s="214"/>
      <c r="G706" s="212"/>
    </row>
    <row r="707" spans="1:7" x14ac:dyDescent="0.35">
      <c r="A707" s="227">
        <v>46258</v>
      </c>
      <c r="B707" s="62" t="s">
        <v>7</v>
      </c>
      <c r="C707" s="62"/>
      <c r="D707" s="77"/>
      <c r="E707" s="78" t="str">
        <f t="shared" si="46"/>
        <v/>
      </c>
      <c r="F707" s="213" t="str">
        <f>IFERROR(AVERAGE(E707:E709),"")</f>
        <v/>
      </c>
      <c r="G707" s="212">
        <v>1.4999999999999999E-2</v>
      </c>
    </row>
    <row r="708" spans="1:7" x14ac:dyDescent="0.35">
      <c r="A708" s="228"/>
      <c r="B708" s="62" t="s">
        <v>8</v>
      </c>
      <c r="C708" s="62"/>
      <c r="D708" s="77"/>
      <c r="E708" s="78" t="str">
        <f t="shared" ref="E708:E742" si="47">IF(D708="","",(D708-C708)/C708)</f>
        <v/>
      </c>
      <c r="F708" s="214"/>
      <c r="G708" s="212"/>
    </row>
    <row r="709" spans="1:7" x14ac:dyDescent="0.35">
      <c r="A709" s="229"/>
      <c r="B709" s="62" t="s">
        <v>9</v>
      </c>
      <c r="C709" s="62"/>
      <c r="D709" s="77"/>
      <c r="E709" s="78" t="str">
        <f t="shared" si="47"/>
        <v/>
      </c>
      <c r="F709" s="214"/>
      <c r="G709" s="212"/>
    </row>
    <row r="710" spans="1:7" x14ac:dyDescent="0.35">
      <c r="A710" s="227">
        <v>46259</v>
      </c>
      <c r="B710" s="62" t="s">
        <v>7</v>
      </c>
      <c r="C710" s="62"/>
      <c r="D710" s="77"/>
      <c r="E710" s="78" t="str">
        <f t="shared" si="47"/>
        <v/>
      </c>
      <c r="F710" s="213" t="str">
        <f>IFERROR(AVERAGE(E710:E712),"")</f>
        <v/>
      </c>
      <c r="G710" s="212">
        <v>1.4999999999999999E-2</v>
      </c>
    </row>
    <row r="711" spans="1:7" x14ac:dyDescent="0.35">
      <c r="A711" s="228"/>
      <c r="B711" s="62" t="s">
        <v>8</v>
      </c>
      <c r="C711" s="62"/>
      <c r="D711" s="77"/>
      <c r="E711" s="78" t="str">
        <f t="shared" si="47"/>
        <v/>
      </c>
      <c r="F711" s="214"/>
      <c r="G711" s="212"/>
    </row>
    <row r="712" spans="1:7" x14ac:dyDescent="0.35">
      <c r="A712" s="229"/>
      <c r="B712" s="62" t="s">
        <v>9</v>
      </c>
      <c r="C712" s="62"/>
      <c r="D712" s="77"/>
      <c r="E712" s="78" t="str">
        <f t="shared" si="47"/>
        <v/>
      </c>
      <c r="F712" s="214"/>
      <c r="G712" s="212"/>
    </row>
    <row r="713" spans="1:7" x14ac:dyDescent="0.35">
      <c r="A713" s="227">
        <v>46260</v>
      </c>
      <c r="B713" s="62" t="s">
        <v>7</v>
      </c>
      <c r="C713" s="62"/>
      <c r="D713" s="77"/>
      <c r="E713" s="78" t="str">
        <f t="shared" si="47"/>
        <v/>
      </c>
      <c r="F713" s="213" t="str">
        <f>IFERROR(AVERAGE(E713:E715),"")</f>
        <v/>
      </c>
      <c r="G713" s="212">
        <v>1.4999999999999999E-2</v>
      </c>
    </row>
    <row r="714" spans="1:7" x14ac:dyDescent="0.35">
      <c r="A714" s="228"/>
      <c r="B714" s="62" t="s">
        <v>8</v>
      </c>
      <c r="C714" s="62"/>
      <c r="D714" s="77"/>
      <c r="E714" s="78" t="str">
        <f t="shared" si="47"/>
        <v/>
      </c>
      <c r="F714" s="214"/>
      <c r="G714" s="212"/>
    </row>
    <row r="715" spans="1:7" x14ac:dyDescent="0.35">
      <c r="A715" s="229"/>
      <c r="B715" s="62" t="s">
        <v>9</v>
      </c>
      <c r="C715" s="62"/>
      <c r="D715" s="77"/>
      <c r="E715" s="78" t="str">
        <f t="shared" si="47"/>
        <v/>
      </c>
      <c r="F715" s="214"/>
      <c r="G715" s="212"/>
    </row>
    <row r="716" spans="1:7" x14ac:dyDescent="0.35">
      <c r="A716" s="227">
        <v>46261</v>
      </c>
      <c r="B716" s="62" t="s">
        <v>7</v>
      </c>
      <c r="C716" s="62"/>
      <c r="D716" s="77"/>
      <c r="E716" s="78" t="str">
        <f t="shared" si="47"/>
        <v/>
      </c>
      <c r="F716" s="213" t="str">
        <f>IFERROR(AVERAGE(E716:E718),"")</f>
        <v/>
      </c>
      <c r="G716" s="212">
        <v>1.4999999999999999E-2</v>
      </c>
    </row>
    <row r="717" spans="1:7" x14ac:dyDescent="0.35">
      <c r="A717" s="228"/>
      <c r="B717" s="62" t="s">
        <v>8</v>
      </c>
      <c r="C717" s="62"/>
      <c r="D717" s="77"/>
      <c r="E717" s="78" t="str">
        <f t="shared" si="47"/>
        <v/>
      </c>
      <c r="F717" s="214"/>
      <c r="G717" s="212"/>
    </row>
    <row r="718" spans="1:7" x14ac:dyDescent="0.35">
      <c r="A718" s="229"/>
      <c r="B718" s="62" t="s">
        <v>9</v>
      </c>
      <c r="C718" s="62"/>
      <c r="D718" s="77"/>
      <c r="E718" s="78" t="str">
        <f t="shared" si="47"/>
        <v/>
      </c>
      <c r="F718" s="214"/>
      <c r="G718" s="212"/>
    </row>
    <row r="719" spans="1:7" x14ac:dyDescent="0.35">
      <c r="A719" s="227">
        <v>46262</v>
      </c>
      <c r="B719" s="62" t="s">
        <v>7</v>
      </c>
      <c r="C719" s="62"/>
      <c r="D719" s="77"/>
      <c r="E719" s="78" t="str">
        <f t="shared" si="47"/>
        <v/>
      </c>
      <c r="F719" s="213" t="str">
        <f>IFERROR(AVERAGE(E719:E721),"")</f>
        <v/>
      </c>
      <c r="G719" s="212">
        <v>1.4999999999999999E-2</v>
      </c>
    </row>
    <row r="720" spans="1:7" x14ac:dyDescent="0.35">
      <c r="A720" s="228"/>
      <c r="B720" s="62" t="s">
        <v>8</v>
      </c>
      <c r="C720" s="62"/>
      <c r="D720" s="77"/>
      <c r="E720" s="78" t="str">
        <f t="shared" si="47"/>
        <v/>
      </c>
      <c r="F720" s="214"/>
      <c r="G720" s="212"/>
    </row>
    <row r="721" spans="1:14" x14ac:dyDescent="0.35">
      <c r="A721" s="229"/>
      <c r="B721" s="62" t="s">
        <v>9</v>
      </c>
      <c r="C721" s="62"/>
      <c r="D721" s="77"/>
      <c r="E721" s="78" t="str">
        <f t="shared" si="47"/>
        <v/>
      </c>
      <c r="F721" s="214"/>
      <c r="G721" s="212"/>
    </row>
    <row r="722" spans="1:14" x14ac:dyDescent="0.35">
      <c r="A722" s="227">
        <v>46263</v>
      </c>
      <c r="B722" s="62" t="s">
        <v>7</v>
      </c>
      <c r="C722" s="62"/>
      <c r="D722" s="77"/>
      <c r="E722" s="78" t="str">
        <f t="shared" si="47"/>
        <v/>
      </c>
      <c r="F722" s="213" t="str">
        <f>IFERROR(AVERAGE(E722:E724),"")</f>
        <v/>
      </c>
      <c r="G722" s="212">
        <v>1.4999999999999999E-2</v>
      </c>
      <c r="I722" s="412">
        <v>46023</v>
      </c>
      <c r="J722" s="62" t="s">
        <v>7</v>
      </c>
      <c r="K722" s="79"/>
      <c r="L722" s="80"/>
      <c r="M722" s="78" t="str">
        <f t="shared" ref="M722:M727" si="48">IF(L722="","",(L722-K722)/K722)</f>
        <v/>
      </c>
      <c r="N722" s="415">
        <f>IFERROR(AVERAGE(M722:M724),"")</f>
        <v>1.7073170731707239E-2</v>
      </c>
    </row>
    <row r="723" spans="1:14" x14ac:dyDescent="0.35">
      <c r="A723" s="228"/>
      <c r="B723" s="62" t="s">
        <v>8</v>
      </c>
      <c r="C723" s="62"/>
      <c r="D723" s="77"/>
      <c r="E723" s="78" t="str">
        <f t="shared" si="47"/>
        <v/>
      </c>
      <c r="F723" s="214"/>
      <c r="G723" s="212"/>
      <c r="I723" s="413"/>
      <c r="J723" s="62" t="s">
        <v>8</v>
      </c>
      <c r="K723" s="79"/>
      <c r="L723" s="80"/>
      <c r="M723" s="78" t="str">
        <f t="shared" si="48"/>
        <v/>
      </c>
      <c r="N723" s="416"/>
    </row>
    <row r="724" spans="1:14" x14ac:dyDescent="0.35">
      <c r="A724" s="229"/>
      <c r="B724" s="62" t="s">
        <v>9</v>
      </c>
      <c r="C724" s="62"/>
      <c r="D724" s="77"/>
      <c r="E724" s="78" t="str">
        <f t="shared" si="47"/>
        <v/>
      </c>
      <c r="F724" s="214"/>
      <c r="G724" s="212"/>
      <c r="I724" s="414"/>
      <c r="J724" s="62" t="s">
        <v>9</v>
      </c>
      <c r="K724" s="79">
        <v>574</v>
      </c>
      <c r="L724" s="80">
        <v>583.79999999999995</v>
      </c>
      <c r="M724" s="78">
        <f t="shared" si="48"/>
        <v>1.7073170731707239E-2</v>
      </c>
      <c r="N724" s="416"/>
    </row>
    <row r="725" spans="1:14" x14ac:dyDescent="0.35">
      <c r="A725" s="227">
        <v>46264</v>
      </c>
      <c r="B725" s="62" t="s">
        <v>7</v>
      </c>
      <c r="C725" s="62"/>
      <c r="D725" s="77"/>
      <c r="E725" s="78" t="str">
        <f t="shared" si="47"/>
        <v/>
      </c>
      <c r="F725" s="213" t="str">
        <f>IFERROR(AVERAGE(E725:E727),"")</f>
        <v/>
      </c>
      <c r="G725" s="212">
        <v>1.4999999999999999E-2</v>
      </c>
      <c r="I725" s="412">
        <v>46024</v>
      </c>
      <c r="J725" s="62" t="s">
        <v>7</v>
      </c>
      <c r="K725" s="79">
        <v>574</v>
      </c>
      <c r="L725" s="80">
        <v>589.62</v>
      </c>
      <c r="M725" s="78">
        <f t="shared" si="48"/>
        <v>2.7212543554006978E-2</v>
      </c>
      <c r="N725" s="415">
        <f>IFERROR(AVERAGE(M725:M727),"")</f>
        <v>2.8879210220673648E-2</v>
      </c>
    </row>
    <row r="726" spans="1:14" x14ac:dyDescent="0.35">
      <c r="A726" s="228"/>
      <c r="B726" s="62" t="s">
        <v>8</v>
      </c>
      <c r="C726" s="62"/>
      <c r="D726" s="77"/>
      <c r="E726" s="78" t="str">
        <f t="shared" si="47"/>
        <v/>
      </c>
      <c r="F726" s="214"/>
      <c r="G726" s="212"/>
      <c r="I726" s="413"/>
      <c r="J726" s="62" t="s">
        <v>8</v>
      </c>
      <c r="K726" s="79">
        <v>574</v>
      </c>
      <c r="L726" s="80">
        <v>592.46</v>
      </c>
      <c r="M726" s="78">
        <f t="shared" si="48"/>
        <v>3.2160278745644665E-2</v>
      </c>
      <c r="N726" s="416"/>
    </row>
    <row r="727" spans="1:14" x14ac:dyDescent="0.35">
      <c r="A727" s="229"/>
      <c r="B727" s="62" t="s">
        <v>9</v>
      </c>
      <c r="C727" s="62"/>
      <c r="D727" s="77"/>
      <c r="E727" s="78" t="str">
        <f t="shared" si="47"/>
        <v/>
      </c>
      <c r="F727" s="214"/>
      <c r="G727" s="212"/>
      <c r="I727" s="414"/>
      <c r="J727" s="62" t="s">
        <v>9</v>
      </c>
      <c r="K727" s="79">
        <v>574</v>
      </c>
      <c r="L727" s="80">
        <v>589.65</v>
      </c>
      <c r="M727" s="78">
        <f t="shared" si="48"/>
        <v>2.7264808362369299E-2</v>
      </c>
      <c r="N727" s="416"/>
    </row>
    <row r="728" spans="1:14" x14ac:dyDescent="0.35">
      <c r="A728" s="227">
        <v>46265</v>
      </c>
      <c r="B728" s="62" t="s">
        <v>7</v>
      </c>
      <c r="C728" s="62"/>
      <c r="D728" s="77"/>
      <c r="E728" s="78" t="str">
        <f t="shared" si="47"/>
        <v/>
      </c>
      <c r="F728" s="213" t="str">
        <f>IFERROR(AVERAGE(E728:E730),"")</f>
        <v/>
      </c>
      <c r="G728" s="212">
        <v>1.4999999999999999E-2</v>
      </c>
    </row>
    <row r="729" spans="1:14" x14ac:dyDescent="0.35">
      <c r="A729" s="228"/>
      <c r="B729" s="62" t="s">
        <v>8</v>
      </c>
      <c r="C729" s="62"/>
      <c r="D729" s="77"/>
      <c r="E729" s="78" t="str">
        <f t="shared" si="47"/>
        <v/>
      </c>
      <c r="F729" s="214"/>
      <c r="G729" s="212"/>
    </row>
    <row r="730" spans="1:14" x14ac:dyDescent="0.35">
      <c r="A730" s="229"/>
      <c r="B730" s="62" t="s">
        <v>9</v>
      </c>
      <c r="C730" s="62"/>
      <c r="D730" s="77"/>
      <c r="E730" s="78" t="str">
        <f t="shared" si="47"/>
        <v/>
      </c>
      <c r="F730" s="214"/>
      <c r="G730" s="212"/>
    </row>
    <row r="731" spans="1:14" x14ac:dyDescent="0.35">
      <c r="A731" s="227">
        <v>46266</v>
      </c>
      <c r="B731" s="62" t="s">
        <v>7</v>
      </c>
      <c r="C731" s="62"/>
      <c r="D731" s="77"/>
      <c r="E731" s="78" t="str">
        <f t="shared" si="47"/>
        <v/>
      </c>
      <c r="F731" s="213" t="str">
        <f>IFERROR(AVERAGE(E731:E733),"")</f>
        <v/>
      </c>
      <c r="G731" s="212">
        <v>1.4999999999999999E-2</v>
      </c>
    </row>
    <row r="732" spans="1:14" x14ac:dyDescent="0.35">
      <c r="A732" s="228"/>
      <c r="B732" s="62" t="s">
        <v>8</v>
      </c>
      <c r="C732" s="62"/>
      <c r="D732" s="77"/>
      <c r="E732" s="78" t="str">
        <f t="shared" si="47"/>
        <v/>
      </c>
      <c r="F732" s="214"/>
      <c r="G732" s="212"/>
    </row>
    <row r="733" spans="1:14" x14ac:dyDescent="0.35">
      <c r="A733" s="229"/>
      <c r="B733" s="62" t="s">
        <v>9</v>
      </c>
      <c r="C733" s="62"/>
      <c r="D733" s="77"/>
      <c r="E733" s="78" t="str">
        <f t="shared" si="47"/>
        <v/>
      </c>
      <c r="F733" s="214"/>
      <c r="G733" s="212"/>
    </row>
    <row r="734" spans="1:14" x14ac:dyDescent="0.35">
      <c r="A734" s="227">
        <v>46267</v>
      </c>
      <c r="B734" s="62" t="s">
        <v>7</v>
      </c>
      <c r="C734" s="62">
        <v>362</v>
      </c>
      <c r="D734" s="77">
        <v>369.45</v>
      </c>
      <c r="E734" s="78">
        <f>IF(D734="","",(D734-C734)/C734)</f>
        <v>2.0580110497237538E-2</v>
      </c>
      <c r="F734" s="213">
        <f>IFERROR(AVERAGE(E734:E736),"")</f>
        <v>2.9539594843462233E-2</v>
      </c>
      <c r="G734" s="212">
        <v>1.4999999999999999E-2</v>
      </c>
    </row>
    <row r="735" spans="1:14" x14ac:dyDescent="0.35">
      <c r="A735" s="228"/>
      <c r="B735" s="62" t="s">
        <v>8</v>
      </c>
      <c r="C735" s="62">
        <v>362</v>
      </c>
      <c r="D735" s="77">
        <v>376.98</v>
      </c>
      <c r="E735" s="78">
        <f>IF(D735="","",(D735-C735)/C735)</f>
        <v>4.1381215469613312E-2</v>
      </c>
      <c r="F735" s="214"/>
      <c r="G735" s="212"/>
    </row>
    <row r="736" spans="1:14" x14ac:dyDescent="0.35">
      <c r="A736" s="229"/>
      <c r="B736" s="62" t="s">
        <v>9</v>
      </c>
      <c r="C736" s="62">
        <v>362</v>
      </c>
      <c r="D736" s="77">
        <v>371.65</v>
      </c>
      <c r="E736" s="78">
        <f>IF(D736="","",(D736-C736)/C736)</f>
        <v>2.6657458563535848E-2</v>
      </c>
      <c r="F736" s="214"/>
      <c r="G736" s="212"/>
    </row>
    <row r="737" spans="1:7" x14ac:dyDescent="0.35">
      <c r="A737" s="227">
        <v>46268</v>
      </c>
      <c r="B737" s="62" t="s">
        <v>7</v>
      </c>
      <c r="C737" s="62">
        <v>362</v>
      </c>
      <c r="D737" s="77">
        <v>369.45</v>
      </c>
      <c r="E737" s="78">
        <f t="shared" si="47"/>
        <v>2.0580110497237538E-2</v>
      </c>
      <c r="F737" s="213">
        <f>IFERROR(AVERAGE(E737:E739),"")</f>
        <v>2.9539594843462233E-2</v>
      </c>
      <c r="G737" s="212">
        <v>1.4999999999999999E-2</v>
      </c>
    </row>
    <row r="738" spans="1:7" x14ac:dyDescent="0.35">
      <c r="A738" s="228"/>
      <c r="B738" s="62" t="s">
        <v>8</v>
      </c>
      <c r="C738" s="62">
        <v>362</v>
      </c>
      <c r="D738" s="77">
        <v>376.98</v>
      </c>
      <c r="E738" s="78">
        <f t="shared" si="47"/>
        <v>4.1381215469613312E-2</v>
      </c>
      <c r="F738" s="214"/>
      <c r="G738" s="212"/>
    </row>
    <row r="739" spans="1:7" x14ac:dyDescent="0.35">
      <c r="A739" s="229"/>
      <c r="B739" s="62" t="s">
        <v>9</v>
      </c>
      <c r="C739" s="62">
        <v>362</v>
      </c>
      <c r="D739" s="77">
        <v>371.65</v>
      </c>
      <c r="E739" s="78">
        <f t="shared" si="47"/>
        <v>2.6657458563535848E-2</v>
      </c>
      <c r="F739" s="214"/>
      <c r="G739" s="212"/>
    </row>
    <row r="740" spans="1:7" x14ac:dyDescent="0.35">
      <c r="A740" s="227">
        <v>46269</v>
      </c>
      <c r="B740" s="62" t="s">
        <v>7</v>
      </c>
      <c r="C740" s="62"/>
      <c r="D740" s="77"/>
      <c r="E740" s="78" t="str">
        <f t="shared" si="47"/>
        <v/>
      </c>
      <c r="F740" s="213" t="str">
        <f>IFERROR(AVERAGE(E740:E742),"")</f>
        <v/>
      </c>
      <c r="G740" s="212">
        <v>1.4999999999999999E-2</v>
      </c>
    </row>
    <row r="741" spans="1:7" x14ac:dyDescent="0.35">
      <c r="A741" s="228"/>
      <c r="B741" s="62" t="s">
        <v>8</v>
      </c>
      <c r="C741" s="62"/>
      <c r="D741" s="77"/>
      <c r="E741" s="78" t="str">
        <f t="shared" si="47"/>
        <v/>
      </c>
      <c r="F741" s="214"/>
      <c r="G741" s="212"/>
    </row>
    <row r="742" spans="1:7" x14ac:dyDescent="0.35">
      <c r="A742" s="229"/>
      <c r="B742" s="62" t="s">
        <v>9</v>
      </c>
      <c r="C742" s="62"/>
      <c r="D742" s="77"/>
      <c r="E742" s="78" t="str">
        <f t="shared" si="47"/>
        <v/>
      </c>
      <c r="F742" s="214"/>
      <c r="G742" s="212"/>
    </row>
    <row r="743" spans="1:7" x14ac:dyDescent="0.35">
      <c r="A743" s="227">
        <v>46270</v>
      </c>
      <c r="B743" s="62" t="s">
        <v>7</v>
      </c>
      <c r="C743" s="62">
        <v>362</v>
      </c>
      <c r="D743" s="77">
        <v>371.36</v>
      </c>
      <c r="E743" s="78">
        <f t="shared" ref="E743:E751" si="49">IF(D743="","",(D743-C743)/C743)</f>
        <v>2.5856353591160258E-2</v>
      </c>
      <c r="F743" s="213">
        <f>IFERROR(AVERAGE(E743:E745),"")</f>
        <v>2.6813996316758754E-2</v>
      </c>
      <c r="G743" s="212">
        <v>1.4999999999999999E-2</v>
      </c>
    </row>
    <row r="744" spans="1:7" x14ac:dyDescent="0.35">
      <c r="A744" s="228"/>
      <c r="B744" s="62" t="s">
        <v>8</v>
      </c>
      <c r="C744" s="62">
        <v>362</v>
      </c>
      <c r="D744" s="77">
        <v>373.2</v>
      </c>
      <c r="E744" s="78">
        <f t="shared" si="49"/>
        <v>3.0939226519336987E-2</v>
      </c>
      <c r="F744" s="214"/>
      <c r="G744" s="212"/>
    </row>
    <row r="745" spans="1:7" x14ac:dyDescent="0.35">
      <c r="A745" s="229"/>
      <c r="B745" s="62" t="s">
        <v>9</v>
      </c>
      <c r="C745" s="62">
        <v>362</v>
      </c>
      <c r="D745" s="77">
        <v>370.56</v>
      </c>
      <c r="E745" s="78">
        <f t="shared" si="49"/>
        <v>2.3646408839779011E-2</v>
      </c>
      <c r="F745" s="214"/>
      <c r="G745" s="212"/>
    </row>
    <row r="746" spans="1:7" x14ac:dyDescent="0.35">
      <c r="A746" s="227">
        <v>46271</v>
      </c>
      <c r="B746" s="62" t="s">
        <v>7</v>
      </c>
      <c r="C746" s="62">
        <v>362</v>
      </c>
      <c r="D746" s="77">
        <v>372.65</v>
      </c>
      <c r="E746" s="78">
        <f t="shared" si="49"/>
        <v>2.9419889502762368E-2</v>
      </c>
      <c r="F746" s="213">
        <f>IFERROR(AVERAGE(E746:E748),"")</f>
        <v>2.6961325966850802E-2</v>
      </c>
      <c r="G746" s="212">
        <v>1.4999999999999999E-2</v>
      </c>
    </row>
    <row r="747" spans="1:7" x14ac:dyDescent="0.35">
      <c r="A747" s="228"/>
      <c r="B747" s="62" t="s">
        <v>8</v>
      </c>
      <c r="C747" s="62">
        <v>362</v>
      </c>
      <c r="D747" s="77">
        <v>369.65</v>
      </c>
      <c r="E747" s="78">
        <f t="shared" si="49"/>
        <v>2.113259668508281E-2</v>
      </c>
      <c r="F747" s="214"/>
      <c r="G747" s="212"/>
    </row>
    <row r="748" spans="1:7" x14ac:dyDescent="0.35">
      <c r="A748" s="229"/>
      <c r="B748" s="62" t="s">
        <v>9</v>
      </c>
      <c r="C748" s="62">
        <v>362</v>
      </c>
      <c r="D748" s="77">
        <v>372.98</v>
      </c>
      <c r="E748" s="78">
        <f t="shared" si="49"/>
        <v>3.0331491712707232E-2</v>
      </c>
      <c r="F748" s="214"/>
      <c r="G748" s="212"/>
    </row>
    <row r="749" spans="1:7" x14ac:dyDescent="0.35">
      <c r="A749" s="227">
        <v>46272</v>
      </c>
      <c r="B749" s="62" t="s">
        <v>7</v>
      </c>
      <c r="C749" s="62">
        <v>362</v>
      </c>
      <c r="D749" s="77">
        <v>370.87</v>
      </c>
      <c r="E749" s="78">
        <f t="shared" si="49"/>
        <v>2.450276243093924E-2</v>
      </c>
      <c r="F749" s="213">
        <f>IFERROR(AVERAGE(E749:E751),"")</f>
        <v>3.1187845303867406E-2</v>
      </c>
      <c r="G749" s="212">
        <v>1.4999999999999999E-2</v>
      </c>
    </row>
    <row r="750" spans="1:7" x14ac:dyDescent="0.35">
      <c r="A750" s="228"/>
      <c r="B750" s="62" t="s">
        <v>8</v>
      </c>
      <c r="C750" s="62">
        <v>362</v>
      </c>
      <c r="D750" s="77">
        <v>375.86</v>
      </c>
      <c r="E750" s="78">
        <f t="shared" si="49"/>
        <v>3.8287292817679598E-2</v>
      </c>
      <c r="G750" s="212"/>
    </row>
    <row r="751" spans="1:7" x14ac:dyDescent="0.35">
      <c r="A751" s="229"/>
      <c r="B751" s="62" t="s">
        <v>9</v>
      </c>
      <c r="C751" s="62">
        <v>362</v>
      </c>
      <c r="D751" s="77">
        <v>373.14</v>
      </c>
      <c r="E751" s="78">
        <f t="shared" si="49"/>
        <v>3.0773480662983389E-2</v>
      </c>
      <c r="G751" s="212"/>
    </row>
    <row r="752" spans="1:7" x14ac:dyDescent="0.35">
      <c r="A752" s="227">
        <v>46273</v>
      </c>
      <c r="B752" s="62" t="s">
        <v>7</v>
      </c>
      <c r="C752" s="62">
        <v>362</v>
      </c>
      <c r="D752" s="77">
        <v>372.07</v>
      </c>
      <c r="E752" s="78">
        <f t="shared" ref="E752:E754" si="50">IF(D752="","",(D752-C752)/C752)</f>
        <v>2.7817679558011031E-2</v>
      </c>
      <c r="F752" s="213">
        <f>IFERROR(AVERAGE(E752:E754),"")</f>
        <v>2.9162062615101302E-2</v>
      </c>
      <c r="G752" s="212">
        <v>1.4999999999999999E-2</v>
      </c>
    </row>
    <row r="753" spans="1:7" x14ac:dyDescent="0.35">
      <c r="A753" s="228"/>
      <c r="B753" s="62" t="s">
        <v>8</v>
      </c>
      <c r="C753" s="62">
        <v>362</v>
      </c>
      <c r="D753" s="77">
        <v>373.88</v>
      </c>
      <c r="E753" s="78">
        <f t="shared" si="50"/>
        <v>3.2817679558011036E-2</v>
      </c>
      <c r="G753" s="212"/>
    </row>
    <row r="754" spans="1:7" x14ac:dyDescent="0.35">
      <c r="A754" s="229"/>
      <c r="B754" s="62" t="s">
        <v>9</v>
      </c>
      <c r="C754" s="62">
        <v>362</v>
      </c>
      <c r="D754" s="77">
        <v>371.72</v>
      </c>
      <c r="E754" s="78">
        <f t="shared" si="50"/>
        <v>2.6850828729281843E-2</v>
      </c>
      <c r="G754" s="212"/>
    </row>
    <row r="755" spans="1:7" x14ac:dyDescent="0.35">
      <c r="A755" s="227">
        <v>46274</v>
      </c>
      <c r="B755" s="62" t="s">
        <v>7</v>
      </c>
      <c r="C755" s="62">
        <v>362</v>
      </c>
      <c r="D755" s="77">
        <v>370.51</v>
      </c>
      <c r="E755" s="78">
        <f t="shared" ref="E755:E757" si="51">IF(D755="","",(D755-C755)/C755)</f>
        <v>2.3508287292817655E-2</v>
      </c>
      <c r="F755" s="213">
        <f>IFERROR(AVERAGE(E755:E757),"")</f>
        <v>2.7863720073664815E-2</v>
      </c>
      <c r="G755" s="212">
        <v>1.4999999999999999E-2</v>
      </c>
    </row>
    <row r="756" spans="1:7" x14ac:dyDescent="0.35">
      <c r="A756" s="228"/>
      <c r="B756" s="62" t="s">
        <v>8</v>
      </c>
      <c r="C756" s="62">
        <v>362</v>
      </c>
      <c r="D756" s="77">
        <v>373.97</v>
      </c>
      <c r="E756" s="78">
        <f t="shared" si="51"/>
        <v>3.306629834254151E-2</v>
      </c>
      <c r="G756" s="212"/>
    </row>
    <row r="757" spans="1:7" x14ac:dyDescent="0.35">
      <c r="A757" s="229"/>
      <c r="B757" s="62" t="s">
        <v>9</v>
      </c>
      <c r="C757" s="62">
        <v>362</v>
      </c>
      <c r="D757" s="77">
        <v>371.78</v>
      </c>
      <c r="E757" s="78">
        <f t="shared" si="51"/>
        <v>2.7016574585635285E-2</v>
      </c>
      <c r="G757" s="212"/>
    </row>
    <row r="758" spans="1:7" x14ac:dyDescent="0.35">
      <c r="A758" s="227">
        <v>46275</v>
      </c>
      <c r="G758" s="212">
        <v>1.4999999999999999E-2</v>
      </c>
    </row>
    <row r="759" spans="1:7" x14ac:dyDescent="0.35">
      <c r="A759" s="228"/>
      <c r="G759" s="212"/>
    </row>
    <row r="760" spans="1:7" x14ac:dyDescent="0.35">
      <c r="A760" s="229"/>
      <c r="G760" s="212"/>
    </row>
    <row r="761" spans="1:7" x14ac:dyDescent="0.35">
      <c r="A761" s="227">
        <v>46276</v>
      </c>
      <c r="G761" s="212">
        <v>1.4999999999999999E-2</v>
      </c>
    </row>
    <row r="762" spans="1:7" x14ac:dyDescent="0.35">
      <c r="A762" s="228"/>
      <c r="G762" s="212"/>
    </row>
    <row r="763" spans="1:7" x14ac:dyDescent="0.35">
      <c r="A763" s="229"/>
      <c r="G763" s="212"/>
    </row>
    <row r="764" spans="1:7" x14ac:dyDescent="0.35">
      <c r="A764" s="227">
        <v>46277</v>
      </c>
      <c r="G764" s="212">
        <v>1.4999999999999999E-2</v>
      </c>
    </row>
    <row r="765" spans="1:7" x14ac:dyDescent="0.35">
      <c r="A765" s="228"/>
      <c r="G765" s="212"/>
    </row>
    <row r="766" spans="1:7" x14ac:dyDescent="0.35">
      <c r="A766" s="229"/>
      <c r="G766" s="212"/>
    </row>
    <row r="767" spans="1:7" x14ac:dyDescent="0.35">
      <c r="A767" s="227">
        <v>46278</v>
      </c>
      <c r="G767" s="212">
        <v>1.4999999999999999E-2</v>
      </c>
    </row>
    <row r="768" spans="1:7" x14ac:dyDescent="0.35">
      <c r="A768" s="228"/>
      <c r="G768" s="212"/>
    </row>
    <row r="769" spans="1:7" x14ac:dyDescent="0.35">
      <c r="A769" s="229"/>
      <c r="G769" s="212"/>
    </row>
    <row r="770" spans="1:7" x14ac:dyDescent="0.35">
      <c r="A770" s="227">
        <v>46279</v>
      </c>
      <c r="G770" s="212">
        <v>1.4999999999999999E-2</v>
      </c>
    </row>
    <row r="771" spans="1:7" x14ac:dyDescent="0.35">
      <c r="A771" s="228"/>
      <c r="G771" s="212"/>
    </row>
    <row r="772" spans="1:7" x14ac:dyDescent="0.35">
      <c r="A772" s="229"/>
      <c r="G772" s="212"/>
    </row>
    <row r="773" spans="1:7" x14ac:dyDescent="0.35">
      <c r="A773" s="227">
        <v>46280</v>
      </c>
      <c r="G773" s="212">
        <v>1.4999999999999999E-2</v>
      </c>
    </row>
    <row r="774" spans="1:7" x14ac:dyDescent="0.35">
      <c r="A774" s="228"/>
      <c r="G774" s="212"/>
    </row>
    <row r="775" spans="1:7" x14ac:dyDescent="0.35">
      <c r="A775" s="229"/>
      <c r="G775" s="212"/>
    </row>
    <row r="776" spans="1:7" x14ac:dyDescent="0.35">
      <c r="A776" s="227">
        <v>46281</v>
      </c>
      <c r="G776" s="212">
        <v>1.4999999999999999E-2</v>
      </c>
    </row>
    <row r="777" spans="1:7" x14ac:dyDescent="0.35">
      <c r="A777" s="228"/>
      <c r="G777" s="212"/>
    </row>
    <row r="778" spans="1:7" x14ac:dyDescent="0.35">
      <c r="A778" s="229"/>
      <c r="G778" s="212"/>
    </row>
    <row r="779" spans="1:7" x14ac:dyDescent="0.35">
      <c r="A779" s="227">
        <v>46282</v>
      </c>
      <c r="G779" s="212">
        <v>1.4999999999999999E-2</v>
      </c>
    </row>
    <row r="780" spans="1:7" x14ac:dyDescent="0.35">
      <c r="A780" s="228"/>
      <c r="G780" s="212"/>
    </row>
    <row r="781" spans="1:7" x14ac:dyDescent="0.35">
      <c r="A781" s="229"/>
      <c r="G781" s="212"/>
    </row>
    <row r="782" spans="1:7" x14ac:dyDescent="0.35">
      <c r="A782" s="227">
        <v>46283</v>
      </c>
      <c r="G782" s="212">
        <v>1.4999999999999999E-2</v>
      </c>
    </row>
    <row r="783" spans="1:7" x14ac:dyDescent="0.35">
      <c r="A783" s="228"/>
      <c r="G783" s="212"/>
    </row>
    <row r="784" spans="1:7" x14ac:dyDescent="0.35">
      <c r="A784" s="229"/>
      <c r="G784" s="212"/>
    </row>
    <row r="785" spans="1:7" x14ac:dyDescent="0.35">
      <c r="A785" s="227">
        <v>46284</v>
      </c>
      <c r="G785" s="212">
        <v>1.4999999999999999E-2</v>
      </c>
    </row>
    <row r="786" spans="1:7" x14ac:dyDescent="0.35">
      <c r="A786" s="228"/>
      <c r="G786" s="212"/>
    </row>
    <row r="787" spans="1:7" x14ac:dyDescent="0.35">
      <c r="A787" s="229"/>
      <c r="G787" s="212"/>
    </row>
    <row r="788" spans="1:7" x14ac:dyDescent="0.35">
      <c r="A788" s="227">
        <v>46285</v>
      </c>
      <c r="G788" s="212">
        <v>1.4999999999999999E-2</v>
      </c>
    </row>
    <row r="789" spans="1:7" x14ac:dyDescent="0.35">
      <c r="A789" s="228"/>
      <c r="G789" s="212"/>
    </row>
    <row r="790" spans="1:7" x14ac:dyDescent="0.35">
      <c r="A790" s="229"/>
      <c r="G790" s="212"/>
    </row>
    <row r="791" spans="1:7" x14ac:dyDescent="0.35">
      <c r="A791" s="227">
        <v>46286</v>
      </c>
      <c r="G791" s="212">
        <v>1.4999999999999999E-2</v>
      </c>
    </row>
    <row r="792" spans="1:7" x14ac:dyDescent="0.35">
      <c r="A792" s="228"/>
      <c r="G792" s="212"/>
    </row>
    <row r="793" spans="1:7" x14ac:dyDescent="0.35">
      <c r="A793" s="229"/>
      <c r="G793" s="212"/>
    </row>
    <row r="794" spans="1:7" x14ac:dyDescent="0.35">
      <c r="A794" s="227">
        <v>46287</v>
      </c>
      <c r="G794" s="212">
        <v>1.4999999999999999E-2</v>
      </c>
    </row>
    <row r="795" spans="1:7" x14ac:dyDescent="0.35">
      <c r="A795" s="228"/>
      <c r="G795" s="212"/>
    </row>
    <row r="796" spans="1:7" x14ac:dyDescent="0.35">
      <c r="A796" s="229"/>
      <c r="G796" s="212"/>
    </row>
    <row r="797" spans="1:7" x14ac:dyDescent="0.35">
      <c r="A797" s="227">
        <v>46288</v>
      </c>
      <c r="G797" s="212">
        <v>1.4999999999999999E-2</v>
      </c>
    </row>
    <row r="798" spans="1:7" x14ac:dyDescent="0.35">
      <c r="A798" s="228"/>
      <c r="G798" s="212"/>
    </row>
    <row r="799" spans="1:7" x14ac:dyDescent="0.35">
      <c r="A799" s="229"/>
      <c r="G799" s="212"/>
    </row>
    <row r="800" spans="1:7" x14ac:dyDescent="0.35">
      <c r="A800" s="227">
        <v>46289</v>
      </c>
      <c r="G800" s="212">
        <v>1.4999999999999999E-2</v>
      </c>
    </row>
    <row r="801" spans="1:7" x14ac:dyDescent="0.35">
      <c r="A801" s="228"/>
      <c r="G801" s="212"/>
    </row>
    <row r="802" spans="1:7" x14ac:dyDescent="0.35">
      <c r="A802" s="229"/>
      <c r="G802" s="212"/>
    </row>
    <row r="803" spans="1:7" x14ac:dyDescent="0.35">
      <c r="A803" s="227">
        <v>46290</v>
      </c>
      <c r="G803" s="212">
        <v>1.4999999999999999E-2</v>
      </c>
    </row>
    <row r="804" spans="1:7" x14ac:dyDescent="0.35">
      <c r="A804" s="228"/>
      <c r="G804" s="212"/>
    </row>
    <row r="805" spans="1:7" x14ac:dyDescent="0.35">
      <c r="A805" s="229"/>
      <c r="G805" s="212"/>
    </row>
    <row r="806" spans="1:7" x14ac:dyDescent="0.35">
      <c r="A806" s="227">
        <v>46291</v>
      </c>
      <c r="G806" s="212">
        <v>1.4999999999999999E-2</v>
      </c>
    </row>
    <row r="807" spans="1:7" x14ac:dyDescent="0.35">
      <c r="A807" s="228"/>
      <c r="G807" s="212"/>
    </row>
    <row r="808" spans="1:7" x14ac:dyDescent="0.35">
      <c r="A808" s="229"/>
      <c r="G808" s="212"/>
    </row>
    <row r="809" spans="1:7" x14ac:dyDescent="0.35">
      <c r="A809" s="227">
        <v>46292</v>
      </c>
      <c r="G809" s="212">
        <v>1.4999999999999999E-2</v>
      </c>
    </row>
    <row r="810" spans="1:7" x14ac:dyDescent="0.35">
      <c r="A810" s="228"/>
      <c r="G810" s="212"/>
    </row>
    <row r="811" spans="1:7" x14ac:dyDescent="0.35">
      <c r="A811" s="229"/>
      <c r="G811" s="212"/>
    </row>
    <row r="812" spans="1:7" x14ac:dyDescent="0.35">
      <c r="A812" s="227">
        <v>46293</v>
      </c>
      <c r="G812" s="212">
        <v>1.4999999999999999E-2</v>
      </c>
    </row>
    <row r="813" spans="1:7" x14ac:dyDescent="0.35">
      <c r="A813" s="228"/>
      <c r="G813" s="212"/>
    </row>
    <row r="814" spans="1:7" x14ac:dyDescent="0.35">
      <c r="A814" s="229"/>
      <c r="G814" s="212"/>
    </row>
    <row r="815" spans="1:7" x14ac:dyDescent="0.35">
      <c r="A815" s="227">
        <v>46294</v>
      </c>
      <c r="G815" s="212">
        <v>1.4999999999999999E-2</v>
      </c>
    </row>
    <row r="816" spans="1:7" x14ac:dyDescent="0.35">
      <c r="A816" s="228"/>
      <c r="G816" s="212"/>
    </row>
    <row r="817" spans="1:7" x14ac:dyDescent="0.35">
      <c r="A817" s="229"/>
      <c r="G817" s="212"/>
    </row>
    <row r="818" spans="1:7" x14ac:dyDescent="0.35">
      <c r="A818" s="227">
        <v>46295</v>
      </c>
      <c r="G818" s="212">
        <v>1.4999999999999999E-2</v>
      </c>
    </row>
    <row r="819" spans="1:7" x14ac:dyDescent="0.35">
      <c r="A819" s="228"/>
      <c r="G819" s="212"/>
    </row>
    <row r="820" spans="1:7" x14ac:dyDescent="0.35">
      <c r="A820" s="229"/>
      <c r="G820" s="212"/>
    </row>
    <row r="821" spans="1:7" x14ac:dyDescent="0.35">
      <c r="A821" s="227">
        <v>46296</v>
      </c>
      <c r="G821" s="212">
        <v>1.4999999999999999E-2</v>
      </c>
    </row>
    <row r="822" spans="1:7" x14ac:dyDescent="0.35">
      <c r="A822" s="228"/>
      <c r="G822" s="212"/>
    </row>
    <row r="823" spans="1:7" x14ac:dyDescent="0.35">
      <c r="A823" s="229"/>
      <c r="G823" s="212"/>
    </row>
    <row r="824" spans="1:7" x14ac:dyDescent="0.35">
      <c r="A824" s="227">
        <v>46297</v>
      </c>
      <c r="G824" s="212">
        <v>1.4999999999999999E-2</v>
      </c>
    </row>
    <row r="825" spans="1:7" x14ac:dyDescent="0.35">
      <c r="A825" s="228"/>
      <c r="G825" s="212"/>
    </row>
    <row r="826" spans="1:7" x14ac:dyDescent="0.35">
      <c r="A826" s="229"/>
      <c r="G826" s="212"/>
    </row>
    <row r="827" spans="1:7" x14ac:dyDescent="0.35">
      <c r="A827" s="227">
        <v>46298</v>
      </c>
      <c r="G827" s="212">
        <v>1.4999999999999999E-2</v>
      </c>
    </row>
    <row r="828" spans="1:7" x14ac:dyDescent="0.35">
      <c r="A828" s="228"/>
      <c r="G828" s="212"/>
    </row>
    <row r="829" spans="1:7" x14ac:dyDescent="0.35">
      <c r="A829" s="229"/>
      <c r="G829" s="212"/>
    </row>
    <row r="830" spans="1:7" x14ac:dyDescent="0.35">
      <c r="A830" s="227">
        <v>46299</v>
      </c>
      <c r="G830" s="212">
        <v>1.4999999999999999E-2</v>
      </c>
    </row>
    <row r="831" spans="1:7" x14ac:dyDescent="0.35">
      <c r="A831" s="228"/>
      <c r="G831" s="212"/>
    </row>
    <row r="832" spans="1:7" x14ac:dyDescent="0.35">
      <c r="A832" s="229"/>
      <c r="G832" s="212"/>
    </row>
    <row r="833" spans="1:7" x14ac:dyDescent="0.35">
      <c r="A833" s="227">
        <v>46300</v>
      </c>
      <c r="G833" s="212">
        <v>1.4999999999999999E-2</v>
      </c>
    </row>
    <row r="834" spans="1:7" x14ac:dyDescent="0.35">
      <c r="A834" s="228"/>
      <c r="G834" s="212"/>
    </row>
    <row r="835" spans="1:7" x14ac:dyDescent="0.35">
      <c r="A835" s="229"/>
      <c r="G835" s="212"/>
    </row>
    <row r="836" spans="1:7" x14ac:dyDescent="0.35">
      <c r="A836" s="227">
        <v>46301</v>
      </c>
      <c r="G836" s="212">
        <v>1.4999999999999999E-2</v>
      </c>
    </row>
    <row r="837" spans="1:7" x14ac:dyDescent="0.35">
      <c r="A837" s="228"/>
      <c r="G837" s="212"/>
    </row>
    <row r="838" spans="1:7" x14ac:dyDescent="0.35">
      <c r="A838" s="229"/>
      <c r="G838" s="212"/>
    </row>
    <row r="839" spans="1:7" x14ac:dyDescent="0.35">
      <c r="A839" s="227">
        <v>46302</v>
      </c>
      <c r="G839" s="212">
        <v>1.4999999999999999E-2</v>
      </c>
    </row>
    <row r="840" spans="1:7" x14ac:dyDescent="0.35">
      <c r="A840" s="228"/>
      <c r="G840" s="212"/>
    </row>
    <row r="841" spans="1:7" x14ac:dyDescent="0.35">
      <c r="A841" s="229"/>
      <c r="G841" s="212"/>
    </row>
    <row r="842" spans="1:7" x14ac:dyDescent="0.35">
      <c r="A842" s="227">
        <v>46303</v>
      </c>
      <c r="G842" s="212">
        <v>1.4999999999999999E-2</v>
      </c>
    </row>
    <row r="843" spans="1:7" x14ac:dyDescent="0.35">
      <c r="A843" s="228"/>
      <c r="G843" s="212"/>
    </row>
    <row r="844" spans="1:7" x14ac:dyDescent="0.35">
      <c r="A844" s="229"/>
      <c r="G844" s="212"/>
    </row>
    <row r="845" spans="1:7" x14ac:dyDescent="0.35">
      <c r="A845" s="227">
        <v>46304</v>
      </c>
      <c r="G845" s="212">
        <v>1.4999999999999999E-2</v>
      </c>
    </row>
    <row r="846" spans="1:7" x14ac:dyDescent="0.35">
      <c r="A846" s="228"/>
      <c r="G846" s="212"/>
    </row>
    <row r="847" spans="1:7" x14ac:dyDescent="0.35">
      <c r="A847" s="229"/>
      <c r="G847" s="212"/>
    </row>
    <row r="848" spans="1:7" x14ac:dyDescent="0.35">
      <c r="A848" s="227">
        <v>46305</v>
      </c>
      <c r="G848" s="212">
        <v>1.4999999999999999E-2</v>
      </c>
    </row>
    <row r="849" spans="1:7" x14ac:dyDescent="0.35">
      <c r="A849" s="228"/>
      <c r="G849" s="212"/>
    </row>
    <row r="850" spans="1:7" x14ac:dyDescent="0.35">
      <c r="A850" s="229"/>
      <c r="G850" s="212"/>
    </row>
    <row r="851" spans="1:7" x14ac:dyDescent="0.35">
      <c r="A851" s="227">
        <v>46306</v>
      </c>
      <c r="G851" s="212">
        <v>1.4999999999999999E-2</v>
      </c>
    </row>
    <row r="852" spans="1:7" x14ac:dyDescent="0.35">
      <c r="A852" s="228"/>
      <c r="G852" s="212"/>
    </row>
    <row r="853" spans="1:7" x14ac:dyDescent="0.35">
      <c r="A853" s="229"/>
      <c r="G853" s="212"/>
    </row>
    <row r="854" spans="1:7" x14ac:dyDescent="0.35">
      <c r="A854" s="227">
        <v>46307</v>
      </c>
      <c r="G854" s="212">
        <v>1.4999999999999999E-2</v>
      </c>
    </row>
    <row r="855" spans="1:7" x14ac:dyDescent="0.35">
      <c r="A855" s="228"/>
      <c r="G855" s="212"/>
    </row>
    <row r="856" spans="1:7" x14ac:dyDescent="0.35">
      <c r="A856" s="229"/>
      <c r="G856" s="212"/>
    </row>
    <row r="857" spans="1:7" x14ac:dyDescent="0.35">
      <c r="A857" s="227">
        <v>46308</v>
      </c>
      <c r="G857" s="212">
        <v>1.4999999999999999E-2</v>
      </c>
    </row>
    <row r="858" spans="1:7" x14ac:dyDescent="0.35">
      <c r="A858" s="228"/>
      <c r="G858" s="212"/>
    </row>
    <row r="859" spans="1:7" x14ac:dyDescent="0.35">
      <c r="A859" s="229"/>
      <c r="G859" s="212"/>
    </row>
    <row r="860" spans="1:7" x14ac:dyDescent="0.35">
      <c r="A860" s="227">
        <v>46309</v>
      </c>
      <c r="G860" s="212">
        <v>1.4999999999999999E-2</v>
      </c>
    </row>
    <row r="861" spans="1:7" x14ac:dyDescent="0.35">
      <c r="A861" s="228"/>
      <c r="G861" s="212"/>
    </row>
    <row r="862" spans="1:7" x14ac:dyDescent="0.35">
      <c r="A862" s="229"/>
      <c r="G862" s="212"/>
    </row>
    <row r="863" spans="1:7" x14ac:dyDescent="0.35">
      <c r="A863" s="227">
        <v>46310</v>
      </c>
      <c r="G863" s="212">
        <v>1.4999999999999999E-2</v>
      </c>
    </row>
    <row r="864" spans="1:7" x14ac:dyDescent="0.35">
      <c r="A864" s="228"/>
      <c r="G864" s="212"/>
    </row>
    <row r="865" spans="1:7" x14ac:dyDescent="0.35">
      <c r="A865" s="229"/>
      <c r="G865" s="212"/>
    </row>
    <row r="866" spans="1:7" x14ac:dyDescent="0.35">
      <c r="A866" s="227">
        <v>46311</v>
      </c>
      <c r="G866" s="212">
        <v>1.4999999999999999E-2</v>
      </c>
    </row>
    <row r="867" spans="1:7" x14ac:dyDescent="0.35">
      <c r="A867" s="228"/>
      <c r="G867" s="212"/>
    </row>
    <row r="868" spans="1:7" x14ac:dyDescent="0.35">
      <c r="A868" s="229"/>
      <c r="G868" s="212"/>
    </row>
    <row r="869" spans="1:7" x14ac:dyDescent="0.35">
      <c r="A869" s="227">
        <v>46312</v>
      </c>
      <c r="G869" s="212">
        <v>1.4999999999999999E-2</v>
      </c>
    </row>
    <row r="870" spans="1:7" x14ac:dyDescent="0.35">
      <c r="A870" s="228"/>
      <c r="G870" s="212"/>
    </row>
    <row r="871" spans="1:7" x14ac:dyDescent="0.35">
      <c r="A871" s="229"/>
      <c r="G871" s="212"/>
    </row>
    <row r="872" spans="1:7" x14ac:dyDescent="0.35">
      <c r="A872" s="227">
        <v>46313</v>
      </c>
      <c r="G872" s="212">
        <v>1.4999999999999999E-2</v>
      </c>
    </row>
    <row r="873" spans="1:7" x14ac:dyDescent="0.35">
      <c r="A873" s="228"/>
      <c r="G873" s="212"/>
    </row>
    <row r="874" spans="1:7" x14ac:dyDescent="0.35">
      <c r="A874" s="229"/>
      <c r="G874" s="212"/>
    </row>
    <row r="875" spans="1:7" x14ac:dyDescent="0.35">
      <c r="A875" s="227">
        <v>46314</v>
      </c>
      <c r="G875" s="212">
        <v>1.4999999999999999E-2</v>
      </c>
    </row>
    <row r="876" spans="1:7" x14ac:dyDescent="0.35">
      <c r="A876" s="228"/>
      <c r="G876" s="212"/>
    </row>
    <row r="877" spans="1:7" x14ac:dyDescent="0.35">
      <c r="A877" s="229"/>
      <c r="G877" s="212"/>
    </row>
    <row r="878" spans="1:7" x14ac:dyDescent="0.35">
      <c r="A878" s="227">
        <v>46315</v>
      </c>
      <c r="G878" s="212">
        <v>1.4999999999999999E-2</v>
      </c>
    </row>
    <row r="879" spans="1:7" x14ac:dyDescent="0.35">
      <c r="A879" s="228"/>
      <c r="G879" s="212"/>
    </row>
    <row r="880" spans="1:7" x14ac:dyDescent="0.35">
      <c r="A880" s="229"/>
      <c r="G880" s="212"/>
    </row>
    <row r="881" spans="1:7" x14ac:dyDescent="0.35">
      <c r="A881" s="227">
        <v>46316</v>
      </c>
      <c r="G881" s="212">
        <v>1.4999999999999999E-2</v>
      </c>
    </row>
    <row r="882" spans="1:7" x14ac:dyDescent="0.35">
      <c r="A882" s="228"/>
      <c r="G882" s="212"/>
    </row>
    <row r="883" spans="1:7" x14ac:dyDescent="0.35">
      <c r="A883" s="229"/>
      <c r="G883" s="212"/>
    </row>
    <row r="884" spans="1:7" x14ac:dyDescent="0.35">
      <c r="A884" s="227">
        <v>46317</v>
      </c>
      <c r="G884" s="212">
        <v>1.4999999999999999E-2</v>
      </c>
    </row>
    <row r="885" spans="1:7" x14ac:dyDescent="0.35">
      <c r="A885" s="228"/>
      <c r="G885" s="212"/>
    </row>
    <row r="886" spans="1:7" x14ac:dyDescent="0.35">
      <c r="A886" s="229"/>
      <c r="G886" s="212"/>
    </row>
    <row r="887" spans="1:7" x14ac:dyDescent="0.35">
      <c r="A887" s="227">
        <v>46318</v>
      </c>
      <c r="G887" s="212">
        <v>1.4999999999999999E-2</v>
      </c>
    </row>
    <row r="888" spans="1:7" x14ac:dyDescent="0.35">
      <c r="A888" s="228"/>
      <c r="G888" s="212"/>
    </row>
    <row r="889" spans="1:7" x14ac:dyDescent="0.35">
      <c r="A889" s="229"/>
      <c r="G889" s="212"/>
    </row>
    <row r="890" spans="1:7" x14ac:dyDescent="0.35">
      <c r="A890" s="227">
        <v>46319</v>
      </c>
      <c r="G890" s="212">
        <v>1.4999999999999999E-2</v>
      </c>
    </row>
    <row r="891" spans="1:7" x14ac:dyDescent="0.35">
      <c r="A891" s="228"/>
      <c r="G891" s="212"/>
    </row>
    <row r="892" spans="1:7" x14ac:dyDescent="0.35">
      <c r="A892" s="229"/>
      <c r="G892" s="212"/>
    </row>
    <row r="893" spans="1:7" x14ac:dyDescent="0.35">
      <c r="A893" s="227">
        <v>46320</v>
      </c>
      <c r="G893" s="212">
        <v>1.4999999999999999E-2</v>
      </c>
    </row>
    <row r="894" spans="1:7" x14ac:dyDescent="0.35">
      <c r="A894" s="228"/>
      <c r="G894" s="212"/>
    </row>
    <row r="895" spans="1:7" x14ac:dyDescent="0.35">
      <c r="A895" s="229"/>
      <c r="G895" s="212"/>
    </row>
    <row r="896" spans="1:7" x14ac:dyDescent="0.35">
      <c r="A896" s="227">
        <v>46321</v>
      </c>
      <c r="G896" s="212">
        <v>1.4999999999999999E-2</v>
      </c>
    </row>
    <row r="897" spans="1:7" x14ac:dyDescent="0.35">
      <c r="A897" s="228"/>
      <c r="G897" s="212"/>
    </row>
    <row r="898" spans="1:7" x14ac:dyDescent="0.35">
      <c r="A898" s="229"/>
      <c r="G898" s="212"/>
    </row>
    <row r="899" spans="1:7" x14ac:dyDescent="0.35">
      <c r="A899" s="227">
        <v>46322</v>
      </c>
      <c r="G899" s="212">
        <v>1.4999999999999999E-2</v>
      </c>
    </row>
    <row r="900" spans="1:7" x14ac:dyDescent="0.35">
      <c r="A900" s="228"/>
      <c r="G900" s="212"/>
    </row>
    <row r="901" spans="1:7" x14ac:dyDescent="0.35">
      <c r="A901" s="229"/>
      <c r="G901" s="212"/>
    </row>
    <row r="902" spans="1:7" x14ac:dyDescent="0.35">
      <c r="A902" s="227">
        <v>46323</v>
      </c>
      <c r="G902" s="212">
        <v>1.4999999999999999E-2</v>
      </c>
    </row>
    <row r="903" spans="1:7" x14ac:dyDescent="0.35">
      <c r="A903" s="228"/>
      <c r="G903" s="212"/>
    </row>
    <row r="904" spans="1:7" x14ac:dyDescent="0.35">
      <c r="A904" s="229"/>
      <c r="G904" s="212"/>
    </row>
    <row r="905" spans="1:7" x14ac:dyDescent="0.35">
      <c r="A905" s="227">
        <v>46324</v>
      </c>
      <c r="G905" s="212">
        <v>1.4999999999999999E-2</v>
      </c>
    </row>
    <row r="906" spans="1:7" x14ac:dyDescent="0.35">
      <c r="A906" s="228"/>
      <c r="G906" s="212"/>
    </row>
    <row r="907" spans="1:7" x14ac:dyDescent="0.35">
      <c r="A907" s="229"/>
      <c r="G907" s="212"/>
    </row>
    <row r="908" spans="1:7" x14ac:dyDescent="0.35">
      <c r="A908" s="227">
        <v>46325</v>
      </c>
      <c r="G908" s="212">
        <v>1.4999999999999999E-2</v>
      </c>
    </row>
    <row r="909" spans="1:7" x14ac:dyDescent="0.35">
      <c r="A909" s="228"/>
      <c r="G909" s="212"/>
    </row>
    <row r="910" spans="1:7" x14ac:dyDescent="0.35">
      <c r="A910" s="229"/>
      <c r="G910" s="212"/>
    </row>
    <row r="911" spans="1:7" x14ac:dyDescent="0.35">
      <c r="A911" s="227">
        <v>46326</v>
      </c>
      <c r="G911" s="212">
        <v>1.4999999999999999E-2</v>
      </c>
    </row>
    <row r="912" spans="1:7" x14ac:dyDescent="0.35">
      <c r="A912" s="228"/>
      <c r="G912" s="212"/>
    </row>
    <row r="913" spans="1:7" x14ac:dyDescent="0.35">
      <c r="A913" s="229"/>
      <c r="G913" s="212"/>
    </row>
    <row r="914" spans="1:7" x14ac:dyDescent="0.35">
      <c r="A914" s="227">
        <v>46327</v>
      </c>
      <c r="G914" s="212">
        <v>1.4999999999999999E-2</v>
      </c>
    </row>
    <row r="915" spans="1:7" x14ac:dyDescent="0.35">
      <c r="A915" s="228"/>
      <c r="G915" s="212"/>
    </row>
    <row r="916" spans="1:7" x14ac:dyDescent="0.35">
      <c r="A916" s="229"/>
      <c r="G916" s="212"/>
    </row>
    <row r="917" spans="1:7" x14ac:dyDescent="0.35">
      <c r="A917" s="227">
        <v>46328</v>
      </c>
      <c r="G917" s="212">
        <v>1.4999999999999999E-2</v>
      </c>
    </row>
    <row r="918" spans="1:7" x14ac:dyDescent="0.35">
      <c r="A918" s="228"/>
      <c r="G918" s="212"/>
    </row>
    <row r="919" spans="1:7" x14ac:dyDescent="0.35">
      <c r="A919" s="229"/>
      <c r="G919" s="212"/>
    </row>
    <row r="920" spans="1:7" x14ac:dyDescent="0.35">
      <c r="A920" s="227">
        <v>46329</v>
      </c>
      <c r="G920" s="212">
        <v>1.4999999999999999E-2</v>
      </c>
    </row>
    <row r="921" spans="1:7" x14ac:dyDescent="0.35">
      <c r="A921" s="228"/>
      <c r="G921" s="212"/>
    </row>
    <row r="922" spans="1:7" x14ac:dyDescent="0.35">
      <c r="A922" s="229"/>
      <c r="G922" s="212"/>
    </row>
    <row r="923" spans="1:7" x14ac:dyDescent="0.35">
      <c r="A923" s="227">
        <v>46330</v>
      </c>
      <c r="G923" s="212">
        <v>1.4999999999999999E-2</v>
      </c>
    </row>
    <row r="924" spans="1:7" x14ac:dyDescent="0.35">
      <c r="A924" s="228"/>
      <c r="G924" s="212"/>
    </row>
    <row r="925" spans="1:7" x14ac:dyDescent="0.35">
      <c r="A925" s="229"/>
      <c r="G925" s="212"/>
    </row>
    <row r="926" spans="1:7" x14ac:dyDescent="0.35">
      <c r="A926" s="227">
        <v>46331</v>
      </c>
      <c r="G926" s="212">
        <v>1.4999999999999999E-2</v>
      </c>
    </row>
    <row r="927" spans="1:7" x14ac:dyDescent="0.35">
      <c r="A927" s="228"/>
      <c r="G927" s="212"/>
    </row>
    <row r="928" spans="1:7" x14ac:dyDescent="0.35">
      <c r="A928" s="229"/>
      <c r="G928" s="212"/>
    </row>
    <row r="929" spans="1:7" x14ac:dyDescent="0.35">
      <c r="A929" s="227">
        <v>46332</v>
      </c>
      <c r="G929" s="212">
        <v>1.4999999999999999E-2</v>
      </c>
    </row>
    <row r="930" spans="1:7" x14ac:dyDescent="0.35">
      <c r="A930" s="228"/>
      <c r="G930" s="212"/>
    </row>
    <row r="931" spans="1:7" x14ac:dyDescent="0.35">
      <c r="A931" s="229"/>
      <c r="G931" s="212"/>
    </row>
    <row r="932" spans="1:7" x14ac:dyDescent="0.35">
      <c r="A932" s="227">
        <v>46333</v>
      </c>
      <c r="G932" s="212">
        <v>1.4999999999999999E-2</v>
      </c>
    </row>
    <row r="933" spans="1:7" x14ac:dyDescent="0.35">
      <c r="A933" s="228"/>
      <c r="G933" s="212"/>
    </row>
    <row r="934" spans="1:7" x14ac:dyDescent="0.35">
      <c r="A934" s="229"/>
      <c r="G934" s="212"/>
    </row>
    <row r="935" spans="1:7" x14ac:dyDescent="0.35">
      <c r="A935" s="227">
        <v>46334</v>
      </c>
      <c r="G935" s="212">
        <v>1.4999999999999999E-2</v>
      </c>
    </row>
    <row r="936" spans="1:7" x14ac:dyDescent="0.35">
      <c r="A936" s="228"/>
      <c r="G936" s="212"/>
    </row>
    <row r="937" spans="1:7" x14ac:dyDescent="0.35">
      <c r="A937" s="229"/>
      <c r="G937" s="212"/>
    </row>
    <row r="938" spans="1:7" x14ac:dyDescent="0.35">
      <c r="A938" s="227">
        <v>46335</v>
      </c>
      <c r="G938" s="212">
        <v>1.4999999999999999E-2</v>
      </c>
    </row>
    <row r="939" spans="1:7" x14ac:dyDescent="0.35">
      <c r="A939" s="228"/>
      <c r="G939" s="212"/>
    </row>
    <row r="940" spans="1:7" x14ac:dyDescent="0.35">
      <c r="A940" s="229"/>
      <c r="G940" s="212"/>
    </row>
    <row r="941" spans="1:7" x14ac:dyDescent="0.35">
      <c r="A941" s="227">
        <v>46336</v>
      </c>
      <c r="G941" s="212">
        <v>1.4999999999999999E-2</v>
      </c>
    </row>
    <row r="942" spans="1:7" x14ac:dyDescent="0.35">
      <c r="A942" s="228"/>
      <c r="G942" s="212"/>
    </row>
    <row r="943" spans="1:7" x14ac:dyDescent="0.35">
      <c r="A943" s="229"/>
      <c r="G943" s="212"/>
    </row>
    <row r="944" spans="1:7" x14ac:dyDescent="0.35">
      <c r="A944" s="227">
        <v>46337</v>
      </c>
      <c r="G944" s="212">
        <v>1.4999999999999999E-2</v>
      </c>
    </row>
    <row r="945" spans="1:7" x14ac:dyDescent="0.35">
      <c r="A945" s="228"/>
      <c r="G945" s="212"/>
    </row>
    <row r="946" spans="1:7" x14ac:dyDescent="0.35">
      <c r="A946" s="229"/>
      <c r="G946" s="212"/>
    </row>
    <row r="947" spans="1:7" x14ac:dyDescent="0.35">
      <c r="A947" s="227">
        <v>46338</v>
      </c>
      <c r="G947" s="212">
        <v>1.4999999999999999E-2</v>
      </c>
    </row>
    <row r="948" spans="1:7" x14ac:dyDescent="0.35">
      <c r="A948" s="228"/>
      <c r="G948" s="212"/>
    </row>
    <row r="949" spans="1:7" x14ac:dyDescent="0.35">
      <c r="A949" s="229"/>
      <c r="G949" s="212"/>
    </row>
    <row r="950" spans="1:7" x14ac:dyDescent="0.35">
      <c r="A950" s="227">
        <v>46339</v>
      </c>
      <c r="G950" s="212">
        <v>1.4999999999999999E-2</v>
      </c>
    </row>
    <row r="951" spans="1:7" x14ac:dyDescent="0.35">
      <c r="A951" s="228"/>
      <c r="G951" s="212"/>
    </row>
    <row r="952" spans="1:7" x14ac:dyDescent="0.35">
      <c r="A952" s="229"/>
      <c r="G952" s="212"/>
    </row>
    <row r="953" spans="1:7" x14ac:dyDescent="0.35">
      <c r="A953" s="227">
        <v>46340</v>
      </c>
      <c r="G953" s="212">
        <v>1.4999999999999999E-2</v>
      </c>
    </row>
    <row r="954" spans="1:7" x14ac:dyDescent="0.35">
      <c r="A954" s="228"/>
      <c r="G954" s="212"/>
    </row>
    <row r="955" spans="1:7" x14ac:dyDescent="0.35">
      <c r="A955" s="229"/>
      <c r="G955" s="212"/>
    </row>
    <row r="956" spans="1:7" x14ac:dyDescent="0.35">
      <c r="A956" s="227">
        <v>46341</v>
      </c>
      <c r="G956" s="212">
        <v>1.4999999999999999E-2</v>
      </c>
    </row>
    <row r="957" spans="1:7" x14ac:dyDescent="0.35">
      <c r="A957" s="228"/>
      <c r="G957" s="212"/>
    </row>
    <row r="958" spans="1:7" x14ac:dyDescent="0.35">
      <c r="A958" s="229"/>
      <c r="G958" s="212"/>
    </row>
    <row r="959" spans="1:7" x14ac:dyDescent="0.35">
      <c r="A959" s="227">
        <v>46342</v>
      </c>
      <c r="G959" s="212">
        <v>1.4999999999999999E-2</v>
      </c>
    </row>
    <row r="960" spans="1:7" x14ac:dyDescent="0.35">
      <c r="A960" s="228"/>
      <c r="G960" s="212"/>
    </row>
    <row r="961" spans="1:7" x14ac:dyDescent="0.35">
      <c r="A961" s="229"/>
      <c r="G961" s="212"/>
    </row>
    <row r="962" spans="1:7" x14ac:dyDescent="0.35">
      <c r="A962" s="227">
        <v>46343</v>
      </c>
      <c r="G962" s="212">
        <v>1.4999999999999999E-2</v>
      </c>
    </row>
    <row r="963" spans="1:7" x14ac:dyDescent="0.35">
      <c r="A963" s="228"/>
      <c r="G963" s="212"/>
    </row>
    <row r="964" spans="1:7" x14ac:dyDescent="0.35">
      <c r="A964" s="229"/>
      <c r="G964" s="212"/>
    </row>
    <row r="965" spans="1:7" x14ac:dyDescent="0.35">
      <c r="A965" s="227">
        <v>46344</v>
      </c>
      <c r="G965" s="212">
        <v>1.4999999999999999E-2</v>
      </c>
    </row>
    <row r="966" spans="1:7" x14ac:dyDescent="0.35">
      <c r="A966" s="228"/>
      <c r="G966" s="212"/>
    </row>
    <row r="967" spans="1:7" x14ac:dyDescent="0.35">
      <c r="A967" s="229"/>
      <c r="G967" s="212"/>
    </row>
    <row r="968" spans="1:7" x14ac:dyDescent="0.35">
      <c r="A968" s="227">
        <v>46345</v>
      </c>
      <c r="G968" s="212">
        <v>1.4999999999999999E-2</v>
      </c>
    </row>
    <row r="969" spans="1:7" x14ac:dyDescent="0.35">
      <c r="A969" s="228"/>
      <c r="G969" s="212"/>
    </row>
    <row r="970" spans="1:7" x14ac:dyDescent="0.35">
      <c r="A970" s="229"/>
      <c r="G970" s="212"/>
    </row>
    <row r="971" spans="1:7" x14ac:dyDescent="0.35">
      <c r="A971" s="227">
        <v>46346</v>
      </c>
      <c r="G971" s="212">
        <v>1.4999999999999999E-2</v>
      </c>
    </row>
    <row r="972" spans="1:7" x14ac:dyDescent="0.35">
      <c r="A972" s="228"/>
      <c r="G972" s="212"/>
    </row>
    <row r="973" spans="1:7" x14ac:dyDescent="0.35">
      <c r="A973" s="229"/>
      <c r="G973" s="212"/>
    </row>
    <row r="974" spans="1:7" x14ac:dyDescent="0.35">
      <c r="A974" s="227">
        <v>46347</v>
      </c>
      <c r="G974" s="212">
        <v>1.4999999999999999E-2</v>
      </c>
    </row>
    <row r="975" spans="1:7" x14ac:dyDescent="0.35">
      <c r="A975" s="228"/>
      <c r="G975" s="212"/>
    </row>
    <row r="976" spans="1:7" x14ac:dyDescent="0.35">
      <c r="A976" s="229"/>
      <c r="G976" s="212"/>
    </row>
    <row r="977" spans="1:7" x14ac:dyDescent="0.35">
      <c r="A977" s="227">
        <v>46348</v>
      </c>
      <c r="G977" s="212">
        <v>1.4999999999999999E-2</v>
      </c>
    </row>
    <row r="978" spans="1:7" x14ac:dyDescent="0.35">
      <c r="A978" s="228"/>
      <c r="G978" s="212"/>
    </row>
    <row r="979" spans="1:7" x14ac:dyDescent="0.35">
      <c r="A979" s="229"/>
      <c r="G979" s="212"/>
    </row>
    <row r="980" spans="1:7" x14ac:dyDescent="0.35">
      <c r="A980" s="227">
        <v>46349</v>
      </c>
      <c r="G980" s="212">
        <v>1.4999999999999999E-2</v>
      </c>
    </row>
    <row r="981" spans="1:7" x14ac:dyDescent="0.35">
      <c r="A981" s="228"/>
      <c r="G981" s="212"/>
    </row>
    <row r="982" spans="1:7" x14ac:dyDescent="0.35">
      <c r="A982" s="229"/>
      <c r="G982" s="212"/>
    </row>
    <row r="983" spans="1:7" x14ac:dyDescent="0.35">
      <c r="A983" s="227">
        <v>46350</v>
      </c>
      <c r="G983" s="212">
        <v>1.4999999999999999E-2</v>
      </c>
    </row>
    <row r="984" spans="1:7" x14ac:dyDescent="0.35">
      <c r="A984" s="228"/>
      <c r="G984" s="212"/>
    </row>
    <row r="985" spans="1:7" x14ac:dyDescent="0.35">
      <c r="A985" s="229"/>
      <c r="G985" s="212"/>
    </row>
    <row r="986" spans="1:7" x14ac:dyDescent="0.35">
      <c r="A986" s="227">
        <v>46351</v>
      </c>
      <c r="G986" s="212">
        <v>1.4999999999999999E-2</v>
      </c>
    </row>
    <row r="987" spans="1:7" x14ac:dyDescent="0.35">
      <c r="A987" s="228"/>
      <c r="G987" s="212"/>
    </row>
    <row r="988" spans="1:7" x14ac:dyDescent="0.35">
      <c r="A988" s="229"/>
      <c r="G988" s="212"/>
    </row>
    <row r="989" spans="1:7" x14ac:dyDescent="0.35">
      <c r="A989" s="227">
        <v>46352</v>
      </c>
      <c r="G989" s="212">
        <v>1.4999999999999999E-2</v>
      </c>
    </row>
    <row r="990" spans="1:7" x14ac:dyDescent="0.35">
      <c r="A990" s="228"/>
      <c r="G990" s="212"/>
    </row>
    <row r="991" spans="1:7" x14ac:dyDescent="0.35">
      <c r="A991" s="229"/>
      <c r="G991" s="212"/>
    </row>
    <row r="992" spans="1:7" x14ac:dyDescent="0.35">
      <c r="A992" s="227">
        <v>46353</v>
      </c>
      <c r="G992" s="212">
        <v>1.4999999999999999E-2</v>
      </c>
    </row>
    <row r="993" spans="1:7" x14ac:dyDescent="0.35">
      <c r="A993" s="228"/>
      <c r="G993" s="212"/>
    </row>
    <row r="994" spans="1:7" x14ac:dyDescent="0.35">
      <c r="A994" s="229"/>
      <c r="G994" s="212"/>
    </row>
    <row r="995" spans="1:7" x14ac:dyDescent="0.35">
      <c r="A995" s="227">
        <v>46354</v>
      </c>
      <c r="G995" s="212">
        <v>1.4999999999999999E-2</v>
      </c>
    </row>
    <row r="996" spans="1:7" x14ac:dyDescent="0.35">
      <c r="A996" s="228"/>
      <c r="G996" s="212"/>
    </row>
    <row r="997" spans="1:7" x14ac:dyDescent="0.35">
      <c r="A997" s="229"/>
      <c r="G997" s="212"/>
    </row>
    <row r="998" spans="1:7" x14ac:dyDescent="0.35">
      <c r="A998" s="227">
        <v>46355</v>
      </c>
      <c r="G998" s="212">
        <v>1.4999999999999999E-2</v>
      </c>
    </row>
    <row r="999" spans="1:7" x14ac:dyDescent="0.35">
      <c r="A999" s="228"/>
      <c r="G999" s="212"/>
    </row>
    <row r="1000" spans="1:7" x14ac:dyDescent="0.35">
      <c r="A1000" s="229"/>
      <c r="G1000" s="212"/>
    </row>
    <row r="1001" spans="1:7" x14ac:dyDescent="0.35">
      <c r="A1001" s="227">
        <v>46356</v>
      </c>
      <c r="G1001" s="212">
        <v>1.4999999999999999E-2</v>
      </c>
    </row>
    <row r="1002" spans="1:7" x14ac:dyDescent="0.35">
      <c r="A1002" s="228"/>
      <c r="G1002" s="212"/>
    </row>
    <row r="1003" spans="1:7" x14ac:dyDescent="0.35">
      <c r="A1003" s="229"/>
      <c r="G1003" s="212"/>
    </row>
    <row r="1004" spans="1:7" x14ac:dyDescent="0.35">
      <c r="A1004" s="227">
        <v>46357</v>
      </c>
      <c r="G1004" s="212">
        <v>1.4999999999999999E-2</v>
      </c>
    </row>
    <row r="1005" spans="1:7" x14ac:dyDescent="0.35">
      <c r="A1005" s="228"/>
      <c r="G1005" s="212"/>
    </row>
    <row r="1006" spans="1:7" x14ac:dyDescent="0.35">
      <c r="A1006" s="229"/>
      <c r="G1006" s="212"/>
    </row>
    <row r="1007" spans="1:7" x14ac:dyDescent="0.35">
      <c r="A1007" s="227">
        <v>46358</v>
      </c>
      <c r="G1007" s="212">
        <v>1.4999999999999999E-2</v>
      </c>
    </row>
    <row r="1008" spans="1:7" x14ac:dyDescent="0.35">
      <c r="A1008" s="228"/>
      <c r="G1008" s="212"/>
    </row>
    <row r="1009" spans="1:7" x14ac:dyDescent="0.35">
      <c r="A1009" s="229"/>
      <c r="G1009" s="212"/>
    </row>
    <row r="1010" spans="1:7" x14ac:dyDescent="0.35">
      <c r="A1010" s="227">
        <v>46359</v>
      </c>
      <c r="G1010" s="212">
        <v>1.4999999999999999E-2</v>
      </c>
    </row>
    <row r="1011" spans="1:7" x14ac:dyDescent="0.35">
      <c r="A1011" s="228"/>
      <c r="G1011" s="212"/>
    </row>
    <row r="1012" spans="1:7" x14ac:dyDescent="0.35">
      <c r="A1012" s="229"/>
      <c r="G1012" s="212"/>
    </row>
    <row r="1013" spans="1:7" x14ac:dyDescent="0.35">
      <c r="A1013" s="227">
        <v>46360</v>
      </c>
      <c r="G1013" s="212">
        <v>1.4999999999999999E-2</v>
      </c>
    </row>
    <row r="1014" spans="1:7" x14ac:dyDescent="0.35">
      <c r="A1014" s="228"/>
      <c r="G1014" s="212"/>
    </row>
    <row r="1015" spans="1:7" x14ac:dyDescent="0.35">
      <c r="A1015" s="229"/>
      <c r="G1015" s="212"/>
    </row>
    <row r="1016" spans="1:7" x14ac:dyDescent="0.35">
      <c r="A1016" s="227">
        <v>46361</v>
      </c>
      <c r="G1016" s="212">
        <v>1.4999999999999999E-2</v>
      </c>
    </row>
    <row r="1017" spans="1:7" x14ac:dyDescent="0.35">
      <c r="A1017" s="228"/>
      <c r="G1017" s="212"/>
    </row>
    <row r="1018" spans="1:7" x14ac:dyDescent="0.35">
      <c r="A1018" s="229"/>
      <c r="G1018" s="212"/>
    </row>
    <row r="1019" spans="1:7" x14ac:dyDescent="0.35">
      <c r="A1019" s="227">
        <v>46362</v>
      </c>
      <c r="G1019" s="212">
        <v>1.4999999999999999E-2</v>
      </c>
    </row>
    <row r="1020" spans="1:7" x14ac:dyDescent="0.35">
      <c r="A1020" s="228"/>
      <c r="G1020" s="212"/>
    </row>
    <row r="1021" spans="1:7" x14ac:dyDescent="0.35">
      <c r="A1021" s="229"/>
      <c r="G1021" s="212"/>
    </row>
    <row r="1022" spans="1:7" x14ac:dyDescent="0.35">
      <c r="A1022" s="227">
        <v>46363</v>
      </c>
      <c r="G1022" s="212">
        <v>1.4999999999999999E-2</v>
      </c>
    </row>
    <row r="1023" spans="1:7" x14ac:dyDescent="0.35">
      <c r="A1023" s="228"/>
      <c r="G1023" s="212"/>
    </row>
    <row r="1024" spans="1:7" x14ac:dyDescent="0.35">
      <c r="A1024" s="229"/>
      <c r="G1024" s="212"/>
    </row>
    <row r="1025" spans="1:7" x14ac:dyDescent="0.35">
      <c r="A1025" s="227">
        <v>46364</v>
      </c>
      <c r="G1025" s="212">
        <v>1.4999999999999999E-2</v>
      </c>
    </row>
    <row r="1026" spans="1:7" x14ac:dyDescent="0.35">
      <c r="A1026" s="228"/>
      <c r="G1026" s="212"/>
    </row>
    <row r="1027" spans="1:7" x14ac:dyDescent="0.35">
      <c r="A1027" s="229"/>
      <c r="G1027" s="212"/>
    </row>
    <row r="1028" spans="1:7" x14ac:dyDescent="0.35">
      <c r="A1028" s="227">
        <v>46365</v>
      </c>
      <c r="G1028" s="212">
        <v>1.4999999999999999E-2</v>
      </c>
    </row>
    <row r="1029" spans="1:7" x14ac:dyDescent="0.35">
      <c r="A1029" s="228"/>
      <c r="G1029" s="212"/>
    </row>
    <row r="1030" spans="1:7" x14ac:dyDescent="0.35">
      <c r="A1030" s="229"/>
      <c r="G1030" s="212"/>
    </row>
    <row r="1031" spans="1:7" x14ac:dyDescent="0.35">
      <c r="A1031" s="227">
        <v>46366</v>
      </c>
      <c r="G1031" s="212">
        <v>1.4999999999999999E-2</v>
      </c>
    </row>
    <row r="1032" spans="1:7" x14ac:dyDescent="0.35">
      <c r="A1032" s="228"/>
      <c r="G1032" s="212"/>
    </row>
    <row r="1033" spans="1:7" x14ac:dyDescent="0.35">
      <c r="A1033" s="229"/>
      <c r="G1033" s="212"/>
    </row>
    <row r="1034" spans="1:7" x14ac:dyDescent="0.35">
      <c r="A1034" s="227">
        <v>46367</v>
      </c>
      <c r="G1034" s="212">
        <v>1.4999999999999999E-2</v>
      </c>
    </row>
    <row r="1035" spans="1:7" x14ac:dyDescent="0.35">
      <c r="A1035" s="228"/>
      <c r="G1035" s="212"/>
    </row>
    <row r="1036" spans="1:7" x14ac:dyDescent="0.35">
      <c r="A1036" s="229"/>
      <c r="G1036" s="212"/>
    </row>
    <row r="1037" spans="1:7" x14ac:dyDescent="0.35">
      <c r="A1037" s="227">
        <v>46368</v>
      </c>
      <c r="G1037" s="212">
        <v>1.4999999999999999E-2</v>
      </c>
    </row>
    <row r="1038" spans="1:7" x14ac:dyDescent="0.35">
      <c r="A1038" s="228"/>
      <c r="G1038" s="212"/>
    </row>
    <row r="1039" spans="1:7" x14ac:dyDescent="0.35">
      <c r="A1039" s="229"/>
      <c r="G1039" s="212"/>
    </row>
    <row r="1040" spans="1:7" x14ac:dyDescent="0.35">
      <c r="A1040" s="227">
        <v>46369</v>
      </c>
      <c r="G1040" s="212">
        <v>1.4999999999999999E-2</v>
      </c>
    </row>
    <row r="1041" spans="1:7" x14ac:dyDescent="0.35">
      <c r="A1041" s="228"/>
      <c r="G1041" s="212"/>
    </row>
    <row r="1042" spans="1:7" x14ac:dyDescent="0.35">
      <c r="A1042" s="229"/>
      <c r="G1042" s="212"/>
    </row>
    <row r="1043" spans="1:7" x14ac:dyDescent="0.35">
      <c r="A1043" s="227">
        <v>46370</v>
      </c>
      <c r="G1043" s="212">
        <v>1.4999999999999999E-2</v>
      </c>
    </row>
    <row r="1044" spans="1:7" x14ac:dyDescent="0.35">
      <c r="A1044" s="228"/>
      <c r="G1044" s="212"/>
    </row>
    <row r="1045" spans="1:7" x14ac:dyDescent="0.35">
      <c r="A1045" s="229"/>
      <c r="G1045" s="212"/>
    </row>
    <row r="1046" spans="1:7" x14ac:dyDescent="0.35">
      <c r="A1046" s="227">
        <v>46371</v>
      </c>
      <c r="G1046" s="212">
        <v>1.4999999999999999E-2</v>
      </c>
    </row>
    <row r="1047" spans="1:7" x14ac:dyDescent="0.35">
      <c r="A1047" s="228"/>
      <c r="G1047" s="212"/>
    </row>
    <row r="1048" spans="1:7" x14ac:dyDescent="0.35">
      <c r="A1048" s="229"/>
      <c r="G1048" s="212"/>
    </row>
    <row r="1049" spans="1:7" x14ac:dyDescent="0.35">
      <c r="A1049" s="227">
        <v>46372</v>
      </c>
      <c r="G1049" s="212">
        <v>1.4999999999999999E-2</v>
      </c>
    </row>
    <row r="1050" spans="1:7" x14ac:dyDescent="0.35">
      <c r="A1050" s="228"/>
      <c r="G1050" s="212"/>
    </row>
    <row r="1051" spans="1:7" x14ac:dyDescent="0.35">
      <c r="A1051" s="229"/>
      <c r="G1051" s="212"/>
    </row>
    <row r="1052" spans="1:7" x14ac:dyDescent="0.35">
      <c r="A1052" s="227">
        <v>46373</v>
      </c>
      <c r="G1052" s="212">
        <v>1.4999999999999999E-2</v>
      </c>
    </row>
    <row r="1053" spans="1:7" x14ac:dyDescent="0.35">
      <c r="A1053" s="228"/>
      <c r="G1053" s="212"/>
    </row>
    <row r="1054" spans="1:7" x14ac:dyDescent="0.35">
      <c r="A1054" s="229"/>
      <c r="G1054" s="212"/>
    </row>
    <row r="1055" spans="1:7" x14ac:dyDescent="0.35">
      <c r="A1055" s="227">
        <v>46374</v>
      </c>
      <c r="G1055" s="212">
        <v>1.4999999999999999E-2</v>
      </c>
    </row>
    <row r="1056" spans="1:7" x14ac:dyDescent="0.35">
      <c r="A1056" s="228"/>
      <c r="G1056" s="212"/>
    </row>
    <row r="1057" spans="1:7" x14ac:dyDescent="0.35">
      <c r="A1057" s="229"/>
      <c r="G1057" s="212"/>
    </row>
    <row r="1058" spans="1:7" x14ac:dyDescent="0.35">
      <c r="A1058" s="227">
        <v>46375</v>
      </c>
      <c r="G1058" s="212">
        <v>1.4999999999999999E-2</v>
      </c>
    </row>
    <row r="1059" spans="1:7" x14ac:dyDescent="0.35">
      <c r="A1059" s="228"/>
      <c r="G1059" s="212"/>
    </row>
    <row r="1060" spans="1:7" x14ac:dyDescent="0.35">
      <c r="A1060" s="229"/>
      <c r="G1060" s="212"/>
    </row>
    <row r="1061" spans="1:7" x14ac:dyDescent="0.35">
      <c r="A1061" s="227">
        <v>46376</v>
      </c>
      <c r="G1061" s="212">
        <v>1.4999999999999999E-2</v>
      </c>
    </row>
    <row r="1062" spans="1:7" x14ac:dyDescent="0.35">
      <c r="A1062" s="228"/>
      <c r="G1062" s="212"/>
    </row>
    <row r="1063" spans="1:7" x14ac:dyDescent="0.35">
      <c r="A1063" s="229"/>
      <c r="G1063" s="212"/>
    </row>
    <row r="1064" spans="1:7" x14ac:dyDescent="0.35">
      <c r="A1064" s="227">
        <v>46377</v>
      </c>
      <c r="G1064" s="212">
        <v>1.4999999999999999E-2</v>
      </c>
    </row>
    <row r="1065" spans="1:7" x14ac:dyDescent="0.35">
      <c r="A1065" s="228"/>
      <c r="G1065" s="212"/>
    </row>
    <row r="1066" spans="1:7" x14ac:dyDescent="0.35">
      <c r="A1066" s="229"/>
      <c r="G1066" s="212"/>
    </row>
    <row r="1067" spans="1:7" x14ac:dyDescent="0.35">
      <c r="A1067" s="227">
        <v>46378</v>
      </c>
      <c r="G1067" s="212">
        <v>1.4999999999999999E-2</v>
      </c>
    </row>
    <row r="1068" spans="1:7" x14ac:dyDescent="0.35">
      <c r="A1068" s="228"/>
      <c r="G1068" s="212"/>
    </row>
    <row r="1069" spans="1:7" x14ac:dyDescent="0.35">
      <c r="A1069" s="229"/>
      <c r="G1069" s="212"/>
    </row>
    <row r="1070" spans="1:7" x14ac:dyDescent="0.35">
      <c r="A1070" s="227">
        <v>46379</v>
      </c>
      <c r="G1070" s="212">
        <v>1.4999999999999999E-2</v>
      </c>
    </row>
    <row r="1071" spans="1:7" x14ac:dyDescent="0.35">
      <c r="A1071" s="228"/>
      <c r="G1071" s="212"/>
    </row>
    <row r="1072" spans="1:7" x14ac:dyDescent="0.35">
      <c r="A1072" s="229"/>
      <c r="G1072" s="212"/>
    </row>
    <row r="1073" spans="1:7" x14ac:dyDescent="0.35">
      <c r="A1073" s="227">
        <v>46380</v>
      </c>
      <c r="G1073" s="212">
        <v>1.4999999999999999E-2</v>
      </c>
    </row>
    <row r="1074" spans="1:7" x14ac:dyDescent="0.35">
      <c r="A1074" s="228"/>
      <c r="G1074" s="212"/>
    </row>
    <row r="1075" spans="1:7" x14ac:dyDescent="0.35">
      <c r="A1075" s="229"/>
      <c r="G1075" s="212"/>
    </row>
    <row r="1076" spans="1:7" x14ac:dyDescent="0.35">
      <c r="A1076" s="227">
        <v>46381</v>
      </c>
      <c r="G1076" s="212">
        <v>1.4999999999999999E-2</v>
      </c>
    </row>
    <row r="1077" spans="1:7" x14ac:dyDescent="0.35">
      <c r="A1077" s="228"/>
      <c r="G1077" s="212"/>
    </row>
    <row r="1078" spans="1:7" x14ac:dyDescent="0.35">
      <c r="A1078" s="229"/>
      <c r="G1078" s="212"/>
    </row>
    <row r="1079" spans="1:7" x14ac:dyDescent="0.35">
      <c r="A1079" s="227">
        <v>46382</v>
      </c>
      <c r="G1079" s="212">
        <v>1.4999999999999999E-2</v>
      </c>
    </row>
    <row r="1080" spans="1:7" x14ac:dyDescent="0.35">
      <c r="A1080" s="228"/>
      <c r="G1080" s="212"/>
    </row>
    <row r="1081" spans="1:7" x14ac:dyDescent="0.35">
      <c r="A1081" s="229"/>
      <c r="G1081" s="212"/>
    </row>
    <row r="1082" spans="1:7" x14ac:dyDescent="0.35">
      <c r="A1082" s="227">
        <v>46383</v>
      </c>
      <c r="G1082" s="212">
        <v>1.4999999999999999E-2</v>
      </c>
    </row>
    <row r="1083" spans="1:7" x14ac:dyDescent="0.35">
      <c r="A1083" s="228"/>
      <c r="G1083" s="212"/>
    </row>
    <row r="1084" spans="1:7" x14ac:dyDescent="0.35">
      <c r="A1084" s="229"/>
      <c r="G1084" s="212"/>
    </row>
    <row r="1085" spans="1:7" x14ac:dyDescent="0.35">
      <c r="A1085" s="227">
        <v>46384</v>
      </c>
      <c r="G1085" s="212">
        <v>1.4999999999999999E-2</v>
      </c>
    </row>
    <row r="1086" spans="1:7" x14ac:dyDescent="0.35">
      <c r="A1086" s="228"/>
      <c r="G1086" s="212"/>
    </row>
    <row r="1087" spans="1:7" x14ac:dyDescent="0.35">
      <c r="A1087" s="229"/>
      <c r="G1087" s="212"/>
    </row>
    <row r="1088" spans="1:7" x14ac:dyDescent="0.35">
      <c r="A1088" s="227">
        <v>46385</v>
      </c>
      <c r="G1088" s="212">
        <v>1.4999999999999999E-2</v>
      </c>
    </row>
    <row r="1089" spans="1:7" x14ac:dyDescent="0.35">
      <c r="A1089" s="228"/>
      <c r="G1089" s="212"/>
    </row>
    <row r="1090" spans="1:7" x14ac:dyDescent="0.35">
      <c r="A1090" s="229"/>
      <c r="G1090" s="212"/>
    </row>
    <row r="1091" spans="1:7" x14ac:dyDescent="0.35">
      <c r="A1091" s="227">
        <v>46386</v>
      </c>
      <c r="G1091" s="212">
        <v>1.4999999999999999E-2</v>
      </c>
    </row>
    <row r="1092" spans="1:7" x14ac:dyDescent="0.35">
      <c r="A1092" s="228"/>
      <c r="G1092" s="212"/>
    </row>
    <row r="1093" spans="1:7" x14ac:dyDescent="0.35">
      <c r="A1093" s="229"/>
      <c r="G1093" s="212"/>
    </row>
    <row r="1094" spans="1:7" x14ac:dyDescent="0.35">
      <c r="A1094" s="227">
        <v>46387</v>
      </c>
      <c r="G1094" s="212">
        <v>1.4999999999999999E-2</v>
      </c>
    </row>
    <row r="1095" spans="1:7" x14ac:dyDescent="0.35">
      <c r="A1095" s="228"/>
      <c r="G1095" s="212"/>
    </row>
    <row r="1096" spans="1:7" x14ac:dyDescent="0.35">
      <c r="A1096" s="229"/>
      <c r="G1096" s="212"/>
    </row>
  </sheetData>
  <mergeCells count="4">
    <mergeCell ref="I722:I724"/>
    <mergeCell ref="N722:N724"/>
    <mergeCell ref="I725:I727"/>
    <mergeCell ref="N725:N727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74B92-B3D0-4CDB-9D4F-EE2378F155EA}">
  <sheetPr codeName="Sheet2"/>
  <dimension ref="A1:BG1000"/>
  <sheetViews>
    <sheetView topLeftCell="R5" workbookViewId="0">
      <selection activeCell="T7" sqref="T7"/>
    </sheetView>
  </sheetViews>
  <sheetFormatPr defaultRowHeight="14.5" x14ac:dyDescent="0.35"/>
  <cols>
    <col min="1" max="1" width="16.453125" bestFit="1" customWidth="1"/>
    <col min="2" max="2" width="23.453125" customWidth="1"/>
    <col min="4" max="4" width="24.453125" customWidth="1"/>
    <col min="5" max="5" width="15.453125" customWidth="1"/>
    <col min="6" max="6" width="13.453125" customWidth="1"/>
    <col min="7" max="7" width="9.453125" bestFit="1" customWidth="1"/>
    <col min="14" max="14" width="13.453125" customWidth="1"/>
    <col min="16" max="16" width="12.26953125" customWidth="1"/>
    <col min="17" max="17" width="11.26953125" customWidth="1"/>
    <col min="18" max="18" width="10.1796875" bestFit="1" customWidth="1"/>
    <col min="19" max="19" width="17.453125" customWidth="1"/>
    <col min="20" max="20" width="12.81640625" customWidth="1"/>
    <col min="21" max="21" width="19.453125" customWidth="1"/>
    <col min="22" max="22" width="15.1796875" customWidth="1"/>
    <col min="25" max="25" width="14.1796875" bestFit="1" customWidth="1"/>
    <col min="31" max="31" width="8.7265625" customWidth="1"/>
    <col min="43" max="43" width="11.26953125" customWidth="1"/>
    <col min="44" max="44" width="18" bestFit="1" customWidth="1"/>
    <col min="45" max="45" width="17.7265625" bestFit="1" customWidth="1"/>
    <col min="47" max="47" width="11.26953125" customWidth="1"/>
    <col min="49" max="49" width="9" bestFit="1" customWidth="1"/>
    <col min="50" max="50" width="12.81640625" customWidth="1"/>
    <col min="51" max="51" width="14.1796875" customWidth="1"/>
    <col min="52" max="52" width="25.1796875" bestFit="1" customWidth="1"/>
    <col min="53" max="53" width="20.81640625" customWidth="1"/>
    <col min="55" max="55" width="16.453125" style="15" customWidth="1"/>
    <col min="56" max="56" width="10.1796875" style="15" customWidth="1"/>
    <col min="59" max="59" width="24.7265625" customWidth="1"/>
  </cols>
  <sheetData>
    <row r="1" spans="1:59" ht="40" thickBot="1" x14ac:dyDescent="0.4">
      <c r="A1" s="61" t="s">
        <v>12</v>
      </c>
      <c r="B1" s="61" t="s">
        <v>13</v>
      </c>
      <c r="D1" s="60" t="s">
        <v>491</v>
      </c>
      <c r="E1" s="59" t="s">
        <v>492</v>
      </c>
      <c r="F1" s="52" t="s">
        <v>177</v>
      </c>
      <c r="G1" s="52" t="s">
        <v>493</v>
      </c>
      <c r="H1" s="52" t="s">
        <v>494</v>
      </c>
      <c r="I1" s="52" t="s">
        <v>222</v>
      </c>
      <c r="J1" s="52" t="s">
        <v>168</v>
      </c>
      <c r="K1" s="52" t="s">
        <v>495</v>
      </c>
      <c r="L1" s="52" t="s">
        <v>183</v>
      </c>
      <c r="M1" s="52" t="s">
        <v>266</v>
      </c>
      <c r="N1" s="297" t="s">
        <v>496</v>
      </c>
      <c r="O1" s="50" t="s">
        <v>137</v>
      </c>
      <c r="P1" s="39" t="s">
        <v>130</v>
      </c>
      <c r="Q1" s="297" t="s">
        <v>352</v>
      </c>
      <c r="R1" s="297" t="s">
        <v>497</v>
      </c>
      <c r="S1" s="39" t="s">
        <v>187</v>
      </c>
      <c r="T1" s="39" t="s">
        <v>498</v>
      </c>
      <c r="U1" s="39" t="s">
        <v>499</v>
      </c>
      <c r="V1" s="39" t="s">
        <v>500</v>
      </c>
      <c r="W1" s="44" t="s">
        <v>162</v>
      </c>
      <c r="X1" s="44" t="s">
        <v>350</v>
      </c>
      <c r="Y1" s="39" t="s">
        <v>227</v>
      </c>
      <c r="Z1" s="39" t="s">
        <v>165</v>
      </c>
      <c r="AA1" s="39" t="s">
        <v>501</v>
      </c>
      <c r="AB1" s="39" t="s">
        <v>502</v>
      </c>
      <c r="AC1" s="39" t="s">
        <v>30</v>
      </c>
      <c r="AD1" s="39" t="s">
        <v>503</v>
      </c>
      <c r="AE1" s="39" t="s">
        <v>295</v>
      </c>
      <c r="AF1" s="39" t="s">
        <v>299</v>
      </c>
      <c r="AG1" s="39" t="s">
        <v>301</v>
      </c>
      <c r="AH1" s="39" t="s">
        <v>303</v>
      </c>
      <c r="AI1" s="39" t="s">
        <v>305</v>
      </c>
      <c r="AJ1" s="39" t="s">
        <v>309</v>
      </c>
      <c r="AK1" s="39" t="s">
        <v>504</v>
      </c>
      <c r="AL1" s="39" t="s">
        <v>310</v>
      </c>
      <c r="AM1" s="39" t="s">
        <v>313</v>
      </c>
      <c r="AN1" s="39" t="s">
        <v>314</v>
      </c>
      <c r="AO1" s="39" t="s">
        <v>317</v>
      </c>
      <c r="AP1" s="39" t="s">
        <v>342</v>
      </c>
      <c r="AQ1" s="41" t="s">
        <v>505</v>
      </c>
      <c r="AR1" s="39" t="s">
        <v>506</v>
      </c>
      <c r="AS1" s="39" t="s">
        <v>507</v>
      </c>
      <c r="AT1" s="39" t="s">
        <v>508</v>
      </c>
      <c r="AU1" s="39" t="s">
        <v>509</v>
      </c>
      <c r="AV1" s="39" t="s">
        <v>19</v>
      </c>
      <c r="AW1" s="40" t="s">
        <v>181</v>
      </c>
      <c r="AX1" s="39" t="s">
        <v>116</v>
      </c>
      <c r="AY1" s="38" t="s">
        <v>46</v>
      </c>
      <c r="AZ1" s="58" t="s">
        <v>117</v>
      </c>
      <c r="BA1" t="s">
        <v>50</v>
      </c>
      <c r="BC1" s="62" t="s">
        <v>55</v>
      </c>
      <c r="BD1" s="62" t="s">
        <v>510</v>
      </c>
      <c r="BE1" t="s">
        <v>486</v>
      </c>
      <c r="BG1" t="s">
        <v>511</v>
      </c>
    </row>
    <row r="2" spans="1:59" ht="89" thickBot="1" x14ac:dyDescent="0.4">
      <c r="A2" s="47" t="s">
        <v>176</v>
      </c>
      <c r="B2" s="42" t="s">
        <v>491</v>
      </c>
      <c r="D2" s="56" t="s">
        <v>512</v>
      </c>
      <c r="E2" s="57" t="s">
        <v>513</v>
      </c>
      <c r="F2" s="37" t="s">
        <v>514</v>
      </c>
      <c r="G2" s="37"/>
      <c r="H2" s="37"/>
      <c r="I2" s="37" t="s">
        <v>515</v>
      </c>
      <c r="J2" s="37" t="s">
        <v>515</v>
      </c>
      <c r="K2" s="37"/>
      <c r="L2" s="37" t="s">
        <v>184</v>
      </c>
      <c r="M2" s="37" t="s">
        <v>516</v>
      </c>
      <c r="N2" s="37" t="s">
        <v>253</v>
      </c>
      <c r="O2" s="37" t="s">
        <v>138</v>
      </c>
      <c r="P2" s="37" t="s">
        <v>211</v>
      </c>
      <c r="Q2" s="37" t="s">
        <v>27</v>
      </c>
      <c r="R2" s="37" t="s">
        <v>27</v>
      </c>
      <c r="S2" s="37" t="s">
        <v>517</v>
      </c>
      <c r="T2" s="37" t="s">
        <v>518</v>
      </c>
      <c r="U2" s="37" t="s">
        <v>519</v>
      </c>
      <c r="V2" s="37"/>
      <c r="W2" s="37" t="s">
        <v>351</v>
      </c>
      <c r="X2" s="37" t="s">
        <v>520</v>
      </c>
      <c r="Y2" s="37" t="s">
        <v>228</v>
      </c>
      <c r="Z2" s="37" t="s">
        <v>521</v>
      </c>
      <c r="AA2" s="37" t="s">
        <v>521</v>
      </c>
      <c r="AB2" s="37" t="s">
        <v>521</v>
      </c>
      <c r="AC2" s="37" t="s">
        <v>521</v>
      </c>
      <c r="AD2" s="37" t="s">
        <v>522</v>
      </c>
      <c r="AE2" s="37" t="s">
        <v>149</v>
      </c>
      <c r="AF2" s="37" t="s">
        <v>149</v>
      </c>
      <c r="AG2" s="37" t="s">
        <v>149</v>
      </c>
      <c r="AH2" s="37" t="s">
        <v>149</v>
      </c>
      <c r="AI2" s="37" t="s">
        <v>149</v>
      </c>
      <c r="AJ2" s="37" t="s">
        <v>149</v>
      </c>
      <c r="AK2" s="37" t="s">
        <v>149</v>
      </c>
      <c r="AL2" s="37" t="s">
        <v>523</v>
      </c>
      <c r="AM2" s="37" t="s">
        <v>523</v>
      </c>
      <c r="AN2" s="37" t="s">
        <v>523</v>
      </c>
      <c r="AO2" s="37" t="s">
        <v>523</v>
      </c>
      <c r="AP2" s="37" t="s">
        <v>524</v>
      </c>
      <c r="AQ2" s="37"/>
      <c r="AR2" s="37"/>
      <c r="AS2" s="37"/>
      <c r="AT2" s="37"/>
      <c r="AU2" s="37"/>
      <c r="AV2" s="37" t="s">
        <v>20</v>
      </c>
      <c r="AW2" s="37" t="s">
        <v>182</v>
      </c>
      <c r="AX2" s="36" t="s">
        <v>525</v>
      </c>
      <c r="AY2" t="s">
        <v>117</v>
      </c>
      <c r="AZ2" s="54" t="s">
        <v>215</v>
      </c>
      <c r="BA2" s="54" t="s">
        <v>127</v>
      </c>
      <c r="BC2" s="62" t="s">
        <v>526</v>
      </c>
      <c r="BD2" s="62">
        <v>39.200000000000003</v>
      </c>
      <c r="BE2" t="s">
        <v>7</v>
      </c>
      <c r="BG2" t="s">
        <v>527</v>
      </c>
    </row>
    <row r="3" spans="1:59" ht="64" thickBot="1" x14ac:dyDescent="0.4">
      <c r="A3" s="47" t="s">
        <v>167</v>
      </c>
      <c r="B3" s="42" t="s">
        <v>492</v>
      </c>
      <c r="D3" s="56" t="s">
        <v>528</v>
      </c>
      <c r="E3" s="57"/>
      <c r="F3" s="37" t="s">
        <v>529</v>
      </c>
      <c r="G3" s="37"/>
      <c r="H3" s="37"/>
      <c r="I3" s="37" t="s">
        <v>223</v>
      </c>
      <c r="J3" s="37" t="s">
        <v>223</v>
      </c>
      <c r="K3" s="37"/>
      <c r="L3" s="37"/>
      <c r="M3" s="37" t="s">
        <v>530</v>
      </c>
      <c r="N3" s="37" t="s">
        <v>141</v>
      </c>
      <c r="O3" s="37" t="s">
        <v>151</v>
      </c>
      <c r="P3" s="37" t="s">
        <v>157</v>
      </c>
      <c r="Q3" s="37" t="s">
        <v>155</v>
      </c>
      <c r="R3" s="37" t="s">
        <v>531</v>
      </c>
      <c r="S3" s="37" t="s">
        <v>197</v>
      </c>
      <c r="T3" s="37" t="s">
        <v>532</v>
      </c>
      <c r="V3" s="37"/>
      <c r="W3" s="37" t="s">
        <v>163</v>
      </c>
      <c r="X3" s="37" t="s">
        <v>351</v>
      </c>
      <c r="Y3" s="37" t="s">
        <v>533</v>
      </c>
      <c r="Z3" s="37" t="s">
        <v>534</v>
      </c>
      <c r="AA3" s="37" t="s">
        <v>535</v>
      </c>
      <c r="AB3" s="37" t="s">
        <v>536</v>
      </c>
      <c r="AC3" s="37" t="s">
        <v>341</v>
      </c>
      <c r="AD3" s="37" t="s">
        <v>122</v>
      </c>
      <c r="AE3" s="37" t="s">
        <v>537</v>
      </c>
      <c r="AF3" s="37" t="s">
        <v>537</v>
      </c>
      <c r="AG3" s="37" t="s">
        <v>537</v>
      </c>
      <c r="AH3" s="37" t="s">
        <v>537</v>
      </c>
      <c r="AI3" s="37" t="s">
        <v>538</v>
      </c>
      <c r="AJ3" s="37" t="s">
        <v>538</v>
      </c>
      <c r="AK3" s="37" t="s">
        <v>538</v>
      </c>
      <c r="AL3" s="37" t="s">
        <v>539</v>
      </c>
      <c r="AM3" s="37" t="s">
        <v>539</v>
      </c>
      <c r="AN3" s="37" t="s">
        <v>539</v>
      </c>
      <c r="AO3" s="37" t="s">
        <v>539</v>
      </c>
      <c r="AP3" s="37" t="s">
        <v>540</v>
      </c>
      <c r="AQ3" s="37"/>
      <c r="AR3" s="37"/>
      <c r="AS3" s="37"/>
      <c r="AT3" s="37"/>
      <c r="AU3" s="37"/>
      <c r="AV3" s="37"/>
      <c r="AW3" s="37"/>
      <c r="AX3" s="36" t="s">
        <v>140</v>
      </c>
      <c r="AY3" t="s">
        <v>50</v>
      </c>
      <c r="AZ3" s="54" t="s">
        <v>541</v>
      </c>
      <c r="BA3" s="54" t="s">
        <v>53</v>
      </c>
      <c r="BC3" s="62" t="s">
        <v>542</v>
      </c>
      <c r="BD3" s="62">
        <v>37.799999999999997</v>
      </c>
      <c r="BE3" t="s">
        <v>8</v>
      </c>
      <c r="BG3" t="s">
        <v>543</v>
      </c>
    </row>
    <row r="4" spans="1:59" ht="76.5" thickBot="1" x14ac:dyDescent="0.4">
      <c r="A4" s="47" t="s">
        <v>40</v>
      </c>
      <c r="B4" s="297" t="s">
        <v>496</v>
      </c>
      <c r="D4" s="56" t="s">
        <v>544</v>
      </c>
      <c r="E4" s="37"/>
      <c r="F4" s="37"/>
      <c r="G4" s="37"/>
      <c r="H4" s="37"/>
      <c r="I4" s="37" t="s">
        <v>545</v>
      </c>
      <c r="J4" s="37" t="s">
        <v>545</v>
      </c>
      <c r="K4" s="37"/>
      <c r="L4" s="37"/>
      <c r="M4" s="37" t="s">
        <v>184</v>
      </c>
      <c r="N4" s="55" t="s">
        <v>42</v>
      </c>
      <c r="O4" s="37" t="s">
        <v>254</v>
      </c>
      <c r="P4" s="37" t="s">
        <v>340</v>
      </c>
      <c r="Q4" s="37" t="s">
        <v>546</v>
      </c>
      <c r="R4" s="37" t="s">
        <v>547</v>
      </c>
      <c r="S4" s="37" t="s">
        <v>548</v>
      </c>
      <c r="T4" s="37" t="s">
        <v>549</v>
      </c>
      <c r="U4" s="37"/>
      <c r="V4" s="37"/>
      <c r="W4" s="37" t="s">
        <v>550</v>
      </c>
      <c r="X4" s="37"/>
      <c r="Y4" s="37"/>
      <c r="Z4" s="37" t="s">
        <v>551</v>
      </c>
      <c r="AA4" s="37" t="s">
        <v>172</v>
      </c>
      <c r="AB4" s="37" t="s">
        <v>552</v>
      </c>
      <c r="AC4" s="37" t="s">
        <v>31</v>
      </c>
      <c r="AD4" s="37"/>
      <c r="AE4" s="37" t="s">
        <v>553</v>
      </c>
      <c r="AF4" s="37" t="s">
        <v>553</v>
      </c>
      <c r="AG4" s="37" t="s">
        <v>553</v>
      </c>
      <c r="AH4" s="37" t="s">
        <v>553</v>
      </c>
      <c r="AI4" s="43" t="s">
        <v>306</v>
      </c>
      <c r="AJ4" s="43" t="s">
        <v>306</v>
      </c>
      <c r="AK4" s="43" t="s">
        <v>306</v>
      </c>
      <c r="AL4" s="37" t="s">
        <v>554</v>
      </c>
      <c r="AM4" s="37" t="s">
        <v>554</v>
      </c>
      <c r="AN4" s="37" t="s">
        <v>554</v>
      </c>
      <c r="AO4" s="37" t="s">
        <v>554</v>
      </c>
      <c r="AP4" s="37"/>
      <c r="AQ4" s="37"/>
      <c r="AR4" s="37"/>
      <c r="AS4" s="37"/>
      <c r="AT4" s="37"/>
      <c r="AU4" s="37"/>
      <c r="AV4" s="37"/>
      <c r="AW4" s="37"/>
      <c r="AX4" s="36" t="s">
        <v>74</v>
      </c>
      <c r="AZ4" s="54" t="s">
        <v>74</v>
      </c>
      <c r="BA4" s="54" t="s">
        <v>52</v>
      </c>
      <c r="BC4" s="62" t="s">
        <v>555</v>
      </c>
      <c r="BD4" s="62">
        <v>36.799999999999997</v>
      </c>
      <c r="BE4" t="s">
        <v>9</v>
      </c>
      <c r="BG4" t="s">
        <v>287</v>
      </c>
    </row>
    <row r="5" spans="1:59" ht="76.5" thickBot="1" x14ac:dyDescent="0.4">
      <c r="A5" s="47" t="s">
        <v>136</v>
      </c>
      <c r="B5" s="52" t="s">
        <v>493</v>
      </c>
      <c r="D5" s="37" t="s">
        <v>556</v>
      </c>
      <c r="E5" s="37"/>
      <c r="F5" s="37"/>
      <c r="G5" s="37"/>
      <c r="H5" s="37"/>
      <c r="I5" s="37" t="s">
        <v>282</v>
      </c>
      <c r="J5" s="37"/>
      <c r="K5" s="37"/>
      <c r="L5" s="37"/>
      <c r="M5" s="37"/>
      <c r="N5" s="37" t="s">
        <v>289</v>
      </c>
      <c r="O5" s="37" t="s">
        <v>557</v>
      </c>
      <c r="P5" s="37" t="s">
        <v>558</v>
      </c>
      <c r="Q5" s="37" t="s">
        <v>286</v>
      </c>
      <c r="R5" s="37" t="s">
        <v>217</v>
      </c>
      <c r="S5" s="37" t="s">
        <v>559</v>
      </c>
      <c r="T5" s="37" t="s">
        <v>560</v>
      </c>
      <c r="U5" s="37"/>
      <c r="V5" s="37"/>
      <c r="W5" s="37" t="s">
        <v>561</v>
      </c>
      <c r="X5" s="37"/>
      <c r="Y5" s="37"/>
      <c r="Z5" s="37" t="s">
        <v>562</v>
      </c>
      <c r="AA5" s="37"/>
      <c r="AB5" s="37"/>
      <c r="AC5" s="37" t="s">
        <v>152</v>
      </c>
      <c r="AD5" s="37"/>
      <c r="AE5" s="37" t="s">
        <v>263</v>
      </c>
      <c r="AF5" s="37" t="s">
        <v>263</v>
      </c>
      <c r="AG5" s="37" t="s">
        <v>263</v>
      </c>
      <c r="AH5" s="37" t="s">
        <v>263</v>
      </c>
      <c r="AI5" s="37" t="s">
        <v>563</v>
      </c>
      <c r="AJ5" s="37" t="s">
        <v>563</v>
      </c>
      <c r="AK5" s="37" t="s">
        <v>563</v>
      </c>
      <c r="AL5" s="37" t="s">
        <v>196</v>
      </c>
      <c r="AM5" s="37" t="s">
        <v>196</v>
      </c>
      <c r="AN5" s="37" t="s">
        <v>196</v>
      </c>
      <c r="AO5" s="37" t="s">
        <v>196</v>
      </c>
      <c r="AP5" s="37" t="s">
        <v>196</v>
      </c>
      <c r="AQ5" s="37"/>
      <c r="AR5" s="37"/>
      <c r="AS5" s="37"/>
      <c r="AT5" s="37"/>
      <c r="AU5" s="37"/>
      <c r="AV5" s="37"/>
      <c r="AW5" s="37"/>
      <c r="AX5" s="36" t="s">
        <v>264</v>
      </c>
      <c r="AZ5" s="54" t="s">
        <v>75</v>
      </c>
      <c r="BA5" s="54" t="s">
        <v>51</v>
      </c>
      <c r="BC5" s="62" t="s">
        <v>564</v>
      </c>
      <c r="BD5" s="62">
        <v>37.799999999999997</v>
      </c>
      <c r="BG5" t="s">
        <v>565</v>
      </c>
    </row>
    <row r="6" spans="1:59" ht="89" thickBot="1" x14ac:dyDescent="0.4">
      <c r="A6" s="47" t="s">
        <v>129</v>
      </c>
      <c r="B6" s="52" t="s">
        <v>494</v>
      </c>
      <c r="D6" s="37" t="s">
        <v>566</v>
      </c>
      <c r="E6" s="37"/>
      <c r="F6" s="37"/>
      <c r="G6" s="37"/>
      <c r="H6" s="37"/>
      <c r="I6" s="37"/>
      <c r="J6" s="37"/>
      <c r="K6" s="37"/>
      <c r="L6" s="37"/>
      <c r="M6" s="37"/>
      <c r="N6" s="37" t="s">
        <v>44</v>
      </c>
      <c r="O6" s="37" t="s">
        <v>567</v>
      </c>
      <c r="P6" s="37" t="s">
        <v>568</v>
      </c>
      <c r="Q6" s="37" t="s">
        <v>195</v>
      </c>
      <c r="R6" s="37"/>
      <c r="S6" s="37" t="s">
        <v>569</v>
      </c>
      <c r="T6" s="37" t="s">
        <v>843</v>
      </c>
      <c r="U6" s="37"/>
      <c r="V6" s="37"/>
      <c r="W6" s="37" t="s">
        <v>233</v>
      </c>
      <c r="X6" s="37"/>
      <c r="Y6" s="37"/>
      <c r="Z6" s="37" t="s">
        <v>207</v>
      </c>
      <c r="AA6" s="37"/>
      <c r="AB6" s="37"/>
      <c r="AC6" s="37" t="s">
        <v>570</v>
      </c>
      <c r="AD6" s="37"/>
      <c r="AE6" s="37" t="s">
        <v>38</v>
      </c>
      <c r="AF6" s="37" t="s">
        <v>38</v>
      </c>
      <c r="AG6" s="37" t="s">
        <v>38</v>
      </c>
      <c r="AH6" s="37" t="s">
        <v>38</v>
      </c>
      <c r="AI6" s="43" t="s">
        <v>308</v>
      </c>
      <c r="AJ6" s="43" t="s">
        <v>308</v>
      </c>
      <c r="AK6" s="43" t="s">
        <v>308</v>
      </c>
      <c r="AL6" s="37" t="s">
        <v>571</v>
      </c>
      <c r="AM6" s="37" t="s">
        <v>571</v>
      </c>
      <c r="AN6" s="37" t="s">
        <v>571</v>
      </c>
      <c r="AO6" s="37" t="s">
        <v>571</v>
      </c>
      <c r="AP6" s="37" t="s">
        <v>572</v>
      </c>
      <c r="AQ6" s="37"/>
      <c r="AR6" s="37"/>
      <c r="AS6" s="37"/>
      <c r="AT6" s="37"/>
      <c r="AU6" s="37"/>
      <c r="AV6" s="37"/>
      <c r="AW6" s="37"/>
      <c r="AX6" s="36" t="s">
        <v>189</v>
      </c>
      <c r="AZ6" s="54" t="s">
        <v>206</v>
      </c>
      <c r="BA6" s="54" t="s">
        <v>190</v>
      </c>
      <c r="BC6" s="62" t="s">
        <v>104</v>
      </c>
      <c r="BD6" s="62">
        <v>33.4</v>
      </c>
      <c r="BG6" t="s">
        <v>573</v>
      </c>
    </row>
    <row r="7" spans="1:59" ht="64" thickBot="1" x14ac:dyDescent="0.4">
      <c r="A7" s="47" t="s">
        <v>25</v>
      </c>
      <c r="B7" s="37" t="s">
        <v>222</v>
      </c>
      <c r="D7" s="37" t="s">
        <v>574</v>
      </c>
      <c r="E7" s="37"/>
      <c r="F7" s="37"/>
      <c r="G7" s="37"/>
      <c r="H7" s="37"/>
      <c r="I7" s="37"/>
      <c r="J7" s="37"/>
      <c r="K7" s="37"/>
      <c r="L7" s="37"/>
      <c r="M7" s="37"/>
      <c r="N7" s="55" t="s">
        <v>575</v>
      </c>
      <c r="O7" s="37" t="s">
        <v>576</v>
      </c>
      <c r="P7" s="37" t="s">
        <v>577</v>
      </c>
      <c r="Q7" s="37" t="s">
        <v>250</v>
      </c>
      <c r="R7" s="37"/>
      <c r="S7" s="37" t="s">
        <v>578</v>
      </c>
      <c r="T7" s="37"/>
      <c r="U7" s="37"/>
      <c r="V7" s="37"/>
      <c r="W7" s="37" t="s">
        <v>244</v>
      </c>
      <c r="X7" s="37"/>
      <c r="Y7" s="37"/>
      <c r="Z7" s="37" t="s">
        <v>278</v>
      </c>
      <c r="AA7" s="37"/>
      <c r="AB7" s="37"/>
      <c r="AC7" s="37" t="s">
        <v>579</v>
      </c>
      <c r="AD7" s="37"/>
      <c r="AE7" s="37" t="s">
        <v>290</v>
      </c>
      <c r="AF7" s="37" t="s">
        <v>290</v>
      </c>
      <c r="AG7" s="37" t="s">
        <v>290</v>
      </c>
      <c r="AH7" s="37" t="s">
        <v>290</v>
      </c>
      <c r="AI7" s="37" t="s">
        <v>580</v>
      </c>
      <c r="AJ7" s="37" t="s">
        <v>580</v>
      </c>
      <c r="AK7" s="37" t="s">
        <v>580</v>
      </c>
      <c r="AL7" s="37" t="s">
        <v>581</v>
      </c>
      <c r="AM7" s="37" t="s">
        <v>581</v>
      </c>
      <c r="AN7" s="37" t="s">
        <v>581</v>
      </c>
      <c r="AO7" s="37" t="s">
        <v>581</v>
      </c>
      <c r="AP7" s="37"/>
      <c r="AQ7" s="37"/>
      <c r="AR7" s="37"/>
      <c r="AS7" s="37"/>
      <c r="AT7" s="37"/>
      <c r="AU7" s="37"/>
      <c r="AV7" s="37"/>
      <c r="AW7" s="37"/>
      <c r="AX7" s="36" t="s">
        <v>139</v>
      </c>
      <c r="AZ7" s="54" t="s">
        <v>582</v>
      </c>
      <c r="BA7" s="53" t="s">
        <v>160</v>
      </c>
      <c r="BC7" s="62" t="s">
        <v>106</v>
      </c>
      <c r="BD7" s="62">
        <v>39.200000000000003</v>
      </c>
      <c r="BG7" t="s">
        <v>583</v>
      </c>
    </row>
    <row r="8" spans="1:59" ht="64" thickBot="1" x14ac:dyDescent="0.4">
      <c r="A8" s="51" t="s">
        <v>186</v>
      </c>
      <c r="B8" s="37" t="s">
        <v>168</v>
      </c>
      <c r="D8" s="37"/>
      <c r="E8" s="37"/>
      <c r="F8" s="37"/>
      <c r="G8" s="37"/>
      <c r="H8" s="37"/>
      <c r="I8" s="37"/>
      <c r="J8" s="37"/>
      <c r="K8" s="37"/>
      <c r="L8" s="37"/>
      <c r="M8" s="37"/>
      <c r="N8" s="37" t="s">
        <v>584</v>
      </c>
      <c r="O8" s="37" t="s">
        <v>209</v>
      </c>
      <c r="P8" s="37" t="s">
        <v>585</v>
      </c>
      <c r="Q8" s="37" t="s">
        <v>249</v>
      </c>
      <c r="R8" s="37"/>
      <c r="S8" s="37" t="s">
        <v>586</v>
      </c>
      <c r="T8" s="37"/>
      <c r="U8" s="37"/>
      <c r="V8" s="37"/>
      <c r="W8" s="37"/>
      <c r="X8" s="37"/>
      <c r="Y8" s="37"/>
      <c r="Z8" s="37"/>
      <c r="AA8" s="37"/>
      <c r="AB8" s="37"/>
      <c r="AC8" s="37" t="s">
        <v>587</v>
      </c>
      <c r="AD8" s="37"/>
      <c r="AE8" s="37" t="s">
        <v>588</v>
      </c>
      <c r="AF8" s="37" t="s">
        <v>588</v>
      </c>
      <c r="AG8" s="37" t="s">
        <v>588</v>
      </c>
      <c r="AH8" s="37" t="s">
        <v>588</v>
      </c>
      <c r="AI8" s="37" t="s">
        <v>589</v>
      </c>
      <c r="AJ8" s="37" t="s">
        <v>589</v>
      </c>
      <c r="AK8" s="37" t="s">
        <v>589</v>
      </c>
      <c r="AL8" s="37" t="s">
        <v>290</v>
      </c>
      <c r="AM8" s="37" t="s">
        <v>290</v>
      </c>
      <c r="AN8" s="37" t="s">
        <v>290</v>
      </c>
      <c r="AO8" s="37" t="s">
        <v>290</v>
      </c>
      <c r="AP8" s="37"/>
      <c r="AQ8" s="37"/>
      <c r="AR8" s="37"/>
      <c r="AS8" s="37"/>
      <c r="AT8" s="37"/>
      <c r="AU8" s="37"/>
      <c r="AV8" s="37"/>
      <c r="AW8" s="37"/>
      <c r="AX8" s="36" t="s">
        <v>590</v>
      </c>
      <c r="AZ8" s="53" t="s">
        <v>265</v>
      </c>
      <c r="BC8" s="62" t="s">
        <v>108</v>
      </c>
      <c r="BD8" s="62">
        <v>34.200000000000003</v>
      </c>
      <c r="BG8" t="s">
        <v>591</v>
      </c>
    </row>
    <row r="9" spans="1:59" ht="64" thickBot="1" x14ac:dyDescent="0.4">
      <c r="A9" s="51" t="s">
        <v>592</v>
      </c>
      <c r="B9" s="52" t="s">
        <v>495</v>
      </c>
      <c r="D9" s="37"/>
      <c r="E9" s="37"/>
      <c r="F9" s="37"/>
      <c r="G9" s="37"/>
      <c r="H9" s="37"/>
      <c r="I9" s="37"/>
      <c r="J9" s="37"/>
      <c r="K9" s="37"/>
      <c r="L9" s="37"/>
      <c r="M9" s="37"/>
      <c r="N9" s="37" t="s">
        <v>247</v>
      </c>
      <c r="O9" s="37" t="s">
        <v>593</v>
      </c>
      <c r="P9" s="37" t="s">
        <v>594</v>
      </c>
      <c r="Q9" s="37" t="s">
        <v>288</v>
      </c>
      <c r="R9" s="37"/>
      <c r="S9" s="37" t="s">
        <v>595</v>
      </c>
      <c r="T9" s="37"/>
      <c r="U9" s="37"/>
      <c r="V9" s="37"/>
      <c r="W9" s="37"/>
      <c r="X9" s="37"/>
      <c r="Y9" s="37"/>
      <c r="Z9" s="37"/>
      <c r="AA9" s="37"/>
      <c r="AB9" s="37"/>
      <c r="AC9" s="37" t="s">
        <v>276</v>
      </c>
      <c r="AD9" s="37"/>
      <c r="AE9" s="37" t="s">
        <v>596</v>
      </c>
      <c r="AF9" s="37" t="s">
        <v>596</v>
      </c>
      <c r="AG9" s="37" t="s">
        <v>596</v>
      </c>
      <c r="AH9" s="37" t="s">
        <v>596</v>
      </c>
      <c r="AI9" s="37" t="s">
        <v>262</v>
      </c>
      <c r="AJ9" s="37"/>
      <c r="AK9" s="37"/>
      <c r="AL9" s="37" t="s">
        <v>293</v>
      </c>
      <c r="AM9" s="37" t="s">
        <v>293</v>
      </c>
      <c r="AN9" s="37" t="s">
        <v>293</v>
      </c>
      <c r="AO9" s="37" t="s">
        <v>293</v>
      </c>
      <c r="AP9" s="37"/>
      <c r="AQ9" s="37"/>
      <c r="AR9" s="37"/>
      <c r="AS9" s="37"/>
      <c r="AT9" s="37"/>
      <c r="AU9" s="37"/>
      <c r="AV9" s="37"/>
      <c r="AW9" s="37"/>
      <c r="AX9" s="36" t="s">
        <v>597</v>
      </c>
      <c r="BC9" s="62" t="s">
        <v>598</v>
      </c>
      <c r="BD9" s="62">
        <v>37.200000000000003</v>
      </c>
      <c r="BG9" t="s">
        <v>599</v>
      </c>
    </row>
    <row r="10" spans="1:59" ht="39" thickBot="1" x14ac:dyDescent="0.4">
      <c r="A10" s="51" t="s">
        <v>161</v>
      </c>
      <c r="B10" s="52" t="s">
        <v>183</v>
      </c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 t="s">
        <v>600</v>
      </c>
      <c r="O10" s="37"/>
      <c r="P10" s="37" t="s">
        <v>270</v>
      </c>
      <c r="Q10" s="37" t="s">
        <v>601</v>
      </c>
      <c r="R10" s="37"/>
      <c r="S10" s="37" t="s">
        <v>602</v>
      </c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46"/>
      <c r="AE10" s="46" t="s">
        <v>603</v>
      </c>
      <c r="AF10" s="46" t="s">
        <v>603</v>
      </c>
      <c r="AG10" s="46" t="s">
        <v>603</v>
      </c>
      <c r="AH10" s="46" t="s">
        <v>603</v>
      </c>
      <c r="AI10" s="37" t="s">
        <v>24</v>
      </c>
      <c r="AJ10" s="37" t="s">
        <v>24</v>
      </c>
      <c r="AK10" s="37" t="s">
        <v>24</v>
      </c>
      <c r="AL10" s="37" t="s">
        <v>285</v>
      </c>
      <c r="AM10" s="37" t="s">
        <v>285</v>
      </c>
      <c r="AN10" s="37" t="s">
        <v>285</v>
      </c>
      <c r="AO10" s="37" t="s">
        <v>285</v>
      </c>
      <c r="AP10" s="37"/>
      <c r="AQ10" s="37"/>
      <c r="AR10" s="37"/>
      <c r="AS10" s="37"/>
      <c r="AT10" s="37"/>
      <c r="AU10" s="37"/>
      <c r="AV10" s="37"/>
      <c r="AW10" s="37"/>
      <c r="AX10" s="36" t="s">
        <v>119</v>
      </c>
      <c r="BC10" s="62" t="s">
        <v>604</v>
      </c>
      <c r="BD10" s="62">
        <v>33.200000000000003</v>
      </c>
    </row>
    <row r="11" spans="1:59" ht="64" thickBot="1" x14ac:dyDescent="0.4">
      <c r="A11" s="47" t="s">
        <v>226</v>
      </c>
      <c r="B11" s="52" t="s">
        <v>266</v>
      </c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 t="s">
        <v>605</v>
      </c>
      <c r="O11" s="37"/>
      <c r="P11" s="37" t="s">
        <v>606</v>
      </c>
      <c r="Q11" s="37"/>
      <c r="R11" s="37"/>
      <c r="S11" s="37" t="s">
        <v>246</v>
      </c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 t="s">
        <v>607</v>
      </c>
      <c r="AF11" s="37" t="s">
        <v>607</v>
      </c>
      <c r="AG11" s="37" t="s">
        <v>607</v>
      </c>
      <c r="AH11" s="37" t="s">
        <v>607</v>
      </c>
      <c r="AI11" s="37" t="s">
        <v>326</v>
      </c>
      <c r="AJ11" s="37" t="s">
        <v>326</v>
      </c>
      <c r="AK11" s="37" t="s">
        <v>326</v>
      </c>
      <c r="AL11" s="37" t="s">
        <v>329</v>
      </c>
      <c r="AM11" s="37" t="s">
        <v>329</v>
      </c>
      <c r="AN11" s="37" t="s">
        <v>329</v>
      </c>
      <c r="AO11" s="37" t="s">
        <v>329</v>
      </c>
      <c r="AP11" s="37"/>
      <c r="AQ11" s="37"/>
      <c r="AR11" s="37"/>
      <c r="AS11" s="37"/>
      <c r="AT11" s="37"/>
      <c r="AU11" s="37"/>
      <c r="AV11" s="37"/>
      <c r="AW11" s="37"/>
      <c r="AX11" s="36" t="s">
        <v>120</v>
      </c>
      <c r="BC11" s="62" t="s">
        <v>109</v>
      </c>
      <c r="BD11" s="62">
        <v>24.5</v>
      </c>
    </row>
    <row r="12" spans="1:59" ht="51.5" thickBot="1" x14ac:dyDescent="0.4">
      <c r="A12" s="51" t="s">
        <v>29</v>
      </c>
      <c r="B12" s="297" t="s">
        <v>496</v>
      </c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 t="s">
        <v>608</v>
      </c>
      <c r="O12" s="37"/>
      <c r="P12" s="37" t="s">
        <v>192</v>
      </c>
      <c r="Q12" s="37"/>
      <c r="R12" s="37"/>
      <c r="S12" s="37" t="s">
        <v>609</v>
      </c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 t="s">
        <v>610</v>
      </c>
      <c r="AF12" s="37" t="s">
        <v>610</v>
      </c>
      <c r="AG12" s="37" t="s">
        <v>610</v>
      </c>
      <c r="AH12" s="37" t="s">
        <v>610</v>
      </c>
      <c r="AI12" s="37"/>
      <c r="AJ12" s="37"/>
      <c r="AK12" s="37"/>
      <c r="AL12" s="37" t="s">
        <v>611</v>
      </c>
      <c r="AM12" s="37" t="s">
        <v>611</v>
      </c>
      <c r="AN12" s="37" t="s">
        <v>611</v>
      </c>
      <c r="AO12" s="37" t="s">
        <v>611</v>
      </c>
      <c r="AP12" s="37"/>
      <c r="AQ12" s="37"/>
      <c r="AR12" s="37"/>
      <c r="AS12" s="37"/>
      <c r="AT12" s="37"/>
      <c r="AU12" s="37"/>
      <c r="AV12" s="37"/>
      <c r="AW12" s="37"/>
      <c r="AX12" s="36" t="s">
        <v>118</v>
      </c>
      <c r="BC12" s="62" t="s">
        <v>111</v>
      </c>
      <c r="BD12" s="62">
        <v>24.5</v>
      </c>
    </row>
    <row r="13" spans="1:59" ht="64" thickBot="1" x14ac:dyDescent="0.4">
      <c r="A13" s="47" t="s">
        <v>22</v>
      </c>
      <c r="B13" s="50" t="s">
        <v>137</v>
      </c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 t="s">
        <v>273</v>
      </c>
      <c r="O13" s="37"/>
      <c r="P13" s="37" t="s">
        <v>221</v>
      </c>
      <c r="Q13" s="37"/>
      <c r="R13" s="37"/>
      <c r="S13" s="37" t="s">
        <v>612</v>
      </c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 t="s">
        <v>194</v>
      </c>
      <c r="AF13" s="37" t="s">
        <v>194</v>
      </c>
      <c r="AG13" s="37" t="s">
        <v>194</v>
      </c>
      <c r="AH13" s="37" t="s">
        <v>194</v>
      </c>
      <c r="AI13" s="37"/>
      <c r="AJ13" s="37"/>
      <c r="AK13" s="37"/>
      <c r="AL13" s="37" t="s">
        <v>327</v>
      </c>
      <c r="AM13" s="37" t="s">
        <v>327</v>
      </c>
      <c r="AN13" s="37" t="s">
        <v>327</v>
      </c>
      <c r="AO13" s="37" t="s">
        <v>327</v>
      </c>
      <c r="AP13" s="37"/>
      <c r="AQ13" s="37"/>
      <c r="AR13" s="37"/>
      <c r="AS13" s="37"/>
      <c r="AT13" s="37"/>
      <c r="AU13" s="37"/>
      <c r="AV13" s="37"/>
      <c r="AW13" s="37"/>
      <c r="AX13" s="36" t="s">
        <v>613</v>
      </c>
      <c r="BC13" s="62" t="s">
        <v>110</v>
      </c>
      <c r="BD13" s="62">
        <v>20.9</v>
      </c>
    </row>
    <row r="14" spans="1:59" ht="51.5" thickBot="1" x14ac:dyDescent="0.4">
      <c r="A14" s="47" t="s">
        <v>33</v>
      </c>
      <c r="B14" s="42" t="s">
        <v>130</v>
      </c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 t="s">
        <v>614</v>
      </c>
      <c r="O14" s="37"/>
      <c r="P14" s="37" t="s">
        <v>615</v>
      </c>
      <c r="Q14" s="37"/>
      <c r="R14" s="37"/>
      <c r="S14" s="37" t="s">
        <v>616</v>
      </c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 t="s">
        <v>617</v>
      </c>
      <c r="AF14" s="37" t="s">
        <v>617</v>
      </c>
      <c r="AG14" s="37" t="s">
        <v>617</v>
      </c>
      <c r="AH14" s="37" t="s">
        <v>617</v>
      </c>
      <c r="AI14" s="37"/>
      <c r="AJ14" s="37"/>
      <c r="AK14" s="37"/>
      <c r="AL14" s="37" t="s">
        <v>618</v>
      </c>
      <c r="AM14" s="37" t="s">
        <v>618</v>
      </c>
      <c r="AN14" s="37" t="s">
        <v>618</v>
      </c>
      <c r="AO14" s="37" t="s">
        <v>618</v>
      </c>
      <c r="AP14" s="37"/>
      <c r="AQ14" s="37"/>
      <c r="AR14" s="37"/>
      <c r="AS14" s="37"/>
      <c r="AT14" s="37"/>
      <c r="AU14" s="37"/>
      <c r="AV14" s="37"/>
      <c r="AW14" s="49"/>
      <c r="AX14" s="48" t="s">
        <v>619</v>
      </c>
      <c r="BC14" s="62"/>
      <c r="BD14" s="62"/>
    </row>
    <row r="15" spans="1:59" ht="51.5" thickBot="1" x14ac:dyDescent="0.4">
      <c r="A15" s="47" t="s">
        <v>620</v>
      </c>
      <c r="B15" s="297" t="s">
        <v>352</v>
      </c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 t="s">
        <v>621</v>
      </c>
      <c r="O15" s="37"/>
      <c r="P15" s="37" t="s">
        <v>622</v>
      </c>
      <c r="Q15" s="37"/>
      <c r="R15" s="37"/>
      <c r="S15" s="37" t="s">
        <v>623</v>
      </c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 t="s">
        <v>624</v>
      </c>
      <c r="AF15" s="37" t="s">
        <v>624</v>
      </c>
      <c r="AG15" s="37" t="s">
        <v>624</v>
      </c>
      <c r="AH15" s="37" t="s">
        <v>624</v>
      </c>
      <c r="AI15" s="37"/>
      <c r="AJ15" s="37"/>
      <c r="AK15" s="37"/>
      <c r="AL15" s="37" t="s">
        <v>281</v>
      </c>
      <c r="AM15" s="37" t="s">
        <v>281</v>
      </c>
      <c r="AN15" s="37" t="s">
        <v>281</v>
      </c>
      <c r="AO15" s="37" t="s">
        <v>281</v>
      </c>
      <c r="AP15" s="37"/>
      <c r="AQ15" s="37"/>
      <c r="AR15" s="37"/>
      <c r="AS15" s="37"/>
      <c r="AT15" s="37"/>
      <c r="AU15" s="37"/>
      <c r="AV15" s="37"/>
      <c r="AW15" s="37"/>
      <c r="AX15" s="36" t="s">
        <v>198</v>
      </c>
      <c r="BC15" s="62"/>
      <c r="BD15" s="62"/>
    </row>
    <row r="16" spans="1:59" ht="39" thickBot="1" x14ac:dyDescent="0.4">
      <c r="A16" s="47" t="s">
        <v>18</v>
      </c>
      <c r="B16" s="297" t="s">
        <v>497</v>
      </c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 t="s">
        <v>625</v>
      </c>
      <c r="O16" s="37"/>
      <c r="P16" s="37" t="s">
        <v>131</v>
      </c>
      <c r="Q16" s="37"/>
      <c r="R16" s="37"/>
      <c r="S16" s="37" t="s">
        <v>626</v>
      </c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6"/>
      <c r="AE16" s="43" t="s">
        <v>302</v>
      </c>
      <c r="AF16" s="43" t="s">
        <v>302</v>
      </c>
      <c r="AG16" s="43" t="s">
        <v>302</v>
      </c>
      <c r="AH16" s="43" t="s">
        <v>302</v>
      </c>
      <c r="AI16" s="37"/>
      <c r="AJ16" s="37"/>
      <c r="AK16" s="37"/>
      <c r="AL16" s="37" t="s">
        <v>35</v>
      </c>
      <c r="AM16" s="37" t="s">
        <v>35</v>
      </c>
      <c r="AN16" s="37" t="s">
        <v>35</v>
      </c>
      <c r="AO16" s="37" t="s">
        <v>35</v>
      </c>
      <c r="AP16" s="37"/>
      <c r="AQ16" s="37"/>
      <c r="AR16" s="37"/>
      <c r="AS16" s="37"/>
      <c r="AT16" s="37"/>
      <c r="AU16" s="37"/>
      <c r="AV16" s="37"/>
      <c r="AW16" s="37"/>
      <c r="AX16" s="36" t="s">
        <v>627</v>
      </c>
    </row>
    <row r="17" spans="1:50" ht="51.5" thickBot="1" x14ac:dyDescent="0.4">
      <c r="A17" s="47" t="s">
        <v>115</v>
      </c>
      <c r="B17" s="39" t="s">
        <v>187</v>
      </c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 t="s">
        <v>628</v>
      </c>
      <c r="O17" s="37"/>
      <c r="P17" s="37"/>
      <c r="Q17" s="37"/>
      <c r="R17" s="37"/>
      <c r="S17" s="37" t="s">
        <v>629</v>
      </c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6"/>
      <c r="AE17" s="43" t="s">
        <v>297</v>
      </c>
      <c r="AF17" s="43" t="s">
        <v>297</v>
      </c>
      <c r="AG17" s="43" t="s">
        <v>297</v>
      </c>
      <c r="AH17" s="43" t="s">
        <v>297</v>
      </c>
      <c r="AI17" s="37"/>
      <c r="AJ17" s="37"/>
      <c r="AK17" s="37"/>
      <c r="AL17" s="37" t="s">
        <v>630</v>
      </c>
      <c r="AM17" s="37" t="s">
        <v>630</v>
      </c>
      <c r="AN17" s="37" t="s">
        <v>630</v>
      </c>
      <c r="AO17" s="37" t="s">
        <v>630</v>
      </c>
      <c r="AP17" s="37"/>
      <c r="AQ17" s="37"/>
      <c r="AR17" s="37"/>
      <c r="AS17" s="37"/>
      <c r="AT17" s="37"/>
      <c r="AU17" s="37"/>
      <c r="AV17" s="37"/>
      <c r="AW17" s="37"/>
      <c r="AX17" s="36" t="s">
        <v>631</v>
      </c>
    </row>
    <row r="18" spans="1:50" ht="64" thickBot="1" x14ac:dyDescent="0.4">
      <c r="B18" s="39" t="s">
        <v>498</v>
      </c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 t="s">
        <v>210</v>
      </c>
      <c r="O18" s="37"/>
      <c r="P18" s="37"/>
      <c r="Q18" s="37"/>
      <c r="R18" s="37"/>
      <c r="S18" s="37" t="s">
        <v>271</v>
      </c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6"/>
      <c r="AE18" s="43" t="s">
        <v>332</v>
      </c>
      <c r="AF18" s="43" t="s">
        <v>332</v>
      </c>
      <c r="AG18" s="43" t="s">
        <v>332</v>
      </c>
      <c r="AH18" s="43" t="s">
        <v>332</v>
      </c>
      <c r="AI18" s="37"/>
      <c r="AJ18" s="37"/>
      <c r="AK18" s="37"/>
      <c r="AL18" s="37" t="s">
        <v>196</v>
      </c>
      <c r="AM18" s="37" t="s">
        <v>196</v>
      </c>
      <c r="AN18" s="37" t="s">
        <v>196</v>
      </c>
      <c r="AO18" s="37" t="s">
        <v>196</v>
      </c>
      <c r="AP18" s="37"/>
      <c r="AQ18" s="37"/>
      <c r="AR18" s="37"/>
      <c r="AS18" s="37"/>
      <c r="AT18" s="37"/>
      <c r="AU18" s="37"/>
      <c r="AV18" s="37"/>
      <c r="AW18" s="37"/>
      <c r="AX18" s="36"/>
    </row>
    <row r="19" spans="1:50" ht="51.5" thickBot="1" x14ac:dyDescent="0.4">
      <c r="B19" s="42" t="s">
        <v>499</v>
      </c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 t="s">
        <v>242</v>
      </c>
      <c r="O19" s="37"/>
      <c r="P19" s="37"/>
      <c r="Q19" s="37"/>
      <c r="R19" s="37"/>
      <c r="S19" s="37" t="s">
        <v>632</v>
      </c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 t="s">
        <v>203</v>
      </c>
      <c r="AF19" s="37" t="s">
        <v>203</v>
      </c>
      <c r="AG19" s="37" t="s">
        <v>203</v>
      </c>
      <c r="AH19" s="37" t="s">
        <v>203</v>
      </c>
      <c r="AI19" s="37"/>
      <c r="AJ19" s="37"/>
      <c r="AK19" s="37"/>
      <c r="AL19" s="37" t="s">
        <v>633</v>
      </c>
      <c r="AM19" s="37" t="s">
        <v>633</v>
      </c>
      <c r="AN19" s="37" t="s">
        <v>633</v>
      </c>
      <c r="AO19" s="37" t="s">
        <v>633</v>
      </c>
      <c r="AP19" s="37"/>
      <c r="AQ19" s="37"/>
      <c r="AR19" s="37"/>
      <c r="AS19" s="37"/>
      <c r="AT19" s="37"/>
      <c r="AU19" s="37"/>
      <c r="AV19" s="37"/>
      <c r="AW19" s="37"/>
      <c r="AX19" s="36"/>
    </row>
    <row r="20" spans="1:50" ht="76.5" thickBot="1" x14ac:dyDescent="0.4">
      <c r="B20" s="42" t="s">
        <v>634</v>
      </c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 t="s">
        <v>635</v>
      </c>
      <c r="O20" s="37"/>
      <c r="P20" s="37"/>
      <c r="Q20" s="37"/>
      <c r="R20" s="37"/>
      <c r="S20" s="46" t="s">
        <v>636</v>
      </c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6"/>
      <c r="AE20" s="43" t="s">
        <v>637</v>
      </c>
      <c r="AF20" s="43" t="s">
        <v>637</v>
      </c>
      <c r="AG20" s="43" t="s">
        <v>637</v>
      </c>
      <c r="AH20" s="43" t="s">
        <v>637</v>
      </c>
      <c r="AI20" s="37"/>
      <c r="AJ20" s="37"/>
      <c r="AK20" s="37"/>
      <c r="AL20" s="45" t="s">
        <v>333</v>
      </c>
      <c r="AM20" s="45" t="s">
        <v>333</v>
      </c>
      <c r="AN20" s="45" t="s">
        <v>333</v>
      </c>
      <c r="AO20" s="45" t="s">
        <v>333</v>
      </c>
      <c r="AP20" s="37"/>
      <c r="AQ20" s="37"/>
      <c r="AR20" s="37"/>
      <c r="AS20" s="37"/>
      <c r="AT20" s="37"/>
      <c r="AU20" s="37"/>
      <c r="AV20" s="37"/>
      <c r="AW20" s="37"/>
      <c r="AX20" s="36"/>
    </row>
    <row r="21" spans="1:50" ht="38" thickBot="1" x14ac:dyDescent="0.4">
      <c r="B21" s="44" t="s">
        <v>162</v>
      </c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 t="s">
        <v>638</v>
      </c>
      <c r="O21" s="37"/>
      <c r="P21" s="37"/>
      <c r="Q21" s="37"/>
      <c r="R21" s="37"/>
      <c r="S21" s="37" t="s">
        <v>639</v>
      </c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6"/>
      <c r="AE21" s="43" t="s">
        <v>334</v>
      </c>
      <c r="AF21" s="43" t="s">
        <v>334</v>
      </c>
      <c r="AG21" s="43" t="s">
        <v>334</v>
      </c>
      <c r="AH21" s="43" t="s">
        <v>334</v>
      </c>
      <c r="AI21" s="37"/>
      <c r="AJ21" s="37"/>
      <c r="AK21" s="37"/>
      <c r="AL21" s="43" t="s">
        <v>640</v>
      </c>
      <c r="AM21" s="43" t="s">
        <v>640</v>
      </c>
      <c r="AN21" s="43" t="s">
        <v>640</v>
      </c>
      <c r="AO21" s="43" t="s">
        <v>640</v>
      </c>
      <c r="AP21" s="37"/>
      <c r="AQ21" s="37"/>
      <c r="AR21" s="37"/>
      <c r="AS21" s="37"/>
      <c r="AT21" s="37"/>
      <c r="AU21" s="37"/>
      <c r="AV21" s="37"/>
      <c r="AW21" s="37"/>
      <c r="AX21" s="36"/>
    </row>
    <row r="22" spans="1:50" ht="38" thickBot="1" x14ac:dyDescent="0.4">
      <c r="B22" s="44" t="s">
        <v>350</v>
      </c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 t="s">
        <v>72</v>
      </c>
      <c r="O22" s="37"/>
      <c r="P22" s="37"/>
      <c r="Q22" s="37"/>
      <c r="R22" s="37"/>
      <c r="S22" s="37" t="s">
        <v>188</v>
      </c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6"/>
      <c r="AE22" s="43" t="s">
        <v>258</v>
      </c>
      <c r="AF22" s="43" t="s">
        <v>258</v>
      </c>
      <c r="AG22" s="43" t="s">
        <v>258</v>
      </c>
      <c r="AH22" s="43" t="s">
        <v>258</v>
      </c>
      <c r="AI22" s="37"/>
      <c r="AJ22" s="37"/>
      <c r="AK22" s="37"/>
      <c r="AL22" s="43" t="s">
        <v>312</v>
      </c>
      <c r="AM22" s="43" t="s">
        <v>312</v>
      </c>
      <c r="AN22" s="43" t="s">
        <v>312</v>
      </c>
      <c r="AO22" s="43" t="s">
        <v>312</v>
      </c>
      <c r="AP22" s="37"/>
      <c r="AQ22" s="37"/>
      <c r="AR22" s="37"/>
      <c r="AS22" s="37"/>
      <c r="AT22" s="37"/>
      <c r="AU22" s="37"/>
      <c r="AV22" s="37"/>
      <c r="AW22" s="37"/>
      <c r="AX22" s="36"/>
    </row>
    <row r="23" spans="1:50" ht="39" thickBot="1" x14ac:dyDescent="0.4">
      <c r="B23" s="42" t="s">
        <v>227</v>
      </c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 t="s">
        <v>641</v>
      </c>
      <c r="O23" s="37"/>
      <c r="P23" s="37"/>
      <c r="Q23" s="37"/>
      <c r="R23" s="37"/>
      <c r="S23" s="37" t="s">
        <v>642</v>
      </c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6"/>
      <c r="AE23" s="43" t="s">
        <v>300</v>
      </c>
      <c r="AF23" s="43" t="s">
        <v>300</v>
      </c>
      <c r="AG23" s="43" t="s">
        <v>300</v>
      </c>
      <c r="AH23" s="43" t="s">
        <v>300</v>
      </c>
      <c r="AI23" s="37"/>
      <c r="AJ23" s="37"/>
      <c r="AK23" s="37"/>
      <c r="AL23" s="43" t="s">
        <v>126</v>
      </c>
      <c r="AM23" s="43" t="s">
        <v>126</v>
      </c>
      <c r="AN23" s="43" t="s">
        <v>126</v>
      </c>
      <c r="AO23" s="43" t="s">
        <v>126</v>
      </c>
      <c r="AP23" s="37"/>
      <c r="AQ23" s="37"/>
      <c r="AR23" s="37"/>
      <c r="AS23" s="37"/>
      <c r="AT23" s="37"/>
      <c r="AU23" s="37"/>
      <c r="AV23" s="37"/>
      <c r="AW23" s="37"/>
      <c r="AX23" s="36"/>
    </row>
    <row r="24" spans="1:50" ht="39" thickBot="1" x14ac:dyDescent="0.4">
      <c r="B24" s="39" t="s">
        <v>165</v>
      </c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 t="s">
        <v>643</v>
      </c>
      <c r="O24" s="37"/>
      <c r="P24" s="37"/>
      <c r="Q24" s="37"/>
      <c r="R24" s="37"/>
      <c r="S24" s="37" t="s">
        <v>644</v>
      </c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6"/>
      <c r="AE24" s="43" t="s">
        <v>645</v>
      </c>
      <c r="AF24" s="43" t="s">
        <v>645</v>
      </c>
      <c r="AG24" s="43" t="s">
        <v>645</v>
      </c>
      <c r="AH24" s="43" t="s">
        <v>645</v>
      </c>
      <c r="AI24" s="37"/>
      <c r="AJ24" s="37"/>
      <c r="AK24" s="37"/>
      <c r="AL24" s="37" t="s">
        <v>72</v>
      </c>
      <c r="AM24" s="37" t="s">
        <v>72</v>
      </c>
      <c r="AN24" s="37" t="s">
        <v>72</v>
      </c>
      <c r="AO24" s="37" t="s">
        <v>72</v>
      </c>
      <c r="AP24" s="37"/>
      <c r="AQ24" s="37"/>
      <c r="AR24" s="37"/>
      <c r="AS24" s="37"/>
      <c r="AT24" s="37"/>
      <c r="AU24" s="37"/>
      <c r="AV24" s="37"/>
      <c r="AW24" s="37"/>
      <c r="AX24" s="36"/>
    </row>
    <row r="25" spans="1:50" ht="51.5" thickBot="1" x14ac:dyDescent="0.4">
      <c r="B25" s="39" t="s">
        <v>501</v>
      </c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 t="s">
        <v>144</v>
      </c>
      <c r="O25" s="37"/>
      <c r="P25" s="37"/>
      <c r="Q25" s="37"/>
      <c r="R25" s="37"/>
      <c r="S25" s="37" t="s">
        <v>646</v>
      </c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6"/>
      <c r="AE25" s="43" t="s">
        <v>343</v>
      </c>
      <c r="AF25" s="43" t="s">
        <v>343</v>
      </c>
      <c r="AG25" s="43" t="s">
        <v>343</v>
      </c>
      <c r="AH25" s="43" t="s">
        <v>343</v>
      </c>
      <c r="AI25" s="37"/>
      <c r="AJ25" s="37"/>
      <c r="AK25" s="37"/>
      <c r="AL25" s="37" t="s">
        <v>647</v>
      </c>
      <c r="AM25" s="37" t="s">
        <v>647</v>
      </c>
      <c r="AN25" s="37" t="s">
        <v>647</v>
      </c>
      <c r="AO25" s="37" t="s">
        <v>647</v>
      </c>
      <c r="AP25" s="37"/>
      <c r="AQ25" s="37"/>
      <c r="AR25" s="37"/>
      <c r="AS25" s="37"/>
      <c r="AT25" s="37"/>
      <c r="AU25" s="37"/>
      <c r="AV25" s="37"/>
      <c r="AW25" s="37"/>
      <c r="AX25" s="36"/>
    </row>
    <row r="26" spans="1:50" ht="51.5" thickBot="1" x14ac:dyDescent="0.4">
      <c r="B26" s="39" t="s">
        <v>502</v>
      </c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 t="s">
        <v>241</v>
      </c>
      <c r="O26" s="37"/>
      <c r="P26" s="37"/>
      <c r="Q26" s="37"/>
      <c r="R26" s="37"/>
      <c r="S26" s="37" t="s">
        <v>218</v>
      </c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 t="s">
        <v>648</v>
      </c>
      <c r="AF26" s="37" t="s">
        <v>648</v>
      </c>
      <c r="AG26" s="37" t="s">
        <v>648</v>
      </c>
      <c r="AH26" s="37" t="s">
        <v>648</v>
      </c>
      <c r="AI26" s="37"/>
      <c r="AJ26" s="37"/>
      <c r="AK26" s="37"/>
      <c r="AL26" s="37" t="s">
        <v>649</v>
      </c>
      <c r="AM26" s="37" t="s">
        <v>649</v>
      </c>
      <c r="AN26" s="37" t="s">
        <v>649</v>
      </c>
      <c r="AO26" s="37" t="s">
        <v>649</v>
      </c>
      <c r="AP26" s="37"/>
      <c r="AQ26" s="37"/>
      <c r="AR26" s="37"/>
      <c r="AS26" s="37"/>
      <c r="AT26" s="37"/>
      <c r="AU26" s="37"/>
      <c r="AV26" s="37"/>
      <c r="AW26" s="37"/>
      <c r="AX26" s="36"/>
    </row>
    <row r="27" spans="1:50" ht="51.5" thickBot="1" x14ac:dyDescent="0.4">
      <c r="B27" s="39" t="s">
        <v>30</v>
      </c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 t="s">
        <v>243</v>
      </c>
      <c r="O27" s="37"/>
      <c r="P27" s="37"/>
      <c r="Q27" s="37"/>
      <c r="R27" s="37"/>
      <c r="S27" s="37" t="s">
        <v>205</v>
      </c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 t="s">
        <v>269</v>
      </c>
      <c r="AF27" s="37" t="s">
        <v>269</v>
      </c>
      <c r="AG27" s="37" t="s">
        <v>269</v>
      </c>
      <c r="AH27" s="37" t="s">
        <v>269</v>
      </c>
      <c r="AI27" s="37"/>
      <c r="AJ27" s="37"/>
      <c r="AK27" s="37"/>
      <c r="AL27" s="37" t="s">
        <v>294</v>
      </c>
      <c r="AM27" s="37" t="s">
        <v>294</v>
      </c>
      <c r="AN27" s="37" t="s">
        <v>294</v>
      </c>
      <c r="AO27" s="37" t="s">
        <v>294</v>
      </c>
      <c r="AP27" s="37"/>
      <c r="AQ27" s="37"/>
      <c r="AR27" s="37"/>
      <c r="AS27" s="37"/>
      <c r="AT27" s="37"/>
      <c r="AU27" s="37"/>
      <c r="AV27" s="37"/>
      <c r="AW27" s="37"/>
      <c r="AX27" s="36"/>
    </row>
    <row r="28" spans="1:50" ht="64" thickBot="1" x14ac:dyDescent="0.4">
      <c r="B28" s="39" t="s">
        <v>121</v>
      </c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 t="s">
        <v>260</v>
      </c>
      <c r="O28" s="37"/>
      <c r="P28" s="37"/>
      <c r="Q28" s="37"/>
      <c r="R28" s="37"/>
      <c r="S28" s="37" t="s">
        <v>213</v>
      </c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 t="s">
        <v>650</v>
      </c>
      <c r="AF28" s="37" t="s">
        <v>650</v>
      </c>
      <c r="AG28" s="37" t="s">
        <v>650</v>
      </c>
      <c r="AH28" s="37" t="s">
        <v>650</v>
      </c>
      <c r="AI28" s="37"/>
      <c r="AJ28" s="37"/>
      <c r="AK28" s="37"/>
      <c r="AL28" s="37" t="s">
        <v>651</v>
      </c>
      <c r="AM28" s="37" t="s">
        <v>651</v>
      </c>
      <c r="AN28" s="37" t="s">
        <v>651</v>
      </c>
      <c r="AO28" s="37" t="s">
        <v>651</v>
      </c>
      <c r="AP28" s="37"/>
      <c r="AQ28" s="37"/>
      <c r="AR28" s="37"/>
      <c r="AS28" s="37"/>
      <c r="AT28" s="37"/>
      <c r="AU28" s="37"/>
      <c r="AV28" s="37"/>
      <c r="AW28" s="37"/>
      <c r="AX28" s="36"/>
    </row>
    <row r="29" spans="1:50" ht="39" thickBot="1" x14ac:dyDescent="0.4">
      <c r="B29" s="297" t="s">
        <v>295</v>
      </c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 t="s">
        <v>324</v>
      </c>
      <c r="O29" s="37"/>
      <c r="P29" s="37"/>
      <c r="Q29" s="37"/>
      <c r="R29" s="37"/>
      <c r="S29" s="37" t="s">
        <v>239</v>
      </c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 t="s">
        <v>652</v>
      </c>
      <c r="AF29" s="37" t="s">
        <v>652</v>
      </c>
      <c r="AG29" s="37" t="s">
        <v>652</v>
      </c>
      <c r="AH29" s="37" t="s">
        <v>652</v>
      </c>
      <c r="AI29" s="37"/>
      <c r="AJ29" s="37"/>
      <c r="AK29" s="37"/>
      <c r="AL29" s="37" t="s">
        <v>328</v>
      </c>
      <c r="AM29" s="37" t="s">
        <v>328</v>
      </c>
      <c r="AN29" s="37" t="s">
        <v>328</v>
      </c>
      <c r="AO29" s="37" t="s">
        <v>328</v>
      </c>
      <c r="AP29" s="37"/>
      <c r="AQ29" s="37"/>
      <c r="AR29" s="37"/>
      <c r="AS29" s="37"/>
      <c r="AT29" s="37"/>
      <c r="AU29" s="37"/>
      <c r="AV29" s="37"/>
      <c r="AW29" s="37"/>
      <c r="AX29" s="36"/>
    </row>
    <row r="30" spans="1:50" ht="51.5" thickBot="1" x14ac:dyDescent="0.4">
      <c r="B30" s="297" t="s">
        <v>299</v>
      </c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 t="s">
        <v>653</v>
      </c>
      <c r="AF30" s="37" t="s">
        <v>653</v>
      </c>
      <c r="AG30" s="37" t="s">
        <v>653</v>
      </c>
      <c r="AH30" s="37" t="s">
        <v>653</v>
      </c>
      <c r="AI30" s="37"/>
      <c r="AJ30" s="37"/>
      <c r="AK30" s="37"/>
      <c r="AL30" s="37" t="s">
        <v>654</v>
      </c>
      <c r="AM30" s="37" t="s">
        <v>654</v>
      </c>
      <c r="AN30" s="37" t="s">
        <v>654</v>
      </c>
      <c r="AO30" s="37" t="s">
        <v>654</v>
      </c>
      <c r="AP30" s="37"/>
      <c r="AQ30" s="37"/>
      <c r="AR30" s="37"/>
      <c r="AS30" s="37"/>
      <c r="AT30" s="37"/>
      <c r="AU30" s="37"/>
      <c r="AV30" s="37"/>
      <c r="AW30" s="37"/>
      <c r="AX30" s="36"/>
    </row>
    <row r="31" spans="1:50" ht="39" thickBot="1" x14ac:dyDescent="0.4">
      <c r="B31" s="297" t="s">
        <v>301</v>
      </c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 t="s">
        <v>655</v>
      </c>
      <c r="AF31" s="37" t="s">
        <v>655</v>
      </c>
      <c r="AG31" s="37" t="s">
        <v>655</v>
      </c>
      <c r="AH31" s="37" t="s">
        <v>655</v>
      </c>
      <c r="AI31" s="37"/>
      <c r="AJ31" s="37"/>
      <c r="AK31" s="37"/>
      <c r="AL31" s="43" t="s">
        <v>316</v>
      </c>
      <c r="AM31" s="43" t="s">
        <v>316</v>
      </c>
      <c r="AN31" s="43" t="s">
        <v>316</v>
      </c>
      <c r="AO31" s="43" t="s">
        <v>316</v>
      </c>
      <c r="AP31" s="37"/>
      <c r="AQ31" s="37"/>
      <c r="AR31" s="37"/>
      <c r="AS31" s="37"/>
      <c r="AT31" s="37"/>
      <c r="AU31" s="37"/>
      <c r="AV31" s="37"/>
      <c r="AW31" s="37"/>
      <c r="AX31" s="36"/>
    </row>
    <row r="32" spans="1:50" ht="51.5" thickBot="1" x14ac:dyDescent="0.4">
      <c r="B32" s="297" t="s">
        <v>303</v>
      </c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 t="s">
        <v>204</v>
      </c>
      <c r="AF32" s="37" t="s">
        <v>204</v>
      </c>
      <c r="AG32" s="37" t="s">
        <v>204</v>
      </c>
      <c r="AH32" s="37" t="s">
        <v>204</v>
      </c>
      <c r="AI32" s="37"/>
      <c r="AJ32" s="37"/>
      <c r="AK32" s="37"/>
      <c r="AL32" s="37" t="s">
        <v>656</v>
      </c>
      <c r="AM32" s="37" t="s">
        <v>656</v>
      </c>
      <c r="AN32" s="37" t="s">
        <v>656</v>
      </c>
      <c r="AO32" s="37" t="s">
        <v>656</v>
      </c>
      <c r="AP32" s="37"/>
      <c r="AQ32" s="37"/>
      <c r="AR32" s="37"/>
      <c r="AS32" s="37"/>
      <c r="AT32" s="37"/>
      <c r="AU32" s="37"/>
      <c r="AV32" s="37"/>
      <c r="AW32" s="37"/>
      <c r="AX32" s="36"/>
    </row>
    <row r="33" spans="2:50" ht="39" thickBot="1" x14ac:dyDescent="0.4">
      <c r="B33" s="297" t="s">
        <v>305</v>
      </c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 t="s">
        <v>72</v>
      </c>
      <c r="AF33" s="37" t="s">
        <v>72</v>
      </c>
      <c r="AG33" s="37" t="s">
        <v>72</v>
      </c>
      <c r="AH33" s="37" t="s">
        <v>72</v>
      </c>
      <c r="AI33" s="37"/>
      <c r="AJ33" s="37"/>
      <c r="AK33" s="37"/>
      <c r="AL33" s="43" t="s">
        <v>333</v>
      </c>
      <c r="AM33" s="43" t="s">
        <v>333</v>
      </c>
      <c r="AN33" s="43" t="s">
        <v>333</v>
      </c>
      <c r="AO33" s="43" t="s">
        <v>333</v>
      </c>
      <c r="AP33" s="37"/>
      <c r="AQ33" s="37"/>
      <c r="AR33" s="37"/>
      <c r="AS33" s="37"/>
      <c r="AT33" s="37"/>
      <c r="AU33" s="37"/>
      <c r="AV33" s="37"/>
      <c r="AW33" s="37"/>
      <c r="AX33" s="36"/>
    </row>
    <row r="34" spans="2:50" ht="51.5" thickBot="1" x14ac:dyDescent="0.4">
      <c r="B34" s="297" t="s">
        <v>309</v>
      </c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 t="s">
        <v>267</v>
      </c>
      <c r="AF34" s="37" t="s">
        <v>267</v>
      </c>
      <c r="AG34" s="37" t="s">
        <v>267</v>
      </c>
      <c r="AH34" s="37" t="s">
        <v>267</v>
      </c>
      <c r="AI34" s="37"/>
      <c r="AJ34" s="37"/>
      <c r="AK34" s="37"/>
      <c r="AL34" s="43" t="s">
        <v>256</v>
      </c>
      <c r="AM34" s="43" t="s">
        <v>256</v>
      </c>
      <c r="AN34" s="43" t="s">
        <v>256</v>
      </c>
      <c r="AO34" s="43" t="s">
        <v>256</v>
      </c>
      <c r="AP34" s="37"/>
      <c r="AQ34" s="37"/>
      <c r="AR34" s="37"/>
      <c r="AS34" s="37"/>
      <c r="AT34" s="37"/>
      <c r="AU34" s="37"/>
      <c r="AV34" s="37"/>
      <c r="AW34" s="37"/>
      <c r="AX34" s="36"/>
    </row>
    <row r="35" spans="2:50" ht="39" thickBot="1" x14ac:dyDescent="0.4">
      <c r="B35" s="297" t="s">
        <v>504</v>
      </c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 t="s">
        <v>268</v>
      </c>
      <c r="AF35" s="37" t="s">
        <v>268</v>
      </c>
      <c r="AG35" s="37" t="s">
        <v>268</v>
      </c>
      <c r="AH35" s="37" t="s">
        <v>268</v>
      </c>
      <c r="AI35" s="37"/>
      <c r="AJ35" s="37"/>
      <c r="AK35" s="37"/>
      <c r="AL35" s="43" t="s">
        <v>657</v>
      </c>
      <c r="AM35" s="43" t="s">
        <v>657</v>
      </c>
      <c r="AN35" s="43" t="s">
        <v>657</v>
      </c>
      <c r="AO35" s="43" t="s">
        <v>657</v>
      </c>
      <c r="AP35" s="37"/>
      <c r="AQ35" s="37"/>
      <c r="AR35" s="37"/>
      <c r="AS35" s="37"/>
      <c r="AT35" s="37"/>
      <c r="AU35" s="37"/>
      <c r="AV35" s="37"/>
      <c r="AW35" s="37"/>
      <c r="AX35" s="36"/>
    </row>
    <row r="36" spans="2:50" ht="29" thickBot="1" x14ac:dyDescent="0.4">
      <c r="B36" s="297" t="s">
        <v>310</v>
      </c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43" t="s">
        <v>658</v>
      </c>
      <c r="AM36" s="43" t="s">
        <v>658</v>
      </c>
      <c r="AN36" s="43" t="s">
        <v>658</v>
      </c>
      <c r="AO36" s="43" t="s">
        <v>658</v>
      </c>
      <c r="AP36" s="37"/>
      <c r="AQ36" s="37"/>
      <c r="AR36" s="37"/>
      <c r="AS36" s="37"/>
      <c r="AT36" s="37"/>
      <c r="AU36" s="37"/>
      <c r="AV36" s="37"/>
      <c r="AW36" s="37"/>
      <c r="AX36" s="36"/>
    </row>
    <row r="37" spans="2:50" ht="51.5" thickBot="1" x14ac:dyDescent="0.4">
      <c r="B37" s="297" t="s">
        <v>313</v>
      </c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 t="s">
        <v>659</v>
      </c>
      <c r="AM37" s="37" t="s">
        <v>659</v>
      </c>
      <c r="AN37" s="37" t="s">
        <v>659</v>
      </c>
      <c r="AO37" s="37" t="s">
        <v>659</v>
      </c>
      <c r="AP37" s="37"/>
      <c r="AQ37" s="37"/>
      <c r="AR37" s="37"/>
      <c r="AS37" s="37"/>
      <c r="AT37" s="37"/>
      <c r="AU37" s="37"/>
      <c r="AV37" s="37"/>
      <c r="AW37" s="37"/>
      <c r="AX37" s="36"/>
    </row>
    <row r="38" spans="2:50" ht="51.5" thickBot="1" x14ac:dyDescent="0.4">
      <c r="B38" s="297" t="s">
        <v>314</v>
      </c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 t="s">
        <v>660</v>
      </c>
      <c r="AM38" s="37" t="s">
        <v>660</v>
      </c>
      <c r="AN38" s="37" t="s">
        <v>660</v>
      </c>
      <c r="AO38" s="37" t="s">
        <v>660</v>
      </c>
      <c r="AP38" s="37"/>
      <c r="AQ38" s="37"/>
      <c r="AR38" s="37"/>
      <c r="AS38" s="37"/>
      <c r="AT38" s="37"/>
      <c r="AU38" s="37"/>
      <c r="AV38" s="37"/>
      <c r="AW38" s="37"/>
      <c r="AX38" s="36"/>
    </row>
    <row r="39" spans="2:50" ht="64" thickBot="1" x14ac:dyDescent="0.4">
      <c r="B39" s="297" t="s">
        <v>317</v>
      </c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 t="s">
        <v>661</v>
      </c>
      <c r="AM39" s="37" t="s">
        <v>661</v>
      </c>
      <c r="AN39" s="37" t="s">
        <v>661</v>
      </c>
      <c r="AO39" s="37" t="s">
        <v>661</v>
      </c>
      <c r="AP39" s="37"/>
      <c r="AQ39" s="37"/>
      <c r="AR39" s="37"/>
      <c r="AS39" s="37"/>
      <c r="AT39" s="37"/>
      <c r="AU39" s="37"/>
      <c r="AV39" s="37"/>
      <c r="AW39" s="37"/>
      <c r="AX39" s="36"/>
    </row>
    <row r="40" spans="2:50" ht="51.5" thickBot="1" x14ac:dyDescent="0.4">
      <c r="B40" s="39" t="s">
        <v>342</v>
      </c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 t="s">
        <v>662</v>
      </c>
      <c r="AM40" s="37" t="s">
        <v>662</v>
      </c>
      <c r="AN40" s="37" t="s">
        <v>662</v>
      </c>
      <c r="AO40" s="37" t="s">
        <v>662</v>
      </c>
      <c r="AP40" s="37"/>
      <c r="AQ40" s="37"/>
      <c r="AR40" s="37"/>
      <c r="AS40" s="37"/>
      <c r="AT40" s="37"/>
      <c r="AU40" s="37"/>
      <c r="AV40" s="37"/>
      <c r="AW40" s="37"/>
      <c r="AX40" s="36"/>
    </row>
    <row r="41" spans="2:50" ht="39" thickBot="1" x14ac:dyDescent="0.4">
      <c r="B41" s="41" t="s">
        <v>505</v>
      </c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 t="s">
        <v>72</v>
      </c>
      <c r="AM41" s="37" t="s">
        <v>72</v>
      </c>
      <c r="AN41" s="37" t="s">
        <v>72</v>
      </c>
      <c r="AO41" s="37" t="s">
        <v>72</v>
      </c>
      <c r="AP41" s="37"/>
      <c r="AQ41" s="37"/>
      <c r="AR41" s="37"/>
      <c r="AS41" s="37"/>
      <c r="AT41" s="37"/>
      <c r="AU41" s="37"/>
      <c r="AV41" s="37"/>
      <c r="AW41" s="37"/>
      <c r="AX41" s="36"/>
    </row>
    <row r="42" spans="2:50" ht="39" thickBot="1" x14ac:dyDescent="0.4">
      <c r="B42" s="39" t="s">
        <v>506</v>
      </c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 t="s">
        <v>663</v>
      </c>
      <c r="AM42" s="37" t="s">
        <v>663</v>
      </c>
      <c r="AN42" s="37" t="s">
        <v>663</v>
      </c>
      <c r="AO42" s="37" t="s">
        <v>663</v>
      </c>
      <c r="AP42" s="37"/>
      <c r="AQ42" s="37"/>
      <c r="AR42" s="37"/>
      <c r="AS42" s="37"/>
      <c r="AT42" s="37"/>
      <c r="AU42" s="37"/>
      <c r="AV42" s="37"/>
      <c r="AW42" s="37"/>
      <c r="AX42" s="36"/>
    </row>
    <row r="43" spans="2:50" ht="39" thickBot="1" x14ac:dyDescent="0.4">
      <c r="B43" s="39" t="s">
        <v>507</v>
      </c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 t="s">
        <v>664</v>
      </c>
      <c r="AM43" s="37" t="s">
        <v>664</v>
      </c>
      <c r="AN43" s="37" t="s">
        <v>664</v>
      </c>
      <c r="AO43" s="37" t="s">
        <v>664</v>
      </c>
      <c r="AP43" s="37"/>
      <c r="AQ43" s="37"/>
      <c r="AR43" s="37"/>
      <c r="AS43" s="37"/>
      <c r="AT43" s="37"/>
      <c r="AU43" s="37"/>
      <c r="AV43" s="37"/>
      <c r="AW43" s="37"/>
      <c r="AX43" s="36"/>
    </row>
    <row r="44" spans="2:50" ht="39" thickBot="1" x14ac:dyDescent="0.4">
      <c r="B44" s="39" t="s">
        <v>508</v>
      </c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 t="s">
        <v>201</v>
      </c>
      <c r="AM44" s="37" t="s">
        <v>201</v>
      </c>
      <c r="AN44" s="37" t="s">
        <v>201</v>
      </c>
      <c r="AO44" s="37" t="s">
        <v>201</v>
      </c>
      <c r="AP44" s="37"/>
      <c r="AQ44" s="37"/>
      <c r="AR44" s="37"/>
      <c r="AS44" s="37"/>
      <c r="AT44" s="37"/>
      <c r="AU44" s="37"/>
      <c r="AV44" s="37"/>
      <c r="AW44" s="37"/>
      <c r="AX44" s="36"/>
    </row>
    <row r="45" spans="2:50" ht="39" thickBot="1" x14ac:dyDescent="0.4">
      <c r="B45" s="39" t="s">
        <v>509</v>
      </c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 t="s">
        <v>235</v>
      </c>
      <c r="AM45" s="37" t="s">
        <v>235</v>
      </c>
      <c r="AN45" s="37" t="s">
        <v>235</v>
      </c>
      <c r="AO45" s="37" t="s">
        <v>235</v>
      </c>
      <c r="AP45" s="37"/>
      <c r="AQ45" s="37"/>
      <c r="AR45" s="37"/>
      <c r="AS45" s="37"/>
      <c r="AT45" s="37"/>
      <c r="AU45" s="37"/>
      <c r="AV45" s="37"/>
      <c r="AW45" s="37"/>
      <c r="AX45" s="36"/>
    </row>
    <row r="46" spans="2:50" ht="39" thickBot="1" x14ac:dyDescent="0.4">
      <c r="B46" s="39" t="s">
        <v>19</v>
      </c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 t="s">
        <v>237</v>
      </c>
      <c r="AM46" s="37" t="s">
        <v>237</v>
      </c>
      <c r="AN46" s="37" t="s">
        <v>237</v>
      </c>
      <c r="AO46" s="37" t="s">
        <v>237</v>
      </c>
      <c r="AP46" s="37"/>
      <c r="AQ46" s="37"/>
      <c r="AR46" s="37"/>
      <c r="AS46" s="37"/>
      <c r="AT46" s="37"/>
      <c r="AU46" s="37"/>
      <c r="AV46" s="37"/>
      <c r="AW46" s="37"/>
      <c r="AX46" s="36"/>
    </row>
    <row r="47" spans="2:50" ht="39" thickBot="1" x14ac:dyDescent="0.4">
      <c r="B47" s="40" t="s">
        <v>181</v>
      </c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 t="s">
        <v>335</v>
      </c>
      <c r="AM47" s="37" t="s">
        <v>335</v>
      </c>
      <c r="AN47" s="37" t="s">
        <v>335</v>
      </c>
      <c r="AO47" s="37" t="s">
        <v>335</v>
      </c>
      <c r="AP47" s="37"/>
      <c r="AQ47" s="37"/>
      <c r="AR47" s="37"/>
      <c r="AS47" s="37"/>
      <c r="AT47" s="37"/>
      <c r="AU47" s="37"/>
      <c r="AV47" s="37"/>
      <c r="AW47" s="37"/>
      <c r="AX47" s="36"/>
    </row>
    <row r="48" spans="2:50" ht="15" thickBot="1" x14ac:dyDescent="0.4">
      <c r="B48" s="39" t="s">
        <v>116</v>
      </c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6"/>
    </row>
    <row r="49" spans="2:50" ht="15" thickBot="1" x14ac:dyDescent="0.4">
      <c r="B49" s="38" t="s">
        <v>665</v>
      </c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6"/>
    </row>
    <row r="50" spans="2:50" ht="15" thickBot="1" x14ac:dyDescent="0.4">
      <c r="B50" s="38" t="s">
        <v>666</v>
      </c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6"/>
    </row>
    <row r="51" spans="2:50" ht="15" thickBot="1" x14ac:dyDescent="0.4"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6"/>
    </row>
    <row r="52" spans="2:50" ht="15" thickBot="1" x14ac:dyDescent="0.4"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6"/>
    </row>
    <row r="53" spans="2:50" ht="15" thickBot="1" x14ac:dyDescent="0.4"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6"/>
    </row>
    <row r="54" spans="2:50" ht="15" thickBot="1" x14ac:dyDescent="0.4"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  <c r="AU54" s="37"/>
      <c r="AV54" s="37"/>
      <c r="AW54" s="37"/>
      <c r="AX54" s="36"/>
    </row>
    <row r="55" spans="2:50" ht="15" thickBot="1" x14ac:dyDescent="0.4"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  <c r="AW55" s="37"/>
      <c r="AX55" s="36"/>
    </row>
    <row r="56" spans="2:50" ht="15" thickBot="1" x14ac:dyDescent="0.4"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36"/>
    </row>
    <row r="57" spans="2:50" ht="15" thickBot="1" x14ac:dyDescent="0.4"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s="37"/>
      <c r="AV57" s="37"/>
      <c r="AW57" s="37"/>
      <c r="AX57" s="36"/>
    </row>
    <row r="58" spans="2:50" ht="15" thickBot="1" x14ac:dyDescent="0.4"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6"/>
    </row>
    <row r="59" spans="2:50" ht="15" thickBot="1" x14ac:dyDescent="0.4"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6"/>
    </row>
    <row r="60" spans="2:50" ht="15" thickBot="1" x14ac:dyDescent="0.4"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  <c r="AU60" s="37"/>
      <c r="AV60" s="37"/>
      <c r="AW60" s="37"/>
      <c r="AX60" s="36"/>
    </row>
    <row r="61" spans="2:50" ht="15" thickBot="1" x14ac:dyDescent="0.4"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37"/>
      <c r="AX61" s="36"/>
    </row>
    <row r="62" spans="2:50" ht="15" thickBot="1" x14ac:dyDescent="0.4"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  <c r="AS62" s="37"/>
      <c r="AT62" s="37"/>
      <c r="AU62" s="37"/>
      <c r="AV62" s="37"/>
      <c r="AW62" s="37"/>
      <c r="AX62" s="36"/>
    </row>
    <row r="63" spans="2:50" ht="15" thickBot="1" x14ac:dyDescent="0.4"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  <c r="AU63" s="37"/>
      <c r="AV63" s="37"/>
      <c r="AW63" s="37"/>
      <c r="AX63" s="36"/>
    </row>
    <row r="64" spans="2:50" ht="15" thickBot="1" x14ac:dyDescent="0.4"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/>
      <c r="AU64" s="37"/>
      <c r="AV64" s="37"/>
      <c r="AW64" s="37"/>
      <c r="AX64" s="36"/>
    </row>
    <row r="65" spans="4:50" ht="15" thickBot="1" x14ac:dyDescent="0.4"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  <c r="AU65" s="37"/>
      <c r="AV65" s="37"/>
      <c r="AW65" s="37"/>
      <c r="AX65" s="36"/>
    </row>
    <row r="66" spans="4:50" ht="15" thickBot="1" x14ac:dyDescent="0.4"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  <c r="AU66" s="37"/>
      <c r="AV66" s="37"/>
      <c r="AW66" s="37"/>
      <c r="AX66" s="36"/>
    </row>
    <row r="67" spans="4:50" ht="15" thickBot="1" x14ac:dyDescent="0.4"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6"/>
    </row>
    <row r="68" spans="4:50" ht="15" thickBot="1" x14ac:dyDescent="0.4"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7"/>
      <c r="AU68" s="37"/>
      <c r="AV68" s="37"/>
      <c r="AW68" s="37"/>
      <c r="AX68" s="36"/>
    </row>
    <row r="69" spans="4:50" ht="15" thickBot="1" x14ac:dyDescent="0.4"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  <c r="AU69" s="37"/>
      <c r="AV69" s="37"/>
      <c r="AW69" s="37"/>
      <c r="AX69" s="36"/>
    </row>
    <row r="70" spans="4:50" ht="15" thickBot="1" x14ac:dyDescent="0.4"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  <c r="AU70" s="37"/>
      <c r="AV70" s="37"/>
      <c r="AW70" s="37"/>
      <c r="AX70" s="36"/>
    </row>
    <row r="71" spans="4:50" ht="15" thickBot="1" x14ac:dyDescent="0.4"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  <c r="AU71" s="37"/>
      <c r="AV71" s="37"/>
      <c r="AW71" s="37"/>
      <c r="AX71" s="36"/>
    </row>
    <row r="72" spans="4:50" ht="15" thickBot="1" x14ac:dyDescent="0.4"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  <c r="AS72" s="37"/>
      <c r="AT72" s="37"/>
      <c r="AU72" s="37"/>
      <c r="AV72" s="37"/>
      <c r="AW72" s="37"/>
      <c r="AX72" s="36"/>
    </row>
    <row r="73" spans="4:50" ht="15" thickBot="1" x14ac:dyDescent="0.4"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  <c r="AS73" s="37"/>
      <c r="AT73" s="37"/>
      <c r="AU73" s="37"/>
      <c r="AV73" s="37"/>
      <c r="AW73" s="37"/>
      <c r="AX73" s="36"/>
    </row>
    <row r="74" spans="4:50" ht="15" thickBot="1" x14ac:dyDescent="0.4"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37"/>
      <c r="AS74" s="37"/>
      <c r="AT74" s="37"/>
      <c r="AU74" s="37"/>
      <c r="AV74" s="37"/>
      <c r="AW74" s="37"/>
      <c r="AX74" s="36"/>
    </row>
    <row r="75" spans="4:50" ht="15" thickBot="1" x14ac:dyDescent="0.4"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  <c r="AU75" s="37"/>
      <c r="AV75" s="37"/>
      <c r="AW75" s="37"/>
      <c r="AX75" s="36"/>
    </row>
    <row r="76" spans="4:50" ht="15" thickBot="1" x14ac:dyDescent="0.4"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37"/>
      <c r="AS76" s="37"/>
      <c r="AT76" s="37"/>
      <c r="AU76" s="37"/>
      <c r="AV76" s="37"/>
      <c r="AW76" s="37"/>
      <c r="AX76" s="36"/>
    </row>
    <row r="77" spans="4:50" ht="15" thickBot="1" x14ac:dyDescent="0.4"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  <c r="AS77" s="37"/>
      <c r="AT77" s="37"/>
      <c r="AU77" s="37"/>
      <c r="AV77" s="37"/>
      <c r="AW77" s="37"/>
      <c r="AX77" s="36"/>
    </row>
    <row r="78" spans="4:50" ht="15" thickBot="1" x14ac:dyDescent="0.4"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  <c r="AS78" s="37"/>
      <c r="AT78" s="37"/>
      <c r="AU78" s="37"/>
      <c r="AV78" s="37"/>
      <c r="AW78" s="37"/>
      <c r="AX78" s="36"/>
    </row>
    <row r="79" spans="4:50" ht="15" thickBot="1" x14ac:dyDescent="0.4"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  <c r="AR79" s="37"/>
      <c r="AS79" s="37"/>
      <c r="AT79" s="37"/>
      <c r="AU79" s="37"/>
      <c r="AV79" s="37"/>
      <c r="AW79" s="37"/>
      <c r="AX79" s="36"/>
    </row>
    <row r="80" spans="4:50" ht="15" thickBot="1" x14ac:dyDescent="0.4"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6"/>
    </row>
    <row r="81" spans="4:50" ht="15" thickBot="1" x14ac:dyDescent="0.4"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6"/>
    </row>
    <row r="82" spans="4:50" ht="15" thickBot="1" x14ac:dyDescent="0.4"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6"/>
    </row>
    <row r="83" spans="4:50" ht="15" thickBot="1" x14ac:dyDescent="0.4"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6"/>
    </row>
    <row r="84" spans="4:50" ht="15" thickBot="1" x14ac:dyDescent="0.4"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6"/>
    </row>
    <row r="85" spans="4:50" ht="15" thickBot="1" x14ac:dyDescent="0.4"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6"/>
    </row>
    <row r="86" spans="4:50" ht="15" thickBot="1" x14ac:dyDescent="0.4"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6"/>
    </row>
    <row r="87" spans="4:50" ht="15" thickBot="1" x14ac:dyDescent="0.4"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6"/>
    </row>
    <row r="88" spans="4:50" ht="15" thickBot="1" x14ac:dyDescent="0.4"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6"/>
    </row>
    <row r="89" spans="4:50" ht="15" thickBot="1" x14ac:dyDescent="0.4"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6"/>
    </row>
    <row r="90" spans="4:50" ht="15" thickBot="1" x14ac:dyDescent="0.4"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6"/>
    </row>
    <row r="91" spans="4:50" ht="15" thickBot="1" x14ac:dyDescent="0.4"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6"/>
    </row>
    <row r="92" spans="4:50" ht="15" thickBot="1" x14ac:dyDescent="0.4"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  <c r="AU92" s="37"/>
      <c r="AV92" s="37"/>
      <c r="AW92" s="37"/>
      <c r="AX92" s="36"/>
    </row>
    <row r="93" spans="4:50" ht="15" thickBot="1" x14ac:dyDescent="0.4"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6"/>
    </row>
    <row r="94" spans="4:50" ht="15" thickBot="1" x14ac:dyDescent="0.4"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6"/>
    </row>
    <row r="95" spans="4:50" ht="15" thickBot="1" x14ac:dyDescent="0.4"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AX95" s="36"/>
    </row>
    <row r="96" spans="4:50" ht="15" thickBot="1" x14ac:dyDescent="0.4"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6"/>
    </row>
    <row r="97" spans="4:50" ht="15" thickBot="1" x14ac:dyDescent="0.4"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  <c r="AS97" s="37"/>
      <c r="AT97" s="37"/>
      <c r="AU97" s="37"/>
      <c r="AV97" s="37"/>
      <c r="AW97" s="37"/>
      <c r="AX97" s="36"/>
    </row>
    <row r="98" spans="4:50" ht="15" thickBot="1" x14ac:dyDescent="0.4"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  <c r="AS98" s="37"/>
      <c r="AT98" s="37"/>
      <c r="AU98" s="37"/>
      <c r="AV98" s="37"/>
      <c r="AW98" s="37"/>
      <c r="AX98" s="36"/>
    </row>
    <row r="99" spans="4:50" ht="15" thickBot="1" x14ac:dyDescent="0.4"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  <c r="AU99" s="37"/>
      <c r="AV99" s="37"/>
      <c r="AW99" s="37"/>
      <c r="AX99" s="36"/>
    </row>
    <row r="100" spans="4:50" ht="15" thickBot="1" x14ac:dyDescent="0.4"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  <c r="AU100" s="37"/>
      <c r="AV100" s="37"/>
      <c r="AW100" s="37"/>
      <c r="AX100" s="36"/>
    </row>
    <row r="101" spans="4:50" ht="15" thickBot="1" x14ac:dyDescent="0.4"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7"/>
      <c r="AU101" s="37"/>
      <c r="AV101" s="37"/>
      <c r="AW101" s="37"/>
      <c r="AX101" s="36"/>
    </row>
    <row r="102" spans="4:50" ht="15" thickBot="1" x14ac:dyDescent="0.4"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  <c r="AS102" s="37"/>
      <c r="AT102" s="37"/>
      <c r="AU102" s="37"/>
      <c r="AV102" s="37"/>
      <c r="AW102" s="37"/>
      <c r="AX102" s="36"/>
    </row>
    <row r="103" spans="4:50" ht="15" thickBot="1" x14ac:dyDescent="0.4"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  <c r="AR103" s="37"/>
      <c r="AS103" s="37"/>
      <c r="AT103" s="37"/>
      <c r="AU103" s="37"/>
      <c r="AV103" s="37"/>
      <c r="AW103" s="37"/>
      <c r="AX103" s="36"/>
    </row>
    <row r="104" spans="4:50" ht="15" thickBot="1" x14ac:dyDescent="0.4"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  <c r="AR104" s="37"/>
      <c r="AS104" s="37"/>
      <c r="AT104" s="37"/>
      <c r="AU104" s="37"/>
      <c r="AV104" s="37"/>
      <c r="AW104" s="37"/>
      <c r="AX104" s="36"/>
    </row>
    <row r="105" spans="4:50" ht="15" thickBot="1" x14ac:dyDescent="0.4"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  <c r="AS105" s="37"/>
      <c r="AT105" s="37"/>
      <c r="AU105" s="37"/>
      <c r="AV105" s="37"/>
      <c r="AW105" s="37"/>
      <c r="AX105" s="36"/>
    </row>
    <row r="106" spans="4:50" ht="15" thickBot="1" x14ac:dyDescent="0.4"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  <c r="AS106" s="37"/>
      <c r="AT106" s="37"/>
      <c r="AU106" s="37"/>
      <c r="AV106" s="37"/>
      <c r="AW106" s="37"/>
      <c r="AX106" s="36"/>
    </row>
    <row r="107" spans="4:50" ht="15" thickBot="1" x14ac:dyDescent="0.4"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  <c r="AR107" s="37"/>
      <c r="AS107" s="37"/>
      <c r="AT107" s="37"/>
      <c r="AU107" s="37"/>
      <c r="AV107" s="37"/>
      <c r="AW107" s="37"/>
      <c r="AX107" s="36"/>
    </row>
    <row r="108" spans="4:50" ht="15" thickBot="1" x14ac:dyDescent="0.4"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  <c r="AS108" s="37"/>
      <c r="AT108" s="37"/>
      <c r="AU108" s="37"/>
      <c r="AV108" s="37"/>
      <c r="AW108" s="37"/>
      <c r="AX108" s="36"/>
    </row>
    <row r="109" spans="4:50" ht="15" thickBot="1" x14ac:dyDescent="0.4"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  <c r="AR109" s="37"/>
      <c r="AS109" s="37"/>
      <c r="AT109" s="37"/>
      <c r="AU109" s="37"/>
      <c r="AV109" s="37"/>
      <c r="AW109" s="37"/>
      <c r="AX109" s="36"/>
    </row>
    <row r="110" spans="4:50" ht="15" thickBot="1" x14ac:dyDescent="0.4"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  <c r="AS110" s="37"/>
      <c r="AT110" s="37"/>
      <c r="AU110" s="37"/>
      <c r="AV110" s="37"/>
      <c r="AW110" s="37"/>
      <c r="AX110" s="36"/>
    </row>
    <row r="111" spans="4:50" ht="15" thickBot="1" x14ac:dyDescent="0.4"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  <c r="AR111" s="37"/>
      <c r="AS111" s="37"/>
      <c r="AT111" s="37"/>
      <c r="AU111" s="37"/>
      <c r="AV111" s="37"/>
      <c r="AW111" s="37"/>
      <c r="AX111" s="36"/>
    </row>
    <row r="112" spans="4:50" ht="15" thickBot="1" x14ac:dyDescent="0.4"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  <c r="AR112" s="37"/>
      <c r="AS112" s="37"/>
      <c r="AT112" s="37"/>
      <c r="AU112" s="37"/>
      <c r="AV112" s="37"/>
      <c r="AW112" s="37"/>
      <c r="AX112" s="36"/>
    </row>
    <row r="113" spans="4:50" ht="15" thickBot="1" x14ac:dyDescent="0.4"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7"/>
      <c r="AU113" s="37"/>
      <c r="AV113" s="37"/>
      <c r="AW113" s="37"/>
      <c r="AX113" s="36"/>
    </row>
    <row r="114" spans="4:50" ht="15" thickBot="1" x14ac:dyDescent="0.4"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  <c r="AR114" s="37"/>
      <c r="AS114" s="37"/>
      <c r="AT114" s="37"/>
      <c r="AU114" s="37"/>
      <c r="AV114" s="37"/>
      <c r="AW114" s="37"/>
      <c r="AX114" s="36"/>
    </row>
    <row r="115" spans="4:50" ht="15" thickBot="1" x14ac:dyDescent="0.4"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  <c r="AR115" s="37"/>
      <c r="AS115" s="37"/>
      <c r="AT115" s="37"/>
      <c r="AU115" s="37"/>
      <c r="AV115" s="37"/>
      <c r="AW115" s="37"/>
      <c r="AX115" s="36"/>
    </row>
    <row r="116" spans="4:50" ht="15" thickBot="1" x14ac:dyDescent="0.4"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  <c r="AR116" s="37"/>
      <c r="AS116" s="37"/>
      <c r="AT116" s="37"/>
      <c r="AU116" s="37"/>
      <c r="AV116" s="37"/>
      <c r="AW116" s="37"/>
      <c r="AX116" s="36"/>
    </row>
    <row r="117" spans="4:50" ht="15" thickBot="1" x14ac:dyDescent="0.4"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  <c r="AS117" s="37"/>
      <c r="AT117" s="37"/>
      <c r="AU117" s="37"/>
      <c r="AV117" s="37"/>
      <c r="AW117" s="37"/>
      <c r="AX117" s="36"/>
    </row>
    <row r="118" spans="4:50" ht="15" thickBot="1" x14ac:dyDescent="0.4"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  <c r="AR118" s="37"/>
      <c r="AS118" s="37"/>
      <c r="AT118" s="37"/>
      <c r="AU118" s="37"/>
      <c r="AV118" s="37"/>
      <c r="AW118" s="37"/>
      <c r="AX118" s="36"/>
    </row>
    <row r="119" spans="4:50" ht="15" thickBot="1" x14ac:dyDescent="0.4"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  <c r="AR119" s="37"/>
      <c r="AS119" s="37"/>
      <c r="AT119" s="37"/>
      <c r="AU119" s="37"/>
      <c r="AV119" s="37"/>
      <c r="AW119" s="37"/>
      <c r="AX119" s="36"/>
    </row>
    <row r="120" spans="4:50" ht="15" thickBot="1" x14ac:dyDescent="0.4"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7"/>
      <c r="AR120" s="37"/>
      <c r="AS120" s="37"/>
      <c r="AT120" s="37"/>
      <c r="AU120" s="37"/>
      <c r="AV120" s="37"/>
      <c r="AW120" s="37"/>
      <c r="AX120" s="36"/>
    </row>
    <row r="121" spans="4:50" ht="15" thickBot="1" x14ac:dyDescent="0.4"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  <c r="AS121" s="37"/>
      <c r="AT121" s="37"/>
      <c r="AU121" s="37"/>
      <c r="AV121" s="37"/>
      <c r="AW121" s="37"/>
      <c r="AX121" s="36"/>
    </row>
    <row r="122" spans="4:50" ht="15" thickBot="1" x14ac:dyDescent="0.4"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  <c r="AR122" s="37"/>
      <c r="AS122" s="37"/>
      <c r="AT122" s="37"/>
      <c r="AU122" s="37"/>
      <c r="AV122" s="37"/>
      <c r="AW122" s="37"/>
      <c r="AX122" s="36"/>
    </row>
    <row r="123" spans="4:50" ht="15" thickBot="1" x14ac:dyDescent="0.4"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  <c r="AS123" s="37"/>
      <c r="AT123" s="37"/>
      <c r="AU123" s="37"/>
      <c r="AV123" s="37"/>
      <c r="AW123" s="37"/>
      <c r="AX123" s="36"/>
    </row>
    <row r="124" spans="4:50" ht="15" thickBot="1" x14ac:dyDescent="0.4"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  <c r="AR124" s="37"/>
      <c r="AS124" s="37"/>
      <c r="AT124" s="37"/>
      <c r="AU124" s="37"/>
      <c r="AV124" s="37"/>
      <c r="AW124" s="37"/>
      <c r="AX124" s="36"/>
    </row>
    <row r="125" spans="4:50" ht="15" thickBot="1" x14ac:dyDescent="0.4"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  <c r="AS125" s="37"/>
      <c r="AT125" s="37"/>
      <c r="AU125" s="37"/>
      <c r="AV125" s="37"/>
      <c r="AW125" s="37"/>
      <c r="AX125" s="36"/>
    </row>
    <row r="126" spans="4:50" ht="15" thickBot="1" x14ac:dyDescent="0.4"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  <c r="AS126" s="37"/>
      <c r="AT126" s="37"/>
      <c r="AU126" s="37"/>
      <c r="AV126" s="37"/>
      <c r="AW126" s="37"/>
      <c r="AX126" s="36"/>
    </row>
    <row r="127" spans="4:50" ht="15" thickBot="1" x14ac:dyDescent="0.4"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  <c r="AS127" s="37"/>
      <c r="AT127" s="37"/>
      <c r="AU127" s="37"/>
      <c r="AV127" s="37"/>
      <c r="AW127" s="37"/>
      <c r="AX127" s="36"/>
    </row>
    <row r="128" spans="4:50" ht="15" thickBot="1" x14ac:dyDescent="0.4"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  <c r="AR128" s="37"/>
      <c r="AS128" s="37"/>
      <c r="AT128" s="37"/>
      <c r="AU128" s="37"/>
      <c r="AV128" s="37"/>
      <c r="AW128" s="37"/>
      <c r="AX128" s="36"/>
    </row>
    <row r="129" spans="4:50" ht="15" thickBot="1" x14ac:dyDescent="0.4"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  <c r="AR129" s="37"/>
      <c r="AS129" s="37"/>
      <c r="AT129" s="37"/>
      <c r="AU129" s="37"/>
      <c r="AV129" s="37"/>
      <c r="AW129" s="37"/>
      <c r="AX129" s="36"/>
    </row>
    <row r="130" spans="4:50" ht="15" thickBot="1" x14ac:dyDescent="0.4"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  <c r="AS130" s="37"/>
      <c r="AT130" s="37"/>
      <c r="AU130" s="37"/>
      <c r="AV130" s="37"/>
      <c r="AW130" s="37"/>
      <c r="AX130" s="36"/>
    </row>
    <row r="131" spans="4:50" ht="15" thickBot="1" x14ac:dyDescent="0.4"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  <c r="AS131" s="37"/>
      <c r="AT131" s="37"/>
      <c r="AU131" s="37"/>
      <c r="AV131" s="37"/>
      <c r="AW131" s="37"/>
      <c r="AX131" s="36"/>
    </row>
    <row r="132" spans="4:50" ht="15" thickBot="1" x14ac:dyDescent="0.4"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  <c r="AS132" s="37"/>
      <c r="AT132" s="37"/>
      <c r="AU132" s="37"/>
      <c r="AV132" s="37"/>
      <c r="AW132" s="37"/>
      <c r="AX132" s="36"/>
    </row>
    <row r="133" spans="4:50" ht="15" thickBot="1" x14ac:dyDescent="0.4"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  <c r="AR133" s="37"/>
      <c r="AS133" s="37"/>
      <c r="AT133" s="37"/>
      <c r="AU133" s="37"/>
      <c r="AV133" s="37"/>
      <c r="AW133" s="37"/>
      <c r="AX133" s="36"/>
    </row>
    <row r="134" spans="4:50" ht="15" thickBot="1" x14ac:dyDescent="0.4"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37"/>
      <c r="AR134" s="37"/>
      <c r="AS134" s="37"/>
      <c r="AT134" s="37"/>
      <c r="AU134" s="37"/>
      <c r="AV134" s="37"/>
      <c r="AW134" s="37"/>
      <c r="AX134" s="36"/>
    </row>
    <row r="135" spans="4:50" ht="15" thickBot="1" x14ac:dyDescent="0.4"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  <c r="AR135" s="37"/>
      <c r="AS135" s="37"/>
      <c r="AT135" s="37"/>
      <c r="AU135" s="37"/>
      <c r="AV135" s="37"/>
      <c r="AW135" s="37"/>
      <c r="AX135" s="36"/>
    </row>
    <row r="136" spans="4:50" ht="15" thickBot="1" x14ac:dyDescent="0.4"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7"/>
      <c r="AR136" s="37"/>
      <c r="AS136" s="37"/>
      <c r="AT136" s="37"/>
      <c r="AU136" s="37"/>
      <c r="AV136" s="37"/>
      <c r="AW136" s="37"/>
      <c r="AX136" s="36"/>
    </row>
    <row r="137" spans="4:50" ht="15" thickBot="1" x14ac:dyDescent="0.4"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  <c r="AS137" s="37"/>
      <c r="AT137" s="37"/>
      <c r="AU137" s="37"/>
      <c r="AV137" s="37"/>
      <c r="AW137" s="37"/>
      <c r="AX137" s="36"/>
    </row>
    <row r="138" spans="4:50" ht="15" thickBot="1" x14ac:dyDescent="0.4"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  <c r="AQ138" s="37"/>
      <c r="AR138" s="37"/>
      <c r="AS138" s="37"/>
      <c r="AT138" s="37"/>
      <c r="AU138" s="37"/>
      <c r="AV138" s="37"/>
      <c r="AW138" s="37"/>
      <c r="AX138" s="36"/>
    </row>
    <row r="139" spans="4:50" ht="15" thickBot="1" x14ac:dyDescent="0.4"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  <c r="AO139" s="37"/>
      <c r="AP139" s="37"/>
      <c r="AQ139" s="37"/>
      <c r="AR139" s="37"/>
      <c r="AS139" s="37"/>
      <c r="AT139" s="37"/>
      <c r="AU139" s="37"/>
      <c r="AV139" s="37"/>
      <c r="AW139" s="37"/>
      <c r="AX139" s="36"/>
    </row>
    <row r="140" spans="4:50" ht="15" thickBot="1" x14ac:dyDescent="0.4"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  <c r="AO140" s="37"/>
      <c r="AP140" s="37"/>
      <c r="AQ140" s="37"/>
      <c r="AR140" s="37"/>
      <c r="AS140" s="37"/>
      <c r="AT140" s="37"/>
      <c r="AU140" s="37"/>
      <c r="AV140" s="37"/>
      <c r="AW140" s="37"/>
      <c r="AX140" s="36"/>
    </row>
    <row r="141" spans="4:50" ht="15" thickBot="1" x14ac:dyDescent="0.4"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  <c r="AQ141" s="37"/>
      <c r="AR141" s="37"/>
      <c r="AS141" s="37"/>
      <c r="AT141" s="37"/>
      <c r="AU141" s="37"/>
      <c r="AV141" s="37"/>
      <c r="AW141" s="37"/>
      <c r="AX141" s="36"/>
    </row>
    <row r="142" spans="4:50" ht="15" thickBot="1" x14ac:dyDescent="0.4"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7"/>
      <c r="AR142" s="37"/>
      <c r="AS142" s="37"/>
      <c r="AT142" s="37"/>
      <c r="AU142" s="37"/>
      <c r="AV142" s="37"/>
      <c r="AW142" s="37"/>
      <c r="AX142" s="36"/>
    </row>
    <row r="143" spans="4:50" ht="15" thickBot="1" x14ac:dyDescent="0.4"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7"/>
      <c r="AR143" s="37"/>
      <c r="AS143" s="37"/>
      <c r="AT143" s="37"/>
      <c r="AU143" s="37"/>
      <c r="AV143" s="37"/>
      <c r="AW143" s="37"/>
      <c r="AX143" s="36"/>
    </row>
    <row r="144" spans="4:50" ht="15" thickBot="1" x14ac:dyDescent="0.4"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  <c r="AS144" s="37"/>
      <c r="AT144" s="37"/>
      <c r="AU144" s="37"/>
      <c r="AV144" s="37"/>
      <c r="AW144" s="37"/>
      <c r="AX144" s="36"/>
    </row>
    <row r="145" spans="4:50" ht="15" thickBot="1" x14ac:dyDescent="0.4"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  <c r="AR145" s="37"/>
      <c r="AS145" s="37"/>
      <c r="AT145" s="37"/>
      <c r="AU145" s="37"/>
      <c r="AV145" s="37"/>
      <c r="AW145" s="37"/>
      <c r="AX145" s="36"/>
    </row>
    <row r="146" spans="4:50" ht="15" thickBot="1" x14ac:dyDescent="0.4"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  <c r="AS146" s="37"/>
      <c r="AT146" s="37"/>
      <c r="AU146" s="37"/>
      <c r="AV146" s="37"/>
      <c r="AW146" s="37"/>
      <c r="AX146" s="36"/>
    </row>
    <row r="147" spans="4:50" ht="15" thickBot="1" x14ac:dyDescent="0.4"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  <c r="AS147" s="37"/>
      <c r="AT147" s="37"/>
      <c r="AU147" s="37"/>
      <c r="AV147" s="37"/>
      <c r="AW147" s="37"/>
      <c r="AX147" s="36"/>
    </row>
    <row r="148" spans="4:50" ht="15" thickBot="1" x14ac:dyDescent="0.4"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  <c r="AR148" s="37"/>
      <c r="AS148" s="37"/>
      <c r="AT148" s="37"/>
      <c r="AU148" s="37"/>
      <c r="AV148" s="37"/>
      <c r="AW148" s="37"/>
      <c r="AX148" s="36"/>
    </row>
    <row r="149" spans="4:50" ht="15" thickBot="1" x14ac:dyDescent="0.4"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  <c r="AR149" s="37"/>
      <c r="AS149" s="37"/>
      <c r="AT149" s="37"/>
      <c r="AU149" s="37"/>
      <c r="AV149" s="37"/>
      <c r="AW149" s="37"/>
      <c r="AX149" s="36"/>
    </row>
    <row r="150" spans="4:50" ht="15" thickBot="1" x14ac:dyDescent="0.4"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  <c r="AQ150" s="37"/>
      <c r="AR150" s="37"/>
      <c r="AS150" s="37"/>
      <c r="AT150" s="37"/>
      <c r="AU150" s="37"/>
      <c r="AV150" s="37"/>
      <c r="AW150" s="37"/>
      <c r="AX150" s="36"/>
    </row>
    <row r="151" spans="4:50" ht="15" thickBot="1" x14ac:dyDescent="0.4"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  <c r="AO151" s="37"/>
      <c r="AP151" s="37"/>
      <c r="AQ151" s="37"/>
      <c r="AR151" s="37"/>
      <c r="AS151" s="37"/>
      <c r="AT151" s="37"/>
      <c r="AU151" s="37"/>
      <c r="AV151" s="37"/>
      <c r="AW151" s="37"/>
      <c r="AX151" s="36"/>
    </row>
    <row r="152" spans="4:50" ht="15" thickBot="1" x14ac:dyDescent="0.4"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  <c r="AO152" s="37"/>
      <c r="AP152" s="37"/>
      <c r="AQ152" s="37"/>
      <c r="AR152" s="37"/>
      <c r="AS152" s="37"/>
      <c r="AT152" s="37"/>
      <c r="AU152" s="37"/>
      <c r="AV152" s="37"/>
      <c r="AW152" s="37"/>
      <c r="AX152" s="36"/>
    </row>
    <row r="153" spans="4:50" ht="15" thickBot="1" x14ac:dyDescent="0.4"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  <c r="AO153" s="37"/>
      <c r="AP153" s="37"/>
      <c r="AQ153" s="37"/>
      <c r="AR153" s="37"/>
      <c r="AS153" s="37"/>
      <c r="AT153" s="37"/>
      <c r="AU153" s="37"/>
      <c r="AV153" s="37"/>
      <c r="AW153" s="37"/>
      <c r="AX153" s="36"/>
    </row>
    <row r="154" spans="4:50" ht="15" thickBot="1" x14ac:dyDescent="0.4"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  <c r="AO154" s="37"/>
      <c r="AP154" s="37"/>
      <c r="AQ154" s="37"/>
      <c r="AR154" s="37"/>
      <c r="AS154" s="37"/>
      <c r="AT154" s="37"/>
      <c r="AU154" s="37"/>
      <c r="AV154" s="37"/>
      <c r="AW154" s="37"/>
      <c r="AX154" s="36"/>
    </row>
    <row r="155" spans="4:50" ht="15" thickBot="1" x14ac:dyDescent="0.4"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  <c r="AO155" s="37"/>
      <c r="AP155" s="37"/>
      <c r="AQ155" s="37"/>
      <c r="AR155" s="37"/>
      <c r="AS155" s="37"/>
      <c r="AT155" s="37"/>
      <c r="AU155" s="37"/>
      <c r="AV155" s="37"/>
      <c r="AW155" s="37"/>
      <c r="AX155" s="36"/>
    </row>
    <row r="156" spans="4:50" ht="15" thickBot="1" x14ac:dyDescent="0.4"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  <c r="AO156" s="37"/>
      <c r="AP156" s="37"/>
      <c r="AQ156" s="37"/>
      <c r="AR156" s="37"/>
      <c r="AS156" s="37"/>
      <c r="AT156" s="37"/>
      <c r="AU156" s="37"/>
      <c r="AV156" s="37"/>
      <c r="AW156" s="37"/>
      <c r="AX156" s="36"/>
    </row>
    <row r="157" spans="4:50" ht="15" thickBot="1" x14ac:dyDescent="0.4"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  <c r="AO157" s="37"/>
      <c r="AP157" s="37"/>
      <c r="AQ157" s="37"/>
      <c r="AR157" s="37"/>
      <c r="AS157" s="37"/>
      <c r="AT157" s="37"/>
      <c r="AU157" s="37"/>
      <c r="AV157" s="37"/>
      <c r="AW157" s="37"/>
      <c r="AX157" s="36"/>
    </row>
    <row r="158" spans="4:50" ht="15" thickBot="1" x14ac:dyDescent="0.4"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  <c r="AO158" s="37"/>
      <c r="AP158" s="37"/>
      <c r="AQ158" s="37"/>
      <c r="AR158" s="37"/>
      <c r="AS158" s="37"/>
      <c r="AT158" s="37"/>
      <c r="AU158" s="37"/>
      <c r="AV158" s="37"/>
      <c r="AW158" s="37"/>
      <c r="AX158" s="36"/>
    </row>
    <row r="159" spans="4:50" ht="15" thickBot="1" x14ac:dyDescent="0.4"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  <c r="AO159" s="37"/>
      <c r="AP159" s="37"/>
      <c r="AQ159" s="37"/>
      <c r="AR159" s="37"/>
      <c r="AS159" s="37"/>
      <c r="AT159" s="37"/>
      <c r="AU159" s="37"/>
      <c r="AV159" s="37"/>
      <c r="AW159" s="37"/>
      <c r="AX159" s="36"/>
    </row>
    <row r="160" spans="4:50" ht="15" thickBot="1" x14ac:dyDescent="0.4"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  <c r="AO160" s="37"/>
      <c r="AP160" s="37"/>
      <c r="AQ160" s="37"/>
      <c r="AR160" s="37"/>
      <c r="AS160" s="37"/>
      <c r="AT160" s="37"/>
      <c r="AU160" s="37"/>
      <c r="AV160" s="37"/>
      <c r="AW160" s="37"/>
      <c r="AX160" s="36"/>
    </row>
    <row r="161" spans="4:50" ht="15" thickBot="1" x14ac:dyDescent="0.4"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  <c r="AO161" s="37"/>
      <c r="AP161" s="37"/>
      <c r="AQ161" s="37"/>
      <c r="AR161" s="37"/>
      <c r="AS161" s="37"/>
      <c r="AT161" s="37"/>
      <c r="AU161" s="37"/>
      <c r="AV161" s="37"/>
      <c r="AW161" s="37"/>
      <c r="AX161" s="36"/>
    </row>
    <row r="162" spans="4:50" ht="15" thickBot="1" x14ac:dyDescent="0.4"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  <c r="AO162" s="37"/>
      <c r="AP162" s="37"/>
      <c r="AQ162" s="37"/>
      <c r="AR162" s="37"/>
      <c r="AS162" s="37"/>
      <c r="AT162" s="37"/>
      <c r="AU162" s="37"/>
      <c r="AV162" s="37"/>
      <c r="AW162" s="37"/>
      <c r="AX162" s="36"/>
    </row>
    <row r="163" spans="4:50" ht="15" thickBot="1" x14ac:dyDescent="0.4"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  <c r="AO163" s="37"/>
      <c r="AP163" s="37"/>
      <c r="AQ163" s="37"/>
      <c r="AR163" s="37"/>
      <c r="AS163" s="37"/>
      <c r="AT163" s="37"/>
      <c r="AU163" s="37"/>
      <c r="AV163" s="37"/>
      <c r="AW163" s="37"/>
      <c r="AX163" s="36"/>
    </row>
    <row r="164" spans="4:50" ht="15" thickBot="1" x14ac:dyDescent="0.4"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  <c r="AO164" s="37"/>
      <c r="AP164" s="37"/>
      <c r="AQ164" s="37"/>
      <c r="AR164" s="37"/>
      <c r="AS164" s="37"/>
      <c r="AT164" s="37"/>
      <c r="AU164" s="37"/>
      <c r="AV164" s="37"/>
      <c r="AW164" s="37"/>
      <c r="AX164" s="36"/>
    </row>
    <row r="165" spans="4:50" ht="15" thickBot="1" x14ac:dyDescent="0.4"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  <c r="AO165" s="37"/>
      <c r="AP165" s="37"/>
      <c r="AQ165" s="37"/>
      <c r="AR165" s="37"/>
      <c r="AS165" s="37"/>
      <c r="AT165" s="37"/>
      <c r="AU165" s="37"/>
      <c r="AV165" s="37"/>
      <c r="AW165" s="37"/>
      <c r="AX165" s="36"/>
    </row>
    <row r="166" spans="4:50" ht="15" thickBot="1" x14ac:dyDescent="0.4"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  <c r="AO166" s="37"/>
      <c r="AP166" s="37"/>
      <c r="AQ166" s="37"/>
      <c r="AR166" s="37"/>
      <c r="AS166" s="37"/>
      <c r="AT166" s="37"/>
      <c r="AU166" s="37"/>
      <c r="AV166" s="37"/>
      <c r="AW166" s="37"/>
      <c r="AX166" s="36"/>
    </row>
    <row r="167" spans="4:50" ht="15" thickBot="1" x14ac:dyDescent="0.4"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  <c r="AO167" s="37"/>
      <c r="AP167" s="37"/>
      <c r="AQ167" s="37"/>
      <c r="AR167" s="37"/>
      <c r="AS167" s="37"/>
      <c r="AT167" s="37"/>
      <c r="AU167" s="37"/>
      <c r="AV167" s="37"/>
      <c r="AW167" s="37"/>
      <c r="AX167" s="36"/>
    </row>
    <row r="168" spans="4:50" ht="15" thickBot="1" x14ac:dyDescent="0.4"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  <c r="AO168" s="37"/>
      <c r="AP168" s="37"/>
      <c r="AQ168" s="37"/>
      <c r="AR168" s="37"/>
      <c r="AS168" s="37"/>
      <c r="AT168" s="37"/>
      <c r="AU168" s="37"/>
      <c r="AV168" s="37"/>
      <c r="AW168" s="37"/>
      <c r="AX168" s="36"/>
    </row>
    <row r="169" spans="4:50" ht="15" thickBot="1" x14ac:dyDescent="0.4"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  <c r="AN169" s="37"/>
      <c r="AO169" s="37"/>
      <c r="AP169" s="37"/>
      <c r="AQ169" s="37"/>
      <c r="AR169" s="37"/>
      <c r="AS169" s="37"/>
      <c r="AT169" s="37"/>
      <c r="AU169" s="37"/>
      <c r="AV169" s="37"/>
      <c r="AW169" s="37"/>
      <c r="AX169" s="36"/>
    </row>
    <row r="170" spans="4:50" ht="15" thickBot="1" x14ac:dyDescent="0.4"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  <c r="AO170" s="37"/>
      <c r="AP170" s="37"/>
      <c r="AQ170" s="37"/>
      <c r="AR170" s="37"/>
      <c r="AS170" s="37"/>
      <c r="AT170" s="37"/>
      <c r="AU170" s="37"/>
      <c r="AV170" s="37"/>
      <c r="AW170" s="37"/>
      <c r="AX170" s="36"/>
    </row>
    <row r="171" spans="4:50" ht="15" thickBot="1" x14ac:dyDescent="0.4"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  <c r="AO171" s="37"/>
      <c r="AP171" s="37"/>
      <c r="AQ171" s="37"/>
      <c r="AR171" s="37"/>
      <c r="AS171" s="37"/>
      <c r="AT171" s="37"/>
      <c r="AU171" s="37"/>
      <c r="AV171" s="37"/>
      <c r="AW171" s="37"/>
      <c r="AX171" s="36"/>
    </row>
    <row r="172" spans="4:50" ht="15" thickBot="1" x14ac:dyDescent="0.4"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  <c r="AO172" s="37"/>
      <c r="AP172" s="37"/>
      <c r="AQ172" s="37"/>
      <c r="AR172" s="37"/>
      <c r="AS172" s="37"/>
      <c r="AT172" s="37"/>
      <c r="AU172" s="37"/>
      <c r="AV172" s="37"/>
      <c r="AW172" s="37"/>
      <c r="AX172" s="36"/>
    </row>
    <row r="173" spans="4:50" ht="15" thickBot="1" x14ac:dyDescent="0.4"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  <c r="AO173" s="37"/>
      <c r="AP173" s="37"/>
      <c r="AQ173" s="37"/>
      <c r="AR173" s="37"/>
      <c r="AS173" s="37"/>
      <c r="AT173" s="37"/>
      <c r="AU173" s="37"/>
      <c r="AV173" s="37"/>
      <c r="AW173" s="37"/>
      <c r="AX173" s="36"/>
    </row>
    <row r="174" spans="4:50" ht="15" thickBot="1" x14ac:dyDescent="0.4"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  <c r="AO174" s="37"/>
      <c r="AP174" s="37"/>
      <c r="AQ174" s="37"/>
      <c r="AR174" s="37"/>
      <c r="AS174" s="37"/>
      <c r="AT174" s="37"/>
      <c r="AU174" s="37"/>
      <c r="AV174" s="37"/>
      <c r="AW174" s="37"/>
      <c r="AX174" s="36"/>
    </row>
    <row r="175" spans="4:50" ht="15" thickBot="1" x14ac:dyDescent="0.4"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  <c r="AO175" s="37"/>
      <c r="AP175" s="37"/>
      <c r="AQ175" s="37"/>
      <c r="AR175" s="37"/>
      <c r="AS175" s="37"/>
      <c r="AT175" s="37"/>
      <c r="AU175" s="37"/>
      <c r="AV175" s="37"/>
      <c r="AW175" s="37"/>
      <c r="AX175" s="36"/>
    </row>
    <row r="176" spans="4:50" ht="15" thickBot="1" x14ac:dyDescent="0.4"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  <c r="AO176" s="37"/>
      <c r="AP176" s="37"/>
      <c r="AQ176" s="37"/>
      <c r="AR176" s="37"/>
      <c r="AS176" s="37"/>
      <c r="AT176" s="37"/>
      <c r="AU176" s="37"/>
      <c r="AV176" s="37"/>
      <c r="AW176" s="37"/>
      <c r="AX176" s="36"/>
    </row>
    <row r="177" spans="4:50" ht="15" thickBot="1" x14ac:dyDescent="0.4"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  <c r="AO177" s="37"/>
      <c r="AP177" s="37"/>
      <c r="AQ177" s="37"/>
      <c r="AR177" s="37"/>
      <c r="AS177" s="37"/>
      <c r="AT177" s="37"/>
      <c r="AU177" s="37"/>
      <c r="AV177" s="37"/>
      <c r="AW177" s="37"/>
      <c r="AX177" s="36"/>
    </row>
    <row r="178" spans="4:50" ht="15" thickBot="1" x14ac:dyDescent="0.4"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  <c r="AO178" s="37"/>
      <c r="AP178" s="37"/>
      <c r="AQ178" s="37"/>
      <c r="AR178" s="37"/>
      <c r="AS178" s="37"/>
      <c r="AT178" s="37"/>
      <c r="AU178" s="37"/>
      <c r="AV178" s="37"/>
      <c r="AW178" s="37"/>
      <c r="AX178" s="36"/>
    </row>
    <row r="179" spans="4:50" ht="15" thickBot="1" x14ac:dyDescent="0.4"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  <c r="AO179" s="37"/>
      <c r="AP179" s="37"/>
      <c r="AQ179" s="37"/>
      <c r="AR179" s="37"/>
      <c r="AS179" s="37"/>
      <c r="AT179" s="37"/>
      <c r="AU179" s="37"/>
      <c r="AV179" s="37"/>
      <c r="AW179" s="37"/>
      <c r="AX179" s="36"/>
    </row>
    <row r="180" spans="4:50" ht="15" thickBot="1" x14ac:dyDescent="0.4"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  <c r="AO180" s="37"/>
      <c r="AP180" s="37"/>
      <c r="AQ180" s="37"/>
      <c r="AR180" s="37"/>
      <c r="AS180" s="37"/>
      <c r="AT180" s="37"/>
      <c r="AU180" s="37"/>
      <c r="AV180" s="37"/>
      <c r="AW180" s="37"/>
      <c r="AX180" s="36"/>
    </row>
    <row r="181" spans="4:50" ht="15" thickBot="1" x14ac:dyDescent="0.4"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  <c r="AO181" s="37"/>
      <c r="AP181" s="37"/>
      <c r="AQ181" s="37"/>
      <c r="AR181" s="37"/>
      <c r="AS181" s="37"/>
      <c r="AT181" s="37"/>
      <c r="AU181" s="37"/>
      <c r="AV181" s="37"/>
      <c r="AW181" s="37"/>
      <c r="AX181" s="36"/>
    </row>
    <row r="182" spans="4:50" ht="15" thickBot="1" x14ac:dyDescent="0.4"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  <c r="AO182" s="37"/>
      <c r="AP182" s="37"/>
      <c r="AQ182" s="37"/>
      <c r="AR182" s="37"/>
      <c r="AS182" s="37"/>
      <c r="AT182" s="37"/>
      <c r="AU182" s="37"/>
      <c r="AV182" s="37"/>
      <c r="AW182" s="37"/>
      <c r="AX182" s="36"/>
    </row>
    <row r="183" spans="4:50" ht="15" thickBot="1" x14ac:dyDescent="0.4"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  <c r="AO183" s="37"/>
      <c r="AP183" s="37"/>
      <c r="AQ183" s="37"/>
      <c r="AR183" s="37"/>
      <c r="AS183" s="37"/>
      <c r="AT183" s="37"/>
      <c r="AU183" s="37"/>
      <c r="AV183" s="37"/>
      <c r="AW183" s="37"/>
      <c r="AX183" s="36"/>
    </row>
    <row r="184" spans="4:50" ht="15" thickBot="1" x14ac:dyDescent="0.4"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  <c r="AO184" s="37"/>
      <c r="AP184" s="37"/>
      <c r="AQ184" s="37"/>
      <c r="AR184" s="37"/>
      <c r="AS184" s="37"/>
      <c r="AT184" s="37"/>
      <c r="AU184" s="37"/>
      <c r="AV184" s="37"/>
      <c r="AW184" s="37"/>
      <c r="AX184" s="36"/>
    </row>
    <row r="185" spans="4:50" ht="15" thickBot="1" x14ac:dyDescent="0.4"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  <c r="AO185" s="37"/>
      <c r="AP185" s="37"/>
      <c r="AQ185" s="37"/>
      <c r="AR185" s="37"/>
      <c r="AS185" s="37"/>
      <c r="AT185" s="37"/>
      <c r="AU185" s="37"/>
      <c r="AV185" s="37"/>
      <c r="AW185" s="37"/>
      <c r="AX185" s="36"/>
    </row>
    <row r="186" spans="4:50" ht="15" thickBot="1" x14ac:dyDescent="0.4"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  <c r="AO186" s="37"/>
      <c r="AP186" s="37"/>
      <c r="AQ186" s="37"/>
      <c r="AR186" s="37"/>
      <c r="AS186" s="37"/>
      <c r="AT186" s="37"/>
      <c r="AU186" s="37"/>
      <c r="AV186" s="37"/>
      <c r="AW186" s="37"/>
      <c r="AX186" s="36"/>
    </row>
    <row r="187" spans="4:50" ht="15" thickBot="1" x14ac:dyDescent="0.4"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  <c r="AO187" s="37"/>
      <c r="AP187" s="37"/>
      <c r="AQ187" s="37"/>
      <c r="AR187" s="37"/>
      <c r="AS187" s="37"/>
      <c r="AT187" s="37"/>
      <c r="AU187" s="37"/>
      <c r="AV187" s="37"/>
      <c r="AW187" s="37"/>
      <c r="AX187" s="36"/>
    </row>
    <row r="188" spans="4:50" ht="15" thickBot="1" x14ac:dyDescent="0.4"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  <c r="AO188" s="37"/>
      <c r="AP188" s="37"/>
      <c r="AQ188" s="37"/>
      <c r="AR188" s="37"/>
      <c r="AS188" s="37"/>
      <c r="AT188" s="37"/>
      <c r="AU188" s="37"/>
      <c r="AV188" s="37"/>
      <c r="AW188" s="37"/>
      <c r="AX188" s="36"/>
    </row>
    <row r="189" spans="4:50" ht="15" thickBot="1" x14ac:dyDescent="0.4"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  <c r="AO189" s="37"/>
      <c r="AP189" s="37"/>
      <c r="AQ189" s="37"/>
      <c r="AR189" s="37"/>
      <c r="AS189" s="37"/>
      <c r="AT189" s="37"/>
      <c r="AU189" s="37"/>
      <c r="AV189" s="37"/>
      <c r="AW189" s="37"/>
      <c r="AX189" s="36"/>
    </row>
    <row r="190" spans="4:50" ht="15" thickBot="1" x14ac:dyDescent="0.4"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  <c r="AO190" s="37"/>
      <c r="AP190" s="37"/>
      <c r="AQ190" s="37"/>
      <c r="AR190" s="37"/>
      <c r="AS190" s="37"/>
      <c r="AT190" s="37"/>
      <c r="AU190" s="37"/>
      <c r="AV190" s="37"/>
      <c r="AW190" s="37"/>
      <c r="AX190" s="36"/>
    </row>
    <row r="191" spans="4:50" ht="15" thickBot="1" x14ac:dyDescent="0.4"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  <c r="AO191" s="37"/>
      <c r="AP191" s="37"/>
      <c r="AQ191" s="37"/>
      <c r="AR191" s="37"/>
      <c r="AS191" s="37"/>
      <c r="AT191" s="37"/>
      <c r="AU191" s="37"/>
      <c r="AV191" s="37"/>
      <c r="AW191" s="37"/>
      <c r="AX191" s="36"/>
    </row>
    <row r="192" spans="4:50" ht="15" thickBot="1" x14ac:dyDescent="0.4"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  <c r="AO192" s="37"/>
      <c r="AP192" s="37"/>
      <c r="AQ192" s="37"/>
      <c r="AR192" s="37"/>
      <c r="AS192" s="37"/>
      <c r="AT192" s="37"/>
      <c r="AU192" s="37"/>
      <c r="AV192" s="37"/>
      <c r="AW192" s="37"/>
      <c r="AX192" s="36"/>
    </row>
    <row r="193" spans="4:50" ht="15" thickBot="1" x14ac:dyDescent="0.4"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  <c r="AO193" s="37"/>
      <c r="AP193" s="37"/>
      <c r="AQ193" s="37"/>
      <c r="AR193" s="37"/>
      <c r="AS193" s="37"/>
      <c r="AT193" s="37"/>
      <c r="AU193" s="37"/>
      <c r="AV193" s="37"/>
      <c r="AW193" s="37"/>
      <c r="AX193" s="36"/>
    </row>
    <row r="194" spans="4:50" ht="15" thickBot="1" x14ac:dyDescent="0.4"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  <c r="AO194" s="37"/>
      <c r="AP194" s="37"/>
      <c r="AQ194" s="37"/>
      <c r="AR194" s="37"/>
      <c r="AS194" s="37"/>
      <c r="AT194" s="37"/>
      <c r="AU194" s="37"/>
      <c r="AV194" s="37"/>
      <c r="AW194" s="37"/>
      <c r="AX194" s="36"/>
    </row>
    <row r="195" spans="4:50" ht="15" thickBot="1" x14ac:dyDescent="0.4"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  <c r="AO195" s="37"/>
      <c r="AP195" s="37"/>
      <c r="AQ195" s="37"/>
      <c r="AR195" s="37"/>
      <c r="AS195" s="37"/>
      <c r="AT195" s="37"/>
      <c r="AU195" s="37"/>
      <c r="AV195" s="37"/>
      <c r="AW195" s="37"/>
      <c r="AX195" s="36"/>
    </row>
    <row r="196" spans="4:50" ht="15" thickBot="1" x14ac:dyDescent="0.4"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  <c r="AO196" s="37"/>
      <c r="AP196" s="37"/>
      <c r="AQ196" s="37"/>
      <c r="AR196" s="37"/>
      <c r="AS196" s="37"/>
      <c r="AT196" s="37"/>
      <c r="AU196" s="37"/>
      <c r="AV196" s="37"/>
      <c r="AW196" s="37"/>
      <c r="AX196" s="36"/>
    </row>
    <row r="197" spans="4:50" ht="15" thickBot="1" x14ac:dyDescent="0.4"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  <c r="AO197" s="37"/>
      <c r="AP197" s="37"/>
      <c r="AQ197" s="37"/>
      <c r="AR197" s="37"/>
      <c r="AS197" s="37"/>
      <c r="AT197" s="37"/>
      <c r="AU197" s="37"/>
      <c r="AV197" s="37"/>
      <c r="AW197" s="37"/>
      <c r="AX197" s="36"/>
    </row>
    <row r="198" spans="4:50" ht="15" thickBot="1" x14ac:dyDescent="0.4"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  <c r="AO198" s="37"/>
      <c r="AP198" s="37"/>
      <c r="AQ198" s="37"/>
      <c r="AR198" s="37"/>
      <c r="AS198" s="37"/>
      <c r="AT198" s="37"/>
      <c r="AU198" s="37"/>
      <c r="AV198" s="37"/>
      <c r="AW198" s="37"/>
      <c r="AX198" s="36"/>
    </row>
    <row r="199" spans="4:50" ht="15" thickBot="1" x14ac:dyDescent="0.4"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  <c r="AO199" s="37"/>
      <c r="AP199" s="37"/>
      <c r="AQ199" s="37"/>
      <c r="AR199" s="37"/>
      <c r="AS199" s="37"/>
      <c r="AT199" s="37"/>
      <c r="AU199" s="37"/>
      <c r="AV199" s="37"/>
      <c r="AW199" s="37"/>
      <c r="AX199" s="36"/>
    </row>
    <row r="200" spans="4:50" ht="15" thickBot="1" x14ac:dyDescent="0.4"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  <c r="AO200" s="37"/>
      <c r="AP200" s="37"/>
      <c r="AQ200" s="37"/>
      <c r="AR200" s="37"/>
      <c r="AS200" s="37"/>
      <c r="AT200" s="37"/>
      <c r="AU200" s="37"/>
      <c r="AV200" s="37"/>
      <c r="AW200" s="37"/>
      <c r="AX200" s="36"/>
    </row>
    <row r="201" spans="4:50" ht="15" thickBot="1" x14ac:dyDescent="0.4"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  <c r="AO201" s="37"/>
      <c r="AP201" s="37"/>
      <c r="AQ201" s="37"/>
      <c r="AR201" s="37"/>
      <c r="AS201" s="37"/>
      <c r="AT201" s="37"/>
      <c r="AU201" s="37"/>
      <c r="AV201" s="37"/>
      <c r="AW201" s="37"/>
      <c r="AX201" s="36"/>
    </row>
    <row r="202" spans="4:50" ht="15" thickBot="1" x14ac:dyDescent="0.4"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  <c r="AN202" s="37"/>
      <c r="AO202" s="37"/>
      <c r="AP202" s="37"/>
      <c r="AQ202" s="37"/>
      <c r="AR202" s="37"/>
      <c r="AS202" s="37"/>
      <c r="AT202" s="37"/>
      <c r="AU202" s="37"/>
      <c r="AV202" s="37"/>
      <c r="AW202" s="37"/>
      <c r="AX202" s="36"/>
    </row>
    <row r="203" spans="4:50" ht="15" thickBot="1" x14ac:dyDescent="0.4"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  <c r="AO203" s="37"/>
      <c r="AP203" s="37"/>
      <c r="AQ203" s="37"/>
      <c r="AR203" s="37"/>
      <c r="AS203" s="37"/>
      <c r="AT203" s="37"/>
      <c r="AU203" s="37"/>
      <c r="AV203" s="37"/>
      <c r="AW203" s="37"/>
      <c r="AX203" s="36"/>
    </row>
    <row r="204" spans="4:50" ht="15" thickBot="1" x14ac:dyDescent="0.4"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  <c r="AO204" s="37"/>
      <c r="AP204" s="37"/>
      <c r="AQ204" s="37"/>
      <c r="AR204" s="37"/>
      <c r="AS204" s="37"/>
      <c r="AT204" s="37"/>
      <c r="AU204" s="37"/>
      <c r="AV204" s="37"/>
      <c r="AW204" s="37"/>
      <c r="AX204" s="36"/>
    </row>
    <row r="205" spans="4:50" ht="15" thickBot="1" x14ac:dyDescent="0.4"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  <c r="AN205" s="37"/>
      <c r="AO205" s="37"/>
      <c r="AP205" s="37"/>
      <c r="AQ205" s="37"/>
      <c r="AR205" s="37"/>
      <c r="AS205" s="37"/>
      <c r="AT205" s="37"/>
      <c r="AU205" s="37"/>
      <c r="AV205" s="37"/>
      <c r="AW205" s="37"/>
      <c r="AX205" s="36"/>
    </row>
    <row r="206" spans="4:50" ht="15" thickBot="1" x14ac:dyDescent="0.4"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  <c r="AO206" s="37"/>
      <c r="AP206" s="37"/>
      <c r="AQ206" s="37"/>
      <c r="AR206" s="37"/>
      <c r="AS206" s="37"/>
      <c r="AT206" s="37"/>
      <c r="AU206" s="37"/>
      <c r="AV206" s="37"/>
      <c r="AW206" s="37"/>
      <c r="AX206" s="36"/>
    </row>
    <row r="207" spans="4:50" ht="15" thickBot="1" x14ac:dyDescent="0.4"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  <c r="AO207" s="37"/>
      <c r="AP207" s="37"/>
      <c r="AQ207" s="37"/>
      <c r="AR207" s="37"/>
      <c r="AS207" s="37"/>
      <c r="AT207" s="37"/>
      <c r="AU207" s="37"/>
      <c r="AV207" s="37"/>
      <c r="AW207" s="37"/>
      <c r="AX207" s="36"/>
    </row>
    <row r="208" spans="4:50" ht="15" thickBot="1" x14ac:dyDescent="0.4"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  <c r="AO208" s="37"/>
      <c r="AP208" s="37"/>
      <c r="AQ208" s="37"/>
      <c r="AR208" s="37"/>
      <c r="AS208" s="37"/>
      <c r="AT208" s="37"/>
      <c r="AU208" s="37"/>
      <c r="AV208" s="37"/>
      <c r="AW208" s="37"/>
      <c r="AX208" s="36"/>
    </row>
    <row r="209" spans="4:50" ht="15" thickBot="1" x14ac:dyDescent="0.4"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  <c r="AO209" s="37"/>
      <c r="AP209" s="37"/>
      <c r="AQ209" s="37"/>
      <c r="AR209" s="37"/>
      <c r="AS209" s="37"/>
      <c r="AT209" s="37"/>
      <c r="AU209" s="37"/>
      <c r="AV209" s="37"/>
      <c r="AW209" s="37"/>
      <c r="AX209" s="36"/>
    </row>
    <row r="210" spans="4:50" ht="15" thickBot="1" x14ac:dyDescent="0.4"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  <c r="AN210" s="37"/>
      <c r="AO210" s="37"/>
      <c r="AP210" s="37"/>
      <c r="AQ210" s="37"/>
      <c r="AR210" s="37"/>
      <c r="AS210" s="37"/>
      <c r="AT210" s="37"/>
      <c r="AU210" s="37"/>
      <c r="AV210" s="37"/>
      <c r="AW210" s="37"/>
      <c r="AX210" s="36"/>
    </row>
    <row r="211" spans="4:50" ht="15" thickBot="1" x14ac:dyDescent="0.4"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  <c r="AO211" s="37"/>
      <c r="AP211" s="37"/>
      <c r="AQ211" s="37"/>
      <c r="AR211" s="37"/>
      <c r="AS211" s="37"/>
      <c r="AT211" s="37"/>
      <c r="AU211" s="37"/>
      <c r="AV211" s="37"/>
      <c r="AW211" s="37"/>
      <c r="AX211" s="36"/>
    </row>
    <row r="212" spans="4:50" ht="15" thickBot="1" x14ac:dyDescent="0.4"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  <c r="AO212" s="37"/>
      <c r="AP212" s="37"/>
      <c r="AQ212" s="37"/>
      <c r="AR212" s="37"/>
      <c r="AS212" s="37"/>
      <c r="AT212" s="37"/>
      <c r="AU212" s="37"/>
      <c r="AV212" s="37"/>
      <c r="AW212" s="37"/>
      <c r="AX212" s="36"/>
    </row>
    <row r="213" spans="4:50" ht="15" thickBot="1" x14ac:dyDescent="0.4"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  <c r="AO213" s="37"/>
      <c r="AP213" s="37"/>
      <c r="AQ213" s="37"/>
      <c r="AR213" s="37"/>
      <c r="AS213" s="37"/>
      <c r="AT213" s="37"/>
      <c r="AU213" s="37"/>
      <c r="AV213" s="37"/>
      <c r="AW213" s="37"/>
      <c r="AX213" s="36"/>
    </row>
    <row r="214" spans="4:50" ht="15" thickBot="1" x14ac:dyDescent="0.4"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  <c r="AN214" s="37"/>
      <c r="AO214" s="37"/>
      <c r="AP214" s="37"/>
      <c r="AQ214" s="37"/>
      <c r="AR214" s="37"/>
      <c r="AS214" s="37"/>
      <c r="AT214" s="37"/>
      <c r="AU214" s="37"/>
      <c r="AV214" s="37"/>
      <c r="AW214" s="37"/>
      <c r="AX214" s="36"/>
    </row>
    <row r="215" spans="4:50" ht="15" thickBot="1" x14ac:dyDescent="0.4"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37"/>
      <c r="AO215" s="37"/>
      <c r="AP215" s="37"/>
      <c r="AQ215" s="37"/>
      <c r="AR215" s="37"/>
      <c r="AS215" s="37"/>
      <c r="AT215" s="37"/>
      <c r="AU215" s="37"/>
      <c r="AV215" s="37"/>
      <c r="AW215" s="37"/>
      <c r="AX215" s="36"/>
    </row>
    <row r="216" spans="4:50" ht="15" thickBot="1" x14ac:dyDescent="0.4"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  <c r="AO216" s="37"/>
      <c r="AP216" s="37"/>
      <c r="AQ216" s="37"/>
      <c r="AR216" s="37"/>
      <c r="AS216" s="37"/>
      <c r="AT216" s="37"/>
      <c r="AU216" s="37"/>
      <c r="AV216" s="37"/>
      <c r="AW216" s="37"/>
      <c r="AX216" s="36"/>
    </row>
    <row r="217" spans="4:50" ht="15" thickBot="1" x14ac:dyDescent="0.4"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  <c r="AO217" s="37"/>
      <c r="AP217" s="37"/>
      <c r="AQ217" s="37"/>
      <c r="AR217" s="37"/>
      <c r="AS217" s="37"/>
      <c r="AT217" s="37"/>
      <c r="AU217" s="37"/>
      <c r="AV217" s="37"/>
      <c r="AW217" s="37"/>
      <c r="AX217" s="36"/>
    </row>
    <row r="218" spans="4:50" ht="15" thickBot="1" x14ac:dyDescent="0.4"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  <c r="AO218" s="37"/>
      <c r="AP218" s="37"/>
      <c r="AQ218" s="37"/>
      <c r="AR218" s="37"/>
      <c r="AS218" s="37"/>
      <c r="AT218" s="37"/>
      <c r="AU218" s="37"/>
      <c r="AV218" s="37"/>
      <c r="AW218" s="37"/>
      <c r="AX218" s="36"/>
    </row>
    <row r="219" spans="4:50" ht="15" thickBot="1" x14ac:dyDescent="0.4"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  <c r="AO219" s="37"/>
      <c r="AP219" s="37"/>
      <c r="AQ219" s="37"/>
      <c r="AR219" s="37"/>
      <c r="AS219" s="37"/>
      <c r="AT219" s="37"/>
      <c r="AU219" s="37"/>
      <c r="AV219" s="37"/>
      <c r="AW219" s="37"/>
      <c r="AX219" s="36"/>
    </row>
    <row r="220" spans="4:50" ht="15" thickBot="1" x14ac:dyDescent="0.4"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  <c r="AO220" s="37"/>
      <c r="AP220" s="37"/>
      <c r="AQ220" s="37"/>
      <c r="AR220" s="37"/>
      <c r="AS220" s="37"/>
      <c r="AT220" s="37"/>
      <c r="AU220" s="37"/>
      <c r="AV220" s="37"/>
      <c r="AW220" s="37"/>
      <c r="AX220" s="36"/>
    </row>
    <row r="221" spans="4:50" ht="15" thickBot="1" x14ac:dyDescent="0.4"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37"/>
      <c r="AO221" s="37"/>
      <c r="AP221" s="37"/>
      <c r="AQ221" s="37"/>
      <c r="AR221" s="37"/>
      <c r="AS221" s="37"/>
      <c r="AT221" s="37"/>
      <c r="AU221" s="37"/>
      <c r="AV221" s="37"/>
      <c r="AW221" s="37"/>
      <c r="AX221" s="36"/>
    </row>
    <row r="222" spans="4:50" ht="15" thickBot="1" x14ac:dyDescent="0.4"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7"/>
      <c r="AO222" s="37"/>
      <c r="AP222" s="37"/>
      <c r="AQ222" s="37"/>
      <c r="AR222" s="37"/>
      <c r="AS222" s="37"/>
      <c r="AT222" s="37"/>
      <c r="AU222" s="37"/>
      <c r="AV222" s="37"/>
      <c r="AW222" s="37"/>
      <c r="AX222" s="36"/>
    </row>
    <row r="223" spans="4:50" ht="15" thickBot="1" x14ac:dyDescent="0.4"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  <c r="AN223" s="37"/>
      <c r="AO223" s="37"/>
      <c r="AP223" s="37"/>
      <c r="AQ223" s="37"/>
      <c r="AR223" s="37"/>
      <c r="AS223" s="37"/>
      <c r="AT223" s="37"/>
      <c r="AU223" s="37"/>
      <c r="AV223" s="37"/>
      <c r="AW223" s="37"/>
      <c r="AX223" s="36"/>
    </row>
    <row r="224" spans="4:50" ht="15" thickBot="1" x14ac:dyDescent="0.4"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  <c r="AN224" s="37"/>
      <c r="AO224" s="37"/>
      <c r="AP224" s="37"/>
      <c r="AQ224" s="37"/>
      <c r="AR224" s="37"/>
      <c r="AS224" s="37"/>
      <c r="AT224" s="37"/>
      <c r="AU224" s="37"/>
      <c r="AV224" s="37"/>
      <c r="AW224" s="37"/>
      <c r="AX224" s="36"/>
    </row>
    <row r="225" spans="4:50" ht="15" thickBot="1" x14ac:dyDescent="0.4"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7"/>
      <c r="AN225" s="37"/>
      <c r="AO225" s="37"/>
      <c r="AP225" s="37"/>
      <c r="AQ225" s="37"/>
      <c r="AR225" s="37"/>
      <c r="AS225" s="37"/>
      <c r="AT225" s="37"/>
      <c r="AU225" s="37"/>
      <c r="AV225" s="37"/>
      <c r="AW225" s="37"/>
      <c r="AX225" s="36"/>
    </row>
    <row r="226" spans="4:50" ht="15" thickBot="1" x14ac:dyDescent="0.4"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  <c r="AM226" s="37"/>
      <c r="AN226" s="37"/>
      <c r="AO226" s="37"/>
      <c r="AP226" s="37"/>
      <c r="AQ226" s="37"/>
      <c r="AR226" s="37"/>
      <c r="AS226" s="37"/>
      <c r="AT226" s="37"/>
      <c r="AU226" s="37"/>
      <c r="AV226" s="37"/>
      <c r="AW226" s="37"/>
      <c r="AX226" s="36"/>
    </row>
    <row r="227" spans="4:50" ht="15" thickBot="1" x14ac:dyDescent="0.4"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  <c r="AM227" s="37"/>
      <c r="AN227" s="37"/>
      <c r="AO227" s="37"/>
      <c r="AP227" s="37"/>
      <c r="AQ227" s="37"/>
      <c r="AR227" s="37"/>
      <c r="AS227" s="37"/>
      <c r="AT227" s="37"/>
      <c r="AU227" s="37"/>
      <c r="AV227" s="37"/>
      <c r="AW227" s="37"/>
      <c r="AX227" s="36"/>
    </row>
    <row r="228" spans="4:50" ht="15" thickBot="1" x14ac:dyDescent="0.4"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  <c r="AH228" s="37"/>
      <c r="AI228" s="37"/>
      <c r="AJ228" s="37"/>
      <c r="AK228" s="37"/>
      <c r="AL228" s="37"/>
      <c r="AM228" s="37"/>
      <c r="AN228" s="37"/>
      <c r="AO228" s="37"/>
      <c r="AP228" s="37"/>
      <c r="AQ228" s="37"/>
      <c r="AR228" s="37"/>
      <c r="AS228" s="37"/>
      <c r="AT228" s="37"/>
      <c r="AU228" s="37"/>
      <c r="AV228" s="37"/>
      <c r="AW228" s="37"/>
      <c r="AX228" s="36"/>
    </row>
    <row r="229" spans="4:50" ht="15" thickBot="1" x14ac:dyDescent="0.4"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37"/>
      <c r="AH229" s="37"/>
      <c r="AI229" s="37"/>
      <c r="AJ229" s="37"/>
      <c r="AK229" s="37"/>
      <c r="AL229" s="37"/>
      <c r="AM229" s="37"/>
      <c r="AN229" s="37"/>
      <c r="AO229" s="37"/>
      <c r="AP229" s="37"/>
      <c r="AQ229" s="37"/>
      <c r="AR229" s="37"/>
      <c r="AS229" s="37"/>
      <c r="AT229" s="37"/>
      <c r="AU229" s="37"/>
      <c r="AV229" s="37"/>
      <c r="AW229" s="37"/>
      <c r="AX229" s="36"/>
    </row>
    <row r="230" spans="4:50" ht="15" thickBot="1" x14ac:dyDescent="0.4"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37"/>
      <c r="AH230" s="37"/>
      <c r="AI230" s="37"/>
      <c r="AJ230" s="37"/>
      <c r="AK230" s="37"/>
      <c r="AL230" s="37"/>
      <c r="AM230" s="37"/>
      <c r="AN230" s="37"/>
      <c r="AO230" s="37"/>
      <c r="AP230" s="37"/>
      <c r="AQ230" s="37"/>
      <c r="AR230" s="37"/>
      <c r="AS230" s="37"/>
      <c r="AT230" s="37"/>
      <c r="AU230" s="37"/>
      <c r="AV230" s="37"/>
      <c r="AW230" s="37"/>
      <c r="AX230" s="36"/>
    </row>
    <row r="231" spans="4:50" ht="15" thickBot="1" x14ac:dyDescent="0.4"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37"/>
      <c r="AH231" s="37"/>
      <c r="AI231" s="37"/>
      <c r="AJ231" s="37"/>
      <c r="AK231" s="37"/>
      <c r="AL231" s="37"/>
      <c r="AM231" s="37"/>
      <c r="AN231" s="37"/>
      <c r="AO231" s="37"/>
      <c r="AP231" s="37"/>
      <c r="AQ231" s="37"/>
      <c r="AR231" s="37"/>
      <c r="AS231" s="37"/>
      <c r="AT231" s="37"/>
      <c r="AU231" s="37"/>
      <c r="AV231" s="37"/>
      <c r="AW231" s="37"/>
      <c r="AX231" s="36"/>
    </row>
    <row r="232" spans="4:50" ht="15" thickBot="1" x14ac:dyDescent="0.4"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37"/>
      <c r="AH232" s="37"/>
      <c r="AI232" s="37"/>
      <c r="AJ232" s="37"/>
      <c r="AK232" s="37"/>
      <c r="AL232" s="37"/>
      <c r="AM232" s="37"/>
      <c r="AN232" s="37"/>
      <c r="AO232" s="37"/>
      <c r="AP232" s="37"/>
      <c r="AQ232" s="37"/>
      <c r="AR232" s="37"/>
      <c r="AS232" s="37"/>
      <c r="AT232" s="37"/>
      <c r="AU232" s="37"/>
      <c r="AV232" s="37"/>
      <c r="AW232" s="37"/>
      <c r="AX232" s="36"/>
    </row>
    <row r="233" spans="4:50" ht="15" thickBot="1" x14ac:dyDescent="0.4"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  <c r="AM233" s="37"/>
      <c r="AN233" s="37"/>
      <c r="AO233" s="37"/>
      <c r="AP233" s="37"/>
      <c r="AQ233" s="37"/>
      <c r="AR233" s="37"/>
      <c r="AS233" s="37"/>
      <c r="AT233" s="37"/>
      <c r="AU233" s="37"/>
      <c r="AV233" s="37"/>
      <c r="AW233" s="37"/>
      <c r="AX233" s="36"/>
    </row>
    <row r="234" spans="4:50" ht="15" thickBot="1" x14ac:dyDescent="0.4"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37"/>
      <c r="AH234" s="37"/>
      <c r="AI234" s="37"/>
      <c r="AJ234" s="37"/>
      <c r="AK234" s="37"/>
      <c r="AL234" s="37"/>
      <c r="AM234" s="37"/>
      <c r="AN234" s="37"/>
      <c r="AO234" s="37"/>
      <c r="AP234" s="37"/>
      <c r="AQ234" s="37"/>
      <c r="AR234" s="37"/>
      <c r="AS234" s="37"/>
      <c r="AT234" s="37"/>
      <c r="AU234" s="37"/>
      <c r="AV234" s="37"/>
      <c r="AW234" s="37"/>
      <c r="AX234" s="36"/>
    </row>
    <row r="235" spans="4:50" ht="15" thickBot="1" x14ac:dyDescent="0.4"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37"/>
      <c r="AH235" s="37"/>
      <c r="AI235" s="37"/>
      <c r="AJ235" s="37"/>
      <c r="AK235" s="37"/>
      <c r="AL235" s="37"/>
      <c r="AM235" s="37"/>
      <c r="AN235" s="37"/>
      <c r="AO235" s="37"/>
      <c r="AP235" s="37"/>
      <c r="AQ235" s="37"/>
      <c r="AR235" s="37"/>
      <c r="AS235" s="37"/>
      <c r="AT235" s="37"/>
      <c r="AU235" s="37"/>
      <c r="AV235" s="37"/>
      <c r="AW235" s="37"/>
      <c r="AX235" s="36"/>
    </row>
    <row r="236" spans="4:50" ht="15" thickBot="1" x14ac:dyDescent="0.4"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  <c r="AH236" s="37"/>
      <c r="AI236" s="37"/>
      <c r="AJ236" s="37"/>
      <c r="AK236" s="37"/>
      <c r="AL236" s="37"/>
      <c r="AM236" s="37"/>
      <c r="AN236" s="37"/>
      <c r="AO236" s="37"/>
      <c r="AP236" s="37"/>
      <c r="AQ236" s="37"/>
      <c r="AR236" s="37"/>
      <c r="AS236" s="37"/>
      <c r="AT236" s="37"/>
      <c r="AU236" s="37"/>
      <c r="AV236" s="37"/>
      <c r="AW236" s="37"/>
      <c r="AX236" s="36"/>
    </row>
    <row r="237" spans="4:50" ht="15" thickBot="1" x14ac:dyDescent="0.4"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37"/>
      <c r="AH237" s="37"/>
      <c r="AI237" s="37"/>
      <c r="AJ237" s="37"/>
      <c r="AK237" s="37"/>
      <c r="AL237" s="37"/>
      <c r="AM237" s="37"/>
      <c r="AN237" s="37"/>
      <c r="AO237" s="37"/>
      <c r="AP237" s="37"/>
      <c r="AQ237" s="37"/>
      <c r="AR237" s="37"/>
      <c r="AS237" s="37"/>
      <c r="AT237" s="37"/>
      <c r="AU237" s="37"/>
      <c r="AV237" s="37"/>
      <c r="AW237" s="37"/>
      <c r="AX237" s="36"/>
    </row>
    <row r="238" spans="4:50" ht="15" thickBot="1" x14ac:dyDescent="0.4"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  <c r="AI238" s="37"/>
      <c r="AJ238" s="37"/>
      <c r="AK238" s="37"/>
      <c r="AL238" s="37"/>
      <c r="AM238" s="37"/>
      <c r="AN238" s="37"/>
      <c r="AO238" s="37"/>
      <c r="AP238" s="37"/>
      <c r="AQ238" s="37"/>
      <c r="AR238" s="37"/>
      <c r="AS238" s="37"/>
      <c r="AT238" s="37"/>
      <c r="AU238" s="37"/>
      <c r="AV238" s="37"/>
      <c r="AW238" s="37"/>
      <c r="AX238" s="36"/>
    </row>
    <row r="239" spans="4:50" ht="15" thickBot="1" x14ac:dyDescent="0.4"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37"/>
      <c r="AH239" s="37"/>
      <c r="AI239" s="37"/>
      <c r="AJ239" s="37"/>
      <c r="AK239" s="37"/>
      <c r="AL239" s="37"/>
      <c r="AM239" s="37"/>
      <c r="AN239" s="37"/>
      <c r="AO239" s="37"/>
      <c r="AP239" s="37"/>
      <c r="AQ239" s="37"/>
      <c r="AR239" s="37"/>
      <c r="AS239" s="37"/>
      <c r="AT239" s="37"/>
      <c r="AU239" s="37"/>
      <c r="AV239" s="37"/>
      <c r="AW239" s="37"/>
      <c r="AX239" s="36"/>
    </row>
    <row r="240" spans="4:50" ht="15" thickBot="1" x14ac:dyDescent="0.4"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37"/>
      <c r="AH240" s="37"/>
      <c r="AI240" s="37"/>
      <c r="AJ240" s="37"/>
      <c r="AK240" s="37"/>
      <c r="AL240" s="37"/>
      <c r="AM240" s="37"/>
      <c r="AN240" s="37"/>
      <c r="AO240" s="37"/>
      <c r="AP240" s="37"/>
      <c r="AQ240" s="37"/>
      <c r="AR240" s="37"/>
      <c r="AS240" s="37"/>
      <c r="AT240" s="37"/>
      <c r="AU240" s="37"/>
      <c r="AV240" s="37"/>
      <c r="AW240" s="37"/>
      <c r="AX240" s="36"/>
    </row>
    <row r="241" spans="4:50" ht="15" thickBot="1" x14ac:dyDescent="0.4"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37"/>
      <c r="AH241" s="37"/>
      <c r="AI241" s="37"/>
      <c r="AJ241" s="37"/>
      <c r="AK241" s="37"/>
      <c r="AL241" s="37"/>
      <c r="AM241" s="37"/>
      <c r="AN241" s="37"/>
      <c r="AO241" s="37"/>
      <c r="AP241" s="37"/>
      <c r="AQ241" s="37"/>
      <c r="AR241" s="37"/>
      <c r="AS241" s="37"/>
      <c r="AT241" s="37"/>
      <c r="AU241" s="37"/>
      <c r="AV241" s="37"/>
      <c r="AW241" s="37"/>
      <c r="AX241" s="36"/>
    </row>
    <row r="242" spans="4:50" ht="15" thickBot="1" x14ac:dyDescent="0.4"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37"/>
      <c r="AH242" s="37"/>
      <c r="AI242" s="37"/>
      <c r="AJ242" s="37"/>
      <c r="AK242" s="37"/>
      <c r="AL242" s="37"/>
      <c r="AM242" s="37"/>
      <c r="AN242" s="37"/>
      <c r="AO242" s="37"/>
      <c r="AP242" s="37"/>
      <c r="AQ242" s="37"/>
      <c r="AR242" s="37"/>
      <c r="AS242" s="37"/>
      <c r="AT242" s="37"/>
      <c r="AU242" s="37"/>
      <c r="AV242" s="37"/>
      <c r="AW242" s="37"/>
      <c r="AX242" s="36"/>
    </row>
    <row r="243" spans="4:50" ht="15" thickBot="1" x14ac:dyDescent="0.4"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37"/>
      <c r="AH243" s="37"/>
      <c r="AI243" s="37"/>
      <c r="AJ243" s="37"/>
      <c r="AK243" s="37"/>
      <c r="AL243" s="37"/>
      <c r="AM243" s="37"/>
      <c r="AN243" s="37"/>
      <c r="AO243" s="37"/>
      <c r="AP243" s="37"/>
      <c r="AQ243" s="37"/>
      <c r="AR243" s="37"/>
      <c r="AS243" s="37"/>
      <c r="AT243" s="37"/>
      <c r="AU243" s="37"/>
      <c r="AV243" s="37"/>
      <c r="AW243" s="37"/>
      <c r="AX243" s="36"/>
    </row>
    <row r="244" spans="4:50" ht="15" thickBot="1" x14ac:dyDescent="0.4"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F244" s="37"/>
      <c r="AG244" s="37"/>
      <c r="AH244" s="37"/>
      <c r="AI244" s="37"/>
      <c r="AJ244" s="37"/>
      <c r="AK244" s="37"/>
      <c r="AL244" s="37"/>
      <c r="AM244" s="37"/>
      <c r="AN244" s="37"/>
      <c r="AO244" s="37"/>
      <c r="AP244" s="37"/>
      <c r="AQ244" s="37"/>
      <c r="AR244" s="37"/>
      <c r="AS244" s="37"/>
      <c r="AT244" s="37"/>
      <c r="AU244" s="37"/>
      <c r="AV244" s="37"/>
      <c r="AW244" s="37"/>
      <c r="AX244" s="36"/>
    </row>
    <row r="245" spans="4:50" ht="15" thickBot="1" x14ac:dyDescent="0.4"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F245" s="37"/>
      <c r="AG245" s="37"/>
      <c r="AH245" s="37"/>
      <c r="AI245" s="37"/>
      <c r="AJ245" s="37"/>
      <c r="AK245" s="37"/>
      <c r="AL245" s="37"/>
      <c r="AM245" s="37"/>
      <c r="AN245" s="37"/>
      <c r="AO245" s="37"/>
      <c r="AP245" s="37"/>
      <c r="AQ245" s="37"/>
      <c r="AR245" s="37"/>
      <c r="AS245" s="37"/>
      <c r="AT245" s="37"/>
      <c r="AU245" s="37"/>
      <c r="AV245" s="37"/>
      <c r="AW245" s="37"/>
      <c r="AX245" s="36"/>
    </row>
    <row r="246" spans="4:50" ht="15" thickBot="1" x14ac:dyDescent="0.4"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F246" s="37"/>
      <c r="AG246" s="37"/>
      <c r="AH246" s="37"/>
      <c r="AI246" s="37"/>
      <c r="AJ246" s="37"/>
      <c r="AK246" s="37"/>
      <c r="AL246" s="37"/>
      <c r="AM246" s="37"/>
      <c r="AN246" s="37"/>
      <c r="AO246" s="37"/>
      <c r="AP246" s="37"/>
      <c r="AQ246" s="37"/>
      <c r="AR246" s="37"/>
      <c r="AS246" s="37"/>
      <c r="AT246" s="37"/>
      <c r="AU246" s="37"/>
      <c r="AV246" s="37"/>
      <c r="AW246" s="37"/>
      <c r="AX246" s="36"/>
    </row>
    <row r="247" spans="4:50" ht="15" thickBot="1" x14ac:dyDescent="0.4"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37"/>
      <c r="AG247" s="37"/>
      <c r="AH247" s="37"/>
      <c r="AI247" s="37"/>
      <c r="AJ247" s="37"/>
      <c r="AK247" s="37"/>
      <c r="AL247" s="37"/>
      <c r="AM247" s="37"/>
      <c r="AN247" s="37"/>
      <c r="AO247" s="37"/>
      <c r="AP247" s="37"/>
      <c r="AQ247" s="37"/>
      <c r="AR247" s="37"/>
      <c r="AS247" s="37"/>
      <c r="AT247" s="37"/>
      <c r="AU247" s="37"/>
      <c r="AV247" s="37"/>
      <c r="AW247" s="37"/>
      <c r="AX247" s="36"/>
    </row>
    <row r="248" spans="4:50" ht="15" thickBot="1" x14ac:dyDescent="0.4"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F248" s="37"/>
      <c r="AG248" s="37"/>
      <c r="AH248" s="37"/>
      <c r="AI248" s="37"/>
      <c r="AJ248" s="37"/>
      <c r="AK248" s="37"/>
      <c r="AL248" s="37"/>
      <c r="AM248" s="37"/>
      <c r="AN248" s="37"/>
      <c r="AO248" s="37"/>
      <c r="AP248" s="37"/>
      <c r="AQ248" s="37"/>
      <c r="AR248" s="37"/>
      <c r="AS248" s="37"/>
      <c r="AT248" s="37"/>
      <c r="AU248" s="37"/>
      <c r="AV248" s="37"/>
      <c r="AW248" s="37"/>
      <c r="AX248" s="36"/>
    </row>
    <row r="249" spans="4:50" ht="15" thickBot="1" x14ac:dyDescent="0.4"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37"/>
      <c r="AG249" s="37"/>
      <c r="AH249" s="37"/>
      <c r="AI249" s="37"/>
      <c r="AJ249" s="37"/>
      <c r="AK249" s="37"/>
      <c r="AL249" s="37"/>
      <c r="AM249" s="37"/>
      <c r="AN249" s="37"/>
      <c r="AO249" s="37"/>
      <c r="AP249" s="37"/>
      <c r="AQ249" s="37"/>
      <c r="AR249" s="37"/>
      <c r="AS249" s="37"/>
      <c r="AT249" s="37"/>
      <c r="AU249" s="37"/>
      <c r="AV249" s="37"/>
      <c r="AW249" s="37"/>
      <c r="AX249" s="36"/>
    </row>
    <row r="250" spans="4:50" ht="15" thickBot="1" x14ac:dyDescent="0.4"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37"/>
      <c r="AG250" s="37"/>
      <c r="AH250" s="37"/>
      <c r="AI250" s="37"/>
      <c r="AJ250" s="37"/>
      <c r="AK250" s="37"/>
      <c r="AL250" s="37"/>
      <c r="AM250" s="37"/>
      <c r="AN250" s="37"/>
      <c r="AO250" s="37"/>
      <c r="AP250" s="37"/>
      <c r="AQ250" s="37"/>
      <c r="AR250" s="37"/>
      <c r="AS250" s="37"/>
      <c r="AT250" s="37"/>
      <c r="AU250" s="37"/>
      <c r="AV250" s="37"/>
      <c r="AW250" s="37"/>
      <c r="AX250" s="36"/>
    </row>
    <row r="251" spans="4:50" ht="15" thickBot="1" x14ac:dyDescent="0.4"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37"/>
      <c r="AG251" s="37"/>
      <c r="AH251" s="37"/>
      <c r="AI251" s="37"/>
      <c r="AJ251" s="37"/>
      <c r="AK251" s="37"/>
      <c r="AL251" s="37"/>
      <c r="AM251" s="37"/>
      <c r="AN251" s="37"/>
      <c r="AO251" s="37"/>
      <c r="AP251" s="37"/>
      <c r="AQ251" s="37"/>
      <c r="AR251" s="37"/>
      <c r="AS251" s="37"/>
      <c r="AT251" s="37"/>
      <c r="AU251" s="37"/>
      <c r="AV251" s="37"/>
      <c r="AW251" s="37"/>
      <c r="AX251" s="36"/>
    </row>
    <row r="252" spans="4:50" ht="15" thickBot="1" x14ac:dyDescent="0.4"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7"/>
      <c r="AN252" s="37"/>
      <c r="AO252" s="37"/>
      <c r="AP252" s="37"/>
      <c r="AQ252" s="37"/>
      <c r="AR252" s="37"/>
      <c r="AS252" s="37"/>
      <c r="AT252" s="37"/>
      <c r="AU252" s="37"/>
      <c r="AV252" s="37"/>
      <c r="AW252" s="37"/>
      <c r="AX252" s="36"/>
    </row>
    <row r="253" spans="4:50" ht="15" thickBot="1" x14ac:dyDescent="0.4"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F253" s="37"/>
      <c r="AG253" s="37"/>
      <c r="AH253" s="37"/>
      <c r="AI253" s="37"/>
      <c r="AJ253" s="37"/>
      <c r="AK253" s="37"/>
      <c r="AL253" s="37"/>
      <c r="AM253" s="37"/>
      <c r="AN253" s="37"/>
      <c r="AO253" s="37"/>
      <c r="AP253" s="37"/>
      <c r="AQ253" s="37"/>
      <c r="AR253" s="37"/>
      <c r="AS253" s="37"/>
      <c r="AT253" s="37"/>
      <c r="AU253" s="37"/>
      <c r="AV253" s="37"/>
      <c r="AW253" s="37"/>
      <c r="AX253" s="36"/>
    </row>
    <row r="254" spans="4:50" ht="15" thickBot="1" x14ac:dyDescent="0.4"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37"/>
      <c r="AG254" s="37"/>
      <c r="AH254" s="37"/>
      <c r="AI254" s="37"/>
      <c r="AJ254" s="37"/>
      <c r="AK254" s="37"/>
      <c r="AL254" s="37"/>
      <c r="AM254" s="37"/>
      <c r="AN254" s="37"/>
      <c r="AO254" s="37"/>
      <c r="AP254" s="37"/>
      <c r="AQ254" s="37"/>
      <c r="AR254" s="37"/>
      <c r="AS254" s="37"/>
      <c r="AT254" s="37"/>
      <c r="AU254" s="37"/>
      <c r="AV254" s="37"/>
      <c r="AW254" s="37"/>
      <c r="AX254" s="36"/>
    </row>
    <row r="255" spans="4:50" ht="15" thickBot="1" x14ac:dyDescent="0.4"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37"/>
      <c r="AH255" s="37"/>
      <c r="AI255" s="37"/>
      <c r="AJ255" s="37"/>
      <c r="AK255" s="37"/>
      <c r="AL255" s="37"/>
      <c r="AM255" s="37"/>
      <c r="AN255" s="37"/>
      <c r="AO255" s="37"/>
      <c r="AP255" s="37"/>
      <c r="AQ255" s="37"/>
      <c r="AR255" s="37"/>
      <c r="AS255" s="37"/>
      <c r="AT255" s="37"/>
      <c r="AU255" s="37"/>
      <c r="AV255" s="37"/>
      <c r="AW255" s="37"/>
      <c r="AX255" s="36"/>
    </row>
    <row r="256" spans="4:50" ht="15" thickBot="1" x14ac:dyDescent="0.4"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37"/>
      <c r="AG256" s="37"/>
      <c r="AH256" s="37"/>
      <c r="AI256" s="37"/>
      <c r="AJ256" s="37"/>
      <c r="AK256" s="37"/>
      <c r="AL256" s="37"/>
      <c r="AM256" s="37"/>
      <c r="AN256" s="37"/>
      <c r="AO256" s="37"/>
      <c r="AP256" s="37"/>
      <c r="AQ256" s="37"/>
      <c r="AR256" s="37"/>
      <c r="AS256" s="37"/>
      <c r="AT256" s="37"/>
      <c r="AU256" s="37"/>
      <c r="AV256" s="37"/>
      <c r="AW256" s="37"/>
      <c r="AX256" s="36"/>
    </row>
    <row r="257" spans="4:50" ht="15" thickBot="1" x14ac:dyDescent="0.4"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37"/>
      <c r="AG257" s="37"/>
      <c r="AH257" s="37"/>
      <c r="AI257" s="37"/>
      <c r="AJ257" s="37"/>
      <c r="AK257" s="37"/>
      <c r="AL257" s="37"/>
      <c r="AM257" s="37"/>
      <c r="AN257" s="37"/>
      <c r="AO257" s="37"/>
      <c r="AP257" s="37"/>
      <c r="AQ257" s="37"/>
      <c r="AR257" s="37"/>
      <c r="AS257" s="37"/>
      <c r="AT257" s="37"/>
      <c r="AU257" s="37"/>
      <c r="AV257" s="37"/>
      <c r="AW257" s="37"/>
      <c r="AX257" s="36"/>
    </row>
    <row r="258" spans="4:50" ht="15" thickBot="1" x14ac:dyDescent="0.4"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37"/>
      <c r="AH258" s="37"/>
      <c r="AI258" s="37"/>
      <c r="AJ258" s="37"/>
      <c r="AK258" s="37"/>
      <c r="AL258" s="37"/>
      <c r="AM258" s="37"/>
      <c r="AN258" s="37"/>
      <c r="AO258" s="37"/>
      <c r="AP258" s="37"/>
      <c r="AQ258" s="37"/>
      <c r="AR258" s="37"/>
      <c r="AS258" s="37"/>
      <c r="AT258" s="37"/>
      <c r="AU258" s="37"/>
      <c r="AV258" s="37"/>
      <c r="AW258" s="37"/>
      <c r="AX258" s="36"/>
    </row>
    <row r="259" spans="4:50" ht="15" thickBot="1" x14ac:dyDescent="0.4"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37"/>
      <c r="AG259" s="37"/>
      <c r="AH259" s="37"/>
      <c r="AI259" s="37"/>
      <c r="AJ259" s="37"/>
      <c r="AK259" s="37"/>
      <c r="AL259" s="37"/>
      <c r="AM259" s="37"/>
      <c r="AN259" s="37"/>
      <c r="AO259" s="37"/>
      <c r="AP259" s="37"/>
      <c r="AQ259" s="37"/>
      <c r="AR259" s="37"/>
      <c r="AS259" s="37"/>
      <c r="AT259" s="37"/>
      <c r="AU259" s="37"/>
      <c r="AV259" s="37"/>
      <c r="AW259" s="37"/>
      <c r="AX259" s="36"/>
    </row>
    <row r="260" spans="4:50" ht="15" thickBot="1" x14ac:dyDescent="0.4"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37"/>
      <c r="AG260" s="37"/>
      <c r="AH260" s="37"/>
      <c r="AI260" s="37"/>
      <c r="AJ260" s="37"/>
      <c r="AK260" s="37"/>
      <c r="AL260" s="37"/>
      <c r="AM260" s="37"/>
      <c r="AN260" s="37"/>
      <c r="AO260" s="37"/>
      <c r="AP260" s="37"/>
      <c r="AQ260" s="37"/>
      <c r="AR260" s="37"/>
      <c r="AS260" s="37"/>
      <c r="AT260" s="37"/>
      <c r="AU260" s="37"/>
      <c r="AV260" s="37"/>
      <c r="AW260" s="37"/>
      <c r="AX260" s="36"/>
    </row>
    <row r="261" spans="4:50" ht="15" thickBot="1" x14ac:dyDescent="0.4"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37"/>
      <c r="AG261" s="37"/>
      <c r="AH261" s="37"/>
      <c r="AI261" s="37"/>
      <c r="AJ261" s="37"/>
      <c r="AK261" s="37"/>
      <c r="AL261" s="37"/>
      <c r="AM261" s="37"/>
      <c r="AN261" s="37"/>
      <c r="AO261" s="37"/>
      <c r="AP261" s="37"/>
      <c r="AQ261" s="37"/>
      <c r="AR261" s="37"/>
      <c r="AS261" s="37"/>
      <c r="AT261" s="37"/>
      <c r="AU261" s="37"/>
      <c r="AV261" s="37"/>
      <c r="AW261" s="37"/>
      <c r="AX261" s="36"/>
    </row>
    <row r="262" spans="4:50" ht="15" thickBot="1" x14ac:dyDescent="0.4"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37"/>
      <c r="AG262" s="37"/>
      <c r="AH262" s="37"/>
      <c r="AI262" s="37"/>
      <c r="AJ262" s="37"/>
      <c r="AK262" s="37"/>
      <c r="AL262" s="37"/>
      <c r="AM262" s="37"/>
      <c r="AN262" s="37"/>
      <c r="AO262" s="37"/>
      <c r="AP262" s="37"/>
      <c r="AQ262" s="37"/>
      <c r="AR262" s="37"/>
      <c r="AS262" s="37"/>
      <c r="AT262" s="37"/>
      <c r="AU262" s="37"/>
      <c r="AV262" s="37"/>
      <c r="AW262" s="37"/>
      <c r="AX262" s="36"/>
    </row>
    <row r="263" spans="4:50" ht="15" thickBot="1" x14ac:dyDescent="0.4"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37"/>
      <c r="AG263" s="37"/>
      <c r="AH263" s="37"/>
      <c r="AI263" s="37"/>
      <c r="AJ263" s="37"/>
      <c r="AK263" s="37"/>
      <c r="AL263" s="37"/>
      <c r="AM263" s="37"/>
      <c r="AN263" s="37"/>
      <c r="AO263" s="37"/>
      <c r="AP263" s="37"/>
      <c r="AQ263" s="37"/>
      <c r="AR263" s="37"/>
      <c r="AS263" s="37"/>
      <c r="AT263" s="37"/>
      <c r="AU263" s="37"/>
      <c r="AV263" s="37"/>
      <c r="AW263" s="37"/>
      <c r="AX263" s="36"/>
    </row>
    <row r="264" spans="4:50" ht="15" thickBot="1" x14ac:dyDescent="0.4"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37"/>
      <c r="AG264" s="37"/>
      <c r="AH264" s="37"/>
      <c r="AI264" s="37"/>
      <c r="AJ264" s="37"/>
      <c r="AK264" s="37"/>
      <c r="AL264" s="37"/>
      <c r="AM264" s="37"/>
      <c r="AN264" s="37"/>
      <c r="AO264" s="37"/>
      <c r="AP264" s="37"/>
      <c r="AQ264" s="37"/>
      <c r="AR264" s="37"/>
      <c r="AS264" s="37"/>
      <c r="AT264" s="37"/>
      <c r="AU264" s="37"/>
      <c r="AV264" s="37"/>
      <c r="AW264" s="37"/>
      <c r="AX264" s="36"/>
    </row>
    <row r="265" spans="4:50" ht="15" thickBot="1" x14ac:dyDescent="0.4"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37"/>
      <c r="AG265" s="37"/>
      <c r="AH265" s="37"/>
      <c r="AI265" s="37"/>
      <c r="AJ265" s="37"/>
      <c r="AK265" s="37"/>
      <c r="AL265" s="37"/>
      <c r="AM265" s="37"/>
      <c r="AN265" s="37"/>
      <c r="AO265" s="37"/>
      <c r="AP265" s="37"/>
      <c r="AQ265" s="37"/>
      <c r="AR265" s="37"/>
      <c r="AS265" s="37"/>
      <c r="AT265" s="37"/>
      <c r="AU265" s="37"/>
      <c r="AV265" s="37"/>
      <c r="AW265" s="37"/>
      <c r="AX265" s="36"/>
    </row>
    <row r="266" spans="4:50" ht="15" thickBot="1" x14ac:dyDescent="0.4"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  <c r="AF266" s="37"/>
      <c r="AG266" s="37"/>
      <c r="AH266" s="37"/>
      <c r="AI266" s="37"/>
      <c r="AJ266" s="37"/>
      <c r="AK266" s="37"/>
      <c r="AL266" s="37"/>
      <c r="AM266" s="37"/>
      <c r="AN266" s="37"/>
      <c r="AO266" s="37"/>
      <c r="AP266" s="37"/>
      <c r="AQ266" s="37"/>
      <c r="AR266" s="37"/>
      <c r="AS266" s="37"/>
      <c r="AT266" s="37"/>
      <c r="AU266" s="37"/>
      <c r="AV266" s="37"/>
      <c r="AW266" s="37"/>
      <c r="AX266" s="36"/>
    </row>
    <row r="267" spans="4:50" ht="15" thickBot="1" x14ac:dyDescent="0.4"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F267" s="37"/>
      <c r="AG267" s="37"/>
      <c r="AH267" s="37"/>
      <c r="AI267" s="37"/>
      <c r="AJ267" s="37"/>
      <c r="AK267" s="37"/>
      <c r="AL267" s="37"/>
      <c r="AM267" s="37"/>
      <c r="AN267" s="37"/>
      <c r="AO267" s="37"/>
      <c r="AP267" s="37"/>
      <c r="AQ267" s="37"/>
      <c r="AR267" s="37"/>
      <c r="AS267" s="37"/>
      <c r="AT267" s="37"/>
      <c r="AU267" s="37"/>
      <c r="AV267" s="37"/>
      <c r="AW267" s="37"/>
      <c r="AX267" s="36"/>
    </row>
    <row r="268" spans="4:50" ht="15" thickBot="1" x14ac:dyDescent="0.4"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37"/>
      <c r="AG268" s="37"/>
      <c r="AH268" s="37"/>
      <c r="AI268" s="37"/>
      <c r="AJ268" s="37"/>
      <c r="AK268" s="37"/>
      <c r="AL268" s="37"/>
      <c r="AM268" s="37"/>
      <c r="AN268" s="37"/>
      <c r="AO268" s="37"/>
      <c r="AP268" s="37"/>
      <c r="AQ268" s="37"/>
      <c r="AR268" s="37"/>
      <c r="AS268" s="37"/>
      <c r="AT268" s="37"/>
      <c r="AU268" s="37"/>
      <c r="AV268" s="37"/>
      <c r="AW268" s="37"/>
      <c r="AX268" s="36"/>
    </row>
    <row r="269" spans="4:50" ht="15" thickBot="1" x14ac:dyDescent="0.4"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37"/>
      <c r="AG269" s="37"/>
      <c r="AH269" s="37"/>
      <c r="AI269" s="37"/>
      <c r="AJ269" s="37"/>
      <c r="AK269" s="37"/>
      <c r="AL269" s="37"/>
      <c r="AM269" s="37"/>
      <c r="AN269" s="37"/>
      <c r="AO269" s="37"/>
      <c r="AP269" s="37"/>
      <c r="AQ269" s="37"/>
      <c r="AR269" s="37"/>
      <c r="AS269" s="37"/>
      <c r="AT269" s="37"/>
      <c r="AU269" s="37"/>
      <c r="AV269" s="37"/>
      <c r="AW269" s="37"/>
      <c r="AX269" s="36"/>
    </row>
    <row r="270" spans="4:50" ht="15" thickBot="1" x14ac:dyDescent="0.4"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  <c r="AF270" s="37"/>
      <c r="AG270" s="37"/>
      <c r="AH270" s="37"/>
      <c r="AI270" s="37"/>
      <c r="AJ270" s="37"/>
      <c r="AK270" s="37"/>
      <c r="AL270" s="37"/>
      <c r="AM270" s="37"/>
      <c r="AN270" s="37"/>
      <c r="AO270" s="37"/>
      <c r="AP270" s="37"/>
      <c r="AQ270" s="37"/>
      <c r="AR270" s="37"/>
      <c r="AS270" s="37"/>
      <c r="AT270" s="37"/>
      <c r="AU270" s="37"/>
      <c r="AV270" s="37"/>
      <c r="AW270" s="37"/>
      <c r="AX270" s="36"/>
    </row>
    <row r="271" spans="4:50" ht="15" thickBot="1" x14ac:dyDescent="0.4"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37"/>
      <c r="AG271" s="37"/>
      <c r="AH271" s="37"/>
      <c r="AI271" s="37"/>
      <c r="AJ271" s="37"/>
      <c r="AK271" s="37"/>
      <c r="AL271" s="37"/>
      <c r="AM271" s="37"/>
      <c r="AN271" s="37"/>
      <c r="AO271" s="37"/>
      <c r="AP271" s="37"/>
      <c r="AQ271" s="37"/>
      <c r="AR271" s="37"/>
      <c r="AS271" s="37"/>
      <c r="AT271" s="37"/>
      <c r="AU271" s="37"/>
      <c r="AV271" s="37"/>
      <c r="AW271" s="37"/>
      <c r="AX271" s="36"/>
    </row>
    <row r="272" spans="4:50" ht="15" thickBot="1" x14ac:dyDescent="0.4"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37"/>
      <c r="AG272" s="37"/>
      <c r="AH272" s="37"/>
      <c r="AI272" s="37"/>
      <c r="AJ272" s="37"/>
      <c r="AK272" s="37"/>
      <c r="AL272" s="37"/>
      <c r="AM272" s="37"/>
      <c r="AN272" s="37"/>
      <c r="AO272" s="37"/>
      <c r="AP272" s="37"/>
      <c r="AQ272" s="37"/>
      <c r="AR272" s="37"/>
      <c r="AS272" s="37"/>
      <c r="AT272" s="37"/>
      <c r="AU272" s="37"/>
      <c r="AV272" s="37"/>
      <c r="AW272" s="37"/>
      <c r="AX272" s="36"/>
    </row>
    <row r="273" spans="4:50" ht="15" thickBot="1" x14ac:dyDescent="0.4"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  <c r="AF273" s="37"/>
      <c r="AG273" s="37"/>
      <c r="AH273" s="37"/>
      <c r="AI273" s="37"/>
      <c r="AJ273" s="37"/>
      <c r="AK273" s="37"/>
      <c r="AL273" s="37"/>
      <c r="AM273" s="37"/>
      <c r="AN273" s="37"/>
      <c r="AO273" s="37"/>
      <c r="AP273" s="37"/>
      <c r="AQ273" s="37"/>
      <c r="AR273" s="37"/>
      <c r="AS273" s="37"/>
      <c r="AT273" s="37"/>
      <c r="AU273" s="37"/>
      <c r="AV273" s="37"/>
      <c r="AW273" s="37"/>
      <c r="AX273" s="36"/>
    </row>
    <row r="274" spans="4:50" ht="15" thickBot="1" x14ac:dyDescent="0.4"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  <c r="AF274" s="37"/>
      <c r="AG274" s="37"/>
      <c r="AH274" s="37"/>
      <c r="AI274" s="37"/>
      <c r="AJ274" s="37"/>
      <c r="AK274" s="37"/>
      <c r="AL274" s="37"/>
      <c r="AM274" s="37"/>
      <c r="AN274" s="37"/>
      <c r="AO274" s="37"/>
      <c r="AP274" s="37"/>
      <c r="AQ274" s="37"/>
      <c r="AR274" s="37"/>
      <c r="AS274" s="37"/>
      <c r="AT274" s="37"/>
      <c r="AU274" s="37"/>
      <c r="AV274" s="37"/>
      <c r="AW274" s="37"/>
      <c r="AX274" s="36"/>
    </row>
    <row r="275" spans="4:50" ht="15" thickBot="1" x14ac:dyDescent="0.4"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  <c r="AF275" s="37"/>
      <c r="AG275" s="37"/>
      <c r="AH275" s="37"/>
      <c r="AI275" s="37"/>
      <c r="AJ275" s="37"/>
      <c r="AK275" s="37"/>
      <c r="AL275" s="37"/>
      <c r="AM275" s="37"/>
      <c r="AN275" s="37"/>
      <c r="AO275" s="37"/>
      <c r="AP275" s="37"/>
      <c r="AQ275" s="37"/>
      <c r="AR275" s="37"/>
      <c r="AS275" s="37"/>
      <c r="AT275" s="37"/>
      <c r="AU275" s="37"/>
      <c r="AV275" s="37"/>
      <c r="AW275" s="37"/>
      <c r="AX275" s="36"/>
    </row>
    <row r="276" spans="4:50" ht="15" thickBot="1" x14ac:dyDescent="0.4"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  <c r="AF276" s="37"/>
      <c r="AG276" s="37"/>
      <c r="AH276" s="37"/>
      <c r="AI276" s="37"/>
      <c r="AJ276" s="37"/>
      <c r="AK276" s="37"/>
      <c r="AL276" s="37"/>
      <c r="AM276" s="37"/>
      <c r="AN276" s="37"/>
      <c r="AO276" s="37"/>
      <c r="AP276" s="37"/>
      <c r="AQ276" s="37"/>
      <c r="AR276" s="37"/>
      <c r="AS276" s="37"/>
      <c r="AT276" s="37"/>
      <c r="AU276" s="37"/>
      <c r="AV276" s="37"/>
      <c r="AW276" s="37"/>
      <c r="AX276" s="36"/>
    </row>
    <row r="277" spans="4:50" ht="15" thickBot="1" x14ac:dyDescent="0.4"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  <c r="AF277" s="37"/>
      <c r="AG277" s="37"/>
      <c r="AH277" s="37"/>
      <c r="AI277" s="37"/>
      <c r="AJ277" s="37"/>
      <c r="AK277" s="37"/>
      <c r="AL277" s="37"/>
      <c r="AM277" s="37"/>
      <c r="AN277" s="37"/>
      <c r="AO277" s="37"/>
      <c r="AP277" s="37"/>
      <c r="AQ277" s="37"/>
      <c r="AR277" s="37"/>
      <c r="AS277" s="37"/>
      <c r="AT277" s="37"/>
      <c r="AU277" s="37"/>
      <c r="AV277" s="37"/>
      <c r="AW277" s="37"/>
      <c r="AX277" s="36"/>
    </row>
    <row r="278" spans="4:50" ht="15" thickBot="1" x14ac:dyDescent="0.4"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  <c r="AF278" s="37"/>
      <c r="AG278" s="37"/>
      <c r="AH278" s="37"/>
      <c r="AI278" s="37"/>
      <c r="AJ278" s="37"/>
      <c r="AK278" s="37"/>
      <c r="AL278" s="37"/>
      <c r="AM278" s="37"/>
      <c r="AN278" s="37"/>
      <c r="AO278" s="37"/>
      <c r="AP278" s="37"/>
      <c r="AQ278" s="37"/>
      <c r="AR278" s="37"/>
      <c r="AS278" s="37"/>
      <c r="AT278" s="37"/>
      <c r="AU278" s="37"/>
      <c r="AV278" s="37"/>
      <c r="AW278" s="37"/>
      <c r="AX278" s="36"/>
    </row>
    <row r="279" spans="4:50" ht="15" thickBot="1" x14ac:dyDescent="0.4"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  <c r="AF279" s="37"/>
      <c r="AG279" s="37"/>
      <c r="AH279" s="37"/>
      <c r="AI279" s="37"/>
      <c r="AJ279" s="37"/>
      <c r="AK279" s="37"/>
      <c r="AL279" s="37"/>
      <c r="AM279" s="37"/>
      <c r="AN279" s="37"/>
      <c r="AO279" s="37"/>
      <c r="AP279" s="37"/>
      <c r="AQ279" s="37"/>
      <c r="AR279" s="37"/>
      <c r="AS279" s="37"/>
      <c r="AT279" s="37"/>
      <c r="AU279" s="37"/>
      <c r="AV279" s="37"/>
      <c r="AW279" s="37"/>
      <c r="AX279" s="36"/>
    </row>
    <row r="280" spans="4:50" ht="15" thickBot="1" x14ac:dyDescent="0.4"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  <c r="AE280" s="37"/>
      <c r="AF280" s="37"/>
      <c r="AG280" s="37"/>
      <c r="AH280" s="37"/>
      <c r="AI280" s="37"/>
      <c r="AJ280" s="37"/>
      <c r="AK280" s="37"/>
      <c r="AL280" s="37"/>
      <c r="AM280" s="37"/>
      <c r="AN280" s="37"/>
      <c r="AO280" s="37"/>
      <c r="AP280" s="37"/>
      <c r="AQ280" s="37"/>
      <c r="AR280" s="37"/>
      <c r="AS280" s="37"/>
      <c r="AT280" s="37"/>
      <c r="AU280" s="37"/>
      <c r="AV280" s="37"/>
      <c r="AW280" s="37"/>
      <c r="AX280" s="36"/>
    </row>
    <row r="281" spans="4:50" ht="15" thickBot="1" x14ac:dyDescent="0.4"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  <c r="AF281" s="37"/>
      <c r="AG281" s="37"/>
      <c r="AH281" s="37"/>
      <c r="AI281" s="37"/>
      <c r="AJ281" s="37"/>
      <c r="AK281" s="37"/>
      <c r="AL281" s="37"/>
      <c r="AM281" s="37"/>
      <c r="AN281" s="37"/>
      <c r="AO281" s="37"/>
      <c r="AP281" s="37"/>
      <c r="AQ281" s="37"/>
      <c r="AR281" s="37"/>
      <c r="AS281" s="37"/>
      <c r="AT281" s="37"/>
      <c r="AU281" s="37"/>
      <c r="AV281" s="37"/>
      <c r="AW281" s="37"/>
      <c r="AX281" s="36"/>
    </row>
    <row r="282" spans="4:50" ht="15" thickBot="1" x14ac:dyDescent="0.4"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37"/>
      <c r="AG282" s="37"/>
      <c r="AH282" s="37"/>
      <c r="AI282" s="37"/>
      <c r="AJ282" s="37"/>
      <c r="AK282" s="37"/>
      <c r="AL282" s="37"/>
      <c r="AM282" s="37"/>
      <c r="AN282" s="37"/>
      <c r="AO282" s="37"/>
      <c r="AP282" s="37"/>
      <c r="AQ282" s="37"/>
      <c r="AR282" s="37"/>
      <c r="AS282" s="37"/>
      <c r="AT282" s="37"/>
      <c r="AU282" s="37"/>
      <c r="AV282" s="37"/>
      <c r="AW282" s="37"/>
      <c r="AX282" s="36"/>
    </row>
    <row r="283" spans="4:50" ht="15" thickBot="1" x14ac:dyDescent="0.4"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  <c r="AF283" s="37"/>
      <c r="AG283" s="37"/>
      <c r="AH283" s="37"/>
      <c r="AI283" s="37"/>
      <c r="AJ283" s="37"/>
      <c r="AK283" s="37"/>
      <c r="AL283" s="37"/>
      <c r="AM283" s="37"/>
      <c r="AN283" s="37"/>
      <c r="AO283" s="37"/>
      <c r="AP283" s="37"/>
      <c r="AQ283" s="37"/>
      <c r="AR283" s="37"/>
      <c r="AS283" s="37"/>
      <c r="AT283" s="37"/>
      <c r="AU283" s="37"/>
      <c r="AV283" s="37"/>
      <c r="AW283" s="37"/>
      <c r="AX283" s="36"/>
    </row>
    <row r="284" spans="4:50" ht="15" thickBot="1" x14ac:dyDescent="0.4"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  <c r="AF284" s="37"/>
      <c r="AG284" s="37"/>
      <c r="AH284" s="37"/>
      <c r="AI284" s="37"/>
      <c r="AJ284" s="37"/>
      <c r="AK284" s="37"/>
      <c r="AL284" s="37"/>
      <c r="AM284" s="37"/>
      <c r="AN284" s="37"/>
      <c r="AO284" s="37"/>
      <c r="AP284" s="37"/>
      <c r="AQ284" s="37"/>
      <c r="AR284" s="37"/>
      <c r="AS284" s="37"/>
      <c r="AT284" s="37"/>
      <c r="AU284" s="37"/>
      <c r="AV284" s="37"/>
      <c r="AW284" s="37"/>
      <c r="AX284" s="36"/>
    </row>
    <row r="285" spans="4:50" ht="15" thickBot="1" x14ac:dyDescent="0.4"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  <c r="AF285" s="37"/>
      <c r="AG285" s="37"/>
      <c r="AH285" s="37"/>
      <c r="AI285" s="37"/>
      <c r="AJ285" s="37"/>
      <c r="AK285" s="37"/>
      <c r="AL285" s="37"/>
      <c r="AM285" s="37"/>
      <c r="AN285" s="37"/>
      <c r="AO285" s="37"/>
      <c r="AP285" s="37"/>
      <c r="AQ285" s="37"/>
      <c r="AR285" s="37"/>
      <c r="AS285" s="37"/>
      <c r="AT285" s="37"/>
      <c r="AU285" s="37"/>
      <c r="AV285" s="37"/>
      <c r="AW285" s="37"/>
      <c r="AX285" s="36"/>
    </row>
    <row r="286" spans="4:50" ht="15" thickBot="1" x14ac:dyDescent="0.4"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  <c r="AF286" s="37"/>
      <c r="AG286" s="37"/>
      <c r="AH286" s="37"/>
      <c r="AI286" s="37"/>
      <c r="AJ286" s="37"/>
      <c r="AK286" s="37"/>
      <c r="AL286" s="37"/>
      <c r="AM286" s="37"/>
      <c r="AN286" s="37"/>
      <c r="AO286" s="37"/>
      <c r="AP286" s="37"/>
      <c r="AQ286" s="37"/>
      <c r="AR286" s="37"/>
      <c r="AS286" s="37"/>
      <c r="AT286" s="37"/>
      <c r="AU286" s="37"/>
      <c r="AV286" s="37"/>
      <c r="AW286" s="37"/>
      <c r="AX286" s="36"/>
    </row>
    <row r="287" spans="4:50" ht="15" thickBot="1" x14ac:dyDescent="0.4"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  <c r="AE287" s="37"/>
      <c r="AF287" s="37"/>
      <c r="AG287" s="37"/>
      <c r="AH287" s="37"/>
      <c r="AI287" s="37"/>
      <c r="AJ287" s="37"/>
      <c r="AK287" s="37"/>
      <c r="AL287" s="37"/>
      <c r="AM287" s="37"/>
      <c r="AN287" s="37"/>
      <c r="AO287" s="37"/>
      <c r="AP287" s="37"/>
      <c r="AQ287" s="37"/>
      <c r="AR287" s="37"/>
      <c r="AS287" s="37"/>
      <c r="AT287" s="37"/>
      <c r="AU287" s="37"/>
      <c r="AV287" s="37"/>
      <c r="AW287" s="37"/>
      <c r="AX287" s="36"/>
    </row>
    <row r="288" spans="4:50" ht="15" thickBot="1" x14ac:dyDescent="0.4"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  <c r="AE288" s="37"/>
      <c r="AF288" s="37"/>
      <c r="AG288" s="37"/>
      <c r="AH288" s="37"/>
      <c r="AI288" s="37"/>
      <c r="AJ288" s="37"/>
      <c r="AK288" s="37"/>
      <c r="AL288" s="37"/>
      <c r="AM288" s="37"/>
      <c r="AN288" s="37"/>
      <c r="AO288" s="37"/>
      <c r="AP288" s="37"/>
      <c r="AQ288" s="37"/>
      <c r="AR288" s="37"/>
      <c r="AS288" s="37"/>
      <c r="AT288" s="37"/>
      <c r="AU288" s="37"/>
      <c r="AV288" s="37"/>
      <c r="AW288" s="37"/>
      <c r="AX288" s="36"/>
    </row>
    <row r="289" spans="4:50" ht="15" thickBot="1" x14ac:dyDescent="0.4"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  <c r="AE289" s="37"/>
      <c r="AF289" s="37"/>
      <c r="AG289" s="37"/>
      <c r="AH289" s="37"/>
      <c r="AI289" s="37"/>
      <c r="AJ289" s="37"/>
      <c r="AK289" s="37"/>
      <c r="AL289" s="37"/>
      <c r="AM289" s="37"/>
      <c r="AN289" s="37"/>
      <c r="AO289" s="37"/>
      <c r="AP289" s="37"/>
      <c r="AQ289" s="37"/>
      <c r="AR289" s="37"/>
      <c r="AS289" s="37"/>
      <c r="AT289" s="37"/>
      <c r="AU289" s="37"/>
      <c r="AV289" s="37"/>
      <c r="AW289" s="37"/>
      <c r="AX289" s="36"/>
    </row>
    <row r="290" spans="4:50" ht="15" thickBot="1" x14ac:dyDescent="0.4"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7"/>
      <c r="AN290" s="37"/>
      <c r="AO290" s="37"/>
      <c r="AP290" s="37"/>
      <c r="AQ290" s="37"/>
      <c r="AR290" s="37"/>
      <c r="AS290" s="37"/>
      <c r="AT290" s="37"/>
      <c r="AU290" s="37"/>
      <c r="AV290" s="37"/>
      <c r="AW290" s="37"/>
      <c r="AX290" s="36"/>
    </row>
    <row r="291" spans="4:50" ht="15" thickBot="1" x14ac:dyDescent="0.4"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  <c r="AF291" s="37"/>
      <c r="AG291" s="37"/>
      <c r="AH291" s="37"/>
      <c r="AI291" s="37"/>
      <c r="AJ291" s="37"/>
      <c r="AK291" s="37"/>
      <c r="AL291" s="37"/>
      <c r="AM291" s="37"/>
      <c r="AN291" s="37"/>
      <c r="AO291" s="37"/>
      <c r="AP291" s="37"/>
      <c r="AQ291" s="37"/>
      <c r="AR291" s="37"/>
      <c r="AS291" s="37"/>
      <c r="AT291" s="37"/>
      <c r="AU291" s="37"/>
      <c r="AV291" s="37"/>
      <c r="AW291" s="37"/>
      <c r="AX291" s="36"/>
    </row>
    <row r="292" spans="4:50" ht="15" thickBot="1" x14ac:dyDescent="0.4"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  <c r="AE292" s="37"/>
      <c r="AF292" s="37"/>
      <c r="AG292" s="37"/>
      <c r="AH292" s="37"/>
      <c r="AI292" s="37"/>
      <c r="AJ292" s="37"/>
      <c r="AK292" s="37"/>
      <c r="AL292" s="37"/>
      <c r="AM292" s="37"/>
      <c r="AN292" s="37"/>
      <c r="AO292" s="37"/>
      <c r="AP292" s="37"/>
      <c r="AQ292" s="37"/>
      <c r="AR292" s="37"/>
      <c r="AS292" s="37"/>
      <c r="AT292" s="37"/>
      <c r="AU292" s="37"/>
      <c r="AV292" s="37"/>
      <c r="AW292" s="37"/>
      <c r="AX292" s="36"/>
    </row>
    <row r="293" spans="4:50" ht="15" thickBot="1" x14ac:dyDescent="0.4"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37"/>
      <c r="AG293" s="37"/>
      <c r="AH293" s="37"/>
      <c r="AI293" s="37"/>
      <c r="AJ293" s="37"/>
      <c r="AK293" s="37"/>
      <c r="AL293" s="37"/>
      <c r="AM293" s="37"/>
      <c r="AN293" s="37"/>
      <c r="AO293" s="37"/>
      <c r="AP293" s="37"/>
      <c r="AQ293" s="37"/>
      <c r="AR293" s="37"/>
      <c r="AS293" s="37"/>
      <c r="AT293" s="37"/>
      <c r="AU293" s="37"/>
      <c r="AV293" s="37"/>
      <c r="AW293" s="37"/>
      <c r="AX293" s="36"/>
    </row>
    <row r="294" spans="4:50" ht="15" thickBot="1" x14ac:dyDescent="0.4"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  <c r="AE294" s="37"/>
      <c r="AF294" s="37"/>
      <c r="AG294" s="37"/>
      <c r="AH294" s="37"/>
      <c r="AI294" s="37"/>
      <c r="AJ294" s="37"/>
      <c r="AK294" s="37"/>
      <c r="AL294" s="37"/>
      <c r="AM294" s="37"/>
      <c r="AN294" s="37"/>
      <c r="AO294" s="37"/>
      <c r="AP294" s="37"/>
      <c r="AQ294" s="37"/>
      <c r="AR294" s="37"/>
      <c r="AS294" s="37"/>
      <c r="AT294" s="37"/>
      <c r="AU294" s="37"/>
      <c r="AV294" s="37"/>
      <c r="AW294" s="37"/>
      <c r="AX294" s="36"/>
    </row>
    <row r="295" spans="4:50" ht="15" thickBot="1" x14ac:dyDescent="0.4"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  <c r="AE295" s="37"/>
      <c r="AF295" s="37"/>
      <c r="AG295" s="37"/>
      <c r="AH295" s="37"/>
      <c r="AI295" s="37"/>
      <c r="AJ295" s="37"/>
      <c r="AK295" s="37"/>
      <c r="AL295" s="37"/>
      <c r="AM295" s="37"/>
      <c r="AN295" s="37"/>
      <c r="AO295" s="37"/>
      <c r="AP295" s="37"/>
      <c r="AQ295" s="37"/>
      <c r="AR295" s="37"/>
      <c r="AS295" s="37"/>
      <c r="AT295" s="37"/>
      <c r="AU295" s="37"/>
      <c r="AV295" s="37"/>
      <c r="AW295" s="37"/>
      <c r="AX295" s="36"/>
    </row>
    <row r="296" spans="4:50" ht="15" thickBot="1" x14ac:dyDescent="0.4"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37"/>
      <c r="AG296" s="37"/>
      <c r="AH296" s="37"/>
      <c r="AI296" s="37"/>
      <c r="AJ296" s="37"/>
      <c r="AK296" s="37"/>
      <c r="AL296" s="37"/>
      <c r="AM296" s="37"/>
      <c r="AN296" s="37"/>
      <c r="AO296" s="37"/>
      <c r="AP296" s="37"/>
      <c r="AQ296" s="37"/>
      <c r="AR296" s="37"/>
      <c r="AS296" s="37"/>
      <c r="AT296" s="37"/>
      <c r="AU296" s="37"/>
      <c r="AV296" s="37"/>
      <c r="AW296" s="37"/>
      <c r="AX296" s="36"/>
    </row>
    <row r="297" spans="4:50" ht="15" thickBot="1" x14ac:dyDescent="0.4"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  <c r="AF297" s="37"/>
      <c r="AG297" s="37"/>
      <c r="AH297" s="37"/>
      <c r="AI297" s="37"/>
      <c r="AJ297" s="37"/>
      <c r="AK297" s="37"/>
      <c r="AL297" s="37"/>
      <c r="AM297" s="37"/>
      <c r="AN297" s="37"/>
      <c r="AO297" s="37"/>
      <c r="AP297" s="37"/>
      <c r="AQ297" s="37"/>
      <c r="AR297" s="37"/>
      <c r="AS297" s="37"/>
      <c r="AT297" s="37"/>
      <c r="AU297" s="37"/>
      <c r="AV297" s="37"/>
      <c r="AW297" s="37"/>
      <c r="AX297" s="36"/>
    </row>
    <row r="298" spans="4:50" ht="15" thickBot="1" x14ac:dyDescent="0.4"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  <c r="AF298" s="37"/>
      <c r="AG298" s="37"/>
      <c r="AH298" s="37"/>
      <c r="AI298" s="37"/>
      <c r="AJ298" s="37"/>
      <c r="AK298" s="37"/>
      <c r="AL298" s="37"/>
      <c r="AM298" s="37"/>
      <c r="AN298" s="37"/>
      <c r="AO298" s="37"/>
      <c r="AP298" s="37"/>
      <c r="AQ298" s="37"/>
      <c r="AR298" s="37"/>
      <c r="AS298" s="37"/>
      <c r="AT298" s="37"/>
      <c r="AU298" s="37"/>
      <c r="AV298" s="37"/>
      <c r="AW298" s="37"/>
      <c r="AX298" s="36"/>
    </row>
    <row r="299" spans="4:50" ht="15" thickBot="1" x14ac:dyDescent="0.4"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  <c r="AF299" s="37"/>
      <c r="AG299" s="37"/>
      <c r="AH299" s="37"/>
      <c r="AI299" s="37"/>
      <c r="AJ299" s="37"/>
      <c r="AK299" s="37"/>
      <c r="AL299" s="37"/>
      <c r="AM299" s="37"/>
      <c r="AN299" s="37"/>
      <c r="AO299" s="37"/>
      <c r="AP299" s="37"/>
      <c r="AQ299" s="37"/>
      <c r="AR299" s="37"/>
      <c r="AS299" s="37"/>
      <c r="AT299" s="37"/>
      <c r="AU299" s="37"/>
      <c r="AV299" s="37"/>
      <c r="AW299" s="37"/>
      <c r="AX299" s="36"/>
    </row>
    <row r="300" spans="4:50" ht="15" thickBot="1" x14ac:dyDescent="0.4"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  <c r="AF300" s="37"/>
      <c r="AG300" s="37"/>
      <c r="AH300" s="37"/>
      <c r="AI300" s="37"/>
      <c r="AJ300" s="37"/>
      <c r="AK300" s="37"/>
      <c r="AL300" s="37"/>
      <c r="AM300" s="37"/>
      <c r="AN300" s="37"/>
      <c r="AO300" s="37"/>
      <c r="AP300" s="37"/>
      <c r="AQ300" s="37"/>
      <c r="AR300" s="37"/>
      <c r="AS300" s="37"/>
      <c r="AT300" s="37"/>
      <c r="AU300" s="37"/>
      <c r="AV300" s="37"/>
      <c r="AW300" s="37"/>
      <c r="AX300" s="36"/>
    </row>
    <row r="301" spans="4:50" ht="15" thickBot="1" x14ac:dyDescent="0.4"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  <c r="AE301" s="37"/>
      <c r="AF301" s="37"/>
      <c r="AG301" s="37"/>
      <c r="AH301" s="37"/>
      <c r="AI301" s="37"/>
      <c r="AJ301" s="37"/>
      <c r="AK301" s="37"/>
      <c r="AL301" s="37"/>
      <c r="AM301" s="37"/>
      <c r="AN301" s="37"/>
      <c r="AO301" s="37"/>
      <c r="AP301" s="37"/>
      <c r="AQ301" s="37"/>
      <c r="AR301" s="37"/>
      <c r="AS301" s="37"/>
      <c r="AT301" s="37"/>
      <c r="AU301" s="37"/>
      <c r="AV301" s="37"/>
      <c r="AW301" s="37"/>
      <c r="AX301" s="36"/>
    </row>
    <row r="302" spans="4:50" ht="15" thickBot="1" x14ac:dyDescent="0.4"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  <c r="AF302" s="37"/>
      <c r="AG302" s="37"/>
      <c r="AH302" s="37"/>
      <c r="AI302" s="37"/>
      <c r="AJ302" s="37"/>
      <c r="AK302" s="37"/>
      <c r="AL302" s="37"/>
      <c r="AM302" s="37"/>
      <c r="AN302" s="37"/>
      <c r="AO302" s="37"/>
      <c r="AP302" s="37"/>
      <c r="AQ302" s="37"/>
      <c r="AR302" s="37"/>
      <c r="AS302" s="37"/>
      <c r="AT302" s="37"/>
      <c r="AU302" s="37"/>
      <c r="AV302" s="37"/>
      <c r="AW302" s="37"/>
      <c r="AX302" s="36"/>
    </row>
    <row r="303" spans="4:50" ht="15" thickBot="1" x14ac:dyDescent="0.4"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  <c r="AE303" s="37"/>
      <c r="AF303" s="37"/>
      <c r="AG303" s="37"/>
      <c r="AH303" s="37"/>
      <c r="AI303" s="37"/>
      <c r="AJ303" s="37"/>
      <c r="AK303" s="37"/>
      <c r="AL303" s="37"/>
      <c r="AM303" s="37"/>
      <c r="AN303" s="37"/>
      <c r="AO303" s="37"/>
      <c r="AP303" s="37"/>
      <c r="AQ303" s="37"/>
      <c r="AR303" s="37"/>
      <c r="AS303" s="37"/>
      <c r="AT303" s="37"/>
      <c r="AU303" s="37"/>
      <c r="AV303" s="37"/>
      <c r="AW303" s="37"/>
      <c r="AX303" s="36"/>
    </row>
    <row r="304" spans="4:50" ht="15" thickBot="1" x14ac:dyDescent="0.4"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  <c r="AF304" s="37"/>
      <c r="AG304" s="37"/>
      <c r="AH304" s="37"/>
      <c r="AI304" s="37"/>
      <c r="AJ304" s="37"/>
      <c r="AK304" s="37"/>
      <c r="AL304" s="37"/>
      <c r="AM304" s="37"/>
      <c r="AN304" s="37"/>
      <c r="AO304" s="37"/>
      <c r="AP304" s="37"/>
      <c r="AQ304" s="37"/>
      <c r="AR304" s="37"/>
      <c r="AS304" s="37"/>
      <c r="AT304" s="37"/>
      <c r="AU304" s="37"/>
      <c r="AV304" s="37"/>
      <c r="AW304" s="37"/>
      <c r="AX304" s="36"/>
    </row>
    <row r="305" spans="4:50" ht="15" thickBot="1" x14ac:dyDescent="0.4"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  <c r="AE305" s="37"/>
      <c r="AF305" s="37"/>
      <c r="AG305" s="37"/>
      <c r="AH305" s="37"/>
      <c r="AI305" s="37"/>
      <c r="AJ305" s="37"/>
      <c r="AK305" s="37"/>
      <c r="AL305" s="37"/>
      <c r="AM305" s="37"/>
      <c r="AN305" s="37"/>
      <c r="AO305" s="37"/>
      <c r="AP305" s="37"/>
      <c r="AQ305" s="37"/>
      <c r="AR305" s="37"/>
      <c r="AS305" s="37"/>
      <c r="AT305" s="37"/>
      <c r="AU305" s="37"/>
      <c r="AV305" s="37"/>
      <c r="AW305" s="37"/>
      <c r="AX305" s="36"/>
    </row>
    <row r="306" spans="4:50" ht="15" thickBot="1" x14ac:dyDescent="0.4"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F306" s="37"/>
      <c r="AG306" s="37"/>
      <c r="AH306" s="37"/>
      <c r="AI306" s="37"/>
      <c r="AJ306" s="37"/>
      <c r="AK306" s="37"/>
      <c r="AL306" s="37"/>
      <c r="AM306" s="37"/>
      <c r="AN306" s="37"/>
      <c r="AO306" s="37"/>
      <c r="AP306" s="37"/>
      <c r="AQ306" s="37"/>
      <c r="AR306" s="37"/>
      <c r="AS306" s="37"/>
      <c r="AT306" s="37"/>
      <c r="AU306" s="37"/>
      <c r="AV306" s="37"/>
      <c r="AW306" s="37"/>
      <c r="AX306" s="36"/>
    </row>
    <row r="307" spans="4:50" ht="15" thickBot="1" x14ac:dyDescent="0.4"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  <c r="AE307" s="37"/>
      <c r="AF307" s="37"/>
      <c r="AG307" s="37"/>
      <c r="AH307" s="37"/>
      <c r="AI307" s="37"/>
      <c r="AJ307" s="37"/>
      <c r="AK307" s="37"/>
      <c r="AL307" s="37"/>
      <c r="AM307" s="37"/>
      <c r="AN307" s="37"/>
      <c r="AO307" s="37"/>
      <c r="AP307" s="37"/>
      <c r="AQ307" s="37"/>
      <c r="AR307" s="37"/>
      <c r="AS307" s="37"/>
      <c r="AT307" s="37"/>
      <c r="AU307" s="37"/>
      <c r="AV307" s="37"/>
      <c r="AW307" s="37"/>
      <c r="AX307" s="36"/>
    </row>
    <row r="308" spans="4:50" ht="15" thickBot="1" x14ac:dyDescent="0.4"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  <c r="AE308" s="37"/>
      <c r="AF308" s="37"/>
      <c r="AG308" s="37"/>
      <c r="AH308" s="37"/>
      <c r="AI308" s="37"/>
      <c r="AJ308" s="37"/>
      <c r="AK308" s="37"/>
      <c r="AL308" s="37"/>
      <c r="AM308" s="37"/>
      <c r="AN308" s="37"/>
      <c r="AO308" s="37"/>
      <c r="AP308" s="37"/>
      <c r="AQ308" s="37"/>
      <c r="AR308" s="37"/>
      <c r="AS308" s="37"/>
      <c r="AT308" s="37"/>
      <c r="AU308" s="37"/>
      <c r="AV308" s="37"/>
      <c r="AW308" s="37"/>
      <c r="AX308" s="36"/>
    </row>
    <row r="309" spans="4:50" ht="15" thickBot="1" x14ac:dyDescent="0.4"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  <c r="AE309" s="37"/>
      <c r="AF309" s="37"/>
      <c r="AG309" s="37"/>
      <c r="AH309" s="37"/>
      <c r="AI309" s="37"/>
      <c r="AJ309" s="37"/>
      <c r="AK309" s="37"/>
      <c r="AL309" s="37"/>
      <c r="AM309" s="37"/>
      <c r="AN309" s="37"/>
      <c r="AO309" s="37"/>
      <c r="AP309" s="37"/>
      <c r="AQ309" s="37"/>
      <c r="AR309" s="37"/>
      <c r="AS309" s="37"/>
      <c r="AT309" s="37"/>
      <c r="AU309" s="37"/>
      <c r="AV309" s="37"/>
      <c r="AW309" s="37"/>
      <c r="AX309" s="36"/>
    </row>
    <row r="310" spans="4:50" ht="15" thickBot="1" x14ac:dyDescent="0.4"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  <c r="AE310" s="37"/>
      <c r="AF310" s="37"/>
      <c r="AG310" s="37"/>
      <c r="AH310" s="37"/>
      <c r="AI310" s="37"/>
      <c r="AJ310" s="37"/>
      <c r="AK310" s="37"/>
      <c r="AL310" s="37"/>
      <c r="AM310" s="37"/>
      <c r="AN310" s="37"/>
      <c r="AO310" s="37"/>
      <c r="AP310" s="37"/>
      <c r="AQ310" s="37"/>
      <c r="AR310" s="37"/>
      <c r="AS310" s="37"/>
      <c r="AT310" s="37"/>
      <c r="AU310" s="37"/>
      <c r="AV310" s="37"/>
      <c r="AW310" s="37"/>
      <c r="AX310" s="36"/>
    </row>
    <row r="311" spans="4:50" ht="15" thickBot="1" x14ac:dyDescent="0.4"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  <c r="AE311" s="37"/>
      <c r="AF311" s="37"/>
      <c r="AG311" s="37"/>
      <c r="AH311" s="37"/>
      <c r="AI311" s="37"/>
      <c r="AJ311" s="37"/>
      <c r="AK311" s="37"/>
      <c r="AL311" s="37"/>
      <c r="AM311" s="37"/>
      <c r="AN311" s="37"/>
      <c r="AO311" s="37"/>
      <c r="AP311" s="37"/>
      <c r="AQ311" s="37"/>
      <c r="AR311" s="37"/>
      <c r="AS311" s="37"/>
      <c r="AT311" s="37"/>
      <c r="AU311" s="37"/>
      <c r="AV311" s="37"/>
      <c r="AW311" s="37"/>
      <c r="AX311" s="36"/>
    </row>
    <row r="312" spans="4:50" ht="15" thickBot="1" x14ac:dyDescent="0.4"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  <c r="AE312" s="37"/>
      <c r="AF312" s="37"/>
      <c r="AG312" s="37"/>
      <c r="AH312" s="37"/>
      <c r="AI312" s="37"/>
      <c r="AJ312" s="37"/>
      <c r="AK312" s="37"/>
      <c r="AL312" s="37"/>
      <c r="AM312" s="37"/>
      <c r="AN312" s="37"/>
      <c r="AO312" s="37"/>
      <c r="AP312" s="37"/>
      <c r="AQ312" s="37"/>
      <c r="AR312" s="37"/>
      <c r="AS312" s="37"/>
      <c r="AT312" s="37"/>
      <c r="AU312" s="37"/>
      <c r="AV312" s="37"/>
      <c r="AW312" s="37"/>
      <c r="AX312" s="36"/>
    </row>
    <row r="313" spans="4:50" ht="15" thickBot="1" x14ac:dyDescent="0.4"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  <c r="AE313" s="37"/>
      <c r="AF313" s="37"/>
      <c r="AG313" s="37"/>
      <c r="AH313" s="37"/>
      <c r="AI313" s="37"/>
      <c r="AJ313" s="37"/>
      <c r="AK313" s="37"/>
      <c r="AL313" s="37"/>
      <c r="AM313" s="37"/>
      <c r="AN313" s="37"/>
      <c r="AO313" s="37"/>
      <c r="AP313" s="37"/>
      <c r="AQ313" s="37"/>
      <c r="AR313" s="37"/>
      <c r="AS313" s="37"/>
      <c r="AT313" s="37"/>
      <c r="AU313" s="37"/>
      <c r="AV313" s="37"/>
      <c r="AW313" s="37"/>
      <c r="AX313" s="36"/>
    </row>
    <row r="314" spans="4:50" ht="15" thickBot="1" x14ac:dyDescent="0.4"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  <c r="AE314" s="37"/>
      <c r="AF314" s="37"/>
      <c r="AG314" s="37"/>
      <c r="AH314" s="37"/>
      <c r="AI314" s="37"/>
      <c r="AJ314" s="37"/>
      <c r="AK314" s="37"/>
      <c r="AL314" s="37"/>
      <c r="AM314" s="37"/>
      <c r="AN314" s="37"/>
      <c r="AO314" s="37"/>
      <c r="AP314" s="37"/>
      <c r="AQ314" s="37"/>
      <c r="AR314" s="37"/>
      <c r="AS314" s="37"/>
      <c r="AT314" s="37"/>
      <c r="AU314" s="37"/>
      <c r="AV314" s="37"/>
      <c r="AW314" s="37"/>
      <c r="AX314" s="36"/>
    </row>
    <row r="315" spans="4:50" ht="15" thickBot="1" x14ac:dyDescent="0.4"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  <c r="AE315" s="37"/>
      <c r="AF315" s="37"/>
      <c r="AG315" s="37"/>
      <c r="AH315" s="37"/>
      <c r="AI315" s="37"/>
      <c r="AJ315" s="37"/>
      <c r="AK315" s="37"/>
      <c r="AL315" s="37"/>
      <c r="AM315" s="37"/>
      <c r="AN315" s="37"/>
      <c r="AO315" s="37"/>
      <c r="AP315" s="37"/>
      <c r="AQ315" s="37"/>
      <c r="AR315" s="37"/>
      <c r="AS315" s="37"/>
      <c r="AT315" s="37"/>
      <c r="AU315" s="37"/>
      <c r="AV315" s="37"/>
      <c r="AW315" s="37"/>
      <c r="AX315" s="36"/>
    </row>
    <row r="316" spans="4:50" ht="15" thickBot="1" x14ac:dyDescent="0.4"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  <c r="AE316" s="37"/>
      <c r="AF316" s="37"/>
      <c r="AG316" s="37"/>
      <c r="AH316" s="37"/>
      <c r="AI316" s="37"/>
      <c r="AJ316" s="37"/>
      <c r="AK316" s="37"/>
      <c r="AL316" s="37"/>
      <c r="AM316" s="37"/>
      <c r="AN316" s="37"/>
      <c r="AO316" s="37"/>
      <c r="AP316" s="37"/>
      <c r="AQ316" s="37"/>
      <c r="AR316" s="37"/>
      <c r="AS316" s="37"/>
      <c r="AT316" s="37"/>
      <c r="AU316" s="37"/>
      <c r="AV316" s="37"/>
      <c r="AW316" s="37"/>
      <c r="AX316" s="36"/>
    </row>
    <row r="317" spans="4:50" ht="15" thickBot="1" x14ac:dyDescent="0.4"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  <c r="AE317" s="37"/>
      <c r="AF317" s="37"/>
      <c r="AG317" s="37"/>
      <c r="AH317" s="37"/>
      <c r="AI317" s="37"/>
      <c r="AJ317" s="37"/>
      <c r="AK317" s="37"/>
      <c r="AL317" s="37"/>
      <c r="AM317" s="37"/>
      <c r="AN317" s="37"/>
      <c r="AO317" s="37"/>
      <c r="AP317" s="37"/>
      <c r="AQ317" s="37"/>
      <c r="AR317" s="37"/>
      <c r="AS317" s="37"/>
      <c r="AT317" s="37"/>
      <c r="AU317" s="37"/>
      <c r="AV317" s="37"/>
      <c r="AW317" s="37"/>
      <c r="AX317" s="36"/>
    </row>
    <row r="318" spans="4:50" ht="15" thickBot="1" x14ac:dyDescent="0.4"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  <c r="AE318" s="37"/>
      <c r="AF318" s="37"/>
      <c r="AG318" s="37"/>
      <c r="AH318" s="37"/>
      <c r="AI318" s="37"/>
      <c r="AJ318" s="37"/>
      <c r="AK318" s="37"/>
      <c r="AL318" s="37"/>
      <c r="AM318" s="37"/>
      <c r="AN318" s="37"/>
      <c r="AO318" s="37"/>
      <c r="AP318" s="37"/>
      <c r="AQ318" s="37"/>
      <c r="AR318" s="37"/>
      <c r="AS318" s="37"/>
      <c r="AT318" s="37"/>
      <c r="AU318" s="37"/>
      <c r="AV318" s="37"/>
      <c r="AW318" s="37"/>
      <c r="AX318" s="36"/>
    </row>
    <row r="319" spans="4:50" ht="15" thickBot="1" x14ac:dyDescent="0.4"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  <c r="AE319" s="37"/>
      <c r="AF319" s="37"/>
      <c r="AG319" s="37"/>
      <c r="AH319" s="37"/>
      <c r="AI319" s="37"/>
      <c r="AJ319" s="37"/>
      <c r="AK319" s="37"/>
      <c r="AL319" s="37"/>
      <c r="AM319" s="37"/>
      <c r="AN319" s="37"/>
      <c r="AO319" s="37"/>
      <c r="AP319" s="37"/>
      <c r="AQ319" s="37"/>
      <c r="AR319" s="37"/>
      <c r="AS319" s="37"/>
      <c r="AT319" s="37"/>
      <c r="AU319" s="37"/>
      <c r="AV319" s="37"/>
      <c r="AW319" s="37"/>
      <c r="AX319" s="36"/>
    </row>
    <row r="320" spans="4:50" ht="15" thickBot="1" x14ac:dyDescent="0.4"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  <c r="AE320" s="37"/>
      <c r="AF320" s="37"/>
      <c r="AG320" s="37"/>
      <c r="AH320" s="37"/>
      <c r="AI320" s="37"/>
      <c r="AJ320" s="37"/>
      <c r="AK320" s="37"/>
      <c r="AL320" s="37"/>
      <c r="AM320" s="37"/>
      <c r="AN320" s="37"/>
      <c r="AO320" s="37"/>
      <c r="AP320" s="37"/>
      <c r="AQ320" s="37"/>
      <c r="AR320" s="37"/>
      <c r="AS320" s="37"/>
      <c r="AT320" s="37"/>
      <c r="AU320" s="37"/>
      <c r="AV320" s="37"/>
      <c r="AW320" s="37"/>
      <c r="AX320" s="36"/>
    </row>
    <row r="321" spans="4:50" ht="15" thickBot="1" x14ac:dyDescent="0.4"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  <c r="AF321" s="37"/>
      <c r="AG321" s="37"/>
      <c r="AH321" s="37"/>
      <c r="AI321" s="37"/>
      <c r="AJ321" s="37"/>
      <c r="AK321" s="37"/>
      <c r="AL321" s="37"/>
      <c r="AM321" s="37"/>
      <c r="AN321" s="37"/>
      <c r="AO321" s="37"/>
      <c r="AP321" s="37"/>
      <c r="AQ321" s="37"/>
      <c r="AR321" s="37"/>
      <c r="AS321" s="37"/>
      <c r="AT321" s="37"/>
      <c r="AU321" s="37"/>
      <c r="AV321" s="37"/>
      <c r="AW321" s="37"/>
      <c r="AX321" s="36"/>
    </row>
    <row r="322" spans="4:50" ht="15" thickBot="1" x14ac:dyDescent="0.4"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  <c r="AE322" s="37"/>
      <c r="AF322" s="37"/>
      <c r="AG322" s="37"/>
      <c r="AH322" s="37"/>
      <c r="AI322" s="37"/>
      <c r="AJ322" s="37"/>
      <c r="AK322" s="37"/>
      <c r="AL322" s="37"/>
      <c r="AM322" s="37"/>
      <c r="AN322" s="37"/>
      <c r="AO322" s="37"/>
      <c r="AP322" s="37"/>
      <c r="AQ322" s="37"/>
      <c r="AR322" s="37"/>
      <c r="AS322" s="37"/>
      <c r="AT322" s="37"/>
      <c r="AU322" s="37"/>
      <c r="AV322" s="37"/>
      <c r="AW322" s="37"/>
      <c r="AX322" s="36"/>
    </row>
    <row r="323" spans="4:50" ht="15" thickBot="1" x14ac:dyDescent="0.4"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  <c r="AE323" s="37"/>
      <c r="AF323" s="37"/>
      <c r="AG323" s="37"/>
      <c r="AH323" s="37"/>
      <c r="AI323" s="37"/>
      <c r="AJ323" s="37"/>
      <c r="AK323" s="37"/>
      <c r="AL323" s="37"/>
      <c r="AM323" s="37"/>
      <c r="AN323" s="37"/>
      <c r="AO323" s="37"/>
      <c r="AP323" s="37"/>
      <c r="AQ323" s="37"/>
      <c r="AR323" s="37"/>
      <c r="AS323" s="37"/>
      <c r="AT323" s="37"/>
      <c r="AU323" s="37"/>
      <c r="AV323" s="37"/>
      <c r="AW323" s="37"/>
      <c r="AX323" s="36"/>
    </row>
    <row r="324" spans="4:50" ht="15" thickBot="1" x14ac:dyDescent="0.4"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  <c r="AE324" s="37"/>
      <c r="AF324" s="37"/>
      <c r="AG324" s="37"/>
      <c r="AH324" s="37"/>
      <c r="AI324" s="37"/>
      <c r="AJ324" s="37"/>
      <c r="AK324" s="37"/>
      <c r="AL324" s="37"/>
      <c r="AM324" s="37"/>
      <c r="AN324" s="37"/>
      <c r="AO324" s="37"/>
      <c r="AP324" s="37"/>
      <c r="AQ324" s="37"/>
      <c r="AR324" s="37"/>
      <c r="AS324" s="37"/>
      <c r="AT324" s="37"/>
      <c r="AU324" s="37"/>
      <c r="AV324" s="37"/>
      <c r="AW324" s="37"/>
      <c r="AX324" s="36"/>
    </row>
    <row r="325" spans="4:50" ht="15" thickBot="1" x14ac:dyDescent="0.4"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  <c r="AE325" s="37"/>
      <c r="AF325" s="37"/>
      <c r="AG325" s="37"/>
      <c r="AH325" s="37"/>
      <c r="AI325" s="37"/>
      <c r="AJ325" s="37"/>
      <c r="AK325" s="37"/>
      <c r="AL325" s="37"/>
      <c r="AM325" s="37"/>
      <c r="AN325" s="37"/>
      <c r="AO325" s="37"/>
      <c r="AP325" s="37"/>
      <c r="AQ325" s="37"/>
      <c r="AR325" s="37"/>
      <c r="AS325" s="37"/>
      <c r="AT325" s="37"/>
      <c r="AU325" s="37"/>
      <c r="AV325" s="37"/>
      <c r="AW325" s="37"/>
      <c r="AX325" s="36"/>
    </row>
    <row r="326" spans="4:50" ht="15" thickBot="1" x14ac:dyDescent="0.4"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  <c r="AE326" s="37"/>
      <c r="AF326" s="37"/>
      <c r="AG326" s="37"/>
      <c r="AH326" s="37"/>
      <c r="AI326" s="37"/>
      <c r="AJ326" s="37"/>
      <c r="AK326" s="37"/>
      <c r="AL326" s="37"/>
      <c r="AM326" s="37"/>
      <c r="AN326" s="37"/>
      <c r="AO326" s="37"/>
      <c r="AP326" s="37"/>
      <c r="AQ326" s="37"/>
      <c r="AR326" s="37"/>
      <c r="AS326" s="37"/>
      <c r="AT326" s="37"/>
      <c r="AU326" s="37"/>
      <c r="AV326" s="37"/>
      <c r="AW326" s="37"/>
      <c r="AX326" s="36"/>
    </row>
    <row r="327" spans="4:50" ht="15" thickBot="1" x14ac:dyDescent="0.4"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  <c r="AE327" s="37"/>
      <c r="AF327" s="37"/>
      <c r="AG327" s="37"/>
      <c r="AH327" s="37"/>
      <c r="AI327" s="37"/>
      <c r="AJ327" s="37"/>
      <c r="AK327" s="37"/>
      <c r="AL327" s="37"/>
      <c r="AM327" s="37"/>
      <c r="AN327" s="37"/>
      <c r="AO327" s="37"/>
      <c r="AP327" s="37"/>
      <c r="AQ327" s="37"/>
      <c r="AR327" s="37"/>
      <c r="AS327" s="37"/>
      <c r="AT327" s="37"/>
      <c r="AU327" s="37"/>
      <c r="AV327" s="37"/>
      <c r="AW327" s="37"/>
      <c r="AX327" s="36"/>
    </row>
    <row r="328" spans="4:50" ht="15" thickBot="1" x14ac:dyDescent="0.4"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7"/>
      <c r="AN328" s="37"/>
      <c r="AO328" s="37"/>
      <c r="AP328" s="37"/>
      <c r="AQ328" s="37"/>
      <c r="AR328" s="37"/>
      <c r="AS328" s="37"/>
      <c r="AT328" s="37"/>
      <c r="AU328" s="37"/>
      <c r="AV328" s="37"/>
      <c r="AW328" s="37"/>
      <c r="AX328" s="36"/>
    </row>
    <row r="329" spans="4:50" ht="15" thickBot="1" x14ac:dyDescent="0.4"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  <c r="AF329" s="37"/>
      <c r="AG329" s="37"/>
      <c r="AH329" s="37"/>
      <c r="AI329" s="37"/>
      <c r="AJ329" s="37"/>
      <c r="AK329" s="37"/>
      <c r="AL329" s="37"/>
      <c r="AM329" s="37"/>
      <c r="AN329" s="37"/>
      <c r="AO329" s="37"/>
      <c r="AP329" s="37"/>
      <c r="AQ329" s="37"/>
      <c r="AR329" s="37"/>
      <c r="AS329" s="37"/>
      <c r="AT329" s="37"/>
      <c r="AU329" s="37"/>
      <c r="AV329" s="37"/>
      <c r="AW329" s="37"/>
      <c r="AX329" s="36"/>
    </row>
    <row r="330" spans="4:50" ht="15" thickBot="1" x14ac:dyDescent="0.4"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  <c r="AF330" s="37"/>
      <c r="AG330" s="37"/>
      <c r="AH330" s="37"/>
      <c r="AI330" s="37"/>
      <c r="AJ330" s="37"/>
      <c r="AK330" s="37"/>
      <c r="AL330" s="37"/>
      <c r="AM330" s="37"/>
      <c r="AN330" s="37"/>
      <c r="AO330" s="37"/>
      <c r="AP330" s="37"/>
      <c r="AQ330" s="37"/>
      <c r="AR330" s="37"/>
      <c r="AS330" s="37"/>
      <c r="AT330" s="37"/>
      <c r="AU330" s="37"/>
      <c r="AV330" s="37"/>
      <c r="AW330" s="37"/>
      <c r="AX330" s="36"/>
    </row>
    <row r="331" spans="4:50" ht="15" thickBot="1" x14ac:dyDescent="0.4"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  <c r="AG331" s="37"/>
      <c r="AH331" s="37"/>
      <c r="AI331" s="37"/>
      <c r="AJ331" s="37"/>
      <c r="AK331" s="37"/>
      <c r="AL331" s="37"/>
      <c r="AM331" s="37"/>
      <c r="AN331" s="37"/>
      <c r="AO331" s="37"/>
      <c r="AP331" s="37"/>
      <c r="AQ331" s="37"/>
      <c r="AR331" s="37"/>
      <c r="AS331" s="37"/>
      <c r="AT331" s="37"/>
      <c r="AU331" s="37"/>
      <c r="AV331" s="37"/>
      <c r="AW331" s="37"/>
      <c r="AX331" s="36"/>
    </row>
    <row r="332" spans="4:50" ht="15" thickBot="1" x14ac:dyDescent="0.4"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  <c r="AE332" s="37"/>
      <c r="AF332" s="37"/>
      <c r="AG332" s="37"/>
      <c r="AH332" s="37"/>
      <c r="AI332" s="37"/>
      <c r="AJ332" s="37"/>
      <c r="AK332" s="37"/>
      <c r="AL332" s="37"/>
      <c r="AM332" s="37"/>
      <c r="AN332" s="37"/>
      <c r="AO332" s="37"/>
      <c r="AP332" s="37"/>
      <c r="AQ332" s="37"/>
      <c r="AR332" s="37"/>
      <c r="AS332" s="37"/>
      <c r="AT332" s="37"/>
      <c r="AU332" s="37"/>
      <c r="AV332" s="37"/>
      <c r="AW332" s="37"/>
      <c r="AX332" s="36"/>
    </row>
    <row r="333" spans="4:50" ht="15" thickBot="1" x14ac:dyDescent="0.4"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  <c r="AF333" s="37"/>
      <c r="AG333" s="37"/>
      <c r="AH333" s="37"/>
      <c r="AI333" s="37"/>
      <c r="AJ333" s="37"/>
      <c r="AK333" s="37"/>
      <c r="AL333" s="37"/>
      <c r="AM333" s="37"/>
      <c r="AN333" s="37"/>
      <c r="AO333" s="37"/>
      <c r="AP333" s="37"/>
      <c r="AQ333" s="37"/>
      <c r="AR333" s="37"/>
      <c r="AS333" s="37"/>
      <c r="AT333" s="37"/>
      <c r="AU333" s="37"/>
      <c r="AV333" s="37"/>
      <c r="AW333" s="37"/>
      <c r="AX333" s="36"/>
    </row>
    <row r="334" spans="4:50" ht="15" thickBot="1" x14ac:dyDescent="0.4"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37"/>
      <c r="AG334" s="37"/>
      <c r="AH334" s="37"/>
      <c r="AI334" s="37"/>
      <c r="AJ334" s="37"/>
      <c r="AK334" s="37"/>
      <c r="AL334" s="37"/>
      <c r="AM334" s="37"/>
      <c r="AN334" s="37"/>
      <c r="AO334" s="37"/>
      <c r="AP334" s="37"/>
      <c r="AQ334" s="37"/>
      <c r="AR334" s="37"/>
      <c r="AS334" s="37"/>
      <c r="AT334" s="37"/>
      <c r="AU334" s="37"/>
      <c r="AV334" s="37"/>
      <c r="AW334" s="37"/>
      <c r="AX334" s="36"/>
    </row>
    <row r="335" spans="4:50" ht="15" thickBot="1" x14ac:dyDescent="0.4"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  <c r="AF335" s="37"/>
      <c r="AG335" s="37"/>
      <c r="AH335" s="37"/>
      <c r="AI335" s="37"/>
      <c r="AJ335" s="37"/>
      <c r="AK335" s="37"/>
      <c r="AL335" s="37"/>
      <c r="AM335" s="37"/>
      <c r="AN335" s="37"/>
      <c r="AO335" s="37"/>
      <c r="AP335" s="37"/>
      <c r="AQ335" s="37"/>
      <c r="AR335" s="37"/>
      <c r="AS335" s="37"/>
      <c r="AT335" s="37"/>
      <c r="AU335" s="37"/>
      <c r="AV335" s="37"/>
      <c r="AW335" s="37"/>
      <c r="AX335" s="36"/>
    </row>
    <row r="336" spans="4:50" ht="15" thickBot="1" x14ac:dyDescent="0.4"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  <c r="AF336" s="37"/>
      <c r="AG336" s="37"/>
      <c r="AH336" s="37"/>
      <c r="AI336" s="37"/>
      <c r="AJ336" s="37"/>
      <c r="AK336" s="37"/>
      <c r="AL336" s="37"/>
      <c r="AM336" s="37"/>
      <c r="AN336" s="37"/>
      <c r="AO336" s="37"/>
      <c r="AP336" s="37"/>
      <c r="AQ336" s="37"/>
      <c r="AR336" s="37"/>
      <c r="AS336" s="37"/>
      <c r="AT336" s="37"/>
      <c r="AU336" s="37"/>
      <c r="AV336" s="37"/>
      <c r="AW336" s="37"/>
      <c r="AX336" s="36"/>
    </row>
    <row r="337" spans="4:50" ht="15" thickBot="1" x14ac:dyDescent="0.4"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  <c r="AE337" s="37"/>
      <c r="AF337" s="37"/>
      <c r="AG337" s="37"/>
      <c r="AH337" s="37"/>
      <c r="AI337" s="37"/>
      <c r="AJ337" s="37"/>
      <c r="AK337" s="37"/>
      <c r="AL337" s="37"/>
      <c r="AM337" s="37"/>
      <c r="AN337" s="37"/>
      <c r="AO337" s="37"/>
      <c r="AP337" s="37"/>
      <c r="AQ337" s="37"/>
      <c r="AR337" s="37"/>
      <c r="AS337" s="37"/>
      <c r="AT337" s="37"/>
      <c r="AU337" s="37"/>
      <c r="AV337" s="37"/>
      <c r="AW337" s="37"/>
      <c r="AX337" s="36"/>
    </row>
    <row r="338" spans="4:50" ht="15" thickBot="1" x14ac:dyDescent="0.4"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  <c r="AE338" s="37"/>
      <c r="AF338" s="37"/>
      <c r="AG338" s="37"/>
      <c r="AH338" s="37"/>
      <c r="AI338" s="37"/>
      <c r="AJ338" s="37"/>
      <c r="AK338" s="37"/>
      <c r="AL338" s="37"/>
      <c r="AM338" s="37"/>
      <c r="AN338" s="37"/>
      <c r="AO338" s="37"/>
      <c r="AP338" s="37"/>
      <c r="AQ338" s="37"/>
      <c r="AR338" s="37"/>
      <c r="AS338" s="37"/>
      <c r="AT338" s="37"/>
      <c r="AU338" s="37"/>
      <c r="AV338" s="37"/>
      <c r="AW338" s="37"/>
      <c r="AX338" s="36"/>
    </row>
    <row r="339" spans="4:50" ht="15" thickBot="1" x14ac:dyDescent="0.4"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  <c r="AE339" s="37"/>
      <c r="AF339" s="37"/>
      <c r="AG339" s="37"/>
      <c r="AH339" s="37"/>
      <c r="AI339" s="37"/>
      <c r="AJ339" s="37"/>
      <c r="AK339" s="37"/>
      <c r="AL339" s="37"/>
      <c r="AM339" s="37"/>
      <c r="AN339" s="37"/>
      <c r="AO339" s="37"/>
      <c r="AP339" s="37"/>
      <c r="AQ339" s="37"/>
      <c r="AR339" s="37"/>
      <c r="AS339" s="37"/>
      <c r="AT339" s="37"/>
      <c r="AU339" s="37"/>
      <c r="AV339" s="37"/>
      <c r="AW339" s="37"/>
      <c r="AX339" s="36"/>
    </row>
    <row r="340" spans="4:50" ht="15" thickBot="1" x14ac:dyDescent="0.4"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  <c r="AE340" s="37"/>
      <c r="AF340" s="37"/>
      <c r="AG340" s="37"/>
      <c r="AH340" s="37"/>
      <c r="AI340" s="37"/>
      <c r="AJ340" s="37"/>
      <c r="AK340" s="37"/>
      <c r="AL340" s="37"/>
      <c r="AM340" s="37"/>
      <c r="AN340" s="37"/>
      <c r="AO340" s="37"/>
      <c r="AP340" s="37"/>
      <c r="AQ340" s="37"/>
      <c r="AR340" s="37"/>
      <c r="AS340" s="37"/>
      <c r="AT340" s="37"/>
      <c r="AU340" s="37"/>
      <c r="AV340" s="37"/>
      <c r="AW340" s="37"/>
      <c r="AX340" s="36"/>
    </row>
    <row r="341" spans="4:50" ht="15" thickBot="1" x14ac:dyDescent="0.4"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  <c r="AF341" s="37"/>
      <c r="AG341" s="37"/>
      <c r="AH341" s="37"/>
      <c r="AI341" s="37"/>
      <c r="AJ341" s="37"/>
      <c r="AK341" s="37"/>
      <c r="AL341" s="37"/>
      <c r="AM341" s="37"/>
      <c r="AN341" s="37"/>
      <c r="AO341" s="37"/>
      <c r="AP341" s="37"/>
      <c r="AQ341" s="37"/>
      <c r="AR341" s="37"/>
      <c r="AS341" s="37"/>
      <c r="AT341" s="37"/>
      <c r="AU341" s="37"/>
      <c r="AV341" s="37"/>
      <c r="AW341" s="37"/>
      <c r="AX341" s="36"/>
    </row>
    <row r="342" spans="4:50" ht="15" thickBot="1" x14ac:dyDescent="0.4"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  <c r="AE342" s="37"/>
      <c r="AF342" s="37"/>
      <c r="AG342" s="37"/>
      <c r="AH342" s="37"/>
      <c r="AI342" s="37"/>
      <c r="AJ342" s="37"/>
      <c r="AK342" s="37"/>
      <c r="AL342" s="37"/>
      <c r="AM342" s="37"/>
      <c r="AN342" s="37"/>
      <c r="AO342" s="37"/>
      <c r="AP342" s="37"/>
      <c r="AQ342" s="37"/>
      <c r="AR342" s="37"/>
      <c r="AS342" s="37"/>
      <c r="AT342" s="37"/>
      <c r="AU342" s="37"/>
      <c r="AV342" s="37"/>
      <c r="AW342" s="37"/>
      <c r="AX342" s="36"/>
    </row>
    <row r="343" spans="4:50" ht="15" thickBot="1" x14ac:dyDescent="0.4"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  <c r="AE343" s="37"/>
      <c r="AF343" s="37"/>
      <c r="AG343" s="37"/>
      <c r="AH343" s="37"/>
      <c r="AI343" s="37"/>
      <c r="AJ343" s="37"/>
      <c r="AK343" s="37"/>
      <c r="AL343" s="37"/>
      <c r="AM343" s="37"/>
      <c r="AN343" s="37"/>
      <c r="AO343" s="37"/>
      <c r="AP343" s="37"/>
      <c r="AQ343" s="37"/>
      <c r="AR343" s="37"/>
      <c r="AS343" s="37"/>
      <c r="AT343" s="37"/>
      <c r="AU343" s="37"/>
      <c r="AV343" s="37"/>
      <c r="AW343" s="37"/>
      <c r="AX343" s="36"/>
    </row>
    <row r="344" spans="4:50" ht="15" thickBot="1" x14ac:dyDescent="0.4"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  <c r="AE344" s="37"/>
      <c r="AF344" s="37"/>
      <c r="AG344" s="37"/>
      <c r="AH344" s="37"/>
      <c r="AI344" s="37"/>
      <c r="AJ344" s="37"/>
      <c r="AK344" s="37"/>
      <c r="AL344" s="37"/>
      <c r="AM344" s="37"/>
      <c r="AN344" s="37"/>
      <c r="AO344" s="37"/>
      <c r="AP344" s="37"/>
      <c r="AQ344" s="37"/>
      <c r="AR344" s="37"/>
      <c r="AS344" s="37"/>
      <c r="AT344" s="37"/>
      <c r="AU344" s="37"/>
      <c r="AV344" s="37"/>
      <c r="AW344" s="37"/>
      <c r="AX344" s="36"/>
    </row>
    <row r="345" spans="4:50" ht="15" thickBot="1" x14ac:dyDescent="0.4"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  <c r="AE345" s="37"/>
      <c r="AF345" s="37"/>
      <c r="AG345" s="37"/>
      <c r="AH345" s="37"/>
      <c r="AI345" s="37"/>
      <c r="AJ345" s="37"/>
      <c r="AK345" s="37"/>
      <c r="AL345" s="37"/>
      <c r="AM345" s="37"/>
      <c r="AN345" s="37"/>
      <c r="AO345" s="37"/>
      <c r="AP345" s="37"/>
      <c r="AQ345" s="37"/>
      <c r="AR345" s="37"/>
      <c r="AS345" s="37"/>
      <c r="AT345" s="37"/>
      <c r="AU345" s="37"/>
      <c r="AV345" s="37"/>
      <c r="AW345" s="37"/>
      <c r="AX345" s="36"/>
    </row>
    <row r="346" spans="4:50" ht="15" thickBot="1" x14ac:dyDescent="0.4"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  <c r="AE346" s="37"/>
      <c r="AF346" s="37"/>
      <c r="AG346" s="37"/>
      <c r="AH346" s="37"/>
      <c r="AI346" s="37"/>
      <c r="AJ346" s="37"/>
      <c r="AK346" s="37"/>
      <c r="AL346" s="37"/>
      <c r="AM346" s="37"/>
      <c r="AN346" s="37"/>
      <c r="AO346" s="37"/>
      <c r="AP346" s="37"/>
      <c r="AQ346" s="37"/>
      <c r="AR346" s="37"/>
      <c r="AS346" s="37"/>
      <c r="AT346" s="37"/>
      <c r="AU346" s="37"/>
      <c r="AV346" s="37"/>
      <c r="AW346" s="37"/>
      <c r="AX346" s="36"/>
    </row>
    <row r="347" spans="4:50" ht="15" thickBot="1" x14ac:dyDescent="0.4"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  <c r="AE347" s="37"/>
      <c r="AF347" s="37"/>
      <c r="AG347" s="37"/>
      <c r="AH347" s="37"/>
      <c r="AI347" s="37"/>
      <c r="AJ347" s="37"/>
      <c r="AK347" s="37"/>
      <c r="AL347" s="37"/>
      <c r="AM347" s="37"/>
      <c r="AN347" s="37"/>
      <c r="AO347" s="37"/>
      <c r="AP347" s="37"/>
      <c r="AQ347" s="37"/>
      <c r="AR347" s="37"/>
      <c r="AS347" s="37"/>
      <c r="AT347" s="37"/>
      <c r="AU347" s="37"/>
      <c r="AV347" s="37"/>
      <c r="AW347" s="37"/>
      <c r="AX347" s="36"/>
    </row>
    <row r="348" spans="4:50" ht="15" thickBot="1" x14ac:dyDescent="0.4"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  <c r="AE348" s="37"/>
      <c r="AF348" s="37"/>
      <c r="AG348" s="37"/>
      <c r="AH348" s="37"/>
      <c r="AI348" s="37"/>
      <c r="AJ348" s="37"/>
      <c r="AK348" s="37"/>
      <c r="AL348" s="37"/>
      <c r="AM348" s="37"/>
      <c r="AN348" s="37"/>
      <c r="AO348" s="37"/>
      <c r="AP348" s="37"/>
      <c r="AQ348" s="37"/>
      <c r="AR348" s="37"/>
      <c r="AS348" s="37"/>
      <c r="AT348" s="37"/>
      <c r="AU348" s="37"/>
      <c r="AV348" s="37"/>
      <c r="AW348" s="37"/>
      <c r="AX348" s="36"/>
    </row>
    <row r="349" spans="4:50" ht="15" thickBot="1" x14ac:dyDescent="0.4"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  <c r="AE349" s="37"/>
      <c r="AF349" s="37"/>
      <c r="AG349" s="37"/>
      <c r="AH349" s="37"/>
      <c r="AI349" s="37"/>
      <c r="AJ349" s="37"/>
      <c r="AK349" s="37"/>
      <c r="AL349" s="37"/>
      <c r="AM349" s="37"/>
      <c r="AN349" s="37"/>
      <c r="AO349" s="37"/>
      <c r="AP349" s="37"/>
      <c r="AQ349" s="37"/>
      <c r="AR349" s="37"/>
      <c r="AS349" s="37"/>
      <c r="AT349" s="37"/>
      <c r="AU349" s="37"/>
      <c r="AV349" s="37"/>
      <c r="AW349" s="37"/>
      <c r="AX349" s="36"/>
    </row>
    <row r="350" spans="4:50" ht="15" thickBot="1" x14ac:dyDescent="0.4"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  <c r="AE350" s="37"/>
      <c r="AF350" s="37"/>
      <c r="AG350" s="37"/>
      <c r="AH350" s="37"/>
      <c r="AI350" s="37"/>
      <c r="AJ350" s="37"/>
      <c r="AK350" s="37"/>
      <c r="AL350" s="37"/>
      <c r="AM350" s="37"/>
      <c r="AN350" s="37"/>
      <c r="AO350" s="37"/>
      <c r="AP350" s="37"/>
      <c r="AQ350" s="37"/>
      <c r="AR350" s="37"/>
      <c r="AS350" s="37"/>
      <c r="AT350" s="37"/>
      <c r="AU350" s="37"/>
      <c r="AV350" s="37"/>
      <c r="AW350" s="37"/>
      <c r="AX350" s="36"/>
    </row>
    <row r="351" spans="4:50" ht="15" thickBot="1" x14ac:dyDescent="0.4"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  <c r="AE351" s="37"/>
      <c r="AF351" s="37"/>
      <c r="AG351" s="37"/>
      <c r="AH351" s="37"/>
      <c r="AI351" s="37"/>
      <c r="AJ351" s="37"/>
      <c r="AK351" s="37"/>
      <c r="AL351" s="37"/>
      <c r="AM351" s="37"/>
      <c r="AN351" s="37"/>
      <c r="AO351" s="37"/>
      <c r="AP351" s="37"/>
      <c r="AQ351" s="37"/>
      <c r="AR351" s="37"/>
      <c r="AS351" s="37"/>
      <c r="AT351" s="37"/>
      <c r="AU351" s="37"/>
      <c r="AV351" s="37"/>
      <c r="AW351" s="37"/>
      <c r="AX351" s="36"/>
    </row>
    <row r="352" spans="4:50" ht="15" thickBot="1" x14ac:dyDescent="0.4"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  <c r="AE352" s="37"/>
      <c r="AF352" s="37"/>
      <c r="AG352" s="37"/>
      <c r="AH352" s="37"/>
      <c r="AI352" s="37"/>
      <c r="AJ352" s="37"/>
      <c r="AK352" s="37"/>
      <c r="AL352" s="37"/>
      <c r="AM352" s="37"/>
      <c r="AN352" s="37"/>
      <c r="AO352" s="37"/>
      <c r="AP352" s="37"/>
      <c r="AQ352" s="37"/>
      <c r="AR352" s="37"/>
      <c r="AS352" s="37"/>
      <c r="AT352" s="37"/>
      <c r="AU352" s="37"/>
      <c r="AV352" s="37"/>
      <c r="AW352" s="37"/>
      <c r="AX352" s="36"/>
    </row>
    <row r="353" spans="4:50" ht="15" thickBot="1" x14ac:dyDescent="0.4"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  <c r="AE353" s="37"/>
      <c r="AF353" s="37"/>
      <c r="AG353" s="37"/>
      <c r="AH353" s="37"/>
      <c r="AI353" s="37"/>
      <c r="AJ353" s="37"/>
      <c r="AK353" s="37"/>
      <c r="AL353" s="37"/>
      <c r="AM353" s="37"/>
      <c r="AN353" s="37"/>
      <c r="AO353" s="37"/>
      <c r="AP353" s="37"/>
      <c r="AQ353" s="37"/>
      <c r="AR353" s="37"/>
      <c r="AS353" s="37"/>
      <c r="AT353" s="37"/>
      <c r="AU353" s="37"/>
      <c r="AV353" s="37"/>
      <c r="AW353" s="37"/>
      <c r="AX353" s="36"/>
    </row>
    <row r="354" spans="4:50" ht="15" thickBot="1" x14ac:dyDescent="0.4"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  <c r="AE354" s="37"/>
      <c r="AF354" s="37"/>
      <c r="AG354" s="37"/>
      <c r="AH354" s="37"/>
      <c r="AI354" s="37"/>
      <c r="AJ354" s="37"/>
      <c r="AK354" s="37"/>
      <c r="AL354" s="37"/>
      <c r="AM354" s="37"/>
      <c r="AN354" s="37"/>
      <c r="AO354" s="37"/>
      <c r="AP354" s="37"/>
      <c r="AQ354" s="37"/>
      <c r="AR354" s="37"/>
      <c r="AS354" s="37"/>
      <c r="AT354" s="37"/>
      <c r="AU354" s="37"/>
      <c r="AV354" s="37"/>
      <c r="AW354" s="37"/>
      <c r="AX354" s="36"/>
    </row>
    <row r="355" spans="4:50" ht="15" thickBot="1" x14ac:dyDescent="0.4"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  <c r="AE355" s="37"/>
      <c r="AF355" s="37"/>
      <c r="AG355" s="37"/>
      <c r="AH355" s="37"/>
      <c r="AI355" s="37"/>
      <c r="AJ355" s="37"/>
      <c r="AK355" s="37"/>
      <c r="AL355" s="37"/>
      <c r="AM355" s="37"/>
      <c r="AN355" s="37"/>
      <c r="AO355" s="37"/>
      <c r="AP355" s="37"/>
      <c r="AQ355" s="37"/>
      <c r="AR355" s="37"/>
      <c r="AS355" s="37"/>
      <c r="AT355" s="37"/>
      <c r="AU355" s="37"/>
      <c r="AV355" s="37"/>
      <c r="AW355" s="37"/>
      <c r="AX355" s="36"/>
    </row>
    <row r="356" spans="4:50" ht="15" thickBot="1" x14ac:dyDescent="0.4"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  <c r="AE356" s="37"/>
      <c r="AF356" s="37"/>
      <c r="AG356" s="37"/>
      <c r="AH356" s="37"/>
      <c r="AI356" s="37"/>
      <c r="AJ356" s="37"/>
      <c r="AK356" s="37"/>
      <c r="AL356" s="37"/>
      <c r="AM356" s="37"/>
      <c r="AN356" s="37"/>
      <c r="AO356" s="37"/>
      <c r="AP356" s="37"/>
      <c r="AQ356" s="37"/>
      <c r="AR356" s="37"/>
      <c r="AS356" s="37"/>
      <c r="AT356" s="37"/>
      <c r="AU356" s="37"/>
      <c r="AV356" s="37"/>
      <c r="AW356" s="37"/>
      <c r="AX356" s="36"/>
    </row>
    <row r="357" spans="4:50" ht="15" thickBot="1" x14ac:dyDescent="0.4"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  <c r="AE357" s="37"/>
      <c r="AF357" s="37"/>
      <c r="AG357" s="37"/>
      <c r="AH357" s="37"/>
      <c r="AI357" s="37"/>
      <c r="AJ357" s="37"/>
      <c r="AK357" s="37"/>
      <c r="AL357" s="37"/>
      <c r="AM357" s="37"/>
      <c r="AN357" s="37"/>
      <c r="AO357" s="37"/>
      <c r="AP357" s="37"/>
      <c r="AQ357" s="37"/>
      <c r="AR357" s="37"/>
      <c r="AS357" s="37"/>
      <c r="AT357" s="37"/>
      <c r="AU357" s="37"/>
      <c r="AV357" s="37"/>
      <c r="AW357" s="37"/>
      <c r="AX357" s="36"/>
    </row>
    <row r="358" spans="4:50" ht="15" thickBot="1" x14ac:dyDescent="0.4"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  <c r="AE358" s="37"/>
      <c r="AF358" s="37"/>
      <c r="AG358" s="37"/>
      <c r="AH358" s="37"/>
      <c r="AI358" s="37"/>
      <c r="AJ358" s="37"/>
      <c r="AK358" s="37"/>
      <c r="AL358" s="37"/>
      <c r="AM358" s="37"/>
      <c r="AN358" s="37"/>
      <c r="AO358" s="37"/>
      <c r="AP358" s="37"/>
      <c r="AQ358" s="37"/>
      <c r="AR358" s="37"/>
      <c r="AS358" s="37"/>
      <c r="AT358" s="37"/>
      <c r="AU358" s="37"/>
      <c r="AV358" s="37"/>
      <c r="AW358" s="37"/>
      <c r="AX358" s="36"/>
    </row>
    <row r="359" spans="4:50" ht="15" thickBot="1" x14ac:dyDescent="0.4"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  <c r="AE359" s="37"/>
      <c r="AF359" s="37"/>
      <c r="AG359" s="37"/>
      <c r="AH359" s="37"/>
      <c r="AI359" s="37"/>
      <c r="AJ359" s="37"/>
      <c r="AK359" s="37"/>
      <c r="AL359" s="37"/>
      <c r="AM359" s="37"/>
      <c r="AN359" s="37"/>
      <c r="AO359" s="37"/>
      <c r="AP359" s="37"/>
      <c r="AQ359" s="37"/>
      <c r="AR359" s="37"/>
      <c r="AS359" s="37"/>
      <c r="AT359" s="37"/>
      <c r="AU359" s="37"/>
      <c r="AV359" s="37"/>
      <c r="AW359" s="37"/>
      <c r="AX359" s="36"/>
    </row>
    <row r="360" spans="4:50" ht="15" thickBot="1" x14ac:dyDescent="0.4"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  <c r="AE360" s="37"/>
      <c r="AF360" s="37"/>
      <c r="AG360" s="37"/>
      <c r="AH360" s="37"/>
      <c r="AI360" s="37"/>
      <c r="AJ360" s="37"/>
      <c r="AK360" s="37"/>
      <c r="AL360" s="37"/>
      <c r="AM360" s="37"/>
      <c r="AN360" s="37"/>
      <c r="AO360" s="37"/>
      <c r="AP360" s="37"/>
      <c r="AQ360" s="37"/>
      <c r="AR360" s="37"/>
      <c r="AS360" s="37"/>
      <c r="AT360" s="37"/>
      <c r="AU360" s="37"/>
      <c r="AV360" s="37"/>
      <c r="AW360" s="37"/>
      <c r="AX360" s="36"/>
    </row>
    <row r="361" spans="4:50" ht="15" thickBot="1" x14ac:dyDescent="0.4"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  <c r="AE361" s="37"/>
      <c r="AF361" s="37"/>
      <c r="AG361" s="37"/>
      <c r="AH361" s="37"/>
      <c r="AI361" s="37"/>
      <c r="AJ361" s="37"/>
      <c r="AK361" s="37"/>
      <c r="AL361" s="37"/>
      <c r="AM361" s="37"/>
      <c r="AN361" s="37"/>
      <c r="AO361" s="37"/>
      <c r="AP361" s="37"/>
      <c r="AQ361" s="37"/>
      <c r="AR361" s="37"/>
      <c r="AS361" s="37"/>
      <c r="AT361" s="37"/>
      <c r="AU361" s="37"/>
      <c r="AV361" s="37"/>
      <c r="AW361" s="37"/>
      <c r="AX361" s="36"/>
    </row>
    <row r="362" spans="4:50" ht="15" thickBot="1" x14ac:dyDescent="0.4"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  <c r="AE362" s="37"/>
      <c r="AF362" s="37"/>
      <c r="AG362" s="37"/>
      <c r="AH362" s="37"/>
      <c r="AI362" s="37"/>
      <c r="AJ362" s="37"/>
      <c r="AK362" s="37"/>
      <c r="AL362" s="37"/>
      <c r="AM362" s="37"/>
      <c r="AN362" s="37"/>
      <c r="AO362" s="37"/>
      <c r="AP362" s="37"/>
      <c r="AQ362" s="37"/>
      <c r="AR362" s="37"/>
      <c r="AS362" s="37"/>
      <c r="AT362" s="37"/>
      <c r="AU362" s="37"/>
      <c r="AV362" s="37"/>
      <c r="AW362" s="37"/>
      <c r="AX362" s="36"/>
    </row>
    <row r="363" spans="4:50" ht="15" thickBot="1" x14ac:dyDescent="0.4"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  <c r="AE363" s="37"/>
      <c r="AF363" s="37"/>
      <c r="AG363" s="37"/>
      <c r="AH363" s="37"/>
      <c r="AI363" s="37"/>
      <c r="AJ363" s="37"/>
      <c r="AK363" s="37"/>
      <c r="AL363" s="37"/>
      <c r="AM363" s="37"/>
      <c r="AN363" s="37"/>
      <c r="AO363" s="37"/>
      <c r="AP363" s="37"/>
      <c r="AQ363" s="37"/>
      <c r="AR363" s="37"/>
      <c r="AS363" s="37"/>
      <c r="AT363" s="37"/>
      <c r="AU363" s="37"/>
      <c r="AV363" s="37"/>
      <c r="AW363" s="37"/>
      <c r="AX363" s="36"/>
    </row>
    <row r="364" spans="4:50" ht="15" thickBot="1" x14ac:dyDescent="0.4"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  <c r="AE364" s="37"/>
      <c r="AF364" s="37"/>
      <c r="AG364" s="37"/>
      <c r="AH364" s="37"/>
      <c r="AI364" s="37"/>
      <c r="AJ364" s="37"/>
      <c r="AK364" s="37"/>
      <c r="AL364" s="37"/>
      <c r="AM364" s="37"/>
      <c r="AN364" s="37"/>
      <c r="AO364" s="37"/>
      <c r="AP364" s="37"/>
      <c r="AQ364" s="37"/>
      <c r="AR364" s="37"/>
      <c r="AS364" s="37"/>
      <c r="AT364" s="37"/>
      <c r="AU364" s="37"/>
      <c r="AV364" s="37"/>
      <c r="AW364" s="37"/>
      <c r="AX364" s="36"/>
    </row>
    <row r="365" spans="4:50" ht="15" thickBot="1" x14ac:dyDescent="0.4"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  <c r="AE365" s="37"/>
      <c r="AF365" s="37"/>
      <c r="AG365" s="37"/>
      <c r="AH365" s="37"/>
      <c r="AI365" s="37"/>
      <c r="AJ365" s="37"/>
      <c r="AK365" s="37"/>
      <c r="AL365" s="37"/>
      <c r="AM365" s="37"/>
      <c r="AN365" s="37"/>
      <c r="AO365" s="37"/>
      <c r="AP365" s="37"/>
      <c r="AQ365" s="37"/>
      <c r="AR365" s="37"/>
      <c r="AS365" s="37"/>
      <c r="AT365" s="37"/>
      <c r="AU365" s="37"/>
      <c r="AV365" s="37"/>
      <c r="AW365" s="37"/>
      <c r="AX365" s="36"/>
    </row>
    <row r="366" spans="4:50" ht="15" thickBot="1" x14ac:dyDescent="0.4"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7"/>
      <c r="AN366" s="37"/>
      <c r="AO366" s="37"/>
      <c r="AP366" s="37"/>
      <c r="AQ366" s="37"/>
      <c r="AR366" s="37"/>
      <c r="AS366" s="37"/>
      <c r="AT366" s="37"/>
      <c r="AU366" s="37"/>
      <c r="AV366" s="37"/>
      <c r="AW366" s="37"/>
      <c r="AX366" s="36"/>
    </row>
    <row r="367" spans="4:50" ht="15" thickBot="1" x14ac:dyDescent="0.4"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  <c r="AE367" s="37"/>
      <c r="AF367" s="37"/>
      <c r="AG367" s="37"/>
      <c r="AH367" s="37"/>
      <c r="AI367" s="37"/>
      <c r="AJ367" s="37"/>
      <c r="AK367" s="37"/>
      <c r="AL367" s="37"/>
      <c r="AM367" s="37"/>
      <c r="AN367" s="37"/>
      <c r="AO367" s="37"/>
      <c r="AP367" s="37"/>
      <c r="AQ367" s="37"/>
      <c r="AR367" s="37"/>
      <c r="AS367" s="37"/>
      <c r="AT367" s="37"/>
      <c r="AU367" s="37"/>
      <c r="AV367" s="37"/>
      <c r="AW367" s="37"/>
      <c r="AX367" s="36"/>
    </row>
    <row r="368" spans="4:50" ht="15" thickBot="1" x14ac:dyDescent="0.4"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  <c r="AE368" s="37"/>
      <c r="AF368" s="37"/>
      <c r="AG368" s="37"/>
      <c r="AH368" s="37"/>
      <c r="AI368" s="37"/>
      <c r="AJ368" s="37"/>
      <c r="AK368" s="37"/>
      <c r="AL368" s="37"/>
      <c r="AM368" s="37"/>
      <c r="AN368" s="37"/>
      <c r="AO368" s="37"/>
      <c r="AP368" s="37"/>
      <c r="AQ368" s="37"/>
      <c r="AR368" s="37"/>
      <c r="AS368" s="37"/>
      <c r="AT368" s="37"/>
      <c r="AU368" s="37"/>
      <c r="AV368" s="37"/>
      <c r="AW368" s="37"/>
      <c r="AX368" s="36"/>
    </row>
    <row r="369" spans="4:50" ht="15" thickBot="1" x14ac:dyDescent="0.4"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37"/>
      <c r="AG369" s="37"/>
      <c r="AH369" s="37"/>
      <c r="AI369" s="37"/>
      <c r="AJ369" s="37"/>
      <c r="AK369" s="37"/>
      <c r="AL369" s="37"/>
      <c r="AM369" s="37"/>
      <c r="AN369" s="37"/>
      <c r="AO369" s="37"/>
      <c r="AP369" s="37"/>
      <c r="AQ369" s="37"/>
      <c r="AR369" s="37"/>
      <c r="AS369" s="37"/>
      <c r="AT369" s="37"/>
      <c r="AU369" s="37"/>
      <c r="AV369" s="37"/>
      <c r="AW369" s="37"/>
      <c r="AX369" s="36"/>
    </row>
    <row r="370" spans="4:50" ht="15" thickBot="1" x14ac:dyDescent="0.4"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  <c r="AE370" s="37"/>
      <c r="AF370" s="37"/>
      <c r="AG370" s="37"/>
      <c r="AH370" s="37"/>
      <c r="AI370" s="37"/>
      <c r="AJ370" s="37"/>
      <c r="AK370" s="37"/>
      <c r="AL370" s="37"/>
      <c r="AM370" s="37"/>
      <c r="AN370" s="37"/>
      <c r="AO370" s="37"/>
      <c r="AP370" s="37"/>
      <c r="AQ370" s="37"/>
      <c r="AR370" s="37"/>
      <c r="AS370" s="37"/>
      <c r="AT370" s="37"/>
      <c r="AU370" s="37"/>
      <c r="AV370" s="37"/>
      <c r="AW370" s="37"/>
      <c r="AX370" s="36"/>
    </row>
    <row r="371" spans="4:50" ht="15" thickBot="1" x14ac:dyDescent="0.4"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  <c r="AE371" s="37"/>
      <c r="AF371" s="37"/>
      <c r="AG371" s="37"/>
      <c r="AH371" s="37"/>
      <c r="AI371" s="37"/>
      <c r="AJ371" s="37"/>
      <c r="AK371" s="37"/>
      <c r="AL371" s="37"/>
      <c r="AM371" s="37"/>
      <c r="AN371" s="37"/>
      <c r="AO371" s="37"/>
      <c r="AP371" s="37"/>
      <c r="AQ371" s="37"/>
      <c r="AR371" s="37"/>
      <c r="AS371" s="37"/>
      <c r="AT371" s="37"/>
      <c r="AU371" s="37"/>
      <c r="AV371" s="37"/>
      <c r="AW371" s="37"/>
      <c r="AX371" s="36"/>
    </row>
    <row r="372" spans="4:50" ht="15" thickBot="1" x14ac:dyDescent="0.4"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  <c r="AE372" s="37"/>
      <c r="AF372" s="37"/>
      <c r="AG372" s="37"/>
      <c r="AH372" s="37"/>
      <c r="AI372" s="37"/>
      <c r="AJ372" s="37"/>
      <c r="AK372" s="37"/>
      <c r="AL372" s="37"/>
      <c r="AM372" s="37"/>
      <c r="AN372" s="37"/>
      <c r="AO372" s="37"/>
      <c r="AP372" s="37"/>
      <c r="AQ372" s="37"/>
      <c r="AR372" s="37"/>
      <c r="AS372" s="37"/>
      <c r="AT372" s="37"/>
      <c r="AU372" s="37"/>
      <c r="AV372" s="37"/>
      <c r="AW372" s="37"/>
      <c r="AX372" s="36"/>
    </row>
    <row r="373" spans="4:50" ht="15" thickBot="1" x14ac:dyDescent="0.4"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  <c r="AE373" s="37"/>
      <c r="AF373" s="37"/>
      <c r="AG373" s="37"/>
      <c r="AH373" s="37"/>
      <c r="AI373" s="37"/>
      <c r="AJ373" s="37"/>
      <c r="AK373" s="37"/>
      <c r="AL373" s="37"/>
      <c r="AM373" s="37"/>
      <c r="AN373" s="37"/>
      <c r="AO373" s="37"/>
      <c r="AP373" s="37"/>
      <c r="AQ373" s="37"/>
      <c r="AR373" s="37"/>
      <c r="AS373" s="37"/>
      <c r="AT373" s="37"/>
      <c r="AU373" s="37"/>
      <c r="AV373" s="37"/>
      <c r="AW373" s="37"/>
      <c r="AX373" s="36"/>
    </row>
    <row r="374" spans="4:50" ht="15" thickBot="1" x14ac:dyDescent="0.4"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  <c r="AE374" s="37"/>
      <c r="AF374" s="37"/>
      <c r="AG374" s="37"/>
      <c r="AH374" s="37"/>
      <c r="AI374" s="37"/>
      <c r="AJ374" s="37"/>
      <c r="AK374" s="37"/>
      <c r="AL374" s="37"/>
      <c r="AM374" s="37"/>
      <c r="AN374" s="37"/>
      <c r="AO374" s="37"/>
      <c r="AP374" s="37"/>
      <c r="AQ374" s="37"/>
      <c r="AR374" s="37"/>
      <c r="AS374" s="37"/>
      <c r="AT374" s="37"/>
      <c r="AU374" s="37"/>
      <c r="AV374" s="37"/>
      <c r="AW374" s="37"/>
      <c r="AX374" s="36"/>
    </row>
    <row r="375" spans="4:50" ht="15" thickBot="1" x14ac:dyDescent="0.4"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  <c r="AE375" s="37"/>
      <c r="AF375" s="37"/>
      <c r="AG375" s="37"/>
      <c r="AH375" s="37"/>
      <c r="AI375" s="37"/>
      <c r="AJ375" s="37"/>
      <c r="AK375" s="37"/>
      <c r="AL375" s="37"/>
      <c r="AM375" s="37"/>
      <c r="AN375" s="37"/>
      <c r="AO375" s="37"/>
      <c r="AP375" s="37"/>
      <c r="AQ375" s="37"/>
      <c r="AR375" s="37"/>
      <c r="AS375" s="37"/>
      <c r="AT375" s="37"/>
      <c r="AU375" s="37"/>
      <c r="AV375" s="37"/>
      <c r="AW375" s="37"/>
      <c r="AX375" s="36"/>
    </row>
    <row r="376" spans="4:50" ht="15" thickBot="1" x14ac:dyDescent="0.4"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  <c r="AE376" s="37"/>
      <c r="AF376" s="37"/>
      <c r="AG376" s="37"/>
      <c r="AH376" s="37"/>
      <c r="AI376" s="37"/>
      <c r="AJ376" s="37"/>
      <c r="AK376" s="37"/>
      <c r="AL376" s="37"/>
      <c r="AM376" s="37"/>
      <c r="AN376" s="37"/>
      <c r="AO376" s="37"/>
      <c r="AP376" s="37"/>
      <c r="AQ376" s="37"/>
      <c r="AR376" s="37"/>
      <c r="AS376" s="37"/>
      <c r="AT376" s="37"/>
      <c r="AU376" s="37"/>
      <c r="AV376" s="37"/>
      <c r="AW376" s="37"/>
      <c r="AX376" s="36"/>
    </row>
    <row r="377" spans="4:50" ht="15" thickBot="1" x14ac:dyDescent="0.4"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  <c r="AE377" s="37"/>
      <c r="AF377" s="37"/>
      <c r="AG377" s="37"/>
      <c r="AH377" s="37"/>
      <c r="AI377" s="37"/>
      <c r="AJ377" s="37"/>
      <c r="AK377" s="37"/>
      <c r="AL377" s="37"/>
      <c r="AM377" s="37"/>
      <c r="AN377" s="37"/>
      <c r="AO377" s="37"/>
      <c r="AP377" s="37"/>
      <c r="AQ377" s="37"/>
      <c r="AR377" s="37"/>
      <c r="AS377" s="37"/>
      <c r="AT377" s="37"/>
      <c r="AU377" s="37"/>
      <c r="AV377" s="37"/>
      <c r="AW377" s="37"/>
      <c r="AX377" s="36"/>
    </row>
    <row r="378" spans="4:50" ht="15" thickBot="1" x14ac:dyDescent="0.4"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  <c r="AE378" s="37"/>
      <c r="AF378" s="37"/>
      <c r="AG378" s="37"/>
      <c r="AH378" s="37"/>
      <c r="AI378" s="37"/>
      <c r="AJ378" s="37"/>
      <c r="AK378" s="37"/>
      <c r="AL378" s="37"/>
      <c r="AM378" s="37"/>
      <c r="AN378" s="37"/>
      <c r="AO378" s="37"/>
      <c r="AP378" s="37"/>
      <c r="AQ378" s="37"/>
      <c r="AR378" s="37"/>
      <c r="AS378" s="37"/>
      <c r="AT378" s="37"/>
      <c r="AU378" s="37"/>
      <c r="AV378" s="37"/>
      <c r="AW378" s="37"/>
      <c r="AX378" s="36"/>
    </row>
    <row r="379" spans="4:50" ht="15" thickBot="1" x14ac:dyDescent="0.4"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  <c r="AE379" s="37"/>
      <c r="AF379" s="37"/>
      <c r="AG379" s="37"/>
      <c r="AH379" s="37"/>
      <c r="AI379" s="37"/>
      <c r="AJ379" s="37"/>
      <c r="AK379" s="37"/>
      <c r="AL379" s="37"/>
      <c r="AM379" s="37"/>
      <c r="AN379" s="37"/>
      <c r="AO379" s="37"/>
      <c r="AP379" s="37"/>
      <c r="AQ379" s="37"/>
      <c r="AR379" s="37"/>
      <c r="AS379" s="37"/>
      <c r="AT379" s="37"/>
      <c r="AU379" s="37"/>
      <c r="AV379" s="37"/>
      <c r="AW379" s="37"/>
      <c r="AX379" s="36"/>
    </row>
    <row r="380" spans="4:50" ht="15" thickBot="1" x14ac:dyDescent="0.4"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  <c r="AE380" s="37"/>
      <c r="AF380" s="37"/>
      <c r="AG380" s="37"/>
      <c r="AH380" s="37"/>
      <c r="AI380" s="37"/>
      <c r="AJ380" s="37"/>
      <c r="AK380" s="37"/>
      <c r="AL380" s="37"/>
      <c r="AM380" s="37"/>
      <c r="AN380" s="37"/>
      <c r="AO380" s="37"/>
      <c r="AP380" s="37"/>
      <c r="AQ380" s="37"/>
      <c r="AR380" s="37"/>
      <c r="AS380" s="37"/>
      <c r="AT380" s="37"/>
      <c r="AU380" s="37"/>
      <c r="AV380" s="37"/>
      <c r="AW380" s="37"/>
      <c r="AX380" s="36"/>
    </row>
    <row r="381" spans="4:50" ht="15" thickBot="1" x14ac:dyDescent="0.4"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  <c r="AE381" s="37"/>
      <c r="AF381" s="37"/>
      <c r="AG381" s="37"/>
      <c r="AH381" s="37"/>
      <c r="AI381" s="37"/>
      <c r="AJ381" s="37"/>
      <c r="AK381" s="37"/>
      <c r="AL381" s="37"/>
      <c r="AM381" s="37"/>
      <c r="AN381" s="37"/>
      <c r="AO381" s="37"/>
      <c r="AP381" s="37"/>
      <c r="AQ381" s="37"/>
      <c r="AR381" s="37"/>
      <c r="AS381" s="37"/>
      <c r="AT381" s="37"/>
      <c r="AU381" s="37"/>
      <c r="AV381" s="37"/>
      <c r="AW381" s="37"/>
      <c r="AX381" s="36"/>
    </row>
    <row r="382" spans="4:50" ht="15" thickBot="1" x14ac:dyDescent="0.4"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  <c r="AE382" s="37"/>
      <c r="AF382" s="37"/>
      <c r="AG382" s="37"/>
      <c r="AH382" s="37"/>
      <c r="AI382" s="37"/>
      <c r="AJ382" s="37"/>
      <c r="AK382" s="37"/>
      <c r="AL382" s="37"/>
      <c r="AM382" s="37"/>
      <c r="AN382" s="37"/>
      <c r="AO382" s="37"/>
      <c r="AP382" s="37"/>
      <c r="AQ382" s="37"/>
      <c r="AR382" s="37"/>
      <c r="AS382" s="37"/>
      <c r="AT382" s="37"/>
      <c r="AU382" s="37"/>
      <c r="AV382" s="37"/>
      <c r="AW382" s="37"/>
      <c r="AX382" s="36"/>
    </row>
    <row r="383" spans="4:50" ht="15" thickBot="1" x14ac:dyDescent="0.4"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  <c r="AE383" s="37"/>
      <c r="AF383" s="37"/>
      <c r="AG383" s="37"/>
      <c r="AH383" s="37"/>
      <c r="AI383" s="37"/>
      <c r="AJ383" s="37"/>
      <c r="AK383" s="37"/>
      <c r="AL383" s="37"/>
      <c r="AM383" s="37"/>
      <c r="AN383" s="37"/>
      <c r="AO383" s="37"/>
      <c r="AP383" s="37"/>
      <c r="AQ383" s="37"/>
      <c r="AR383" s="37"/>
      <c r="AS383" s="37"/>
      <c r="AT383" s="37"/>
      <c r="AU383" s="37"/>
      <c r="AV383" s="37"/>
      <c r="AW383" s="37"/>
      <c r="AX383" s="36"/>
    </row>
    <row r="384" spans="4:50" ht="15" thickBot="1" x14ac:dyDescent="0.4"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  <c r="AE384" s="37"/>
      <c r="AF384" s="37"/>
      <c r="AG384" s="37"/>
      <c r="AH384" s="37"/>
      <c r="AI384" s="37"/>
      <c r="AJ384" s="37"/>
      <c r="AK384" s="37"/>
      <c r="AL384" s="37"/>
      <c r="AM384" s="37"/>
      <c r="AN384" s="37"/>
      <c r="AO384" s="37"/>
      <c r="AP384" s="37"/>
      <c r="AQ384" s="37"/>
      <c r="AR384" s="37"/>
      <c r="AS384" s="37"/>
      <c r="AT384" s="37"/>
      <c r="AU384" s="37"/>
      <c r="AV384" s="37"/>
      <c r="AW384" s="37"/>
      <c r="AX384" s="36"/>
    </row>
    <row r="385" spans="4:50" ht="15" thickBot="1" x14ac:dyDescent="0.4"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  <c r="AE385" s="37"/>
      <c r="AF385" s="37"/>
      <c r="AG385" s="37"/>
      <c r="AH385" s="37"/>
      <c r="AI385" s="37"/>
      <c r="AJ385" s="37"/>
      <c r="AK385" s="37"/>
      <c r="AL385" s="37"/>
      <c r="AM385" s="37"/>
      <c r="AN385" s="37"/>
      <c r="AO385" s="37"/>
      <c r="AP385" s="37"/>
      <c r="AQ385" s="37"/>
      <c r="AR385" s="37"/>
      <c r="AS385" s="37"/>
      <c r="AT385" s="37"/>
      <c r="AU385" s="37"/>
      <c r="AV385" s="37"/>
      <c r="AW385" s="37"/>
      <c r="AX385" s="36"/>
    </row>
    <row r="386" spans="4:50" ht="15" thickBot="1" x14ac:dyDescent="0.4"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  <c r="AE386" s="37"/>
      <c r="AF386" s="37"/>
      <c r="AG386" s="37"/>
      <c r="AH386" s="37"/>
      <c r="AI386" s="37"/>
      <c r="AJ386" s="37"/>
      <c r="AK386" s="37"/>
      <c r="AL386" s="37"/>
      <c r="AM386" s="37"/>
      <c r="AN386" s="37"/>
      <c r="AO386" s="37"/>
      <c r="AP386" s="37"/>
      <c r="AQ386" s="37"/>
      <c r="AR386" s="37"/>
      <c r="AS386" s="37"/>
      <c r="AT386" s="37"/>
      <c r="AU386" s="37"/>
      <c r="AV386" s="37"/>
      <c r="AW386" s="37"/>
      <c r="AX386" s="36"/>
    </row>
    <row r="387" spans="4:50" ht="15" thickBot="1" x14ac:dyDescent="0.4"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  <c r="AE387" s="37"/>
      <c r="AF387" s="37"/>
      <c r="AG387" s="37"/>
      <c r="AH387" s="37"/>
      <c r="AI387" s="37"/>
      <c r="AJ387" s="37"/>
      <c r="AK387" s="37"/>
      <c r="AL387" s="37"/>
      <c r="AM387" s="37"/>
      <c r="AN387" s="37"/>
      <c r="AO387" s="37"/>
      <c r="AP387" s="37"/>
      <c r="AQ387" s="37"/>
      <c r="AR387" s="37"/>
      <c r="AS387" s="37"/>
      <c r="AT387" s="37"/>
      <c r="AU387" s="37"/>
      <c r="AV387" s="37"/>
      <c r="AW387" s="37"/>
      <c r="AX387" s="36"/>
    </row>
    <row r="388" spans="4:50" ht="15" thickBot="1" x14ac:dyDescent="0.4"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37"/>
      <c r="AH388" s="37"/>
      <c r="AI388" s="37"/>
      <c r="AJ388" s="37"/>
      <c r="AK388" s="37"/>
      <c r="AL388" s="37"/>
      <c r="AM388" s="37"/>
      <c r="AN388" s="37"/>
      <c r="AO388" s="37"/>
      <c r="AP388" s="37"/>
      <c r="AQ388" s="37"/>
      <c r="AR388" s="37"/>
      <c r="AS388" s="37"/>
      <c r="AT388" s="37"/>
      <c r="AU388" s="37"/>
      <c r="AV388" s="37"/>
      <c r="AW388" s="37"/>
      <c r="AX388" s="36"/>
    </row>
    <row r="389" spans="4:50" ht="15" thickBot="1" x14ac:dyDescent="0.4"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  <c r="AE389" s="37"/>
      <c r="AF389" s="37"/>
      <c r="AG389" s="37"/>
      <c r="AH389" s="37"/>
      <c r="AI389" s="37"/>
      <c r="AJ389" s="37"/>
      <c r="AK389" s="37"/>
      <c r="AL389" s="37"/>
      <c r="AM389" s="37"/>
      <c r="AN389" s="37"/>
      <c r="AO389" s="37"/>
      <c r="AP389" s="37"/>
      <c r="AQ389" s="37"/>
      <c r="AR389" s="37"/>
      <c r="AS389" s="37"/>
      <c r="AT389" s="37"/>
      <c r="AU389" s="37"/>
      <c r="AV389" s="37"/>
      <c r="AW389" s="37"/>
      <c r="AX389" s="36"/>
    </row>
    <row r="390" spans="4:50" ht="15" thickBot="1" x14ac:dyDescent="0.4"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  <c r="AE390" s="37"/>
      <c r="AF390" s="37"/>
      <c r="AG390" s="37"/>
      <c r="AH390" s="37"/>
      <c r="AI390" s="37"/>
      <c r="AJ390" s="37"/>
      <c r="AK390" s="37"/>
      <c r="AL390" s="37"/>
      <c r="AM390" s="37"/>
      <c r="AN390" s="37"/>
      <c r="AO390" s="37"/>
      <c r="AP390" s="37"/>
      <c r="AQ390" s="37"/>
      <c r="AR390" s="37"/>
      <c r="AS390" s="37"/>
      <c r="AT390" s="37"/>
      <c r="AU390" s="37"/>
      <c r="AV390" s="37"/>
      <c r="AW390" s="37"/>
      <c r="AX390" s="36"/>
    </row>
    <row r="391" spans="4:50" ht="15" thickBot="1" x14ac:dyDescent="0.4"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  <c r="AE391" s="37"/>
      <c r="AF391" s="37"/>
      <c r="AG391" s="37"/>
      <c r="AH391" s="37"/>
      <c r="AI391" s="37"/>
      <c r="AJ391" s="37"/>
      <c r="AK391" s="37"/>
      <c r="AL391" s="37"/>
      <c r="AM391" s="37"/>
      <c r="AN391" s="37"/>
      <c r="AO391" s="37"/>
      <c r="AP391" s="37"/>
      <c r="AQ391" s="37"/>
      <c r="AR391" s="37"/>
      <c r="AS391" s="37"/>
      <c r="AT391" s="37"/>
      <c r="AU391" s="37"/>
      <c r="AV391" s="37"/>
      <c r="AW391" s="37"/>
      <c r="AX391" s="36"/>
    </row>
    <row r="392" spans="4:50" ht="15" thickBot="1" x14ac:dyDescent="0.4"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  <c r="AE392" s="37"/>
      <c r="AF392" s="37"/>
      <c r="AG392" s="37"/>
      <c r="AH392" s="37"/>
      <c r="AI392" s="37"/>
      <c r="AJ392" s="37"/>
      <c r="AK392" s="37"/>
      <c r="AL392" s="37"/>
      <c r="AM392" s="37"/>
      <c r="AN392" s="37"/>
      <c r="AO392" s="37"/>
      <c r="AP392" s="37"/>
      <c r="AQ392" s="37"/>
      <c r="AR392" s="37"/>
      <c r="AS392" s="37"/>
      <c r="AT392" s="37"/>
      <c r="AU392" s="37"/>
      <c r="AV392" s="37"/>
      <c r="AW392" s="37"/>
      <c r="AX392" s="36"/>
    </row>
    <row r="393" spans="4:50" ht="15" thickBot="1" x14ac:dyDescent="0.4"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  <c r="AE393" s="37"/>
      <c r="AF393" s="37"/>
      <c r="AG393" s="37"/>
      <c r="AH393" s="37"/>
      <c r="AI393" s="37"/>
      <c r="AJ393" s="37"/>
      <c r="AK393" s="37"/>
      <c r="AL393" s="37"/>
      <c r="AM393" s="37"/>
      <c r="AN393" s="37"/>
      <c r="AO393" s="37"/>
      <c r="AP393" s="37"/>
      <c r="AQ393" s="37"/>
      <c r="AR393" s="37"/>
      <c r="AS393" s="37"/>
      <c r="AT393" s="37"/>
      <c r="AU393" s="37"/>
      <c r="AV393" s="37"/>
      <c r="AW393" s="37"/>
      <c r="AX393" s="36"/>
    </row>
    <row r="394" spans="4:50" ht="15" thickBot="1" x14ac:dyDescent="0.4"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  <c r="AE394" s="37"/>
      <c r="AF394" s="37"/>
      <c r="AG394" s="37"/>
      <c r="AH394" s="37"/>
      <c r="AI394" s="37"/>
      <c r="AJ394" s="37"/>
      <c r="AK394" s="37"/>
      <c r="AL394" s="37"/>
      <c r="AM394" s="37"/>
      <c r="AN394" s="37"/>
      <c r="AO394" s="37"/>
      <c r="AP394" s="37"/>
      <c r="AQ394" s="37"/>
      <c r="AR394" s="37"/>
      <c r="AS394" s="37"/>
      <c r="AT394" s="37"/>
      <c r="AU394" s="37"/>
      <c r="AV394" s="37"/>
      <c r="AW394" s="37"/>
      <c r="AX394" s="36"/>
    </row>
    <row r="395" spans="4:50" ht="15" thickBot="1" x14ac:dyDescent="0.4"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  <c r="AE395" s="37"/>
      <c r="AF395" s="37"/>
      <c r="AG395" s="37"/>
      <c r="AH395" s="37"/>
      <c r="AI395" s="37"/>
      <c r="AJ395" s="37"/>
      <c r="AK395" s="37"/>
      <c r="AL395" s="37"/>
      <c r="AM395" s="37"/>
      <c r="AN395" s="37"/>
      <c r="AO395" s="37"/>
      <c r="AP395" s="37"/>
      <c r="AQ395" s="37"/>
      <c r="AR395" s="37"/>
      <c r="AS395" s="37"/>
      <c r="AT395" s="37"/>
      <c r="AU395" s="37"/>
      <c r="AV395" s="37"/>
      <c r="AW395" s="37"/>
      <c r="AX395" s="36"/>
    </row>
    <row r="396" spans="4:50" ht="15" thickBot="1" x14ac:dyDescent="0.4"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  <c r="AE396" s="37"/>
      <c r="AF396" s="37"/>
      <c r="AG396" s="37"/>
      <c r="AH396" s="37"/>
      <c r="AI396" s="37"/>
      <c r="AJ396" s="37"/>
      <c r="AK396" s="37"/>
      <c r="AL396" s="37"/>
      <c r="AM396" s="37"/>
      <c r="AN396" s="37"/>
      <c r="AO396" s="37"/>
      <c r="AP396" s="37"/>
      <c r="AQ396" s="37"/>
      <c r="AR396" s="37"/>
      <c r="AS396" s="37"/>
      <c r="AT396" s="37"/>
      <c r="AU396" s="37"/>
      <c r="AV396" s="37"/>
      <c r="AW396" s="37"/>
      <c r="AX396" s="36"/>
    </row>
    <row r="397" spans="4:50" ht="15" thickBot="1" x14ac:dyDescent="0.4"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  <c r="AE397" s="37"/>
      <c r="AF397" s="37"/>
      <c r="AG397" s="37"/>
      <c r="AH397" s="37"/>
      <c r="AI397" s="37"/>
      <c r="AJ397" s="37"/>
      <c r="AK397" s="37"/>
      <c r="AL397" s="37"/>
      <c r="AM397" s="37"/>
      <c r="AN397" s="37"/>
      <c r="AO397" s="37"/>
      <c r="AP397" s="37"/>
      <c r="AQ397" s="37"/>
      <c r="AR397" s="37"/>
      <c r="AS397" s="37"/>
      <c r="AT397" s="37"/>
      <c r="AU397" s="37"/>
      <c r="AV397" s="37"/>
      <c r="AW397" s="37"/>
      <c r="AX397" s="36"/>
    </row>
    <row r="398" spans="4:50" ht="15" thickBot="1" x14ac:dyDescent="0.4"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  <c r="AE398" s="37"/>
      <c r="AF398" s="37"/>
      <c r="AG398" s="37"/>
      <c r="AH398" s="37"/>
      <c r="AI398" s="37"/>
      <c r="AJ398" s="37"/>
      <c r="AK398" s="37"/>
      <c r="AL398" s="37"/>
      <c r="AM398" s="37"/>
      <c r="AN398" s="37"/>
      <c r="AO398" s="37"/>
      <c r="AP398" s="37"/>
      <c r="AQ398" s="37"/>
      <c r="AR398" s="37"/>
      <c r="AS398" s="37"/>
      <c r="AT398" s="37"/>
      <c r="AU398" s="37"/>
      <c r="AV398" s="37"/>
      <c r="AW398" s="37"/>
      <c r="AX398" s="36"/>
    </row>
    <row r="399" spans="4:50" ht="15" thickBot="1" x14ac:dyDescent="0.4"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  <c r="AE399" s="37"/>
      <c r="AF399" s="37"/>
      <c r="AG399" s="37"/>
      <c r="AH399" s="37"/>
      <c r="AI399" s="37"/>
      <c r="AJ399" s="37"/>
      <c r="AK399" s="37"/>
      <c r="AL399" s="37"/>
      <c r="AM399" s="37"/>
      <c r="AN399" s="37"/>
      <c r="AO399" s="37"/>
      <c r="AP399" s="37"/>
      <c r="AQ399" s="37"/>
      <c r="AR399" s="37"/>
      <c r="AS399" s="37"/>
      <c r="AT399" s="37"/>
      <c r="AU399" s="37"/>
      <c r="AV399" s="37"/>
      <c r="AW399" s="37"/>
      <c r="AX399" s="36"/>
    </row>
    <row r="400" spans="4:50" ht="15" thickBot="1" x14ac:dyDescent="0.4"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  <c r="AE400" s="37"/>
      <c r="AF400" s="37"/>
      <c r="AG400" s="37"/>
      <c r="AH400" s="37"/>
      <c r="AI400" s="37"/>
      <c r="AJ400" s="37"/>
      <c r="AK400" s="37"/>
      <c r="AL400" s="37"/>
      <c r="AM400" s="37"/>
      <c r="AN400" s="37"/>
      <c r="AO400" s="37"/>
      <c r="AP400" s="37"/>
      <c r="AQ400" s="37"/>
      <c r="AR400" s="37"/>
      <c r="AS400" s="37"/>
      <c r="AT400" s="37"/>
      <c r="AU400" s="37"/>
      <c r="AV400" s="37"/>
      <c r="AW400" s="37"/>
      <c r="AX400" s="36"/>
    </row>
    <row r="401" spans="4:50" ht="15" thickBot="1" x14ac:dyDescent="0.4"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  <c r="AE401" s="37"/>
      <c r="AF401" s="37"/>
      <c r="AG401" s="37"/>
      <c r="AH401" s="37"/>
      <c r="AI401" s="37"/>
      <c r="AJ401" s="37"/>
      <c r="AK401" s="37"/>
      <c r="AL401" s="37"/>
      <c r="AM401" s="37"/>
      <c r="AN401" s="37"/>
      <c r="AO401" s="37"/>
      <c r="AP401" s="37"/>
      <c r="AQ401" s="37"/>
      <c r="AR401" s="37"/>
      <c r="AS401" s="37"/>
      <c r="AT401" s="37"/>
      <c r="AU401" s="37"/>
      <c r="AV401" s="37"/>
      <c r="AW401" s="37"/>
      <c r="AX401" s="36"/>
    </row>
    <row r="402" spans="4:50" ht="15" thickBot="1" x14ac:dyDescent="0.4"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  <c r="AE402" s="37"/>
      <c r="AF402" s="37"/>
      <c r="AG402" s="37"/>
      <c r="AH402" s="37"/>
      <c r="AI402" s="37"/>
      <c r="AJ402" s="37"/>
      <c r="AK402" s="37"/>
      <c r="AL402" s="37"/>
      <c r="AM402" s="37"/>
      <c r="AN402" s="37"/>
      <c r="AO402" s="37"/>
      <c r="AP402" s="37"/>
      <c r="AQ402" s="37"/>
      <c r="AR402" s="37"/>
      <c r="AS402" s="37"/>
      <c r="AT402" s="37"/>
      <c r="AU402" s="37"/>
      <c r="AV402" s="37"/>
      <c r="AW402" s="37"/>
      <c r="AX402" s="36"/>
    </row>
    <row r="403" spans="4:50" ht="15" thickBot="1" x14ac:dyDescent="0.4"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  <c r="AE403" s="37"/>
      <c r="AF403" s="37"/>
      <c r="AG403" s="37"/>
      <c r="AH403" s="37"/>
      <c r="AI403" s="37"/>
      <c r="AJ403" s="37"/>
      <c r="AK403" s="37"/>
      <c r="AL403" s="37"/>
      <c r="AM403" s="37"/>
      <c r="AN403" s="37"/>
      <c r="AO403" s="37"/>
      <c r="AP403" s="37"/>
      <c r="AQ403" s="37"/>
      <c r="AR403" s="37"/>
      <c r="AS403" s="37"/>
      <c r="AT403" s="37"/>
      <c r="AU403" s="37"/>
      <c r="AV403" s="37"/>
      <c r="AW403" s="37"/>
      <c r="AX403" s="36"/>
    </row>
    <row r="404" spans="4:50" ht="15" thickBot="1" x14ac:dyDescent="0.4"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7"/>
      <c r="AN404" s="37"/>
      <c r="AO404" s="37"/>
      <c r="AP404" s="37"/>
      <c r="AQ404" s="37"/>
      <c r="AR404" s="37"/>
      <c r="AS404" s="37"/>
      <c r="AT404" s="37"/>
      <c r="AU404" s="37"/>
      <c r="AV404" s="37"/>
      <c r="AW404" s="37"/>
      <c r="AX404" s="36"/>
    </row>
    <row r="405" spans="4:50" ht="15" thickBot="1" x14ac:dyDescent="0.4"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  <c r="AE405" s="37"/>
      <c r="AF405" s="37"/>
      <c r="AG405" s="37"/>
      <c r="AH405" s="37"/>
      <c r="AI405" s="37"/>
      <c r="AJ405" s="37"/>
      <c r="AK405" s="37"/>
      <c r="AL405" s="37"/>
      <c r="AM405" s="37"/>
      <c r="AN405" s="37"/>
      <c r="AO405" s="37"/>
      <c r="AP405" s="37"/>
      <c r="AQ405" s="37"/>
      <c r="AR405" s="37"/>
      <c r="AS405" s="37"/>
      <c r="AT405" s="37"/>
      <c r="AU405" s="37"/>
      <c r="AV405" s="37"/>
      <c r="AW405" s="37"/>
      <c r="AX405" s="36"/>
    </row>
    <row r="406" spans="4:50" ht="15" thickBot="1" x14ac:dyDescent="0.4"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  <c r="AE406" s="37"/>
      <c r="AF406" s="37"/>
      <c r="AG406" s="37"/>
      <c r="AH406" s="37"/>
      <c r="AI406" s="37"/>
      <c r="AJ406" s="37"/>
      <c r="AK406" s="37"/>
      <c r="AL406" s="37"/>
      <c r="AM406" s="37"/>
      <c r="AN406" s="37"/>
      <c r="AO406" s="37"/>
      <c r="AP406" s="37"/>
      <c r="AQ406" s="37"/>
      <c r="AR406" s="37"/>
      <c r="AS406" s="37"/>
      <c r="AT406" s="37"/>
      <c r="AU406" s="37"/>
      <c r="AV406" s="37"/>
      <c r="AW406" s="37"/>
      <c r="AX406" s="36"/>
    </row>
    <row r="407" spans="4:50" ht="15" thickBot="1" x14ac:dyDescent="0.4"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37"/>
      <c r="AG407" s="37"/>
      <c r="AH407" s="37"/>
      <c r="AI407" s="37"/>
      <c r="AJ407" s="37"/>
      <c r="AK407" s="37"/>
      <c r="AL407" s="37"/>
      <c r="AM407" s="37"/>
      <c r="AN407" s="37"/>
      <c r="AO407" s="37"/>
      <c r="AP407" s="37"/>
      <c r="AQ407" s="37"/>
      <c r="AR407" s="37"/>
      <c r="AS407" s="37"/>
      <c r="AT407" s="37"/>
      <c r="AU407" s="37"/>
      <c r="AV407" s="37"/>
      <c r="AW407" s="37"/>
      <c r="AX407" s="36"/>
    </row>
    <row r="408" spans="4:50" ht="15" thickBot="1" x14ac:dyDescent="0.4"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  <c r="AE408" s="37"/>
      <c r="AF408" s="37"/>
      <c r="AG408" s="37"/>
      <c r="AH408" s="37"/>
      <c r="AI408" s="37"/>
      <c r="AJ408" s="37"/>
      <c r="AK408" s="37"/>
      <c r="AL408" s="37"/>
      <c r="AM408" s="37"/>
      <c r="AN408" s="37"/>
      <c r="AO408" s="37"/>
      <c r="AP408" s="37"/>
      <c r="AQ408" s="37"/>
      <c r="AR408" s="37"/>
      <c r="AS408" s="37"/>
      <c r="AT408" s="37"/>
      <c r="AU408" s="37"/>
      <c r="AV408" s="37"/>
      <c r="AW408" s="37"/>
      <c r="AX408" s="36"/>
    </row>
    <row r="409" spans="4:50" ht="15" thickBot="1" x14ac:dyDescent="0.4"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  <c r="AE409" s="37"/>
      <c r="AF409" s="37"/>
      <c r="AG409" s="37"/>
      <c r="AH409" s="37"/>
      <c r="AI409" s="37"/>
      <c r="AJ409" s="37"/>
      <c r="AK409" s="37"/>
      <c r="AL409" s="37"/>
      <c r="AM409" s="37"/>
      <c r="AN409" s="37"/>
      <c r="AO409" s="37"/>
      <c r="AP409" s="37"/>
      <c r="AQ409" s="37"/>
      <c r="AR409" s="37"/>
      <c r="AS409" s="37"/>
      <c r="AT409" s="37"/>
      <c r="AU409" s="37"/>
      <c r="AV409" s="37"/>
      <c r="AW409" s="37"/>
      <c r="AX409" s="36"/>
    </row>
    <row r="410" spans="4:50" ht="15" thickBot="1" x14ac:dyDescent="0.4"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  <c r="AE410" s="37"/>
      <c r="AF410" s="37"/>
      <c r="AG410" s="37"/>
      <c r="AH410" s="37"/>
      <c r="AI410" s="37"/>
      <c r="AJ410" s="37"/>
      <c r="AK410" s="37"/>
      <c r="AL410" s="37"/>
      <c r="AM410" s="37"/>
      <c r="AN410" s="37"/>
      <c r="AO410" s="37"/>
      <c r="AP410" s="37"/>
      <c r="AQ410" s="37"/>
      <c r="AR410" s="37"/>
      <c r="AS410" s="37"/>
      <c r="AT410" s="37"/>
      <c r="AU410" s="37"/>
      <c r="AV410" s="37"/>
      <c r="AW410" s="37"/>
      <c r="AX410" s="36"/>
    </row>
    <row r="411" spans="4:50" ht="15" thickBot="1" x14ac:dyDescent="0.4"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  <c r="AE411" s="37"/>
      <c r="AF411" s="37"/>
      <c r="AG411" s="37"/>
      <c r="AH411" s="37"/>
      <c r="AI411" s="37"/>
      <c r="AJ411" s="37"/>
      <c r="AK411" s="37"/>
      <c r="AL411" s="37"/>
      <c r="AM411" s="37"/>
      <c r="AN411" s="37"/>
      <c r="AO411" s="37"/>
      <c r="AP411" s="37"/>
      <c r="AQ411" s="37"/>
      <c r="AR411" s="37"/>
      <c r="AS411" s="37"/>
      <c r="AT411" s="37"/>
      <c r="AU411" s="37"/>
      <c r="AV411" s="37"/>
      <c r="AW411" s="37"/>
      <c r="AX411" s="36"/>
    </row>
    <row r="412" spans="4:50" ht="15" thickBot="1" x14ac:dyDescent="0.4"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  <c r="AE412" s="37"/>
      <c r="AF412" s="37"/>
      <c r="AG412" s="37"/>
      <c r="AH412" s="37"/>
      <c r="AI412" s="37"/>
      <c r="AJ412" s="37"/>
      <c r="AK412" s="37"/>
      <c r="AL412" s="37"/>
      <c r="AM412" s="37"/>
      <c r="AN412" s="37"/>
      <c r="AO412" s="37"/>
      <c r="AP412" s="37"/>
      <c r="AQ412" s="37"/>
      <c r="AR412" s="37"/>
      <c r="AS412" s="37"/>
      <c r="AT412" s="37"/>
      <c r="AU412" s="37"/>
      <c r="AV412" s="37"/>
      <c r="AW412" s="37"/>
      <c r="AX412" s="36"/>
    </row>
    <row r="413" spans="4:50" ht="15" thickBot="1" x14ac:dyDescent="0.4"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  <c r="AE413" s="37"/>
      <c r="AF413" s="37"/>
      <c r="AG413" s="37"/>
      <c r="AH413" s="37"/>
      <c r="AI413" s="37"/>
      <c r="AJ413" s="37"/>
      <c r="AK413" s="37"/>
      <c r="AL413" s="37"/>
      <c r="AM413" s="37"/>
      <c r="AN413" s="37"/>
      <c r="AO413" s="37"/>
      <c r="AP413" s="37"/>
      <c r="AQ413" s="37"/>
      <c r="AR413" s="37"/>
      <c r="AS413" s="37"/>
      <c r="AT413" s="37"/>
      <c r="AU413" s="37"/>
      <c r="AV413" s="37"/>
      <c r="AW413" s="37"/>
      <c r="AX413" s="36"/>
    </row>
    <row r="414" spans="4:50" ht="15" thickBot="1" x14ac:dyDescent="0.4"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  <c r="AE414" s="37"/>
      <c r="AF414" s="37"/>
      <c r="AG414" s="37"/>
      <c r="AH414" s="37"/>
      <c r="AI414" s="37"/>
      <c r="AJ414" s="37"/>
      <c r="AK414" s="37"/>
      <c r="AL414" s="37"/>
      <c r="AM414" s="37"/>
      <c r="AN414" s="37"/>
      <c r="AO414" s="37"/>
      <c r="AP414" s="37"/>
      <c r="AQ414" s="37"/>
      <c r="AR414" s="37"/>
      <c r="AS414" s="37"/>
      <c r="AT414" s="37"/>
      <c r="AU414" s="37"/>
      <c r="AV414" s="37"/>
      <c r="AW414" s="37"/>
      <c r="AX414" s="36"/>
    </row>
    <row r="415" spans="4:50" ht="15" thickBot="1" x14ac:dyDescent="0.4"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  <c r="AE415" s="37"/>
      <c r="AF415" s="37"/>
      <c r="AG415" s="37"/>
      <c r="AH415" s="37"/>
      <c r="AI415" s="37"/>
      <c r="AJ415" s="37"/>
      <c r="AK415" s="37"/>
      <c r="AL415" s="37"/>
      <c r="AM415" s="37"/>
      <c r="AN415" s="37"/>
      <c r="AO415" s="37"/>
      <c r="AP415" s="37"/>
      <c r="AQ415" s="37"/>
      <c r="AR415" s="37"/>
      <c r="AS415" s="37"/>
      <c r="AT415" s="37"/>
      <c r="AU415" s="37"/>
      <c r="AV415" s="37"/>
      <c r="AW415" s="37"/>
      <c r="AX415" s="36"/>
    </row>
    <row r="416" spans="4:50" ht="15" thickBot="1" x14ac:dyDescent="0.4"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  <c r="AE416" s="37"/>
      <c r="AF416" s="37"/>
      <c r="AG416" s="37"/>
      <c r="AH416" s="37"/>
      <c r="AI416" s="37"/>
      <c r="AJ416" s="37"/>
      <c r="AK416" s="37"/>
      <c r="AL416" s="37"/>
      <c r="AM416" s="37"/>
      <c r="AN416" s="37"/>
      <c r="AO416" s="37"/>
      <c r="AP416" s="37"/>
      <c r="AQ416" s="37"/>
      <c r="AR416" s="37"/>
      <c r="AS416" s="37"/>
      <c r="AT416" s="37"/>
      <c r="AU416" s="37"/>
      <c r="AV416" s="37"/>
      <c r="AW416" s="37"/>
      <c r="AX416" s="36"/>
    </row>
    <row r="417" spans="4:50" ht="15" thickBot="1" x14ac:dyDescent="0.4"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  <c r="AE417" s="37"/>
      <c r="AF417" s="37"/>
      <c r="AG417" s="37"/>
      <c r="AH417" s="37"/>
      <c r="AI417" s="37"/>
      <c r="AJ417" s="37"/>
      <c r="AK417" s="37"/>
      <c r="AL417" s="37"/>
      <c r="AM417" s="37"/>
      <c r="AN417" s="37"/>
      <c r="AO417" s="37"/>
      <c r="AP417" s="37"/>
      <c r="AQ417" s="37"/>
      <c r="AR417" s="37"/>
      <c r="AS417" s="37"/>
      <c r="AT417" s="37"/>
      <c r="AU417" s="37"/>
      <c r="AV417" s="37"/>
      <c r="AW417" s="37"/>
      <c r="AX417" s="36"/>
    </row>
    <row r="418" spans="4:50" ht="15" thickBot="1" x14ac:dyDescent="0.4"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  <c r="AE418" s="37"/>
      <c r="AF418" s="37"/>
      <c r="AG418" s="37"/>
      <c r="AH418" s="37"/>
      <c r="AI418" s="37"/>
      <c r="AJ418" s="37"/>
      <c r="AK418" s="37"/>
      <c r="AL418" s="37"/>
      <c r="AM418" s="37"/>
      <c r="AN418" s="37"/>
      <c r="AO418" s="37"/>
      <c r="AP418" s="37"/>
      <c r="AQ418" s="37"/>
      <c r="AR418" s="37"/>
      <c r="AS418" s="37"/>
      <c r="AT418" s="37"/>
      <c r="AU418" s="37"/>
      <c r="AV418" s="37"/>
      <c r="AW418" s="37"/>
      <c r="AX418" s="36"/>
    </row>
    <row r="419" spans="4:50" ht="15" thickBot="1" x14ac:dyDescent="0.4"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  <c r="AE419" s="37"/>
      <c r="AF419" s="37"/>
      <c r="AG419" s="37"/>
      <c r="AH419" s="37"/>
      <c r="AI419" s="37"/>
      <c r="AJ419" s="37"/>
      <c r="AK419" s="37"/>
      <c r="AL419" s="37"/>
      <c r="AM419" s="37"/>
      <c r="AN419" s="37"/>
      <c r="AO419" s="37"/>
      <c r="AP419" s="37"/>
      <c r="AQ419" s="37"/>
      <c r="AR419" s="37"/>
      <c r="AS419" s="37"/>
      <c r="AT419" s="37"/>
      <c r="AU419" s="37"/>
      <c r="AV419" s="37"/>
      <c r="AW419" s="37"/>
      <c r="AX419" s="36"/>
    </row>
    <row r="420" spans="4:50" ht="15" thickBot="1" x14ac:dyDescent="0.4"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  <c r="AE420" s="37"/>
      <c r="AF420" s="37"/>
      <c r="AG420" s="37"/>
      <c r="AH420" s="37"/>
      <c r="AI420" s="37"/>
      <c r="AJ420" s="37"/>
      <c r="AK420" s="37"/>
      <c r="AL420" s="37"/>
      <c r="AM420" s="37"/>
      <c r="AN420" s="37"/>
      <c r="AO420" s="37"/>
      <c r="AP420" s="37"/>
      <c r="AQ420" s="37"/>
      <c r="AR420" s="37"/>
      <c r="AS420" s="37"/>
      <c r="AT420" s="37"/>
      <c r="AU420" s="37"/>
      <c r="AV420" s="37"/>
      <c r="AW420" s="37"/>
      <c r="AX420" s="36"/>
    </row>
    <row r="421" spans="4:50" ht="15" thickBot="1" x14ac:dyDescent="0.4"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  <c r="AE421" s="37"/>
      <c r="AF421" s="37"/>
      <c r="AG421" s="37"/>
      <c r="AH421" s="37"/>
      <c r="AI421" s="37"/>
      <c r="AJ421" s="37"/>
      <c r="AK421" s="37"/>
      <c r="AL421" s="37"/>
      <c r="AM421" s="37"/>
      <c r="AN421" s="37"/>
      <c r="AO421" s="37"/>
      <c r="AP421" s="37"/>
      <c r="AQ421" s="37"/>
      <c r="AR421" s="37"/>
      <c r="AS421" s="37"/>
      <c r="AT421" s="37"/>
      <c r="AU421" s="37"/>
      <c r="AV421" s="37"/>
      <c r="AW421" s="37"/>
      <c r="AX421" s="36"/>
    </row>
    <row r="422" spans="4:50" ht="15" thickBot="1" x14ac:dyDescent="0.4"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  <c r="AE422" s="37"/>
      <c r="AF422" s="37"/>
      <c r="AG422" s="37"/>
      <c r="AH422" s="37"/>
      <c r="AI422" s="37"/>
      <c r="AJ422" s="37"/>
      <c r="AK422" s="37"/>
      <c r="AL422" s="37"/>
      <c r="AM422" s="37"/>
      <c r="AN422" s="37"/>
      <c r="AO422" s="37"/>
      <c r="AP422" s="37"/>
      <c r="AQ422" s="37"/>
      <c r="AR422" s="37"/>
      <c r="AS422" s="37"/>
      <c r="AT422" s="37"/>
      <c r="AU422" s="37"/>
      <c r="AV422" s="37"/>
      <c r="AW422" s="37"/>
      <c r="AX422" s="36"/>
    </row>
    <row r="423" spans="4:50" ht="15" thickBot="1" x14ac:dyDescent="0.4"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  <c r="AE423" s="37"/>
      <c r="AF423" s="37"/>
      <c r="AG423" s="37"/>
      <c r="AH423" s="37"/>
      <c r="AI423" s="37"/>
      <c r="AJ423" s="37"/>
      <c r="AK423" s="37"/>
      <c r="AL423" s="37"/>
      <c r="AM423" s="37"/>
      <c r="AN423" s="37"/>
      <c r="AO423" s="37"/>
      <c r="AP423" s="37"/>
      <c r="AQ423" s="37"/>
      <c r="AR423" s="37"/>
      <c r="AS423" s="37"/>
      <c r="AT423" s="37"/>
      <c r="AU423" s="37"/>
      <c r="AV423" s="37"/>
      <c r="AW423" s="37"/>
      <c r="AX423" s="36"/>
    </row>
    <row r="424" spans="4:50" ht="15" thickBot="1" x14ac:dyDescent="0.4"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  <c r="AE424" s="37"/>
      <c r="AF424" s="37"/>
      <c r="AG424" s="37"/>
      <c r="AH424" s="37"/>
      <c r="AI424" s="37"/>
      <c r="AJ424" s="37"/>
      <c r="AK424" s="37"/>
      <c r="AL424" s="37"/>
      <c r="AM424" s="37"/>
      <c r="AN424" s="37"/>
      <c r="AO424" s="37"/>
      <c r="AP424" s="37"/>
      <c r="AQ424" s="37"/>
      <c r="AR424" s="37"/>
      <c r="AS424" s="37"/>
      <c r="AT424" s="37"/>
      <c r="AU424" s="37"/>
      <c r="AV424" s="37"/>
      <c r="AW424" s="37"/>
      <c r="AX424" s="36"/>
    </row>
    <row r="425" spans="4:50" ht="15" thickBot="1" x14ac:dyDescent="0.4"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  <c r="AE425" s="37"/>
      <c r="AF425" s="37"/>
      <c r="AG425" s="37"/>
      <c r="AH425" s="37"/>
      <c r="AI425" s="37"/>
      <c r="AJ425" s="37"/>
      <c r="AK425" s="37"/>
      <c r="AL425" s="37"/>
      <c r="AM425" s="37"/>
      <c r="AN425" s="37"/>
      <c r="AO425" s="37"/>
      <c r="AP425" s="37"/>
      <c r="AQ425" s="37"/>
      <c r="AR425" s="37"/>
      <c r="AS425" s="37"/>
      <c r="AT425" s="37"/>
      <c r="AU425" s="37"/>
      <c r="AV425" s="37"/>
      <c r="AW425" s="37"/>
      <c r="AX425" s="36"/>
    </row>
    <row r="426" spans="4:50" ht="15" thickBot="1" x14ac:dyDescent="0.4"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  <c r="AE426" s="37"/>
      <c r="AF426" s="37"/>
      <c r="AG426" s="37"/>
      <c r="AH426" s="37"/>
      <c r="AI426" s="37"/>
      <c r="AJ426" s="37"/>
      <c r="AK426" s="37"/>
      <c r="AL426" s="37"/>
      <c r="AM426" s="37"/>
      <c r="AN426" s="37"/>
      <c r="AO426" s="37"/>
      <c r="AP426" s="37"/>
      <c r="AQ426" s="37"/>
      <c r="AR426" s="37"/>
      <c r="AS426" s="37"/>
      <c r="AT426" s="37"/>
      <c r="AU426" s="37"/>
      <c r="AV426" s="37"/>
      <c r="AW426" s="37"/>
      <c r="AX426" s="36"/>
    </row>
    <row r="427" spans="4:50" ht="15" thickBot="1" x14ac:dyDescent="0.4"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  <c r="AE427" s="37"/>
      <c r="AF427" s="37"/>
      <c r="AG427" s="37"/>
      <c r="AH427" s="37"/>
      <c r="AI427" s="37"/>
      <c r="AJ427" s="37"/>
      <c r="AK427" s="37"/>
      <c r="AL427" s="37"/>
      <c r="AM427" s="37"/>
      <c r="AN427" s="37"/>
      <c r="AO427" s="37"/>
      <c r="AP427" s="37"/>
      <c r="AQ427" s="37"/>
      <c r="AR427" s="37"/>
      <c r="AS427" s="37"/>
      <c r="AT427" s="37"/>
      <c r="AU427" s="37"/>
      <c r="AV427" s="37"/>
      <c r="AW427" s="37"/>
      <c r="AX427" s="36"/>
    </row>
    <row r="428" spans="4:50" ht="15" thickBot="1" x14ac:dyDescent="0.4"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  <c r="AE428" s="37"/>
      <c r="AF428" s="37"/>
      <c r="AG428" s="37"/>
      <c r="AH428" s="37"/>
      <c r="AI428" s="37"/>
      <c r="AJ428" s="37"/>
      <c r="AK428" s="37"/>
      <c r="AL428" s="37"/>
      <c r="AM428" s="37"/>
      <c r="AN428" s="37"/>
      <c r="AO428" s="37"/>
      <c r="AP428" s="37"/>
      <c r="AQ428" s="37"/>
      <c r="AR428" s="37"/>
      <c r="AS428" s="37"/>
      <c r="AT428" s="37"/>
      <c r="AU428" s="37"/>
      <c r="AV428" s="37"/>
      <c r="AW428" s="37"/>
      <c r="AX428" s="36"/>
    </row>
    <row r="429" spans="4:50" ht="15" thickBot="1" x14ac:dyDescent="0.4"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  <c r="AE429" s="37"/>
      <c r="AF429" s="37"/>
      <c r="AG429" s="37"/>
      <c r="AH429" s="37"/>
      <c r="AI429" s="37"/>
      <c r="AJ429" s="37"/>
      <c r="AK429" s="37"/>
      <c r="AL429" s="37"/>
      <c r="AM429" s="37"/>
      <c r="AN429" s="37"/>
      <c r="AO429" s="37"/>
      <c r="AP429" s="37"/>
      <c r="AQ429" s="37"/>
      <c r="AR429" s="37"/>
      <c r="AS429" s="37"/>
      <c r="AT429" s="37"/>
      <c r="AU429" s="37"/>
      <c r="AV429" s="37"/>
      <c r="AW429" s="37"/>
      <c r="AX429" s="36"/>
    </row>
    <row r="430" spans="4:50" ht="15" thickBot="1" x14ac:dyDescent="0.4"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  <c r="AE430" s="37"/>
      <c r="AF430" s="37"/>
      <c r="AG430" s="37"/>
      <c r="AH430" s="37"/>
      <c r="AI430" s="37"/>
      <c r="AJ430" s="37"/>
      <c r="AK430" s="37"/>
      <c r="AL430" s="37"/>
      <c r="AM430" s="37"/>
      <c r="AN430" s="37"/>
      <c r="AO430" s="37"/>
      <c r="AP430" s="37"/>
      <c r="AQ430" s="37"/>
      <c r="AR430" s="37"/>
      <c r="AS430" s="37"/>
      <c r="AT430" s="37"/>
      <c r="AU430" s="37"/>
      <c r="AV430" s="37"/>
      <c r="AW430" s="37"/>
      <c r="AX430" s="36"/>
    </row>
    <row r="431" spans="4:50" ht="15" thickBot="1" x14ac:dyDescent="0.4"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  <c r="AE431" s="37"/>
      <c r="AF431" s="37"/>
      <c r="AG431" s="37"/>
      <c r="AH431" s="37"/>
      <c r="AI431" s="37"/>
      <c r="AJ431" s="37"/>
      <c r="AK431" s="37"/>
      <c r="AL431" s="37"/>
      <c r="AM431" s="37"/>
      <c r="AN431" s="37"/>
      <c r="AO431" s="37"/>
      <c r="AP431" s="37"/>
      <c r="AQ431" s="37"/>
      <c r="AR431" s="37"/>
      <c r="AS431" s="37"/>
      <c r="AT431" s="37"/>
      <c r="AU431" s="37"/>
      <c r="AV431" s="37"/>
      <c r="AW431" s="37"/>
      <c r="AX431" s="36"/>
    </row>
    <row r="432" spans="4:50" ht="15" thickBot="1" x14ac:dyDescent="0.4"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  <c r="AE432" s="37"/>
      <c r="AF432" s="37"/>
      <c r="AG432" s="37"/>
      <c r="AH432" s="37"/>
      <c r="AI432" s="37"/>
      <c r="AJ432" s="37"/>
      <c r="AK432" s="37"/>
      <c r="AL432" s="37"/>
      <c r="AM432" s="37"/>
      <c r="AN432" s="37"/>
      <c r="AO432" s="37"/>
      <c r="AP432" s="37"/>
      <c r="AQ432" s="37"/>
      <c r="AR432" s="37"/>
      <c r="AS432" s="37"/>
      <c r="AT432" s="37"/>
      <c r="AU432" s="37"/>
      <c r="AV432" s="37"/>
      <c r="AW432" s="37"/>
      <c r="AX432" s="36"/>
    </row>
    <row r="433" spans="4:50" ht="15" thickBot="1" x14ac:dyDescent="0.4"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  <c r="AE433" s="37"/>
      <c r="AF433" s="37"/>
      <c r="AG433" s="37"/>
      <c r="AH433" s="37"/>
      <c r="AI433" s="37"/>
      <c r="AJ433" s="37"/>
      <c r="AK433" s="37"/>
      <c r="AL433" s="37"/>
      <c r="AM433" s="37"/>
      <c r="AN433" s="37"/>
      <c r="AO433" s="37"/>
      <c r="AP433" s="37"/>
      <c r="AQ433" s="37"/>
      <c r="AR433" s="37"/>
      <c r="AS433" s="37"/>
      <c r="AT433" s="37"/>
      <c r="AU433" s="37"/>
      <c r="AV433" s="37"/>
      <c r="AW433" s="37"/>
      <c r="AX433" s="36"/>
    </row>
    <row r="434" spans="4:50" ht="15" thickBot="1" x14ac:dyDescent="0.4"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  <c r="AE434" s="37"/>
      <c r="AF434" s="37"/>
      <c r="AG434" s="37"/>
      <c r="AH434" s="37"/>
      <c r="AI434" s="37"/>
      <c r="AJ434" s="37"/>
      <c r="AK434" s="37"/>
      <c r="AL434" s="37"/>
      <c r="AM434" s="37"/>
      <c r="AN434" s="37"/>
      <c r="AO434" s="37"/>
      <c r="AP434" s="37"/>
      <c r="AQ434" s="37"/>
      <c r="AR434" s="37"/>
      <c r="AS434" s="37"/>
      <c r="AT434" s="37"/>
      <c r="AU434" s="37"/>
      <c r="AV434" s="37"/>
      <c r="AW434" s="37"/>
      <c r="AX434" s="36"/>
    </row>
    <row r="435" spans="4:50" ht="15" thickBot="1" x14ac:dyDescent="0.4"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  <c r="AE435" s="37"/>
      <c r="AF435" s="37"/>
      <c r="AG435" s="37"/>
      <c r="AH435" s="37"/>
      <c r="AI435" s="37"/>
      <c r="AJ435" s="37"/>
      <c r="AK435" s="37"/>
      <c r="AL435" s="37"/>
      <c r="AM435" s="37"/>
      <c r="AN435" s="37"/>
      <c r="AO435" s="37"/>
      <c r="AP435" s="37"/>
      <c r="AQ435" s="37"/>
      <c r="AR435" s="37"/>
      <c r="AS435" s="37"/>
      <c r="AT435" s="37"/>
      <c r="AU435" s="37"/>
      <c r="AV435" s="37"/>
      <c r="AW435" s="37"/>
      <c r="AX435" s="36"/>
    </row>
    <row r="436" spans="4:50" ht="15" thickBot="1" x14ac:dyDescent="0.4"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  <c r="AE436" s="37"/>
      <c r="AF436" s="37"/>
      <c r="AG436" s="37"/>
      <c r="AH436" s="37"/>
      <c r="AI436" s="37"/>
      <c r="AJ436" s="37"/>
      <c r="AK436" s="37"/>
      <c r="AL436" s="37"/>
      <c r="AM436" s="37"/>
      <c r="AN436" s="37"/>
      <c r="AO436" s="37"/>
      <c r="AP436" s="37"/>
      <c r="AQ436" s="37"/>
      <c r="AR436" s="37"/>
      <c r="AS436" s="37"/>
      <c r="AT436" s="37"/>
      <c r="AU436" s="37"/>
      <c r="AV436" s="37"/>
      <c r="AW436" s="37"/>
      <c r="AX436" s="36"/>
    </row>
    <row r="437" spans="4:50" ht="15" thickBot="1" x14ac:dyDescent="0.4"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  <c r="AE437" s="37"/>
      <c r="AF437" s="37"/>
      <c r="AG437" s="37"/>
      <c r="AH437" s="37"/>
      <c r="AI437" s="37"/>
      <c r="AJ437" s="37"/>
      <c r="AK437" s="37"/>
      <c r="AL437" s="37"/>
      <c r="AM437" s="37"/>
      <c r="AN437" s="37"/>
      <c r="AO437" s="37"/>
      <c r="AP437" s="37"/>
      <c r="AQ437" s="37"/>
      <c r="AR437" s="37"/>
      <c r="AS437" s="37"/>
      <c r="AT437" s="37"/>
      <c r="AU437" s="37"/>
      <c r="AV437" s="37"/>
      <c r="AW437" s="37"/>
      <c r="AX437" s="36"/>
    </row>
    <row r="438" spans="4:50" ht="15" thickBot="1" x14ac:dyDescent="0.4"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  <c r="AE438" s="37"/>
      <c r="AF438" s="37"/>
      <c r="AG438" s="37"/>
      <c r="AH438" s="37"/>
      <c r="AI438" s="37"/>
      <c r="AJ438" s="37"/>
      <c r="AK438" s="37"/>
      <c r="AL438" s="37"/>
      <c r="AM438" s="37"/>
      <c r="AN438" s="37"/>
      <c r="AO438" s="37"/>
      <c r="AP438" s="37"/>
      <c r="AQ438" s="37"/>
      <c r="AR438" s="37"/>
      <c r="AS438" s="37"/>
      <c r="AT438" s="37"/>
      <c r="AU438" s="37"/>
      <c r="AV438" s="37"/>
      <c r="AW438" s="37"/>
      <c r="AX438" s="36"/>
    </row>
    <row r="439" spans="4:50" ht="15" thickBot="1" x14ac:dyDescent="0.4"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  <c r="AE439" s="37"/>
      <c r="AF439" s="37"/>
      <c r="AG439" s="37"/>
      <c r="AH439" s="37"/>
      <c r="AI439" s="37"/>
      <c r="AJ439" s="37"/>
      <c r="AK439" s="37"/>
      <c r="AL439" s="37"/>
      <c r="AM439" s="37"/>
      <c r="AN439" s="37"/>
      <c r="AO439" s="37"/>
      <c r="AP439" s="37"/>
      <c r="AQ439" s="37"/>
      <c r="AR439" s="37"/>
      <c r="AS439" s="37"/>
      <c r="AT439" s="37"/>
      <c r="AU439" s="37"/>
      <c r="AV439" s="37"/>
      <c r="AW439" s="37"/>
      <c r="AX439" s="36"/>
    </row>
    <row r="440" spans="4:50" ht="15" thickBot="1" x14ac:dyDescent="0.4"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  <c r="AE440" s="37"/>
      <c r="AF440" s="37"/>
      <c r="AG440" s="37"/>
      <c r="AH440" s="37"/>
      <c r="AI440" s="37"/>
      <c r="AJ440" s="37"/>
      <c r="AK440" s="37"/>
      <c r="AL440" s="37"/>
      <c r="AM440" s="37"/>
      <c r="AN440" s="37"/>
      <c r="AO440" s="37"/>
      <c r="AP440" s="37"/>
      <c r="AQ440" s="37"/>
      <c r="AR440" s="37"/>
      <c r="AS440" s="37"/>
      <c r="AT440" s="37"/>
      <c r="AU440" s="37"/>
      <c r="AV440" s="37"/>
      <c r="AW440" s="37"/>
      <c r="AX440" s="36"/>
    </row>
    <row r="441" spans="4:50" ht="15" thickBot="1" x14ac:dyDescent="0.4"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  <c r="AE441" s="37"/>
      <c r="AF441" s="37"/>
      <c r="AG441" s="37"/>
      <c r="AH441" s="37"/>
      <c r="AI441" s="37"/>
      <c r="AJ441" s="37"/>
      <c r="AK441" s="37"/>
      <c r="AL441" s="37"/>
      <c r="AM441" s="37"/>
      <c r="AN441" s="37"/>
      <c r="AO441" s="37"/>
      <c r="AP441" s="37"/>
      <c r="AQ441" s="37"/>
      <c r="AR441" s="37"/>
      <c r="AS441" s="37"/>
      <c r="AT441" s="37"/>
      <c r="AU441" s="37"/>
      <c r="AV441" s="37"/>
      <c r="AW441" s="37"/>
      <c r="AX441" s="36"/>
    </row>
    <row r="442" spans="4:50" ht="15" thickBot="1" x14ac:dyDescent="0.4"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7"/>
      <c r="AN442" s="37"/>
      <c r="AO442" s="37"/>
      <c r="AP442" s="37"/>
      <c r="AQ442" s="37"/>
      <c r="AR442" s="37"/>
      <c r="AS442" s="37"/>
      <c r="AT442" s="37"/>
      <c r="AU442" s="37"/>
      <c r="AV442" s="37"/>
      <c r="AW442" s="37"/>
      <c r="AX442" s="36"/>
    </row>
    <row r="443" spans="4:50" ht="15" thickBot="1" x14ac:dyDescent="0.4"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  <c r="AE443" s="37"/>
      <c r="AF443" s="37"/>
      <c r="AG443" s="37"/>
      <c r="AH443" s="37"/>
      <c r="AI443" s="37"/>
      <c r="AJ443" s="37"/>
      <c r="AK443" s="37"/>
      <c r="AL443" s="37"/>
      <c r="AM443" s="37"/>
      <c r="AN443" s="37"/>
      <c r="AO443" s="37"/>
      <c r="AP443" s="37"/>
      <c r="AQ443" s="37"/>
      <c r="AR443" s="37"/>
      <c r="AS443" s="37"/>
      <c r="AT443" s="37"/>
      <c r="AU443" s="37"/>
      <c r="AV443" s="37"/>
      <c r="AW443" s="37"/>
      <c r="AX443" s="36"/>
    </row>
    <row r="444" spans="4:50" ht="15" thickBot="1" x14ac:dyDescent="0.4"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  <c r="AE444" s="37"/>
      <c r="AF444" s="37"/>
      <c r="AG444" s="37"/>
      <c r="AH444" s="37"/>
      <c r="AI444" s="37"/>
      <c r="AJ444" s="37"/>
      <c r="AK444" s="37"/>
      <c r="AL444" s="37"/>
      <c r="AM444" s="37"/>
      <c r="AN444" s="37"/>
      <c r="AO444" s="37"/>
      <c r="AP444" s="37"/>
      <c r="AQ444" s="37"/>
      <c r="AR444" s="37"/>
      <c r="AS444" s="37"/>
      <c r="AT444" s="37"/>
      <c r="AU444" s="37"/>
      <c r="AV444" s="37"/>
      <c r="AW444" s="37"/>
      <c r="AX444" s="36"/>
    </row>
    <row r="445" spans="4:50" ht="15" thickBot="1" x14ac:dyDescent="0.4"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  <c r="AE445" s="37"/>
      <c r="AF445" s="37"/>
      <c r="AG445" s="37"/>
      <c r="AH445" s="37"/>
      <c r="AI445" s="37"/>
      <c r="AJ445" s="37"/>
      <c r="AK445" s="37"/>
      <c r="AL445" s="37"/>
      <c r="AM445" s="37"/>
      <c r="AN445" s="37"/>
      <c r="AO445" s="37"/>
      <c r="AP445" s="37"/>
      <c r="AQ445" s="37"/>
      <c r="AR445" s="37"/>
      <c r="AS445" s="37"/>
      <c r="AT445" s="37"/>
      <c r="AU445" s="37"/>
      <c r="AV445" s="37"/>
      <c r="AW445" s="37"/>
      <c r="AX445" s="36"/>
    </row>
    <row r="446" spans="4:50" ht="15" thickBot="1" x14ac:dyDescent="0.4"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  <c r="AE446" s="37"/>
      <c r="AF446" s="37"/>
      <c r="AG446" s="37"/>
      <c r="AH446" s="37"/>
      <c r="AI446" s="37"/>
      <c r="AJ446" s="37"/>
      <c r="AK446" s="37"/>
      <c r="AL446" s="37"/>
      <c r="AM446" s="37"/>
      <c r="AN446" s="37"/>
      <c r="AO446" s="37"/>
      <c r="AP446" s="37"/>
      <c r="AQ446" s="37"/>
      <c r="AR446" s="37"/>
      <c r="AS446" s="37"/>
      <c r="AT446" s="37"/>
      <c r="AU446" s="37"/>
      <c r="AV446" s="37"/>
      <c r="AW446" s="37"/>
      <c r="AX446" s="36"/>
    </row>
    <row r="447" spans="4:50" ht="15" thickBot="1" x14ac:dyDescent="0.4"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  <c r="AE447" s="37"/>
      <c r="AF447" s="37"/>
      <c r="AG447" s="37"/>
      <c r="AH447" s="37"/>
      <c r="AI447" s="37"/>
      <c r="AJ447" s="37"/>
      <c r="AK447" s="37"/>
      <c r="AL447" s="37"/>
      <c r="AM447" s="37"/>
      <c r="AN447" s="37"/>
      <c r="AO447" s="37"/>
      <c r="AP447" s="37"/>
      <c r="AQ447" s="37"/>
      <c r="AR447" s="37"/>
      <c r="AS447" s="37"/>
      <c r="AT447" s="37"/>
      <c r="AU447" s="37"/>
      <c r="AV447" s="37"/>
      <c r="AW447" s="37"/>
      <c r="AX447" s="36"/>
    </row>
    <row r="448" spans="4:50" ht="15" thickBot="1" x14ac:dyDescent="0.4"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  <c r="AE448" s="37"/>
      <c r="AF448" s="37"/>
      <c r="AG448" s="37"/>
      <c r="AH448" s="37"/>
      <c r="AI448" s="37"/>
      <c r="AJ448" s="37"/>
      <c r="AK448" s="37"/>
      <c r="AL448" s="37"/>
      <c r="AM448" s="37"/>
      <c r="AN448" s="37"/>
      <c r="AO448" s="37"/>
      <c r="AP448" s="37"/>
      <c r="AQ448" s="37"/>
      <c r="AR448" s="37"/>
      <c r="AS448" s="37"/>
      <c r="AT448" s="37"/>
      <c r="AU448" s="37"/>
      <c r="AV448" s="37"/>
      <c r="AW448" s="37"/>
      <c r="AX448" s="36"/>
    </row>
    <row r="449" spans="4:50" ht="15" thickBot="1" x14ac:dyDescent="0.4"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  <c r="AE449" s="37"/>
      <c r="AF449" s="37"/>
      <c r="AG449" s="37"/>
      <c r="AH449" s="37"/>
      <c r="AI449" s="37"/>
      <c r="AJ449" s="37"/>
      <c r="AK449" s="37"/>
      <c r="AL449" s="37"/>
      <c r="AM449" s="37"/>
      <c r="AN449" s="37"/>
      <c r="AO449" s="37"/>
      <c r="AP449" s="37"/>
      <c r="AQ449" s="37"/>
      <c r="AR449" s="37"/>
      <c r="AS449" s="37"/>
      <c r="AT449" s="37"/>
      <c r="AU449" s="37"/>
      <c r="AV449" s="37"/>
      <c r="AW449" s="37"/>
      <c r="AX449" s="36"/>
    </row>
    <row r="450" spans="4:50" ht="15" thickBot="1" x14ac:dyDescent="0.4"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  <c r="AE450" s="37"/>
      <c r="AF450" s="37"/>
      <c r="AG450" s="37"/>
      <c r="AH450" s="37"/>
      <c r="AI450" s="37"/>
      <c r="AJ450" s="37"/>
      <c r="AK450" s="37"/>
      <c r="AL450" s="37"/>
      <c r="AM450" s="37"/>
      <c r="AN450" s="37"/>
      <c r="AO450" s="37"/>
      <c r="AP450" s="37"/>
      <c r="AQ450" s="37"/>
      <c r="AR450" s="37"/>
      <c r="AS450" s="37"/>
      <c r="AT450" s="37"/>
      <c r="AU450" s="37"/>
      <c r="AV450" s="37"/>
      <c r="AW450" s="37"/>
      <c r="AX450" s="36"/>
    </row>
    <row r="451" spans="4:50" ht="15" thickBot="1" x14ac:dyDescent="0.4"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  <c r="AE451" s="37"/>
      <c r="AF451" s="37"/>
      <c r="AG451" s="37"/>
      <c r="AH451" s="37"/>
      <c r="AI451" s="37"/>
      <c r="AJ451" s="37"/>
      <c r="AK451" s="37"/>
      <c r="AL451" s="37"/>
      <c r="AM451" s="37"/>
      <c r="AN451" s="37"/>
      <c r="AO451" s="37"/>
      <c r="AP451" s="37"/>
      <c r="AQ451" s="37"/>
      <c r="AR451" s="37"/>
      <c r="AS451" s="37"/>
      <c r="AT451" s="37"/>
      <c r="AU451" s="37"/>
      <c r="AV451" s="37"/>
      <c r="AW451" s="37"/>
      <c r="AX451" s="36"/>
    </row>
    <row r="452" spans="4:50" ht="15" thickBot="1" x14ac:dyDescent="0.4"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  <c r="AE452" s="37"/>
      <c r="AF452" s="37"/>
      <c r="AG452" s="37"/>
      <c r="AH452" s="37"/>
      <c r="AI452" s="37"/>
      <c r="AJ452" s="37"/>
      <c r="AK452" s="37"/>
      <c r="AL452" s="37"/>
      <c r="AM452" s="37"/>
      <c r="AN452" s="37"/>
      <c r="AO452" s="37"/>
      <c r="AP452" s="37"/>
      <c r="AQ452" s="37"/>
      <c r="AR452" s="37"/>
      <c r="AS452" s="37"/>
      <c r="AT452" s="37"/>
      <c r="AU452" s="37"/>
      <c r="AV452" s="37"/>
      <c r="AW452" s="37"/>
      <c r="AX452" s="36"/>
    </row>
    <row r="453" spans="4:50" ht="15" thickBot="1" x14ac:dyDescent="0.4"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  <c r="AE453" s="37"/>
      <c r="AF453" s="37"/>
      <c r="AG453" s="37"/>
      <c r="AH453" s="37"/>
      <c r="AI453" s="37"/>
      <c r="AJ453" s="37"/>
      <c r="AK453" s="37"/>
      <c r="AL453" s="37"/>
      <c r="AM453" s="37"/>
      <c r="AN453" s="37"/>
      <c r="AO453" s="37"/>
      <c r="AP453" s="37"/>
      <c r="AQ453" s="37"/>
      <c r="AR453" s="37"/>
      <c r="AS453" s="37"/>
      <c r="AT453" s="37"/>
      <c r="AU453" s="37"/>
      <c r="AV453" s="37"/>
      <c r="AW453" s="37"/>
      <c r="AX453" s="36"/>
    </row>
    <row r="454" spans="4:50" ht="15" thickBot="1" x14ac:dyDescent="0.4"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  <c r="AE454" s="37"/>
      <c r="AF454" s="37"/>
      <c r="AG454" s="37"/>
      <c r="AH454" s="37"/>
      <c r="AI454" s="37"/>
      <c r="AJ454" s="37"/>
      <c r="AK454" s="37"/>
      <c r="AL454" s="37"/>
      <c r="AM454" s="37"/>
      <c r="AN454" s="37"/>
      <c r="AO454" s="37"/>
      <c r="AP454" s="37"/>
      <c r="AQ454" s="37"/>
      <c r="AR454" s="37"/>
      <c r="AS454" s="37"/>
      <c r="AT454" s="37"/>
      <c r="AU454" s="37"/>
      <c r="AV454" s="37"/>
      <c r="AW454" s="37"/>
      <c r="AX454" s="36"/>
    </row>
    <row r="455" spans="4:50" ht="15" thickBot="1" x14ac:dyDescent="0.4"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  <c r="AE455" s="37"/>
      <c r="AF455" s="37"/>
      <c r="AG455" s="37"/>
      <c r="AH455" s="37"/>
      <c r="AI455" s="37"/>
      <c r="AJ455" s="37"/>
      <c r="AK455" s="37"/>
      <c r="AL455" s="37"/>
      <c r="AM455" s="37"/>
      <c r="AN455" s="37"/>
      <c r="AO455" s="37"/>
      <c r="AP455" s="37"/>
      <c r="AQ455" s="37"/>
      <c r="AR455" s="37"/>
      <c r="AS455" s="37"/>
      <c r="AT455" s="37"/>
      <c r="AU455" s="37"/>
      <c r="AV455" s="37"/>
      <c r="AW455" s="37"/>
      <c r="AX455" s="36"/>
    </row>
    <row r="456" spans="4:50" ht="15" thickBot="1" x14ac:dyDescent="0.4"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  <c r="AE456" s="37"/>
      <c r="AF456" s="37"/>
      <c r="AG456" s="37"/>
      <c r="AH456" s="37"/>
      <c r="AI456" s="37"/>
      <c r="AJ456" s="37"/>
      <c r="AK456" s="37"/>
      <c r="AL456" s="37"/>
      <c r="AM456" s="37"/>
      <c r="AN456" s="37"/>
      <c r="AO456" s="37"/>
      <c r="AP456" s="37"/>
      <c r="AQ456" s="37"/>
      <c r="AR456" s="37"/>
      <c r="AS456" s="37"/>
      <c r="AT456" s="37"/>
      <c r="AU456" s="37"/>
      <c r="AV456" s="37"/>
      <c r="AW456" s="37"/>
      <c r="AX456" s="36"/>
    </row>
    <row r="457" spans="4:50" ht="15" thickBot="1" x14ac:dyDescent="0.4"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  <c r="AE457" s="37"/>
      <c r="AF457" s="37"/>
      <c r="AG457" s="37"/>
      <c r="AH457" s="37"/>
      <c r="AI457" s="37"/>
      <c r="AJ457" s="37"/>
      <c r="AK457" s="37"/>
      <c r="AL457" s="37"/>
      <c r="AM457" s="37"/>
      <c r="AN457" s="37"/>
      <c r="AO457" s="37"/>
      <c r="AP457" s="37"/>
      <c r="AQ457" s="37"/>
      <c r="AR457" s="37"/>
      <c r="AS457" s="37"/>
      <c r="AT457" s="37"/>
      <c r="AU457" s="37"/>
      <c r="AV457" s="37"/>
      <c r="AW457" s="37"/>
      <c r="AX457" s="36"/>
    </row>
    <row r="458" spans="4:50" ht="15" thickBot="1" x14ac:dyDescent="0.4"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  <c r="AE458" s="37"/>
      <c r="AF458" s="37"/>
      <c r="AG458" s="37"/>
      <c r="AH458" s="37"/>
      <c r="AI458" s="37"/>
      <c r="AJ458" s="37"/>
      <c r="AK458" s="37"/>
      <c r="AL458" s="37"/>
      <c r="AM458" s="37"/>
      <c r="AN458" s="37"/>
      <c r="AO458" s="37"/>
      <c r="AP458" s="37"/>
      <c r="AQ458" s="37"/>
      <c r="AR458" s="37"/>
      <c r="AS458" s="37"/>
      <c r="AT458" s="37"/>
      <c r="AU458" s="37"/>
      <c r="AV458" s="37"/>
      <c r="AW458" s="37"/>
      <c r="AX458" s="36"/>
    </row>
    <row r="459" spans="4:50" ht="15" thickBot="1" x14ac:dyDescent="0.4"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  <c r="AE459" s="37"/>
      <c r="AF459" s="37"/>
      <c r="AG459" s="37"/>
      <c r="AH459" s="37"/>
      <c r="AI459" s="37"/>
      <c r="AJ459" s="37"/>
      <c r="AK459" s="37"/>
      <c r="AL459" s="37"/>
      <c r="AM459" s="37"/>
      <c r="AN459" s="37"/>
      <c r="AO459" s="37"/>
      <c r="AP459" s="37"/>
      <c r="AQ459" s="37"/>
      <c r="AR459" s="37"/>
      <c r="AS459" s="37"/>
      <c r="AT459" s="37"/>
      <c r="AU459" s="37"/>
      <c r="AV459" s="37"/>
      <c r="AW459" s="37"/>
      <c r="AX459" s="36"/>
    </row>
    <row r="460" spans="4:50" ht="15" thickBot="1" x14ac:dyDescent="0.4"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  <c r="AE460" s="37"/>
      <c r="AF460" s="37"/>
      <c r="AG460" s="37"/>
      <c r="AH460" s="37"/>
      <c r="AI460" s="37"/>
      <c r="AJ460" s="37"/>
      <c r="AK460" s="37"/>
      <c r="AL460" s="37"/>
      <c r="AM460" s="37"/>
      <c r="AN460" s="37"/>
      <c r="AO460" s="37"/>
      <c r="AP460" s="37"/>
      <c r="AQ460" s="37"/>
      <c r="AR460" s="37"/>
      <c r="AS460" s="37"/>
      <c r="AT460" s="37"/>
      <c r="AU460" s="37"/>
      <c r="AV460" s="37"/>
      <c r="AW460" s="37"/>
      <c r="AX460" s="36"/>
    </row>
    <row r="461" spans="4:50" ht="15" thickBot="1" x14ac:dyDescent="0.4"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  <c r="AE461" s="37"/>
      <c r="AF461" s="37"/>
      <c r="AG461" s="37"/>
      <c r="AH461" s="37"/>
      <c r="AI461" s="37"/>
      <c r="AJ461" s="37"/>
      <c r="AK461" s="37"/>
      <c r="AL461" s="37"/>
      <c r="AM461" s="37"/>
      <c r="AN461" s="37"/>
      <c r="AO461" s="37"/>
      <c r="AP461" s="37"/>
      <c r="AQ461" s="37"/>
      <c r="AR461" s="37"/>
      <c r="AS461" s="37"/>
      <c r="AT461" s="37"/>
      <c r="AU461" s="37"/>
      <c r="AV461" s="37"/>
      <c r="AW461" s="37"/>
      <c r="AX461" s="36"/>
    </row>
    <row r="462" spans="4:50" ht="15" thickBot="1" x14ac:dyDescent="0.4"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  <c r="AE462" s="37"/>
      <c r="AF462" s="37"/>
      <c r="AG462" s="37"/>
      <c r="AH462" s="37"/>
      <c r="AI462" s="37"/>
      <c r="AJ462" s="37"/>
      <c r="AK462" s="37"/>
      <c r="AL462" s="37"/>
      <c r="AM462" s="37"/>
      <c r="AN462" s="37"/>
      <c r="AO462" s="37"/>
      <c r="AP462" s="37"/>
      <c r="AQ462" s="37"/>
      <c r="AR462" s="37"/>
      <c r="AS462" s="37"/>
      <c r="AT462" s="37"/>
      <c r="AU462" s="37"/>
      <c r="AV462" s="37"/>
      <c r="AW462" s="37"/>
      <c r="AX462" s="36"/>
    </row>
    <row r="463" spans="4:50" ht="15" thickBot="1" x14ac:dyDescent="0.4"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  <c r="AE463" s="37"/>
      <c r="AF463" s="37"/>
      <c r="AG463" s="37"/>
      <c r="AH463" s="37"/>
      <c r="AI463" s="37"/>
      <c r="AJ463" s="37"/>
      <c r="AK463" s="37"/>
      <c r="AL463" s="37"/>
      <c r="AM463" s="37"/>
      <c r="AN463" s="37"/>
      <c r="AO463" s="37"/>
      <c r="AP463" s="37"/>
      <c r="AQ463" s="37"/>
      <c r="AR463" s="37"/>
      <c r="AS463" s="37"/>
      <c r="AT463" s="37"/>
      <c r="AU463" s="37"/>
      <c r="AV463" s="37"/>
      <c r="AW463" s="37"/>
      <c r="AX463" s="36"/>
    </row>
    <row r="464" spans="4:50" ht="15" thickBot="1" x14ac:dyDescent="0.4"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  <c r="AE464" s="37"/>
      <c r="AF464" s="37"/>
      <c r="AG464" s="37"/>
      <c r="AH464" s="37"/>
      <c r="AI464" s="37"/>
      <c r="AJ464" s="37"/>
      <c r="AK464" s="37"/>
      <c r="AL464" s="37"/>
      <c r="AM464" s="37"/>
      <c r="AN464" s="37"/>
      <c r="AO464" s="37"/>
      <c r="AP464" s="37"/>
      <c r="AQ464" s="37"/>
      <c r="AR464" s="37"/>
      <c r="AS464" s="37"/>
      <c r="AT464" s="37"/>
      <c r="AU464" s="37"/>
      <c r="AV464" s="37"/>
      <c r="AW464" s="37"/>
      <c r="AX464" s="36"/>
    </row>
    <row r="465" spans="4:50" ht="15" thickBot="1" x14ac:dyDescent="0.4"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  <c r="AE465" s="37"/>
      <c r="AF465" s="37"/>
      <c r="AG465" s="37"/>
      <c r="AH465" s="37"/>
      <c r="AI465" s="37"/>
      <c r="AJ465" s="37"/>
      <c r="AK465" s="37"/>
      <c r="AL465" s="37"/>
      <c r="AM465" s="37"/>
      <c r="AN465" s="37"/>
      <c r="AO465" s="37"/>
      <c r="AP465" s="37"/>
      <c r="AQ465" s="37"/>
      <c r="AR465" s="37"/>
      <c r="AS465" s="37"/>
      <c r="AT465" s="37"/>
      <c r="AU465" s="37"/>
      <c r="AV465" s="37"/>
      <c r="AW465" s="37"/>
      <c r="AX465" s="36"/>
    </row>
    <row r="466" spans="4:50" ht="15" thickBot="1" x14ac:dyDescent="0.4"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  <c r="AE466" s="37"/>
      <c r="AF466" s="37"/>
      <c r="AG466" s="37"/>
      <c r="AH466" s="37"/>
      <c r="AI466" s="37"/>
      <c r="AJ466" s="37"/>
      <c r="AK466" s="37"/>
      <c r="AL466" s="37"/>
      <c r="AM466" s="37"/>
      <c r="AN466" s="37"/>
      <c r="AO466" s="37"/>
      <c r="AP466" s="37"/>
      <c r="AQ466" s="37"/>
      <c r="AR466" s="37"/>
      <c r="AS466" s="37"/>
      <c r="AT466" s="37"/>
      <c r="AU466" s="37"/>
      <c r="AV466" s="37"/>
      <c r="AW466" s="37"/>
      <c r="AX466" s="36"/>
    </row>
    <row r="467" spans="4:50" ht="15" thickBot="1" x14ac:dyDescent="0.4"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  <c r="AE467" s="37"/>
      <c r="AF467" s="37"/>
      <c r="AG467" s="37"/>
      <c r="AH467" s="37"/>
      <c r="AI467" s="37"/>
      <c r="AJ467" s="37"/>
      <c r="AK467" s="37"/>
      <c r="AL467" s="37"/>
      <c r="AM467" s="37"/>
      <c r="AN467" s="37"/>
      <c r="AO467" s="37"/>
      <c r="AP467" s="37"/>
      <c r="AQ467" s="37"/>
      <c r="AR467" s="37"/>
      <c r="AS467" s="37"/>
      <c r="AT467" s="37"/>
      <c r="AU467" s="37"/>
      <c r="AV467" s="37"/>
      <c r="AW467" s="37"/>
      <c r="AX467" s="36"/>
    </row>
    <row r="468" spans="4:50" ht="15" thickBot="1" x14ac:dyDescent="0.4"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  <c r="AE468" s="37"/>
      <c r="AF468" s="37"/>
      <c r="AG468" s="37"/>
      <c r="AH468" s="37"/>
      <c r="AI468" s="37"/>
      <c r="AJ468" s="37"/>
      <c r="AK468" s="37"/>
      <c r="AL468" s="37"/>
      <c r="AM468" s="37"/>
      <c r="AN468" s="37"/>
      <c r="AO468" s="37"/>
      <c r="AP468" s="37"/>
      <c r="AQ468" s="37"/>
      <c r="AR468" s="37"/>
      <c r="AS468" s="37"/>
      <c r="AT468" s="37"/>
      <c r="AU468" s="37"/>
      <c r="AV468" s="37"/>
      <c r="AW468" s="37"/>
      <c r="AX468" s="36"/>
    </row>
    <row r="469" spans="4:50" ht="15" thickBot="1" x14ac:dyDescent="0.4"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  <c r="AE469" s="37"/>
      <c r="AF469" s="37"/>
      <c r="AG469" s="37"/>
      <c r="AH469" s="37"/>
      <c r="AI469" s="37"/>
      <c r="AJ469" s="37"/>
      <c r="AK469" s="37"/>
      <c r="AL469" s="37"/>
      <c r="AM469" s="37"/>
      <c r="AN469" s="37"/>
      <c r="AO469" s="37"/>
      <c r="AP469" s="37"/>
      <c r="AQ469" s="37"/>
      <c r="AR469" s="37"/>
      <c r="AS469" s="37"/>
      <c r="AT469" s="37"/>
      <c r="AU469" s="37"/>
      <c r="AV469" s="37"/>
      <c r="AW469" s="37"/>
      <c r="AX469" s="36"/>
    </row>
    <row r="470" spans="4:50" ht="15" thickBot="1" x14ac:dyDescent="0.4"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  <c r="AE470" s="37"/>
      <c r="AF470" s="37"/>
      <c r="AG470" s="37"/>
      <c r="AH470" s="37"/>
      <c r="AI470" s="37"/>
      <c r="AJ470" s="37"/>
      <c r="AK470" s="37"/>
      <c r="AL470" s="37"/>
      <c r="AM470" s="37"/>
      <c r="AN470" s="37"/>
      <c r="AO470" s="37"/>
      <c r="AP470" s="37"/>
      <c r="AQ470" s="37"/>
      <c r="AR470" s="37"/>
      <c r="AS470" s="37"/>
      <c r="AT470" s="37"/>
      <c r="AU470" s="37"/>
      <c r="AV470" s="37"/>
      <c r="AW470" s="37"/>
      <c r="AX470" s="36"/>
    </row>
    <row r="471" spans="4:50" ht="15" thickBot="1" x14ac:dyDescent="0.4"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  <c r="AE471" s="37"/>
      <c r="AF471" s="37"/>
      <c r="AG471" s="37"/>
      <c r="AH471" s="37"/>
      <c r="AI471" s="37"/>
      <c r="AJ471" s="37"/>
      <c r="AK471" s="37"/>
      <c r="AL471" s="37"/>
      <c r="AM471" s="37"/>
      <c r="AN471" s="37"/>
      <c r="AO471" s="37"/>
      <c r="AP471" s="37"/>
      <c r="AQ471" s="37"/>
      <c r="AR471" s="37"/>
      <c r="AS471" s="37"/>
      <c r="AT471" s="37"/>
      <c r="AU471" s="37"/>
      <c r="AV471" s="37"/>
      <c r="AW471" s="37"/>
      <c r="AX471" s="36"/>
    </row>
    <row r="472" spans="4:50" ht="15" thickBot="1" x14ac:dyDescent="0.4"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  <c r="AE472" s="37"/>
      <c r="AF472" s="37"/>
      <c r="AG472" s="37"/>
      <c r="AH472" s="37"/>
      <c r="AI472" s="37"/>
      <c r="AJ472" s="37"/>
      <c r="AK472" s="37"/>
      <c r="AL472" s="37"/>
      <c r="AM472" s="37"/>
      <c r="AN472" s="37"/>
      <c r="AO472" s="37"/>
      <c r="AP472" s="37"/>
      <c r="AQ472" s="37"/>
      <c r="AR472" s="37"/>
      <c r="AS472" s="37"/>
      <c r="AT472" s="37"/>
      <c r="AU472" s="37"/>
      <c r="AV472" s="37"/>
      <c r="AW472" s="37"/>
      <c r="AX472" s="36"/>
    </row>
    <row r="473" spans="4:50" ht="15" thickBot="1" x14ac:dyDescent="0.4"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  <c r="AE473" s="37"/>
      <c r="AF473" s="37"/>
      <c r="AG473" s="37"/>
      <c r="AH473" s="37"/>
      <c r="AI473" s="37"/>
      <c r="AJ473" s="37"/>
      <c r="AK473" s="37"/>
      <c r="AL473" s="37"/>
      <c r="AM473" s="37"/>
      <c r="AN473" s="37"/>
      <c r="AO473" s="37"/>
      <c r="AP473" s="37"/>
      <c r="AQ473" s="37"/>
      <c r="AR473" s="37"/>
      <c r="AS473" s="37"/>
      <c r="AT473" s="37"/>
      <c r="AU473" s="37"/>
      <c r="AV473" s="37"/>
      <c r="AW473" s="37"/>
      <c r="AX473" s="36"/>
    </row>
    <row r="474" spans="4:50" ht="15" thickBot="1" x14ac:dyDescent="0.4"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  <c r="AE474" s="37"/>
      <c r="AF474" s="37"/>
      <c r="AG474" s="37"/>
      <c r="AH474" s="37"/>
      <c r="AI474" s="37"/>
      <c r="AJ474" s="37"/>
      <c r="AK474" s="37"/>
      <c r="AL474" s="37"/>
      <c r="AM474" s="37"/>
      <c r="AN474" s="37"/>
      <c r="AO474" s="37"/>
      <c r="AP474" s="37"/>
      <c r="AQ474" s="37"/>
      <c r="AR474" s="37"/>
      <c r="AS474" s="37"/>
      <c r="AT474" s="37"/>
      <c r="AU474" s="37"/>
      <c r="AV474" s="37"/>
      <c r="AW474" s="37"/>
      <c r="AX474" s="36"/>
    </row>
    <row r="475" spans="4:50" ht="15" thickBot="1" x14ac:dyDescent="0.4"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  <c r="AE475" s="37"/>
      <c r="AF475" s="37"/>
      <c r="AG475" s="37"/>
      <c r="AH475" s="37"/>
      <c r="AI475" s="37"/>
      <c r="AJ475" s="37"/>
      <c r="AK475" s="37"/>
      <c r="AL475" s="37"/>
      <c r="AM475" s="37"/>
      <c r="AN475" s="37"/>
      <c r="AO475" s="37"/>
      <c r="AP475" s="37"/>
      <c r="AQ475" s="37"/>
      <c r="AR475" s="37"/>
      <c r="AS475" s="37"/>
      <c r="AT475" s="37"/>
      <c r="AU475" s="37"/>
      <c r="AV475" s="37"/>
      <c r="AW475" s="37"/>
      <c r="AX475" s="36"/>
    </row>
    <row r="476" spans="4:50" ht="15" thickBot="1" x14ac:dyDescent="0.4"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  <c r="AE476" s="37"/>
      <c r="AF476" s="37"/>
      <c r="AG476" s="37"/>
      <c r="AH476" s="37"/>
      <c r="AI476" s="37"/>
      <c r="AJ476" s="37"/>
      <c r="AK476" s="37"/>
      <c r="AL476" s="37"/>
      <c r="AM476" s="37"/>
      <c r="AN476" s="37"/>
      <c r="AO476" s="37"/>
      <c r="AP476" s="37"/>
      <c r="AQ476" s="37"/>
      <c r="AR476" s="37"/>
      <c r="AS476" s="37"/>
      <c r="AT476" s="37"/>
      <c r="AU476" s="37"/>
      <c r="AV476" s="37"/>
      <c r="AW476" s="37"/>
      <c r="AX476" s="36"/>
    </row>
    <row r="477" spans="4:50" ht="15" thickBot="1" x14ac:dyDescent="0.4"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  <c r="AE477" s="37"/>
      <c r="AF477" s="37"/>
      <c r="AG477" s="37"/>
      <c r="AH477" s="37"/>
      <c r="AI477" s="37"/>
      <c r="AJ477" s="37"/>
      <c r="AK477" s="37"/>
      <c r="AL477" s="37"/>
      <c r="AM477" s="37"/>
      <c r="AN477" s="37"/>
      <c r="AO477" s="37"/>
      <c r="AP477" s="37"/>
      <c r="AQ477" s="37"/>
      <c r="AR477" s="37"/>
      <c r="AS477" s="37"/>
      <c r="AT477" s="37"/>
      <c r="AU477" s="37"/>
      <c r="AV477" s="37"/>
      <c r="AW477" s="37"/>
      <c r="AX477" s="36"/>
    </row>
    <row r="478" spans="4:50" ht="15" thickBot="1" x14ac:dyDescent="0.4"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  <c r="AE478" s="37"/>
      <c r="AF478" s="37"/>
      <c r="AG478" s="37"/>
      <c r="AH478" s="37"/>
      <c r="AI478" s="37"/>
      <c r="AJ478" s="37"/>
      <c r="AK478" s="37"/>
      <c r="AL478" s="37"/>
      <c r="AM478" s="37"/>
      <c r="AN478" s="37"/>
      <c r="AO478" s="37"/>
      <c r="AP478" s="37"/>
      <c r="AQ478" s="37"/>
      <c r="AR478" s="37"/>
      <c r="AS478" s="37"/>
      <c r="AT478" s="37"/>
      <c r="AU478" s="37"/>
      <c r="AV478" s="37"/>
      <c r="AW478" s="37"/>
      <c r="AX478" s="36"/>
    </row>
    <row r="479" spans="4:50" ht="15" thickBot="1" x14ac:dyDescent="0.4"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  <c r="AE479" s="37"/>
      <c r="AF479" s="37"/>
      <c r="AG479" s="37"/>
      <c r="AH479" s="37"/>
      <c r="AI479" s="37"/>
      <c r="AJ479" s="37"/>
      <c r="AK479" s="37"/>
      <c r="AL479" s="37"/>
      <c r="AM479" s="37"/>
      <c r="AN479" s="37"/>
      <c r="AO479" s="37"/>
      <c r="AP479" s="37"/>
      <c r="AQ479" s="37"/>
      <c r="AR479" s="37"/>
      <c r="AS479" s="37"/>
      <c r="AT479" s="37"/>
      <c r="AU479" s="37"/>
      <c r="AV479" s="37"/>
      <c r="AW479" s="37"/>
      <c r="AX479" s="36"/>
    </row>
    <row r="480" spans="4:50" ht="15" thickBot="1" x14ac:dyDescent="0.4"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7"/>
      <c r="AN480" s="37"/>
      <c r="AO480" s="37"/>
      <c r="AP480" s="37"/>
      <c r="AQ480" s="37"/>
      <c r="AR480" s="37"/>
      <c r="AS480" s="37"/>
      <c r="AT480" s="37"/>
      <c r="AU480" s="37"/>
      <c r="AV480" s="37"/>
      <c r="AW480" s="37"/>
      <c r="AX480" s="36"/>
    </row>
    <row r="481" spans="4:50" ht="15" thickBot="1" x14ac:dyDescent="0.4"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  <c r="AE481" s="37"/>
      <c r="AF481" s="37"/>
      <c r="AG481" s="37"/>
      <c r="AH481" s="37"/>
      <c r="AI481" s="37"/>
      <c r="AJ481" s="37"/>
      <c r="AK481" s="37"/>
      <c r="AL481" s="37"/>
      <c r="AM481" s="37"/>
      <c r="AN481" s="37"/>
      <c r="AO481" s="37"/>
      <c r="AP481" s="37"/>
      <c r="AQ481" s="37"/>
      <c r="AR481" s="37"/>
      <c r="AS481" s="37"/>
      <c r="AT481" s="37"/>
      <c r="AU481" s="37"/>
      <c r="AV481" s="37"/>
      <c r="AW481" s="37"/>
      <c r="AX481" s="36"/>
    </row>
    <row r="482" spans="4:50" ht="15" thickBot="1" x14ac:dyDescent="0.4"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  <c r="AE482" s="37"/>
      <c r="AF482" s="37"/>
      <c r="AG482" s="37"/>
      <c r="AH482" s="37"/>
      <c r="AI482" s="37"/>
      <c r="AJ482" s="37"/>
      <c r="AK482" s="37"/>
      <c r="AL482" s="37"/>
      <c r="AM482" s="37"/>
      <c r="AN482" s="37"/>
      <c r="AO482" s="37"/>
      <c r="AP482" s="37"/>
      <c r="AQ482" s="37"/>
      <c r="AR482" s="37"/>
      <c r="AS482" s="37"/>
      <c r="AT482" s="37"/>
      <c r="AU482" s="37"/>
      <c r="AV482" s="37"/>
      <c r="AW482" s="37"/>
      <c r="AX482" s="36"/>
    </row>
    <row r="483" spans="4:50" ht="15" thickBot="1" x14ac:dyDescent="0.4"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  <c r="AE483" s="37"/>
      <c r="AF483" s="37"/>
      <c r="AG483" s="37"/>
      <c r="AH483" s="37"/>
      <c r="AI483" s="37"/>
      <c r="AJ483" s="37"/>
      <c r="AK483" s="37"/>
      <c r="AL483" s="37"/>
      <c r="AM483" s="37"/>
      <c r="AN483" s="37"/>
      <c r="AO483" s="37"/>
      <c r="AP483" s="37"/>
      <c r="AQ483" s="37"/>
      <c r="AR483" s="37"/>
      <c r="AS483" s="37"/>
      <c r="AT483" s="37"/>
      <c r="AU483" s="37"/>
      <c r="AV483" s="37"/>
      <c r="AW483" s="37"/>
      <c r="AX483" s="36"/>
    </row>
    <row r="484" spans="4:50" ht="15" thickBot="1" x14ac:dyDescent="0.4"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  <c r="AE484" s="37"/>
      <c r="AF484" s="37"/>
      <c r="AG484" s="37"/>
      <c r="AH484" s="37"/>
      <c r="AI484" s="37"/>
      <c r="AJ484" s="37"/>
      <c r="AK484" s="37"/>
      <c r="AL484" s="37"/>
      <c r="AM484" s="37"/>
      <c r="AN484" s="37"/>
      <c r="AO484" s="37"/>
      <c r="AP484" s="37"/>
      <c r="AQ484" s="37"/>
      <c r="AR484" s="37"/>
      <c r="AS484" s="37"/>
      <c r="AT484" s="37"/>
      <c r="AU484" s="37"/>
      <c r="AV484" s="37"/>
      <c r="AW484" s="37"/>
      <c r="AX484" s="36"/>
    </row>
    <row r="485" spans="4:50" ht="15" thickBot="1" x14ac:dyDescent="0.4"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  <c r="AE485" s="37"/>
      <c r="AF485" s="37"/>
      <c r="AG485" s="37"/>
      <c r="AH485" s="37"/>
      <c r="AI485" s="37"/>
      <c r="AJ485" s="37"/>
      <c r="AK485" s="37"/>
      <c r="AL485" s="37"/>
      <c r="AM485" s="37"/>
      <c r="AN485" s="37"/>
      <c r="AO485" s="37"/>
      <c r="AP485" s="37"/>
      <c r="AQ485" s="37"/>
      <c r="AR485" s="37"/>
      <c r="AS485" s="37"/>
      <c r="AT485" s="37"/>
      <c r="AU485" s="37"/>
      <c r="AV485" s="37"/>
      <c r="AW485" s="37"/>
      <c r="AX485" s="36"/>
    </row>
    <row r="486" spans="4:50" ht="15" thickBot="1" x14ac:dyDescent="0.4"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  <c r="AE486" s="37"/>
      <c r="AF486" s="37"/>
      <c r="AG486" s="37"/>
      <c r="AH486" s="37"/>
      <c r="AI486" s="37"/>
      <c r="AJ486" s="37"/>
      <c r="AK486" s="37"/>
      <c r="AL486" s="37"/>
      <c r="AM486" s="37"/>
      <c r="AN486" s="37"/>
      <c r="AO486" s="37"/>
      <c r="AP486" s="37"/>
      <c r="AQ486" s="37"/>
      <c r="AR486" s="37"/>
      <c r="AS486" s="37"/>
      <c r="AT486" s="37"/>
      <c r="AU486" s="37"/>
      <c r="AV486" s="37"/>
      <c r="AW486" s="37"/>
      <c r="AX486" s="36"/>
    </row>
    <row r="487" spans="4:50" ht="15" thickBot="1" x14ac:dyDescent="0.4"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  <c r="AE487" s="37"/>
      <c r="AF487" s="37"/>
      <c r="AG487" s="37"/>
      <c r="AH487" s="37"/>
      <c r="AI487" s="37"/>
      <c r="AJ487" s="37"/>
      <c r="AK487" s="37"/>
      <c r="AL487" s="37"/>
      <c r="AM487" s="37"/>
      <c r="AN487" s="37"/>
      <c r="AO487" s="37"/>
      <c r="AP487" s="37"/>
      <c r="AQ487" s="37"/>
      <c r="AR487" s="37"/>
      <c r="AS487" s="37"/>
      <c r="AT487" s="37"/>
      <c r="AU487" s="37"/>
      <c r="AV487" s="37"/>
      <c r="AW487" s="37"/>
      <c r="AX487" s="36"/>
    </row>
    <row r="488" spans="4:50" ht="15" thickBot="1" x14ac:dyDescent="0.4"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  <c r="AE488" s="37"/>
      <c r="AF488" s="37"/>
      <c r="AG488" s="37"/>
      <c r="AH488" s="37"/>
      <c r="AI488" s="37"/>
      <c r="AJ488" s="37"/>
      <c r="AK488" s="37"/>
      <c r="AL488" s="37"/>
      <c r="AM488" s="37"/>
      <c r="AN488" s="37"/>
      <c r="AO488" s="37"/>
      <c r="AP488" s="37"/>
      <c r="AQ488" s="37"/>
      <c r="AR488" s="37"/>
      <c r="AS488" s="37"/>
      <c r="AT488" s="37"/>
      <c r="AU488" s="37"/>
      <c r="AV488" s="37"/>
      <c r="AW488" s="37"/>
      <c r="AX488" s="36"/>
    </row>
    <row r="489" spans="4:50" ht="15" thickBot="1" x14ac:dyDescent="0.4"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  <c r="AE489" s="37"/>
      <c r="AF489" s="37"/>
      <c r="AG489" s="37"/>
      <c r="AH489" s="37"/>
      <c r="AI489" s="37"/>
      <c r="AJ489" s="37"/>
      <c r="AK489" s="37"/>
      <c r="AL489" s="37"/>
      <c r="AM489" s="37"/>
      <c r="AN489" s="37"/>
      <c r="AO489" s="37"/>
      <c r="AP489" s="37"/>
      <c r="AQ489" s="37"/>
      <c r="AR489" s="37"/>
      <c r="AS489" s="37"/>
      <c r="AT489" s="37"/>
      <c r="AU489" s="37"/>
      <c r="AV489" s="37"/>
      <c r="AW489" s="37"/>
      <c r="AX489" s="36"/>
    </row>
    <row r="490" spans="4:50" ht="15" thickBot="1" x14ac:dyDescent="0.4"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  <c r="AE490" s="37"/>
      <c r="AF490" s="37"/>
      <c r="AG490" s="37"/>
      <c r="AH490" s="37"/>
      <c r="AI490" s="37"/>
      <c r="AJ490" s="37"/>
      <c r="AK490" s="37"/>
      <c r="AL490" s="37"/>
      <c r="AM490" s="37"/>
      <c r="AN490" s="37"/>
      <c r="AO490" s="37"/>
      <c r="AP490" s="37"/>
      <c r="AQ490" s="37"/>
      <c r="AR490" s="37"/>
      <c r="AS490" s="37"/>
      <c r="AT490" s="37"/>
      <c r="AU490" s="37"/>
      <c r="AV490" s="37"/>
      <c r="AW490" s="37"/>
      <c r="AX490" s="36"/>
    </row>
    <row r="491" spans="4:50" ht="15" thickBot="1" x14ac:dyDescent="0.4"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  <c r="AE491" s="37"/>
      <c r="AF491" s="37"/>
      <c r="AG491" s="37"/>
      <c r="AH491" s="37"/>
      <c r="AI491" s="37"/>
      <c r="AJ491" s="37"/>
      <c r="AK491" s="37"/>
      <c r="AL491" s="37"/>
      <c r="AM491" s="37"/>
      <c r="AN491" s="37"/>
      <c r="AO491" s="37"/>
      <c r="AP491" s="37"/>
      <c r="AQ491" s="37"/>
      <c r="AR491" s="37"/>
      <c r="AS491" s="37"/>
      <c r="AT491" s="37"/>
      <c r="AU491" s="37"/>
      <c r="AV491" s="37"/>
      <c r="AW491" s="37"/>
      <c r="AX491" s="36"/>
    </row>
    <row r="492" spans="4:50" ht="15" thickBot="1" x14ac:dyDescent="0.4"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  <c r="AE492" s="37"/>
      <c r="AF492" s="37"/>
      <c r="AG492" s="37"/>
      <c r="AH492" s="37"/>
      <c r="AI492" s="37"/>
      <c r="AJ492" s="37"/>
      <c r="AK492" s="37"/>
      <c r="AL492" s="37"/>
      <c r="AM492" s="37"/>
      <c r="AN492" s="37"/>
      <c r="AO492" s="37"/>
      <c r="AP492" s="37"/>
      <c r="AQ492" s="37"/>
      <c r="AR492" s="37"/>
      <c r="AS492" s="37"/>
      <c r="AT492" s="37"/>
      <c r="AU492" s="37"/>
      <c r="AV492" s="37"/>
      <c r="AW492" s="37"/>
      <c r="AX492" s="36"/>
    </row>
    <row r="493" spans="4:50" ht="15" thickBot="1" x14ac:dyDescent="0.4"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  <c r="AE493" s="37"/>
      <c r="AF493" s="37"/>
      <c r="AG493" s="37"/>
      <c r="AH493" s="37"/>
      <c r="AI493" s="37"/>
      <c r="AJ493" s="37"/>
      <c r="AK493" s="37"/>
      <c r="AL493" s="37"/>
      <c r="AM493" s="37"/>
      <c r="AN493" s="37"/>
      <c r="AO493" s="37"/>
      <c r="AP493" s="37"/>
      <c r="AQ493" s="37"/>
      <c r="AR493" s="37"/>
      <c r="AS493" s="37"/>
      <c r="AT493" s="37"/>
      <c r="AU493" s="37"/>
      <c r="AV493" s="37"/>
      <c r="AW493" s="37"/>
      <c r="AX493" s="36"/>
    </row>
    <row r="494" spans="4:50" ht="15" thickBot="1" x14ac:dyDescent="0.4"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  <c r="AE494" s="37"/>
      <c r="AF494" s="37"/>
      <c r="AG494" s="37"/>
      <c r="AH494" s="37"/>
      <c r="AI494" s="37"/>
      <c r="AJ494" s="37"/>
      <c r="AK494" s="37"/>
      <c r="AL494" s="37"/>
      <c r="AM494" s="37"/>
      <c r="AN494" s="37"/>
      <c r="AO494" s="37"/>
      <c r="AP494" s="37"/>
      <c r="AQ494" s="37"/>
      <c r="AR494" s="37"/>
      <c r="AS494" s="37"/>
      <c r="AT494" s="37"/>
      <c r="AU494" s="37"/>
      <c r="AV494" s="37"/>
      <c r="AW494" s="37"/>
      <c r="AX494" s="36"/>
    </row>
    <row r="495" spans="4:50" ht="15" thickBot="1" x14ac:dyDescent="0.4"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  <c r="AE495" s="37"/>
      <c r="AF495" s="37"/>
      <c r="AG495" s="37"/>
      <c r="AH495" s="37"/>
      <c r="AI495" s="37"/>
      <c r="AJ495" s="37"/>
      <c r="AK495" s="37"/>
      <c r="AL495" s="37"/>
      <c r="AM495" s="37"/>
      <c r="AN495" s="37"/>
      <c r="AO495" s="37"/>
      <c r="AP495" s="37"/>
      <c r="AQ495" s="37"/>
      <c r="AR495" s="37"/>
      <c r="AS495" s="37"/>
      <c r="AT495" s="37"/>
      <c r="AU495" s="37"/>
      <c r="AV495" s="37"/>
      <c r="AW495" s="37"/>
      <c r="AX495" s="36"/>
    </row>
    <row r="496" spans="4:50" ht="15" thickBot="1" x14ac:dyDescent="0.4"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  <c r="AE496" s="37"/>
      <c r="AF496" s="37"/>
      <c r="AG496" s="37"/>
      <c r="AH496" s="37"/>
      <c r="AI496" s="37"/>
      <c r="AJ496" s="37"/>
      <c r="AK496" s="37"/>
      <c r="AL496" s="37"/>
      <c r="AM496" s="37"/>
      <c r="AN496" s="37"/>
      <c r="AO496" s="37"/>
      <c r="AP496" s="37"/>
      <c r="AQ496" s="37"/>
      <c r="AR496" s="37"/>
      <c r="AS496" s="37"/>
      <c r="AT496" s="37"/>
      <c r="AU496" s="37"/>
      <c r="AV496" s="37"/>
      <c r="AW496" s="37"/>
      <c r="AX496" s="36"/>
    </row>
    <row r="497" spans="4:50" ht="15" thickBot="1" x14ac:dyDescent="0.4"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  <c r="AE497" s="37"/>
      <c r="AF497" s="37"/>
      <c r="AG497" s="37"/>
      <c r="AH497" s="37"/>
      <c r="AI497" s="37"/>
      <c r="AJ497" s="37"/>
      <c r="AK497" s="37"/>
      <c r="AL497" s="37"/>
      <c r="AM497" s="37"/>
      <c r="AN497" s="37"/>
      <c r="AO497" s="37"/>
      <c r="AP497" s="37"/>
      <c r="AQ497" s="37"/>
      <c r="AR497" s="37"/>
      <c r="AS497" s="37"/>
      <c r="AT497" s="37"/>
      <c r="AU497" s="37"/>
      <c r="AV497" s="37"/>
      <c r="AW497" s="37"/>
      <c r="AX497" s="36"/>
    </row>
    <row r="498" spans="4:50" ht="15" thickBot="1" x14ac:dyDescent="0.4"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  <c r="AE498" s="37"/>
      <c r="AF498" s="37"/>
      <c r="AG498" s="37"/>
      <c r="AH498" s="37"/>
      <c r="AI498" s="37"/>
      <c r="AJ498" s="37"/>
      <c r="AK498" s="37"/>
      <c r="AL498" s="37"/>
      <c r="AM498" s="37"/>
      <c r="AN498" s="37"/>
      <c r="AO498" s="37"/>
      <c r="AP498" s="37"/>
      <c r="AQ498" s="37"/>
      <c r="AR498" s="37"/>
      <c r="AS498" s="37"/>
      <c r="AT498" s="37"/>
      <c r="AU498" s="37"/>
      <c r="AV498" s="37"/>
      <c r="AW498" s="37"/>
      <c r="AX498" s="36"/>
    </row>
    <row r="499" spans="4:50" ht="15" thickBot="1" x14ac:dyDescent="0.4"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  <c r="AE499" s="37"/>
      <c r="AF499" s="37"/>
      <c r="AG499" s="37"/>
      <c r="AH499" s="37"/>
      <c r="AI499" s="37"/>
      <c r="AJ499" s="37"/>
      <c r="AK499" s="37"/>
      <c r="AL499" s="37"/>
      <c r="AM499" s="37"/>
      <c r="AN499" s="37"/>
      <c r="AO499" s="37"/>
      <c r="AP499" s="37"/>
      <c r="AQ499" s="37"/>
      <c r="AR499" s="37"/>
      <c r="AS499" s="37"/>
      <c r="AT499" s="37"/>
      <c r="AU499" s="37"/>
      <c r="AV499" s="37"/>
      <c r="AW499" s="37"/>
      <c r="AX499" s="36"/>
    </row>
    <row r="500" spans="4:50" ht="15" thickBot="1" x14ac:dyDescent="0.4"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  <c r="AE500" s="37"/>
      <c r="AF500" s="37"/>
      <c r="AG500" s="37"/>
      <c r="AH500" s="37"/>
      <c r="AI500" s="37"/>
      <c r="AJ500" s="37"/>
      <c r="AK500" s="37"/>
      <c r="AL500" s="37"/>
      <c r="AM500" s="37"/>
      <c r="AN500" s="37"/>
      <c r="AO500" s="37"/>
      <c r="AP500" s="37"/>
      <c r="AQ500" s="37"/>
      <c r="AR500" s="37"/>
      <c r="AS500" s="37"/>
      <c r="AT500" s="37"/>
      <c r="AU500" s="37"/>
      <c r="AV500" s="37"/>
      <c r="AW500" s="37"/>
      <c r="AX500" s="36"/>
    </row>
    <row r="501" spans="4:50" ht="15" thickBot="1" x14ac:dyDescent="0.4"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  <c r="AE501" s="37"/>
      <c r="AF501" s="37"/>
      <c r="AG501" s="37"/>
      <c r="AH501" s="37"/>
      <c r="AI501" s="37"/>
      <c r="AJ501" s="37"/>
      <c r="AK501" s="37"/>
      <c r="AL501" s="37"/>
      <c r="AM501" s="37"/>
      <c r="AN501" s="37"/>
      <c r="AO501" s="37"/>
      <c r="AP501" s="37"/>
      <c r="AQ501" s="37"/>
      <c r="AR501" s="37"/>
      <c r="AS501" s="37"/>
      <c r="AT501" s="37"/>
      <c r="AU501" s="37"/>
      <c r="AV501" s="37"/>
      <c r="AW501" s="37"/>
      <c r="AX501" s="36"/>
    </row>
    <row r="502" spans="4:50" ht="15" thickBot="1" x14ac:dyDescent="0.4"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  <c r="AE502" s="37"/>
      <c r="AF502" s="37"/>
      <c r="AG502" s="37"/>
      <c r="AH502" s="37"/>
      <c r="AI502" s="37"/>
      <c r="AJ502" s="37"/>
      <c r="AK502" s="37"/>
      <c r="AL502" s="37"/>
      <c r="AM502" s="37"/>
      <c r="AN502" s="37"/>
      <c r="AO502" s="37"/>
      <c r="AP502" s="37"/>
      <c r="AQ502" s="37"/>
      <c r="AR502" s="37"/>
      <c r="AS502" s="37"/>
      <c r="AT502" s="37"/>
      <c r="AU502" s="37"/>
      <c r="AV502" s="37"/>
      <c r="AW502" s="37"/>
      <c r="AX502" s="36"/>
    </row>
    <row r="503" spans="4:50" ht="15" thickBot="1" x14ac:dyDescent="0.4"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  <c r="AE503" s="37"/>
      <c r="AF503" s="37"/>
      <c r="AG503" s="37"/>
      <c r="AH503" s="37"/>
      <c r="AI503" s="37"/>
      <c r="AJ503" s="37"/>
      <c r="AK503" s="37"/>
      <c r="AL503" s="37"/>
      <c r="AM503" s="37"/>
      <c r="AN503" s="37"/>
      <c r="AO503" s="37"/>
      <c r="AP503" s="37"/>
      <c r="AQ503" s="37"/>
      <c r="AR503" s="37"/>
      <c r="AS503" s="37"/>
      <c r="AT503" s="37"/>
      <c r="AU503" s="37"/>
      <c r="AV503" s="37"/>
      <c r="AW503" s="37"/>
      <c r="AX503" s="36"/>
    </row>
    <row r="504" spans="4:50" ht="15" thickBot="1" x14ac:dyDescent="0.4"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  <c r="AE504" s="37"/>
      <c r="AF504" s="37"/>
      <c r="AG504" s="37"/>
      <c r="AH504" s="37"/>
      <c r="AI504" s="37"/>
      <c r="AJ504" s="37"/>
      <c r="AK504" s="37"/>
      <c r="AL504" s="37"/>
      <c r="AM504" s="37"/>
      <c r="AN504" s="37"/>
      <c r="AO504" s="37"/>
      <c r="AP504" s="37"/>
      <c r="AQ504" s="37"/>
      <c r="AR504" s="37"/>
      <c r="AS504" s="37"/>
      <c r="AT504" s="37"/>
      <c r="AU504" s="37"/>
      <c r="AV504" s="37"/>
      <c r="AW504" s="37"/>
      <c r="AX504" s="36"/>
    </row>
    <row r="505" spans="4:50" ht="15" thickBot="1" x14ac:dyDescent="0.4"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  <c r="AE505" s="37"/>
      <c r="AF505" s="37"/>
      <c r="AG505" s="37"/>
      <c r="AH505" s="37"/>
      <c r="AI505" s="37"/>
      <c r="AJ505" s="37"/>
      <c r="AK505" s="37"/>
      <c r="AL505" s="37"/>
      <c r="AM505" s="37"/>
      <c r="AN505" s="37"/>
      <c r="AO505" s="37"/>
      <c r="AP505" s="37"/>
      <c r="AQ505" s="37"/>
      <c r="AR505" s="37"/>
      <c r="AS505" s="37"/>
      <c r="AT505" s="37"/>
      <c r="AU505" s="37"/>
      <c r="AV505" s="37"/>
      <c r="AW505" s="37"/>
      <c r="AX505" s="36"/>
    </row>
    <row r="506" spans="4:50" ht="15" thickBot="1" x14ac:dyDescent="0.4"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  <c r="AE506" s="37"/>
      <c r="AF506" s="37"/>
      <c r="AG506" s="37"/>
      <c r="AH506" s="37"/>
      <c r="AI506" s="37"/>
      <c r="AJ506" s="37"/>
      <c r="AK506" s="37"/>
      <c r="AL506" s="37"/>
      <c r="AM506" s="37"/>
      <c r="AN506" s="37"/>
      <c r="AO506" s="37"/>
      <c r="AP506" s="37"/>
      <c r="AQ506" s="37"/>
      <c r="AR506" s="37"/>
      <c r="AS506" s="37"/>
      <c r="AT506" s="37"/>
      <c r="AU506" s="37"/>
      <c r="AV506" s="37"/>
      <c r="AW506" s="37"/>
      <c r="AX506" s="36"/>
    </row>
    <row r="507" spans="4:50" ht="15" thickBot="1" x14ac:dyDescent="0.4"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  <c r="AE507" s="37"/>
      <c r="AF507" s="37"/>
      <c r="AG507" s="37"/>
      <c r="AH507" s="37"/>
      <c r="AI507" s="37"/>
      <c r="AJ507" s="37"/>
      <c r="AK507" s="37"/>
      <c r="AL507" s="37"/>
      <c r="AM507" s="37"/>
      <c r="AN507" s="37"/>
      <c r="AO507" s="37"/>
      <c r="AP507" s="37"/>
      <c r="AQ507" s="37"/>
      <c r="AR507" s="37"/>
      <c r="AS507" s="37"/>
      <c r="AT507" s="37"/>
      <c r="AU507" s="37"/>
      <c r="AV507" s="37"/>
      <c r="AW507" s="37"/>
      <c r="AX507" s="36"/>
    </row>
    <row r="508" spans="4:50" ht="15" thickBot="1" x14ac:dyDescent="0.4"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  <c r="AE508" s="37"/>
      <c r="AF508" s="37"/>
      <c r="AG508" s="37"/>
      <c r="AH508" s="37"/>
      <c r="AI508" s="37"/>
      <c r="AJ508" s="37"/>
      <c r="AK508" s="37"/>
      <c r="AL508" s="37"/>
      <c r="AM508" s="37"/>
      <c r="AN508" s="37"/>
      <c r="AO508" s="37"/>
      <c r="AP508" s="37"/>
      <c r="AQ508" s="37"/>
      <c r="AR508" s="37"/>
      <c r="AS508" s="37"/>
      <c r="AT508" s="37"/>
      <c r="AU508" s="37"/>
      <c r="AV508" s="37"/>
      <c r="AW508" s="37"/>
      <c r="AX508" s="36"/>
    </row>
    <row r="509" spans="4:50" ht="15" thickBot="1" x14ac:dyDescent="0.4"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  <c r="AE509" s="37"/>
      <c r="AF509" s="37"/>
      <c r="AG509" s="37"/>
      <c r="AH509" s="37"/>
      <c r="AI509" s="37"/>
      <c r="AJ509" s="37"/>
      <c r="AK509" s="37"/>
      <c r="AL509" s="37"/>
      <c r="AM509" s="37"/>
      <c r="AN509" s="37"/>
      <c r="AO509" s="37"/>
      <c r="AP509" s="37"/>
      <c r="AQ509" s="37"/>
      <c r="AR509" s="37"/>
      <c r="AS509" s="37"/>
      <c r="AT509" s="37"/>
      <c r="AU509" s="37"/>
      <c r="AV509" s="37"/>
      <c r="AW509" s="37"/>
      <c r="AX509" s="36"/>
    </row>
    <row r="510" spans="4:50" ht="15" thickBot="1" x14ac:dyDescent="0.4"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  <c r="AE510" s="37"/>
      <c r="AF510" s="37"/>
      <c r="AG510" s="37"/>
      <c r="AH510" s="37"/>
      <c r="AI510" s="37"/>
      <c r="AJ510" s="37"/>
      <c r="AK510" s="37"/>
      <c r="AL510" s="37"/>
      <c r="AM510" s="37"/>
      <c r="AN510" s="37"/>
      <c r="AO510" s="37"/>
      <c r="AP510" s="37"/>
      <c r="AQ510" s="37"/>
      <c r="AR510" s="37"/>
      <c r="AS510" s="37"/>
      <c r="AT510" s="37"/>
      <c r="AU510" s="37"/>
      <c r="AV510" s="37"/>
      <c r="AW510" s="37"/>
      <c r="AX510" s="36"/>
    </row>
    <row r="511" spans="4:50" ht="15" thickBot="1" x14ac:dyDescent="0.4"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  <c r="AE511" s="37"/>
      <c r="AF511" s="37"/>
      <c r="AG511" s="37"/>
      <c r="AH511" s="37"/>
      <c r="AI511" s="37"/>
      <c r="AJ511" s="37"/>
      <c r="AK511" s="37"/>
      <c r="AL511" s="37"/>
      <c r="AM511" s="37"/>
      <c r="AN511" s="37"/>
      <c r="AO511" s="37"/>
      <c r="AP511" s="37"/>
      <c r="AQ511" s="37"/>
      <c r="AR511" s="37"/>
      <c r="AS511" s="37"/>
      <c r="AT511" s="37"/>
      <c r="AU511" s="37"/>
      <c r="AV511" s="37"/>
      <c r="AW511" s="37"/>
      <c r="AX511" s="36"/>
    </row>
    <row r="512" spans="4:50" ht="15" thickBot="1" x14ac:dyDescent="0.4"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  <c r="AE512" s="37"/>
      <c r="AF512" s="37"/>
      <c r="AG512" s="37"/>
      <c r="AH512" s="37"/>
      <c r="AI512" s="37"/>
      <c r="AJ512" s="37"/>
      <c r="AK512" s="37"/>
      <c r="AL512" s="37"/>
      <c r="AM512" s="37"/>
      <c r="AN512" s="37"/>
      <c r="AO512" s="37"/>
      <c r="AP512" s="37"/>
      <c r="AQ512" s="37"/>
      <c r="AR512" s="37"/>
      <c r="AS512" s="37"/>
      <c r="AT512" s="37"/>
      <c r="AU512" s="37"/>
      <c r="AV512" s="37"/>
      <c r="AW512" s="37"/>
      <c r="AX512" s="36"/>
    </row>
    <row r="513" spans="4:50" ht="15" thickBot="1" x14ac:dyDescent="0.4"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  <c r="AD513" s="37"/>
      <c r="AE513" s="37"/>
      <c r="AF513" s="37"/>
      <c r="AG513" s="37"/>
      <c r="AH513" s="37"/>
      <c r="AI513" s="37"/>
      <c r="AJ513" s="37"/>
      <c r="AK513" s="37"/>
      <c r="AL513" s="37"/>
      <c r="AM513" s="37"/>
      <c r="AN513" s="37"/>
      <c r="AO513" s="37"/>
      <c r="AP513" s="37"/>
      <c r="AQ513" s="37"/>
      <c r="AR513" s="37"/>
      <c r="AS513" s="37"/>
      <c r="AT513" s="37"/>
      <c r="AU513" s="37"/>
      <c r="AV513" s="37"/>
      <c r="AW513" s="37"/>
      <c r="AX513" s="36"/>
    </row>
    <row r="514" spans="4:50" ht="15" thickBot="1" x14ac:dyDescent="0.4"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  <c r="AD514" s="37"/>
      <c r="AE514" s="37"/>
      <c r="AF514" s="37"/>
      <c r="AG514" s="37"/>
      <c r="AH514" s="37"/>
      <c r="AI514" s="37"/>
      <c r="AJ514" s="37"/>
      <c r="AK514" s="37"/>
      <c r="AL514" s="37"/>
      <c r="AM514" s="37"/>
      <c r="AN514" s="37"/>
      <c r="AO514" s="37"/>
      <c r="AP514" s="37"/>
      <c r="AQ514" s="37"/>
      <c r="AR514" s="37"/>
      <c r="AS514" s="37"/>
      <c r="AT514" s="37"/>
      <c r="AU514" s="37"/>
      <c r="AV514" s="37"/>
      <c r="AW514" s="37"/>
      <c r="AX514" s="36"/>
    </row>
    <row r="515" spans="4:50" ht="15" thickBot="1" x14ac:dyDescent="0.4"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  <c r="AE515" s="37"/>
      <c r="AF515" s="37"/>
      <c r="AG515" s="37"/>
      <c r="AH515" s="37"/>
      <c r="AI515" s="37"/>
      <c r="AJ515" s="37"/>
      <c r="AK515" s="37"/>
      <c r="AL515" s="37"/>
      <c r="AM515" s="37"/>
      <c r="AN515" s="37"/>
      <c r="AO515" s="37"/>
      <c r="AP515" s="37"/>
      <c r="AQ515" s="37"/>
      <c r="AR515" s="37"/>
      <c r="AS515" s="37"/>
      <c r="AT515" s="37"/>
      <c r="AU515" s="37"/>
      <c r="AV515" s="37"/>
      <c r="AW515" s="37"/>
      <c r="AX515" s="36"/>
    </row>
    <row r="516" spans="4:50" ht="15" thickBot="1" x14ac:dyDescent="0.4"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  <c r="AE516" s="37"/>
      <c r="AF516" s="37"/>
      <c r="AG516" s="37"/>
      <c r="AH516" s="37"/>
      <c r="AI516" s="37"/>
      <c r="AJ516" s="37"/>
      <c r="AK516" s="37"/>
      <c r="AL516" s="37"/>
      <c r="AM516" s="37"/>
      <c r="AN516" s="37"/>
      <c r="AO516" s="37"/>
      <c r="AP516" s="37"/>
      <c r="AQ516" s="37"/>
      <c r="AR516" s="37"/>
      <c r="AS516" s="37"/>
      <c r="AT516" s="37"/>
      <c r="AU516" s="37"/>
      <c r="AV516" s="37"/>
      <c r="AW516" s="37"/>
      <c r="AX516" s="36"/>
    </row>
    <row r="517" spans="4:50" ht="15" thickBot="1" x14ac:dyDescent="0.4"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  <c r="AD517" s="37"/>
      <c r="AE517" s="37"/>
      <c r="AF517" s="37"/>
      <c r="AG517" s="37"/>
      <c r="AH517" s="37"/>
      <c r="AI517" s="37"/>
      <c r="AJ517" s="37"/>
      <c r="AK517" s="37"/>
      <c r="AL517" s="37"/>
      <c r="AM517" s="37"/>
      <c r="AN517" s="37"/>
      <c r="AO517" s="37"/>
      <c r="AP517" s="37"/>
      <c r="AQ517" s="37"/>
      <c r="AR517" s="37"/>
      <c r="AS517" s="37"/>
      <c r="AT517" s="37"/>
      <c r="AU517" s="37"/>
      <c r="AV517" s="37"/>
      <c r="AW517" s="37"/>
      <c r="AX517" s="36"/>
    </row>
    <row r="518" spans="4:50" ht="15" thickBot="1" x14ac:dyDescent="0.4"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7"/>
      <c r="AN518" s="37"/>
      <c r="AO518" s="37"/>
      <c r="AP518" s="37"/>
      <c r="AQ518" s="37"/>
      <c r="AR518" s="37"/>
      <c r="AS518" s="37"/>
      <c r="AT518" s="37"/>
      <c r="AU518" s="37"/>
      <c r="AV518" s="37"/>
      <c r="AW518" s="37"/>
      <c r="AX518" s="36"/>
    </row>
    <row r="519" spans="4:50" ht="15" thickBot="1" x14ac:dyDescent="0.4"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  <c r="AD519" s="37"/>
      <c r="AE519" s="37"/>
      <c r="AF519" s="37"/>
      <c r="AG519" s="37"/>
      <c r="AH519" s="37"/>
      <c r="AI519" s="37"/>
      <c r="AJ519" s="37"/>
      <c r="AK519" s="37"/>
      <c r="AL519" s="37"/>
      <c r="AM519" s="37"/>
      <c r="AN519" s="37"/>
      <c r="AO519" s="37"/>
      <c r="AP519" s="37"/>
      <c r="AQ519" s="37"/>
      <c r="AR519" s="37"/>
      <c r="AS519" s="37"/>
      <c r="AT519" s="37"/>
      <c r="AU519" s="37"/>
      <c r="AV519" s="37"/>
      <c r="AW519" s="37"/>
      <c r="AX519" s="36"/>
    </row>
    <row r="520" spans="4:50" ht="15" thickBot="1" x14ac:dyDescent="0.4"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  <c r="AE520" s="37"/>
      <c r="AF520" s="37"/>
      <c r="AG520" s="37"/>
      <c r="AH520" s="37"/>
      <c r="AI520" s="37"/>
      <c r="AJ520" s="37"/>
      <c r="AK520" s="37"/>
      <c r="AL520" s="37"/>
      <c r="AM520" s="37"/>
      <c r="AN520" s="37"/>
      <c r="AO520" s="37"/>
      <c r="AP520" s="37"/>
      <c r="AQ520" s="37"/>
      <c r="AR520" s="37"/>
      <c r="AS520" s="37"/>
      <c r="AT520" s="37"/>
      <c r="AU520" s="37"/>
      <c r="AV520" s="37"/>
      <c r="AW520" s="37"/>
      <c r="AX520" s="36"/>
    </row>
    <row r="521" spans="4:50" ht="15" thickBot="1" x14ac:dyDescent="0.4"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  <c r="AE521" s="37"/>
      <c r="AF521" s="37"/>
      <c r="AG521" s="37"/>
      <c r="AH521" s="37"/>
      <c r="AI521" s="37"/>
      <c r="AJ521" s="37"/>
      <c r="AK521" s="37"/>
      <c r="AL521" s="37"/>
      <c r="AM521" s="37"/>
      <c r="AN521" s="37"/>
      <c r="AO521" s="37"/>
      <c r="AP521" s="37"/>
      <c r="AQ521" s="37"/>
      <c r="AR521" s="37"/>
      <c r="AS521" s="37"/>
      <c r="AT521" s="37"/>
      <c r="AU521" s="37"/>
      <c r="AV521" s="37"/>
      <c r="AW521" s="37"/>
      <c r="AX521" s="36"/>
    </row>
    <row r="522" spans="4:50" ht="15" thickBot="1" x14ac:dyDescent="0.4"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  <c r="AD522" s="37"/>
      <c r="AE522" s="37"/>
      <c r="AF522" s="37"/>
      <c r="AG522" s="37"/>
      <c r="AH522" s="37"/>
      <c r="AI522" s="37"/>
      <c r="AJ522" s="37"/>
      <c r="AK522" s="37"/>
      <c r="AL522" s="37"/>
      <c r="AM522" s="37"/>
      <c r="AN522" s="37"/>
      <c r="AO522" s="37"/>
      <c r="AP522" s="37"/>
      <c r="AQ522" s="37"/>
      <c r="AR522" s="37"/>
      <c r="AS522" s="37"/>
      <c r="AT522" s="37"/>
      <c r="AU522" s="37"/>
      <c r="AV522" s="37"/>
      <c r="AW522" s="37"/>
      <c r="AX522" s="36"/>
    </row>
    <row r="523" spans="4:50" ht="15" thickBot="1" x14ac:dyDescent="0.4"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  <c r="AD523" s="37"/>
      <c r="AE523" s="37"/>
      <c r="AF523" s="37"/>
      <c r="AG523" s="37"/>
      <c r="AH523" s="37"/>
      <c r="AI523" s="37"/>
      <c r="AJ523" s="37"/>
      <c r="AK523" s="37"/>
      <c r="AL523" s="37"/>
      <c r="AM523" s="37"/>
      <c r="AN523" s="37"/>
      <c r="AO523" s="37"/>
      <c r="AP523" s="37"/>
      <c r="AQ523" s="37"/>
      <c r="AR523" s="37"/>
      <c r="AS523" s="37"/>
      <c r="AT523" s="37"/>
      <c r="AU523" s="37"/>
      <c r="AV523" s="37"/>
      <c r="AW523" s="37"/>
      <c r="AX523" s="36"/>
    </row>
    <row r="524" spans="4:50" ht="15" thickBot="1" x14ac:dyDescent="0.4"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  <c r="AE524" s="37"/>
      <c r="AF524" s="37"/>
      <c r="AG524" s="37"/>
      <c r="AH524" s="37"/>
      <c r="AI524" s="37"/>
      <c r="AJ524" s="37"/>
      <c r="AK524" s="37"/>
      <c r="AL524" s="37"/>
      <c r="AM524" s="37"/>
      <c r="AN524" s="37"/>
      <c r="AO524" s="37"/>
      <c r="AP524" s="37"/>
      <c r="AQ524" s="37"/>
      <c r="AR524" s="37"/>
      <c r="AS524" s="37"/>
      <c r="AT524" s="37"/>
      <c r="AU524" s="37"/>
      <c r="AV524" s="37"/>
      <c r="AW524" s="37"/>
      <c r="AX524" s="36"/>
    </row>
    <row r="525" spans="4:50" ht="15" thickBot="1" x14ac:dyDescent="0.4"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  <c r="AD525" s="37"/>
      <c r="AE525" s="37"/>
      <c r="AF525" s="37"/>
      <c r="AG525" s="37"/>
      <c r="AH525" s="37"/>
      <c r="AI525" s="37"/>
      <c r="AJ525" s="37"/>
      <c r="AK525" s="37"/>
      <c r="AL525" s="37"/>
      <c r="AM525" s="37"/>
      <c r="AN525" s="37"/>
      <c r="AO525" s="37"/>
      <c r="AP525" s="37"/>
      <c r="AQ525" s="37"/>
      <c r="AR525" s="37"/>
      <c r="AS525" s="37"/>
      <c r="AT525" s="37"/>
      <c r="AU525" s="37"/>
      <c r="AV525" s="37"/>
      <c r="AW525" s="37"/>
      <c r="AX525" s="36"/>
    </row>
    <row r="526" spans="4:50" ht="15" thickBot="1" x14ac:dyDescent="0.4"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  <c r="AD526" s="37"/>
      <c r="AE526" s="37"/>
      <c r="AF526" s="37"/>
      <c r="AG526" s="37"/>
      <c r="AH526" s="37"/>
      <c r="AI526" s="37"/>
      <c r="AJ526" s="37"/>
      <c r="AK526" s="37"/>
      <c r="AL526" s="37"/>
      <c r="AM526" s="37"/>
      <c r="AN526" s="37"/>
      <c r="AO526" s="37"/>
      <c r="AP526" s="37"/>
      <c r="AQ526" s="37"/>
      <c r="AR526" s="37"/>
      <c r="AS526" s="37"/>
      <c r="AT526" s="37"/>
      <c r="AU526" s="37"/>
      <c r="AV526" s="37"/>
      <c r="AW526" s="37"/>
      <c r="AX526" s="36"/>
    </row>
    <row r="527" spans="4:50" ht="15" thickBot="1" x14ac:dyDescent="0.4"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  <c r="AE527" s="37"/>
      <c r="AF527" s="37"/>
      <c r="AG527" s="37"/>
      <c r="AH527" s="37"/>
      <c r="AI527" s="37"/>
      <c r="AJ527" s="37"/>
      <c r="AK527" s="37"/>
      <c r="AL527" s="37"/>
      <c r="AM527" s="37"/>
      <c r="AN527" s="37"/>
      <c r="AO527" s="37"/>
      <c r="AP527" s="37"/>
      <c r="AQ527" s="37"/>
      <c r="AR527" s="37"/>
      <c r="AS527" s="37"/>
      <c r="AT527" s="37"/>
      <c r="AU527" s="37"/>
      <c r="AV527" s="37"/>
      <c r="AW527" s="37"/>
      <c r="AX527" s="36"/>
    </row>
    <row r="528" spans="4:50" ht="15" thickBot="1" x14ac:dyDescent="0.4"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  <c r="AD528" s="37"/>
      <c r="AE528" s="37"/>
      <c r="AF528" s="37"/>
      <c r="AG528" s="37"/>
      <c r="AH528" s="37"/>
      <c r="AI528" s="37"/>
      <c r="AJ528" s="37"/>
      <c r="AK528" s="37"/>
      <c r="AL528" s="37"/>
      <c r="AM528" s="37"/>
      <c r="AN528" s="37"/>
      <c r="AO528" s="37"/>
      <c r="AP528" s="37"/>
      <c r="AQ528" s="37"/>
      <c r="AR528" s="37"/>
      <c r="AS528" s="37"/>
      <c r="AT528" s="37"/>
      <c r="AU528" s="37"/>
      <c r="AV528" s="37"/>
      <c r="AW528" s="37"/>
      <c r="AX528" s="36"/>
    </row>
    <row r="529" spans="4:50" ht="15" thickBot="1" x14ac:dyDescent="0.4"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  <c r="AD529" s="37"/>
      <c r="AE529" s="37"/>
      <c r="AF529" s="37"/>
      <c r="AG529" s="37"/>
      <c r="AH529" s="37"/>
      <c r="AI529" s="37"/>
      <c r="AJ529" s="37"/>
      <c r="AK529" s="37"/>
      <c r="AL529" s="37"/>
      <c r="AM529" s="37"/>
      <c r="AN529" s="37"/>
      <c r="AO529" s="37"/>
      <c r="AP529" s="37"/>
      <c r="AQ529" s="37"/>
      <c r="AR529" s="37"/>
      <c r="AS529" s="37"/>
      <c r="AT529" s="37"/>
      <c r="AU529" s="37"/>
      <c r="AV529" s="37"/>
      <c r="AW529" s="37"/>
      <c r="AX529" s="36"/>
    </row>
    <row r="530" spans="4:50" ht="15" thickBot="1" x14ac:dyDescent="0.4"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  <c r="AD530" s="37"/>
      <c r="AE530" s="37"/>
      <c r="AF530" s="37"/>
      <c r="AG530" s="37"/>
      <c r="AH530" s="37"/>
      <c r="AI530" s="37"/>
      <c r="AJ530" s="37"/>
      <c r="AK530" s="37"/>
      <c r="AL530" s="37"/>
      <c r="AM530" s="37"/>
      <c r="AN530" s="37"/>
      <c r="AO530" s="37"/>
      <c r="AP530" s="37"/>
      <c r="AQ530" s="37"/>
      <c r="AR530" s="37"/>
      <c r="AS530" s="37"/>
      <c r="AT530" s="37"/>
      <c r="AU530" s="37"/>
      <c r="AV530" s="37"/>
      <c r="AW530" s="37"/>
      <c r="AX530" s="36"/>
    </row>
    <row r="531" spans="4:50" ht="15" thickBot="1" x14ac:dyDescent="0.4"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  <c r="AD531" s="37"/>
      <c r="AE531" s="37"/>
      <c r="AF531" s="37"/>
      <c r="AG531" s="37"/>
      <c r="AH531" s="37"/>
      <c r="AI531" s="37"/>
      <c r="AJ531" s="37"/>
      <c r="AK531" s="37"/>
      <c r="AL531" s="37"/>
      <c r="AM531" s="37"/>
      <c r="AN531" s="37"/>
      <c r="AO531" s="37"/>
      <c r="AP531" s="37"/>
      <c r="AQ531" s="37"/>
      <c r="AR531" s="37"/>
      <c r="AS531" s="37"/>
      <c r="AT531" s="37"/>
      <c r="AU531" s="37"/>
      <c r="AV531" s="37"/>
      <c r="AW531" s="37"/>
      <c r="AX531" s="36"/>
    </row>
    <row r="532" spans="4:50" ht="15" thickBot="1" x14ac:dyDescent="0.4"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  <c r="AD532" s="37"/>
      <c r="AE532" s="37"/>
      <c r="AF532" s="37"/>
      <c r="AG532" s="37"/>
      <c r="AH532" s="37"/>
      <c r="AI532" s="37"/>
      <c r="AJ532" s="37"/>
      <c r="AK532" s="37"/>
      <c r="AL532" s="37"/>
      <c r="AM532" s="37"/>
      <c r="AN532" s="37"/>
      <c r="AO532" s="37"/>
      <c r="AP532" s="37"/>
      <c r="AQ532" s="37"/>
      <c r="AR532" s="37"/>
      <c r="AS532" s="37"/>
      <c r="AT532" s="37"/>
      <c r="AU532" s="37"/>
      <c r="AV532" s="37"/>
      <c r="AW532" s="37"/>
      <c r="AX532" s="36"/>
    </row>
    <row r="533" spans="4:50" ht="15" thickBot="1" x14ac:dyDescent="0.4"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  <c r="AD533" s="37"/>
      <c r="AE533" s="37"/>
      <c r="AF533" s="37"/>
      <c r="AG533" s="37"/>
      <c r="AH533" s="37"/>
      <c r="AI533" s="37"/>
      <c r="AJ533" s="37"/>
      <c r="AK533" s="37"/>
      <c r="AL533" s="37"/>
      <c r="AM533" s="37"/>
      <c r="AN533" s="37"/>
      <c r="AO533" s="37"/>
      <c r="AP533" s="37"/>
      <c r="AQ533" s="37"/>
      <c r="AR533" s="37"/>
      <c r="AS533" s="37"/>
      <c r="AT533" s="37"/>
      <c r="AU533" s="37"/>
      <c r="AV533" s="37"/>
      <c r="AW533" s="37"/>
      <c r="AX533" s="36"/>
    </row>
    <row r="534" spans="4:50" ht="15" thickBot="1" x14ac:dyDescent="0.4"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  <c r="AD534" s="37"/>
      <c r="AE534" s="37"/>
      <c r="AF534" s="37"/>
      <c r="AG534" s="37"/>
      <c r="AH534" s="37"/>
      <c r="AI534" s="37"/>
      <c r="AJ534" s="37"/>
      <c r="AK534" s="37"/>
      <c r="AL534" s="37"/>
      <c r="AM534" s="37"/>
      <c r="AN534" s="37"/>
      <c r="AO534" s="37"/>
      <c r="AP534" s="37"/>
      <c r="AQ534" s="37"/>
      <c r="AR534" s="37"/>
      <c r="AS534" s="37"/>
      <c r="AT534" s="37"/>
      <c r="AU534" s="37"/>
      <c r="AV534" s="37"/>
      <c r="AW534" s="37"/>
      <c r="AX534" s="36"/>
    </row>
    <row r="535" spans="4:50" ht="15" thickBot="1" x14ac:dyDescent="0.4"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  <c r="AD535" s="37"/>
      <c r="AE535" s="37"/>
      <c r="AF535" s="37"/>
      <c r="AG535" s="37"/>
      <c r="AH535" s="37"/>
      <c r="AI535" s="37"/>
      <c r="AJ535" s="37"/>
      <c r="AK535" s="37"/>
      <c r="AL535" s="37"/>
      <c r="AM535" s="37"/>
      <c r="AN535" s="37"/>
      <c r="AO535" s="37"/>
      <c r="AP535" s="37"/>
      <c r="AQ535" s="37"/>
      <c r="AR535" s="37"/>
      <c r="AS535" s="37"/>
      <c r="AT535" s="37"/>
      <c r="AU535" s="37"/>
      <c r="AV535" s="37"/>
      <c r="AW535" s="37"/>
      <c r="AX535" s="36"/>
    </row>
    <row r="536" spans="4:50" ht="15" thickBot="1" x14ac:dyDescent="0.4"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  <c r="AD536" s="37"/>
      <c r="AE536" s="37"/>
      <c r="AF536" s="37"/>
      <c r="AG536" s="37"/>
      <c r="AH536" s="37"/>
      <c r="AI536" s="37"/>
      <c r="AJ536" s="37"/>
      <c r="AK536" s="37"/>
      <c r="AL536" s="37"/>
      <c r="AM536" s="37"/>
      <c r="AN536" s="37"/>
      <c r="AO536" s="37"/>
      <c r="AP536" s="37"/>
      <c r="AQ536" s="37"/>
      <c r="AR536" s="37"/>
      <c r="AS536" s="37"/>
      <c r="AT536" s="37"/>
      <c r="AU536" s="37"/>
      <c r="AV536" s="37"/>
      <c r="AW536" s="37"/>
      <c r="AX536" s="36"/>
    </row>
    <row r="537" spans="4:50" ht="15" thickBot="1" x14ac:dyDescent="0.4"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  <c r="AD537" s="37"/>
      <c r="AE537" s="37"/>
      <c r="AF537" s="37"/>
      <c r="AG537" s="37"/>
      <c r="AH537" s="37"/>
      <c r="AI537" s="37"/>
      <c r="AJ537" s="37"/>
      <c r="AK537" s="37"/>
      <c r="AL537" s="37"/>
      <c r="AM537" s="37"/>
      <c r="AN537" s="37"/>
      <c r="AO537" s="37"/>
      <c r="AP537" s="37"/>
      <c r="AQ537" s="37"/>
      <c r="AR537" s="37"/>
      <c r="AS537" s="37"/>
      <c r="AT537" s="37"/>
      <c r="AU537" s="37"/>
      <c r="AV537" s="37"/>
      <c r="AW537" s="37"/>
      <c r="AX537" s="36"/>
    </row>
    <row r="538" spans="4:50" ht="15" thickBot="1" x14ac:dyDescent="0.4"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  <c r="AD538" s="37"/>
      <c r="AE538" s="37"/>
      <c r="AF538" s="37"/>
      <c r="AG538" s="37"/>
      <c r="AH538" s="37"/>
      <c r="AI538" s="37"/>
      <c r="AJ538" s="37"/>
      <c r="AK538" s="37"/>
      <c r="AL538" s="37"/>
      <c r="AM538" s="37"/>
      <c r="AN538" s="37"/>
      <c r="AO538" s="37"/>
      <c r="AP538" s="37"/>
      <c r="AQ538" s="37"/>
      <c r="AR538" s="37"/>
      <c r="AS538" s="37"/>
      <c r="AT538" s="37"/>
      <c r="AU538" s="37"/>
      <c r="AV538" s="37"/>
      <c r="AW538" s="37"/>
      <c r="AX538" s="36"/>
    </row>
    <row r="539" spans="4:50" ht="15" thickBot="1" x14ac:dyDescent="0.4"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  <c r="AD539" s="37"/>
      <c r="AE539" s="37"/>
      <c r="AF539" s="37"/>
      <c r="AG539" s="37"/>
      <c r="AH539" s="37"/>
      <c r="AI539" s="37"/>
      <c r="AJ539" s="37"/>
      <c r="AK539" s="37"/>
      <c r="AL539" s="37"/>
      <c r="AM539" s="37"/>
      <c r="AN539" s="37"/>
      <c r="AO539" s="37"/>
      <c r="AP539" s="37"/>
      <c r="AQ539" s="37"/>
      <c r="AR539" s="37"/>
      <c r="AS539" s="37"/>
      <c r="AT539" s="37"/>
      <c r="AU539" s="37"/>
      <c r="AV539" s="37"/>
      <c r="AW539" s="37"/>
      <c r="AX539" s="36"/>
    </row>
    <row r="540" spans="4:50" ht="15" thickBot="1" x14ac:dyDescent="0.4"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  <c r="AD540" s="37"/>
      <c r="AE540" s="37"/>
      <c r="AF540" s="37"/>
      <c r="AG540" s="37"/>
      <c r="AH540" s="37"/>
      <c r="AI540" s="37"/>
      <c r="AJ540" s="37"/>
      <c r="AK540" s="37"/>
      <c r="AL540" s="37"/>
      <c r="AM540" s="37"/>
      <c r="AN540" s="37"/>
      <c r="AO540" s="37"/>
      <c r="AP540" s="37"/>
      <c r="AQ540" s="37"/>
      <c r="AR540" s="37"/>
      <c r="AS540" s="37"/>
      <c r="AT540" s="37"/>
      <c r="AU540" s="37"/>
      <c r="AV540" s="37"/>
      <c r="AW540" s="37"/>
      <c r="AX540" s="36"/>
    </row>
    <row r="541" spans="4:50" ht="15" thickBot="1" x14ac:dyDescent="0.4"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  <c r="AD541" s="37"/>
      <c r="AE541" s="37"/>
      <c r="AF541" s="37"/>
      <c r="AG541" s="37"/>
      <c r="AH541" s="37"/>
      <c r="AI541" s="37"/>
      <c r="AJ541" s="37"/>
      <c r="AK541" s="37"/>
      <c r="AL541" s="37"/>
      <c r="AM541" s="37"/>
      <c r="AN541" s="37"/>
      <c r="AO541" s="37"/>
      <c r="AP541" s="37"/>
      <c r="AQ541" s="37"/>
      <c r="AR541" s="37"/>
      <c r="AS541" s="37"/>
      <c r="AT541" s="37"/>
      <c r="AU541" s="37"/>
      <c r="AV541" s="37"/>
      <c r="AW541" s="37"/>
      <c r="AX541" s="36"/>
    </row>
    <row r="542" spans="4:50" ht="15" thickBot="1" x14ac:dyDescent="0.4"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  <c r="AD542" s="37"/>
      <c r="AE542" s="37"/>
      <c r="AF542" s="37"/>
      <c r="AG542" s="37"/>
      <c r="AH542" s="37"/>
      <c r="AI542" s="37"/>
      <c r="AJ542" s="37"/>
      <c r="AK542" s="37"/>
      <c r="AL542" s="37"/>
      <c r="AM542" s="37"/>
      <c r="AN542" s="37"/>
      <c r="AO542" s="37"/>
      <c r="AP542" s="37"/>
      <c r="AQ542" s="37"/>
      <c r="AR542" s="37"/>
      <c r="AS542" s="37"/>
      <c r="AT542" s="37"/>
      <c r="AU542" s="37"/>
      <c r="AV542" s="37"/>
      <c r="AW542" s="37"/>
      <c r="AX542" s="36"/>
    </row>
    <row r="543" spans="4:50" ht="15" thickBot="1" x14ac:dyDescent="0.4"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  <c r="AD543" s="37"/>
      <c r="AE543" s="37"/>
      <c r="AF543" s="37"/>
      <c r="AG543" s="37"/>
      <c r="AH543" s="37"/>
      <c r="AI543" s="37"/>
      <c r="AJ543" s="37"/>
      <c r="AK543" s="37"/>
      <c r="AL543" s="37"/>
      <c r="AM543" s="37"/>
      <c r="AN543" s="37"/>
      <c r="AO543" s="37"/>
      <c r="AP543" s="37"/>
      <c r="AQ543" s="37"/>
      <c r="AR543" s="37"/>
      <c r="AS543" s="37"/>
      <c r="AT543" s="37"/>
      <c r="AU543" s="37"/>
      <c r="AV543" s="37"/>
      <c r="AW543" s="37"/>
      <c r="AX543" s="36"/>
    </row>
    <row r="544" spans="4:50" ht="15" thickBot="1" x14ac:dyDescent="0.4"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  <c r="AD544" s="37"/>
      <c r="AE544" s="37"/>
      <c r="AF544" s="37"/>
      <c r="AG544" s="37"/>
      <c r="AH544" s="37"/>
      <c r="AI544" s="37"/>
      <c r="AJ544" s="37"/>
      <c r="AK544" s="37"/>
      <c r="AL544" s="37"/>
      <c r="AM544" s="37"/>
      <c r="AN544" s="37"/>
      <c r="AO544" s="37"/>
      <c r="AP544" s="37"/>
      <c r="AQ544" s="37"/>
      <c r="AR544" s="37"/>
      <c r="AS544" s="37"/>
      <c r="AT544" s="37"/>
      <c r="AU544" s="37"/>
      <c r="AV544" s="37"/>
      <c r="AW544" s="37"/>
      <c r="AX544" s="36"/>
    </row>
    <row r="545" spans="4:50" ht="15" thickBot="1" x14ac:dyDescent="0.4"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  <c r="AD545" s="37"/>
      <c r="AE545" s="37"/>
      <c r="AF545" s="37"/>
      <c r="AG545" s="37"/>
      <c r="AH545" s="37"/>
      <c r="AI545" s="37"/>
      <c r="AJ545" s="37"/>
      <c r="AK545" s="37"/>
      <c r="AL545" s="37"/>
      <c r="AM545" s="37"/>
      <c r="AN545" s="37"/>
      <c r="AO545" s="37"/>
      <c r="AP545" s="37"/>
      <c r="AQ545" s="37"/>
      <c r="AR545" s="37"/>
      <c r="AS545" s="37"/>
      <c r="AT545" s="37"/>
      <c r="AU545" s="37"/>
      <c r="AV545" s="37"/>
      <c r="AW545" s="37"/>
      <c r="AX545" s="36"/>
    </row>
    <row r="546" spans="4:50" ht="15" thickBot="1" x14ac:dyDescent="0.4"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  <c r="AD546" s="37"/>
      <c r="AE546" s="37"/>
      <c r="AF546" s="37"/>
      <c r="AG546" s="37"/>
      <c r="AH546" s="37"/>
      <c r="AI546" s="37"/>
      <c r="AJ546" s="37"/>
      <c r="AK546" s="37"/>
      <c r="AL546" s="37"/>
      <c r="AM546" s="37"/>
      <c r="AN546" s="37"/>
      <c r="AO546" s="37"/>
      <c r="AP546" s="37"/>
      <c r="AQ546" s="37"/>
      <c r="AR546" s="37"/>
      <c r="AS546" s="37"/>
      <c r="AT546" s="37"/>
      <c r="AU546" s="37"/>
      <c r="AV546" s="37"/>
      <c r="AW546" s="37"/>
      <c r="AX546" s="36"/>
    </row>
    <row r="547" spans="4:50" ht="15" thickBot="1" x14ac:dyDescent="0.4"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  <c r="AD547" s="37"/>
      <c r="AE547" s="37"/>
      <c r="AF547" s="37"/>
      <c r="AG547" s="37"/>
      <c r="AH547" s="37"/>
      <c r="AI547" s="37"/>
      <c r="AJ547" s="37"/>
      <c r="AK547" s="37"/>
      <c r="AL547" s="37"/>
      <c r="AM547" s="37"/>
      <c r="AN547" s="37"/>
      <c r="AO547" s="37"/>
      <c r="AP547" s="37"/>
      <c r="AQ547" s="37"/>
      <c r="AR547" s="37"/>
      <c r="AS547" s="37"/>
      <c r="AT547" s="37"/>
      <c r="AU547" s="37"/>
      <c r="AV547" s="37"/>
      <c r="AW547" s="37"/>
      <c r="AX547" s="36"/>
    </row>
    <row r="548" spans="4:50" ht="15" thickBot="1" x14ac:dyDescent="0.4"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  <c r="AD548" s="37"/>
      <c r="AE548" s="37"/>
      <c r="AF548" s="37"/>
      <c r="AG548" s="37"/>
      <c r="AH548" s="37"/>
      <c r="AI548" s="37"/>
      <c r="AJ548" s="37"/>
      <c r="AK548" s="37"/>
      <c r="AL548" s="37"/>
      <c r="AM548" s="37"/>
      <c r="AN548" s="37"/>
      <c r="AO548" s="37"/>
      <c r="AP548" s="37"/>
      <c r="AQ548" s="37"/>
      <c r="AR548" s="37"/>
      <c r="AS548" s="37"/>
      <c r="AT548" s="37"/>
      <c r="AU548" s="37"/>
      <c r="AV548" s="37"/>
      <c r="AW548" s="37"/>
      <c r="AX548" s="36"/>
    </row>
    <row r="549" spans="4:50" ht="15" thickBot="1" x14ac:dyDescent="0.4"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  <c r="AD549" s="37"/>
      <c r="AE549" s="37"/>
      <c r="AF549" s="37"/>
      <c r="AG549" s="37"/>
      <c r="AH549" s="37"/>
      <c r="AI549" s="37"/>
      <c r="AJ549" s="37"/>
      <c r="AK549" s="37"/>
      <c r="AL549" s="37"/>
      <c r="AM549" s="37"/>
      <c r="AN549" s="37"/>
      <c r="AO549" s="37"/>
      <c r="AP549" s="37"/>
      <c r="AQ549" s="37"/>
      <c r="AR549" s="37"/>
      <c r="AS549" s="37"/>
      <c r="AT549" s="37"/>
      <c r="AU549" s="37"/>
      <c r="AV549" s="37"/>
      <c r="AW549" s="37"/>
      <c r="AX549" s="36"/>
    </row>
    <row r="550" spans="4:50" ht="15" thickBot="1" x14ac:dyDescent="0.4"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  <c r="AD550" s="37"/>
      <c r="AE550" s="37"/>
      <c r="AF550" s="37"/>
      <c r="AG550" s="37"/>
      <c r="AH550" s="37"/>
      <c r="AI550" s="37"/>
      <c r="AJ550" s="37"/>
      <c r="AK550" s="37"/>
      <c r="AL550" s="37"/>
      <c r="AM550" s="37"/>
      <c r="AN550" s="37"/>
      <c r="AO550" s="37"/>
      <c r="AP550" s="37"/>
      <c r="AQ550" s="37"/>
      <c r="AR550" s="37"/>
      <c r="AS550" s="37"/>
      <c r="AT550" s="37"/>
      <c r="AU550" s="37"/>
      <c r="AV550" s="37"/>
      <c r="AW550" s="37"/>
      <c r="AX550" s="36"/>
    </row>
    <row r="551" spans="4:50" ht="15" thickBot="1" x14ac:dyDescent="0.4"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  <c r="AD551" s="37"/>
      <c r="AE551" s="37"/>
      <c r="AF551" s="37"/>
      <c r="AG551" s="37"/>
      <c r="AH551" s="37"/>
      <c r="AI551" s="37"/>
      <c r="AJ551" s="37"/>
      <c r="AK551" s="37"/>
      <c r="AL551" s="37"/>
      <c r="AM551" s="37"/>
      <c r="AN551" s="37"/>
      <c r="AO551" s="37"/>
      <c r="AP551" s="37"/>
      <c r="AQ551" s="37"/>
      <c r="AR551" s="37"/>
      <c r="AS551" s="37"/>
      <c r="AT551" s="37"/>
      <c r="AU551" s="37"/>
      <c r="AV551" s="37"/>
      <c r="AW551" s="37"/>
      <c r="AX551" s="36"/>
    </row>
    <row r="552" spans="4:50" ht="15" thickBot="1" x14ac:dyDescent="0.4"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  <c r="AD552" s="37"/>
      <c r="AE552" s="37"/>
      <c r="AF552" s="37"/>
      <c r="AG552" s="37"/>
      <c r="AH552" s="37"/>
      <c r="AI552" s="37"/>
      <c r="AJ552" s="37"/>
      <c r="AK552" s="37"/>
      <c r="AL552" s="37"/>
      <c r="AM552" s="37"/>
      <c r="AN552" s="37"/>
      <c r="AO552" s="37"/>
      <c r="AP552" s="37"/>
      <c r="AQ552" s="37"/>
      <c r="AR552" s="37"/>
      <c r="AS552" s="37"/>
      <c r="AT552" s="37"/>
      <c r="AU552" s="37"/>
      <c r="AV552" s="37"/>
      <c r="AW552" s="37"/>
      <c r="AX552" s="36"/>
    </row>
    <row r="553" spans="4:50" ht="15" thickBot="1" x14ac:dyDescent="0.4"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  <c r="AD553" s="37"/>
      <c r="AE553" s="37"/>
      <c r="AF553" s="37"/>
      <c r="AG553" s="37"/>
      <c r="AH553" s="37"/>
      <c r="AI553" s="37"/>
      <c r="AJ553" s="37"/>
      <c r="AK553" s="37"/>
      <c r="AL553" s="37"/>
      <c r="AM553" s="37"/>
      <c r="AN553" s="37"/>
      <c r="AO553" s="37"/>
      <c r="AP553" s="37"/>
      <c r="AQ553" s="37"/>
      <c r="AR553" s="37"/>
      <c r="AS553" s="37"/>
      <c r="AT553" s="37"/>
      <c r="AU553" s="37"/>
      <c r="AV553" s="37"/>
      <c r="AW553" s="37"/>
      <c r="AX553" s="36"/>
    </row>
    <row r="554" spans="4:50" ht="15" thickBot="1" x14ac:dyDescent="0.4"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  <c r="AD554" s="37"/>
      <c r="AE554" s="37"/>
      <c r="AF554" s="37"/>
      <c r="AG554" s="37"/>
      <c r="AH554" s="37"/>
      <c r="AI554" s="37"/>
      <c r="AJ554" s="37"/>
      <c r="AK554" s="37"/>
      <c r="AL554" s="37"/>
      <c r="AM554" s="37"/>
      <c r="AN554" s="37"/>
      <c r="AO554" s="37"/>
      <c r="AP554" s="37"/>
      <c r="AQ554" s="37"/>
      <c r="AR554" s="37"/>
      <c r="AS554" s="37"/>
      <c r="AT554" s="37"/>
      <c r="AU554" s="37"/>
      <c r="AV554" s="37"/>
      <c r="AW554" s="37"/>
      <c r="AX554" s="36"/>
    </row>
    <row r="555" spans="4:50" ht="15" thickBot="1" x14ac:dyDescent="0.4"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  <c r="AD555" s="37"/>
      <c r="AE555" s="37"/>
      <c r="AF555" s="37"/>
      <c r="AG555" s="37"/>
      <c r="AH555" s="37"/>
      <c r="AI555" s="37"/>
      <c r="AJ555" s="37"/>
      <c r="AK555" s="37"/>
      <c r="AL555" s="37"/>
      <c r="AM555" s="37"/>
      <c r="AN555" s="37"/>
      <c r="AO555" s="37"/>
      <c r="AP555" s="37"/>
      <c r="AQ555" s="37"/>
      <c r="AR555" s="37"/>
      <c r="AS555" s="37"/>
      <c r="AT555" s="37"/>
      <c r="AU555" s="37"/>
      <c r="AV555" s="37"/>
      <c r="AW555" s="37"/>
      <c r="AX555" s="36"/>
    </row>
    <row r="556" spans="4:50" ht="15" thickBot="1" x14ac:dyDescent="0.4"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7"/>
      <c r="AN556" s="37"/>
      <c r="AO556" s="37"/>
      <c r="AP556" s="37"/>
      <c r="AQ556" s="37"/>
      <c r="AR556" s="37"/>
      <c r="AS556" s="37"/>
      <c r="AT556" s="37"/>
      <c r="AU556" s="37"/>
      <c r="AV556" s="37"/>
      <c r="AW556" s="37"/>
      <c r="AX556" s="36"/>
    </row>
    <row r="557" spans="4:50" ht="15" thickBot="1" x14ac:dyDescent="0.4"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  <c r="AD557" s="37"/>
      <c r="AE557" s="37"/>
      <c r="AF557" s="37"/>
      <c r="AG557" s="37"/>
      <c r="AH557" s="37"/>
      <c r="AI557" s="37"/>
      <c r="AJ557" s="37"/>
      <c r="AK557" s="37"/>
      <c r="AL557" s="37"/>
      <c r="AM557" s="37"/>
      <c r="AN557" s="37"/>
      <c r="AO557" s="37"/>
      <c r="AP557" s="37"/>
      <c r="AQ557" s="37"/>
      <c r="AR557" s="37"/>
      <c r="AS557" s="37"/>
      <c r="AT557" s="37"/>
      <c r="AU557" s="37"/>
      <c r="AV557" s="37"/>
      <c r="AW557" s="37"/>
      <c r="AX557" s="36"/>
    </row>
    <row r="558" spans="4:50" ht="15" thickBot="1" x14ac:dyDescent="0.4"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  <c r="AD558" s="37"/>
      <c r="AE558" s="37"/>
      <c r="AF558" s="37"/>
      <c r="AG558" s="37"/>
      <c r="AH558" s="37"/>
      <c r="AI558" s="37"/>
      <c r="AJ558" s="37"/>
      <c r="AK558" s="37"/>
      <c r="AL558" s="37"/>
      <c r="AM558" s="37"/>
      <c r="AN558" s="37"/>
      <c r="AO558" s="37"/>
      <c r="AP558" s="37"/>
      <c r="AQ558" s="37"/>
      <c r="AR558" s="37"/>
      <c r="AS558" s="37"/>
      <c r="AT558" s="37"/>
      <c r="AU558" s="37"/>
      <c r="AV558" s="37"/>
      <c r="AW558" s="37"/>
      <c r="AX558" s="36"/>
    </row>
    <row r="559" spans="4:50" ht="15" thickBot="1" x14ac:dyDescent="0.4"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  <c r="AE559" s="37"/>
      <c r="AF559" s="37"/>
      <c r="AG559" s="37"/>
      <c r="AH559" s="37"/>
      <c r="AI559" s="37"/>
      <c r="AJ559" s="37"/>
      <c r="AK559" s="37"/>
      <c r="AL559" s="37"/>
      <c r="AM559" s="37"/>
      <c r="AN559" s="37"/>
      <c r="AO559" s="37"/>
      <c r="AP559" s="37"/>
      <c r="AQ559" s="37"/>
      <c r="AR559" s="37"/>
      <c r="AS559" s="37"/>
      <c r="AT559" s="37"/>
      <c r="AU559" s="37"/>
      <c r="AV559" s="37"/>
      <c r="AW559" s="37"/>
      <c r="AX559" s="36"/>
    </row>
    <row r="560" spans="4:50" ht="15" thickBot="1" x14ac:dyDescent="0.4"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  <c r="AD560" s="37"/>
      <c r="AE560" s="37"/>
      <c r="AF560" s="37"/>
      <c r="AG560" s="37"/>
      <c r="AH560" s="37"/>
      <c r="AI560" s="37"/>
      <c r="AJ560" s="37"/>
      <c r="AK560" s="37"/>
      <c r="AL560" s="37"/>
      <c r="AM560" s="37"/>
      <c r="AN560" s="37"/>
      <c r="AO560" s="37"/>
      <c r="AP560" s="37"/>
      <c r="AQ560" s="37"/>
      <c r="AR560" s="37"/>
      <c r="AS560" s="37"/>
      <c r="AT560" s="37"/>
      <c r="AU560" s="37"/>
      <c r="AV560" s="37"/>
      <c r="AW560" s="37"/>
      <c r="AX560" s="36"/>
    </row>
    <row r="561" spans="4:50" ht="15" thickBot="1" x14ac:dyDescent="0.4"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  <c r="AD561" s="37"/>
      <c r="AE561" s="37"/>
      <c r="AF561" s="37"/>
      <c r="AG561" s="37"/>
      <c r="AH561" s="37"/>
      <c r="AI561" s="37"/>
      <c r="AJ561" s="37"/>
      <c r="AK561" s="37"/>
      <c r="AL561" s="37"/>
      <c r="AM561" s="37"/>
      <c r="AN561" s="37"/>
      <c r="AO561" s="37"/>
      <c r="AP561" s="37"/>
      <c r="AQ561" s="37"/>
      <c r="AR561" s="37"/>
      <c r="AS561" s="37"/>
      <c r="AT561" s="37"/>
      <c r="AU561" s="37"/>
      <c r="AV561" s="37"/>
      <c r="AW561" s="37"/>
      <c r="AX561" s="36"/>
    </row>
    <row r="562" spans="4:50" ht="15" thickBot="1" x14ac:dyDescent="0.4"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  <c r="AE562" s="37"/>
      <c r="AF562" s="37"/>
      <c r="AG562" s="37"/>
      <c r="AH562" s="37"/>
      <c r="AI562" s="37"/>
      <c r="AJ562" s="37"/>
      <c r="AK562" s="37"/>
      <c r="AL562" s="37"/>
      <c r="AM562" s="37"/>
      <c r="AN562" s="37"/>
      <c r="AO562" s="37"/>
      <c r="AP562" s="37"/>
      <c r="AQ562" s="37"/>
      <c r="AR562" s="37"/>
      <c r="AS562" s="37"/>
      <c r="AT562" s="37"/>
      <c r="AU562" s="37"/>
      <c r="AV562" s="37"/>
      <c r="AW562" s="37"/>
      <c r="AX562" s="36"/>
    </row>
    <row r="563" spans="4:50" ht="15" thickBot="1" x14ac:dyDescent="0.4"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  <c r="AD563" s="37"/>
      <c r="AE563" s="37"/>
      <c r="AF563" s="37"/>
      <c r="AG563" s="37"/>
      <c r="AH563" s="37"/>
      <c r="AI563" s="37"/>
      <c r="AJ563" s="37"/>
      <c r="AK563" s="37"/>
      <c r="AL563" s="37"/>
      <c r="AM563" s="37"/>
      <c r="AN563" s="37"/>
      <c r="AO563" s="37"/>
      <c r="AP563" s="37"/>
      <c r="AQ563" s="37"/>
      <c r="AR563" s="37"/>
      <c r="AS563" s="37"/>
      <c r="AT563" s="37"/>
      <c r="AU563" s="37"/>
      <c r="AV563" s="37"/>
      <c r="AW563" s="37"/>
      <c r="AX563" s="36"/>
    </row>
    <row r="564" spans="4:50" ht="15" thickBot="1" x14ac:dyDescent="0.4"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  <c r="AD564" s="37"/>
      <c r="AE564" s="37"/>
      <c r="AF564" s="37"/>
      <c r="AG564" s="37"/>
      <c r="AH564" s="37"/>
      <c r="AI564" s="37"/>
      <c r="AJ564" s="37"/>
      <c r="AK564" s="37"/>
      <c r="AL564" s="37"/>
      <c r="AM564" s="37"/>
      <c r="AN564" s="37"/>
      <c r="AO564" s="37"/>
      <c r="AP564" s="37"/>
      <c r="AQ564" s="37"/>
      <c r="AR564" s="37"/>
      <c r="AS564" s="37"/>
      <c r="AT564" s="37"/>
      <c r="AU564" s="37"/>
      <c r="AV564" s="37"/>
      <c r="AW564" s="37"/>
      <c r="AX564" s="36"/>
    </row>
    <row r="565" spans="4:50" ht="15" thickBot="1" x14ac:dyDescent="0.4"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  <c r="AD565" s="37"/>
      <c r="AE565" s="37"/>
      <c r="AF565" s="37"/>
      <c r="AG565" s="37"/>
      <c r="AH565" s="37"/>
      <c r="AI565" s="37"/>
      <c r="AJ565" s="37"/>
      <c r="AK565" s="37"/>
      <c r="AL565" s="37"/>
      <c r="AM565" s="37"/>
      <c r="AN565" s="37"/>
      <c r="AO565" s="37"/>
      <c r="AP565" s="37"/>
      <c r="AQ565" s="37"/>
      <c r="AR565" s="37"/>
      <c r="AS565" s="37"/>
      <c r="AT565" s="37"/>
      <c r="AU565" s="37"/>
      <c r="AV565" s="37"/>
      <c r="AW565" s="37"/>
      <c r="AX565" s="36"/>
    </row>
    <row r="566" spans="4:50" ht="15" thickBot="1" x14ac:dyDescent="0.4"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  <c r="AD566" s="37"/>
      <c r="AE566" s="37"/>
      <c r="AF566" s="37"/>
      <c r="AG566" s="37"/>
      <c r="AH566" s="37"/>
      <c r="AI566" s="37"/>
      <c r="AJ566" s="37"/>
      <c r="AK566" s="37"/>
      <c r="AL566" s="37"/>
      <c r="AM566" s="37"/>
      <c r="AN566" s="37"/>
      <c r="AO566" s="37"/>
      <c r="AP566" s="37"/>
      <c r="AQ566" s="37"/>
      <c r="AR566" s="37"/>
      <c r="AS566" s="37"/>
      <c r="AT566" s="37"/>
      <c r="AU566" s="37"/>
      <c r="AV566" s="37"/>
      <c r="AW566" s="37"/>
      <c r="AX566" s="36"/>
    </row>
    <row r="567" spans="4:50" ht="15" thickBot="1" x14ac:dyDescent="0.4"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  <c r="AD567" s="37"/>
      <c r="AE567" s="37"/>
      <c r="AF567" s="37"/>
      <c r="AG567" s="37"/>
      <c r="AH567" s="37"/>
      <c r="AI567" s="37"/>
      <c r="AJ567" s="37"/>
      <c r="AK567" s="37"/>
      <c r="AL567" s="37"/>
      <c r="AM567" s="37"/>
      <c r="AN567" s="37"/>
      <c r="AO567" s="37"/>
      <c r="AP567" s="37"/>
      <c r="AQ567" s="37"/>
      <c r="AR567" s="37"/>
      <c r="AS567" s="37"/>
      <c r="AT567" s="37"/>
      <c r="AU567" s="37"/>
      <c r="AV567" s="37"/>
      <c r="AW567" s="37"/>
      <c r="AX567" s="36"/>
    </row>
    <row r="568" spans="4:50" ht="15" thickBot="1" x14ac:dyDescent="0.4"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  <c r="AD568" s="37"/>
      <c r="AE568" s="37"/>
      <c r="AF568" s="37"/>
      <c r="AG568" s="37"/>
      <c r="AH568" s="37"/>
      <c r="AI568" s="37"/>
      <c r="AJ568" s="37"/>
      <c r="AK568" s="37"/>
      <c r="AL568" s="37"/>
      <c r="AM568" s="37"/>
      <c r="AN568" s="37"/>
      <c r="AO568" s="37"/>
      <c r="AP568" s="37"/>
      <c r="AQ568" s="37"/>
      <c r="AR568" s="37"/>
      <c r="AS568" s="37"/>
      <c r="AT568" s="37"/>
      <c r="AU568" s="37"/>
      <c r="AV568" s="37"/>
      <c r="AW568" s="37"/>
      <c r="AX568" s="36"/>
    </row>
    <row r="569" spans="4:50" ht="15" thickBot="1" x14ac:dyDescent="0.4"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  <c r="AD569" s="37"/>
      <c r="AE569" s="37"/>
      <c r="AF569" s="37"/>
      <c r="AG569" s="37"/>
      <c r="AH569" s="37"/>
      <c r="AI569" s="37"/>
      <c r="AJ569" s="37"/>
      <c r="AK569" s="37"/>
      <c r="AL569" s="37"/>
      <c r="AM569" s="37"/>
      <c r="AN569" s="37"/>
      <c r="AO569" s="37"/>
      <c r="AP569" s="37"/>
      <c r="AQ569" s="37"/>
      <c r="AR569" s="37"/>
      <c r="AS569" s="37"/>
      <c r="AT569" s="37"/>
      <c r="AU569" s="37"/>
      <c r="AV569" s="37"/>
      <c r="AW569" s="37"/>
      <c r="AX569" s="36"/>
    </row>
    <row r="570" spans="4:50" ht="15" thickBot="1" x14ac:dyDescent="0.4"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  <c r="AD570" s="37"/>
      <c r="AE570" s="37"/>
      <c r="AF570" s="37"/>
      <c r="AG570" s="37"/>
      <c r="AH570" s="37"/>
      <c r="AI570" s="37"/>
      <c r="AJ570" s="37"/>
      <c r="AK570" s="37"/>
      <c r="AL570" s="37"/>
      <c r="AM570" s="37"/>
      <c r="AN570" s="37"/>
      <c r="AO570" s="37"/>
      <c r="AP570" s="37"/>
      <c r="AQ570" s="37"/>
      <c r="AR570" s="37"/>
      <c r="AS570" s="37"/>
      <c r="AT570" s="37"/>
      <c r="AU570" s="37"/>
      <c r="AV570" s="37"/>
      <c r="AW570" s="37"/>
      <c r="AX570" s="36"/>
    </row>
    <row r="571" spans="4:50" ht="15" thickBot="1" x14ac:dyDescent="0.4"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  <c r="AD571" s="37"/>
      <c r="AE571" s="37"/>
      <c r="AF571" s="37"/>
      <c r="AG571" s="37"/>
      <c r="AH571" s="37"/>
      <c r="AI571" s="37"/>
      <c r="AJ571" s="37"/>
      <c r="AK571" s="37"/>
      <c r="AL571" s="37"/>
      <c r="AM571" s="37"/>
      <c r="AN571" s="37"/>
      <c r="AO571" s="37"/>
      <c r="AP571" s="37"/>
      <c r="AQ571" s="37"/>
      <c r="AR571" s="37"/>
      <c r="AS571" s="37"/>
      <c r="AT571" s="37"/>
      <c r="AU571" s="37"/>
      <c r="AV571" s="37"/>
      <c r="AW571" s="37"/>
      <c r="AX571" s="36"/>
    </row>
    <row r="572" spans="4:50" ht="15" thickBot="1" x14ac:dyDescent="0.4"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  <c r="AD572" s="37"/>
      <c r="AE572" s="37"/>
      <c r="AF572" s="37"/>
      <c r="AG572" s="37"/>
      <c r="AH572" s="37"/>
      <c r="AI572" s="37"/>
      <c r="AJ572" s="37"/>
      <c r="AK572" s="37"/>
      <c r="AL572" s="37"/>
      <c r="AM572" s="37"/>
      <c r="AN572" s="37"/>
      <c r="AO572" s="37"/>
      <c r="AP572" s="37"/>
      <c r="AQ572" s="37"/>
      <c r="AR572" s="37"/>
      <c r="AS572" s="37"/>
      <c r="AT572" s="37"/>
      <c r="AU572" s="37"/>
      <c r="AV572" s="37"/>
      <c r="AW572" s="37"/>
      <c r="AX572" s="36"/>
    </row>
    <row r="573" spans="4:50" ht="15" thickBot="1" x14ac:dyDescent="0.4"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  <c r="AD573" s="37"/>
      <c r="AE573" s="37"/>
      <c r="AF573" s="37"/>
      <c r="AG573" s="37"/>
      <c r="AH573" s="37"/>
      <c r="AI573" s="37"/>
      <c r="AJ573" s="37"/>
      <c r="AK573" s="37"/>
      <c r="AL573" s="37"/>
      <c r="AM573" s="37"/>
      <c r="AN573" s="37"/>
      <c r="AO573" s="37"/>
      <c r="AP573" s="37"/>
      <c r="AQ573" s="37"/>
      <c r="AR573" s="37"/>
      <c r="AS573" s="37"/>
      <c r="AT573" s="37"/>
      <c r="AU573" s="37"/>
      <c r="AV573" s="37"/>
      <c r="AW573" s="37"/>
      <c r="AX573" s="36"/>
    </row>
    <row r="574" spans="4:50" ht="15" thickBot="1" x14ac:dyDescent="0.4"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  <c r="AD574" s="37"/>
      <c r="AE574" s="37"/>
      <c r="AF574" s="37"/>
      <c r="AG574" s="37"/>
      <c r="AH574" s="37"/>
      <c r="AI574" s="37"/>
      <c r="AJ574" s="37"/>
      <c r="AK574" s="37"/>
      <c r="AL574" s="37"/>
      <c r="AM574" s="37"/>
      <c r="AN574" s="37"/>
      <c r="AO574" s="37"/>
      <c r="AP574" s="37"/>
      <c r="AQ574" s="37"/>
      <c r="AR574" s="37"/>
      <c r="AS574" s="37"/>
      <c r="AT574" s="37"/>
      <c r="AU574" s="37"/>
      <c r="AV574" s="37"/>
      <c r="AW574" s="37"/>
      <c r="AX574" s="36"/>
    </row>
    <row r="575" spans="4:50" ht="15" thickBot="1" x14ac:dyDescent="0.4"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  <c r="AD575" s="37"/>
      <c r="AE575" s="37"/>
      <c r="AF575" s="37"/>
      <c r="AG575" s="37"/>
      <c r="AH575" s="37"/>
      <c r="AI575" s="37"/>
      <c r="AJ575" s="37"/>
      <c r="AK575" s="37"/>
      <c r="AL575" s="37"/>
      <c r="AM575" s="37"/>
      <c r="AN575" s="37"/>
      <c r="AO575" s="37"/>
      <c r="AP575" s="37"/>
      <c r="AQ575" s="37"/>
      <c r="AR575" s="37"/>
      <c r="AS575" s="37"/>
      <c r="AT575" s="37"/>
      <c r="AU575" s="37"/>
      <c r="AV575" s="37"/>
      <c r="AW575" s="37"/>
      <c r="AX575" s="36"/>
    </row>
    <row r="576" spans="4:50" ht="15" thickBot="1" x14ac:dyDescent="0.4"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  <c r="AD576" s="37"/>
      <c r="AE576" s="37"/>
      <c r="AF576" s="37"/>
      <c r="AG576" s="37"/>
      <c r="AH576" s="37"/>
      <c r="AI576" s="37"/>
      <c r="AJ576" s="37"/>
      <c r="AK576" s="37"/>
      <c r="AL576" s="37"/>
      <c r="AM576" s="37"/>
      <c r="AN576" s="37"/>
      <c r="AO576" s="37"/>
      <c r="AP576" s="37"/>
      <c r="AQ576" s="37"/>
      <c r="AR576" s="37"/>
      <c r="AS576" s="37"/>
      <c r="AT576" s="37"/>
      <c r="AU576" s="37"/>
      <c r="AV576" s="37"/>
      <c r="AW576" s="37"/>
      <c r="AX576" s="36"/>
    </row>
    <row r="577" spans="4:50" ht="15" thickBot="1" x14ac:dyDescent="0.4"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  <c r="AD577" s="37"/>
      <c r="AE577" s="37"/>
      <c r="AF577" s="37"/>
      <c r="AG577" s="37"/>
      <c r="AH577" s="37"/>
      <c r="AI577" s="37"/>
      <c r="AJ577" s="37"/>
      <c r="AK577" s="37"/>
      <c r="AL577" s="37"/>
      <c r="AM577" s="37"/>
      <c r="AN577" s="37"/>
      <c r="AO577" s="37"/>
      <c r="AP577" s="37"/>
      <c r="AQ577" s="37"/>
      <c r="AR577" s="37"/>
      <c r="AS577" s="37"/>
      <c r="AT577" s="37"/>
      <c r="AU577" s="37"/>
      <c r="AV577" s="37"/>
      <c r="AW577" s="37"/>
      <c r="AX577" s="36"/>
    </row>
    <row r="578" spans="4:50" ht="15" thickBot="1" x14ac:dyDescent="0.4"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  <c r="AD578" s="37"/>
      <c r="AE578" s="37"/>
      <c r="AF578" s="37"/>
      <c r="AG578" s="37"/>
      <c r="AH578" s="37"/>
      <c r="AI578" s="37"/>
      <c r="AJ578" s="37"/>
      <c r="AK578" s="37"/>
      <c r="AL578" s="37"/>
      <c r="AM578" s="37"/>
      <c r="AN578" s="37"/>
      <c r="AO578" s="37"/>
      <c r="AP578" s="37"/>
      <c r="AQ578" s="37"/>
      <c r="AR578" s="37"/>
      <c r="AS578" s="37"/>
      <c r="AT578" s="37"/>
      <c r="AU578" s="37"/>
      <c r="AV578" s="37"/>
      <c r="AW578" s="37"/>
      <c r="AX578" s="36"/>
    </row>
    <row r="579" spans="4:50" ht="15" thickBot="1" x14ac:dyDescent="0.4"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  <c r="AD579" s="37"/>
      <c r="AE579" s="37"/>
      <c r="AF579" s="37"/>
      <c r="AG579" s="37"/>
      <c r="AH579" s="37"/>
      <c r="AI579" s="37"/>
      <c r="AJ579" s="37"/>
      <c r="AK579" s="37"/>
      <c r="AL579" s="37"/>
      <c r="AM579" s="37"/>
      <c r="AN579" s="37"/>
      <c r="AO579" s="37"/>
      <c r="AP579" s="37"/>
      <c r="AQ579" s="37"/>
      <c r="AR579" s="37"/>
      <c r="AS579" s="37"/>
      <c r="AT579" s="37"/>
      <c r="AU579" s="37"/>
      <c r="AV579" s="37"/>
      <c r="AW579" s="37"/>
      <c r="AX579" s="36"/>
    </row>
    <row r="580" spans="4:50" ht="15" thickBot="1" x14ac:dyDescent="0.4"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  <c r="AD580" s="37"/>
      <c r="AE580" s="37"/>
      <c r="AF580" s="37"/>
      <c r="AG580" s="37"/>
      <c r="AH580" s="37"/>
      <c r="AI580" s="37"/>
      <c r="AJ580" s="37"/>
      <c r="AK580" s="37"/>
      <c r="AL580" s="37"/>
      <c r="AM580" s="37"/>
      <c r="AN580" s="37"/>
      <c r="AO580" s="37"/>
      <c r="AP580" s="37"/>
      <c r="AQ580" s="37"/>
      <c r="AR580" s="37"/>
      <c r="AS580" s="37"/>
      <c r="AT580" s="37"/>
      <c r="AU580" s="37"/>
      <c r="AV580" s="37"/>
      <c r="AW580" s="37"/>
      <c r="AX580" s="36"/>
    </row>
    <row r="581" spans="4:50" ht="15" thickBot="1" x14ac:dyDescent="0.4"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  <c r="AD581" s="37"/>
      <c r="AE581" s="37"/>
      <c r="AF581" s="37"/>
      <c r="AG581" s="37"/>
      <c r="AH581" s="37"/>
      <c r="AI581" s="37"/>
      <c r="AJ581" s="37"/>
      <c r="AK581" s="37"/>
      <c r="AL581" s="37"/>
      <c r="AM581" s="37"/>
      <c r="AN581" s="37"/>
      <c r="AO581" s="37"/>
      <c r="AP581" s="37"/>
      <c r="AQ581" s="37"/>
      <c r="AR581" s="37"/>
      <c r="AS581" s="37"/>
      <c r="AT581" s="37"/>
      <c r="AU581" s="37"/>
      <c r="AV581" s="37"/>
      <c r="AW581" s="37"/>
      <c r="AX581" s="36"/>
    </row>
    <row r="582" spans="4:50" ht="15" thickBot="1" x14ac:dyDescent="0.4"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  <c r="AD582" s="37"/>
      <c r="AE582" s="37"/>
      <c r="AF582" s="37"/>
      <c r="AG582" s="37"/>
      <c r="AH582" s="37"/>
      <c r="AI582" s="37"/>
      <c r="AJ582" s="37"/>
      <c r="AK582" s="37"/>
      <c r="AL582" s="37"/>
      <c r="AM582" s="37"/>
      <c r="AN582" s="37"/>
      <c r="AO582" s="37"/>
      <c r="AP582" s="37"/>
      <c r="AQ582" s="37"/>
      <c r="AR582" s="37"/>
      <c r="AS582" s="37"/>
      <c r="AT582" s="37"/>
      <c r="AU582" s="37"/>
      <c r="AV582" s="37"/>
      <c r="AW582" s="37"/>
      <c r="AX582" s="36"/>
    </row>
    <row r="583" spans="4:50" ht="15" thickBot="1" x14ac:dyDescent="0.4"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  <c r="AD583" s="37"/>
      <c r="AE583" s="37"/>
      <c r="AF583" s="37"/>
      <c r="AG583" s="37"/>
      <c r="AH583" s="37"/>
      <c r="AI583" s="37"/>
      <c r="AJ583" s="37"/>
      <c r="AK583" s="37"/>
      <c r="AL583" s="37"/>
      <c r="AM583" s="37"/>
      <c r="AN583" s="37"/>
      <c r="AO583" s="37"/>
      <c r="AP583" s="37"/>
      <c r="AQ583" s="37"/>
      <c r="AR583" s="37"/>
      <c r="AS583" s="37"/>
      <c r="AT583" s="37"/>
      <c r="AU583" s="37"/>
      <c r="AV583" s="37"/>
      <c r="AW583" s="37"/>
      <c r="AX583" s="36"/>
    </row>
    <row r="584" spans="4:50" ht="15" thickBot="1" x14ac:dyDescent="0.4"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  <c r="AD584" s="37"/>
      <c r="AE584" s="37"/>
      <c r="AF584" s="37"/>
      <c r="AG584" s="37"/>
      <c r="AH584" s="37"/>
      <c r="AI584" s="37"/>
      <c r="AJ584" s="37"/>
      <c r="AK584" s="37"/>
      <c r="AL584" s="37"/>
      <c r="AM584" s="37"/>
      <c r="AN584" s="37"/>
      <c r="AO584" s="37"/>
      <c r="AP584" s="37"/>
      <c r="AQ584" s="37"/>
      <c r="AR584" s="37"/>
      <c r="AS584" s="37"/>
      <c r="AT584" s="37"/>
      <c r="AU584" s="37"/>
      <c r="AV584" s="37"/>
      <c r="AW584" s="37"/>
      <c r="AX584" s="36"/>
    </row>
    <row r="585" spans="4:50" ht="15" thickBot="1" x14ac:dyDescent="0.4"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  <c r="AD585" s="37"/>
      <c r="AE585" s="37"/>
      <c r="AF585" s="37"/>
      <c r="AG585" s="37"/>
      <c r="AH585" s="37"/>
      <c r="AI585" s="37"/>
      <c r="AJ585" s="37"/>
      <c r="AK585" s="37"/>
      <c r="AL585" s="37"/>
      <c r="AM585" s="37"/>
      <c r="AN585" s="37"/>
      <c r="AO585" s="37"/>
      <c r="AP585" s="37"/>
      <c r="AQ585" s="37"/>
      <c r="AR585" s="37"/>
      <c r="AS585" s="37"/>
      <c r="AT585" s="37"/>
      <c r="AU585" s="37"/>
      <c r="AV585" s="37"/>
      <c r="AW585" s="37"/>
      <c r="AX585" s="36"/>
    </row>
    <row r="586" spans="4:50" ht="15" thickBot="1" x14ac:dyDescent="0.4"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  <c r="AD586" s="37"/>
      <c r="AE586" s="37"/>
      <c r="AF586" s="37"/>
      <c r="AG586" s="37"/>
      <c r="AH586" s="37"/>
      <c r="AI586" s="37"/>
      <c r="AJ586" s="37"/>
      <c r="AK586" s="37"/>
      <c r="AL586" s="37"/>
      <c r="AM586" s="37"/>
      <c r="AN586" s="37"/>
      <c r="AO586" s="37"/>
      <c r="AP586" s="37"/>
      <c r="AQ586" s="37"/>
      <c r="AR586" s="37"/>
      <c r="AS586" s="37"/>
      <c r="AT586" s="37"/>
      <c r="AU586" s="37"/>
      <c r="AV586" s="37"/>
      <c r="AW586" s="37"/>
      <c r="AX586" s="36"/>
    </row>
    <row r="587" spans="4:50" ht="15" thickBot="1" x14ac:dyDescent="0.4"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  <c r="AD587" s="37"/>
      <c r="AE587" s="37"/>
      <c r="AF587" s="37"/>
      <c r="AG587" s="37"/>
      <c r="AH587" s="37"/>
      <c r="AI587" s="37"/>
      <c r="AJ587" s="37"/>
      <c r="AK587" s="37"/>
      <c r="AL587" s="37"/>
      <c r="AM587" s="37"/>
      <c r="AN587" s="37"/>
      <c r="AO587" s="37"/>
      <c r="AP587" s="37"/>
      <c r="AQ587" s="37"/>
      <c r="AR587" s="37"/>
      <c r="AS587" s="37"/>
      <c r="AT587" s="37"/>
      <c r="AU587" s="37"/>
      <c r="AV587" s="37"/>
      <c r="AW587" s="37"/>
      <c r="AX587" s="36"/>
    </row>
    <row r="588" spans="4:50" ht="15" thickBot="1" x14ac:dyDescent="0.4"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  <c r="AD588" s="37"/>
      <c r="AE588" s="37"/>
      <c r="AF588" s="37"/>
      <c r="AG588" s="37"/>
      <c r="AH588" s="37"/>
      <c r="AI588" s="37"/>
      <c r="AJ588" s="37"/>
      <c r="AK588" s="37"/>
      <c r="AL588" s="37"/>
      <c r="AM588" s="37"/>
      <c r="AN588" s="37"/>
      <c r="AO588" s="37"/>
      <c r="AP588" s="37"/>
      <c r="AQ588" s="37"/>
      <c r="AR588" s="37"/>
      <c r="AS588" s="37"/>
      <c r="AT588" s="37"/>
      <c r="AU588" s="37"/>
      <c r="AV588" s="37"/>
      <c r="AW588" s="37"/>
      <c r="AX588" s="36"/>
    </row>
    <row r="589" spans="4:50" ht="15" thickBot="1" x14ac:dyDescent="0.4"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  <c r="AD589" s="37"/>
      <c r="AE589" s="37"/>
      <c r="AF589" s="37"/>
      <c r="AG589" s="37"/>
      <c r="AH589" s="37"/>
      <c r="AI589" s="37"/>
      <c r="AJ589" s="37"/>
      <c r="AK589" s="37"/>
      <c r="AL589" s="37"/>
      <c r="AM589" s="37"/>
      <c r="AN589" s="37"/>
      <c r="AO589" s="37"/>
      <c r="AP589" s="37"/>
      <c r="AQ589" s="37"/>
      <c r="AR589" s="37"/>
      <c r="AS589" s="37"/>
      <c r="AT589" s="37"/>
      <c r="AU589" s="37"/>
      <c r="AV589" s="37"/>
      <c r="AW589" s="37"/>
      <c r="AX589" s="36"/>
    </row>
    <row r="590" spans="4:50" ht="15" thickBot="1" x14ac:dyDescent="0.4"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  <c r="AD590" s="37"/>
      <c r="AE590" s="37"/>
      <c r="AF590" s="37"/>
      <c r="AG590" s="37"/>
      <c r="AH590" s="37"/>
      <c r="AI590" s="37"/>
      <c r="AJ590" s="37"/>
      <c r="AK590" s="37"/>
      <c r="AL590" s="37"/>
      <c r="AM590" s="37"/>
      <c r="AN590" s="37"/>
      <c r="AO590" s="37"/>
      <c r="AP590" s="37"/>
      <c r="AQ590" s="37"/>
      <c r="AR590" s="37"/>
      <c r="AS590" s="37"/>
      <c r="AT590" s="37"/>
      <c r="AU590" s="37"/>
      <c r="AV590" s="37"/>
      <c r="AW590" s="37"/>
      <c r="AX590" s="36"/>
    </row>
    <row r="591" spans="4:50" ht="15" thickBot="1" x14ac:dyDescent="0.4"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  <c r="AD591" s="37"/>
      <c r="AE591" s="37"/>
      <c r="AF591" s="37"/>
      <c r="AG591" s="37"/>
      <c r="AH591" s="37"/>
      <c r="AI591" s="37"/>
      <c r="AJ591" s="37"/>
      <c r="AK591" s="37"/>
      <c r="AL591" s="37"/>
      <c r="AM591" s="37"/>
      <c r="AN591" s="37"/>
      <c r="AO591" s="37"/>
      <c r="AP591" s="37"/>
      <c r="AQ591" s="37"/>
      <c r="AR591" s="37"/>
      <c r="AS591" s="37"/>
      <c r="AT591" s="37"/>
      <c r="AU591" s="37"/>
      <c r="AV591" s="37"/>
      <c r="AW591" s="37"/>
      <c r="AX591" s="36"/>
    </row>
    <row r="592" spans="4:50" ht="15" thickBot="1" x14ac:dyDescent="0.4"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  <c r="AD592" s="37"/>
      <c r="AE592" s="37"/>
      <c r="AF592" s="37"/>
      <c r="AG592" s="37"/>
      <c r="AH592" s="37"/>
      <c r="AI592" s="37"/>
      <c r="AJ592" s="37"/>
      <c r="AK592" s="37"/>
      <c r="AL592" s="37"/>
      <c r="AM592" s="37"/>
      <c r="AN592" s="37"/>
      <c r="AO592" s="37"/>
      <c r="AP592" s="37"/>
      <c r="AQ592" s="37"/>
      <c r="AR592" s="37"/>
      <c r="AS592" s="37"/>
      <c r="AT592" s="37"/>
      <c r="AU592" s="37"/>
      <c r="AV592" s="37"/>
      <c r="AW592" s="37"/>
      <c r="AX592" s="36"/>
    </row>
    <row r="593" spans="4:50" ht="15" thickBot="1" x14ac:dyDescent="0.4"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  <c r="AD593" s="37"/>
      <c r="AE593" s="37"/>
      <c r="AF593" s="37"/>
      <c r="AG593" s="37"/>
      <c r="AH593" s="37"/>
      <c r="AI593" s="37"/>
      <c r="AJ593" s="37"/>
      <c r="AK593" s="37"/>
      <c r="AL593" s="37"/>
      <c r="AM593" s="37"/>
      <c r="AN593" s="37"/>
      <c r="AO593" s="37"/>
      <c r="AP593" s="37"/>
      <c r="AQ593" s="37"/>
      <c r="AR593" s="37"/>
      <c r="AS593" s="37"/>
      <c r="AT593" s="37"/>
      <c r="AU593" s="37"/>
      <c r="AV593" s="37"/>
      <c r="AW593" s="37"/>
      <c r="AX593" s="36"/>
    </row>
    <row r="594" spans="4:50" ht="15" thickBot="1" x14ac:dyDescent="0.4"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7"/>
      <c r="AN594" s="37"/>
      <c r="AO594" s="37"/>
      <c r="AP594" s="37"/>
      <c r="AQ594" s="37"/>
      <c r="AR594" s="37"/>
      <c r="AS594" s="37"/>
      <c r="AT594" s="37"/>
      <c r="AU594" s="37"/>
      <c r="AV594" s="37"/>
      <c r="AW594" s="37"/>
      <c r="AX594" s="36"/>
    </row>
    <row r="595" spans="4:50" ht="15" thickBot="1" x14ac:dyDescent="0.4"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  <c r="AD595" s="37"/>
      <c r="AE595" s="37"/>
      <c r="AF595" s="37"/>
      <c r="AG595" s="37"/>
      <c r="AH595" s="37"/>
      <c r="AI595" s="37"/>
      <c r="AJ595" s="37"/>
      <c r="AK595" s="37"/>
      <c r="AL595" s="37"/>
      <c r="AM595" s="37"/>
      <c r="AN595" s="37"/>
      <c r="AO595" s="37"/>
      <c r="AP595" s="37"/>
      <c r="AQ595" s="37"/>
      <c r="AR595" s="37"/>
      <c r="AS595" s="37"/>
      <c r="AT595" s="37"/>
      <c r="AU595" s="37"/>
      <c r="AV595" s="37"/>
      <c r="AW595" s="37"/>
      <c r="AX595" s="36"/>
    </row>
    <row r="596" spans="4:50" ht="15" thickBot="1" x14ac:dyDescent="0.4"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  <c r="AD596" s="37"/>
      <c r="AE596" s="37"/>
      <c r="AF596" s="37"/>
      <c r="AG596" s="37"/>
      <c r="AH596" s="37"/>
      <c r="AI596" s="37"/>
      <c r="AJ596" s="37"/>
      <c r="AK596" s="37"/>
      <c r="AL596" s="37"/>
      <c r="AM596" s="37"/>
      <c r="AN596" s="37"/>
      <c r="AO596" s="37"/>
      <c r="AP596" s="37"/>
      <c r="AQ596" s="37"/>
      <c r="AR596" s="37"/>
      <c r="AS596" s="37"/>
      <c r="AT596" s="37"/>
      <c r="AU596" s="37"/>
      <c r="AV596" s="37"/>
      <c r="AW596" s="37"/>
      <c r="AX596" s="36"/>
    </row>
    <row r="597" spans="4:50" ht="15" thickBot="1" x14ac:dyDescent="0.4"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  <c r="AE597" s="37"/>
      <c r="AF597" s="37"/>
      <c r="AG597" s="37"/>
      <c r="AH597" s="37"/>
      <c r="AI597" s="37"/>
      <c r="AJ597" s="37"/>
      <c r="AK597" s="37"/>
      <c r="AL597" s="37"/>
      <c r="AM597" s="37"/>
      <c r="AN597" s="37"/>
      <c r="AO597" s="37"/>
      <c r="AP597" s="37"/>
      <c r="AQ597" s="37"/>
      <c r="AR597" s="37"/>
      <c r="AS597" s="37"/>
      <c r="AT597" s="37"/>
      <c r="AU597" s="37"/>
      <c r="AV597" s="37"/>
      <c r="AW597" s="37"/>
      <c r="AX597" s="36"/>
    </row>
    <row r="598" spans="4:50" ht="15" thickBot="1" x14ac:dyDescent="0.4"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  <c r="AD598" s="37"/>
      <c r="AE598" s="37"/>
      <c r="AF598" s="37"/>
      <c r="AG598" s="37"/>
      <c r="AH598" s="37"/>
      <c r="AI598" s="37"/>
      <c r="AJ598" s="37"/>
      <c r="AK598" s="37"/>
      <c r="AL598" s="37"/>
      <c r="AM598" s="37"/>
      <c r="AN598" s="37"/>
      <c r="AO598" s="37"/>
      <c r="AP598" s="37"/>
      <c r="AQ598" s="37"/>
      <c r="AR598" s="37"/>
      <c r="AS598" s="37"/>
      <c r="AT598" s="37"/>
      <c r="AU598" s="37"/>
      <c r="AV598" s="37"/>
      <c r="AW598" s="37"/>
      <c r="AX598" s="36"/>
    </row>
    <row r="599" spans="4:50" ht="15" thickBot="1" x14ac:dyDescent="0.4"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  <c r="AD599" s="37"/>
      <c r="AE599" s="37"/>
      <c r="AF599" s="37"/>
      <c r="AG599" s="37"/>
      <c r="AH599" s="37"/>
      <c r="AI599" s="37"/>
      <c r="AJ599" s="37"/>
      <c r="AK599" s="37"/>
      <c r="AL599" s="37"/>
      <c r="AM599" s="37"/>
      <c r="AN599" s="37"/>
      <c r="AO599" s="37"/>
      <c r="AP599" s="37"/>
      <c r="AQ599" s="37"/>
      <c r="AR599" s="37"/>
      <c r="AS599" s="37"/>
      <c r="AT599" s="37"/>
      <c r="AU599" s="37"/>
      <c r="AV599" s="37"/>
      <c r="AW599" s="37"/>
      <c r="AX599" s="36"/>
    </row>
    <row r="600" spans="4:50" ht="15" thickBot="1" x14ac:dyDescent="0.4"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  <c r="AE600" s="37"/>
      <c r="AF600" s="37"/>
      <c r="AG600" s="37"/>
      <c r="AH600" s="37"/>
      <c r="AI600" s="37"/>
      <c r="AJ600" s="37"/>
      <c r="AK600" s="37"/>
      <c r="AL600" s="37"/>
      <c r="AM600" s="37"/>
      <c r="AN600" s="37"/>
      <c r="AO600" s="37"/>
      <c r="AP600" s="37"/>
      <c r="AQ600" s="37"/>
      <c r="AR600" s="37"/>
      <c r="AS600" s="37"/>
      <c r="AT600" s="37"/>
      <c r="AU600" s="37"/>
      <c r="AV600" s="37"/>
      <c r="AW600" s="37"/>
      <c r="AX600" s="36"/>
    </row>
    <row r="601" spans="4:50" ht="15" thickBot="1" x14ac:dyDescent="0.4"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  <c r="AD601" s="37"/>
      <c r="AE601" s="37"/>
      <c r="AF601" s="37"/>
      <c r="AG601" s="37"/>
      <c r="AH601" s="37"/>
      <c r="AI601" s="37"/>
      <c r="AJ601" s="37"/>
      <c r="AK601" s="37"/>
      <c r="AL601" s="37"/>
      <c r="AM601" s="37"/>
      <c r="AN601" s="37"/>
      <c r="AO601" s="37"/>
      <c r="AP601" s="37"/>
      <c r="AQ601" s="37"/>
      <c r="AR601" s="37"/>
      <c r="AS601" s="37"/>
      <c r="AT601" s="37"/>
      <c r="AU601" s="37"/>
      <c r="AV601" s="37"/>
      <c r="AW601" s="37"/>
      <c r="AX601" s="36"/>
    </row>
    <row r="602" spans="4:50" ht="15" thickBot="1" x14ac:dyDescent="0.4"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  <c r="AD602" s="37"/>
      <c r="AE602" s="37"/>
      <c r="AF602" s="37"/>
      <c r="AG602" s="37"/>
      <c r="AH602" s="37"/>
      <c r="AI602" s="37"/>
      <c r="AJ602" s="37"/>
      <c r="AK602" s="37"/>
      <c r="AL602" s="37"/>
      <c r="AM602" s="37"/>
      <c r="AN602" s="37"/>
      <c r="AO602" s="37"/>
      <c r="AP602" s="37"/>
      <c r="AQ602" s="37"/>
      <c r="AR602" s="37"/>
      <c r="AS602" s="37"/>
      <c r="AT602" s="37"/>
      <c r="AU602" s="37"/>
      <c r="AV602" s="37"/>
      <c r="AW602" s="37"/>
      <c r="AX602" s="36"/>
    </row>
    <row r="603" spans="4:50" ht="15" thickBot="1" x14ac:dyDescent="0.4"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  <c r="AD603" s="37"/>
      <c r="AE603" s="37"/>
      <c r="AF603" s="37"/>
      <c r="AG603" s="37"/>
      <c r="AH603" s="37"/>
      <c r="AI603" s="37"/>
      <c r="AJ603" s="37"/>
      <c r="AK603" s="37"/>
      <c r="AL603" s="37"/>
      <c r="AM603" s="37"/>
      <c r="AN603" s="37"/>
      <c r="AO603" s="37"/>
      <c r="AP603" s="37"/>
      <c r="AQ603" s="37"/>
      <c r="AR603" s="37"/>
      <c r="AS603" s="37"/>
      <c r="AT603" s="37"/>
      <c r="AU603" s="37"/>
      <c r="AV603" s="37"/>
      <c r="AW603" s="37"/>
      <c r="AX603" s="36"/>
    </row>
    <row r="604" spans="4:50" ht="15" thickBot="1" x14ac:dyDescent="0.4"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  <c r="AD604" s="37"/>
      <c r="AE604" s="37"/>
      <c r="AF604" s="37"/>
      <c r="AG604" s="37"/>
      <c r="AH604" s="37"/>
      <c r="AI604" s="37"/>
      <c r="AJ604" s="37"/>
      <c r="AK604" s="37"/>
      <c r="AL604" s="37"/>
      <c r="AM604" s="37"/>
      <c r="AN604" s="37"/>
      <c r="AO604" s="37"/>
      <c r="AP604" s="37"/>
      <c r="AQ604" s="37"/>
      <c r="AR604" s="37"/>
      <c r="AS604" s="37"/>
      <c r="AT604" s="37"/>
      <c r="AU604" s="37"/>
      <c r="AV604" s="37"/>
      <c r="AW604" s="37"/>
      <c r="AX604" s="36"/>
    </row>
    <row r="605" spans="4:50" ht="15" thickBot="1" x14ac:dyDescent="0.4"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  <c r="AD605" s="37"/>
      <c r="AE605" s="37"/>
      <c r="AF605" s="37"/>
      <c r="AG605" s="37"/>
      <c r="AH605" s="37"/>
      <c r="AI605" s="37"/>
      <c r="AJ605" s="37"/>
      <c r="AK605" s="37"/>
      <c r="AL605" s="37"/>
      <c r="AM605" s="37"/>
      <c r="AN605" s="37"/>
      <c r="AO605" s="37"/>
      <c r="AP605" s="37"/>
      <c r="AQ605" s="37"/>
      <c r="AR605" s="37"/>
      <c r="AS605" s="37"/>
      <c r="AT605" s="37"/>
      <c r="AU605" s="37"/>
      <c r="AV605" s="37"/>
      <c r="AW605" s="37"/>
      <c r="AX605" s="36"/>
    </row>
    <row r="606" spans="4:50" ht="15" thickBot="1" x14ac:dyDescent="0.4"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  <c r="AD606" s="37"/>
      <c r="AE606" s="37"/>
      <c r="AF606" s="37"/>
      <c r="AG606" s="37"/>
      <c r="AH606" s="37"/>
      <c r="AI606" s="37"/>
      <c r="AJ606" s="37"/>
      <c r="AK606" s="37"/>
      <c r="AL606" s="37"/>
      <c r="AM606" s="37"/>
      <c r="AN606" s="37"/>
      <c r="AO606" s="37"/>
      <c r="AP606" s="37"/>
      <c r="AQ606" s="37"/>
      <c r="AR606" s="37"/>
      <c r="AS606" s="37"/>
      <c r="AT606" s="37"/>
      <c r="AU606" s="37"/>
      <c r="AV606" s="37"/>
      <c r="AW606" s="37"/>
      <c r="AX606" s="36"/>
    </row>
    <row r="607" spans="4:50" ht="15" thickBot="1" x14ac:dyDescent="0.4"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  <c r="AD607" s="37"/>
      <c r="AE607" s="37"/>
      <c r="AF607" s="37"/>
      <c r="AG607" s="37"/>
      <c r="AH607" s="37"/>
      <c r="AI607" s="37"/>
      <c r="AJ607" s="37"/>
      <c r="AK607" s="37"/>
      <c r="AL607" s="37"/>
      <c r="AM607" s="37"/>
      <c r="AN607" s="37"/>
      <c r="AO607" s="37"/>
      <c r="AP607" s="37"/>
      <c r="AQ607" s="37"/>
      <c r="AR607" s="37"/>
      <c r="AS607" s="37"/>
      <c r="AT607" s="37"/>
      <c r="AU607" s="37"/>
      <c r="AV607" s="37"/>
      <c r="AW607" s="37"/>
      <c r="AX607" s="36"/>
    </row>
    <row r="608" spans="4:50" ht="15" thickBot="1" x14ac:dyDescent="0.4"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  <c r="AD608" s="37"/>
      <c r="AE608" s="37"/>
      <c r="AF608" s="37"/>
      <c r="AG608" s="37"/>
      <c r="AH608" s="37"/>
      <c r="AI608" s="37"/>
      <c r="AJ608" s="37"/>
      <c r="AK608" s="37"/>
      <c r="AL608" s="37"/>
      <c r="AM608" s="37"/>
      <c r="AN608" s="37"/>
      <c r="AO608" s="37"/>
      <c r="AP608" s="37"/>
      <c r="AQ608" s="37"/>
      <c r="AR608" s="37"/>
      <c r="AS608" s="37"/>
      <c r="AT608" s="37"/>
      <c r="AU608" s="37"/>
      <c r="AV608" s="37"/>
      <c r="AW608" s="37"/>
      <c r="AX608" s="36"/>
    </row>
    <row r="609" spans="4:50" ht="15" thickBot="1" x14ac:dyDescent="0.4"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  <c r="AD609" s="37"/>
      <c r="AE609" s="37"/>
      <c r="AF609" s="37"/>
      <c r="AG609" s="37"/>
      <c r="AH609" s="37"/>
      <c r="AI609" s="37"/>
      <c r="AJ609" s="37"/>
      <c r="AK609" s="37"/>
      <c r="AL609" s="37"/>
      <c r="AM609" s="37"/>
      <c r="AN609" s="37"/>
      <c r="AO609" s="37"/>
      <c r="AP609" s="37"/>
      <c r="AQ609" s="37"/>
      <c r="AR609" s="37"/>
      <c r="AS609" s="37"/>
      <c r="AT609" s="37"/>
      <c r="AU609" s="37"/>
      <c r="AV609" s="37"/>
      <c r="AW609" s="37"/>
      <c r="AX609" s="36"/>
    </row>
    <row r="610" spans="4:50" ht="15" thickBot="1" x14ac:dyDescent="0.4"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  <c r="AD610" s="37"/>
      <c r="AE610" s="37"/>
      <c r="AF610" s="37"/>
      <c r="AG610" s="37"/>
      <c r="AH610" s="37"/>
      <c r="AI610" s="37"/>
      <c r="AJ610" s="37"/>
      <c r="AK610" s="37"/>
      <c r="AL610" s="37"/>
      <c r="AM610" s="37"/>
      <c r="AN610" s="37"/>
      <c r="AO610" s="37"/>
      <c r="AP610" s="37"/>
      <c r="AQ610" s="37"/>
      <c r="AR610" s="37"/>
      <c r="AS610" s="37"/>
      <c r="AT610" s="37"/>
      <c r="AU610" s="37"/>
      <c r="AV610" s="37"/>
      <c r="AW610" s="37"/>
      <c r="AX610" s="36"/>
    </row>
    <row r="611" spans="4:50" ht="15" thickBot="1" x14ac:dyDescent="0.4"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  <c r="AD611" s="37"/>
      <c r="AE611" s="37"/>
      <c r="AF611" s="37"/>
      <c r="AG611" s="37"/>
      <c r="AH611" s="37"/>
      <c r="AI611" s="37"/>
      <c r="AJ611" s="37"/>
      <c r="AK611" s="37"/>
      <c r="AL611" s="37"/>
      <c r="AM611" s="37"/>
      <c r="AN611" s="37"/>
      <c r="AO611" s="37"/>
      <c r="AP611" s="37"/>
      <c r="AQ611" s="37"/>
      <c r="AR611" s="37"/>
      <c r="AS611" s="37"/>
      <c r="AT611" s="37"/>
      <c r="AU611" s="37"/>
      <c r="AV611" s="37"/>
      <c r="AW611" s="37"/>
      <c r="AX611" s="36"/>
    </row>
    <row r="612" spans="4:50" ht="15" thickBot="1" x14ac:dyDescent="0.4"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  <c r="AD612" s="37"/>
      <c r="AE612" s="37"/>
      <c r="AF612" s="37"/>
      <c r="AG612" s="37"/>
      <c r="AH612" s="37"/>
      <c r="AI612" s="37"/>
      <c r="AJ612" s="37"/>
      <c r="AK612" s="37"/>
      <c r="AL612" s="37"/>
      <c r="AM612" s="37"/>
      <c r="AN612" s="37"/>
      <c r="AO612" s="37"/>
      <c r="AP612" s="37"/>
      <c r="AQ612" s="37"/>
      <c r="AR612" s="37"/>
      <c r="AS612" s="37"/>
      <c r="AT612" s="37"/>
      <c r="AU612" s="37"/>
      <c r="AV612" s="37"/>
      <c r="AW612" s="37"/>
      <c r="AX612" s="36"/>
    </row>
    <row r="613" spans="4:50" ht="15" thickBot="1" x14ac:dyDescent="0.4"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  <c r="AD613" s="37"/>
      <c r="AE613" s="37"/>
      <c r="AF613" s="37"/>
      <c r="AG613" s="37"/>
      <c r="AH613" s="37"/>
      <c r="AI613" s="37"/>
      <c r="AJ613" s="37"/>
      <c r="AK613" s="37"/>
      <c r="AL613" s="37"/>
      <c r="AM613" s="37"/>
      <c r="AN613" s="37"/>
      <c r="AO613" s="37"/>
      <c r="AP613" s="37"/>
      <c r="AQ613" s="37"/>
      <c r="AR613" s="37"/>
      <c r="AS613" s="37"/>
      <c r="AT613" s="37"/>
      <c r="AU613" s="37"/>
      <c r="AV613" s="37"/>
      <c r="AW613" s="37"/>
      <c r="AX613" s="36"/>
    </row>
    <row r="614" spans="4:50" ht="15" thickBot="1" x14ac:dyDescent="0.4"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  <c r="AD614" s="37"/>
      <c r="AE614" s="37"/>
      <c r="AF614" s="37"/>
      <c r="AG614" s="37"/>
      <c r="AH614" s="37"/>
      <c r="AI614" s="37"/>
      <c r="AJ614" s="37"/>
      <c r="AK614" s="37"/>
      <c r="AL614" s="37"/>
      <c r="AM614" s="37"/>
      <c r="AN614" s="37"/>
      <c r="AO614" s="37"/>
      <c r="AP614" s="37"/>
      <c r="AQ614" s="37"/>
      <c r="AR614" s="37"/>
      <c r="AS614" s="37"/>
      <c r="AT614" s="37"/>
      <c r="AU614" s="37"/>
      <c r="AV614" s="37"/>
      <c r="AW614" s="37"/>
      <c r="AX614" s="36"/>
    </row>
    <row r="615" spans="4:50" ht="15" thickBot="1" x14ac:dyDescent="0.4"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  <c r="AD615" s="37"/>
      <c r="AE615" s="37"/>
      <c r="AF615" s="37"/>
      <c r="AG615" s="37"/>
      <c r="AH615" s="37"/>
      <c r="AI615" s="37"/>
      <c r="AJ615" s="37"/>
      <c r="AK615" s="37"/>
      <c r="AL615" s="37"/>
      <c r="AM615" s="37"/>
      <c r="AN615" s="37"/>
      <c r="AO615" s="37"/>
      <c r="AP615" s="37"/>
      <c r="AQ615" s="37"/>
      <c r="AR615" s="37"/>
      <c r="AS615" s="37"/>
      <c r="AT615" s="37"/>
      <c r="AU615" s="37"/>
      <c r="AV615" s="37"/>
      <c r="AW615" s="37"/>
      <c r="AX615" s="36"/>
    </row>
    <row r="616" spans="4:50" ht="15" thickBot="1" x14ac:dyDescent="0.4"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  <c r="AD616" s="37"/>
      <c r="AE616" s="37"/>
      <c r="AF616" s="37"/>
      <c r="AG616" s="37"/>
      <c r="AH616" s="37"/>
      <c r="AI616" s="37"/>
      <c r="AJ616" s="37"/>
      <c r="AK616" s="37"/>
      <c r="AL616" s="37"/>
      <c r="AM616" s="37"/>
      <c r="AN616" s="37"/>
      <c r="AO616" s="37"/>
      <c r="AP616" s="37"/>
      <c r="AQ616" s="37"/>
      <c r="AR616" s="37"/>
      <c r="AS616" s="37"/>
      <c r="AT616" s="37"/>
      <c r="AU616" s="37"/>
      <c r="AV616" s="37"/>
      <c r="AW616" s="37"/>
      <c r="AX616" s="36"/>
    </row>
    <row r="617" spans="4:50" ht="15" thickBot="1" x14ac:dyDescent="0.4"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  <c r="AD617" s="37"/>
      <c r="AE617" s="37"/>
      <c r="AF617" s="37"/>
      <c r="AG617" s="37"/>
      <c r="AH617" s="37"/>
      <c r="AI617" s="37"/>
      <c r="AJ617" s="37"/>
      <c r="AK617" s="37"/>
      <c r="AL617" s="37"/>
      <c r="AM617" s="37"/>
      <c r="AN617" s="37"/>
      <c r="AO617" s="37"/>
      <c r="AP617" s="37"/>
      <c r="AQ617" s="37"/>
      <c r="AR617" s="37"/>
      <c r="AS617" s="37"/>
      <c r="AT617" s="37"/>
      <c r="AU617" s="37"/>
      <c r="AV617" s="37"/>
      <c r="AW617" s="37"/>
      <c r="AX617" s="36"/>
    </row>
    <row r="618" spans="4:50" ht="15" thickBot="1" x14ac:dyDescent="0.4"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  <c r="AD618" s="37"/>
      <c r="AE618" s="37"/>
      <c r="AF618" s="37"/>
      <c r="AG618" s="37"/>
      <c r="AH618" s="37"/>
      <c r="AI618" s="37"/>
      <c r="AJ618" s="37"/>
      <c r="AK618" s="37"/>
      <c r="AL618" s="37"/>
      <c r="AM618" s="37"/>
      <c r="AN618" s="37"/>
      <c r="AO618" s="37"/>
      <c r="AP618" s="37"/>
      <c r="AQ618" s="37"/>
      <c r="AR618" s="37"/>
      <c r="AS618" s="37"/>
      <c r="AT618" s="37"/>
      <c r="AU618" s="37"/>
      <c r="AV618" s="37"/>
      <c r="AW618" s="37"/>
      <c r="AX618" s="36"/>
    </row>
    <row r="619" spans="4:50" ht="15" thickBot="1" x14ac:dyDescent="0.4"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  <c r="AD619" s="37"/>
      <c r="AE619" s="37"/>
      <c r="AF619" s="37"/>
      <c r="AG619" s="37"/>
      <c r="AH619" s="37"/>
      <c r="AI619" s="37"/>
      <c r="AJ619" s="37"/>
      <c r="AK619" s="37"/>
      <c r="AL619" s="37"/>
      <c r="AM619" s="37"/>
      <c r="AN619" s="37"/>
      <c r="AO619" s="37"/>
      <c r="AP619" s="37"/>
      <c r="AQ619" s="37"/>
      <c r="AR619" s="37"/>
      <c r="AS619" s="37"/>
      <c r="AT619" s="37"/>
      <c r="AU619" s="37"/>
      <c r="AV619" s="37"/>
      <c r="AW619" s="37"/>
      <c r="AX619" s="36"/>
    </row>
    <row r="620" spans="4:50" ht="15" thickBot="1" x14ac:dyDescent="0.4"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  <c r="AD620" s="37"/>
      <c r="AE620" s="37"/>
      <c r="AF620" s="37"/>
      <c r="AG620" s="37"/>
      <c r="AH620" s="37"/>
      <c r="AI620" s="37"/>
      <c r="AJ620" s="37"/>
      <c r="AK620" s="37"/>
      <c r="AL620" s="37"/>
      <c r="AM620" s="37"/>
      <c r="AN620" s="37"/>
      <c r="AO620" s="37"/>
      <c r="AP620" s="37"/>
      <c r="AQ620" s="37"/>
      <c r="AR620" s="37"/>
      <c r="AS620" s="37"/>
      <c r="AT620" s="37"/>
      <c r="AU620" s="37"/>
      <c r="AV620" s="37"/>
      <c r="AW620" s="37"/>
      <c r="AX620" s="36"/>
    </row>
    <row r="621" spans="4:50" ht="15" thickBot="1" x14ac:dyDescent="0.4"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  <c r="AD621" s="37"/>
      <c r="AE621" s="37"/>
      <c r="AF621" s="37"/>
      <c r="AG621" s="37"/>
      <c r="AH621" s="37"/>
      <c r="AI621" s="37"/>
      <c r="AJ621" s="37"/>
      <c r="AK621" s="37"/>
      <c r="AL621" s="37"/>
      <c r="AM621" s="37"/>
      <c r="AN621" s="37"/>
      <c r="AO621" s="37"/>
      <c r="AP621" s="37"/>
      <c r="AQ621" s="37"/>
      <c r="AR621" s="37"/>
      <c r="AS621" s="37"/>
      <c r="AT621" s="37"/>
      <c r="AU621" s="37"/>
      <c r="AV621" s="37"/>
      <c r="AW621" s="37"/>
      <c r="AX621" s="36"/>
    </row>
    <row r="622" spans="4:50" ht="15" thickBot="1" x14ac:dyDescent="0.4"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  <c r="AD622" s="37"/>
      <c r="AE622" s="37"/>
      <c r="AF622" s="37"/>
      <c r="AG622" s="37"/>
      <c r="AH622" s="37"/>
      <c r="AI622" s="37"/>
      <c r="AJ622" s="37"/>
      <c r="AK622" s="37"/>
      <c r="AL622" s="37"/>
      <c r="AM622" s="37"/>
      <c r="AN622" s="37"/>
      <c r="AO622" s="37"/>
      <c r="AP622" s="37"/>
      <c r="AQ622" s="37"/>
      <c r="AR622" s="37"/>
      <c r="AS622" s="37"/>
      <c r="AT622" s="37"/>
      <c r="AU622" s="37"/>
      <c r="AV622" s="37"/>
      <c r="AW622" s="37"/>
      <c r="AX622" s="36"/>
    </row>
    <row r="623" spans="4:50" ht="15" thickBot="1" x14ac:dyDescent="0.4"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  <c r="AD623" s="37"/>
      <c r="AE623" s="37"/>
      <c r="AF623" s="37"/>
      <c r="AG623" s="37"/>
      <c r="AH623" s="37"/>
      <c r="AI623" s="37"/>
      <c r="AJ623" s="37"/>
      <c r="AK623" s="37"/>
      <c r="AL623" s="37"/>
      <c r="AM623" s="37"/>
      <c r="AN623" s="37"/>
      <c r="AO623" s="37"/>
      <c r="AP623" s="37"/>
      <c r="AQ623" s="37"/>
      <c r="AR623" s="37"/>
      <c r="AS623" s="37"/>
      <c r="AT623" s="37"/>
      <c r="AU623" s="37"/>
      <c r="AV623" s="37"/>
      <c r="AW623" s="37"/>
      <c r="AX623" s="36"/>
    </row>
    <row r="624" spans="4:50" ht="15" thickBot="1" x14ac:dyDescent="0.4"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  <c r="AD624" s="37"/>
      <c r="AE624" s="37"/>
      <c r="AF624" s="37"/>
      <c r="AG624" s="37"/>
      <c r="AH624" s="37"/>
      <c r="AI624" s="37"/>
      <c r="AJ624" s="37"/>
      <c r="AK624" s="37"/>
      <c r="AL624" s="37"/>
      <c r="AM624" s="37"/>
      <c r="AN624" s="37"/>
      <c r="AO624" s="37"/>
      <c r="AP624" s="37"/>
      <c r="AQ624" s="37"/>
      <c r="AR624" s="37"/>
      <c r="AS624" s="37"/>
      <c r="AT624" s="37"/>
      <c r="AU624" s="37"/>
      <c r="AV624" s="37"/>
      <c r="AW624" s="37"/>
      <c r="AX624" s="36"/>
    </row>
    <row r="625" spans="4:50" ht="15" thickBot="1" x14ac:dyDescent="0.4"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  <c r="AD625" s="37"/>
      <c r="AE625" s="37"/>
      <c r="AF625" s="37"/>
      <c r="AG625" s="37"/>
      <c r="AH625" s="37"/>
      <c r="AI625" s="37"/>
      <c r="AJ625" s="37"/>
      <c r="AK625" s="37"/>
      <c r="AL625" s="37"/>
      <c r="AM625" s="37"/>
      <c r="AN625" s="37"/>
      <c r="AO625" s="37"/>
      <c r="AP625" s="37"/>
      <c r="AQ625" s="37"/>
      <c r="AR625" s="37"/>
      <c r="AS625" s="37"/>
      <c r="AT625" s="37"/>
      <c r="AU625" s="37"/>
      <c r="AV625" s="37"/>
      <c r="AW625" s="37"/>
      <c r="AX625" s="36"/>
    </row>
    <row r="626" spans="4:50" ht="15" thickBot="1" x14ac:dyDescent="0.4"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  <c r="AD626" s="37"/>
      <c r="AE626" s="37"/>
      <c r="AF626" s="37"/>
      <c r="AG626" s="37"/>
      <c r="AH626" s="37"/>
      <c r="AI626" s="37"/>
      <c r="AJ626" s="37"/>
      <c r="AK626" s="37"/>
      <c r="AL626" s="37"/>
      <c r="AM626" s="37"/>
      <c r="AN626" s="37"/>
      <c r="AO626" s="37"/>
      <c r="AP626" s="37"/>
      <c r="AQ626" s="37"/>
      <c r="AR626" s="37"/>
      <c r="AS626" s="37"/>
      <c r="AT626" s="37"/>
      <c r="AU626" s="37"/>
      <c r="AV626" s="37"/>
      <c r="AW626" s="37"/>
      <c r="AX626" s="36"/>
    </row>
    <row r="627" spans="4:50" ht="15" thickBot="1" x14ac:dyDescent="0.4"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  <c r="AD627" s="37"/>
      <c r="AE627" s="37"/>
      <c r="AF627" s="37"/>
      <c r="AG627" s="37"/>
      <c r="AH627" s="37"/>
      <c r="AI627" s="37"/>
      <c r="AJ627" s="37"/>
      <c r="AK627" s="37"/>
      <c r="AL627" s="37"/>
      <c r="AM627" s="37"/>
      <c r="AN627" s="37"/>
      <c r="AO627" s="37"/>
      <c r="AP627" s="37"/>
      <c r="AQ627" s="37"/>
      <c r="AR627" s="37"/>
      <c r="AS627" s="37"/>
      <c r="AT627" s="37"/>
      <c r="AU627" s="37"/>
      <c r="AV627" s="37"/>
      <c r="AW627" s="37"/>
      <c r="AX627" s="36"/>
    </row>
    <row r="628" spans="4:50" ht="15" thickBot="1" x14ac:dyDescent="0.4"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  <c r="AD628" s="37"/>
      <c r="AE628" s="37"/>
      <c r="AF628" s="37"/>
      <c r="AG628" s="37"/>
      <c r="AH628" s="37"/>
      <c r="AI628" s="37"/>
      <c r="AJ628" s="37"/>
      <c r="AK628" s="37"/>
      <c r="AL628" s="37"/>
      <c r="AM628" s="37"/>
      <c r="AN628" s="37"/>
      <c r="AO628" s="37"/>
      <c r="AP628" s="37"/>
      <c r="AQ628" s="37"/>
      <c r="AR628" s="37"/>
      <c r="AS628" s="37"/>
      <c r="AT628" s="37"/>
      <c r="AU628" s="37"/>
      <c r="AV628" s="37"/>
      <c r="AW628" s="37"/>
      <c r="AX628" s="36"/>
    </row>
    <row r="629" spans="4:50" ht="15" thickBot="1" x14ac:dyDescent="0.4"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  <c r="AD629" s="37"/>
      <c r="AE629" s="37"/>
      <c r="AF629" s="37"/>
      <c r="AG629" s="37"/>
      <c r="AH629" s="37"/>
      <c r="AI629" s="37"/>
      <c r="AJ629" s="37"/>
      <c r="AK629" s="37"/>
      <c r="AL629" s="37"/>
      <c r="AM629" s="37"/>
      <c r="AN629" s="37"/>
      <c r="AO629" s="37"/>
      <c r="AP629" s="37"/>
      <c r="AQ629" s="37"/>
      <c r="AR629" s="37"/>
      <c r="AS629" s="37"/>
      <c r="AT629" s="37"/>
      <c r="AU629" s="37"/>
      <c r="AV629" s="37"/>
      <c r="AW629" s="37"/>
      <c r="AX629" s="36"/>
    </row>
    <row r="630" spans="4:50" ht="15" thickBot="1" x14ac:dyDescent="0.4"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  <c r="AD630" s="37"/>
      <c r="AE630" s="37"/>
      <c r="AF630" s="37"/>
      <c r="AG630" s="37"/>
      <c r="AH630" s="37"/>
      <c r="AI630" s="37"/>
      <c r="AJ630" s="37"/>
      <c r="AK630" s="37"/>
      <c r="AL630" s="37"/>
      <c r="AM630" s="37"/>
      <c r="AN630" s="37"/>
      <c r="AO630" s="37"/>
      <c r="AP630" s="37"/>
      <c r="AQ630" s="37"/>
      <c r="AR630" s="37"/>
      <c r="AS630" s="37"/>
      <c r="AT630" s="37"/>
      <c r="AU630" s="37"/>
      <c r="AV630" s="37"/>
      <c r="AW630" s="37"/>
      <c r="AX630" s="36"/>
    </row>
    <row r="631" spans="4:50" ht="15" thickBot="1" x14ac:dyDescent="0.4"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  <c r="AD631" s="37"/>
      <c r="AE631" s="37"/>
      <c r="AF631" s="37"/>
      <c r="AG631" s="37"/>
      <c r="AH631" s="37"/>
      <c r="AI631" s="37"/>
      <c r="AJ631" s="37"/>
      <c r="AK631" s="37"/>
      <c r="AL631" s="37"/>
      <c r="AM631" s="37"/>
      <c r="AN631" s="37"/>
      <c r="AO631" s="37"/>
      <c r="AP631" s="37"/>
      <c r="AQ631" s="37"/>
      <c r="AR631" s="37"/>
      <c r="AS631" s="37"/>
      <c r="AT631" s="37"/>
      <c r="AU631" s="37"/>
      <c r="AV631" s="37"/>
      <c r="AW631" s="37"/>
      <c r="AX631" s="36"/>
    </row>
    <row r="632" spans="4:50" ht="15" thickBot="1" x14ac:dyDescent="0.4"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7"/>
      <c r="AN632" s="37"/>
      <c r="AO632" s="37"/>
      <c r="AP632" s="37"/>
      <c r="AQ632" s="37"/>
      <c r="AR632" s="37"/>
      <c r="AS632" s="37"/>
      <c r="AT632" s="37"/>
      <c r="AU632" s="37"/>
      <c r="AV632" s="37"/>
      <c r="AW632" s="37"/>
      <c r="AX632" s="36"/>
    </row>
    <row r="633" spans="4:50" ht="15" thickBot="1" x14ac:dyDescent="0.4"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  <c r="AD633" s="37"/>
      <c r="AE633" s="37"/>
      <c r="AF633" s="37"/>
      <c r="AG633" s="37"/>
      <c r="AH633" s="37"/>
      <c r="AI633" s="37"/>
      <c r="AJ633" s="37"/>
      <c r="AK633" s="37"/>
      <c r="AL633" s="37"/>
      <c r="AM633" s="37"/>
      <c r="AN633" s="37"/>
      <c r="AO633" s="37"/>
      <c r="AP633" s="37"/>
      <c r="AQ633" s="37"/>
      <c r="AR633" s="37"/>
      <c r="AS633" s="37"/>
      <c r="AT633" s="37"/>
      <c r="AU633" s="37"/>
      <c r="AV633" s="37"/>
      <c r="AW633" s="37"/>
      <c r="AX633" s="36"/>
    </row>
    <row r="634" spans="4:50" ht="15" thickBot="1" x14ac:dyDescent="0.4"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  <c r="AD634" s="37"/>
      <c r="AE634" s="37"/>
      <c r="AF634" s="37"/>
      <c r="AG634" s="37"/>
      <c r="AH634" s="37"/>
      <c r="AI634" s="37"/>
      <c r="AJ634" s="37"/>
      <c r="AK634" s="37"/>
      <c r="AL634" s="37"/>
      <c r="AM634" s="37"/>
      <c r="AN634" s="37"/>
      <c r="AO634" s="37"/>
      <c r="AP634" s="37"/>
      <c r="AQ634" s="37"/>
      <c r="AR634" s="37"/>
      <c r="AS634" s="37"/>
      <c r="AT634" s="37"/>
      <c r="AU634" s="37"/>
      <c r="AV634" s="37"/>
      <c r="AW634" s="37"/>
      <c r="AX634" s="36"/>
    </row>
    <row r="635" spans="4:50" ht="15" thickBot="1" x14ac:dyDescent="0.4"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  <c r="AE635" s="37"/>
      <c r="AF635" s="37"/>
      <c r="AG635" s="37"/>
      <c r="AH635" s="37"/>
      <c r="AI635" s="37"/>
      <c r="AJ635" s="37"/>
      <c r="AK635" s="37"/>
      <c r="AL635" s="37"/>
      <c r="AM635" s="37"/>
      <c r="AN635" s="37"/>
      <c r="AO635" s="37"/>
      <c r="AP635" s="37"/>
      <c r="AQ635" s="37"/>
      <c r="AR635" s="37"/>
      <c r="AS635" s="37"/>
      <c r="AT635" s="37"/>
      <c r="AU635" s="37"/>
      <c r="AV635" s="37"/>
      <c r="AW635" s="37"/>
      <c r="AX635" s="36"/>
    </row>
    <row r="636" spans="4:50" ht="15" thickBot="1" x14ac:dyDescent="0.4"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  <c r="AD636" s="37"/>
      <c r="AE636" s="37"/>
      <c r="AF636" s="37"/>
      <c r="AG636" s="37"/>
      <c r="AH636" s="37"/>
      <c r="AI636" s="37"/>
      <c r="AJ636" s="37"/>
      <c r="AK636" s="37"/>
      <c r="AL636" s="37"/>
      <c r="AM636" s="37"/>
      <c r="AN636" s="37"/>
      <c r="AO636" s="37"/>
      <c r="AP636" s="37"/>
      <c r="AQ636" s="37"/>
      <c r="AR636" s="37"/>
      <c r="AS636" s="37"/>
      <c r="AT636" s="37"/>
      <c r="AU636" s="37"/>
      <c r="AV636" s="37"/>
      <c r="AW636" s="37"/>
      <c r="AX636" s="36"/>
    </row>
    <row r="637" spans="4:50" ht="15" thickBot="1" x14ac:dyDescent="0.4"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  <c r="AD637" s="37"/>
      <c r="AE637" s="37"/>
      <c r="AF637" s="37"/>
      <c r="AG637" s="37"/>
      <c r="AH637" s="37"/>
      <c r="AI637" s="37"/>
      <c r="AJ637" s="37"/>
      <c r="AK637" s="37"/>
      <c r="AL637" s="37"/>
      <c r="AM637" s="37"/>
      <c r="AN637" s="37"/>
      <c r="AO637" s="37"/>
      <c r="AP637" s="37"/>
      <c r="AQ637" s="37"/>
      <c r="AR637" s="37"/>
      <c r="AS637" s="37"/>
      <c r="AT637" s="37"/>
      <c r="AU637" s="37"/>
      <c r="AV637" s="37"/>
      <c r="AW637" s="37"/>
      <c r="AX637" s="36"/>
    </row>
    <row r="638" spans="4:50" ht="15" thickBot="1" x14ac:dyDescent="0.4"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  <c r="AE638" s="37"/>
      <c r="AF638" s="37"/>
      <c r="AG638" s="37"/>
      <c r="AH638" s="37"/>
      <c r="AI638" s="37"/>
      <c r="AJ638" s="37"/>
      <c r="AK638" s="37"/>
      <c r="AL638" s="37"/>
      <c r="AM638" s="37"/>
      <c r="AN638" s="37"/>
      <c r="AO638" s="37"/>
      <c r="AP638" s="37"/>
      <c r="AQ638" s="37"/>
      <c r="AR638" s="37"/>
      <c r="AS638" s="37"/>
      <c r="AT638" s="37"/>
      <c r="AU638" s="37"/>
      <c r="AV638" s="37"/>
      <c r="AW638" s="37"/>
      <c r="AX638" s="36"/>
    </row>
    <row r="639" spans="4:50" ht="15" thickBot="1" x14ac:dyDescent="0.4"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  <c r="AD639" s="37"/>
      <c r="AE639" s="37"/>
      <c r="AF639" s="37"/>
      <c r="AG639" s="37"/>
      <c r="AH639" s="37"/>
      <c r="AI639" s="37"/>
      <c r="AJ639" s="37"/>
      <c r="AK639" s="37"/>
      <c r="AL639" s="37"/>
      <c r="AM639" s="37"/>
      <c r="AN639" s="37"/>
      <c r="AO639" s="37"/>
      <c r="AP639" s="37"/>
      <c r="AQ639" s="37"/>
      <c r="AR639" s="37"/>
      <c r="AS639" s="37"/>
      <c r="AT639" s="37"/>
      <c r="AU639" s="37"/>
      <c r="AV639" s="37"/>
      <c r="AW639" s="37"/>
      <c r="AX639" s="36"/>
    </row>
    <row r="640" spans="4:50" ht="15" thickBot="1" x14ac:dyDescent="0.4"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  <c r="AD640" s="37"/>
      <c r="AE640" s="37"/>
      <c r="AF640" s="37"/>
      <c r="AG640" s="37"/>
      <c r="AH640" s="37"/>
      <c r="AI640" s="37"/>
      <c r="AJ640" s="37"/>
      <c r="AK640" s="37"/>
      <c r="AL640" s="37"/>
      <c r="AM640" s="37"/>
      <c r="AN640" s="37"/>
      <c r="AO640" s="37"/>
      <c r="AP640" s="37"/>
      <c r="AQ640" s="37"/>
      <c r="AR640" s="37"/>
      <c r="AS640" s="37"/>
      <c r="AT640" s="37"/>
      <c r="AU640" s="37"/>
      <c r="AV640" s="37"/>
      <c r="AW640" s="37"/>
      <c r="AX640" s="36"/>
    </row>
    <row r="641" spans="4:50" ht="15" thickBot="1" x14ac:dyDescent="0.4"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  <c r="AD641" s="37"/>
      <c r="AE641" s="37"/>
      <c r="AF641" s="37"/>
      <c r="AG641" s="37"/>
      <c r="AH641" s="37"/>
      <c r="AI641" s="37"/>
      <c r="AJ641" s="37"/>
      <c r="AK641" s="37"/>
      <c r="AL641" s="37"/>
      <c r="AM641" s="37"/>
      <c r="AN641" s="37"/>
      <c r="AO641" s="37"/>
      <c r="AP641" s="37"/>
      <c r="AQ641" s="37"/>
      <c r="AR641" s="37"/>
      <c r="AS641" s="37"/>
      <c r="AT641" s="37"/>
      <c r="AU641" s="37"/>
      <c r="AV641" s="37"/>
      <c r="AW641" s="37"/>
      <c r="AX641" s="36"/>
    </row>
    <row r="642" spans="4:50" ht="15" thickBot="1" x14ac:dyDescent="0.4"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  <c r="AD642" s="37"/>
      <c r="AE642" s="37"/>
      <c r="AF642" s="37"/>
      <c r="AG642" s="37"/>
      <c r="AH642" s="37"/>
      <c r="AI642" s="37"/>
      <c r="AJ642" s="37"/>
      <c r="AK642" s="37"/>
      <c r="AL642" s="37"/>
      <c r="AM642" s="37"/>
      <c r="AN642" s="37"/>
      <c r="AO642" s="37"/>
      <c r="AP642" s="37"/>
      <c r="AQ642" s="37"/>
      <c r="AR642" s="37"/>
      <c r="AS642" s="37"/>
      <c r="AT642" s="37"/>
      <c r="AU642" s="37"/>
      <c r="AV642" s="37"/>
      <c r="AW642" s="37"/>
      <c r="AX642" s="36"/>
    </row>
    <row r="643" spans="4:50" ht="15" thickBot="1" x14ac:dyDescent="0.4"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  <c r="AD643" s="37"/>
      <c r="AE643" s="37"/>
      <c r="AF643" s="37"/>
      <c r="AG643" s="37"/>
      <c r="AH643" s="37"/>
      <c r="AI643" s="37"/>
      <c r="AJ643" s="37"/>
      <c r="AK643" s="37"/>
      <c r="AL643" s="37"/>
      <c r="AM643" s="37"/>
      <c r="AN643" s="37"/>
      <c r="AO643" s="37"/>
      <c r="AP643" s="37"/>
      <c r="AQ643" s="37"/>
      <c r="AR643" s="37"/>
      <c r="AS643" s="37"/>
      <c r="AT643" s="37"/>
      <c r="AU643" s="37"/>
      <c r="AV643" s="37"/>
      <c r="AW643" s="37"/>
      <c r="AX643" s="36"/>
    </row>
    <row r="644" spans="4:50" ht="15" thickBot="1" x14ac:dyDescent="0.4"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  <c r="AD644" s="37"/>
      <c r="AE644" s="37"/>
      <c r="AF644" s="37"/>
      <c r="AG644" s="37"/>
      <c r="AH644" s="37"/>
      <c r="AI644" s="37"/>
      <c r="AJ644" s="37"/>
      <c r="AK644" s="37"/>
      <c r="AL644" s="37"/>
      <c r="AM644" s="37"/>
      <c r="AN644" s="37"/>
      <c r="AO644" s="37"/>
      <c r="AP644" s="37"/>
      <c r="AQ644" s="37"/>
      <c r="AR644" s="37"/>
      <c r="AS644" s="37"/>
      <c r="AT644" s="37"/>
      <c r="AU644" s="37"/>
      <c r="AV644" s="37"/>
      <c r="AW644" s="37"/>
      <c r="AX644" s="36"/>
    </row>
    <row r="645" spans="4:50" ht="15" thickBot="1" x14ac:dyDescent="0.4"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  <c r="AD645" s="37"/>
      <c r="AE645" s="37"/>
      <c r="AF645" s="37"/>
      <c r="AG645" s="37"/>
      <c r="AH645" s="37"/>
      <c r="AI645" s="37"/>
      <c r="AJ645" s="37"/>
      <c r="AK645" s="37"/>
      <c r="AL645" s="37"/>
      <c r="AM645" s="37"/>
      <c r="AN645" s="37"/>
      <c r="AO645" s="37"/>
      <c r="AP645" s="37"/>
      <c r="AQ645" s="37"/>
      <c r="AR645" s="37"/>
      <c r="AS645" s="37"/>
      <c r="AT645" s="37"/>
      <c r="AU645" s="37"/>
      <c r="AV645" s="37"/>
      <c r="AW645" s="37"/>
      <c r="AX645" s="36"/>
    </row>
    <row r="646" spans="4:50" ht="15" thickBot="1" x14ac:dyDescent="0.4"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  <c r="AD646" s="37"/>
      <c r="AE646" s="37"/>
      <c r="AF646" s="37"/>
      <c r="AG646" s="37"/>
      <c r="AH646" s="37"/>
      <c r="AI646" s="37"/>
      <c r="AJ646" s="37"/>
      <c r="AK646" s="37"/>
      <c r="AL646" s="37"/>
      <c r="AM646" s="37"/>
      <c r="AN646" s="37"/>
      <c r="AO646" s="37"/>
      <c r="AP646" s="37"/>
      <c r="AQ646" s="37"/>
      <c r="AR646" s="37"/>
      <c r="AS646" s="37"/>
      <c r="AT646" s="37"/>
      <c r="AU646" s="37"/>
      <c r="AV646" s="37"/>
      <c r="AW646" s="37"/>
      <c r="AX646" s="36"/>
    </row>
    <row r="647" spans="4:50" ht="15" thickBot="1" x14ac:dyDescent="0.4"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  <c r="AD647" s="37"/>
      <c r="AE647" s="37"/>
      <c r="AF647" s="37"/>
      <c r="AG647" s="37"/>
      <c r="AH647" s="37"/>
      <c r="AI647" s="37"/>
      <c r="AJ647" s="37"/>
      <c r="AK647" s="37"/>
      <c r="AL647" s="37"/>
      <c r="AM647" s="37"/>
      <c r="AN647" s="37"/>
      <c r="AO647" s="37"/>
      <c r="AP647" s="37"/>
      <c r="AQ647" s="37"/>
      <c r="AR647" s="37"/>
      <c r="AS647" s="37"/>
      <c r="AT647" s="37"/>
      <c r="AU647" s="37"/>
      <c r="AV647" s="37"/>
      <c r="AW647" s="37"/>
      <c r="AX647" s="36"/>
    </row>
    <row r="648" spans="4:50" ht="15" thickBot="1" x14ac:dyDescent="0.4"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  <c r="AD648" s="37"/>
      <c r="AE648" s="37"/>
      <c r="AF648" s="37"/>
      <c r="AG648" s="37"/>
      <c r="AH648" s="37"/>
      <c r="AI648" s="37"/>
      <c r="AJ648" s="37"/>
      <c r="AK648" s="37"/>
      <c r="AL648" s="37"/>
      <c r="AM648" s="37"/>
      <c r="AN648" s="37"/>
      <c r="AO648" s="37"/>
      <c r="AP648" s="37"/>
      <c r="AQ648" s="37"/>
      <c r="AR648" s="37"/>
      <c r="AS648" s="37"/>
      <c r="AT648" s="37"/>
      <c r="AU648" s="37"/>
      <c r="AV648" s="37"/>
      <c r="AW648" s="37"/>
      <c r="AX648" s="36"/>
    </row>
    <row r="649" spans="4:50" ht="15" thickBot="1" x14ac:dyDescent="0.4"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  <c r="AD649" s="37"/>
      <c r="AE649" s="37"/>
      <c r="AF649" s="37"/>
      <c r="AG649" s="37"/>
      <c r="AH649" s="37"/>
      <c r="AI649" s="37"/>
      <c r="AJ649" s="37"/>
      <c r="AK649" s="37"/>
      <c r="AL649" s="37"/>
      <c r="AM649" s="37"/>
      <c r="AN649" s="37"/>
      <c r="AO649" s="37"/>
      <c r="AP649" s="37"/>
      <c r="AQ649" s="37"/>
      <c r="AR649" s="37"/>
      <c r="AS649" s="37"/>
      <c r="AT649" s="37"/>
      <c r="AU649" s="37"/>
      <c r="AV649" s="37"/>
      <c r="AW649" s="37"/>
      <c r="AX649" s="36"/>
    </row>
    <row r="650" spans="4:50" ht="15" thickBot="1" x14ac:dyDescent="0.4"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  <c r="AD650" s="37"/>
      <c r="AE650" s="37"/>
      <c r="AF650" s="37"/>
      <c r="AG650" s="37"/>
      <c r="AH650" s="37"/>
      <c r="AI650" s="37"/>
      <c r="AJ650" s="37"/>
      <c r="AK650" s="37"/>
      <c r="AL650" s="37"/>
      <c r="AM650" s="37"/>
      <c r="AN650" s="37"/>
      <c r="AO650" s="37"/>
      <c r="AP650" s="37"/>
      <c r="AQ650" s="37"/>
      <c r="AR650" s="37"/>
      <c r="AS650" s="37"/>
      <c r="AT650" s="37"/>
      <c r="AU650" s="37"/>
      <c r="AV650" s="37"/>
      <c r="AW650" s="37"/>
      <c r="AX650" s="36"/>
    </row>
    <row r="651" spans="4:50" ht="15" thickBot="1" x14ac:dyDescent="0.4"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  <c r="AD651" s="37"/>
      <c r="AE651" s="37"/>
      <c r="AF651" s="37"/>
      <c r="AG651" s="37"/>
      <c r="AH651" s="37"/>
      <c r="AI651" s="37"/>
      <c r="AJ651" s="37"/>
      <c r="AK651" s="37"/>
      <c r="AL651" s="37"/>
      <c r="AM651" s="37"/>
      <c r="AN651" s="37"/>
      <c r="AO651" s="37"/>
      <c r="AP651" s="37"/>
      <c r="AQ651" s="37"/>
      <c r="AR651" s="37"/>
      <c r="AS651" s="37"/>
      <c r="AT651" s="37"/>
      <c r="AU651" s="37"/>
      <c r="AV651" s="37"/>
      <c r="AW651" s="37"/>
      <c r="AX651" s="36"/>
    </row>
    <row r="652" spans="4:50" ht="15" thickBot="1" x14ac:dyDescent="0.4"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  <c r="AD652" s="37"/>
      <c r="AE652" s="37"/>
      <c r="AF652" s="37"/>
      <c r="AG652" s="37"/>
      <c r="AH652" s="37"/>
      <c r="AI652" s="37"/>
      <c r="AJ652" s="37"/>
      <c r="AK652" s="37"/>
      <c r="AL652" s="37"/>
      <c r="AM652" s="37"/>
      <c r="AN652" s="37"/>
      <c r="AO652" s="37"/>
      <c r="AP652" s="37"/>
      <c r="AQ652" s="37"/>
      <c r="AR652" s="37"/>
      <c r="AS652" s="37"/>
      <c r="AT652" s="37"/>
      <c r="AU652" s="37"/>
      <c r="AV652" s="37"/>
      <c r="AW652" s="37"/>
      <c r="AX652" s="36"/>
    </row>
    <row r="653" spans="4:50" ht="15" thickBot="1" x14ac:dyDescent="0.4"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  <c r="AD653" s="37"/>
      <c r="AE653" s="37"/>
      <c r="AF653" s="37"/>
      <c r="AG653" s="37"/>
      <c r="AH653" s="37"/>
      <c r="AI653" s="37"/>
      <c r="AJ653" s="37"/>
      <c r="AK653" s="37"/>
      <c r="AL653" s="37"/>
      <c r="AM653" s="37"/>
      <c r="AN653" s="37"/>
      <c r="AO653" s="37"/>
      <c r="AP653" s="37"/>
      <c r="AQ653" s="37"/>
      <c r="AR653" s="37"/>
      <c r="AS653" s="37"/>
      <c r="AT653" s="37"/>
      <c r="AU653" s="37"/>
      <c r="AV653" s="37"/>
      <c r="AW653" s="37"/>
      <c r="AX653" s="36"/>
    </row>
    <row r="654" spans="4:50" ht="15" thickBot="1" x14ac:dyDescent="0.4"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  <c r="AD654" s="37"/>
      <c r="AE654" s="37"/>
      <c r="AF654" s="37"/>
      <c r="AG654" s="37"/>
      <c r="AH654" s="37"/>
      <c r="AI654" s="37"/>
      <c r="AJ654" s="37"/>
      <c r="AK654" s="37"/>
      <c r="AL654" s="37"/>
      <c r="AM654" s="37"/>
      <c r="AN654" s="37"/>
      <c r="AO654" s="37"/>
      <c r="AP654" s="37"/>
      <c r="AQ654" s="37"/>
      <c r="AR654" s="37"/>
      <c r="AS654" s="37"/>
      <c r="AT654" s="37"/>
      <c r="AU654" s="37"/>
      <c r="AV654" s="37"/>
      <c r="AW654" s="37"/>
      <c r="AX654" s="36"/>
    </row>
    <row r="655" spans="4:50" ht="15" thickBot="1" x14ac:dyDescent="0.4"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  <c r="AD655" s="37"/>
      <c r="AE655" s="37"/>
      <c r="AF655" s="37"/>
      <c r="AG655" s="37"/>
      <c r="AH655" s="37"/>
      <c r="AI655" s="37"/>
      <c r="AJ655" s="37"/>
      <c r="AK655" s="37"/>
      <c r="AL655" s="37"/>
      <c r="AM655" s="37"/>
      <c r="AN655" s="37"/>
      <c r="AO655" s="37"/>
      <c r="AP655" s="37"/>
      <c r="AQ655" s="37"/>
      <c r="AR655" s="37"/>
      <c r="AS655" s="37"/>
      <c r="AT655" s="37"/>
      <c r="AU655" s="37"/>
      <c r="AV655" s="37"/>
      <c r="AW655" s="37"/>
      <c r="AX655" s="36"/>
    </row>
    <row r="656" spans="4:50" ht="15" thickBot="1" x14ac:dyDescent="0.4"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  <c r="AD656" s="37"/>
      <c r="AE656" s="37"/>
      <c r="AF656" s="37"/>
      <c r="AG656" s="37"/>
      <c r="AH656" s="37"/>
      <c r="AI656" s="37"/>
      <c r="AJ656" s="37"/>
      <c r="AK656" s="37"/>
      <c r="AL656" s="37"/>
      <c r="AM656" s="37"/>
      <c r="AN656" s="37"/>
      <c r="AO656" s="37"/>
      <c r="AP656" s="37"/>
      <c r="AQ656" s="37"/>
      <c r="AR656" s="37"/>
      <c r="AS656" s="37"/>
      <c r="AT656" s="37"/>
      <c r="AU656" s="37"/>
      <c r="AV656" s="37"/>
      <c r="AW656" s="37"/>
      <c r="AX656" s="36"/>
    </row>
    <row r="657" spans="4:50" ht="15" thickBot="1" x14ac:dyDescent="0.4"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  <c r="AD657" s="37"/>
      <c r="AE657" s="37"/>
      <c r="AF657" s="37"/>
      <c r="AG657" s="37"/>
      <c r="AH657" s="37"/>
      <c r="AI657" s="37"/>
      <c r="AJ657" s="37"/>
      <c r="AK657" s="37"/>
      <c r="AL657" s="37"/>
      <c r="AM657" s="37"/>
      <c r="AN657" s="37"/>
      <c r="AO657" s="37"/>
      <c r="AP657" s="37"/>
      <c r="AQ657" s="37"/>
      <c r="AR657" s="37"/>
      <c r="AS657" s="37"/>
      <c r="AT657" s="37"/>
      <c r="AU657" s="37"/>
      <c r="AV657" s="37"/>
      <c r="AW657" s="37"/>
      <c r="AX657" s="36"/>
    </row>
    <row r="658" spans="4:50" ht="15" thickBot="1" x14ac:dyDescent="0.4"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  <c r="AD658" s="37"/>
      <c r="AE658" s="37"/>
      <c r="AF658" s="37"/>
      <c r="AG658" s="37"/>
      <c r="AH658" s="37"/>
      <c r="AI658" s="37"/>
      <c r="AJ658" s="37"/>
      <c r="AK658" s="37"/>
      <c r="AL658" s="37"/>
      <c r="AM658" s="37"/>
      <c r="AN658" s="37"/>
      <c r="AO658" s="37"/>
      <c r="AP658" s="37"/>
      <c r="AQ658" s="37"/>
      <c r="AR658" s="37"/>
      <c r="AS658" s="37"/>
      <c r="AT658" s="37"/>
      <c r="AU658" s="37"/>
      <c r="AV658" s="37"/>
      <c r="AW658" s="37"/>
      <c r="AX658" s="36"/>
    </row>
    <row r="659" spans="4:50" ht="15" thickBot="1" x14ac:dyDescent="0.4"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  <c r="AD659" s="37"/>
      <c r="AE659" s="37"/>
      <c r="AF659" s="37"/>
      <c r="AG659" s="37"/>
      <c r="AH659" s="37"/>
      <c r="AI659" s="37"/>
      <c r="AJ659" s="37"/>
      <c r="AK659" s="37"/>
      <c r="AL659" s="37"/>
      <c r="AM659" s="37"/>
      <c r="AN659" s="37"/>
      <c r="AO659" s="37"/>
      <c r="AP659" s="37"/>
      <c r="AQ659" s="37"/>
      <c r="AR659" s="37"/>
      <c r="AS659" s="37"/>
      <c r="AT659" s="37"/>
      <c r="AU659" s="37"/>
      <c r="AV659" s="37"/>
      <c r="AW659" s="37"/>
      <c r="AX659" s="36"/>
    </row>
    <row r="660" spans="4:50" ht="15" thickBot="1" x14ac:dyDescent="0.4"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  <c r="AD660" s="37"/>
      <c r="AE660" s="37"/>
      <c r="AF660" s="37"/>
      <c r="AG660" s="37"/>
      <c r="AH660" s="37"/>
      <c r="AI660" s="37"/>
      <c r="AJ660" s="37"/>
      <c r="AK660" s="37"/>
      <c r="AL660" s="37"/>
      <c r="AM660" s="37"/>
      <c r="AN660" s="37"/>
      <c r="AO660" s="37"/>
      <c r="AP660" s="37"/>
      <c r="AQ660" s="37"/>
      <c r="AR660" s="37"/>
      <c r="AS660" s="37"/>
      <c r="AT660" s="37"/>
      <c r="AU660" s="37"/>
      <c r="AV660" s="37"/>
      <c r="AW660" s="37"/>
      <c r="AX660" s="36"/>
    </row>
    <row r="661" spans="4:50" ht="15" thickBot="1" x14ac:dyDescent="0.4"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  <c r="AD661" s="37"/>
      <c r="AE661" s="37"/>
      <c r="AF661" s="37"/>
      <c r="AG661" s="37"/>
      <c r="AH661" s="37"/>
      <c r="AI661" s="37"/>
      <c r="AJ661" s="37"/>
      <c r="AK661" s="37"/>
      <c r="AL661" s="37"/>
      <c r="AM661" s="37"/>
      <c r="AN661" s="37"/>
      <c r="AO661" s="37"/>
      <c r="AP661" s="37"/>
      <c r="AQ661" s="37"/>
      <c r="AR661" s="37"/>
      <c r="AS661" s="37"/>
      <c r="AT661" s="37"/>
      <c r="AU661" s="37"/>
      <c r="AV661" s="37"/>
      <c r="AW661" s="37"/>
      <c r="AX661" s="36"/>
    </row>
    <row r="662" spans="4:50" ht="15" thickBot="1" x14ac:dyDescent="0.4"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  <c r="AD662" s="37"/>
      <c r="AE662" s="37"/>
      <c r="AF662" s="37"/>
      <c r="AG662" s="37"/>
      <c r="AH662" s="37"/>
      <c r="AI662" s="37"/>
      <c r="AJ662" s="37"/>
      <c r="AK662" s="37"/>
      <c r="AL662" s="37"/>
      <c r="AM662" s="37"/>
      <c r="AN662" s="37"/>
      <c r="AO662" s="37"/>
      <c r="AP662" s="37"/>
      <c r="AQ662" s="37"/>
      <c r="AR662" s="37"/>
      <c r="AS662" s="37"/>
      <c r="AT662" s="37"/>
      <c r="AU662" s="37"/>
      <c r="AV662" s="37"/>
      <c r="AW662" s="37"/>
      <c r="AX662" s="36"/>
    </row>
    <row r="663" spans="4:50" ht="15" thickBot="1" x14ac:dyDescent="0.4"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  <c r="AD663" s="37"/>
      <c r="AE663" s="37"/>
      <c r="AF663" s="37"/>
      <c r="AG663" s="37"/>
      <c r="AH663" s="37"/>
      <c r="AI663" s="37"/>
      <c r="AJ663" s="37"/>
      <c r="AK663" s="37"/>
      <c r="AL663" s="37"/>
      <c r="AM663" s="37"/>
      <c r="AN663" s="37"/>
      <c r="AO663" s="37"/>
      <c r="AP663" s="37"/>
      <c r="AQ663" s="37"/>
      <c r="AR663" s="37"/>
      <c r="AS663" s="37"/>
      <c r="AT663" s="37"/>
      <c r="AU663" s="37"/>
      <c r="AV663" s="37"/>
      <c r="AW663" s="37"/>
      <c r="AX663" s="36"/>
    </row>
    <row r="664" spans="4:50" ht="15" thickBot="1" x14ac:dyDescent="0.4"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  <c r="AD664" s="37"/>
      <c r="AE664" s="37"/>
      <c r="AF664" s="37"/>
      <c r="AG664" s="37"/>
      <c r="AH664" s="37"/>
      <c r="AI664" s="37"/>
      <c r="AJ664" s="37"/>
      <c r="AK664" s="37"/>
      <c r="AL664" s="37"/>
      <c r="AM664" s="37"/>
      <c r="AN664" s="37"/>
      <c r="AO664" s="37"/>
      <c r="AP664" s="37"/>
      <c r="AQ664" s="37"/>
      <c r="AR664" s="37"/>
      <c r="AS664" s="37"/>
      <c r="AT664" s="37"/>
      <c r="AU664" s="37"/>
      <c r="AV664" s="37"/>
      <c r="AW664" s="37"/>
      <c r="AX664" s="36"/>
    </row>
    <row r="665" spans="4:50" ht="15" thickBot="1" x14ac:dyDescent="0.4"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  <c r="AD665" s="37"/>
      <c r="AE665" s="37"/>
      <c r="AF665" s="37"/>
      <c r="AG665" s="37"/>
      <c r="AH665" s="37"/>
      <c r="AI665" s="37"/>
      <c r="AJ665" s="37"/>
      <c r="AK665" s="37"/>
      <c r="AL665" s="37"/>
      <c r="AM665" s="37"/>
      <c r="AN665" s="37"/>
      <c r="AO665" s="37"/>
      <c r="AP665" s="37"/>
      <c r="AQ665" s="37"/>
      <c r="AR665" s="37"/>
      <c r="AS665" s="37"/>
      <c r="AT665" s="37"/>
      <c r="AU665" s="37"/>
      <c r="AV665" s="37"/>
      <c r="AW665" s="37"/>
      <c r="AX665" s="36"/>
    </row>
    <row r="666" spans="4:50" ht="15" thickBot="1" x14ac:dyDescent="0.4"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  <c r="AD666" s="37"/>
      <c r="AE666" s="37"/>
      <c r="AF666" s="37"/>
      <c r="AG666" s="37"/>
      <c r="AH666" s="37"/>
      <c r="AI666" s="37"/>
      <c r="AJ666" s="37"/>
      <c r="AK666" s="37"/>
      <c r="AL666" s="37"/>
      <c r="AM666" s="37"/>
      <c r="AN666" s="37"/>
      <c r="AO666" s="37"/>
      <c r="AP666" s="37"/>
      <c r="AQ666" s="37"/>
      <c r="AR666" s="37"/>
      <c r="AS666" s="37"/>
      <c r="AT666" s="37"/>
      <c r="AU666" s="37"/>
      <c r="AV666" s="37"/>
      <c r="AW666" s="37"/>
      <c r="AX666" s="36"/>
    </row>
    <row r="667" spans="4:50" ht="15" thickBot="1" x14ac:dyDescent="0.4"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  <c r="AD667" s="37"/>
      <c r="AE667" s="37"/>
      <c r="AF667" s="37"/>
      <c r="AG667" s="37"/>
      <c r="AH667" s="37"/>
      <c r="AI667" s="37"/>
      <c r="AJ667" s="37"/>
      <c r="AK667" s="37"/>
      <c r="AL667" s="37"/>
      <c r="AM667" s="37"/>
      <c r="AN667" s="37"/>
      <c r="AO667" s="37"/>
      <c r="AP667" s="37"/>
      <c r="AQ667" s="37"/>
      <c r="AR667" s="37"/>
      <c r="AS667" s="37"/>
      <c r="AT667" s="37"/>
      <c r="AU667" s="37"/>
      <c r="AV667" s="37"/>
      <c r="AW667" s="37"/>
      <c r="AX667" s="36"/>
    </row>
    <row r="668" spans="4:50" ht="15" thickBot="1" x14ac:dyDescent="0.4"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  <c r="AD668" s="37"/>
      <c r="AE668" s="37"/>
      <c r="AF668" s="37"/>
      <c r="AG668" s="37"/>
      <c r="AH668" s="37"/>
      <c r="AI668" s="37"/>
      <c r="AJ668" s="37"/>
      <c r="AK668" s="37"/>
      <c r="AL668" s="37"/>
      <c r="AM668" s="37"/>
      <c r="AN668" s="37"/>
      <c r="AO668" s="37"/>
      <c r="AP668" s="37"/>
      <c r="AQ668" s="37"/>
      <c r="AR668" s="37"/>
      <c r="AS668" s="37"/>
      <c r="AT668" s="37"/>
      <c r="AU668" s="37"/>
      <c r="AV668" s="37"/>
      <c r="AW668" s="37"/>
      <c r="AX668" s="36"/>
    </row>
    <row r="669" spans="4:50" ht="15" thickBot="1" x14ac:dyDescent="0.4"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  <c r="AD669" s="37"/>
      <c r="AE669" s="37"/>
      <c r="AF669" s="37"/>
      <c r="AG669" s="37"/>
      <c r="AH669" s="37"/>
      <c r="AI669" s="37"/>
      <c r="AJ669" s="37"/>
      <c r="AK669" s="37"/>
      <c r="AL669" s="37"/>
      <c r="AM669" s="37"/>
      <c r="AN669" s="37"/>
      <c r="AO669" s="37"/>
      <c r="AP669" s="37"/>
      <c r="AQ669" s="37"/>
      <c r="AR669" s="37"/>
      <c r="AS669" s="37"/>
      <c r="AT669" s="37"/>
      <c r="AU669" s="37"/>
      <c r="AV669" s="37"/>
      <c r="AW669" s="37"/>
      <c r="AX669" s="36"/>
    </row>
    <row r="670" spans="4:50" ht="15" thickBot="1" x14ac:dyDescent="0.4"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7"/>
      <c r="AN670" s="37"/>
      <c r="AO670" s="37"/>
      <c r="AP670" s="37"/>
      <c r="AQ670" s="37"/>
      <c r="AR670" s="37"/>
      <c r="AS670" s="37"/>
      <c r="AT670" s="37"/>
      <c r="AU670" s="37"/>
      <c r="AV670" s="37"/>
      <c r="AW670" s="37"/>
      <c r="AX670" s="36"/>
    </row>
    <row r="671" spans="4:50" ht="15" thickBot="1" x14ac:dyDescent="0.4"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  <c r="AD671" s="37"/>
      <c r="AE671" s="37"/>
      <c r="AF671" s="37"/>
      <c r="AG671" s="37"/>
      <c r="AH671" s="37"/>
      <c r="AI671" s="37"/>
      <c r="AJ671" s="37"/>
      <c r="AK671" s="37"/>
      <c r="AL671" s="37"/>
      <c r="AM671" s="37"/>
      <c r="AN671" s="37"/>
      <c r="AO671" s="37"/>
      <c r="AP671" s="37"/>
      <c r="AQ671" s="37"/>
      <c r="AR671" s="37"/>
      <c r="AS671" s="37"/>
      <c r="AT671" s="37"/>
      <c r="AU671" s="37"/>
      <c r="AV671" s="37"/>
      <c r="AW671" s="37"/>
      <c r="AX671" s="36"/>
    </row>
    <row r="672" spans="4:50" ht="15" thickBot="1" x14ac:dyDescent="0.4"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  <c r="AD672" s="37"/>
      <c r="AE672" s="37"/>
      <c r="AF672" s="37"/>
      <c r="AG672" s="37"/>
      <c r="AH672" s="37"/>
      <c r="AI672" s="37"/>
      <c r="AJ672" s="37"/>
      <c r="AK672" s="37"/>
      <c r="AL672" s="37"/>
      <c r="AM672" s="37"/>
      <c r="AN672" s="37"/>
      <c r="AO672" s="37"/>
      <c r="AP672" s="37"/>
      <c r="AQ672" s="37"/>
      <c r="AR672" s="37"/>
      <c r="AS672" s="37"/>
      <c r="AT672" s="37"/>
      <c r="AU672" s="37"/>
      <c r="AV672" s="37"/>
      <c r="AW672" s="37"/>
      <c r="AX672" s="36"/>
    </row>
    <row r="673" spans="4:50" ht="15" thickBot="1" x14ac:dyDescent="0.4"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  <c r="AE673" s="37"/>
      <c r="AF673" s="37"/>
      <c r="AG673" s="37"/>
      <c r="AH673" s="37"/>
      <c r="AI673" s="37"/>
      <c r="AJ673" s="37"/>
      <c r="AK673" s="37"/>
      <c r="AL673" s="37"/>
      <c r="AM673" s="37"/>
      <c r="AN673" s="37"/>
      <c r="AO673" s="37"/>
      <c r="AP673" s="37"/>
      <c r="AQ673" s="37"/>
      <c r="AR673" s="37"/>
      <c r="AS673" s="37"/>
      <c r="AT673" s="37"/>
      <c r="AU673" s="37"/>
      <c r="AV673" s="37"/>
      <c r="AW673" s="37"/>
      <c r="AX673" s="36"/>
    </row>
    <row r="674" spans="4:50" ht="15" thickBot="1" x14ac:dyDescent="0.4"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  <c r="AD674" s="37"/>
      <c r="AE674" s="37"/>
      <c r="AF674" s="37"/>
      <c r="AG674" s="37"/>
      <c r="AH674" s="37"/>
      <c r="AI674" s="37"/>
      <c r="AJ674" s="37"/>
      <c r="AK674" s="37"/>
      <c r="AL674" s="37"/>
      <c r="AM674" s="37"/>
      <c r="AN674" s="37"/>
      <c r="AO674" s="37"/>
      <c r="AP674" s="37"/>
      <c r="AQ674" s="37"/>
      <c r="AR674" s="37"/>
      <c r="AS674" s="37"/>
      <c r="AT674" s="37"/>
      <c r="AU674" s="37"/>
      <c r="AV674" s="37"/>
      <c r="AW674" s="37"/>
      <c r="AX674" s="36"/>
    </row>
    <row r="675" spans="4:50" ht="15" thickBot="1" x14ac:dyDescent="0.4"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  <c r="AD675" s="37"/>
      <c r="AE675" s="37"/>
      <c r="AF675" s="37"/>
      <c r="AG675" s="37"/>
      <c r="AH675" s="37"/>
      <c r="AI675" s="37"/>
      <c r="AJ675" s="37"/>
      <c r="AK675" s="37"/>
      <c r="AL675" s="37"/>
      <c r="AM675" s="37"/>
      <c r="AN675" s="37"/>
      <c r="AO675" s="37"/>
      <c r="AP675" s="37"/>
      <c r="AQ675" s="37"/>
      <c r="AR675" s="37"/>
      <c r="AS675" s="37"/>
      <c r="AT675" s="37"/>
      <c r="AU675" s="37"/>
      <c r="AV675" s="37"/>
      <c r="AW675" s="37"/>
      <c r="AX675" s="36"/>
    </row>
    <row r="676" spans="4:50" ht="15" thickBot="1" x14ac:dyDescent="0.4"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  <c r="AE676" s="37"/>
      <c r="AF676" s="37"/>
      <c r="AG676" s="37"/>
      <c r="AH676" s="37"/>
      <c r="AI676" s="37"/>
      <c r="AJ676" s="37"/>
      <c r="AK676" s="37"/>
      <c r="AL676" s="37"/>
      <c r="AM676" s="37"/>
      <c r="AN676" s="37"/>
      <c r="AO676" s="37"/>
      <c r="AP676" s="37"/>
      <c r="AQ676" s="37"/>
      <c r="AR676" s="37"/>
      <c r="AS676" s="37"/>
      <c r="AT676" s="37"/>
      <c r="AU676" s="37"/>
      <c r="AV676" s="37"/>
      <c r="AW676" s="37"/>
      <c r="AX676" s="36"/>
    </row>
    <row r="677" spans="4:50" ht="15" thickBot="1" x14ac:dyDescent="0.4"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  <c r="AD677" s="37"/>
      <c r="AE677" s="37"/>
      <c r="AF677" s="37"/>
      <c r="AG677" s="37"/>
      <c r="AH677" s="37"/>
      <c r="AI677" s="37"/>
      <c r="AJ677" s="37"/>
      <c r="AK677" s="37"/>
      <c r="AL677" s="37"/>
      <c r="AM677" s="37"/>
      <c r="AN677" s="37"/>
      <c r="AO677" s="37"/>
      <c r="AP677" s="37"/>
      <c r="AQ677" s="37"/>
      <c r="AR677" s="37"/>
      <c r="AS677" s="37"/>
      <c r="AT677" s="37"/>
      <c r="AU677" s="37"/>
      <c r="AV677" s="37"/>
      <c r="AW677" s="37"/>
      <c r="AX677" s="36"/>
    </row>
    <row r="678" spans="4:50" ht="15" thickBot="1" x14ac:dyDescent="0.4"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  <c r="AD678" s="37"/>
      <c r="AE678" s="37"/>
      <c r="AF678" s="37"/>
      <c r="AG678" s="37"/>
      <c r="AH678" s="37"/>
      <c r="AI678" s="37"/>
      <c r="AJ678" s="37"/>
      <c r="AK678" s="37"/>
      <c r="AL678" s="37"/>
      <c r="AM678" s="37"/>
      <c r="AN678" s="37"/>
      <c r="AO678" s="37"/>
      <c r="AP678" s="37"/>
      <c r="AQ678" s="37"/>
      <c r="AR678" s="37"/>
      <c r="AS678" s="37"/>
      <c r="AT678" s="37"/>
      <c r="AU678" s="37"/>
      <c r="AV678" s="37"/>
      <c r="AW678" s="37"/>
      <c r="AX678" s="36"/>
    </row>
    <row r="679" spans="4:50" ht="15" thickBot="1" x14ac:dyDescent="0.4"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  <c r="AD679" s="37"/>
      <c r="AE679" s="37"/>
      <c r="AF679" s="37"/>
      <c r="AG679" s="37"/>
      <c r="AH679" s="37"/>
      <c r="AI679" s="37"/>
      <c r="AJ679" s="37"/>
      <c r="AK679" s="37"/>
      <c r="AL679" s="37"/>
      <c r="AM679" s="37"/>
      <c r="AN679" s="37"/>
      <c r="AO679" s="37"/>
      <c r="AP679" s="37"/>
      <c r="AQ679" s="37"/>
      <c r="AR679" s="37"/>
      <c r="AS679" s="37"/>
      <c r="AT679" s="37"/>
      <c r="AU679" s="37"/>
      <c r="AV679" s="37"/>
      <c r="AW679" s="37"/>
      <c r="AX679" s="36"/>
    </row>
    <row r="680" spans="4:50" ht="15" thickBot="1" x14ac:dyDescent="0.4"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  <c r="AD680" s="37"/>
      <c r="AE680" s="37"/>
      <c r="AF680" s="37"/>
      <c r="AG680" s="37"/>
      <c r="AH680" s="37"/>
      <c r="AI680" s="37"/>
      <c r="AJ680" s="37"/>
      <c r="AK680" s="37"/>
      <c r="AL680" s="37"/>
      <c r="AM680" s="37"/>
      <c r="AN680" s="37"/>
      <c r="AO680" s="37"/>
      <c r="AP680" s="37"/>
      <c r="AQ680" s="37"/>
      <c r="AR680" s="37"/>
      <c r="AS680" s="37"/>
      <c r="AT680" s="37"/>
      <c r="AU680" s="37"/>
      <c r="AV680" s="37"/>
      <c r="AW680" s="37"/>
      <c r="AX680" s="36"/>
    </row>
    <row r="681" spans="4:50" ht="15" thickBot="1" x14ac:dyDescent="0.4"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  <c r="AD681" s="37"/>
      <c r="AE681" s="37"/>
      <c r="AF681" s="37"/>
      <c r="AG681" s="37"/>
      <c r="AH681" s="37"/>
      <c r="AI681" s="37"/>
      <c r="AJ681" s="37"/>
      <c r="AK681" s="37"/>
      <c r="AL681" s="37"/>
      <c r="AM681" s="37"/>
      <c r="AN681" s="37"/>
      <c r="AO681" s="37"/>
      <c r="AP681" s="37"/>
      <c r="AQ681" s="37"/>
      <c r="AR681" s="37"/>
      <c r="AS681" s="37"/>
      <c r="AT681" s="37"/>
      <c r="AU681" s="37"/>
      <c r="AV681" s="37"/>
      <c r="AW681" s="37"/>
      <c r="AX681" s="36"/>
    </row>
    <row r="682" spans="4:50" ht="15" thickBot="1" x14ac:dyDescent="0.4"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  <c r="AD682" s="37"/>
      <c r="AE682" s="37"/>
      <c r="AF682" s="37"/>
      <c r="AG682" s="37"/>
      <c r="AH682" s="37"/>
      <c r="AI682" s="37"/>
      <c r="AJ682" s="37"/>
      <c r="AK682" s="37"/>
      <c r="AL682" s="37"/>
      <c r="AM682" s="37"/>
      <c r="AN682" s="37"/>
      <c r="AO682" s="37"/>
      <c r="AP682" s="37"/>
      <c r="AQ682" s="37"/>
      <c r="AR682" s="37"/>
      <c r="AS682" s="37"/>
      <c r="AT682" s="37"/>
      <c r="AU682" s="37"/>
      <c r="AV682" s="37"/>
      <c r="AW682" s="37"/>
      <c r="AX682" s="36"/>
    </row>
    <row r="683" spans="4:50" ht="15" thickBot="1" x14ac:dyDescent="0.4"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  <c r="AD683" s="37"/>
      <c r="AE683" s="37"/>
      <c r="AF683" s="37"/>
      <c r="AG683" s="37"/>
      <c r="AH683" s="37"/>
      <c r="AI683" s="37"/>
      <c r="AJ683" s="37"/>
      <c r="AK683" s="37"/>
      <c r="AL683" s="37"/>
      <c r="AM683" s="37"/>
      <c r="AN683" s="37"/>
      <c r="AO683" s="37"/>
      <c r="AP683" s="37"/>
      <c r="AQ683" s="37"/>
      <c r="AR683" s="37"/>
      <c r="AS683" s="37"/>
      <c r="AT683" s="37"/>
      <c r="AU683" s="37"/>
      <c r="AV683" s="37"/>
      <c r="AW683" s="37"/>
      <c r="AX683" s="36"/>
    </row>
    <row r="684" spans="4:50" ht="15" thickBot="1" x14ac:dyDescent="0.4"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  <c r="AD684" s="37"/>
      <c r="AE684" s="37"/>
      <c r="AF684" s="37"/>
      <c r="AG684" s="37"/>
      <c r="AH684" s="37"/>
      <c r="AI684" s="37"/>
      <c r="AJ684" s="37"/>
      <c r="AK684" s="37"/>
      <c r="AL684" s="37"/>
      <c r="AM684" s="37"/>
      <c r="AN684" s="37"/>
      <c r="AO684" s="37"/>
      <c r="AP684" s="37"/>
      <c r="AQ684" s="37"/>
      <c r="AR684" s="37"/>
      <c r="AS684" s="37"/>
      <c r="AT684" s="37"/>
      <c r="AU684" s="37"/>
      <c r="AV684" s="37"/>
      <c r="AW684" s="37"/>
      <c r="AX684" s="36"/>
    </row>
    <row r="685" spans="4:50" ht="15" thickBot="1" x14ac:dyDescent="0.4"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  <c r="AD685" s="37"/>
      <c r="AE685" s="37"/>
      <c r="AF685" s="37"/>
      <c r="AG685" s="37"/>
      <c r="AH685" s="37"/>
      <c r="AI685" s="37"/>
      <c r="AJ685" s="37"/>
      <c r="AK685" s="37"/>
      <c r="AL685" s="37"/>
      <c r="AM685" s="37"/>
      <c r="AN685" s="37"/>
      <c r="AO685" s="37"/>
      <c r="AP685" s="37"/>
      <c r="AQ685" s="37"/>
      <c r="AR685" s="37"/>
      <c r="AS685" s="37"/>
      <c r="AT685" s="37"/>
      <c r="AU685" s="37"/>
      <c r="AV685" s="37"/>
      <c r="AW685" s="37"/>
      <c r="AX685" s="36"/>
    </row>
    <row r="686" spans="4:50" ht="15" thickBot="1" x14ac:dyDescent="0.4"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  <c r="AD686" s="37"/>
      <c r="AE686" s="37"/>
      <c r="AF686" s="37"/>
      <c r="AG686" s="37"/>
      <c r="AH686" s="37"/>
      <c r="AI686" s="37"/>
      <c r="AJ686" s="37"/>
      <c r="AK686" s="37"/>
      <c r="AL686" s="37"/>
      <c r="AM686" s="37"/>
      <c r="AN686" s="37"/>
      <c r="AO686" s="37"/>
      <c r="AP686" s="37"/>
      <c r="AQ686" s="37"/>
      <c r="AR686" s="37"/>
      <c r="AS686" s="37"/>
      <c r="AT686" s="37"/>
      <c r="AU686" s="37"/>
      <c r="AV686" s="37"/>
      <c r="AW686" s="37"/>
      <c r="AX686" s="36"/>
    </row>
    <row r="687" spans="4:50" ht="15" thickBot="1" x14ac:dyDescent="0.4"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  <c r="AD687" s="37"/>
      <c r="AE687" s="37"/>
      <c r="AF687" s="37"/>
      <c r="AG687" s="37"/>
      <c r="AH687" s="37"/>
      <c r="AI687" s="37"/>
      <c r="AJ687" s="37"/>
      <c r="AK687" s="37"/>
      <c r="AL687" s="37"/>
      <c r="AM687" s="37"/>
      <c r="AN687" s="37"/>
      <c r="AO687" s="37"/>
      <c r="AP687" s="37"/>
      <c r="AQ687" s="37"/>
      <c r="AR687" s="37"/>
      <c r="AS687" s="37"/>
      <c r="AT687" s="37"/>
      <c r="AU687" s="37"/>
      <c r="AV687" s="37"/>
      <c r="AW687" s="37"/>
      <c r="AX687" s="36"/>
    </row>
    <row r="688" spans="4:50" ht="15" thickBot="1" x14ac:dyDescent="0.4"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  <c r="AD688" s="37"/>
      <c r="AE688" s="37"/>
      <c r="AF688" s="37"/>
      <c r="AG688" s="37"/>
      <c r="AH688" s="37"/>
      <c r="AI688" s="37"/>
      <c r="AJ688" s="37"/>
      <c r="AK688" s="37"/>
      <c r="AL688" s="37"/>
      <c r="AM688" s="37"/>
      <c r="AN688" s="37"/>
      <c r="AO688" s="37"/>
      <c r="AP688" s="37"/>
      <c r="AQ688" s="37"/>
      <c r="AR688" s="37"/>
      <c r="AS688" s="37"/>
      <c r="AT688" s="37"/>
      <c r="AU688" s="37"/>
      <c r="AV688" s="37"/>
      <c r="AW688" s="37"/>
      <c r="AX688" s="36"/>
    </row>
    <row r="689" spans="4:50" ht="15" thickBot="1" x14ac:dyDescent="0.4"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  <c r="AD689" s="37"/>
      <c r="AE689" s="37"/>
      <c r="AF689" s="37"/>
      <c r="AG689" s="37"/>
      <c r="AH689" s="37"/>
      <c r="AI689" s="37"/>
      <c r="AJ689" s="37"/>
      <c r="AK689" s="37"/>
      <c r="AL689" s="37"/>
      <c r="AM689" s="37"/>
      <c r="AN689" s="37"/>
      <c r="AO689" s="37"/>
      <c r="AP689" s="37"/>
      <c r="AQ689" s="37"/>
      <c r="AR689" s="37"/>
      <c r="AS689" s="37"/>
      <c r="AT689" s="37"/>
      <c r="AU689" s="37"/>
      <c r="AV689" s="37"/>
      <c r="AW689" s="37"/>
      <c r="AX689" s="36"/>
    </row>
    <row r="690" spans="4:50" ht="15" thickBot="1" x14ac:dyDescent="0.4"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  <c r="AD690" s="37"/>
      <c r="AE690" s="37"/>
      <c r="AF690" s="37"/>
      <c r="AG690" s="37"/>
      <c r="AH690" s="37"/>
      <c r="AI690" s="37"/>
      <c r="AJ690" s="37"/>
      <c r="AK690" s="37"/>
      <c r="AL690" s="37"/>
      <c r="AM690" s="37"/>
      <c r="AN690" s="37"/>
      <c r="AO690" s="37"/>
      <c r="AP690" s="37"/>
      <c r="AQ690" s="37"/>
      <c r="AR690" s="37"/>
      <c r="AS690" s="37"/>
      <c r="AT690" s="37"/>
      <c r="AU690" s="37"/>
      <c r="AV690" s="37"/>
      <c r="AW690" s="37"/>
      <c r="AX690" s="36"/>
    </row>
    <row r="691" spans="4:50" ht="15" thickBot="1" x14ac:dyDescent="0.4"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  <c r="AD691" s="37"/>
      <c r="AE691" s="37"/>
      <c r="AF691" s="37"/>
      <c r="AG691" s="37"/>
      <c r="AH691" s="37"/>
      <c r="AI691" s="37"/>
      <c r="AJ691" s="37"/>
      <c r="AK691" s="37"/>
      <c r="AL691" s="37"/>
      <c r="AM691" s="37"/>
      <c r="AN691" s="37"/>
      <c r="AO691" s="37"/>
      <c r="AP691" s="37"/>
      <c r="AQ691" s="37"/>
      <c r="AR691" s="37"/>
      <c r="AS691" s="37"/>
      <c r="AT691" s="37"/>
      <c r="AU691" s="37"/>
      <c r="AV691" s="37"/>
      <c r="AW691" s="37"/>
      <c r="AX691" s="36"/>
    </row>
    <row r="692" spans="4:50" ht="15" thickBot="1" x14ac:dyDescent="0.4"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  <c r="AD692" s="37"/>
      <c r="AE692" s="37"/>
      <c r="AF692" s="37"/>
      <c r="AG692" s="37"/>
      <c r="AH692" s="37"/>
      <c r="AI692" s="37"/>
      <c r="AJ692" s="37"/>
      <c r="AK692" s="37"/>
      <c r="AL692" s="37"/>
      <c r="AM692" s="37"/>
      <c r="AN692" s="37"/>
      <c r="AO692" s="37"/>
      <c r="AP692" s="37"/>
      <c r="AQ692" s="37"/>
      <c r="AR692" s="37"/>
      <c r="AS692" s="37"/>
      <c r="AT692" s="37"/>
      <c r="AU692" s="37"/>
      <c r="AV692" s="37"/>
      <c r="AW692" s="37"/>
      <c r="AX692" s="36"/>
    </row>
    <row r="693" spans="4:50" ht="15" thickBot="1" x14ac:dyDescent="0.4"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  <c r="AD693" s="37"/>
      <c r="AE693" s="37"/>
      <c r="AF693" s="37"/>
      <c r="AG693" s="37"/>
      <c r="AH693" s="37"/>
      <c r="AI693" s="37"/>
      <c r="AJ693" s="37"/>
      <c r="AK693" s="37"/>
      <c r="AL693" s="37"/>
      <c r="AM693" s="37"/>
      <c r="AN693" s="37"/>
      <c r="AO693" s="37"/>
      <c r="AP693" s="37"/>
      <c r="AQ693" s="37"/>
      <c r="AR693" s="37"/>
      <c r="AS693" s="37"/>
      <c r="AT693" s="37"/>
      <c r="AU693" s="37"/>
      <c r="AV693" s="37"/>
      <c r="AW693" s="37"/>
      <c r="AX693" s="36"/>
    </row>
    <row r="694" spans="4:50" ht="15" thickBot="1" x14ac:dyDescent="0.4"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  <c r="AD694" s="37"/>
      <c r="AE694" s="37"/>
      <c r="AF694" s="37"/>
      <c r="AG694" s="37"/>
      <c r="AH694" s="37"/>
      <c r="AI694" s="37"/>
      <c r="AJ694" s="37"/>
      <c r="AK694" s="37"/>
      <c r="AL694" s="37"/>
      <c r="AM694" s="37"/>
      <c r="AN694" s="37"/>
      <c r="AO694" s="37"/>
      <c r="AP694" s="37"/>
      <c r="AQ694" s="37"/>
      <c r="AR694" s="37"/>
      <c r="AS694" s="37"/>
      <c r="AT694" s="37"/>
      <c r="AU694" s="37"/>
      <c r="AV694" s="37"/>
      <c r="AW694" s="37"/>
      <c r="AX694" s="36"/>
    </row>
    <row r="695" spans="4:50" ht="15" thickBot="1" x14ac:dyDescent="0.4"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  <c r="AD695" s="37"/>
      <c r="AE695" s="37"/>
      <c r="AF695" s="37"/>
      <c r="AG695" s="37"/>
      <c r="AH695" s="37"/>
      <c r="AI695" s="37"/>
      <c r="AJ695" s="37"/>
      <c r="AK695" s="37"/>
      <c r="AL695" s="37"/>
      <c r="AM695" s="37"/>
      <c r="AN695" s="37"/>
      <c r="AO695" s="37"/>
      <c r="AP695" s="37"/>
      <c r="AQ695" s="37"/>
      <c r="AR695" s="37"/>
      <c r="AS695" s="37"/>
      <c r="AT695" s="37"/>
      <c r="AU695" s="37"/>
      <c r="AV695" s="37"/>
      <c r="AW695" s="37"/>
      <c r="AX695" s="36"/>
    </row>
    <row r="696" spans="4:50" ht="15" thickBot="1" x14ac:dyDescent="0.4"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  <c r="AD696" s="37"/>
      <c r="AE696" s="37"/>
      <c r="AF696" s="37"/>
      <c r="AG696" s="37"/>
      <c r="AH696" s="37"/>
      <c r="AI696" s="37"/>
      <c r="AJ696" s="37"/>
      <c r="AK696" s="37"/>
      <c r="AL696" s="37"/>
      <c r="AM696" s="37"/>
      <c r="AN696" s="37"/>
      <c r="AO696" s="37"/>
      <c r="AP696" s="37"/>
      <c r="AQ696" s="37"/>
      <c r="AR696" s="37"/>
      <c r="AS696" s="37"/>
      <c r="AT696" s="37"/>
      <c r="AU696" s="37"/>
      <c r="AV696" s="37"/>
      <c r="AW696" s="37"/>
      <c r="AX696" s="36"/>
    </row>
    <row r="697" spans="4:50" ht="15" thickBot="1" x14ac:dyDescent="0.4"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  <c r="AD697" s="37"/>
      <c r="AE697" s="37"/>
      <c r="AF697" s="37"/>
      <c r="AG697" s="37"/>
      <c r="AH697" s="37"/>
      <c r="AI697" s="37"/>
      <c r="AJ697" s="37"/>
      <c r="AK697" s="37"/>
      <c r="AL697" s="37"/>
      <c r="AM697" s="37"/>
      <c r="AN697" s="37"/>
      <c r="AO697" s="37"/>
      <c r="AP697" s="37"/>
      <c r="AQ697" s="37"/>
      <c r="AR697" s="37"/>
      <c r="AS697" s="37"/>
      <c r="AT697" s="37"/>
      <c r="AU697" s="37"/>
      <c r="AV697" s="37"/>
      <c r="AW697" s="37"/>
      <c r="AX697" s="36"/>
    </row>
    <row r="698" spans="4:50" ht="15" thickBot="1" x14ac:dyDescent="0.4"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  <c r="AE698" s="37"/>
      <c r="AF698" s="37"/>
      <c r="AG698" s="37"/>
      <c r="AH698" s="37"/>
      <c r="AI698" s="37"/>
      <c r="AJ698" s="37"/>
      <c r="AK698" s="37"/>
      <c r="AL698" s="37"/>
      <c r="AM698" s="37"/>
      <c r="AN698" s="37"/>
      <c r="AO698" s="37"/>
      <c r="AP698" s="37"/>
      <c r="AQ698" s="37"/>
      <c r="AR698" s="37"/>
      <c r="AS698" s="37"/>
      <c r="AT698" s="37"/>
      <c r="AU698" s="37"/>
      <c r="AV698" s="37"/>
      <c r="AW698" s="37"/>
      <c r="AX698" s="36"/>
    </row>
    <row r="699" spans="4:50" ht="15" thickBot="1" x14ac:dyDescent="0.4"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  <c r="AD699" s="37"/>
      <c r="AE699" s="37"/>
      <c r="AF699" s="37"/>
      <c r="AG699" s="37"/>
      <c r="AH699" s="37"/>
      <c r="AI699" s="37"/>
      <c r="AJ699" s="37"/>
      <c r="AK699" s="37"/>
      <c r="AL699" s="37"/>
      <c r="AM699" s="37"/>
      <c r="AN699" s="37"/>
      <c r="AO699" s="37"/>
      <c r="AP699" s="37"/>
      <c r="AQ699" s="37"/>
      <c r="AR699" s="37"/>
      <c r="AS699" s="37"/>
      <c r="AT699" s="37"/>
      <c r="AU699" s="37"/>
      <c r="AV699" s="37"/>
      <c r="AW699" s="37"/>
      <c r="AX699" s="36"/>
    </row>
    <row r="700" spans="4:50" ht="15" thickBot="1" x14ac:dyDescent="0.4"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  <c r="AD700" s="37"/>
      <c r="AE700" s="37"/>
      <c r="AF700" s="37"/>
      <c r="AG700" s="37"/>
      <c r="AH700" s="37"/>
      <c r="AI700" s="37"/>
      <c r="AJ700" s="37"/>
      <c r="AK700" s="37"/>
      <c r="AL700" s="37"/>
      <c r="AM700" s="37"/>
      <c r="AN700" s="37"/>
      <c r="AO700" s="37"/>
      <c r="AP700" s="37"/>
      <c r="AQ700" s="37"/>
      <c r="AR700" s="37"/>
      <c r="AS700" s="37"/>
      <c r="AT700" s="37"/>
      <c r="AU700" s="37"/>
      <c r="AV700" s="37"/>
      <c r="AW700" s="37"/>
      <c r="AX700" s="36"/>
    </row>
    <row r="701" spans="4:50" ht="15" thickBot="1" x14ac:dyDescent="0.4"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  <c r="AD701" s="37"/>
      <c r="AE701" s="37"/>
      <c r="AF701" s="37"/>
      <c r="AG701" s="37"/>
      <c r="AH701" s="37"/>
      <c r="AI701" s="37"/>
      <c r="AJ701" s="37"/>
      <c r="AK701" s="37"/>
      <c r="AL701" s="37"/>
      <c r="AM701" s="37"/>
      <c r="AN701" s="37"/>
      <c r="AO701" s="37"/>
      <c r="AP701" s="37"/>
      <c r="AQ701" s="37"/>
      <c r="AR701" s="37"/>
      <c r="AS701" s="37"/>
      <c r="AT701" s="37"/>
      <c r="AU701" s="37"/>
      <c r="AV701" s="37"/>
      <c r="AW701" s="37"/>
      <c r="AX701" s="36"/>
    </row>
    <row r="702" spans="4:50" ht="15" thickBot="1" x14ac:dyDescent="0.4"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  <c r="AD702" s="37"/>
      <c r="AE702" s="37"/>
      <c r="AF702" s="37"/>
      <c r="AG702" s="37"/>
      <c r="AH702" s="37"/>
      <c r="AI702" s="37"/>
      <c r="AJ702" s="37"/>
      <c r="AK702" s="37"/>
      <c r="AL702" s="37"/>
      <c r="AM702" s="37"/>
      <c r="AN702" s="37"/>
      <c r="AO702" s="37"/>
      <c r="AP702" s="37"/>
      <c r="AQ702" s="37"/>
      <c r="AR702" s="37"/>
      <c r="AS702" s="37"/>
      <c r="AT702" s="37"/>
      <c r="AU702" s="37"/>
      <c r="AV702" s="37"/>
      <c r="AW702" s="37"/>
      <c r="AX702" s="36"/>
    </row>
    <row r="703" spans="4:50" ht="15" thickBot="1" x14ac:dyDescent="0.4"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  <c r="AD703" s="37"/>
      <c r="AE703" s="37"/>
      <c r="AF703" s="37"/>
      <c r="AG703" s="37"/>
      <c r="AH703" s="37"/>
      <c r="AI703" s="37"/>
      <c r="AJ703" s="37"/>
      <c r="AK703" s="37"/>
      <c r="AL703" s="37"/>
      <c r="AM703" s="37"/>
      <c r="AN703" s="37"/>
      <c r="AO703" s="37"/>
      <c r="AP703" s="37"/>
      <c r="AQ703" s="37"/>
      <c r="AR703" s="37"/>
      <c r="AS703" s="37"/>
      <c r="AT703" s="37"/>
      <c r="AU703" s="37"/>
      <c r="AV703" s="37"/>
      <c r="AW703" s="37"/>
      <c r="AX703" s="36"/>
    </row>
    <row r="704" spans="4:50" ht="15" thickBot="1" x14ac:dyDescent="0.4"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  <c r="AD704" s="37"/>
      <c r="AE704" s="37"/>
      <c r="AF704" s="37"/>
      <c r="AG704" s="37"/>
      <c r="AH704" s="37"/>
      <c r="AI704" s="37"/>
      <c r="AJ704" s="37"/>
      <c r="AK704" s="37"/>
      <c r="AL704" s="37"/>
      <c r="AM704" s="37"/>
      <c r="AN704" s="37"/>
      <c r="AO704" s="37"/>
      <c r="AP704" s="37"/>
      <c r="AQ704" s="37"/>
      <c r="AR704" s="37"/>
      <c r="AS704" s="37"/>
      <c r="AT704" s="37"/>
      <c r="AU704" s="37"/>
      <c r="AV704" s="37"/>
      <c r="AW704" s="37"/>
      <c r="AX704" s="36"/>
    </row>
    <row r="705" spans="4:50" ht="15" thickBot="1" x14ac:dyDescent="0.4"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  <c r="AD705" s="37"/>
      <c r="AE705" s="37"/>
      <c r="AF705" s="37"/>
      <c r="AG705" s="37"/>
      <c r="AH705" s="37"/>
      <c r="AI705" s="37"/>
      <c r="AJ705" s="37"/>
      <c r="AK705" s="37"/>
      <c r="AL705" s="37"/>
      <c r="AM705" s="37"/>
      <c r="AN705" s="37"/>
      <c r="AO705" s="37"/>
      <c r="AP705" s="37"/>
      <c r="AQ705" s="37"/>
      <c r="AR705" s="37"/>
      <c r="AS705" s="37"/>
      <c r="AT705" s="37"/>
      <c r="AU705" s="37"/>
      <c r="AV705" s="37"/>
      <c r="AW705" s="37"/>
      <c r="AX705" s="36"/>
    </row>
    <row r="706" spans="4:50" ht="15" thickBot="1" x14ac:dyDescent="0.4"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  <c r="AD706" s="37"/>
      <c r="AE706" s="37"/>
      <c r="AF706" s="37"/>
      <c r="AG706" s="37"/>
      <c r="AH706" s="37"/>
      <c r="AI706" s="37"/>
      <c r="AJ706" s="37"/>
      <c r="AK706" s="37"/>
      <c r="AL706" s="37"/>
      <c r="AM706" s="37"/>
      <c r="AN706" s="37"/>
      <c r="AO706" s="37"/>
      <c r="AP706" s="37"/>
      <c r="AQ706" s="37"/>
      <c r="AR706" s="37"/>
      <c r="AS706" s="37"/>
      <c r="AT706" s="37"/>
      <c r="AU706" s="37"/>
      <c r="AV706" s="37"/>
      <c r="AW706" s="37"/>
      <c r="AX706" s="36"/>
    </row>
    <row r="707" spans="4:50" ht="15" thickBot="1" x14ac:dyDescent="0.4"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  <c r="AD707" s="37"/>
      <c r="AE707" s="37"/>
      <c r="AF707" s="37"/>
      <c r="AG707" s="37"/>
      <c r="AH707" s="37"/>
      <c r="AI707" s="37"/>
      <c r="AJ707" s="37"/>
      <c r="AK707" s="37"/>
      <c r="AL707" s="37"/>
      <c r="AM707" s="37"/>
      <c r="AN707" s="37"/>
      <c r="AO707" s="37"/>
      <c r="AP707" s="37"/>
      <c r="AQ707" s="37"/>
      <c r="AR707" s="37"/>
      <c r="AS707" s="37"/>
      <c r="AT707" s="37"/>
      <c r="AU707" s="37"/>
      <c r="AV707" s="37"/>
      <c r="AW707" s="37"/>
      <c r="AX707" s="36"/>
    </row>
    <row r="708" spans="4:50" ht="15" thickBot="1" x14ac:dyDescent="0.4"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7"/>
      <c r="AN708" s="37"/>
      <c r="AO708" s="37"/>
      <c r="AP708" s="37"/>
      <c r="AQ708" s="37"/>
      <c r="AR708" s="37"/>
      <c r="AS708" s="37"/>
      <c r="AT708" s="37"/>
      <c r="AU708" s="37"/>
      <c r="AV708" s="37"/>
      <c r="AW708" s="37"/>
      <c r="AX708" s="36"/>
    </row>
    <row r="709" spans="4:50" ht="15" thickBot="1" x14ac:dyDescent="0.4"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  <c r="AD709" s="37"/>
      <c r="AE709" s="37"/>
      <c r="AF709" s="37"/>
      <c r="AG709" s="37"/>
      <c r="AH709" s="37"/>
      <c r="AI709" s="37"/>
      <c r="AJ709" s="37"/>
      <c r="AK709" s="37"/>
      <c r="AL709" s="37"/>
      <c r="AM709" s="37"/>
      <c r="AN709" s="37"/>
      <c r="AO709" s="37"/>
      <c r="AP709" s="37"/>
      <c r="AQ709" s="37"/>
      <c r="AR709" s="37"/>
      <c r="AS709" s="37"/>
      <c r="AT709" s="37"/>
      <c r="AU709" s="37"/>
      <c r="AV709" s="37"/>
      <c r="AW709" s="37"/>
      <c r="AX709" s="36"/>
    </row>
    <row r="710" spans="4:50" ht="15" thickBot="1" x14ac:dyDescent="0.4"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  <c r="AD710" s="37"/>
      <c r="AE710" s="37"/>
      <c r="AF710" s="37"/>
      <c r="AG710" s="37"/>
      <c r="AH710" s="37"/>
      <c r="AI710" s="37"/>
      <c r="AJ710" s="37"/>
      <c r="AK710" s="37"/>
      <c r="AL710" s="37"/>
      <c r="AM710" s="37"/>
      <c r="AN710" s="37"/>
      <c r="AO710" s="37"/>
      <c r="AP710" s="37"/>
      <c r="AQ710" s="37"/>
      <c r="AR710" s="37"/>
      <c r="AS710" s="37"/>
      <c r="AT710" s="37"/>
      <c r="AU710" s="37"/>
      <c r="AV710" s="37"/>
      <c r="AW710" s="37"/>
      <c r="AX710" s="36"/>
    </row>
    <row r="711" spans="4:50" ht="15" thickBot="1" x14ac:dyDescent="0.4"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  <c r="AE711" s="37"/>
      <c r="AF711" s="37"/>
      <c r="AG711" s="37"/>
      <c r="AH711" s="37"/>
      <c r="AI711" s="37"/>
      <c r="AJ711" s="37"/>
      <c r="AK711" s="37"/>
      <c r="AL711" s="37"/>
      <c r="AM711" s="37"/>
      <c r="AN711" s="37"/>
      <c r="AO711" s="37"/>
      <c r="AP711" s="37"/>
      <c r="AQ711" s="37"/>
      <c r="AR711" s="37"/>
      <c r="AS711" s="37"/>
      <c r="AT711" s="37"/>
      <c r="AU711" s="37"/>
      <c r="AV711" s="37"/>
      <c r="AW711" s="37"/>
      <c r="AX711" s="36"/>
    </row>
    <row r="712" spans="4:50" ht="15" thickBot="1" x14ac:dyDescent="0.4"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  <c r="AD712" s="37"/>
      <c r="AE712" s="37"/>
      <c r="AF712" s="37"/>
      <c r="AG712" s="37"/>
      <c r="AH712" s="37"/>
      <c r="AI712" s="37"/>
      <c r="AJ712" s="37"/>
      <c r="AK712" s="37"/>
      <c r="AL712" s="37"/>
      <c r="AM712" s="37"/>
      <c r="AN712" s="37"/>
      <c r="AO712" s="37"/>
      <c r="AP712" s="37"/>
      <c r="AQ712" s="37"/>
      <c r="AR712" s="37"/>
      <c r="AS712" s="37"/>
      <c r="AT712" s="37"/>
      <c r="AU712" s="37"/>
      <c r="AV712" s="37"/>
      <c r="AW712" s="37"/>
      <c r="AX712" s="36"/>
    </row>
    <row r="713" spans="4:50" ht="15" thickBot="1" x14ac:dyDescent="0.4"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  <c r="AD713" s="37"/>
      <c r="AE713" s="37"/>
      <c r="AF713" s="37"/>
      <c r="AG713" s="37"/>
      <c r="AH713" s="37"/>
      <c r="AI713" s="37"/>
      <c r="AJ713" s="37"/>
      <c r="AK713" s="37"/>
      <c r="AL713" s="37"/>
      <c r="AM713" s="37"/>
      <c r="AN713" s="37"/>
      <c r="AO713" s="37"/>
      <c r="AP713" s="37"/>
      <c r="AQ713" s="37"/>
      <c r="AR713" s="37"/>
      <c r="AS713" s="37"/>
      <c r="AT713" s="37"/>
      <c r="AU713" s="37"/>
      <c r="AV713" s="37"/>
      <c r="AW713" s="37"/>
      <c r="AX713" s="36"/>
    </row>
    <row r="714" spans="4:50" ht="15" thickBot="1" x14ac:dyDescent="0.4"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  <c r="AE714" s="37"/>
      <c r="AF714" s="37"/>
      <c r="AG714" s="37"/>
      <c r="AH714" s="37"/>
      <c r="AI714" s="37"/>
      <c r="AJ714" s="37"/>
      <c r="AK714" s="37"/>
      <c r="AL714" s="37"/>
      <c r="AM714" s="37"/>
      <c r="AN714" s="37"/>
      <c r="AO714" s="37"/>
      <c r="AP714" s="37"/>
      <c r="AQ714" s="37"/>
      <c r="AR714" s="37"/>
      <c r="AS714" s="37"/>
      <c r="AT714" s="37"/>
      <c r="AU714" s="37"/>
      <c r="AV714" s="37"/>
      <c r="AW714" s="37"/>
      <c r="AX714" s="36"/>
    </row>
    <row r="715" spans="4:50" ht="15" thickBot="1" x14ac:dyDescent="0.4"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  <c r="AD715" s="37"/>
      <c r="AE715" s="37"/>
      <c r="AF715" s="37"/>
      <c r="AG715" s="37"/>
      <c r="AH715" s="37"/>
      <c r="AI715" s="37"/>
      <c r="AJ715" s="37"/>
      <c r="AK715" s="37"/>
      <c r="AL715" s="37"/>
      <c r="AM715" s="37"/>
      <c r="AN715" s="37"/>
      <c r="AO715" s="37"/>
      <c r="AP715" s="37"/>
      <c r="AQ715" s="37"/>
      <c r="AR715" s="37"/>
      <c r="AS715" s="37"/>
      <c r="AT715" s="37"/>
      <c r="AU715" s="37"/>
      <c r="AV715" s="37"/>
      <c r="AW715" s="37"/>
      <c r="AX715" s="36"/>
    </row>
    <row r="716" spans="4:50" ht="15" thickBot="1" x14ac:dyDescent="0.4"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  <c r="AD716" s="37"/>
      <c r="AE716" s="37"/>
      <c r="AF716" s="37"/>
      <c r="AG716" s="37"/>
      <c r="AH716" s="37"/>
      <c r="AI716" s="37"/>
      <c r="AJ716" s="37"/>
      <c r="AK716" s="37"/>
      <c r="AL716" s="37"/>
      <c r="AM716" s="37"/>
      <c r="AN716" s="37"/>
      <c r="AO716" s="37"/>
      <c r="AP716" s="37"/>
      <c r="AQ716" s="37"/>
      <c r="AR716" s="37"/>
      <c r="AS716" s="37"/>
      <c r="AT716" s="37"/>
      <c r="AU716" s="37"/>
      <c r="AV716" s="37"/>
      <c r="AW716" s="37"/>
      <c r="AX716" s="36"/>
    </row>
    <row r="717" spans="4:50" ht="15" thickBot="1" x14ac:dyDescent="0.4"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  <c r="AD717" s="37"/>
      <c r="AE717" s="37"/>
      <c r="AF717" s="37"/>
      <c r="AG717" s="37"/>
      <c r="AH717" s="37"/>
      <c r="AI717" s="37"/>
      <c r="AJ717" s="37"/>
      <c r="AK717" s="37"/>
      <c r="AL717" s="37"/>
      <c r="AM717" s="37"/>
      <c r="AN717" s="37"/>
      <c r="AO717" s="37"/>
      <c r="AP717" s="37"/>
      <c r="AQ717" s="37"/>
      <c r="AR717" s="37"/>
      <c r="AS717" s="37"/>
      <c r="AT717" s="37"/>
      <c r="AU717" s="37"/>
      <c r="AV717" s="37"/>
      <c r="AW717" s="37"/>
      <c r="AX717" s="36"/>
    </row>
    <row r="718" spans="4:50" ht="15" thickBot="1" x14ac:dyDescent="0.4"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  <c r="AD718" s="37"/>
      <c r="AE718" s="37"/>
      <c r="AF718" s="37"/>
      <c r="AG718" s="37"/>
      <c r="AH718" s="37"/>
      <c r="AI718" s="37"/>
      <c r="AJ718" s="37"/>
      <c r="AK718" s="37"/>
      <c r="AL718" s="37"/>
      <c r="AM718" s="37"/>
      <c r="AN718" s="37"/>
      <c r="AO718" s="37"/>
      <c r="AP718" s="37"/>
      <c r="AQ718" s="37"/>
      <c r="AR718" s="37"/>
      <c r="AS718" s="37"/>
      <c r="AT718" s="37"/>
      <c r="AU718" s="37"/>
      <c r="AV718" s="37"/>
      <c r="AW718" s="37"/>
      <c r="AX718" s="36"/>
    </row>
    <row r="719" spans="4:50" ht="15" thickBot="1" x14ac:dyDescent="0.4"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  <c r="AD719" s="37"/>
      <c r="AE719" s="37"/>
      <c r="AF719" s="37"/>
      <c r="AG719" s="37"/>
      <c r="AH719" s="37"/>
      <c r="AI719" s="37"/>
      <c r="AJ719" s="37"/>
      <c r="AK719" s="37"/>
      <c r="AL719" s="37"/>
      <c r="AM719" s="37"/>
      <c r="AN719" s="37"/>
      <c r="AO719" s="37"/>
      <c r="AP719" s="37"/>
      <c r="AQ719" s="37"/>
      <c r="AR719" s="37"/>
      <c r="AS719" s="37"/>
      <c r="AT719" s="37"/>
      <c r="AU719" s="37"/>
      <c r="AV719" s="37"/>
      <c r="AW719" s="37"/>
      <c r="AX719" s="36"/>
    </row>
    <row r="720" spans="4:50" ht="15" thickBot="1" x14ac:dyDescent="0.4"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  <c r="AD720" s="37"/>
      <c r="AE720" s="37"/>
      <c r="AF720" s="37"/>
      <c r="AG720" s="37"/>
      <c r="AH720" s="37"/>
      <c r="AI720" s="37"/>
      <c r="AJ720" s="37"/>
      <c r="AK720" s="37"/>
      <c r="AL720" s="37"/>
      <c r="AM720" s="37"/>
      <c r="AN720" s="37"/>
      <c r="AO720" s="37"/>
      <c r="AP720" s="37"/>
      <c r="AQ720" s="37"/>
      <c r="AR720" s="37"/>
      <c r="AS720" s="37"/>
      <c r="AT720" s="37"/>
      <c r="AU720" s="37"/>
      <c r="AV720" s="37"/>
      <c r="AW720" s="37"/>
      <c r="AX720" s="36"/>
    </row>
    <row r="721" spans="4:50" ht="15" thickBot="1" x14ac:dyDescent="0.4"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  <c r="AD721" s="37"/>
      <c r="AE721" s="37"/>
      <c r="AF721" s="37"/>
      <c r="AG721" s="37"/>
      <c r="AH721" s="37"/>
      <c r="AI721" s="37"/>
      <c r="AJ721" s="37"/>
      <c r="AK721" s="37"/>
      <c r="AL721" s="37"/>
      <c r="AM721" s="37"/>
      <c r="AN721" s="37"/>
      <c r="AO721" s="37"/>
      <c r="AP721" s="37"/>
      <c r="AQ721" s="37"/>
      <c r="AR721" s="37"/>
      <c r="AS721" s="37"/>
      <c r="AT721" s="37"/>
      <c r="AU721" s="37"/>
      <c r="AV721" s="37"/>
      <c r="AW721" s="37"/>
      <c r="AX721" s="36"/>
    </row>
    <row r="722" spans="4:50" ht="15" thickBot="1" x14ac:dyDescent="0.4"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  <c r="AD722" s="37"/>
      <c r="AE722" s="37"/>
      <c r="AF722" s="37"/>
      <c r="AG722" s="37"/>
      <c r="AH722" s="37"/>
      <c r="AI722" s="37"/>
      <c r="AJ722" s="37"/>
      <c r="AK722" s="37"/>
      <c r="AL722" s="37"/>
      <c r="AM722" s="37"/>
      <c r="AN722" s="37"/>
      <c r="AO722" s="37"/>
      <c r="AP722" s="37"/>
      <c r="AQ722" s="37"/>
      <c r="AR722" s="37"/>
      <c r="AS722" s="37"/>
      <c r="AT722" s="37"/>
      <c r="AU722" s="37"/>
      <c r="AV722" s="37"/>
      <c r="AW722" s="37"/>
      <c r="AX722" s="36"/>
    </row>
    <row r="723" spans="4:50" ht="15" thickBot="1" x14ac:dyDescent="0.4"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  <c r="AD723" s="37"/>
      <c r="AE723" s="37"/>
      <c r="AF723" s="37"/>
      <c r="AG723" s="37"/>
      <c r="AH723" s="37"/>
      <c r="AI723" s="37"/>
      <c r="AJ723" s="37"/>
      <c r="AK723" s="37"/>
      <c r="AL723" s="37"/>
      <c r="AM723" s="37"/>
      <c r="AN723" s="37"/>
      <c r="AO723" s="37"/>
      <c r="AP723" s="37"/>
      <c r="AQ723" s="37"/>
      <c r="AR723" s="37"/>
      <c r="AS723" s="37"/>
      <c r="AT723" s="37"/>
      <c r="AU723" s="37"/>
      <c r="AV723" s="37"/>
      <c r="AW723" s="37"/>
      <c r="AX723" s="36"/>
    </row>
    <row r="724" spans="4:50" ht="15" thickBot="1" x14ac:dyDescent="0.4"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  <c r="AD724" s="37"/>
      <c r="AE724" s="37"/>
      <c r="AF724" s="37"/>
      <c r="AG724" s="37"/>
      <c r="AH724" s="37"/>
      <c r="AI724" s="37"/>
      <c r="AJ724" s="37"/>
      <c r="AK724" s="37"/>
      <c r="AL724" s="37"/>
      <c r="AM724" s="37"/>
      <c r="AN724" s="37"/>
      <c r="AO724" s="37"/>
      <c r="AP724" s="37"/>
      <c r="AQ724" s="37"/>
      <c r="AR724" s="37"/>
      <c r="AS724" s="37"/>
      <c r="AT724" s="37"/>
      <c r="AU724" s="37"/>
      <c r="AV724" s="37"/>
      <c r="AW724" s="37"/>
      <c r="AX724" s="36"/>
    </row>
    <row r="725" spans="4:50" ht="15" thickBot="1" x14ac:dyDescent="0.4"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  <c r="AD725" s="37"/>
      <c r="AE725" s="37"/>
      <c r="AF725" s="37"/>
      <c r="AG725" s="37"/>
      <c r="AH725" s="37"/>
      <c r="AI725" s="37"/>
      <c r="AJ725" s="37"/>
      <c r="AK725" s="37"/>
      <c r="AL725" s="37"/>
      <c r="AM725" s="37"/>
      <c r="AN725" s="37"/>
      <c r="AO725" s="37"/>
      <c r="AP725" s="37"/>
      <c r="AQ725" s="37"/>
      <c r="AR725" s="37"/>
      <c r="AS725" s="37"/>
      <c r="AT725" s="37"/>
      <c r="AU725" s="37"/>
      <c r="AV725" s="37"/>
      <c r="AW725" s="37"/>
      <c r="AX725" s="36"/>
    </row>
    <row r="726" spans="4:50" ht="15" thickBot="1" x14ac:dyDescent="0.4"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  <c r="AD726" s="37"/>
      <c r="AE726" s="37"/>
      <c r="AF726" s="37"/>
      <c r="AG726" s="37"/>
      <c r="AH726" s="37"/>
      <c r="AI726" s="37"/>
      <c r="AJ726" s="37"/>
      <c r="AK726" s="37"/>
      <c r="AL726" s="37"/>
      <c r="AM726" s="37"/>
      <c r="AN726" s="37"/>
      <c r="AO726" s="37"/>
      <c r="AP726" s="37"/>
      <c r="AQ726" s="37"/>
      <c r="AR726" s="37"/>
      <c r="AS726" s="37"/>
      <c r="AT726" s="37"/>
      <c r="AU726" s="37"/>
      <c r="AV726" s="37"/>
      <c r="AW726" s="37"/>
      <c r="AX726" s="36"/>
    </row>
    <row r="727" spans="4:50" ht="15" thickBot="1" x14ac:dyDescent="0.4"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  <c r="AD727" s="37"/>
      <c r="AE727" s="37"/>
      <c r="AF727" s="37"/>
      <c r="AG727" s="37"/>
      <c r="AH727" s="37"/>
      <c r="AI727" s="37"/>
      <c r="AJ727" s="37"/>
      <c r="AK727" s="37"/>
      <c r="AL727" s="37"/>
      <c r="AM727" s="37"/>
      <c r="AN727" s="37"/>
      <c r="AO727" s="37"/>
      <c r="AP727" s="37"/>
      <c r="AQ727" s="37"/>
      <c r="AR727" s="37"/>
      <c r="AS727" s="37"/>
      <c r="AT727" s="37"/>
      <c r="AU727" s="37"/>
      <c r="AV727" s="37"/>
      <c r="AW727" s="37"/>
      <c r="AX727" s="36"/>
    </row>
    <row r="728" spans="4:50" ht="15" thickBot="1" x14ac:dyDescent="0.4"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  <c r="AD728" s="37"/>
      <c r="AE728" s="37"/>
      <c r="AF728" s="37"/>
      <c r="AG728" s="37"/>
      <c r="AH728" s="37"/>
      <c r="AI728" s="37"/>
      <c r="AJ728" s="37"/>
      <c r="AK728" s="37"/>
      <c r="AL728" s="37"/>
      <c r="AM728" s="37"/>
      <c r="AN728" s="37"/>
      <c r="AO728" s="37"/>
      <c r="AP728" s="37"/>
      <c r="AQ728" s="37"/>
      <c r="AR728" s="37"/>
      <c r="AS728" s="37"/>
      <c r="AT728" s="37"/>
      <c r="AU728" s="37"/>
      <c r="AV728" s="37"/>
      <c r="AW728" s="37"/>
      <c r="AX728" s="36"/>
    </row>
    <row r="729" spans="4:50" ht="15" thickBot="1" x14ac:dyDescent="0.4"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  <c r="AD729" s="37"/>
      <c r="AE729" s="37"/>
      <c r="AF729" s="37"/>
      <c r="AG729" s="37"/>
      <c r="AH729" s="37"/>
      <c r="AI729" s="37"/>
      <c r="AJ729" s="37"/>
      <c r="AK729" s="37"/>
      <c r="AL729" s="37"/>
      <c r="AM729" s="37"/>
      <c r="AN729" s="37"/>
      <c r="AO729" s="37"/>
      <c r="AP729" s="37"/>
      <c r="AQ729" s="37"/>
      <c r="AR729" s="37"/>
      <c r="AS729" s="37"/>
      <c r="AT729" s="37"/>
      <c r="AU729" s="37"/>
      <c r="AV729" s="37"/>
      <c r="AW729" s="37"/>
      <c r="AX729" s="36"/>
    </row>
    <row r="730" spans="4:50" ht="15" thickBot="1" x14ac:dyDescent="0.4"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  <c r="AD730" s="37"/>
      <c r="AE730" s="37"/>
      <c r="AF730" s="37"/>
      <c r="AG730" s="37"/>
      <c r="AH730" s="37"/>
      <c r="AI730" s="37"/>
      <c r="AJ730" s="37"/>
      <c r="AK730" s="37"/>
      <c r="AL730" s="37"/>
      <c r="AM730" s="37"/>
      <c r="AN730" s="37"/>
      <c r="AO730" s="37"/>
      <c r="AP730" s="37"/>
      <c r="AQ730" s="37"/>
      <c r="AR730" s="37"/>
      <c r="AS730" s="37"/>
      <c r="AT730" s="37"/>
      <c r="AU730" s="37"/>
      <c r="AV730" s="37"/>
      <c r="AW730" s="37"/>
      <c r="AX730" s="36"/>
    </row>
    <row r="731" spans="4:50" ht="15" thickBot="1" x14ac:dyDescent="0.4"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  <c r="AD731" s="37"/>
      <c r="AE731" s="37"/>
      <c r="AF731" s="37"/>
      <c r="AG731" s="37"/>
      <c r="AH731" s="37"/>
      <c r="AI731" s="37"/>
      <c r="AJ731" s="37"/>
      <c r="AK731" s="37"/>
      <c r="AL731" s="37"/>
      <c r="AM731" s="37"/>
      <c r="AN731" s="37"/>
      <c r="AO731" s="37"/>
      <c r="AP731" s="37"/>
      <c r="AQ731" s="37"/>
      <c r="AR731" s="37"/>
      <c r="AS731" s="37"/>
      <c r="AT731" s="37"/>
      <c r="AU731" s="37"/>
      <c r="AV731" s="37"/>
      <c r="AW731" s="37"/>
      <c r="AX731" s="36"/>
    </row>
    <row r="732" spans="4:50" ht="15" thickBot="1" x14ac:dyDescent="0.4"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  <c r="AD732" s="37"/>
      <c r="AE732" s="37"/>
      <c r="AF732" s="37"/>
      <c r="AG732" s="37"/>
      <c r="AH732" s="37"/>
      <c r="AI732" s="37"/>
      <c r="AJ732" s="37"/>
      <c r="AK732" s="37"/>
      <c r="AL732" s="37"/>
      <c r="AM732" s="37"/>
      <c r="AN732" s="37"/>
      <c r="AO732" s="37"/>
      <c r="AP732" s="37"/>
      <c r="AQ732" s="37"/>
      <c r="AR732" s="37"/>
      <c r="AS732" s="37"/>
      <c r="AT732" s="37"/>
      <c r="AU732" s="37"/>
      <c r="AV732" s="37"/>
      <c r="AW732" s="37"/>
      <c r="AX732" s="36"/>
    </row>
    <row r="733" spans="4:50" ht="15" thickBot="1" x14ac:dyDescent="0.4"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  <c r="AD733" s="37"/>
      <c r="AE733" s="37"/>
      <c r="AF733" s="37"/>
      <c r="AG733" s="37"/>
      <c r="AH733" s="37"/>
      <c r="AI733" s="37"/>
      <c r="AJ733" s="37"/>
      <c r="AK733" s="37"/>
      <c r="AL733" s="37"/>
      <c r="AM733" s="37"/>
      <c r="AN733" s="37"/>
      <c r="AO733" s="37"/>
      <c r="AP733" s="37"/>
      <c r="AQ733" s="37"/>
      <c r="AR733" s="37"/>
      <c r="AS733" s="37"/>
      <c r="AT733" s="37"/>
      <c r="AU733" s="37"/>
      <c r="AV733" s="37"/>
      <c r="AW733" s="37"/>
      <c r="AX733" s="36"/>
    </row>
    <row r="734" spans="4:50" ht="15" thickBot="1" x14ac:dyDescent="0.4"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  <c r="AD734" s="37"/>
      <c r="AE734" s="37"/>
      <c r="AF734" s="37"/>
      <c r="AG734" s="37"/>
      <c r="AH734" s="37"/>
      <c r="AI734" s="37"/>
      <c r="AJ734" s="37"/>
      <c r="AK734" s="37"/>
      <c r="AL734" s="37"/>
      <c r="AM734" s="37"/>
      <c r="AN734" s="37"/>
      <c r="AO734" s="37"/>
      <c r="AP734" s="37"/>
      <c r="AQ734" s="37"/>
      <c r="AR734" s="37"/>
      <c r="AS734" s="37"/>
      <c r="AT734" s="37"/>
      <c r="AU734" s="37"/>
      <c r="AV734" s="37"/>
      <c r="AW734" s="37"/>
      <c r="AX734" s="36"/>
    </row>
    <row r="735" spans="4:50" ht="15" thickBot="1" x14ac:dyDescent="0.4"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  <c r="AD735" s="37"/>
      <c r="AE735" s="37"/>
      <c r="AF735" s="37"/>
      <c r="AG735" s="37"/>
      <c r="AH735" s="37"/>
      <c r="AI735" s="37"/>
      <c r="AJ735" s="37"/>
      <c r="AK735" s="37"/>
      <c r="AL735" s="37"/>
      <c r="AM735" s="37"/>
      <c r="AN735" s="37"/>
      <c r="AO735" s="37"/>
      <c r="AP735" s="37"/>
      <c r="AQ735" s="37"/>
      <c r="AR735" s="37"/>
      <c r="AS735" s="37"/>
      <c r="AT735" s="37"/>
      <c r="AU735" s="37"/>
      <c r="AV735" s="37"/>
      <c r="AW735" s="37"/>
      <c r="AX735" s="36"/>
    </row>
    <row r="736" spans="4:50" ht="15" thickBot="1" x14ac:dyDescent="0.4"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  <c r="AD736" s="37"/>
      <c r="AE736" s="37"/>
      <c r="AF736" s="37"/>
      <c r="AG736" s="37"/>
      <c r="AH736" s="37"/>
      <c r="AI736" s="37"/>
      <c r="AJ736" s="37"/>
      <c r="AK736" s="37"/>
      <c r="AL736" s="37"/>
      <c r="AM736" s="37"/>
      <c r="AN736" s="37"/>
      <c r="AO736" s="37"/>
      <c r="AP736" s="37"/>
      <c r="AQ736" s="37"/>
      <c r="AR736" s="37"/>
      <c r="AS736" s="37"/>
      <c r="AT736" s="37"/>
      <c r="AU736" s="37"/>
      <c r="AV736" s="37"/>
      <c r="AW736" s="37"/>
      <c r="AX736" s="36"/>
    </row>
    <row r="737" spans="4:50" ht="15" thickBot="1" x14ac:dyDescent="0.4"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  <c r="AD737" s="37"/>
      <c r="AE737" s="37"/>
      <c r="AF737" s="37"/>
      <c r="AG737" s="37"/>
      <c r="AH737" s="37"/>
      <c r="AI737" s="37"/>
      <c r="AJ737" s="37"/>
      <c r="AK737" s="37"/>
      <c r="AL737" s="37"/>
      <c r="AM737" s="37"/>
      <c r="AN737" s="37"/>
      <c r="AO737" s="37"/>
      <c r="AP737" s="37"/>
      <c r="AQ737" s="37"/>
      <c r="AR737" s="37"/>
      <c r="AS737" s="37"/>
      <c r="AT737" s="37"/>
      <c r="AU737" s="37"/>
      <c r="AV737" s="37"/>
      <c r="AW737" s="37"/>
      <c r="AX737" s="36"/>
    </row>
    <row r="738" spans="4:50" ht="15" thickBot="1" x14ac:dyDescent="0.4"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  <c r="AD738" s="37"/>
      <c r="AE738" s="37"/>
      <c r="AF738" s="37"/>
      <c r="AG738" s="37"/>
      <c r="AH738" s="37"/>
      <c r="AI738" s="37"/>
      <c r="AJ738" s="37"/>
      <c r="AK738" s="37"/>
      <c r="AL738" s="37"/>
      <c r="AM738" s="37"/>
      <c r="AN738" s="37"/>
      <c r="AO738" s="37"/>
      <c r="AP738" s="37"/>
      <c r="AQ738" s="37"/>
      <c r="AR738" s="37"/>
      <c r="AS738" s="37"/>
      <c r="AT738" s="37"/>
      <c r="AU738" s="37"/>
      <c r="AV738" s="37"/>
      <c r="AW738" s="37"/>
      <c r="AX738" s="36"/>
    </row>
    <row r="739" spans="4:50" ht="15" thickBot="1" x14ac:dyDescent="0.4"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  <c r="AD739" s="37"/>
      <c r="AE739" s="37"/>
      <c r="AF739" s="37"/>
      <c r="AG739" s="37"/>
      <c r="AH739" s="37"/>
      <c r="AI739" s="37"/>
      <c r="AJ739" s="37"/>
      <c r="AK739" s="37"/>
      <c r="AL739" s="37"/>
      <c r="AM739" s="37"/>
      <c r="AN739" s="37"/>
      <c r="AO739" s="37"/>
      <c r="AP739" s="37"/>
      <c r="AQ739" s="37"/>
      <c r="AR739" s="37"/>
      <c r="AS739" s="37"/>
      <c r="AT739" s="37"/>
      <c r="AU739" s="37"/>
      <c r="AV739" s="37"/>
      <c r="AW739" s="37"/>
      <c r="AX739" s="36"/>
    </row>
    <row r="740" spans="4:50" ht="15" thickBot="1" x14ac:dyDescent="0.4"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  <c r="AD740" s="37"/>
      <c r="AE740" s="37"/>
      <c r="AF740" s="37"/>
      <c r="AG740" s="37"/>
      <c r="AH740" s="37"/>
      <c r="AI740" s="37"/>
      <c r="AJ740" s="37"/>
      <c r="AK740" s="37"/>
      <c r="AL740" s="37"/>
      <c r="AM740" s="37"/>
      <c r="AN740" s="37"/>
      <c r="AO740" s="37"/>
      <c r="AP740" s="37"/>
      <c r="AQ740" s="37"/>
      <c r="AR740" s="37"/>
      <c r="AS740" s="37"/>
      <c r="AT740" s="37"/>
      <c r="AU740" s="37"/>
      <c r="AV740" s="37"/>
      <c r="AW740" s="37"/>
      <c r="AX740" s="36"/>
    </row>
    <row r="741" spans="4:50" ht="15" thickBot="1" x14ac:dyDescent="0.4"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  <c r="AD741" s="37"/>
      <c r="AE741" s="37"/>
      <c r="AF741" s="37"/>
      <c r="AG741" s="37"/>
      <c r="AH741" s="37"/>
      <c r="AI741" s="37"/>
      <c r="AJ741" s="37"/>
      <c r="AK741" s="37"/>
      <c r="AL741" s="37"/>
      <c r="AM741" s="37"/>
      <c r="AN741" s="37"/>
      <c r="AO741" s="37"/>
      <c r="AP741" s="37"/>
      <c r="AQ741" s="37"/>
      <c r="AR741" s="37"/>
      <c r="AS741" s="37"/>
      <c r="AT741" s="37"/>
      <c r="AU741" s="37"/>
      <c r="AV741" s="37"/>
      <c r="AW741" s="37"/>
      <c r="AX741" s="36"/>
    </row>
    <row r="742" spans="4:50" ht="15" thickBot="1" x14ac:dyDescent="0.4"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  <c r="AD742" s="37"/>
      <c r="AE742" s="37"/>
      <c r="AF742" s="37"/>
      <c r="AG742" s="37"/>
      <c r="AH742" s="37"/>
      <c r="AI742" s="37"/>
      <c r="AJ742" s="37"/>
      <c r="AK742" s="37"/>
      <c r="AL742" s="37"/>
      <c r="AM742" s="37"/>
      <c r="AN742" s="37"/>
      <c r="AO742" s="37"/>
      <c r="AP742" s="37"/>
      <c r="AQ742" s="37"/>
      <c r="AR742" s="37"/>
      <c r="AS742" s="37"/>
      <c r="AT742" s="37"/>
      <c r="AU742" s="37"/>
      <c r="AV742" s="37"/>
      <c r="AW742" s="37"/>
      <c r="AX742" s="36"/>
    </row>
    <row r="743" spans="4:50" ht="15" thickBot="1" x14ac:dyDescent="0.4"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  <c r="AD743" s="37"/>
      <c r="AE743" s="37"/>
      <c r="AF743" s="37"/>
      <c r="AG743" s="37"/>
      <c r="AH743" s="37"/>
      <c r="AI743" s="37"/>
      <c r="AJ743" s="37"/>
      <c r="AK743" s="37"/>
      <c r="AL743" s="37"/>
      <c r="AM743" s="37"/>
      <c r="AN743" s="37"/>
      <c r="AO743" s="37"/>
      <c r="AP743" s="37"/>
      <c r="AQ743" s="37"/>
      <c r="AR743" s="37"/>
      <c r="AS743" s="37"/>
      <c r="AT743" s="37"/>
      <c r="AU743" s="37"/>
      <c r="AV743" s="37"/>
      <c r="AW743" s="37"/>
      <c r="AX743" s="36"/>
    </row>
    <row r="744" spans="4:50" ht="15" thickBot="1" x14ac:dyDescent="0.4"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  <c r="AD744" s="37"/>
      <c r="AE744" s="37"/>
      <c r="AF744" s="37"/>
      <c r="AG744" s="37"/>
      <c r="AH744" s="37"/>
      <c r="AI744" s="37"/>
      <c r="AJ744" s="37"/>
      <c r="AK744" s="37"/>
      <c r="AL744" s="37"/>
      <c r="AM744" s="37"/>
      <c r="AN744" s="37"/>
      <c r="AO744" s="37"/>
      <c r="AP744" s="37"/>
      <c r="AQ744" s="37"/>
      <c r="AR744" s="37"/>
      <c r="AS744" s="37"/>
      <c r="AT744" s="37"/>
      <c r="AU744" s="37"/>
      <c r="AV744" s="37"/>
      <c r="AW744" s="37"/>
      <c r="AX744" s="36"/>
    </row>
    <row r="745" spans="4:50" ht="15" thickBot="1" x14ac:dyDescent="0.4"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  <c r="AD745" s="37"/>
      <c r="AE745" s="37"/>
      <c r="AF745" s="37"/>
      <c r="AG745" s="37"/>
      <c r="AH745" s="37"/>
      <c r="AI745" s="37"/>
      <c r="AJ745" s="37"/>
      <c r="AK745" s="37"/>
      <c r="AL745" s="37"/>
      <c r="AM745" s="37"/>
      <c r="AN745" s="37"/>
      <c r="AO745" s="37"/>
      <c r="AP745" s="37"/>
      <c r="AQ745" s="37"/>
      <c r="AR745" s="37"/>
      <c r="AS745" s="37"/>
      <c r="AT745" s="37"/>
      <c r="AU745" s="37"/>
      <c r="AV745" s="37"/>
      <c r="AW745" s="37"/>
      <c r="AX745" s="36"/>
    </row>
    <row r="746" spans="4:50" ht="15" thickBot="1" x14ac:dyDescent="0.4"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7"/>
      <c r="AN746" s="37"/>
      <c r="AO746" s="37"/>
      <c r="AP746" s="37"/>
      <c r="AQ746" s="37"/>
      <c r="AR746" s="37"/>
      <c r="AS746" s="37"/>
      <c r="AT746" s="37"/>
      <c r="AU746" s="37"/>
      <c r="AV746" s="37"/>
      <c r="AW746" s="37"/>
      <c r="AX746" s="36"/>
    </row>
    <row r="747" spans="4:50" ht="15" thickBot="1" x14ac:dyDescent="0.4"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  <c r="AD747" s="37"/>
      <c r="AE747" s="37"/>
      <c r="AF747" s="37"/>
      <c r="AG747" s="37"/>
      <c r="AH747" s="37"/>
      <c r="AI747" s="37"/>
      <c r="AJ747" s="37"/>
      <c r="AK747" s="37"/>
      <c r="AL747" s="37"/>
      <c r="AM747" s="37"/>
      <c r="AN747" s="37"/>
      <c r="AO747" s="37"/>
      <c r="AP747" s="37"/>
      <c r="AQ747" s="37"/>
      <c r="AR747" s="37"/>
      <c r="AS747" s="37"/>
      <c r="AT747" s="37"/>
      <c r="AU747" s="37"/>
      <c r="AV747" s="37"/>
      <c r="AW747" s="37"/>
      <c r="AX747" s="36"/>
    </row>
    <row r="748" spans="4:50" ht="15" thickBot="1" x14ac:dyDescent="0.4"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  <c r="AD748" s="37"/>
      <c r="AE748" s="37"/>
      <c r="AF748" s="37"/>
      <c r="AG748" s="37"/>
      <c r="AH748" s="37"/>
      <c r="AI748" s="37"/>
      <c r="AJ748" s="37"/>
      <c r="AK748" s="37"/>
      <c r="AL748" s="37"/>
      <c r="AM748" s="37"/>
      <c r="AN748" s="37"/>
      <c r="AO748" s="37"/>
      <c r="AP748" s="37"/>
      <c r="AQ748" s="37"/>
      <c r="AR748" s="37"/>
      <c r="AS748" s="37"/>
      <c r="AT748" s="37"/>
      <c r="AU748" s="37"/>
      <c r="AV748" s="37"/>
      <c r="AW748" s="37"/>
      <c r="AX748" s="36"/>
    </row>
    <row r="749" spans="4:50" ht="15" thickBot="1" x14ac:dyDescent="0.4"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  <c r="AE749" s="37"/>
      <c r="AF749" s="37"/>
      <c r="AG749" s="37"/>
      <c r="AH749" s="37"/>
      <c r="AI749" s="37"/>
      <c r="AJ749" s="37"/>
      <c r="AK749" s="37"/>
      <c r="AL749" s="37"/>
      <c r="AM749" s="37"/>
      <c r="AN749" s="37"/>
      <c r="AO749" s="37"/>
      <c r="AP749" s="37"/>
      <c r="AQ749" s="37"/>
      <c r="AR749" s="37"/>
      <c r="AS749" s="37"/>
      <c r="AT749" s="37"/>
      <c r="AU749" s="37"/>
      <c r="AV749" s="37"/>
      <c r="AW749" s="37"/>
      <c r="AX749" s="36"/>
    </row>
    <row r="750" spans="4:50" ht="15" thickBot="1" x14ac:dyDescent="0.4"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  <c r="AD750" s="37"/>
      <c r="AE750" s="37"/>
      <c r="AF750" s="37"/>
      <c r="AG750" s="37"/>
      <c r="AH750" s="37"/>
      <c r="AI750" s="37"/>
      <c r="AJ750" s="37"/>
      <c r="AK750" s="37"/>
      <c r="AL750" s="37"/>
      <c r="AM750" s="37"/>
      <c r="AN750" s="37"/>
      <c r="AO750" s="37"/>
      <c r="AP750" s="37"/>
      <c r="AQ750" s="37"/>
      <c r="AR750" s="37"/>
      <c r="AS750" s="37"/>
      <c r="AT750" s="37"/>
      <c r="AU750" s="37"/>
      <c r="AV750" s="37"/>
      <c r="AW750" s="37"/>
      <c r="AX750" s="36"/>
    </row>
    <row r="751" spans="4:50" ht="15" thickBot="1" x14ac:dyDescent="0.4"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  <c r="AD751" s="37"/>
      <c r="AE751" s="37"/>
      <c r="AF751" s="37"/>
      <c r="AG751" s="37"/>
      <c r="AH751" s="37"/>
      <c r="AI751" s="37"/>
      <c r="AJ751" s="37"/>
      <c r="AK751" s="37"/>
      <c r="AL751" s="37"/>
      <c r="AM751" s="37"/>
      <c r="AN751" s="37"/>
      <c r="AO751" s="37"/>
      <c r="AP751" s="37"/>
      <c r="AQ751" s="37"/>
      <c r="AR751" s="37"/>
      <c r="AS751" s="37"/>
      <c r="AT751" s="37"/>
      <c r="AU751" s="37"/>
      <c r="AV751" s="37"/>
      <c r="AW751" s="37"/>
      <c r="AX751" s="36"/>
    </row>
    <row r="752" spans="4:50" ht="15" thickBot="1" x14ac:dyDescent="0.4"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  <c r="AE752" s="37"/>
      <c r="AF752" s="37"/>
      <c r="AG752" s="37"/>
      <c r="AH752" s="37"/>
      <c r="AI752" s="37"/>
      <c r="AJ752" s="37"/>
      <c r="AK752" s="37"/>
      <c r="AL752" s="37"/>
      <c r="AM752" s="37"/>
      <c r="AN752" s="37"/>
      <c r="AO752" s="37"/>
      <c r="AP752" s="37"/>
      <c r="AQ752" s="37"/>
      <c r="AR752" s="37"/>
      <c r="AS752" s="37"/>
      <c r="AT752" s="37"/>
      <c r="AU752" s="37"/>
      <c r="AV752" s="37"/>
      <c r="AW752" s="37"/>
      <c r="AX752" s="36"/>
    </row>
    <row r="753" spans="4:50" ht="15" thickBot="1" x14ac:dyDescent="0.4"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  <c r="AD753" s="37"/>
      <c r="AE753" s="37"/>
      <c r="AF753" s="37"/>
      <c r="AG753" s="37"/>
      <c r="AH753" s="37"/>
      <c r="AI753" s="37"/>
      <c r="AJ753" s="37"/>
      <c r="AK753" s="37"/>
      <c r="AL753" s="37"/>
      <c r="AM753" s="37"/>
      <c r="AN753" s="37"/>
      <c r="AO753" s="37"/>
      <c r="AP753" s="37"/>
      <c r="AQ753" s="37"/>
      <c r="AR753" s="37"/>
      <c r="AS753" s="37"/>
      <c r="AT753" s="37"/>
      <c r="AU753" s="37"/>
      <c r="AV753" s="37"/>
      <c r="AW753" s="37"/>
      <c r="AX753" s="36"/>
    </row>
    <row r="754" spans="4:50" ht="15" thickBot="1" x14ac:dyDescent="0.4"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  <c r="AD754" s="37"/>
      <c r="AE754" s="37"/>
      <c r="AF754" s="37"/>
      <c r="AG754" s="37"/>
      <c r="AH754" s="37"/>
      <c r="AI754" s="37"/>
      <c r="AJ754" s="37"/>
      <c r="AK754" s="37"/>
      <c r="AL754" s="37"/>
      <c r="AM754" s="37"/>
      <c r="AN754" s="37"/>
      <c r="AO754" s="37"/>
      <c r="AP754" s="37"/>
      <c r="AQ754" s="37"/>
      <c r="AR754" s="37"/>
      <c r="AS754" s="37"/>
      <c r="AT754" s="37"/>
      <c r="AU754" s="37"/>
      <c r="AV754" s="37"/>
      <c r="AW754" s="37"/>
      <c r="AX754" s="36"/>
    </row>
    <row r="755" spans="4:50" ht="15" thickBot="1" x14ac:dyDescent="0.4"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  <c r="AD755" s="37"/>
      <c r="AE755" s="37"/>
      <c r="AF755" s="37"/>
      <c r="AG755" s="37"/>
      <c r="AH755" s="37"/>
      <c r="AI755" s="37"/>
      <c r="AJ755" s="37"/>
      <c r="AK755" s="37"/>
      <c r="AL755" s="37"/>
      <c r="AM755" s="37"/>
      <c r="AN755" s="37"/>
      <c r="AO755" s="37"/>
      <c r="AP755" s="37"/>
      <c r="AQ755" s="37"/>
      <c r="AR755" s="37"/>
      <c r="AS755" s="37"/>
      <c r="AT755" s="37"/>
      <c r="AU755" s="37"/>
      <c r="AV755" s="37"/>
      <c r="AW755" s="37"/>
      <c r="AX755" s="36"/>
    </row>
    <row r="756" spans="4:50" ht="15" thickBot="1" x14ac:dyDescent="0.4"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  <c r="AD756" s="37"/>
      <c r="AE756" s="37"/>
      <c r="AF756" s="37"/>
      <c r="AG756" s="37"/>
      <c r="AH756" s="37"/>
      <c r="AI756" s="37"/>
      <c r="AJ756" s="37"/>
      <c r="AK756" s="37"/>
      <c r="AL756" s="37"/>
      <c r="AM756" s="37"/>
      <c r="AN756" s="37"/>
      <c r="AO756" s="37"/>
      <c r="AP756" s="37"/>
      <c r="AQ756" s="37"/>
      <c r="AR756" s="37"/>
      <c r="AS756" s="37"/>
      <c r="AT756" s="37"/>
      <c r="AU756" s="37"/>
      <c r="AV756" s="37"/>
      <c r="AW756" s="37"/>
      <c r="AX756" s="36"/>
    </row>
    <row r="757" spans="4:50" ht="15" thickBot="1" x14ac:dyDescent="0.4"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  <c r="AD757" s="37"/>
      <c r="AE757" s="37"/>
      <c r="AF757" s="37"/>
      <c r="AG757" s="37"/>
      <c r="AH757" s="37"/>
      <c r="AI757" s="37"/>
      <c r="AJ757" s="37"/>
      <c r="AK757" s="37"/>
      <c r="AL757" s="37"/>
      <c r="AM757" s="37"/>
      <c r="AN757" s="37"/>
      <c r="AO757" s="37"/>
      <c r="AP757" s="37"/>
      <c r="AQ757" s="37"/>
      <c r="AR757" s="37"/>
      <c r="AS757" s="37"/>
      <c r="AT757" s="37"/>
      <c r="AU757" s="37"/>
      <c r="AV757" s="37"/>
      <c r="AW757" s="37"/>
      <c r="AX757" s="36"/>
    </row>
    <row r="758" spans="4:50" ht="15" thickBot="1" x14ac:dyDescent="0.4"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  <c r="AD758" s="37"/>
      <c r="AE758" s="37"/>
      <c r="AF758" s="37"/>
      <c r="AG758" s="37"/>
      <c r="AH758" s="37"/>
      <c r="AI758" s="37"/>
      <c r="AJ758" s="37"/>
      <c r="AK758" s="37"/>
      <c r="AL758" s="37"/>
      <c r="AM758" s="37"/>
      <c r="AN758" s="37"/>
      <c r="AO758" s="37"/>
      <c r="AP758" s="37"/>
      <c r="AQ758" s="37"/>
      <c r="AR758" s="37"/>
      <c r="AS758" s="37"/>
      <c r="AT758" s="37"/>
      <c r="AU758" s="37"/>
      <c r="AV758" s="37"/>
      <c r="AW758" s="37"/>
      <c r="AX758" s="36"/>
    </row>
    <row r="759" spans="4:50" ht="15" thickBot="1" x14ac:dyDescent="0.4"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  <c r="AD759" s="37"/>
      <c r="AE759" s="37"/>
      <c r="AF759" s="37"/>
      <c r="AG759" s="37"/>
      <c r="AH759" s="37"/>
      <c r="AI759" s="37"/>
      <c r="AJ759" s="37"/>
      <c r="AK759" s="37"/>
      <c r="AL759" s="37"/>
      <c r="AM759" s="37"/>
      <c r="AN759" s="37"/>
      <c r="AO759" s="37"/>
      <c r="AP759" s="37"/>
      <c r="AQ759" s="37"/>
      <c r="AR759" s="37"/>
      <c r="AS759" s="37"/>
      <c r="AT759" s="37"/>
      <c r="AU759" s="37"/>
      <c r="AV759" s="37"/>
      <c r="AW759" s="37"/>
      <c r="AX759" s="36"/>
    </row>
    <row r="760" spans="4:50" ht="15" thickBot="1" x14ac:dyDescent="0.4"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  <c r="AD760" s="37"/>
      <c r="AE760" s="37"/>
      <c r="AF760" s="37"/>
      <c r="AG760" s="37"/>
      <c r="AH760" s="37"/>
      <c r="AI760" s="37"/>
      <c r="AJ760" s="37"/>
      <c r="AK760" s="37"/>
      <c r="AL760" s="37"/>
      <c r="AM760" s="37"/>
      <c r="AN760" s="37"/>
      <c r="AO760" s="37"/>
      <c r="AP760" s="37"/>
      <c r="AQ760" s="37"/>
      <c r="AR760" s="37"/>
      <c r="AS760" s="37"/>
      <c r="AT760" s="37"/>
      <c r="AU760" s="37"/>
      <c r="AV760" s="37"/>
      <c r="AW760" s="37"/>
      <c r="AX760" s="36"/>
    </row>
    <row r="761" spans="4:50" ht="15" thickBot="1" x14ac:dyDescent="0.4"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  <c r="AD761" s="37"/>
      <c r="AE761" s="37"/>
      <c r="AF761" s="37"/>
      <c r="AG761" s="37"/>
      <c r="AH761" s="37"/>
      <c r="AI761" s="37"/>
      <c r="AJ761" s="37"/>
      <c r="AK761" s="37"/>
      <c r="AL761" s="37"/>
      <c r="AM761" s="37"/>
      <c r="AN761" s="37"/>
      <c r="AO761" s="37"/>
      <c r="AP761" s="37"/>
      <c r="AQ761" s="37"/>
      <c r="AR761" s="37"/>
      <c r="AS761" s="37"/>
      <c r="AT761" s="37"/>
      <c r="AU761" s="37"/>
      <c r="AV761" s="37"/>
      <c r="AW761" s="37"/>
      <c r="AX761" s="36"/>
    </row>
    <row r="762" spans="4:50" ht="15" thickBot="1" x14ac:dyDescent="0.4"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  <c r="AD762" s="37"/>
      <c r="AE762" s="37"/>
      <c r="AF762" s="37"/>
      <c r="AG762" s="37"/>
      <c r="AH762" s="37"/>
      <c r="AI762" s="37"/>
      <c r="AJ762" s="37"/>
      <c r="AK762" s="37"/>
      <c r="AL762" s="37"/>
      <c r="AM762" s="37"/>
      <c r="AN762" s="37"/>
      <c r="AO762" s="37"/>
      <c r="AP762" s="37"/>
      <c r="AQ762" s="37"/>
      <c r="AR762" s="37"/>
      <c r="AS762" s="37"/>
      <c r="AT762" s="37"/>
      <c r="AU762" s="37"/>
      <c r="AV762" s="37"/>
      <c r="AW762" s="37"/>
      <c r="AX762" s="36"/>
    </row>
    <row r="763" spans="4:50" ht="15" thickBot="1" x14ac:dyDescent="0.4"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  <c r="AD763" s="37"/>
      <c r="AE763" s="37"/>
      <c r="AF763" s="37"/>
      <c r="AG763" s="37"/>
      <c r="AH763" s="37"/>
      <c r="AI763" s="37"/>
      <c r="AJ763" s="37"/>
      <c r="AK763" s="37"/>
      <c r="AL763" s="37"/>
      <c r="AM763" s="37"/>
      <c r="AN763" s="37"/>
      <c r="AO763" s="37"/>
      <c r="AP763" s="37"/>
      <c r="AQ763" s="37"/>
      <c r="AR763" s="37"/>
      <c r="AS763" s="37"/>
      <c r="AT763" s="37"/>
      <c r="AU763" s="37"/>
      <c r="AV763" s="37"/>
      <c r="AW763" s="37"/>
      <c r="AX763" s="36"/>
    </row>
    <row r="764" spans="4:50" ht="15" thickBot="1" x14ac:dyDescent="0.4"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  <c r="AD764" s="37"/>
      <c r="AE764" s="37"/>
      <c r="AF764" s="37"/>
      <c r="AG764" s="37"/>
      <c r="AH764" s="37"/>
      <c r="AI764" s="37"/>
      <c r="AJ764" s="37"/>
      <c r="AK764" s="37"/>
      <c r="AL764" s="37"/>
      <c r="AM764" s="37"/>
      <c r="AN764" s="37"/>
      <c r="AO764" s="37"/>
      <c r="AP764" s="37"/>
      <c r="AQ764" s="37"/>
      <c r="AR764" s="37"/>
      <c r="AS764" s="37"/>
      <c r="AT764" s="37"/>
      <c r="AU764" s="37"/>
      <c r="AV764" s="37"/>
      <c r="AW764" s="37"/>
      <c r="AX764" s="36"/>
    </row>
    <row r="765" spans="4:50" ht="15" thickBot="1" x14ac:dyDescent="0.4"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  <c r="AD765" s="37"/>
      <c r="AE765" s="37"/>
      <c r="AF765" s="37"/>
      <c r="AG765" s="37"/>
      <c r="AH765" s="37"/>
      <c r="AI765" s="37"/>
      <c r="AJ765" s="37"/>
      <c r="AK765" s="37"/>
      <c r="AL765" s="37"/>
      <c r="AM765" s="37"/>
      <c r="AN765" s="37"/>
      <c r="AO765" s="37"/>
      <c r="AP765" s="37"/>
      <c r="AQ765" s="37"/>
      <c r="AR765" s="37"/>
      <c r="AS765" s="37"/>
      <c r="AT765" s="37"/>
      <c r="AU765" s="37"/>
      <c r="AV765" s="37"/>
      <c r="AW765" s="37"/>
      <c r="AX765" s="36"/>
    </row>
    <row r="766" spans="4:50" ht="15" thickBot="1" x14ac:dyDescent="0.4"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  <c r="AD766" s="37"/>
      <c r="AE766" s="37"/>
      <c r="AF766" s="37"/>
      <c r="AG766" s="37"/>
      <c r="AH766" s="37"/>
      <c r="AI766" s="37"/>
      <c r="AJ766" s="37"/>
      <c r="AK766" s="37"/>
      <c r="AL766" s="37"/>
      <c r="AM766" s="37"/>
      <c r="AN766" s="37"/>
      <c r="AO766" s="37"/>
      <c r="AP766" s="37"/>
      <c r="AQ766" s="37"/>
      <c r="AR766" s="37"/>
      <c r="AS766" s="37"/>
      <c r="AT766" s="37"/>
      <c r="AU766" s="37"/>
      <c r="AV766" s="37"/>
      <c r="AW766" s="37"/>
      <c r="AX766" s="36"/>
    </row>
    <row r="767" spans="4:50" ht="15" thickBot="1" x14ac:dyDescent="0.4"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  <c r="AD767" s="37"/>
      <c r="AE767" s="37"/>
      <c r="AF767" s="37"/>
      <c r="AG767" s="37"/>
      <c r="AH767" s="37"/>
      <c r="AI767" s="37"/>
      <c r="AJ767" s="37"/>
      <c r="AK767" s="37"/>
      <c r="AL767" s="37"/>
      <c r="AM767" s="37"/>
      <c r="AN767" s="37"/>
      <c r="AO767" s="37"/>
      <c r="AP767" s="37"/>
      <c r="AQ767" s="37"/>
      <c r="AR767" s="37"/>
      <c r="AS767" s="37"/>
      <c r="AT767" s="37"/>
      <c r="AU767" s="37"/>
      <c r="AV767" s="37"/>
      <c r="AW767" s="37"/>
      <c r="AX767" s="36"/>
    </row>
    <row r="768" spans="4:50" ht="15" thickBot="1" x14ac:dyDescent="0.4"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  <c r="AD768" s="37"/>
      <c r="AE768" s="37"/>
      <c r="AF768" s="37"/>
      <c r="AG768" s="37"/>
      <c r="AH768" s="37"/>
      <c r="AI768" s="37"/>
      <c r="AJ768" s="37"/>
      <c r="AK768" s="37"/>
      <c r="AL768" s="37"/>
      <c r="AM768" s="37"/>
      <c r="AN768" s="37"/>
      <c r="AO768" s="37"/>
      <c r="AP768" s="37"/>
      <c r="AQ768" s="37"/>
      <c r="AR768" s="37"/>
      <c r="AS768" s="37"/>
      <c r="AT768" s="37"/>
      <c r="AU768" s="37"/>
      <c r="AV768" s="37"/>
      <c r="AW768" s="37"/>
      <c r="AX768" s="36"/>
    </row>
    <row r="769" spans="4:50" ht="15" thickBot="1" x14ac:dyDescent="0.4"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  <c r="AD769" s="37"/>
      <c r="AE769" s="37"/>
      <c r="AF769" s="37"/>
      <c r="AG769" s="37"/>
      <c r="AH769" s="37"/>
      <c r="AI769" s="37"/>
      <c r="AJ769" s="37"/>
      <c r="AK769" s="37"/>
      <c r="AL769" s="37"/>
      <c r="AM769" s="37"/>
      <c r="AN769" s="37"/>
      <c r="AO769" s="37"/>
      <c r="AP769" s="37"/>
      <c r="AQ769" s="37"/>
      <c r="AR769" s="37"/>
      <c r="AS769" s="37"/>
      <c r="AT769" s="37"/>
      <c r="AU769" s="37"/>
      <c r="AV769" s="37"/>
      <c r="AW769" s="37"/>
      <c r="AX769" s="36"/>
    </row>
    <row r="770" spans="4:50" ht="15" thickBot="1" x14ac:dyDescent="0.4"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  <c r="AD770" s="37"/>
      <c r="AE770" s="37"/>
      <c r="AF770" s="37"/>
      <c r="AG770" s="37"/>
      <c r="AH770" s="37"/>
      <c r="AI770" s="37"/>
      <c r="AJ770" s="37"/>
      <c r="AK770" s="37"/>
      <c r="AL770" s="37"/>
      <c r="AM770" s="37"/>
      <c r="AN770" s="37"/>
      <c r="AO770" s="37"/>
      <c r="AP770" s="37"/>
      <c r="AQ770" s="37"/>
      <c r="AR770" s="37"/>
      <c r="AS770" s="37"/>
      <c r="AT770" s="37"/>
      <c r="AU770" s="37"/>
      <c r="AV770" s="37"/>
      <c r="AW770" s="37"/>
      <c r="AX770" s="36"/>
    </row>
    <row r="771" spans="4:50" ht="15" thickBot="1" x14ac:dyDescent="0.4"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  <c r="AE771" s="37"/>
      <c r="AF771" s="37"/>
      <c r="AG771" s="37"/>
      <c r="AH771" s="37"/>
      <c r="AI771" s="37"/>
      <c r="AJ771" s="37"/>
      <c r="AK771" s="37"/>
      <c r="AL771" s="37"/>
      <c r="AM771" s="37"/>
      <c r="AN771" s="37"/>
      <c r="AO771" s="37"/>
      <c r="AP771" s="37"/>
      <c r="AQ771" s="37"/>
      <c r="AR771" s="37"/>
      <c r="AS771" s="37"/>
      <c r="AT771" s="37"/>
      <c r="AU771" s="37"/>
      <c r="AV771" s="37"/>
      <c r="AW771" s="37"/>
      <c r="AX771" s="36"/>
    </row>
    <row r="772" spans="4:50" ht="15" thickBot="1" x14ac:dyDescent="0.4"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  <c r="AD772" s="37"/>
      <c r="AE772" s="37"/>
      <c r="AF772" s="37"/>
      <c r="AG772" s="37"/>
      <c r="AH772" s="37"/>
      <c r="AI772" s="37"/>
      <c r="AJ772" s="37"/>
      <c r="AK772" s="37"/>
      <c r="AL772" s="37"/>
      <c r="AM772" s="37"/>
      <c r="AN772" s="37"/>
      <c r="AO772" s="37"/>
      <c r="AP772" s="37"/>
      <c r="AQ772" s="37"/>
      <c r="AR772" s="37"/>
      <c r="AS772" s="37"/>
      <c r="AT772" s="37"/>
      <c r="AU772" s="37"/>
      <c r="AV772" s="37"/>
      <c r="AW772" s="37"/>
      <c r="AX772" s="36"/>
    </row>
    <row r="773" spans="4:50" ht="15" thickBot="1" x14ac:dyDescent="0.4"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  <c r="AD773" s="37"/>
      <c r="AE773" s="37"/>
      <c r="AF773" s="37"/>
      <c r="AG773" s="37"/>
      <c r="AH773" s="37"/>
      <c r="AI773" s="37"/>
      <c r="AJ773" s="37"/>
      <c r="AK773" s="37"/>
      <c r="AL773" s="37"/>
      <c r="AM773" s="37"/>
      <c r="AN773" s="37"/>
      <c r="AO773" s="37"/>
      <c r="AP773" s="37"/>
      <c r="AQ773" s="37"/>
      <c r="AR773" s="37"/>
      <c r="AS773" s="37"/>
      <c r="AT773" s="37"/>
      <c r="AU773" s="37"/>
      <c r="AV773" s="37"/>
      <c r="AW773" s="37"/>
      <c r="AX773" s="36"/>
    </row>
    <row r="774" spans="4:50" ht="15" thickBot="1" x14ac:dyDescent="0.4"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  <c r="AD774" s="37"/>
      <c r="AE774" s="37"/>
      <c r="AF774" s="37"/>
      <c r="AG774" s="37"/>
      <c r="AH774" s="37"/>
      <c r="AI774" s="37"/>
      <c r="AJ774" s="37"/>
      <c r="AK774" s="37"/>
      <c r="AL774" s="37"/>
      <c r="AM774" s="37"/>
      <c r="AN774" s="37"/>
      <c r="AO774" s="37"/>
      <c r="AP774" s="37"/>
      <c r="AQ774" s="37"/>
      <c r="AR774" s="37"/>
      <c r="AS774" s="37"/>
      <c r="AT774" s="37"/>
      <c r="AU774" s="37"/>
      <c r="AV774" s="37"/>
      <c r="AW774" s="37"/>
      <c r="AX774" s="36"/>
    </row>
    <row r="775" spans="4:50" ht="15" thickBot="1" x14ac:dyDescent="0.4"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  <c r="AD775" s="37"/>
      <c r="AE775" s="37"/>
      <c r="AF775" s="37"/>
      <c r="AG775" s="37"/>
      <c r="AH775" s="37"/>
      <c r="AI775" s="37"/>
      <c r="AJ775" s="37"/>
      <c r="AK775" s="37"/>
      <c r="AL775" s="37"/>
      <c r="AM775" s="37"/>
      <c r="AN775" s="37"/>
      <c r="AO775" s="37"/>
      <c r="AP775" s="37"/>
      <c r="AQ775" s="37"/>
      <c r="AR775" s="37"/>
      <c r="AS775" s="37"/>
      <c r="AT775" s="37"/>
      <c r="AU775" s="37"/>
      <c r="AV775" s="37"/>
      <c r="AW775" s="37"/>
      <c r="AX775" s="36"/>
    </row>
    <row r="776" spans="4:50" ht="15" thickBot="1" x14ac:dyDescent="0.4"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  <c r="AD776" s="37"/>
      <c r="AE776" s="37"/>
      <c r="AF776" s="37"/>
      <c r="AG776" s="37"/>
      <c r="AH776" s="37"/>
      <c r="AI776" s="37"/>
      <c r="AJ776" s="37"/>
      <c r="AK776" s="37"/>
      <c r="AL776" s="37"/>
      <c r="AM776" s="37"/>
      <c r="AN776" s="37"/>
      <c r="AO776" s="37"/>
      <c r="AP776" s="37"/>
      <c r="AQ776" s="37"/>
      <c r="AR776" s="37"/>
      <c r="AS776" s="37"/>
      <c r="AT776" s="37"/>
      <c r="AU776" s="37"/>
      <c r="AV776" s="37"/>
      <c r="AW776" s="37"/>
      <c r="AX776" s="36"/>
    </row>
    <row r="777" spans="4:50" ht="15" thickBot="1" x14ac:dyDescent="0.4"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  <c r="AD777" s="37"/>
      <c r="AE777" s="37"/>
      <c r="AF777" s="37"/>
      <c r="AG777" s="37"/>
      <c r="AH777" s="37"/>
      <c r="AI777" s="37"/>
      <c r="AJ777" s="37"/>
      <c r="AK777" s="37"/>
      <c r="AL777" s="37"/>
      <c r="AM777" s="37"/>
      <c r="AN777" s="37"/>
      <c r="AO777" s="37"/>
      <c r="AP777" s="37"/>
      <c r="AQ777" s="37"/>
      <c r="AR777" s="37"/>
      <c r="AS777" s="37"/>
      <c r="AT777" s="37"/>
      <c r="AU777" s="37"/>
      <c r="AV777" s="37"/>
      <c r="AW777" s="37"/>
      <c r="AX777" s="36"/>
    </row>
    <row r="778" spans="4:50" ht="15" thickBot="1" x14ac:dyDescent="0.4"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  <c r="AD778" s="37"/>
      <c r="AE778" s="37"/>
      <c r="AF778" s="37"/>
      <c r="AG778" s="37"/>
      <c r="AH778" s="37"/>
      <c r="AI778" s="37"/>
      <c r="AJ778" s="37"/>
      <c r="AK778" s="37"/>
      <c r="AL778" s="37"/>
      <c r="AM778" s="37"/>
      <c r="AN778" s="37"/>
      <c r="AO778" s="37"/>
      <c r="AP778" s="37"/>
      <c r="AQ778" s="37"/>
      <c r="AR778" s="37"/>
      <c r="AS778" s="37"/>
      <c r="AT778" s="37"/>
      <c r="AU778" s="37"/>
      <c r="AV778" s="37"/>
      <c r="AW778" s="37"/>
      <c r="AX778" s="36"/>
    </row>
    <row r="779" spans="4:50" ht="15" thickBot="1" x14ac:dyDescent="0.4"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  <c r="AD779" s="37"/>
      <c r="AE779" s="37"/>
      <c r="AF779" s="37"/>
      <c r="AG779" s="37"/>
      <c r="AH779" s="37"/>
      <c r="AI779" s="37"/>
      <c r="AJ779" s="37"/>
      <c r="AK779" s="37"/>
      <c r="AL779" s="37"/>
      <c r="AM779" s="37"/>
      <c r="AN779" s="37"/>
      <c r="AO779" s="37"/>
      <c r="AP779" s="37"/>
      <c r="AQ779" s="37"/>
      <c r="AR779" s="37"/>
      <c r="AS779" s="37"/>
      <c r="AT779" s="37"/>
      <c r="AU779" s="37"/>
      <c r="AV779" s="37"/>
      <c r="AW779" s="37"/>
      <c r="AX779" s="36"/>
    </row>
    <row r="780" spans="4:50" ht="15" thickBot="1" x14ac:dyDescent="0.4"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  <c r="AD780" s="37"/>
      <c r="AE780" s="37"/>
      <c r="AF780" s="37"/>
      <c r="AG780" s="37"/>
      <c r="AH780" s="37"/>
      <c r="AI780" s="37"/>
      <c r="AJ780" s="37"/>
      <c r="AK780" s="37"/>
      <c r="AL780" s="37"/>
      <c r="AM780" s="37"/>
      <c r="AN780" s="37"/>
      <c r="AO780" s="37"/>
      <c r="AP780" s="37"/>
      <c r="AQ780" s="37"/>
      <c r="AR780" s="37"/>
      <c r="AS780" s="37"/>
      <c r="AT780" s="37"/>
      <c r="AU780" s="37"/>
      <c r="AV780" s="37"/>
      <c r="AW780" s="37"/>
      <c r="AX780" s="36"/>
    </row>
    <row r="781" spans="4:50" ht="15" thickBot="1" x14ac:dyDescent="0.4"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  <c r="AD781" s="37"/>
      <c r="AE781" s="37"/>
      <c r="AF781" s="37"/>
      <c r="AG781" s="37"/>
      <c r="AH781" s="37"/>
      <c r="AI781" s="37"/>
      <c r="AJ781" s="37"/>
      <c r="AK781" s="37"/>
      <c r="AL781" s="37"/>
      <c r="AM781" s="37"/>
      <c r="AN781" s="37"/>
      <c r="AO781" s="37"/>
      <c r="AP781" s="37"/>
      <c r="AQ781" s="37"/>
      <c r="AR781" s="37"/>
      <c r="AS781" s="37"/>
      <c r="AT781" s="37"/>
      <c r="AU781" s="37"/>
      <c r="AV781" s="37"/>
      <c r="AW781" s="37"/>
      <c r="AX781" s="36"/>
    </row>
    <row r="782" spans="4:50" ht="15" thickBot="1" x14ac:dyDescent="0.4"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  <c r="AD782" s="37"/>
      <c r="AE782" s="37"/>
      <c r="AF782" s="37"/>
      <c r="AG782" s="37"/>
      <c r="AH782" s="37"/>
      <c r="AI782" s="37"/>
      <c r="AJ782" s="37"/>
      <c r="AK782" s="37"/>
      <c r="AL782" s="37"/>
      <c r="AM782" s="37"/>
      <c r="AN782" s="37"/>
      <c r="AO782" s="37"/>
      <c r="AP782" s="37"/>
      <c r="AQ782" s="37"/>
      <c r="AR782" s="37"/>
      <c r="AS782" s="37"/>
      <c r="AT782" s="37"/>
      <c r="AU782" s="37"/>
      <c r="AV782" s="37"/>
      <c r="AW782" s="37"/>
      <c r="AX782" s="36"/>
    </row>
    <row r="783" spans="4:50" ht="15" thickBot="1" x14ac:dyDescent="0.4"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  <c r="AD783" s="37"/>
      <c r="AE783" s="37"/>
      <c r="AF783" s="37"/>
      <c r="AG783" s="37"/>
      <c r="AH783" s="37"/>
      <c r="AI783" s="37"/>
      <c r="AJ783" s="37"/>
      <c r="AK783" s="37"/>
      <c r="AL783" s="37"/>
      <c r="AM783" s="37"/>
      <c r="AN783" s="37"/>
      <c r="AO783" s="37"/>
      <c r="AP783" s="37"/>
      <c r="AQ783" s="37"/>
      <c r="AR783" s="37"/>
      <c r="AS783" s="37"/>
      <c r="AT783" s="37"/>
      <c r="AU783" s="37"/>
      <c r="AV783" s="37"/>
      <c r="AW783" s="37"/>
      <c r="AX783" s="36"/>
    </row>
    <row r="784" spans="4:50" ht="15" thickBot="1" x14ac:dyDescent="0.4"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7"/>
      <c r="AN784" s="37"/>
      <c r="AO784" s="37"/>
      <c r="AP784" s="37"/>
      <c r="AQ784" s="37"/>
      <c r="AR784" s="37"/>
      <c r="AS784" s="37"/>
      <c r="AT784" s="37"/>
      <c r="AU784" s="37"/>
      <c r="AV784" s="37"/>
      <c r="AW784" s="37"/>
      <c r="AX784" s="36"/>
    </row>
    <row r="785" spans="4:50" ht="15" thickBot="1" x14ac:dyDescent="0.4"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  <c r="AD785" s="37"/>
      <c r="AE785" s="37"/>
      <c r="AF785" s="37"/>
      <c r="AG785" s="37"/>
      <c r="AH785" s="37"/>
      <c r="AI785" s="37"/>
      <c r="AJ785" s="37"/>
      <c r="AK785" s="37"/>
      <c r="AL785" s="37"/>
      <c r="AM785" s="37"/>
      <c r="AN785" s="37"/>
      <c r="AO785" s="37"/>
      <c r="AP785" s="37"/>
      <c r="AQ785" s="37"/>
      <c r="AR785" s="37"/>
      <c r="AS785" s="37"/>
      <c r="AT785" s="37"/>
      <c r="AU785" s="37"/>
      <c r="AV785" s="37"/>
      <c r="AW785" s="37"/>
      <c r="AX785" s="36"/>
    </row>
    <row r="786" spans="4:50" ht="15" thickBot="1" x14ac:dyDescent="0.4"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  <c r="AD786" s="37"/>
      <c r="AE786" s="37"/>
      <c r="AF786" s="37"/>
      <c r="AG786" s="37"/>
      <c r="AH786" s="37"/>
      <c r="AI786" s="37"/>
      <c r="AJ786" s="37"/>
      <c r="AK786" s="37"/>
      <c r="AL786" s="37"/>
      <c r="AM786" s="37"/>
      <c r="AN786" s="37"/>
      <c r="AO786" s="37"/>
      <c r="AP786" s="37"/>
      <c r="AQ786" s="37"/>
      <c r="AR786" s="37"/>
      <c r="AS786" s="37"/>
      <c r="AT786" s="37"/>
      <c r="AU786" s="37"/>
      <c r="AV786" s="37"/>
      <c r="AW786" s="37"/>
      <c r="AX786" s="36"/>
    </row>
    <row r="787" spans="4:50" ht="15" thickBot="1" x14ac:dyDescent="0.4"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  <c r="AE787" s="37"/>
      <c r="AF787" s="37"/>
      <c r="AG787" s="37"/>
      <c r="AH787" s="37"/>
      <c r="AI787" s="37"/>
      <c r="AJ787" s="37"/>
      <c r="AK787" s="37"/>
      <c r="AL787" s="37"/>
      <c r="AM787" s="37"/>
      <c r="AN787" s="37"/>
      <c r="AO787" s="37"/>
      <c r="AP787" s="37"/>
      <c r="AQ787" s="37"/>
      <c r="AR787" s="37"/>
      <c r="AS787" s="37"/>
      <c r="AT787" s="37"/>
      <c r="AU787" s="37"/>
      <c r="AV787" s="37"/>
      <c r="AW787" s="37"/>
      <c r="AX787" s="36"/>
    </row>
    <row r="788" spans="4:50" ht="15" thickBot="1" x14ac:dyDescent="0.4"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  <c r="AD788" s="37"/>
      <c r="AE788" s="37"/>
      <c r="AF788" s="37"/>
      <c r="AG788" s="37"/>
      <c r="AH788" s="37"/>
      <c r="AI788" s="37"/>
      <c r="AJ788" s="37"/>
      <c r="AK788" s="37"/>
      <c r="AL788" s="37"/>
      <c r="AM788" s="37"/>
      <c r="AN788" s="37"/>
      <c r="AO788" s="37"/>
      <c r="AP788" s="37"/>
      <c r="AQ788" s="37"/>
      <c r="AR788" s="37"/>
      <c r="AS788" s="37"/>
      <c r="AT788" s="37"/>
      <c r="AU788" s="37"/>
      <c r="AV788" s="37"/>
      <c r="AW788" s="37"/>
      <c r="AX788" s="36"/>
    </row>
    <row r="789" spans="4:50" ht="15" thickBot="1" x14ac:dyDescent="0.4"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  <c r="AD789" s="37"/>
      <c r="AE789" s="37"/>
      <c r="AF789" s="37"/>
      <c r="AG789" s="37"/>
      <c r="AH789" s="37"/>
      <c r="AI789" s="37"/>
      <c r="AJ789" s="37"/>
      <c r="AK789" s="37"/>
      <c r="AL789" s="37"/>
      <c r="AM789" s="37"/>
      <c r="AN789" s="37"/>
      <c r="AO789" s="37"/>
      <c r="AP789" s="37"/>
      <c r="AQ789" s="37"/>
      <c r="AR789" s="37"/>
      <c r="AS789" s="37"/>
      <c r="AT789" s="37"/>
      <c r="AU789" s="37"/>
      <c r="AV789" s="37"/>
      <c r="AW789" s="37"/>
      <c r="AX789" s="36"/>
    </row>
    <row r="790" spans="4:50" ht="15" thickBot="1" x14ac:dyDescent="0.4"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  <c r="AE790" s="37"/>
      <c r="AF790" s="37"/>
      <c r="AG790" s="37"/>
      <c r="AH790" s="37"/>
      <c r="AI790" s="37"/>
      <c r="AJ790" s="37"/>
      <c r="AK790" s="37"/>
      <c r="AL790" s="37"/>
      <c r="AM790" s="37"/>
      <c r="AN790" s="37"/>
      <c r="AO790" s="37"/>
      <c r="AP790" s="37"/>
      <c r="AQ790" s="37"/>
      <c r="AR790" s="37"/>
      <c r="AS790" s="37"/>
      <c r="AT790" s="37"/>
      <c r="AU790" s="37"/>
      <c r="AV790" s="37"/>
      <c r="AW790" s="37"/>
      <c r="AX790" s="36"/>
    </row>
    <row r="791" spans="4:50" ht="15" thickBot="1" x14ac:dyDescent="0.4"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  <c r="AD791" s="37"/>
      <c r="AE791" s="37"/>
      <c r="AF791" s="37"/>
      <c r="AG791" s="37"/>
      <c r="AH791" s="37"/>
      <c r="AI791" s="37"/>
      <c r="AJ791" s="37"/>
      <c r="AK791" s="37"/>
      <c r="AL791" s="37"/>
      <c r="AM791" s="37"/>
      <c r="AN791" s="37"/>
      <c r="AO791" s="37"/>
      <c r="AP791" s="37"/>
      <c r="AQ791" s="37"/>
      <c r="AR791" s="37"/>
      <c r="AS791" s="37"/>
      <c r="AT791" s="37"/>
      <c r="AU791" s="37"/>
      <c r="AV791" s="37"/>
      <c r="AW791" s="37"/>
      <c r="AX791" s="36"/>
    </row>
    <row r="792" spans="4:50" ht="15" thickBot="1" x14ac:dyDescent="0.4"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  <c r="AD792" s="37"/>
      <c r="AE792" s="37"/>
      <c r="AF792" s="37"/>
      <c r="AG792" s="37"/>
      <c r="AH792" s="37"/>
      <c r="AI792" s="37"/>
      <c r="AJ792" s="37"/>
      <c r="AK792" s="37"/>
      <c r="AL792" s="37"/>
      <c r="AM792" s="37"/>
      <c r="AN792" s="37"/>
      <c r="AO792" s="37"/>
      <c r="AP792" s="37"/>
      <c r="AQ792" s="37"/>
      <c r="AR792" s="37"/>
      <c r="AS792" s="37"/>
      <c r="AT792" s="37"/>
      <c r="AU792" s="37"/>
      <c r="AV792" s="37"/>
      <c r="AW792" s="37"/>
      <c r="AX792" s="36"/>
    </row>
    <row r="793" spans="4:50" ht="15" thickBot="1" x14ac:dyDescent="0.4"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  <c r="AD793" s="37"/>
      <c r="AE793" s="37"/>
      <c r="AF793" s="37"/>
      <c r="AG793" s="37"/>
      <c r="AH793" s="37"/>
      <c r="AI793" s="37"/>
      <c r="AJ793" s="37"/>
      <c r="AK793" s="37"/>
      <c r="AL793" s="37"/>
      <c r="AM793" s="37"/>
      <c r="AN793" s="37"/>
      <c r="AO793" s="37"/>
      <c r="AP793" s="37"/>
      <c r="AQ793" s="37"/>
      <c r="AR793" s="37"/>
      <c r="AS793" s="37"/>
      <c r="AT793" s="37"/>
      <c r="AU793" s="37"/>
      <c r="AV793" s="37"/>
      <c r="AW793" s="37"/>
      <c r="AX793" s="36"/>
    </row>
    <row r="794" spans="4:50" ht="15" thickBot="1" x14ac:dyDescent="0.4"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  <c r="AD794" s="37"/>
      <c r="AE794" s="37"/>
      <c r="AF794" s="37"/>
      <c r="AG794" s="37"/>
      <c r="AH794" s="37"/>
      <c r="AI794" s="37"/>
      <c r="AJ794" s="37"/>
      <c r="AK794" s="37"/>
      <c r="AL794" s="37"/>
      <c r="AM794" s="37"/>
      <c r="AN794" s="37"/>
      <c r="AO794" s="37"/>
      <c r="AP794" s="37"/>
      <c r="AQ794" s="37"/>
      <c r="AR794" s="37"/>
      <c r="AS794" s="37"/>
      <c r="AT794" s="37"/>
      <c r="AU794" s="37"/>
      <c r="AV794" s="37"/>
      <c r="AW794" s="37"/>
      <c r="AX794" s="36"/>
    </row>
    <row r="795" spans="4:50" ht="15" thickBot="1" x14ac:dyDescent="0.4"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  <c r="AD795" s="37"/>
      <c r="AE795" s="37"/>
      <c r="AF795" s="37"/>
      <c r="AG795" s="37"/>
      <c r="AH795" s="37"/>
      <c r="AI795" s="37"/>
      <c r="AJ795" s="37"/>
      <c r="AK795" s="37"/>
      <c r="AL795" s="37"/>
      <c r="AM795" s="37"/>
      <c r="AN795" s="37"/>
      <c r="AO795" s="37"/>
      <c r="AP795" s="37"/>
      <c r="AQ795" s="37"/>
      <c r="AR795" s="37"/>
      <c r="AS795" s="37"/>
      <c r="AT795" s="37"/>
      <c r="AU795" s="37"/>
      <c r="AV795" s="37"/>
      <c r="AW795" s="37"/>
      <c r="AX795" s="36"/>
    </row>
    <row r="796" spans="4:50" ht="15" thickBot="1" x14ac:dyDescent="0.4"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  <c r="AD796" s="37"/>
      <c r="AE796" s="37"/>
      <c r="AF796" s="37"/>
      <c r="AG796" s="37"/>
      <c r="AH796" s="37"/>
      <c r="AI796" s="37"/>
      <c r="AJ796" s="37"/>
      <c r="AK796" s="37"/>
      <c r="AL796" s="37"/>
      <c r="AM796" s="37"/>
      <c r="AN796" s="37"/>
      <c r="AO796" s="37"/>
      <c r="AP796" s="37"/>
      <c r="AQ796" s="37"/>
      <c r="AR796" s="37"/>
      <c r="AS796" s="37"/>
      <c r="AT796" s="37"/>
      <c r="AU796" s="37"/>
      <c r="AV796" s="37"/>
      <c r="AW796" s="37"/>
      <c r="AX796" s="36"/>
    </row>
    <row r="797" spans="4:50" ht="15" thickBot="1" x14ac:dyDescent="0.4"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  <c r="AD797" s="37"/>
      <c r="AE797" s="37"/>
      <c r="AF797" s="37"/>
      <c r="AG797" s="37"/>
      <c r="AH797" s="37"/>
      <c r="AI797" s="37"/>
      <c r="AJ797" s="37"/>
      <c r="AK797" s="37"/>
      <c r="AL797" s="37"/>
      <c r="AM797" s="37"/>
      <c r="AN797" s="37"/>
      <c r="AO797" s="37"/>
      <c r="AP797" s="37"/>
      <c r="AQ797" s="37"/>
      <c r="AR797" s="37"/>
      <c r="AS797" s="37"/>
      <c r="AT797" s="37"/>
      <c r="AU797" s="37"/>
      <c r="AV797" s="37"/>
      <c r="AW797" s="37"/>
      <c r="AX797" s="36"/>
    </row>
    <row r="798" spans="4:50" ht="15" thickBot="1" x14ac:dyDescent="0.4"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  <c r="AD798" s="37"/>
      <c r="AE798" s="37"/>
      <c r="AF798" s="37"/>
      <c r="AG798" s="37"/>
      <c r="AH798" s="37"/>
      <c r="AI798" s="37"/>
      <c r="AJ798" s="37"/>
      <c r="AK798" s="37"/>
      <c r="AL798" s="37"/>
      <c r="AM798" s="37"/>
      <c r="AN798" s="37"/>
      <c r="AO798" s="37"/>
      <c r="AP798" s="37"/>
      <c r="AQ798" s="37"/>
      <c r="AR798" s="37"/>
      <c r="AS798" s="37"/>
      <c r="AT798" s="37"/>
      <c r="AU798" s="37"/>
      <c r="AV798" s="37"/>
      <c r="AW798" s="37"/>
      <c r="AX798" s="36"/>
    </row>
    <row r="799" spans="4:50" ht="15" thickBot="1" x14ac:dyDescent="0.4"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  <c r="AD799" s="37"/>
      <c r="AE799" s="37"/>
      <c r="AF799" s="37"/>
      <c r="AG799" s="37"/>
      <c r="AH799" s="37"/>
      <c r="AI799" s="37"/>
      <c r="AJ799" s="37"/>
      <c r="AK799" s="37"/>
      <c r="AL799" s="37"/>
      <c r="AM799" s="37"/>
      <c r="AN799" s="37"/>
      <c r="AO799" s="37"/>
      <c r="AP799" s="37"/>
      <c r="AQ799" s="37"/>
      <c r="AR799" s="37"/>
      <c r="AS799" s="37"/>
      <c r="AT799" s="37"/>
      <c r="AU799" s="37"/>
      <c r="AV799" s="37"/>
      <c r="AW799" s="37"/>
      <c r="AX799" s="36"/>
    </row>
    <row r="800" spans="4:50" ht="15" thickBot="1" x14ac:dyDescent="0.4"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  <c r="AD800" s="37"/>
      <c r="AE800" s="37"/>
      <c r="AF800" s="37"/>
      <c r="AG800" s="37"/>
      <c r="AH800" s="37"/>
      <c r="AI800" s="37"/>
      <c r="AJ800" s="37"/>
      <c r="AK800" s="37"/>
      <c r="AL800" s="37"/>
      <c r="AM800" s="37"/>
      <c r="AN800" s="37"/>
      <c r="AO800" s="37"/>
      <c r="AP800" s="37"/>
      <c r="AQ800" s="37"/>
      <c r="AR800" s="37"/>
      <c r="AS800" s="37"/>
      <c r="AT800" s="37"/>
      <c r="AU800" s="37"/>
      <c r="AV800" s="37"/>
      <c r="AW800" s="37"/>
      <c r="AX800" s="36"/>
    </row>
    <row r="801" spans="4:50" ht="15" thickBot="1" x14ac:dyDescent="0.4"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  <c r="AD801" s="37"/>
      <c r="AE801" s="37"/>
      <c r="AF801" s="37"/>
      <c r="AG801" s="37"/>
      <c r="AH801" s="37"/>
      <c r="AI801" s="37"/>
      <c r="AJ801" s="37"/>
      <c r="AK801" s="37"/>
      <c r="AL801" s="37"/>
      <c r="AM801" s="37"/>
      <c r="AN801" s="37"/>
      <c r="AO801" s="37"/>
      <c r="AP801" s="37"/>
      <c r="AQ801" s="37"/>
      <c r="AR801" s="37"/>
      <c r="AS801" s="37"/>
      <c r="AT801" s="37"/>
      <c r="AU801" s="37"/>
      <c r="AV801" s="37"/>
      <c r="AW801" s="37"/>
      <c r="AX801" s="36"/>
    </row>
    <row r="802" spans="4:50" ht="15" thickBot="1" x14ac:dyDescent="0.4"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  <c r="AD802" s="37"/>
      <c r="AE802" s="37"/>
      <c r="AF802" s="37"/>
      <c r="AG802" s="37"/>
      <c r="AH802" s="37"/>
      <c r="AI802" s="37"/>
      <c r="AJ802" s="37"/>
      <c r="AK802" s="37"/>
      <c r="AL802" s="37"/>
      <c r="AM802" s="37"/>
      <c r="AN802" s="37"/>
      <c r="AO802" s="37"/>
      <c r="AP802" s="37"/>
      <c r="AQ802" s="37"/>
      <c r="AR802" s="37"/>
      <c r="AS802" s="37"/>
      <c r="AT802" s="37"/>
      <c r="AU802" s="37"/>
      <c r="AV802" s="37"/>
      <c r="AW802" s="37"/>
      <c r="AX802" s="36"/>
    </row>
    <row r="803" spans="4:50" ht="15" thickBot="1" x14ac:dyDescent="0.4"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  <c r="AD803" s="37"/>
      <c r="AE803" s="37"/>
      <c r="AF803" s="37"/>
      <c r="AG803" s="37"/>
      <c r="AH803" s="37"/>
      <c r="AI803" s="37"/>
      <c r="AJ803" s="37"/>
      <c r="AK803" s="37"/>
      <c r="AL803" s="37"/>
      <c r="AM803" s="37"/>
      <c r="AN803" s="37"/>
      <c r="AO803" s="37"/>
      <c r="AP803" s="37"/>
      <c r="AQ803" s="37"/>
      <c r="AR803" s="37"/>
      <c r="AS803" s="37"/>
      <c r="AT803" s="37"/>
      <c r="AU803" s="37"/>
      <c r="AV803" s="37"/>
      <c r="AW803" s="37"/>
      <c r="AX803" s="36"/>
    </row>
    <row r="804" spans="4:50" ht="15" thickBot="1" x14ac:dyDescent="0.4"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  <c r="AD804" s="37"/>
      <c r="AE804" s="37"/>
      <c r="AF804" s="37"/>
      <c r="AG804" s="37"/>
      <c r="AH804" s="37"/>
      <c r="AI804" s="37"/>
      <c r="AJ804" s="37"/>
      <c r="AK804" s="37"/>
      <c r="AL804" s="37"/>
      <c r="AM804" s="37"/>
      <c r="AN804" s="37"/>
      <c r="AO804" s="37"/>
      <c r="AP804" s="37"/>
      <c r="AQ804" s="37"/>
      <c r="AR804" s="37"/>
      <c r="AS804" s="37"/>
      <c r="AT804" s="37"/>
      <c r="AU804" s="37"/>
      <c r="AV804" s="37"/>
      <c r="AW804" s="37"/>
      <c r="AX804" s="36"/>
    </row>
    <row r="805" spans="4:50" ht="15" thickBot="1" x14ac:dyDescent="0.4"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  <c r="AD805" s="37"/>
      <c r="AE805" s="37"/>
      <c r="AF805" s="37"/>
      <c r="AG805" s="37"/>
      <c r="AH805" s="37"/>
      <c r="AI805" s="37"/>
      <c r="AJ805" s="37"/>
      <c r="AK805" s="37"/>
      <c r="AL805" s="37"/>
      <c r="AM805" s="37"/>
      <c r="AN805" s="37"/>
      <c r="AO805" s="37"/>
      <c r="AP805" s="37"/>
      <c r="AQ805" s="37"/>
      <c r="AR805" s="37"/>
      <c r="AS805" s="37"/>
      <c r="AT805" s="37"/>
      <c r="AU805" s="37"/>
      <c r="AV805" s="37"/>
      <c r="AW805" s="37"/>
      <c r="AX805" s="36"/>
    </row>
    <row r="806" spans="4:50" ht="15" thickBot="1" x14ac:dyDescent="0.4"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  <c r="AD806" s="37"/>
      <c r="AE806" s="37"/>
      <c r="AF806" s="37"/>
      <c r="AG806" s="37"/>
      <c r="AH806" s="37"/>
      <c r="AI806" s="37"/>
      <c r="AJ806" s="37"/>
      <c r="AK806" s="37"/>
      <c r="AL806" s="37"/>
      <c r="AM806" s="37"/>
      <c r="AN806" s="37"/>
      <c r="AO806" s="37"/>
      <c r="AP806" s="37"/>
      <c r="AQ806" s="37"/>
      <c r="AR806" s="37"/>
      <c r="AS806" s="37"/>
      <c r="AT806" s="37"/>
      <c r="AU806" s="37"/>
      <c r="AV806" s="37"/>
      <c r="AW806" s="37"/>
      <c r="AX806" s="36"/>
    </row>
    <row r="807" spans="4:50" ht="15" thickBot="1" x14ac:dyDescent="0.4"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  <c r="AD807" s="37"/>
      <c r="AE807" s="37"/>
      <c r="AF807" s="37"/>
      <c r="AG807" s="37"/>
      <c r="AH807" s="37"/>
      <c r="AI807" s="37"/>
      <c r="AJ807" s="37"/>
      <c r="AK807" s="37"/>
      <c r="AL807" s="37"/>
      <c r="AM807" s="37"/>
      <c r="AN807" s="37"/>
      <c r="AO807" s="37"/>
      <c r="AP807" s="37"/>
      <c r="AQ807" s="37"/>
      <c r="AR807" s="37"/>
      <c r="AS807" s="37"/>
      <c r="AT807" s="37"/>
      <c r="AU807" s="37"/>
      <c r="AV807" s="37"/>
      <c r="AW807" s="37"/>
      <c r="AX807" s="36"/>
    </row>
    <row r="808" spans="4:50" ht="15" thickBot="1" x14ac:dyDescent="0.4"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  <c r="AD808" s="37"/>
      <c r="AE808" s="37"/>
      <c r="AF808" s="37"/>
      <c r="AG808" s="37"/>
      <c r="AH808" s="37"/>
      <c r="AI808" s="37"/>
      <c r="AJ808" s="37"/>
      <c r="AK808" s="37"/>
      <c r="AL808" s="37"/>
      <c r="AM808" s="37"/>
      <c r="AN808" s="37"/>
      <c r="AO808" s="37"/>
      <c r="AP808" s="37"/>
      <c r="AQ808" s="37"/>
      <c r="AR808" s="37"/>
      <c r="AS808" s="37"/>
      <c r="AT808" s="37"/>
      <c r="AU808" s="37"/>
      <c r="AV808" s="37"/>
      <c r="AW808" s="37"/>
      <c r="AX808" s="36"/>
    </row>
    <row r="809" spans="4:50" ht="15" thickBot="1" x14ac:dyDescent="0.4"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  <c r="AD809" s="37"/>
      <c r="AE809" s="37"/>
      <c r="AF809" s="37"/>
      <c r="AG809" s="37"/>
      <c r="AH809" s="37"/>
      <c r="AI809" s="37"/>
      <c r="AJ809" s="37"/>
      <c r="AK809" s="37"/>
      <c r="AL809" s="37"/>
      <c r="AM809" s="37"/>
      <c r="AN809" s="37"/>
      <c r="AO809" s="37"/>
      <c r="AP809" s="37"/>
      <c r="AQ809" s="37"/>
      <c r="AR809" s="37"/>
      <c r="AS809" s="37"/>
      <c r="AT809" s="37"/>
      <c r="AU809" s="37"/>
      <c r="AV809" s="37"/>
      <c r="AW809" s="37"/>
      <c r="AX809" s="36"/>
    </row>
    <row r="810" spans="4:50" ht="15" thickBot="1" x14ac:dyDescent="0.4"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  <c r="AD810" s="37"/>
      <c r="AE810" s="37"/>
      <c r="AF810" s="37"/>
      <c r="AG810" s="37"/>
      <c r="AH810" s="37"/>
      <c r="AI810" s="37"/>
      <c r="AJ810" s="37"/>
      <c r="AK810" s="37"/>
      <c r="AL810" s="37"/>
      <c r="AM810" s="37"/>
      <c r="AN810" s="37"/>
      <c r="AO810" s="37"/>
      <c r="AP810" s="37"/>
      <c r="AQ810" s="37"/>
      <c r="AR810" s="37"/>
      <c r="AS810" s="37"/>
      <c r="AT810" s="37"/>
      <c r="AU810" s="37"/>
      <c r="AV810" s="37"/>
      <c r="AW810" s="37"/>
      <c r="AX810" s="36"/>
    </row>
    <row r="811" spans="4:50" ht="15" thickBot="1" x14ac:dyDescent="0.4"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  <c r="AD811" s="37"/>
      <c r="AE811" s="37"/>
      <c r="AF811" s="37"/>
      <c r="AG811" s="37"/>
      <c r="AH811" s="37"/>
      <c r="AI811" s="37"/>
      <c r="AJ811" s="37"/>
      <c r="AK811" s="37"/>
      <c r="AL811" s="37"/>
      <c r="AM811" s="37"/>
      <c r="AN811" s="37"/>
      <c r="AO811" s="37"/>
      <c r="AP811" s="37"/>
      <c r="AQ811" s="37"/>
      <c r="AR811" s="37"/>
      <c r="AS811" s="37"/>
      <c r="AT811" s="37"/>
      <c r="AU811" s="37"/>
      <c r="AV811" s="37"/>
      <c r="AW811" s="37"/>
      <c r="AX811" s="36"/>
    </row>
    <row r="812" spans="4:50" ht="15" thickBot="1" x14ac:dyDescent="0.4"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  <c r="AD812" s="37"/>
      <c r="AE812" s="37"/>
      <c r="AF812" s="37"/>
      <c r="AG812" s="37"/>
      <c r="AH812" s="37"/>
      <c r="AI812" s="37"/>
      <c r="AJ812" s="37"/>
      <c r="AK812" s="37"/>
      <c r="AL812" s="37"/>
      <c r="AM812" s="37"/>
      <c r="AN812" s="37"/>
      <c r="AO812" s="37"/>
      <c r="AP812" s="37"/>
      <c r="AQ812" s="37"/>
      <c r="AR812" s="37"/>
      <c r="AS812" s="37"/>
      <c r="AT812" s="37"/>
      <c r="AU812" s="37"/>
      <c r="AV812" s="37"/>
      <c r="AW812" s="37"/>
      <c r="AX812" s="36"/>
    </row>
    <row r="813" spans="4:50" ht="15" thickBot="1" x14ac:dyDescent="0.4"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  <c r="AD813" s="37"/>
      <c r="AE813" s="37"/>
      <c r="AF813" s="37"/>
      <c r="AG813" s="37"/>
      <c r="AH813" s="37"/>
      <c r="AI813" s="37"/>
      <c r="AJ813" s="37"/>
      <c r="AK813" s="37"/>
      <c r="AL813" s="37"/>
      <c r="AM813" s="37"/>
      <c r="AN813" s="37"/>
      <c r="AO813" s="37"/>
      <c r="AP813" s="37"/>
      <c r="AQ813" s="37"/>
      <c r="AR813" s="37"/>
      <c r="AS813" s="37"/>
      <c r="AT813" s="37"/>
      <c r="AU813" s="37"/>
      <c r="AV813" s="37"/>
      <c r="AW813" s="37"/>
      <c r="AX813" s="36"/>
    </row>
    <row r="814" spans="4:50" ht="15" thickBot="1" x14ac:dyDescent="0.4"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  <c r="AD814" s="37"/>
      <c r="AE814" s="37"/>
      <c r="AF814" s="37"/>
      <c r="AG814" s="37"/>
      <c r="AH814" s="37"/>
      <c r="AI814" s="37"/>
      <c r="AJ814" s="37"/>
      <c r="AK814" s="37"/>
      <c r="AL814" s="37"/>
      <c r="AM814" s="37"/>
      <c r="AN814" s="37"/>
      <c r="AO814" s="37"/>
      <c r="AP814" s="37"/>
      <c r="AQ814" s="37"/>
      <c r="AR814" s="37"/>
      <c r="AS814" s="37"/>
      <c r="AT814" s="37"/>
      <c r="AU814" s="37"/>
      <c r="AV814" s="37"/>
      <c r="AW814" s="37"/>
      <c r="AX814" s="36"/>
    </row>
    <row r="815" spans="4:50" ht="15" thickBot="1" x14ac:dyDescent="0.4"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  <c r="AD815" s="37"/>
      <c r="AE815" s="37"/>
      <c r="AF815" s="37"/>
      <c r="AG815" s="37"/>
      <c r="AH815" s="37"/>
      <c r="AI815" s="37"/>
      <c r="AJ815" s="37"/>
      <c r="AK815" s="37"/>
      <c r="AL815" s="37"/>
      <c r="AM815" s="37"/>
      <c r="AN815" s="37"/>
      <c r="AO815" s="37"/>
      <c r="AP815" s="37"/>
      <c r="AQ815" s="37"/>
      <c r="AR815" s="37"/>
      <c r="AS815" s="37"/>
      <c r="AT815" s="37"/>
      <c r="AU815" s="37"/>
      <c r="AV815" s="37"/>
      <c r="AW815" s="37"/>
      <c r="AX815" s="36"/>
    </row>
    <row r="816" spans="4:50" ht="15" thickBot="1" x14ac:dyDescent="0.4"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  <c r="AD816" s="37"/>
      <c r="AE816" s="37"/>
      <c r="AF816" s="37"/>
      <c r="AG816" s="37"/>
      <c r="AH816" s="37"/>
      <c r="AI816" s="37"/>
      <c r="AJ816" s="37"/>
      <c r="AK816" s="37"/>
      <c r="AL816" s="37"/>
      <c r="AM816" s="37"/>
      <c r="AN816" s="37"/>
      <c r="AO816" s="37"/>
      <c r="AP816" s="37"/>
      <c r="AQ816" s="37"/>
      <c r="AR816" s="37"/>
      <c r="AS816" s="37"/>
      <c r="AT816" s="37"/>
      <c r="AU816" s="37"/>
      <c r="AV816" s="37"/>
      <c r="AW816" s="37"/>
      <c r="AX816" s="36"/>
    </row>
    <row r="817" spans="4:50" ht="15" thickBot="1" x14ac:dyDescent="0.4"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  <c r="AD817" s="37"/>
      <c r="AE817" s="37"/>
      <c r="AF817" s="37"/>
      <c r="AG817" s="37"/>
      <c r="AH817" s="37"/>
      <c r="AI817" s="37"/>
      <c r="AJ817" s="37"/>
      <c r="AK817" s="37"/>
      <c r="AL817" s="37"/>
      <c r="AM817" s="37"/>
      <c r="AN817" s="37"/>
      <c r="AO817" s="37"/>
      <c r="AP817" s="37"/>
      <c r="AQ817" s="37"/>
      <c r="AR817" s="37"/>
      <c r="AS817" s="37"/>
      <c r="AT817" s="37"/>
      <c r="AU817" s="37"/>
      <c r="AV817" s="37"/>
      <c r="AW817" s="37"/>
      <c r="AX817" s="36"/>
    </row>
    <row r="818" spans="4:50" ht="15" thickBot="1" x14ac:dyDescent="0.4"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  <c r="AD818" s="37"/>
      <c r="AE818" s="37"/>
      <c r="AF818" s="37"/>
      <c r="AG818" s="37"/>
      <c r="AH818" s="37"/>
      <c r="AI818" s="37"/>
      <c r="AJ818" s="37"/>
      <c r="AK818" s="37"/>
      <c r="AL818" s="37"/>
      <c r="AM818" s="37"/>
      <c r="AN818" s="37"/>
      <c r="AO818" s="37"/>
      <c r="AP818" s="37"/>
      <c r="AQ818" s="37"/>
      <c r="AR818" s="37"/>
      <c r="AS818" s="37"/>
      <c r="AT818" s="37"/>
      <c r="AU818" s="37"/>
      <c r="AV818" s="37"/>
      <c r="AW818" s="37"/>
      <c r="AX818" s="36"/>
    </row>
    <row r="819" spans="4:50" ht="15" thickBot="1" x14ac:dyDescent="0.4"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  <c r="AD819" s="37"/>
      <c r="AE819" s="37"/>
      <c r="AF819" s="37"/>
      <c r="AG819" s="37"/>
      <c r="AH819" s="37"/>
      <c r="AI819" s="37"/>
      <c r="AJ819" s="37"/>
      <c r="AK819" s="37"/>
      <c r="AL819" s="37"/>
      <c r="AM819" s="37"/>
      <c r="AN819" s="37"/>
      <c r="AO819" s="37"/>
      <c r="AP819" s="37"/>
      <c r="AQ819" s="37"/>
      <c r="AR819" s="37"/>
      <c r="AS819" s="37"/>
      <c r="AT819" s="37"/>
      <c r="AU819" s="37"/>
      <c r="AV819" s="37"/>
      <c r="AW819" s="37"/>
      <c r="AX819" s="36"/>
    </row>
    <row r="820" spans="4:50" ht="15" thickBot="1" x14ac:dyDescent="0.4"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  <c r="AD820" s="37"/>
      <c r="AE820" s="37"/>
      <c r="AF820" s="37"/>
      <c r="AG820" s="37"/>
      <c r="AH820" s="37"/>
      <c r="AI820" s="37"/>
      <c r="AJ820" s="37"/>
      <c r="AK820" s="37"/>
      <c r="AL820" s="37"/>
      <c r="AM820" s="37"/>
      <c r="AN820" s="37"/>
      <c r="AO820" s="37"/>
      <c r="AP820" s="37"/>
      <c r="AQ820" s="37"/>
      <c r="AR820" s="37"/>
      <c r="AS820" s="37"/>
      <c r="AT820" s="37"/>
      <c r="AU820" s="37"/>
      <c r="AV820" s="37"/>
      <c r="AW820" s="37"/>
      <c r="AX820" s="36"/>
    </row>
    <row r="821" spans="4:50" ht="15" thickBot="1" x14ac:dyDescent="0.4"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  <c r="AD821" s="37"/>
      <c r="AE821" s="37"/>
      <c r="AF821" s="37"/>
      <c r="AG821" s="37"/>
      <c r="AH821" s="37"/>
      <c r="AI821" s="37"/>
      <c r="AJ821" s="37"/>
      <c r="AK821" s="37"/>
      <c r="AL821" s="37"/>
      <c r="AM821" s="37"/>
      <c r="AN821" s="37"/>
      <c r="AO821" s="37"/>
      <c r="AP821" s="37"/>
      <c r="AQ821" s="37"/>
      <c r="AR821" s="37"/>
      <c r="AS821" s="37"/>
      <c r="AT821" s="37"/>
      <c r="AU821" s="37"/>
      <c r="AV821" s="37"/>
      <c r="AW821" s="37"/>
      <c r="AX821" s="36"/>
    </row>
    <row r="822" spans="4:50" ht="15" thickBot="1" x14ac:dyDescent="0.4"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7"/>
      <c r="AN822" s="37"/>
      <c r="AO822" s="37"/>
      <c r="AP822" s="37"/>
      <c r="AQ822" s="37"/>
      <c r="AR822" s="37"/>
      <c r="AS822" s="37"/>
      <c r="AT822" s="37"/>
      <c r="AU822" s="37"/>
      <c r="AV822" s="37"/>
      <c r="AW822" s="37"/>
      <c r="AX822" s="36"/>
    </row>
    <row r="823" spans="4:50" ht="15" thickBot="1" x14ac:dyDescent="0.4"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  <c r="AD823" s="37"/>
      <c r="AE823" s="37"/>
      <c r="AF823" s="37"/>
      <c r="AG823" s="37"/>
      <c r="AH823" s="37"/>
      <c r="AI823" s="37"/>
      <c r="AJ823" s="37"/>
      <c r="AK823" s="37"/>
      <c r="AL823" s="37"/>
      <c r="AM823" s="37"/>
      <c r="AN823" s="37"/>
      <c r="AO823" s="37"/>
      <c r="AP823" s="37"/>
      <c r="AQ823" s="37"/>
      <c r="AR823" s="37"/>
      <c r="AS823" s="37"/>
      <c r="AT823" s="37"/>
      <c r="AU823" s="37"/>
      <c r="AV823" s="37"/>
      <c r="AW823" s="37"/>
      <c r="AX823" s="36"/>
    </row>
    <row r="824" spans="4:50" ht="15" thickBot="1" x14ac:dyDescent="0.4"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  <c r="AD824" s="37"/>
      <c r="AE824" s="37"/>
      <c r="AF824" s="37"/>
      <c r="AG824" s="37"/>
      <c r="AH824" s="37"/>
      <c r="AI824" s="37"/>
      <c r="AJ824" s="37"/>
      <c r="AK824" s="37"/>
      <c r="AL824" s="37"/>
      <c r="AM824" s="37"/>
      <c r="AN824" s="37"/>
      <c r="AO824" s="37"/>
      <c r="AP824" s="37"/>
      <c r="AQ824" s="37"/>
      <c r="AR824" s="37"/>
      <c r="AS824" s="37"/>
      <c r="AT824" s="37"/>
      <c r="AU824" s="37"/>
      <c r="AV824" s="37"/>
      <c r="AW824" s="37"/>
      <c r="AX824" s="36"/>
    </row>
    <row r="825" spans="4:50" ht="15" thickBot="1" x14ac:dyDescent="0.4"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  <c r="AE825" s="37"/>
      <c r="AF825" s="37"/>
      <c r="AG825" s="37"/>
      <c r="AH825" s="37"/>
      <c r="AI825" s="37"/>
      <c r="AJ825" s="37"/>
      <c r="AK825" s="37"/>
      <c r="AL825" s="37"/>
      <c r="AM825" s="37"/>
      <c r="AN825" s="37"/>
      <c r="AO825" s="37"/>
      <c r="AP825" s="37"/>
      <c r="AQ825" s="37"/>
      <c r="AR825" s="37"/>
      <c r="AS825" s="37"/>
      <c r="AT825" s="37"/>
      <c r="AU825" s="37"/>
      <c r="AV825" s="37"/>
      <c r="AW825" s="37"/>
      <c r="AX825" s="36"/>
    </row>
    <row r="826" spans="4:50" ht="15" thickBot="1" x14ac:dyDescent="0.4"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  <c r="AD826" s="37"/>
      <c r="AE826" s="37"/>
      <c r="AF826" s="37"/>
      <c r="AG826" s="37"/>
      <c r="AH826" s="37"/>
      <c r="AI826" s="37"/>
      <c r="AJ826" s="37"/>
      <c r="AK826" s="37"/>
      <c r="AL826" s="37"/>
      <c r="AM826" s="37"/>
      <c r="AN826" s="37"/>
      <c r="AO826" s="37"/>
      <c r="AP826" s="37"/>
      <c r="AQ826" s="37"/>
      <c r="AR826" s="37"/>
      <c r="AS826" s="37"/>
      <c r="AT826" s="37"/>
      <c r="AU826" s="37"/>
      <c r="AV826" s="37"/>
      <c r="AW826" s="37"/>
      <c r="AX826" s="36"/>
    </row>
    <row r="827" spans="4:50" ht="15" thickBot="1" x14ac:dyDescent="0.4"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  <c r="AD827" s="37"/>
      <c r="AE827" s="37"/>
      <c r="AF827" s="37"/>
      <c r="AG827" s="37"/>
      <c r="AH827" s="37"/>
      <c r="AI827" s="37"/>
      <c r="AJ827" s="37"/>
      <c r="AK827" s="37"/>
      <c r="AL827" s="37"/>
      <c r="AM827" s="37"/>
      <c r="AN827" s="37"/>
      <c r="AO827" s="37"/>
      <c r="AP827" s="37"/>
      <c r="AQ827" s="37"/>
      <c r="AR827" s="37"/>
      <c r="AS827" s="37"/>
      <c r="AT827" s="37"/>
      <c r="AU827" s="37"/>
      <c r="AV827" s="37"/>
      <c r="AW827" s="37"/>
      <c r="AX827" s="36"/>
    </row>
    <row r="828" spans="4:50" ht="15" thickBot="1" x14ac:dyDescent="0.4"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  <c r="AE828" s="37"/>
      <c r="AF828" s="37"/>
      <c r="AG828" s="37"/>
      <c r="AH828" s="37"/>
      <c r="AI828" s="37"/>
      <c r="AJ828" s="37"/>
      <c r="AK828" s="37"/>
      <c r="AL828" s="37"/>
      <c r="AM828" s="37"/>
      <c r="AN828" s="37"/>
      <c r="AO828" s="37"/>
      <c r="AP828" s="37"/>
      <c r="AQ828" s="37"/>
      <c r="AR828" s="37"/>
      <c r="AS828" s="37"/>
      <c r="AT828" s="37"/>
      <c r="AU828" s="37"/>
      <c r="AV828" s="37"/>
      <c r="AW828" s="37"/>
      <c r="AX828" s="36"/>
    </row>
    <row r="829" spans="4:50" ht="15" thickBot="1" x14ac:dyDescent="0.4"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  <c r="AD829" s="37"/>
      <c r="AE829" s="37"/>
      <c r="AF829" s="37"/>
      <c r="AG829" s="37"/>
      <c r="AH829" s="37"/>
      <c r="AI829" s="37"/>
      <c r="AJ829" s="37"/>
      <c r="AK829" s="37"/>
      <c r="AL829" s="37"/>
      <c r="AM829" s="37"/>
      <c r="AN829" s="37"/>
      <c r="AO829" s="37"/>
      <c r="AP829" s="37"/>
      <c r="AQ829" s="37"/>
      <c r="AR829" s="37"/>
      <c r="AS829" s="37"/>
      <c r="AT829" s="37"/>
      <c r="AU829" s="37"/>
      <c r="AV829" s="37"/>
      <c r="AW829" s="37"/>
      <c r="AX829" s="36"/>
    </row>
    <row r="830" spans="4:50" ht="15" thickBot="1" x14ac:dyDescent="0.4"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  <c r="AD830" s="37"/>
      <c r="AE830" s="37"/>
      <c r="AF830" s="37"/>
      <c r="AG830" s="37"/>
      <c r="AH830" s="37"/>
      <c r="AI830" s="37"/>
      <c r="AJ830" s="37"/>
      <c r="AK830" s="37"/>
      <c r="AL830" s="37"/>
      <c r="AM830" s="37"/>
      <c r="AN830" s="37"/>
      <c r="AO830" s="37"/>
      <c r="AP830" s="37"/>
      <c r="AQ830" s="37"/>
      <c r="AR830" s="37"/>
      <c r="AS830" s="37"/>
      <c r="AT830" s="37"/>
      <c r="AU830" s="37"/>
      <c r="AV830" s="37"/>
      <c r="AW830" s="37"/>
      <c r="AX830" s="36"/>
    </row>
    <row r="831" spans="4:50" ht="15" thickBot="1" x14ac:dyDescent="0.4"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  <c r="AD831" s="37"/>
      <c r="AE831" s="37"/>
      <c r="AF831" s="37"/>
      <c r="AG831" s="37"/>
      <c r="AH831" s="37"/>
      <c r="AI831" s="37"/>
      <c r="AJ831" s="37"/>
      <c r="AK831" s="37"/>
      <c r="AL831" s="37"/>
      <c r="AM831" s="37"/>
      <c r="AN831" s="37"/>
      <c r="AO831" s="37"/>
      <c r="AP831" s="37"/>
      <c r="AQ831" s="37"/>
      <c r="AR831" s="37"/>
      <c r="AS831" s="37"/>
      <c r="AT831" s="37"/>
      <c r="AU831" s="37"/>
      <c r="AV831" s="37"/>
      <c r="AW831" s="37"/>
      <c r="AX831" s="36"/>
    </row>
    <row r="832" spans="4:50" ht="15" thickBot="1" x14ac:dyDescent="0.4"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  <c r="AD832" s="37"/>
      <c r="AE832" s="37"/>
      <c r="AF832" s="37"/>
      <c r="AG832" s="37"/>
      <c r="AH832" s="37"/>
      <c r="AI832" s="37"/>
      <c r="AJ832" s="37"/>
      <c r="AK832" s="37"/>
      <c r="AL832" s="37"/>
      <c r="AM832" s="37"/>
      <c r="AN832" s="37"/>
      <c r="AO832" s="37"/>
      <c r="AP832" s="37"/>
      <c r="AQ832" s="37"/>
      <c r="AR832" s="37"/>
      <c r="AS832" s="37"/>
      <c r="AT832" s="37"/>
      <c r="AU832" s="37"/>
      <c r="AV832" s="37"/>
      <c r="AW832" s="37"/>
      <c r="AX832" s="36"/>
    </row>
    <row r="833" spans="4:50" ht="15" thickBot="1" x14ac:dyDescent="0.4"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  <c r="AD833" s="37"/>
      <c r="AE833" s="37"/>
      <c r="AF833" s="37"/>
      <c r="AG833" s="37"/>
      <c r="AH833" s="37"/>
      <c r="AI833" s="37"/>
      <c r="AJ833" s="37"/>
      <c r="AK833" s="37"/>
      <c r="AL833" s="37"/>
      <c r="AM833" s="37"/>
      <c r="AN833" s="37"/>
      <c r="AO833" s="37"/>
      <c r="AP833" s="37"/>
      <c r="AQ833" s="37"/>
      <c r="AR833" s="37"/>
      <c r="AS833" s="37"/>
      <c r="AT833" s="37"/>
      <c r="AU833" s="37"/>
      <c r="AV833" s="37"/>
      <c r="AW833" s="37"/>
      <c r="AX833" s="36"/>
    </row>
    <row r="834" spans="4:50" ht="15" thickBot="1" x14ac:dyDescent="0.4"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  <c r="AD834" s="37"/>
      <c r="AE834" s="37"/>
      <c r="AF834" s="37"/>
      <c r="AG834" s="37"/>
      <c r="AH834" s="37"/>
      <c r="AI834" s="37"/>
      <c r="AJ834" s="37"/>
      <c r="AK834" s="37"/>
      <c r="AL834" s="37"/>
      <c r="AM834" s="37"/>
      <c r="AN834" s="37"/>
      <c r="AO834" s="37"/>
      <c r="AP834" s="37"/>
      <c r="AQ834" s="37"/>
      <c r="AR834" s="37"/>
      <c r="AS834" s="37"/>
      <c r="AT834" s="37"/>
      <c r="AU834" s="37"/>
      <c r="AV834" s="37"/>
      <c r="AW834" s="37"/>
      <c r="AX834" s="36"/>
    </row>
    <row r="835" spans="4:50" ht="15" thickBot="1" x14ac:dyDescent="0.4"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  <c r="AD835" s="37"/>
      <c r="AE835" s="37"/>
      <c r="AF835" s="37"/>
      <c r="AG835" s="37"/>
      <c r="AH835" s="37"/>
      <c r="AI835" s="37"/>
      <c r="AJ835" s="37"/>
      <c r="AK835" s="37"/>
      <c r="AL835" s="37"/>
      <c r="AM835" s="37"/>
      <c r="AN835" s="37"/>
      <c r="AO835" s="37"/>
      <c r="AP835" s="37"/>
      <c r="AQ835" s="37"/>
      <c r="AR835" s="37"/>
      <c r="AS835" s="37"/>
      <c r="AT835" s="37"/>
      <c r="AU835" s="37"/>
      <c r="AV835" s="37"/>
      <c r="AW835" s="37"/>
      <c r="AX835" s="36"/>
    </row>
    <row r="836" spans="4:50" ht="15" thickBot="1" x14ac:dyDescent="0.4"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  <c r="AD836" s="37"/>
      <c r="AE836" s="37"/>
      <c r="AF836" s="37"/>
      <c r="AG836" s="37"/>
      <c r="AH836" s="37"/>
      <c r="AI836" s="37"/>
      <c r="AJ836" s="37"/>
      <c r="AK836" s="37"/>
      <c r="AL836" s="37"/>
      <c r="AM836" s="37"/>
      <c r="AN836" s="37"/>
      <c r="AO836" s="37"/>
      <c r="AP836" s="37"/>
      <c r="AQ836" s="37"/>
      <c r="AR836" s="37"/>
      <c r="AS836" s="37"/>
      <c r="AT836" s="37"/>
      <c r="AU836" s="37"/>
      <c r="AV836" s="37"/>
      <c r="AW836" s="37"/>
      <c r="AX836" s="36"/>
    </row>
    <row r="837" spans="4:50" ht="15" thickBot="1" x14ac:dyDescent="0.4"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  <c r="AD837" s="37"/>
      <c r="AE837" s="37"/>
      <c r="AF837" s="37"/>
      <c r="AG837" s="37"/>
      <c r="AH837" s="37"/>
      <c r="AI837" s="37"/>
      <c r="AJ837" s="37"/>
      <c r="AK837" s="37"/>
      <c r="AL837" s="37"/>
      <c r="AM837" s="37"/>
      <c r="AN837" s="37"/>
      <c r="AO837" s="37"/>
      <c r="AP837" s="37"/>
      <c r="AQ837" s="37"/>
      <c r="AR837" s="37"/>
      <c r="AS837" s="37"/>
      <c r="AT837" s="37"/>
      <c r="AU837" s="37"/>
      <c r="AV837" s="37"/>
      <c r="AW837" s="37"/>
      <c r="AX837" s="36"/>
    </row>
    <row r="838" spans="4:50" ht="15" thickBot="1" x14ac:dyDescent="0.4"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  <c r="AD838" s="37"/>
      <c r="AE838" s="37"/>
      <c r="AF838" s="37"/>
      <c r="AG838" s="37"/>
      <c r="AH838" s="37"/>
      <c r="AI838" s="37"/>
      <c r="AJ838" s="37"/>
      <c r="AK838" s="37"/>
      <c r="AL838" s="37"/>
      <c r="AM838" s="37"/>
      <c r="AN838" s="37"/>
      <c r="AO838" s="37"/>
      <c r="AP838" s="37"/>
      <c r="AQ838" s="37"/>
      <c r="AR838" s="37"/>
      <c r="AS838" s="37"/>
      <c r="AT838" s="37"/>
      <c r="AU838" s="37"/>
      <c r="AV838" s="37"/>
      <c r="AW838" s="37"/>
      <c r="AX838" s="36"/>
    </row>
    <row r="839" spans="4:50" ht="15" thickBot="1" x14ac:dyDescent="0.4"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  <c r="AD839" s="37"/>
      <c r="AE839" s="37"/>
      <c r="AF839" s="37"/>
      <c r="AG839" s="37"/>
      <c r="AH839" s="37"/>
      <c r="AI839" s="37"/>
      <c r="AJ839" s="37"/>
      <c r="AK839" s="37"/>
      <c r="AL839" s="37"/>
      <c r="AM839" s="37"/>
      <c r="AN839" s="37"/>
      <c r="AO839" s="37"/>
      <c r="AP839" s="37"/>
      <c r="AQ839" s="37"/>
      <c r="AR839" s="37"/>
      <c r="AS839" s="37"/>
      <c r="AT839" s="37"/>
      <c r="AU839" s="37"/>
      <c r="AV839" s="37"/>
      <c r="AW839" s="37"/>
      <c r="AX839" s="36"/>
    </row>
    <row r="840" spans="4:50" ht="15" thickBot="1" x14ac:dyDescent="0.4"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  <c r="AD840" s="37"/>
      <c r="AE840" s="37"/>
      <c r="AF840" s="37"/>
      <c r="AG840" s="37"/>
      <c r="AH840" s="37"/>
      <c r="AI840" s="37"/>
      <c r="AJ840" s="37"/>
      <c r="AK840" s="37"/>
      <c r="AL840" s="37"/>
      <c r="AM840" s="37"/>
      <c r="AN840" s="37"/>
      <c r="AO840" s="37"/>
      <c r="AP840" s="37"/>
      <c r="AQ840" s="37"/>
      <c r="AR840" s="37"/>
      <c r="AS840" s="37"/>
      <c r="AT840" s="37"/>
      <c r="AU840" s="37"/>
      <c r="AV840" s="37"/>
      <c r="AW840" s="37"/>
      <c r="AX840" s="36"/>
    </row>
    <row r="841" spans="4:50" ht="15" thickBot="1" x14ac:dyDescent="0.4"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  <c r="AD841" s="37"/>
      <c r="AE841" s="37"/>
      <c r="AF841" s="37"/>
      <c r="AG841" s="37"/>
      <c r="AH841" s="37"/>
      <c r="AI841" s="37"/>
      <c r="AJ841" s="37"/>
      <c r="AK841" s="37"/>
      <c r="AL841" s="37"/>
      <c r="AM841" s="37"/>
      <c r="AN841" s="37"/>
      <c r="AO841" s="37"/>
      <c r="AP841" s="37"/>
      <c r="AQ841" s="37"/>
      <c r="AR841" s="37"/>
      <c r="AS841" s="37"/>
      <c r="AT841" s="37"/>
      <c r="AU841" s="37"/>
      <c r="AV841" s="37"/>
      <c r="AW841" s="37"/>
      <c r="AX841" s="36"/>
    </row>
    <row r="842" spans="4:50" ht="15" thickBot="1" x14ac:dyDescent="0.4"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  <c r="AD842" s="37"/>
      <c r="AE842" s="37"/>
      <c r="AF842" s="37"/>
      <c r="AG842" s="37"/>
      <c r="AH842" s="37"/>
      <c r="AI842" s="37"/>
      <c r="AJ842" s="37"/>
      <c r="AK842" s="37"/>
      <c r="AL842" s="37"/>
      <c r="AM842" s="37"/>
      <c r="AN842" s="37"/>
      <c r="AO842" s="37"/>
      <c r="AP842" s="37"/>
      <c r="AQ842" s="37"/>
      <c r="AR842" s="37"/>
      <c r="AS842" s="37"/>
      <c r="AT842" s="37"/>
      <c r="AU842" s="37"/>
      <c r="AV842" s="37"/>
      <c r="AW842" s="37"/>
      <c r="AX842" s="36"/>
    </row>
    <row r="843" spans="4:50" ht="15" thickBot="1" x14ac:dyDescent="0.4"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  <c r="AD843" s="37"/>
      <c r="AE843" s="37"/>
      <c r="AF843" s="37"/>
      <c r="AG843" s="37"/>
      <c r="AH843" s="37"/>
      <c r="AI843" s="37"/>
      <c r="AJ843" s="37"/>
      <c r="AK843" s="37"/>
      <c r="AL843" s="37"/>
      <c r="AM843" s="37"/>
      <c r="AN843" s="37"/>
      <c r="AO843" s="37"/>
      <c r="AP843" s="37"/>
      <c r="AQ843" s="37"/>
      <c r="AR843" s="37"/>
      <c r="AS843" s="37"/>
      <c r="AT843" s="37"/>
      <c r="AU843" s="37"/>
      <c r="AV843" s="37"/>
      <c r="AW843" s="37"/>
      <c r="AX843" s="36"/>
    </row>
    <row r="844" spans="4:50" ht="15" thickBot="1" x14ac:dyDescent="0.4"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  <c r="AD844" s="37"/>
      <c r="AE844" s="37"/>
      <c r="AF844" s="37"/>
      <c r="AG844" s="37"/>
      <c r="AH844" s="37"/>
      <c r="AI844" s="37"/>
      <c r="AJ844" s="37"/>
      <c r="AK844" s="37"/>
      <c r="AL844" s="37"/>
      <c r="AM844" s="37"/>
      <c r="AN844" s="37"/>
      <c r="AO844" s="37"/>
      <c r="AP844" s="37"/>
      <c r="AQ844" s="37"/>
      <c r="AR844" s="37"/>
      <c r="AS844" s="37"/>
      <c r="AT844" s="37"/>
      <c r="AU844" s="37"/>
      <c r="AV844" s="37"/>
      <c r="AW844" s="37"/>
      <c r="AX844" s="36"/>
    </row>
    <row r="845" spans="4:50" ht="15" thickBot="1" x14ac:dyDescent="0.4"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  <c r="AD845" s="37"/>
      <c r="AE845" s="37"/>
      <c r="AF845" s="37"/>
      <c r="AG845" s="37"/>
      <c r="AH845" s="37"/>
      <c r="AI845" s="37"/>
      <c r="AJ845" s="37"/>
      <c r="AK845" s="37"/>
      <c r="AL845" s="37"/>
      <c r="AM845" s="37"/>
      <c r="AN845" s="37"/>
      <c r="AO845" s="37"/>
      <c r="AP845" s="37"/>
      <c r="AQ845" s="37"/>
      <c r="AR845" s="37"/>
      <c r="AS845" s="37"/>
      <c r="AT845" s="37"/>
      <c r="AU845" s="37"/>
      <c r="AV845" s="37"/>
      <c r="AW845" s="37"/>
      <c r="AX845" s="36"/>
    </row>
    <row r="846" spans="4:50" ht="15" thickBot="1" x14ac:dyDescent="0.4"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  <c r="AD846" s="37"/>
      <c r="AE846" s="37"/>
      <c r="AF846" s="37"/>
      <c r="AG846" s="37"/>
      <c r="AH846" s="37"/>
      <c r="AI846" s="37"/>
      <c r="AJ846" s="37"/>
      <c r="AK846" s="37"/>
      <c r="AL846" s="37"/>
      <c r="AM846" s="37"/>
      <c r="AN846" s="37"/>
      <c r="AO846" s="37"/>
      <c r="AP846" s="37"/>
      <c r="AQ846" s="37"/>
      <c r="AR846" s="37"/>
      <c r="AS846" s="37"/>
      <c r="AT846" s="37"/>
      <c r="AU846" s="37"/>
      <c r="AV846" s="37"/>
      <c r="AW846" s="37"/>
      <c r="AX846" s="36"/>
    </row>
    <row r="847" spans="4:50" ht="15" thickBot="1" x14ac:dyDescent="0.4"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  <c r="AD847" s="37"/>
      <c r="AE847" s="37"/>
      <c r="AF847" s="37"/>
      <c r="AG847" s="37"/>
      <c r="AH847" s="37"/>
      <c r="AI847" s="37"/>
      <c r="AJ847" s="37"/>
      <c r="AK847" s="37"/>
      <c r="AL847" s="37"/>
      <c r="AM847" s="37"/>
      <c r="AN847" s="37"/>
      <c r="AO847" s="37"/>
      <c r="AP847" s="37"/>
      <c r="AQ847" s="37"/>
      <c r="AR847" s="37"/>
      <c r="AS847" s="37"/>
      <c r="AT847" s="37"/>
      <c r="AU847" s="37"/>
      <c r="AV847" s="37"/>
      <c r="AW847" s="37"/>
      <c r="AX847" s="36"/>
    </row>
    <row r="848" spans="4:50" ht="15" thickBot="1" x14ac:dyDescent="0.4"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  <c r="AD848" s="37"/>
      <c r="AE848" s="37"/>
      <c r="AF848" s="37"/>
      <c r="AG848" s="37"/>
      <c r="AH848" s="37"/>
      <c r="AI848" s="37"/>
      <c r="AJ848" s="37"/>
      <c r="AK848" s="37"/>
      <c r="AL848" s="37"/>
      <c r="AM848" s="37"/>
      <c r="AN848" s="37"/>
      <c r="AO848" s="37"/>
      <c r="AP848" s="37"/>
      <c r="AQ848" s="37"/>
      <c r="AR848" s="37"/>
      <c r="AS848" s="37"/>
      <c r="AT848" s="37"/>
      <c r="AU848" s="37"/>
      <c r="AV848" s="37"/>
      <c r="AW848" s="37"/>
      <c r="AX848" s="36"/>
    </row>
    <row r="849" spans="4:50" ht="15" thickBot="1" x14ac:dyDescent="0.4"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  <c r="AD849" s="37"/>
      <c r="AE849" s="37"/>
      <c r="AF849" s="37"/>
      <c r="AG849" s="37"/>
      <c r="AH849" s="37"/>
      <c r="AI849" s="37"/>
      <c r="AJ849" s="37"/>
      <c r="AK849" s="37"/>
      <c r="AL849" s="37"/>
      <c r="AM849" s="37"/>
      <c r="AN849" s="37"/>
      <c r="AO849" s="37"/>
      <c r="AP849" s="37"/>
      <c r="AQ849" s="37"/>
      <c r="AR849" s="37"/>
      <c r="AS849" s="37"/>
      <c r="AT849" s="37"/>
      <c r="AU849" s="37"/>
      <c r="AV849" s="37"/>
      <c r="AW849" s="37"/>
      <c r="AX849" s="36"/>
    </row>
    <row r="850" spans="4:50" ht="15" thickBot="1" x14ac:dyDescent="0.4"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  <c r="AD850" s="37"/>
      <c r="AE850" s="37"/>
      <c r="AF850" s="37"/>
      <c r="AG850" s="37"/>
      <c r="AH850" s="37"/>
      <c r="AI850" s="37"/>
      <c r="AJ850" s="37"/>
      <c r="AK850" s="37"/>
      <c r="AL850" s="37"/>
      <c r="AM850" s="37"/>
      <c r="AN850" s="37"/>
      <c r="AO850" s="37"/>
      <c r="AP850" s="37"/>
      <c r="AQ850" s="37"/>
      <c r="AR850" s="37"/>
      <c r="AS850" s="37"/>
      <c r="AT850" s="37"/>
      <c r="AU850" s="37"/>
      <c r="AV850" s="37"/>
      <c r="AW850" s="37"/>
      <c r="AX850" s="36"/>
    </row>
    <row r="851" spans="4:50" ht="15" thickBot="1" x14ac:dyDescent="0.4"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  <c r="AD851" s="37"/>
      <c r="AE851" s="37"/>
      <c r="AF851" s="37"/>
      <c r="AG851" s="37"/>
      <c r="AH851" s="37"/>
      <c r="AI851" s="37"/>
      <c r="AJ851" s="37"/>
      <c r="AK851" s="37"/>
      <c r="AL851" s="37"/>
      <c r="AM851" s="37"/>
      <c r="AN851" s="37"/>
      <c r="AO851" s="37"/>
      <c r="AP851" s="37"/>
      <c r="AQ851" s="37"/>
      <c r="AR851" s="37"/>
      <c r="AS851" s="37"/>
      <c r="AT851" s="37"/>
      <c r="AU851" s="37"/>
      <c r="AV851" s="37"/>
      <c r="AW851" s="37"/>
      <c r="AX851" s="36"/>
    </row>
    <row r="852" spans="4:50" ht="15" thickBot="1" x14ac:dyDescent="0.4"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  <c r="AD852" s="37"/>
      <c r="AE852" s="37"/>
      <c r="AF852" s="37"/>
      <c r="AG852" s="37"/>
      <c r="AH852" s="37"/>
      <c r="AI852" s="37"/>
      <c r="AJ852" s="37"/>
      <c r="AK852" s="37"/>
      <c r="AL852" s="37"/>
      <c r="AM852" s="37"/>
      <c r="AN852" s="37"/>
      <c r="AO852" s="37"/>
      <c r="AP852" s="37"/>
      <c r="AQ852" s="37"/>
      <c r="AR852" s="37"/>
      <c r="AS852" s="37"/>
      <c r="AT852" s="37"/>
      <c r="AU852" s="37"/>
      <c r="AV852" s="37"/>
      <c r="AW852" s="37"/>
      <c r="AX852" s="36"/>
    </row>
    <row r="853" spans="4:50" ht="15" thickBot="1" x14ac:dyDescent="0.4"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  <c r="AD853" s="37"/>
      <c r="AE853" s="37"/>
      <c r="AF853" s="37"/>
      <c r="AG853" s="37"/>
      <c r="AH853" s="37"/>
      <c r="AI853" s="37"/>
      <c r="AJ853" s="37"/>
      <c r="AK853" s="37"/>
      <c r="AL853" s="37"/>
      <c r="AM853" s="37"/>
      <c r="AN853" s="37"/>
      <c r="AO853" s="37"/>
      <c r="AP853" s="37"/>
      <c r="AQ853" s="37"/>
      <c r="AR853" s="37"/>
      <c r="AS853" s="37"/>
      <c r="AT853" s="37"/>
      <c r="AU853" s="37"/>
      <c r="AV853" s="37"/>
      <c r="AW853" s="37"/>
      <c r="AX853" s="36"/>
    </row>
    <row r="854" spans="4:50" ht="15" thickBot="1" x14ac:dyDescent="0.4"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  <c r="AD854" s="37"/>
      <c r="AE854" s="37"/>
      <c r="AF854" s="37"/>
      <c r="AG854" s="37"/>
      <c r="AH854" s="37"/>
      <c r="AI854" s="37"/>
      <c r="AJ854" s="37"/>
      <c r="AK854" s="37"/>
      <c r="AL854" s="37"/>
      <c r="AM854" s="37"/>
      <c r="AN854" s="37"/>
      <c r="AO854" s="37"/>
      <c r="AP854" s="37"/>
      <c r="AQ854" s="37"/>
      <c r="AR854" s="37"/>
      <c r="AS854" s="37"/>
      <c r="AT854" s="37"/>
      <c r="AU854" s="37"/>
      <c r="AV854" s="37"/>
      <c r="AW854" s="37"/>
      <c r="AX854" s="36"/>
    </row>
    <row r="855" spans="4:50" ht="15" thickBot="1" x14ac:dyDescent="0.4"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  <c r="AD855" s="37"/>
      <c r="AE855" s="37"/>
      <c r="AF855" s="37"/>
      <c r="AG855" s="37"/>
      <c r="AH855" s="37"/>
      <c r="AI855" s="37"/>
      <c r="AJ855" s="37"/>
      <c r="AK855" s="37"/>
      <c r="AL855" s="37"/>
      <c r="AM855" s="37"/>
      <c r="AN855" s="37"/>
      <c r="AO855" s="37"/>
      <c r="AP855" s="37"/>
      <c r="AQ855" s="37"/>
      <c r="AR855" s="37"/>
      <c r="AS855" s="37"/>
      <c r="AT855" s="37"/>
      <c r="AU855" s="37"/>
      <c r="AV855" s="37"/>
      <c r="AW855" s="37"/>
      <c r="AX855" s="36"/>
    </row>
    <row r="856" spans="4:50" ht="15" thickBot="1" x14ac:dyDescent="0.4"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  <c r="AD856" s="37"/>
      <c r="AE856" s="37"/>
      <c r="AF856" s="37"/>
      <c r="AG856" s="37"/>
      <c r="AH856" s="37"/>
      <c r="AI856" s="37"/>
      <c r="AJ856" s="37"/>
      <c r="AK856" s="37"/>
      <c r="AL856" s="37"/>
      <c r="AM856" s="37"/>
      <c r="AN856" s="37"/>
      <c r="AO856" s="37"/>
      <c r="AP856" s="37"/>
      <c r="AQ856" s="37"/>
      <c r="AR856" s="37"/>
      <c r="AS856" s="37"/>
      <c r="AT856" s="37"/>
      <c r="AU856" s="37"/>
      <c r="AV856" s="37"/>
      <c r="AW856" s="37"/>
      <c r="AX856" s="36"/>
    </row>
    <row r="857" spans="4:50" ht="15" thickBot="1" x14ac:dyDescent="0.4"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  <c r="AD857" s="37"/>
      <c r="AE857" s="37"/>
      <c r="AF857" s="37"/>
      <c r="AG857" s="37"/>
      <c r="AH857" s="37"/>
      <c r="AI857" s="37"/>
      <c r="AJ857" s="37"/>
      <c r="AK857" s="37"/>
      <c r="AL857" s="37"/>
      <c r="AM857" s="37"/>
      <c r="AN857" s="37"/>
      <c r="AO857" s="37"/>
      <c r="AP857" s="37"/>
      <c r="AQ857" s="37"/>
      <c r="AR857" s="37"/>
      <c r="AS857" s="37"/>
      <c r="AT857" s="37"/>
      <c r="AU857" s="37"/>
      <c r="AV857" s="37"/>
      <c r="AW857" s="37"/>
      <c r="AX857" s="36"/>
    </row>
    <row r="858" spans="4:50" ht="15" thickBot="1" x14ac:dyDescent="0.4"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  <c r="AD858" s="37"/>
      <c r="AE858" s="37"/>
      <c r="AF858" s="37"/>
      <c r="AG858" s="37"/>
      <c r="AH858" s="37"/>
      <c r="AI858" s="37"/>
      <c r="AJ858" s="37"/>
      <c r="AK858" s="37"/>
      <c r="AL858" s="37"/>
      <c r="AM858" s="37"/>
      <c r="AN858" s="37"/>
      <c r="AO858" s="37"/>
      <c r="AP858" s="37"/>
      <c r="AQ858" s="37"/>
      <c r="AR858" s="37"/>
      <c r="AS858" s="37"/>
      <c r="AT858" s="37"/>
      <c r="AU858" s="37"/>
      <c r="AV858" s="37"/>
      <c r="AW858" s="37"/>
      <c r="AX858" s="36"/>
    </row>
    <row r="859" spans="4:50" ht="15" thickBot="1" x14ac:dyDescent="0.4"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  <c r="AD859" s="37"/>
      <c r="AE859" s="37"/>
      <c r="AF859" s="37"/>
      <c r="AG859" s="37"/>
      <c r="AH859" s="37"/>
      <c r="AI859" s="37"/>
      <c r="AJ859" s="37"/>
      <c r="AK859" s="37"/>
      <c r="AL859" s="37"/>
      <c r="AM859" s="37"/>
      <c r="AN859" s="37"/>
      <c r="AO859" s="37"/>
      <c r="AP859" s="37"/>
      <c r="AQ859" s="37"/>
      <c r="AR859" s="37"/>
      <c r="AS859" s="37"/>
      <c r="AT859" s="37"/>
      <c r="AU859" s="37"/>
      <c r="AV859" s="37"/>
      <c r="AW859" s="37"/>
      <c r="AX859" s="36"/>
    </row>
    <row r="860" spans="4:50" ht="15" thickBot="1" x14ac:dyDescent="0.4"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7"/>
      <c r="AN860" s="37"/>
      <c r="AO860" s="37"/>
      <c r="AP860" s="37"/>
      <c r="AQ860" s="37"/>
      <c r="AR860" s="37"/>
      <c r="AS860" s="37"/>
      <c r="AT860" s="37"/>
      <c r="AU860" s="37"/>
      <c r="AV860" s="37"/>
      <c r="AW860" s="37"/>
      <c r="AX860" s="36"/>
    </row>
    <row r="861" spans="4:50" ht="15" thickBot="1" x14ac:dyDescent="0.4"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  <c r="AD861" s="37"/>
      <c r="AE861" s="37"/>
      <c r="AF861" s="37"/>
      <c r="AG861" s="37"/>
      <c r="AH861" s="37"/>
      <c r="AI861" s="37"/>
      <c r="AJ861" s="37"/>
      <c r="AK861" s="37"/>
      <c r="AL861" s="37"/>
      <c r="AM861" s="37"/>
      <c r="AN861" s="37"/>
      <c r="AO861" s="37"/>
      <c r="AP861" s="37"/>
      <c r="AQ861" s="37"/>
      <c r="AR861" s="37"/>
      <c r="AS861" s="37"/>
      <c r="AT861" s="37"/>
      <c r="AU861" s="37"/>
      <c r="AV861" s="37"/>
      <c r="AW861" s="37"/>
      <c r="AX861" s="36"/>
    </row>
    <row r="862" spans="4:50" ht="15" thickBot="1" x14ac:dyDescent="0.4"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  <c r="AD862" s="37"/>
      <c r="AE862" s="37"/>
      <c r="AF862" s="37"/>
      <c r="AG862" s="37"/>
      <c r="AH862" s="37"/>
      <c r="AI862" s="37"/>
      <c r="AJ862" s="37"/>
      <c r="AK862" s="37"/>
      <c r="AL862" s="37"/>
      <c r="AM862" s="37"/>
      <c r="AN862" s="37"/>
      <c r="AO862" s="37"/>
      <c r="AP862" s="37"/>
      <c r="AQ862" s="37"/>
      <c r="AR862" s="37"/>
      <c r="AS862" s="37"/>
      <c r="AT862" s="37"/>
      <c r="AU862" s="37"/>
      <c r="AV862" s="37"/>
      <c r="AW862" s="37"/>
      <c r="AX862" s="36"/>
    </row>
    <row r="863" spans="4:50" ht="15" thickBot="1" x14ac:dyDescent="0.4"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  <c r="AE863" s="37"/>
      <c r="AF863" s="37"/>
      <c r="AG863" s="37"/>
      <c r="AH863" s="37"/>
      <c r="AI863" s="37"/>
      <c r="AJ863" s="37"/>
      <c r="AK863" s="37"/>
      <c r="AL863" s="37"/>
      <c r="AM863" s="37"/>
      <c r="AN863" s="37"/>
      <c r="AO863" s="37"/>
      <c r="AP863" s="37"/>
      <c r="AQ863" s="37"/>
      <c r="AR863" s="37"/>
      <c r="AS863" s="37"/>
      <c r="AT863" s="37"/>
      <c r="AU863" s="37"/>
      <c r="AV863" s="37"/>
      <c r="AW863" s="37"/>
      <c r="AX863" s="36"/>
    </row>
    <row r="864" spans="4:50" ht="15" thickBot="1" x14ac:dyDescent="0.4"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  <c r="AD864" s="37"/>
      <c r="AE864" s="37"/>
      <c r="AF864" s="37"/>
      <c r="AG864" s="37"/>
      <c r="AH864" s="37"/>
      <c r="AI864" s="37"/>
      <c r="AJ864" s="37"/>
      <c r="AK864" s="37"/>
      <c r="AL864" s="37"/>
      <c r="AM864" s="37"/>
      <c r="AN864" s="37"/>
      <c r="AO864" s="37"/>
      <c r="AP864" s="37"/>
      <c r="AQ864" s="37"/>
      <c r="AR864" s="37"/>
      <c r="AS864" s="37"/>
      <c r="AT864" s="37"/>
      <c r="AU864" s="37"/>
      <c r="AV864" s="37"/>
      <c r="AW864" s="37"/>
      <c r="AX864" s="36"/>
    </row>
    <row r="865" spans="4:50" ht="15" thickBot="1" x14ac:dyDescent="0.4"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  <c r="AD865" s="37"/>
      <c r="AE865" s="37"/>
      <c r="AF865" s="37"/>
      <c r="AG865" s="37"/>
      <c r="AH865" s="37"/>
      <c r="AI865" s="37"/>
      <c r="AJ865" s="37"/>
      <c r="AK865" s="37"/>
      <c r="AL865" s="37"/>
      <c r="AM865" s="37"/>
      <c r="AN865" s="37"/>
      <c r="AO865" s="37"/>
      <c r="AP865" s="37"/>
      <c r="AQ865" s="37"/>
      <c r="AR865" s="37"/>
      <c r="AS865" s="37"/>
      <c r="AT865" s="37"/>
      <c r="AU865" s="37"/>
      <c r="AV865" s="37"/>
      <c r="AW865" s="37"/>
      <c r="AX865" s="36"/>
    </row>
    <row r="866" spans="4:50" ht="15" thickBot="1" x14ac:dyDescent="0.4"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  <c r="AE866" s="37"/>
      <c r="AF866" s="37"/>
      <c r="AG866" s="37"/>
      <c r="AH866" s="37"/>
      <c r="AI866" s="37"/>
      <c r="AJ866" s="37"/>
      <c r="AK866" s="37"/>
      <c r="AL866" s="37"/>
      <c r="AM866" s="37"/>
      <c r="AN866" s="37"/>
      <c r="AO866" s="37"/>
      <c r="AP866" s="37"/>
      <c r="AQ866" s="37"/>
      <c r="AR866" s="37"/>
      <c r="AS866" s="37"/>
      <c r="AT866" s="37"/>
      <c r="AU866" s="37"/>
      <c r="AV866" s="37"/>
      <c r="AW866" s="37"/>
      <c r="AX866" s="36"/>
    </row>
    <row r="867" spans="4:50" ht="15" thickBot="1" x14ac:dyDescent="0.4"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  <c r="AD867" s="37"/>
      <c r="AE867" s="37"/>
      <c r="AF867" s="37"/>
      <c r="AG867" s="37"/>
      <c r="AH867" s="37"/>
      <c r="AI867" s="37"/>
      <c r="AJ867" s="37"/>
      <c r="AK867" s="37"/>
      <c r="AL867" s="37"/>
      <c r="AM867" s="37"/>
      <c r="AN867" s="37"/>
      <c r="AO867" s="37"/>
      <c r="AP867" s="37"/>
      <c r="AQ867" s="37"/>
      <c r="AR867" s="37"/>
      <c r="AS867" s="37"/>
      <c r="AT867" s="37"/>
      <c r="AU867" s="37"/>
      <c r="AV867" s="37"/>
      <c r="AW867" s="37"/>
      <c r="AX867" s="36"/>
    </row>
    <row r="868" spans="4:50" ht="15" thickBot="1" x14ac:dyDescent="0.4"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  <c r="AD868" s="37"/>
      <c r="AE868" s="37"/>
      <c r="AF868" s="37"/>
      <c r="AG868" s="37"/>
      <c r="AH868" s="37"/>
      <c r="AI868" s="37"/>
      <c r="AJ868" s="37"/>
      <c r="AK868" s="37"/>
      <c r="AL868" s="37"/>
      <c r="AM868" s="37"/>
      <c r="AN868" s="37"/>
      <c r="AO868" s="37"/>
      <c r="AP868" s="37"/>
      <c r="AQ868" s="37"/>
      <c r="AR868" s="37"/>
      <c r="AS868" s="37"/>
      <c r="AT868" s="37"/>
      <c r="AU868" s="37"/>
      <c r="AV868" s="37"/>
      <c r="AW868" s="37"/>
      <c r="AX868" s="36"/>
    </row>
    <row r="869" spans="4:50" ht="15" thickBot="1" x14ac:dyDescent="0.4"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  <c r="AD869" s="37"/>
      <c r="AE869" s="37"/>
      <c r="AF869" s="37"/>
      <c r="AG869" s="37"/>
      <c r="AH869" s="37"/>
      <c r="AI869" s="37"/>
      <c r="AJ869" s="37"/>
      <c r="AK869" s="37"/>
      <c r="AL869" s="37"/>
      <c r="AM869" s="37"/>
      <c r="AN869" s="37"/>
      <c r="AO869" s="37"/>
      <c r="AP869" s="37"/>
      <c r="AQ869" s="37"/>
      <c r="AR869" s="37"/>
      <c r="AS869" s="37"/>
      <c r="AT869" s="37"/>
      <c r="AU869" s="37"/>
      <c r="AV869" s="37"/>
      <c r="AW869" s="37"/>
      <c r="AX869" s="36"/>
    </row>
    <row r="870" spans="4:50" ht="15" thickBot="1" x14ac:dyDescent="0.4"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  <c r="AD870" s="37"/>
      <c r="AE870" s="37"/>
      <c r="AF870" s="37"/>
      <c r="AG870" s="37"/>
      <c r="AH870" s="37"/>
      <c r="AI870" s="37"/>
      <c r="AJ870" s="37"/>
      <c r="AK870" s="37"/>
      <c r="AL870" s="37"/>
      <c r="AM870" s="37"/>
      <c r="AN870" s="37"/>
      <c r="AO870" s="37"/>
      <c r="AP870" s="37"/>
      <c r="AQ870" s="37"/>
      <c r="AR870" s="37"/>
      <c r="AS870" s="37"/>
      <c r="AT870" s="37"/>
      <c r="AU870" s="37"/>
      <c r="AV870" s="37"/>
      <c r="AW870" s="37"/>
      <c r="AX870" s="36"/>
    </row>
    <row r="871" spans="4:50" ht="15" thickBot="1" x14ac:dyDescent="0.4"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  <c r="AD871" s="37"/>
      <c r="AE871" s="37"/>
      <c r="AF871" s="37"/>
      <c r="AG871" s="37"/>
      <c r="AH871" s="37"/>
      <c r="AI871" s="37"/>
      <c r="AJ871" s="37"/>
      <c r="AK871" s="37"/>
      <c r="AL871" s="37"/>
      <c r="AM871" s="37"/>
      <c r="AN871" s="37"/>
      <c r="AO871" s="37"/>
      <c r="AP871" s="37"/>
      <c r="AQ871" s="37"/>
      <c r="AR871" s="37"/>
      <c r="AS871" s="37"/>
      <c r="AT871" s="37"/>
      <c r="AU871" s="37"/>
      <c r="AV871" s="37"/>
      <c r="AW871" s="37"/>
      <c r="AX871" s="36"/>
    </row>
    <row r="872" spans="4:50" ht="15" thickBot="1" x14ac:dyDescent="0.4"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  <c r="AD872" s="37"/>
      <c r="AE872" s="37"/>
      <c r="AF872" s="37"/>
      <c r="AG872" s="37"/>
      <c r="AH872" s="37"/>
      <c r="AI872" s="37"/>
      <c r="AJ872" s="37"/>
      <c r="AK872" s="37"/>
      <c r="AL872" s="37"/>
      <c r="AM872" s="37"/>
      <c r="AN872" s="37"/>
      <c r="AO872" s="37"/>
      <c r="AP872" s="37"/>
      <c r="AQ872" s="37"/>
      <c r="AR872" s="37"/>
      <c r="AS872" s="37"/>
      <c r="AT872" s="37"/>
      <c r="AU872" s="37"/>
      <c r="AV872" s="37"/>
      <c r="AW872" s="37"/>
      <c r="AX872" s="36"/>
    </row>
    <row r="873" spans="4:50" ht="15" thickBot="1" x14ac:dyDescent="0.4"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  <c r="AD873" s="37"/>
      <c r="AE873" s="37"/>
      <c r="AF873" s="37"/>
      <c r="AG873" s="37"/>
      <c r="AH873" s="37"/>
      <c r="AI873" s="37"/>
      <c r="AJ873" s="37"/>
      <c r="AK873" s="37"/>
      <c r="AL873" s="37"/>
      <c r="AM873" s="37"/>
      <c r="AN873" s="37"/>
      <c r="AO873" s="37"/>
      <c r="AP873" s="37"/>
      <c r="AQ873" s="37"/>
      <c r="AR873" s="37"/>
      <c r="AS873" s="37"/>
      <c r="AT873" s="37"/>
      <c r="AU873" s="37"/>
      <c r="AV873" s="37"/>
      <c r="AW873" s="37"/>
      <c r="AX873" s="36"/>
    </row>
    <row r="874" spans="4:50" ht="15" thickBot="1" x14ac:dyDescent="0.4"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  <c r="AD874" s="37"/>
      <c r="AE874" s="37"/>
      <c r="AF874" s="37"/>
      <c r="AG874" s="37"/>
      <c r="AH874" s="37"/>
      <c r="AI874" s="37"/>
      <c r="AJ874" s="37"/>
      <c r="AK874" s="37"/>
      <c r="AL874" s="37"/>
      <c r="AM874" s="37"/>
      <c r="AN874" s="37"/>
      <c r="AO874" s="37"/>
      <c r="AP874" s="37"/>
      <c r="AQ874" s="37"/>
      <c r="AR874" s="37"/>
      <c r="AS874" s="37"/>
      <c r="AT874" s="37"/>
      <c r="AU874" s="37"/>
      <c r="AV874" s="37"/>
      <c r="AW874" s="37"/>
      <c r="AX874" s="36"/>
    </row>
    <row r="875" spans="4:50" ht="15" thickBot="1" x14ac:dyDescent="0.4"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  <c r="AD875" s="37"/>
      <c r="AE875" s="37"/>
      <c r="AF875" s="37"/>
      <c r="AG875" s="37"/>
      <c r="AH875" s="37"/>
      <c r="AI875" s="37"/>
      <c r="AJ875" s="37"/>
      <c r="AK875" s="37"/>
      <c r="AL875" s="37"/>
      <c r="AM875" s="37"/>
      <c r="AN875" s="37"/>
      <c r="AO875" s="37"/>
      <c r="AP875" s="37"/>
      <c r="AQ875" s="37"/>
      <c r="AR875" s="37"/>
      <c r="AS875" s="37"/>
      <c r="AT875" s="37"/>
      <c r="AU875" s="37"/>
      <c r="AV875" s="37"/>
      <c r="AW875" s="37"/>
      <c r="AX875" s="36"/>
    </row>
    <row r="876" spans="4:50" ht="15" thickBot="1" x14ac:dyDescent="0.4"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  <c r="AD876" s="37"/>
      <c r="AE876" s="37"/>
      <c r="AF876" s="37"/>
      <c r="AG876" s="37"/>
      <c r="AH876" s="37"/>
      <c r="AI876" s="37"/>
      <c r="AJ876" s="37"/>
      <c r="AK876" s="37"/>
      <c r="AL876" s="37"/>
      <c r="AM876" s="37"/>
      <c r="AN876" s="37"/>
      <c r="AO876" s="37"/>
      <c r="AP876" s="37"/>
      <c r="AQ876" s="37"/>
      <c r="AR876" s="37"/>
      <c r="AS876" s="37"/>
      <c r="AT876" s="37"/>
      <c r="AU876" s="37"/>
      <c r="AV876" s="37"/>
      <c r="AW876" s="37"/>
      <c r="AX876" s="36"/>
    </row>
    <row r="877" spans="4:50" ht="15" thickBot="1" x14ac:dyDescent="0.4"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  <c r="AD877" s="37"/>
      <c r="AE877" s="37"/>
      <c r="AF877" s="37"/>
      <c r="AG877" s="37"/>
      <c r="AH877" s="37"/>
      <c r="AI877" s="37"/>
      <c r="AJ877" s="37"/>
      <c r="AK877" s="37"/>
      <c r="AL877" s="37"/>
      <c r="AM877" s="37"/>
      <c r="AN877" s="37"/>
      <c r="AO877" s="37"/>
      <c r="AP877" s="37"/>
      <c r="AQ877" s="37"/>
      <c r="AR877" s="37"/>
      <c r="AS877" s="37"/>
      <c r="AT877" s="37"/>
      <c r="AU877" s="37"/>
      <c r="AV877" s="37"/>
      <c r="AW877" s="37"/>
      <c r="AX877" s="36"/>
    </row>
    <row r="878" spans="4:50" ht="15" thickBot="1" x14ac:dyDescent="0.4"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  <c r="AD878" s="37"/>
      <c r="AE878" s="37"/>
      <c r="AF878" s="37"/>
      <c r="AG878" s="37"/>
      <c r="AH878" s="37"/>
      <c r="AI878" s="37"/>
      <c r="AJ878" s="37"/>
      <c r="AK878" s="37"/>
      <c r="AL878" s="37"/>
      <c r="AM878" s="37"/>
      <c r="AN878" s="37"/>
      <c r="AO878" s="37"/>
      <c r="AP878" s="37"/>
      <c r="AQ878" s="37"/>
      <c r="AR878" s="37"/>
      <c r="AS878" s="37"/>
      <c r="AT878" s="37"/>
      <c r="AU878" s="37"/>
      <c r="AV878" s="37"/>
      <c r="AW878" s="37"/>
      <c r="AX878" s="36"/>
    </row>
    <row r="879" spans="4:50" ht="15" thickBot="1" x14ac:dyDescent="0.4"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  <c r="AD879" s="37"/>
      <c r="AE879" s="37"/>
      <c r="AF879" s="37"/>
      <c r="AG879" s="37"/>
      <c r="AH879" s="37"/>
      <c r="AI879" s="37"/>
      <c r="AJ879" s="37"/>
      <c r="AK879" s="37"/>
      <c r="AL879" s="37"/>
      <c r="AM879" s="37"/>
      <c r="AN879" s="37"/>
      <c r="AO879" s="37"/>
      <c r="AP879" s="37"/>
      <c r="AQ879" s="37"/>
      <c r="AR879" s="37"/>
      <c r="AS879" s="37"/>
      <c r="AT879" s="37"/>
      <c r="AU879" s="37"/>
      <c r="AV879" s="37"/>
      <c r="AW879" s="37"/>
      <c r="AX879" s="36"/>
    </row>
    <row r="880" spans="4:50" ht="15" thickBot="1" x14ac:dyDescent="0.4"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  <c r="AD880" s="37"/>
      <c r="AE880" s="37"/>
      <c r="AF880" s="37"/>
      <c r="AG880" s="37"/>
      <c r="AH880" s="37"/>
      <c r="AI880" s="37"/>
      <c r="AJ880" s="37"/>
      <c r="AK880" s="37"/>
      <c r="AL880" s="37"/>
      <c r="AM880" s="37"/>
      <c r="AN880" s="37"/>
      <c r="AO880" s="37"/>
      <c r="AP880" s="37"/>
      <c r="AQ880" s="37"/>
      <c r="AR880" s="37"/>
      <c r="AS880" s="37"/>
      <c r="AT880" s="37"/>
      <c r="AU880" s="37"/>
      <c r="AV880" s="37"/>
      <c r="AW880" s="37"/>
      <c r="AX880" s="36"/>
    </row>
    <row r="881" spans="4:50" ht="15" thickBot="1" x14ac:dyDescent="0.4"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  <c r="AD881" s="37"/>
      <c r="AE881" s="37"/>
      <c r="AF881" s="37"/>
      <c r="AG881" s="37"/>
      <c r="AH881" s="37"/>
      <c r="AI881" s="37"/>
      <c r="AJ881" s="37"/>
      <c r="AK881" s="37"/>
      <c r="AL881" s="37"/>
      <c r="AM881" s="37"/>
      <c r="AN881" s="37"/>
      <c r="AO881" s="37"/>
      <c r="AP881" s="37"/>
      <c r="AQ881" s="37"/>
      <c r="AR881" s="37"/>
      <c r="AS881" s="37"/>
      <c r="AT881" s="37"/>
      <c r="AU881" s="37"/>
      <c r="AV881" s="37"/>
      <c r="AW881" s="37"/>
      <c r="AX881" s="36"/>
    </row>
    <row r="882" spans="4:50" ht="15" thickBot="1" x14ac:dyDescent="0.4"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  <c r="AD882" s="37"/>
      <c r="AE882" s="37"/>
      <c r="AF882" s="37"/>
      <c r="AG882" s="37"/>
      <c r="AH882" s="37"/>
      <c r="AI882" s="37"/>
      <c r="AJ882" s="37"/>
      <c r="AK882" s="37"/>
      <c r="AL882" s="37"/>
      <c r="AM882" s="37"/>
      <c r="AN882" s="37"/>
      <c r="AO882" s="37"/>
      <c r="AP882" s="37"/>
      <c r="AQ882" s="37"/>
      <c r="AR882" s="37"/>
      <c r="AS882" s="37"/>
      <c r="AT882" s="37"/>
      <c r="AU882" s="37"/>
      <c r="AV882" s="37"/>
      <c r="AW882" s="37"/>
      <c r="AX882" s="36"/>
    </row>
    <row r="883" spans="4:50" ht="15" thickBot="1" x14ac:dyDescent="0.4"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  <c r="AD883" s="37"/>
      <c r="AE883" s="37"/>
      <c r="AF883" s="37"/>
      <c r="AG883" s="37"/>
      <c r="AH883" s="37"/>
      <c r="AI883" s="37"/>
      <c r="AJ883" s="37"/>
      <c r="AK883" s="37"/>
      <c r="AL883" s="37"/>
      <c r="AM883" s="37"/>
      <c r="AN883" s="37"/>
      <c r="AO883" s="37"/>
      <c r="AP883" s="37"/>
      <c r="AQ883" s="37"/>
      <c r="AR883" s="37"/>
      <c r="AS883" s="37"/>
      <c r="AT883" s="37"/>
      <c r="AU883" s="37"/>
      <c r="AV883" s="37"/>
      <c r="AW883" s="37"/>
      <c r="AX883" s="36"/>
    </row>
    <row r="884" spans="4:50" ht="15" thickBot="1" x14ac:dyDescent="0.4"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  <c r="AD884" s="37"/>
      <c r="AE884" s="37"/>
      <c r="AF884" s="37"/>
      <c r="AG884" s="37"/>
      <c r="AH884" s="37"/>
      <c r="AI884" s="37"/>
      <c r="AJ884" s="37"/>
      <c r="AK884" s="37"/>
      <c r="AL884" s="37"/>
      <c r="AM884" s="37"/>
      <c r="AN884" s="37"/>
      <c r="AO884" s="37"/>
      <c r="AP884" s="37"/>
      <c r="AQ884" s="37"/>
      <c r="AR884" s="37"/>
      <c r="AS884" s="37"/>
      <c r="AT884" s="37"/>
      <c r="AU884" s="37"/>
      <c r="AV884" s="37"/>
      <c r="AW884" s="37"/>
      <c r="AX884" s="36"/>
    </row>
    <row r="885" spans="4:50" ht="15" thickBot="1" x14ac:dyDescent="0.4"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  <c r="AD885" s="37"/>
      <c r="AE885" s="37"/>
      <c r="AF885" s="37"/>
      <c r="AG885" s="37"/>
      <c r="AH885" s="37"/>
      <c r="AI885" s="37"/>
      <c r="AJ885" s="37"/>
      <c r="AK885" s="37"/>
      <c r="AL885" s="37"/>
      <c r="AM885" s="37"/>
      <c r="AN885" s="37"/>
      <c r="AO885" s="37"/>
      <c r="AP885" s="37"/>
      <c r="AQ885" s="37"/>
      <c r="AR885" s="37"/>
      <c r="AS885" s="37"/>
      <c r="AT885" s="37"/>
      <c r="AU885" s="37"/>
      <c r="AV885" s="37"/>
      <c r="AW885" s="37"/>
      <c r="AX885" s="36"/>
    </row>
    <row r="886" spans="4:50" ht="15" thickBot="1" x14ac:dyDescent="0.4"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  <c r="AD886" s="37"/>
      <c r="AE886" s="37"/>
      <c r="AF886" s="37"/>
      <c r="AG886" s="37"/>
      <c r="AH886" s="37"/>
      <c r="AI886" s="37"/>
      <c r="AJ886" s="37"/>
      <c r="AK886" s="37"/>
      <c r="AL886" s="37"/>
      <c r="AM886" s="37"/>
      <c r="AN886" s="37"/>
      <c r="AO886" s="37"/>
      <c r="AP886" s="37"/>
      <c r="AQ886" s="37"/>
      <c r="AR886" s="37"/>
      <c r="AS886" s="37"/>
      <c r="AT886" s="37"/>
      <c r="AU886" s="37"/>
      <c r="AV886" s="37"/>
      <c r="AW886" s="37"/>
      <c r="AX886" s="36"/>
    </row>
    <row r="887" spans="4:50" ht="15" thickBot="1" x14ac:dyDescent="0.4"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  <c r="AD887" s="37"/>
      <c r="AE887" s="37"/>
      <c r="AF887" s="37"/>
      <c r="AG887" s="37"/>
      <c r="AH887" s="37"/>
      <c r="AI887" s="37"/>
      <c r="AJ887" s="37"/>
      <c r="AK887" s="37"/>
      <c r="AL887" s="37"/>
      <c r="AM887" s="37"/>
      <c r="AN887" s="37"/>
      <c r="AO887" s="37"/>
      <c r="AP887" s="37"/>
      <c r="AQ887" s="37"/>
      <c r="AR887" s="37"/>
      <c r="AS887" s="37"/>
      <c r="AT887" s="37"/>
      <c r="AU887" s="37"/>
      <c r="AV887" s="37"/>
      <c r="AW887" s="37"/>
      <c r="AX887" s="36"/>
    </row>
    <row r="888" spans="4:50" ht="15" thickBot="1" x14ac:dyDescent="0.4"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  <c r="AD888" s="37"/>
      <c r="AE888" s="37"/>
      <c r="AF888" s="37"/>
      <c r="AG888" s="37"/>
      <c r="AH888" s="37"/>
      <c r="AI888" s="37"/>
      <c r="AJ888" s="37"/>
      <c r="AK888" s="37"/>
      <c r="AL888" s="37"/>
      <c r="AM888" s="37"/>
      <c r="AN888" s="37"/>
      <c r="AO888" s="37"/>
      <c r="AP888" s="37"/>
      <c r="AQ888" s="37"/>
      <c r="AR888" s="37"/>
      <c r="AS888" s="37"/>
      <c r="AT888" s="37"/>
      <c r="AU888" s="37"/>
      <c r="AV888" s="37"/>
      <c r="AW888" s="37"/>
      <c r="AX888" s="36"/>
    </row>
    <row r="889" spans="4:50" ht="15" thickBot="1" x14ac:dyDescent="0.4"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  <c r="AD889" s="37"/>
      <c r="AE889" s="37"/>
      <c r="AF889" s="37"/>
      <c r="AG889" s="37"/>
      <c r="AH889" s="37"/>
      <c r="AI889" s="37"/>
      <c r="AJ889" s="37"/>
      <c r="AK889" s="37"/>
      <c r="AL889" s="37"/>
      <c r="AM889" s="37"/>
      <c r="AN889" s="37"/>
      <c r="AO889" s="37"/>
      <c r="AP889" s="37"/>
      <c r="AQ889" s="37"/>
      <c r="AR889" s="37"/>
      <c r="AS889" s="37"/>
      <c r="AT889" s="37"/>
      <c r="AU889" s="37"/>
      <c r="AV889" s="37"/>
      <c r="AW889" s="37"/>
      <c r="AX889" s="36"/>
    </row>
    <row r="890" spans="4:50" ht="15" thickBot="1" x14ac:dyDescent="0.4"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  <c r="AD890" s="37"/>
      <c r="AE890" s="37"/>
      <c r="AF890" s="37"/>
      <c r="AG890" s="37"/>
      <c r="AH890" s="37"/>
      <c r="AI890" s="37"/>
      <c r="AJ890" s="37"/>
      <c r="AK890" s="37"/>
      <c r="AL890" s="37"/>
      <c r="AM890" s="37"/>
      <c r="AN890" s="37"/>
      <c r="AO890" s="37"/>
      <c r="AP890" s="37"/>
      <c r="AQ890" s="37"/>
      <c r="AR890" s="37"/>
      <c r="AS890" s="37"/>
      <c r="AT890" s="37"/>
      <c r="AU890" s="37"/>
      <c r="AV890" s="37"/>
      <c r="AW890" s="37"/>
      <c r="AX890" s="36"/>
    </row>
    <row r="891" spans="4:50" ht="15" thickBot="1" x14ac:dyDescent="0.4"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  <c r="AD891" s="37"/>
      <c r="AE891" s="37"/>
      <c r="AF891" s="37"/>
      <c r="AG891" s="37"/>
      <c r="AH891" s="37"/>
      <c r="AI891" s="37"/>
      <c r="AJ891" s="37"/>
      <c r="AK891" s="37"/>
      <c r="AL891" s="37"/>
      <c r="AM891" s="37"/>
      <c r="AN891" s="37"/>
      <c r="AO891" s="37"/>
      <c r="AP891" s="37"/>
      <c r="AQ891" s="37"/>
      <c r="AR891" s="37"/>
      <c r="AS891" s="37"/>
      <c r="AT891" s="37"/>
      <c r="AU891" s="37"/>
      <c r="AV891" s="37"/>
      <c r="AW891" s="37"/>
      <c r="AX891" s="36"/>
    </row>
    <row r="892" spans="4:50" ht="15" thickBot="1" x14ac:dyDescent="0.4"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  <c r="AD892" s="37"/>
      <c r="AE892" s="37"/>
      <c r="AF892" s="37"/>
      <c r="AG892" s="37"/>
      <c r="AH892" s="37"/>
      <c r="AI892" s="37"/>
      <c r="AJ892" s="37"/>
      <c r="AK892" s="37"/>
      <c r="AL892" s="37"/>
      <c r="AM892" s="37"/>
      <c r="AN892" s="37"/>
      <c r="AO892" s="37"/>
      <c r="AP892" s="37"/>
      <c r="AQ892" s="37"/>
      <c r="AR892" s="37"/>
      <c r="AS892" s="37"/>
      <c r="AT892" s="37"/>
      <c r="AU892" s="37"/>
      <c r="AV892" s="37"/>
      <c r="AW892" s="37"/>
      <c r="AX892" s="36"/>
    </row>
    <row r="893" spans="4:50" ht="15" thickBot="1" x14ac:dyDescent="0.4"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  <c r="AD893" s="37"/>
      <c r="AE893" s="37"/>
      <c r="AF893" s="37"/>
      <c r="AG893" s="37"/>
      <c r="AH893" s="37"/>
      <c r="AI893" s="37"/>
      <c r="AJ893" s="37"/>
      <c r="AK893" s="37"/>
      <c r="AL893" s="37"/>
      <c r="AM893" s="37"/>
      <c r="AN893" s="37"/>
      <c r="AO893" s="37"/>
      <c r="AP893" s="37"/>
      <c r="AQ893" s="37"/>
      <c r="AR893" s="37"/>
      <c r="AS893" s="37"/>
      <c r="AT893" s="37"/>
      <c r="AU893" s="37"/>
      <c r="AV893" s="37"/>
      <c r="AW893" s="37"/>
      <c r="AX893" s="36"/>
    </row>
    <row r="894" spans="4:50" ht="15" thickBot="1" x14ac:dyDescent="0.4"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  <c r="AD894" s="37"/>
      <c r="AE894" s="37"/>
      <c r="AF894" s="37"/>
      <c r="AG894" s="37"/>
      <c r="AH894" s="37"/>
      <c r="AI894" s="37"/>
      <c r="AJ894" s="37"/>
      <c r="AK894" s="37"/>
      <c r="AL894" s="37"/>
      <c r="AM894" s="37"/>
      <c r="AN894" s="37"/>
      <c r="AO894" s="37"/>
      <c r="AP894" s="37"/>
      <c r="AQ894" s="37"/>
      <c r="AR894" s="37"/>
      <c r="AS894" s="37"/>
      <c r="AT894" s="37"/>
      <c r="AU894" s="37"/>
      <c r="AV894" s="37"/>
      <c r="AW894" s="37"/>
      <c r="AX894" s="36"/>
    </row>
    <row r="895" spans="4:50" ht="15" thickBot="1" x14ac:dyDescent="0.4"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  <c r="AD895" s="37"/>
      <c r="AE895" s="37"/>
      <c r="AF895" s="37"/>
      <c r="AG895" s="37"/>
      <c r="AH895" s="37"/>
      <c r="AI895" s="37"/>
      <c r="AJ895" s="37"/>
      <c r="AK895" s="37"/>
      <c r="AL895" s="37"/>
      <c r="AM895" s="37"/>
      <c r="AN895" s="37"/>
      <c r="AO895" s="37"/>
      <c r="AP895" s="37"/>
      <c r="AQ895" s="37"/>
      <c r="AR895" s="37"/>
      <c r="AS895" s="37"/>
      <c r="AT895" s="37"/>
      <c r="AU895" s="37"/>
      <c r="AV895" s="37"/>
      <c r="AW895" s="37"/>
      <c r="AX895" s="36"/>
    </row>
    <row r="896" spans="4:50" ht="15" thickBot="1" x14ac:dyDescent="0.4"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  <c r="AD896" s="37"/>
      <c r="AE896" s="37"/>
      <c r="AF896" s="37"/>
      <c r="AG896" s="37"/>
      <c r="AH896" s="37"/>
      <c r="AI896" s="37"/>
      <c r="AJ896" s="37"/>
      <c r="AK896" s="37"/>
      <c r="AL896" s="37"/>
      <c r="AM896" s="37"/>
      <c r="AN896" s="37"/>
      <c r="AO896" s="37"/>
      <c r="AP896" s="37"/>
      <c r="AQ896" s="37"/>
      <c r="AR896" s="37"/>
      <c r="AS896" s="37"/>
      <c r="AT896" s="37"/>
      <c r="AU896" s="37"/>
      <c r="AV896" s="37"/>
      <c r="AW896" s="37"/>
      <c r="AX896" s="36"/>
    </row>
    <row r="897" spans="4:50" ht="15" thickBot="1" x14ac:dyDescent="0.4"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  <c r="AD897" s="37"/>
      <c r="AE897" s="37"/>
      <c r="AF897" s="37"/>
      <c r="AG897" s="37"/>
      <c r="AH897" s="37"/>
      <c r="AI897" s="37"/>
      <c r="AJ897" s="37"/>
      <c r="AK897" s="37"/>
      <c r="AL897" s="37"/>
      <c r="AM897" s="37"/>
      <c r="AN897" s="37"/>
      <c r="AO897" s="37"/>
      <c r="AP897" s="37"/>
      <c r="AQ897" s="37"/>
      <c r="AR897" s="37"/>
      <c r="AS897" s="37"/>
      <c r="AT897" s="37"/>
      <c r="AU897" s="37"/>
      <c r="AV897" s="37"/>
      <c r="AW897" s="37"/>
      <c r="AX897" s="36"/>
    </row>
    <row r="898" spans="4:50" ht="15" thickBot="1" x14ac:dyDescent="0.4"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7"/>
      <c r="AN898" s="37"/>
      <c r="AO898" s="37"/>
      <c r="AP898" s="37"/>
      <c r="AQ898" s="37"/>
      <c r="AR898" s="37"/>
      <c r="AS898" s="37"/>
      <c r="AT898" s="37"/>
      <c r="AU898" s="37"/>
      <c r="AV898" s="37"/>
      <c r="AW898" s="37"/>
      <c r="AX898" s="36"/>
    </row>
    <row r="899" spans="4:50" ht="15" thickBot="1" x14ac:dyDescent="0.4"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  <c r="AD899" s="37"/>
      <c r="AE899" s="37"/>
      <c r="AF899" s="37"/>
      <c r="AG899" s="37"/>
      <c r="AH899" s="37"/>
      <c r="AI899" s="37"/>
      <c r="AJ899" s="37"/>
      <c r="AK899" s="37"/>
      <c r="AL899" s="37"/>
      <c r="AM899" s="37"/>
      <c r="AN899" s="37"/>
      <c r="AO899" s="37"/>
      <c r="AP899" s="37"/>
      <c r="AQ899" s="37"/>
      <c r="AR899" s="37"/>
      <c r="AS899" s="37"/>
      <c r="AT899" s="37"/>
      <c r="AU899" s="37"/>
      <c r="AV899" s="37"/>
      <c r="AW899" s="37"/>
      <c r="AX899" s="36"/>
    </row>
    <row r="900" spans="4:50" ht="15" thickBot="1" x14ac:dyDescent="0.4"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  <c r="AD900" s="37"/>
      <c r="AE900" s="37"/>
      <c r="AF900" s="37"/>
      <c r="AG900" s="37"/>
      <c r="AH900" s="37"/>
      <c r="AI900" s="37"/>
      <c r="AJ900" s="37"/>
      <c r="AK900" s="37"/>
      <c r="AL900" s="37"/>
      <c r="AM900" s="37"/>
      <c r="AN900" s="37"/>
      <c r="AO900" s="37"/>
      <c r="AP900" s="37"/>
      <c r="AQ900" s="37"/>
      <c r="AR900" s="37"/>
      <c r="AS900" s="37"/>
      <c r="AT900" s="37"/>
      <c r="AU900" s="37"/>
      <c r="AV900" s="37"/>
      <c r="AW900" s="37"/>
      <c r="AX900" s="36"/>
    </row>
    <row r="901" spans="4:50" ht="15" thickBot="1" x14ac:dyDescent="0.4"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  <c r="AD901" s="37"/>
      <c r="AE901" s="37"/>
      <c r="AF901" s="37"/>
      <c r="AG901" s="37"/>
      <c r="AH901" s="37"/>
      <c r="AI901" s="37"/>
      <c r="AJ901" s="37"/>
      <c r="AK901" s="37"/>
      <c r="AL901" s="37"/>
      <c r="AM901" s="37"/>
      <c r="AN901" s="37"/>
      <c r="AO901" s="37"/>
      <c r="AP901" s="37"/>
      <c r="AQ901" s="37"/>
      <c r="AR901" s="37"/>
      <c r="AS901" s="37"/>
      <c r="AT901" s="37"/>
      <c r="AU901" s="37"/>
      <c r="AV901" s="37"/>
      <c r="AW901" s="37"/>
      <c r="AX901" s="36"/>
    </row>
    <row r="902" spans="4:50" ht="15" thickBot="1" x14ac:dyDescent="0.4"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  <c r="AD902" s="37"/>
      <c r="AE902" s="37"/>
      <c r="AF902" s="37"/>
      <c r="AG902" s="37"/>
      <c r="AH902" s="37"/>
      <c r="AI902" s="37"/>
      <c r="AJ902" s="37"/>
      <c r="AK902" s="37"/>
      <c r="AL902" s="37"/>
      <c r="AM902" s="37"/>
      <c r="AN902" s="37"/>
      <c r="AO902" s="37"/>
      <c r="AP902" s="37"/>
      <c r="AQ902" s="37"/>
      <c r="AR902" s="37"/>
      <c r="AS902" s="37"/>
      <c r="AT902" s="37"/>
      <c r="AU902" s="37"/>
      <c r="AV902" s="37"/>
      <c r="AW902" s="37"/>
      <c r="AX902" s="36"/>
    </row>
    <row r="903" spans="4:50" ht="15" thickBot="1" x14ac:dyDescent="0.4"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  <c r="AD903" s="37"/>
      <c r="AE903" s="37"/>
      <c r="AF903" s="37"/>
      <c r="AG903" s="37"/>
      <c r="AH903" s="37"/>
      <c r="AI903" s="37"/>
      <c r="AJ903" s="37"/>
      <c r="AK903" s="37"/>
      <c r="AL903" s="37"/>
      <c r="AM903" s="37"/>
      <c r="AN903" s="37"/>
      <c r="AO903" s="37"/>
      <c r="AP903" s="37"/>
      <c r="AQ903" s="37"/>
      <c r="AR903" s="37"/>
      <c r="AS903" s="37"/>
      <c r="AT903" s="37"/>
      <c r="AU903" s="37"/>
      <c r="AV903" s="37"/>
      <c r="AW903" s="37"/>
      <c r="AX903" s="36"/>
    </row>
    <row r="904" spans="4:50" ht="15" thickBot="1" x14ac:dyDescent="0.4"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  <c r="AD904" s="37"/>
      <c r="AE904" s="37"/>
      <c r="AF904" s="37"/>
      <c r="AG904" s="37"/>
      <c r="AH904" s="37"/>
      <c r="AI904" s="37"/>
      <c r="AJ904" s="37"/>
      <c r="AK904" s="37"/>
      <c r="AL904" s="37"/>
      <c r="AM904" s="37"/>
      <c r="AN904" s="37"/>
      <c r="AO904" s="37"/>
      <c r="AP904" s="37"/>
      <c r="AQ904" s="37"/>
      <c r="AR904" s="37"/>
      <c r="AS904" s="37"/>
      <c r="AT904" s="37"/>
      <c r="AU904" s="37"/>
      <c r="AV904" s="37"/>
      <c r="AW904" s="37"/>
      <c r="AX904" s="36"/>
    </row>
    <row r="905" spans="4:50" ht="15" thickBot="1" x14ac:dyDescent="0.4"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  <c r="AD905" s="37"/>
      <c r="AE905" s="37"/>
      <c r="AF905" s="37"/>
      <c r="AG905" s="37"/>
      <c r="AH905" s="37"/>
      <c r="AI905" s="37"/>
      <c r="AJ905" s="37"/>
      <c r="AK905" s="37"/>
      <c r="AL905" s="37"/>
      <c r="AM905" s="37"/>
      <c r="AN905" s="37"/>
      <c r="AO905" s="37"/>
      <c r="AP905" s="37"/>
      <c r="AQ905" s="37"/>
      <c r="AR905" s="37"/>
      <c r="AS905" s="37"/>
      <c r="AT905" s="37"/>
      <c r="AU905" s="37"/>
      <c r="AV905" s="37"/>
      <c r="AW905" s="37"/>
      <c r="AX905" s="36"/>
    </row>
    <row r="906" spans="4:50" ht="15" thickBot="1" x14ac:dyDescent="0.4"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  <c r="AD906" s="37"/>
      <c r="AE906" s="37"/>
      <c r="AF906" s="37"/>
      <c r="AG906" s="37"/>
      <c r="AH906" s="37"/>
      <c r="AI906" s="37"/>
      <c r="AJ906" s="37"/>
      <c r="AK906" s="37"/>
      <c r="AL906" s="37"/>
      <c r="AM906" s="37"/>
      <c r="AN906" s="37"/>
      <c r="AO906" s="37"/>
      <c r="AP906" s="37"/>
      <c r="AQ906" s="37"/>
      <c r="AR906" s="37"/>
      <c r="AS906" s="37"/>
      <c r="AT906" s="37"/>
      <c r="AU906" s="37"/>
      <c r="AV906" s="37"/>
      <c r="AW906" s="37"/>
      <c r="AX906" s="36"/>
    </row>
    <row r="907" spans="4:50" ht="15" thickBot="1" x14ac:dyDescent="0.4"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  <c r="AC907" s="37"/>
      <c r="AD907" s="37"/>
      <c r="AE907" s="37"/>
      <c r="AF907" s="37"/>
      <c r="AG907" s="37"/>
      <c r="AH907" s="37"/>
      <c r="AI907" s="37"/>
      <c r="AJ907" s="37"/>
      <c r="AK907" s="37"/>
      <c r="AL907" s="37"/>
      <c r="AM907" s="37"/>
      <c r="AN907" s="37"/>
      <c r="AO907" s="37"/>
      <c r="AP907" s="37"/>
      <c r="AQ907" s="37"/>
      <c r="AR907" s="37"/>
      <c r="AS907" s="37"/>
      <c r="AT907" s="37"/>
      <c r="AU907" s="37"/>
      <c r="AV907" s="37"/>
      <c r="AW907" s="37"/>
      <c r="AX907" s="36"/>
    </row>
    <row r="908" spans="4:50" ht="15" thickBot="1" x14ac:dyDescent="0.4"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  <c r="AC908" s="37"/>
      <c r="AD908" s="37"/>
      <c r="AE908" s="37"/>
      <c r="AF908" s="37"/>
      <c r="AG908" s="37"/>
      <c r="AH908" s="37"/>
      <c r="AI908" s="37"/>
      <c r="AJ908" s="37"/>
      <c r="AK908" s="37"/>
      <c r="AL908" s="37"/>
      <c r="AM908" s="37"/>
      <c r="AN908" s="37"/>
      <c r="AO908" s="37"/>
      <c r="AP908" s="37"/>
      <c r="AQ908" s="37"/>
      <c r="AR908" s="37"/>
      <c r="AS908" s="37"/>
      <c r="AT908" s="37"/>
      <c r="AU908" s="37"/>
      <c r="AV908" s="37"/>
      <c r="AW908" s="37"/>
      <c r="AX908" s="36"/>
    </row>
    <row r="909" spans="4:50" ht="15" thickBot="1" x14ac:dyDescent="0.4"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  <c r="AD909" s="37"/>
      <c r="AE909" s="37"/>
      <c r="AF909" s="37"/>
      <c r="AG909" s="37"/>
      <c r="AH909" s="37"/>
      <c r="AI909" s="37"/>
      <c r="AJ909" s="37"/>
      <c r="AK909" s="37"/>
      <c r="AL909" s="37"/>
      <c r="AM909" s="37"/>
      <c r="AN909" s="37"/>
      <c r="AO909" s="37"/>
      <c r="AP909" s="37"/>
      <c r="AQ909" s="37"/>
      <c r="AR909" s="37"/>
      <c r="AS909" s="37"/>
      <c r="AT909" s="37"/>
      <c r="AU909" s="37"/>
      <c r="AV909" s="37"/>
      <c r="AW909" s="37"/>
      <c r="AX909" s="36"/>
    </row>
    <row r="910" spans="4:50" ht="15" thickBot="1" x14ac:dyDescent="0.4"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  <c r="AD910" s="37"/>
      <c r="AE910" s="37"/>
      <c r="AF910" s="37"/>
      <c r="AG910" s="37"/>
      <c r="AH910" s="37"/>
      <c r="AI910" s="37"/>
      <c r="AJ910" s="37"/>
      <c r="AK910" s="37"/>
      <c r="AL910" s="37"/>
      <c r="AM910" s="37"/>
      <c r="AN910" s="37"/>
      <c r="AO910" s="37"/>
      <c r="AP910" s="37"/>
      <c r="AQ910" s="37"/>
      <c r="AR910" s="37"/>
      <c r="AS910" s="37"/>
      <c r="AT910" s="37"/>
      <c r="AU910" s="37"/>
      <c r="AV910" s="37"/>
      <c r="AW910" s="37"/>
      <c r="AX910" s="36"/>
    </row>
    <row r="911" spans="4:50" ht="15" thickBot="1" x14ac:dyDescent="0.4"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  <c r="AC911" s="37"/>
      <c r="AD911" s="37"/>
      <c r="AE911" s="37"/>
      <c r="AF911" s="37"/>
      <c r="AG911" s="37"/>
      <c r="AH911" s="37"/>
      <c r="AI911" s="37"/>
      <c r="AJ911" s="37"/>
      <c r="AK911" s="37"/>
      <c r="AL911" s="37"/>
      <c r="AM911" s="37"/>
      <c r="AN911" s="37"/>
      <c r="AO911" s="37"/>
      <c r="AP911" s="37"/>
      <c r="AQ911" s="37"/>
      <c r="AR911" s="37"/>
      <c r="AS911" s="37"/>
      <c r="AT911" s="37"/>
      <c r="AU911" s="37"/>
      <c r="AV911" s="37"/>
      <c r="AW911" s="37"/>
      <c r="AX911" s="36"/>
    </row>
    <row r="912" spans="4:50" ht="15" thickBot="1" x14ac:dyDescent="0.4"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  <c r="AC912" s="37"/>
      <c r="AD912" s="37"/>
      <c r="AE912" s="37"/>
      <c r="AF912" s="37"/>
      <c r="AG912" s="37"/>
      <c r="AH912" s="37"/>
      <c r="AI912" s="37"/>
      <c r="AJ912" s="37"/>
      <c r="AK912" s="37"/>
      <c r="AL912" s="37"/>
      <c r="AM912" s="37"/>
      <c r="AN912" s="37"/>
      <c r="AO912" s="37"/>
      <c r="AP912" s="37"/>
      <c r="AQ912" s="37"/>
      <c r="AR912" s="37"/>
      <c r="AS912" s="37"/>
      <c r="AT912" s="37"/>
      <c r="AU912" s="37"/>
      <c r="AV912" s="37"/>
      <c r="AW912" s="37"/>
      <c r="AX912" s="36"/>
    </row>
    <row r="913" spans="4:50" ht="15" thickBot="1" x14ac:dyDescent="0.4"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  <c r="AD913" s="37"/>
      <c r="AE913" s="37"/>
      <c r="AF913" s="37"/>
      <c r="AG913" s="37"/>
      <c r="AH913" s="37"/>
      <c r="AI913" s="37"/>
      <c r="AJ913" s="37"/>
      <c r="AK913" s="37"/>
      <c r="AL913" s="37"/>
      <c r="AM913" s="37"/>
      <c r="AN913" s="37"/>
      <c r="AO913" s="37"/>
      <c r="AP913" s="37"/>
      <c r="AQ913" s="37"/>
      <c r="AR913" s="37"/>
      <c r="AS913" s="37"/>
      <c r="AT913" s="37"/>
      <c r="AU913" s="37"/>
      <c r="AV913" s="37"/>
      <c r="AW913" s="37"/>
      <c r="AX913" s="36"/>
    </row>
    <row r="914" spans="4:50" ht="15" thickBot="1" x14ac:dyDescent="0.4"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  <c r="AD914" s="37"/>
      <c r="AE914" s="37"/>
      <c r="AF914" s="37"/>
      <c r="AG914" s="37"/>
      <c r="AH914" s="37"/>
      <c r="AI914" s="37"/>
      <c r="AJ914" s="37"/>
      <c r="AK914" s="37"/>
      <c r="AL914" s="37"/>
      <c r="AM914" s="37"/>
      <c r="AN914" s="37"/>
      <c r="AO914" s="37"/>
      <c r="AP914" s="37"/>
      <c r="AQ914" s="37"/>
      <c r="AR914" s="37"/>
      <c r="AS914" s="37"/>
      <c r="AT914" s="37"/>
      <c r="AU914" s="37"/>
      <c r="AV914" s="37"/>
      <c r="AW914" s="37"/>
      <c r="AX914" s="36"/>
    </row>
    <row r="915" spans="4:50" ht="15" thickBot="1" x14ac:dyDescent="0.4"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  <c r="AC915" s="37"/>
      <c r="AD915" s="37"/>
      <c r="AE915" s="37"/>
      <c r="AF915" s="37"/>
      <c r="AG915" s="37"/>
      <c r="AH915" s="37"/>
      <c r="AI915" s="37"/>
      <c r="AJ915" s="37"/>
      <c r="AK915" s="37"/>
      <c r="AL915" s="37"/>
      <c r="AM915" s="37"/>
      <c r="AN915" s="37"/>
      <c r="AO915" s="37"/>
      <c r="AP915" s="37"/>
      <c r="AQ915" s="37"/>
      <c r="AR915" s="37"/>
      <c r="AS915" s="37"/>
      <c r="AT915" s="37"/>
      <c r="AU915" s="37"/>
      <c r="AV915" s="37"/>
      <c r="AW915" s="37"/>
      <c r="AX915" s="36"/>
    </row>
    <row r="916" spans="4:50" ht="15" thickBot="1" x14ac:dyDescent="0.4"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  <c r="AD916" s="37"/>
      <c r="AE916" s="37"/>
      <c r="AF916" s="37"/>
      <c r="AG916" s="37"/>
      <c r="AH916" s="37"/>
      <c r="AI916" s="37"/>
      <c r="AJ916" s="37"/>
      <c r="AK916" s="37"/>
      <c r="AL916" s="37"/>
      <c r="AM916" s="37"/>
      <c r="AN916" s="37"/>
      <c r="AO916" s="37"/>
      <c r="AP916" s="37"/>
      <c r="AQ916" s="37"/>
      <c r="AR916" s="37"/>
      <c r="AS916" s="37"/>
      <c r="AT916" s="37"/>
      <c r="AU916" s="37"/>
      <c r="AV916" s="37"/>
      <c r="AW916" s="37"/>
      <c r="AX916" s="36"/>
    </row>
    <row r="917" spans="4:50" ht="15" thickBot="1" x14ac:dyDescent="0.4"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  <c r="AD917" s="37"/>
      <c r="AE917" s="37"/>
      <c r="AF917" s="37"/>
      <c r="AG917" s="37"/>
      <c r="AH917" s="37"/>
      <c r="AI917" s="37"/>
      <c r="AJ917" s="37"/>
      <c r="AK917" s="37"/>
      <c r="AL917" s="37"/>
      <c r="AM917" s="37"/>
      <c r="AN917" s="37"/>
      <c r="AO917" s="37"/>
      <c r="AP917" s="37"/>
      <c r="AQ917" s="37"/>
      <c r="AR917" s="37"/>
      <c r="AS917" s="37"/>
      <c r="AT917" s="37"/>
      <c r="AU917" s="37"/>
      <c r="AV917" s="37"/>
      <c r="AW917" s="37"/>
      <c r="AX917" s="36"/>
    </row>
    <row r="918" spans="4:50" ht="15" thickBot="1" x14ac:dyDescent="0.4"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  <c r="AC918" s="37"/>
      <c r="AD918" s="37"/>
      <c r="AE918" s="37"/>
      <c r="AF918" s="37"/>
      <c r="AG918" s="37"/>
      <c r="AH918" s="37"/>
      <c r="AI918" s="37"/>
      <c r="AJ918" s="37"/>
      <c r="AK918" s="37"/>
      <c r="AL918" s="37"/>
      <c r="AM918" s="37"/>
      <c r="AN918" s="37"/>
      <c r="AO918" s="37"/>
      <c r="AP918" s="37"/>
      <c r="AQ918" s="37"/>
      <c r="AR918" s="37"/>
      <c r="AS918" s="37"/>
      <c r="AT918" s="37"/>
      <c r="AU918" s="37"/>
      <c r="AV918" s="37"/>
      <c r="AW918" s="37"/>
      <c r="AX918" s="36"/>
    </row>
    <row r="919" spans="4:50" ht="15" thickBot="1" x14ac:dyDescent="0.4"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  <c r="AC919" s="37"/>
      <c r="AD919" s="37"/>
      <c r="AE919" s="37"/>
      <c r="AF919" s="37"/>
      <c r="AG919" s="37"/>
      <c r="AH919" s="37"/>
      <c r="AI919" s="37"/>
      <c r="AJ919" s="37"/>
      <c r="AK919" s="37"/>
      <c r="AL919" s="37"/>
      <c r="AM919" s="37"/>
      <c r="AN919" s="37"/>
      <c r="AO919" s="37"/>
      <c r="AP919" s="37"/>
      <c r="AQ919" s="37"/>
      <c r="AR919" s="37"/>
      <c r="AS919" s="37"/>
      <c r="AT919" s="37"/>
      <c r="AU919" s="37"/>
      <c r="AV919" s="37"/>
      <c r="AW919" s="37"/>
      <c r="AX919" s="36"/>
    </row>
    <row r="920" spans="4:50" ht="15" thickBot="1" x14ac:dyDescent="0.4"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  <c r="AC920" s="37"/>
      <c r="AD920" s="37"/>
      <c r="AE920" s="37"/>
      <c r="AF920" s="37"/>
      <c r="AG920" s="37"/>
      <c r="AH920" s="37"/>
      <c r="AI920" s="37"/>
      <c r="AJ920" s="37"/>
      <c r="AK920" s="37"/>
      <c r="AL920" s="37"/>
      <c r="AM920" s="37"/>
      <c r="AN920" s="37"/>
      <c r="AO920" s="37"/>
      <c r="AP920" s="37"/>
      <c r="AQ920" s="37"/>
      <c r="AR920" s="37"/>
      <c r="AS920" s="37"/>
      <c r="AT920" s="37"/>
      <c r="AU920" s="37"/>
      <c r="AV920" s="37"/>
      <c r="AW920" s="37"/>
      <c r="AX920" s="36"/>
    </row>
    <row r="921" spans="4:50" ht="15" thickBot="1" x14ac:dyDescent="0.4"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  <c r="AC921" s="37"/>
      <c r="AD921" s="37"/>
      <c r="AE921" s="37"/>
      <c r="AF921" s="37"/>
      <c r="AG921" s="37"/>
      <c r="AH921" s="37"/>
      <c r="AI921" s="37"/>
      <c r="AJ921" s="37"/>
      <c r="AK921" s="37"/>
      <c r="AL921" s="37"/>
      <c r="AM921" s="37"/>
      <c r="AN921" s="37"/>
      <c r="AO921" s="37"/>
      <c r="AP921" s="37"/>
      <c r="AQ921" s="37"/>
      <c r="AR921" s="37"/>
      <c r="AS921" s="37"/>
      <c r="AT921" s="37"/>
      <c r="AU921" s="37"/>
      <c r="AV921" s="37"/>
      <c r="AW921" s="37"/>
      <c r="AX921" s="36"/>
    </row>
    <row r="922" spans="4:50" ht="15" thickBot="1" x14ac:dyDescent="0.4"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  <c r="AC922" s="37"/>
      <c r="AD922" s="37"/>
      <c r="AE922" s="37"/>
      <c r="AF922" s="37"/>
      <c r="AG922" s="37"/>
      <c r="AH922" s="37"/>
      <c r="AI922" s="37"/>
      <c r="AJ922" s="37"/>
      <c r="AK922" s="37"/>
      <c r="AL922" s="37"/>
      <c r="AM922" s="37"/>
      <c r="AN922" s="37"/>
      <c r="AO922" s="37"/>
      <c r="AP922" s="37"/>
      <c r="AQ922" s="37"/>
      <c r="AR922" s="37"/>
      <c r="AS922" s="37"/>
      <c r="AT922" s="37"/>
      <c r="AU922" s="37"/>
      <c r="AV922" s="37"/>
      <c r="AW922" s="37"/>
      <c r="AX922" s="36"/>
    </row>
    <row r="923" spans="4:50" ht="15" thickBot="1" x14ac:dyDescent="0.4"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  <c r="AC923" s="37"/>
      <c r="AD923" s="37"/>
      <c r="AE923" s="37"/>
      <c r="AF923" s="37"/>
      <c r="AG923" s="37"/>
      <c r="AH923" s="37"/>
      <c r="AI923" s="37"/>
      <c r="AJ923" s="37"/>
      <c r="AK923" s="37"/>
      <c r="AL923" s="37"/>
      <c r="AM923" s="37"/>
      <c r="AN923" s="37"/>
      <c r="AO923" s="37"/>
      <c r="AP923" s="37"/>
      <c r="AQ923" s="37"/>
      <c r="AR923" s="37"/>
      <c r="AS923" s="37"/>
      <c r="AT923" s="37"/>
      <c r="AU923" s="37"/>
      <c r="AV923" s="37"/>
      <c r="AW923" s="37"/>
      <c r="AX923" s="36"/>
    </row>
    <row r="924" spans="4:50" ht="15" thickBot="1" x14ac:dyDescent="0.4"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  <c r="AC924" s="37"/>
      <c r="AD924" s="37"/>
      <c r="AE924" s="37"/>
      <c r="AF924" s="37"/>
      <c r="AG924" s="37"/>
      <c r="AH924" s="37"/>
      <c r="AI924" s="37"/>
      <c r="AJ924" s="37"/>
      <c r="AK924" s="37"/>
      <c r="AL924" s="37"/>
      <c r="AM924" s="37"/>
      <c r="AN924" s="37"/>
      <c r="AO924" s="37"/>
      <c r="AP924" s="37"/>
      <c r="AQ924" s="37"/>
      <c r="AR924" s="37"/>
      <c r="AS924" s="37"/>
      <c r="AT924" s="37"/>
      <c r="AU924" s="37"/>
      <c r="AV924" s="37"/>
      <c r="AW924" s="37"/>
      <c r="AX924" s="36"/>
    </row>
    <row r="925" spans="4:50" ht="15" thickBot="1" x14ac:dyDescent="0.4"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  <c r="AC925" s="37"/>
      <c r="AD925" s="37"/>
      <c r="AE925" s="37"/>
      <c r="AF925" s="37"/>
      <c r="AG925" s="37"/>
      <c r="AH925" s="37"/>
      <c r="AI925" s="37"/>
      <c r="AJ925" s="37"/>
      <c r="AK925" s="37"/>
      <c r="AL925" s="37"/>
      <c r="AM925" s="37"/>
      <c r="AN925" s="37"/>
      <c r="AO925" s="37"/>
      <c r="AP925" s="37"/>
      <c r="AQ925" s="37"/>
      <c r="AR925" s="37"/>
      <c r="AS925" s="37"/>
      <c r="AT925" s="37"/>
      <c r="AU925" s="37"/>
      <c r="AV925" s="37"/>
      <c r="AW925" s="37"/>
      <c r="AX925" s="36"/>
    </row>
    <row r="926" spans="4:50" ht="15" thickBot="1" x14ac:dyDescent="0.4"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  <c r="AD926" s="37"/>
      <c r="AE926" s="37"/>
      <c r="AF926" s="37"/>
      <c r="AG926" s="37"/>
      <c r="AH926" s="37"/>
      <c r="AI926" s="37"/>
      <c r="AJ926" s="37"/>
      <c r="AK926" s="37"/>
      <c r="AL926" s="37"/>
      <c r="AM926" s="37"/>
      <c r="AN926" s="37"/>
      <c r="AO926" s="37"/>
      <c r="AP926" s="37"/>
      <c r="AQ926" s="37"/>
      <c r="AR926" s="37"/>
      <c r="AS926" s="37"/>
      <c r="AT926" s="37"/>
      <c r="AU926" s="37"/>
      <c r="AV926" s="37"/>
      <c r="AW926" s="37"/>
      <c r="AX926" s="36"/>
    </row>
    <row r="927" spans="4:50" ht="15" thickBot="1" x14ac:dyDescent="0.4"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  <c r="AC927" s="37"/>
      <c r="AD927" s="37"/>
      <c r="AE927" s="37"/>
      <c r="AF927" s="37"/>
      <c r="AG927" s="37"/>
      <c r="AH927" s="37"/>
      <c r="AI927" s="37"/>
      <c r="AJ927" s="37"/>
      <c r="AK927" s="37"/>
      <c r="AL927" s="37"/>
      <c r="AM927" s="37"/>
      <c r="AN927" s="37"/>
      <c r="AO927" s="37"/>
      <c r="AP927" s="37"/>
      <c r="AQ927" s="37"/>
      <c r="AR927" s="37"/>
      <c r="AS927" s="37"/>
      <c r="AT927" s="37"/>
      <c r="AU927" s="37"/>
      <c r="AV927" s="37"/>
      <c r="AW927" s="37"/>
      <c r="AX927" s="36"/>
    </row>
    <row r="928" spans="4:50" ht="15" thickBot="1" x14ac:dyDescent="0.4"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  <c r="AC928" s="37"/>
      <c r="AD928" s="37"/>
      <c r="AE928" s="37"/>
      <c r="AF928" s="37"/>
      <c r="AG928" s="37"/>
      <c r="AH928" s="37"/>
      <c r="AI928" s="37"/>
      <c r="AJ928" s="37"/>
      <c r="AK928" s="37"/>
      <c r="AL928" s="37"/>
      <c r="AM928" s="37"/>
      <c r="AN928" s="37"/>
      <c r="AO928" s="37"/>
      <c r="AP928" s="37"/>
      <c r="AQ928" s="37"/>
      <c r="AR928" s="37"/>
      <c r="AS928" s="37"/>
      <c r="AT928" s="37"/>
      <c r="AU928" s="37"/>
      <c r="AV928" s="37"/>
      <c r="AW928" s="37"/>
      <c r="AX928" s="36"/>
    </row>
    <row r="929" spans="4:50" ht="15" thickBot="1" x14ac:dyDescent="0.4"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  <c r="AD929" s="37"/>
      <c r="AE929" s="37"/>
      <c r="AF929" s="37"/>
      <c r="AG929" s="37"/>
      <c r="AH929" s="37"/>
      <c r="AI929" s="37"/>
      <c r="AJ929" s="37"/>
      <c r="AK929" s="37"/>
      <c r="AL929" s="37"/>
      <c r="AM929" s="37"/>
      <c r="AN929" s="37"/>
      <c r="AO929" s="37"/>
      <c r="AP929" s="37"/>
      <c r="AQ929" s="37"/>
      <c r="AR929" s="37"/>
      <c r="AS929" s="37"/>
      <c r="AT929" s="37"/>
      <c r="AU929" s="37"/>
      <c r="AV929" s="37"/>
      <c r="AW929" s="37"/>
      <c r="AX929" s="36"/>
    </row>
    <row r="930" spans="4:50" ht="15" thickBot="1" x14ac:dyDescent="0.4"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  <c r="AC930" s="37"/>
      <c r="AD930" s="37"/>
      <c r="AE930" s="37"/>
      <c r="AF930" s="37"/>
      <c r="AG930" s="37"/>
      <c r="AH930" s="37"/>
      <c r="AI930" s="37"/>
      <c r="AJ930" s="37"/>
      <c r="AK930" s="37"/>
      <c r="AL930" s="37"/>
      <c r="AM930" s="37"/>
      <c r="AN930" s="37"/>
      <c r="AO930" s="37"/>
      <c r="AP930" s="37"/>
      <c r="AQ930" s="37"/>
      <c r="AR930" s="37"/>
      <c r="AS930" s="37"/>
      <c r="AT930" s="37"/>
      <c r="AU930" s="37"/>
      <c r="AV930" s="37"/>
      <c r="AW930" s="37"/>
      <c r="AX930" s="36"/>
    </row>
    <row r="931" spans="4:50" ht="15" thickBot="1" x14ac:dyDescent="0.4"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  <c r="AD931" s="37"/>
      <c r="AE931" s="37"/>
      <c r="AF931" s="37"/>
      <c r="AG931" s="37"/>
      <c r="AH931" s="37"/>
      <c r="AI931" s="37"/>
      <c r="AJ931" s="37"/>
      <c r="AK931" s="37"/>
      <c r="AL931" s="37"/>
      <c r="AM931" s="37"/>
      <c r="AN931" s="37"/>
      <c r="AO931" s="37"/>
      <c r="AP931" s="37"/>
      <c r="AQ931" s="37"/>
      <c r="AR931" s="37"/>
      <c r="AS931" s="37"/>
      <c r="AT931" s="37"/>
      <c r="AU931" s="37"/>
      <c r="AV931" s="37"/>
      <c r="AW931" s="37"/>
      <c r="AX931" s="36"/>
    </row>
    <row r="932" spans="4:50" ht="15" thickBot="1" x14ac:dyDescent="0.4"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  <c r="AC932" s="37"/>
      <c r="AD932" s="37"/>
      <c r="AE932" s="37"/>
      <c r="AF932" s="37"/>
      <c r="AG932" s="37"/>
      <c r="AH932" s="37"/>
      <c r="AI932" s="37"/>
      <c r="AJ932" s="37"/>
      <c r="AK932" s="37"/>
      <c r="AL932" s="37"/>
      <c r="AM932" s="37"/>
      <c r="AN932" s="37"/>
      <c r="AO932" s="37"/>
      <c r="AP932" s="37"/>
      <c r="AQ932" s="37"/>
      <c r="AR932" s="37"/>
      <c r="AS932" s="37"/>
      <c r="AT932" s="37"/>
      <c r="AU932" s="37"/>
      <c r="AV932" s="37"/>
      <c r="AW932" s="37"/>
      <c r="AX932" s="36"/>
    </row>
    <row r="933" spans="4:50" ht="15" thickBot="1" x14ac:dyDescent="0.4"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  <c r="AC933" s="37"/>
      <c r="AD933" s="37"/>
      <c r="AE933" s="37"/>
      <c r="AF933" s="37"/>
      <c r="AG933" s="37"/>
      <c r="AH933" s="37"/>
      <c r="AI933" s="37"/>
      <c r="AJ933" s="37"/>
      <c r="AK933" s="37"/>
      <c r="AL933" s="37"/>
      <c r="AM933" s="37"/>
      <c r="AN933" s="37"/>
      <c r="AO933" s="37"/>
      <c r="AP933" s="37"/>
      <c r="AQ933" s="37"/>
      <c r="AR933" s="37"/>
      <c r="AS933" s="37"/>
      <c r="AT933" s="37"/>
      <c r="AU933" s="37"/>
      <c r="AV933" s="37"/>
      <c r="AW933" s="37"/>
      <c r="AX933" s="36"/>
    </row>
    <row r="934" spans="4:50" ht="15" thickBot="1" x14ac:dyDescent="0.4"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  <c r="AC934" s="37"/>
      <c r="AD934" s="37"/>
      <c r="AE934" s="37"/>
      <c r="AF934" s="37"/>
      <c r="AG934" s="37"/>
      <c r="AH934" s="37"/>
      <c r="AI934" s="37"/>
      <c r="AJ934" s="37"/>
      <c r="AK934" s="37"/>
      <c r="AL934" s="37"/>
      <c r="AM934" s="37"/>
      <c r="AN934" s="37"/>
      <c r="AO934" s="37"/>
      <c r="AP934" s="37"/>
      <c r="AQ934" s="37"/>
      <c r="AR934" s="37"/>
      <c r="AS934" s="37"/>
      <c r="AT934" s="37"/>
      <c r="AU934" s="37"/>
      <c r="AV934" s="37"/>
      <c r="AW934" s="37"/>
      <c r="AX934" s="36"/>
    </row>
    <row r="935" spans="4:50" ht="15" thickBot="1" x14ac:dyDescent="0.4"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  <c r="AD935" s="37"/>
      <c r="AE935" s="37"/>
      <c r="AF935" s="37"/>
      <c r="AG935" s="37"/>
      <c r="AH935" s="37"/>
      <c r="AI935" s="37"/>
      <c r="AJ935" s="37"/>
      <c r="AK935" s="37"/>
      <c r="AL935" s="37"/>
      <c r="AM935" s="37"/>
      <c r="AN935" s="37"/>
      <c r="AO935" s="37"/>
      <c r="AP935" s="37"/>
      <c r="AQ935" s="37"/>
      <c r="AR935" s="37"/>
      <c r="AS935" s="37"/>
      <c r="AT935" s="37"/>
      <c r="AU935" s="37"/>
      <c r="AV935" s="37"/>
      <c r="AW935" s="37"/>
      <c r="AX935" s="36"/>
    </row>
    <row r="936" spans="4:50" ht="15" thickBot="1" x14ac:dyDescent="0.4"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7"/>
      <c r="AN936" s="37"/>
      <c r="AO936" s="37"/>
      <c r="AP936" s="37"/>
      <c r="AQ936" s="37"/>
      <c r="AR936" s="37"/>
      <c r="AS936" s="37"/>
      <c r="AT936" s="37"/>
      <c r="AU936" s="37"/>
      <c r="AV936" s="37"/>
      <c r="AW936" s="37"/>
      <c r="AX936" s="36"/>
    </row>
    <row r="937" spans="4:50" ht="15" thickBot="1" x14ac:dyDescent="0.4"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  <c r="AD937" s="37"/>
      <c r="AE937" s="37"/>
      <c r="AF937" s="37"/>
      <c r="AG937" s="37"/>
      <c r="AH937" s="37"/>
      <c r="AI937" s="37"/>
      <c r="AJ937" s="37"/>
      <c r="AK937" s="37"/>
      <c r="AL937" s="37"/>
      <c r="AM937" s="37"/>
      <c r="AN937" s="37"/>
      <c r="AO937" s="37"/>
      <c r="AP937" s="37"/>
      <c r="AQ937" s="37"/>
      <c r="AR937" s="37"/>
      <c r="AS937" s="37"/>
      <c r="AT937" s="37"/>
      <c r="AU937" s="37"/>
      <c r="AV937" s="37"/>
      <c r="AW937" s="37"/>
      <c r="AX937" s="36"/>
    </row>
    <row r="938" spans="4:50" ht="15" thickBot="1" x14ac:dyDescent="0.4"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  <c r="AC938" s="37"/>
      <c r="AD938" s="37"/>
      <c r="AE938" s="37"/>
      <c r="AF938" s="37"/>
      <c r="AG938" s="37"/>
      <c r="AH938" s="37"/>
      <c r="AI938" s="37"/>
      <c r="AJ938" s="37"/>
      <c r="AK938" s="37"/>
      <c r="AL938" s="37"/>
      <c r="AM938" s="37"/>
      <c r="AN938" s="37"/>
      <c r="AO938" s="37"/>
      <c r="AP938" s="37"/>
      <c r="AQ938" s="37"/>
      <c r="AR938" s="37"/>
      <c r="AS938" s="37"/>
      <c r="AT938" s="37"/>
      <c r="AU938" s="37"/>
      <c r="AV938" s="37"/>
      <c r="AW938" s="37"/>
      <c r="AX938" s="36"/>
    </row>
    <row r="939" spans="4:50" ht="15" thickBot="1" x14ac:dyDescent="0.4"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  <c r="AD939" s="37"/>
      <c r="AE939" s="37"/>
      <c r="AF939" s="37"/>
      <c r="AG939" s="37"/>
      <c r="AH939" s="37"/>
      <c r="AI939" s="37"/>
      <c r="AJ939" s="37"/>
      <c r="AK939" s="37"/>
      <c r="AL939" s="37"/>
      <c r="AM939" s="37"/>
      <c r="AN939" s="37"/>
      <c r="AO939" s="37"/>
      <c r="AP939" s="37"/>
      <c r="AQ939" s="37"/>
      <c r="AR939" s="37"/>
      <c r="AS939" s="37"/>
      <c r="AT939" s="37"/>
      <c r="AU939" s="37"/>
      <c r="AV939" s="37"/>
      <c r="AW939" s="37"/>
      <c r="AX939" s="36"/>
    </row>
    <row r="940" spans="4:50" ht="15" thickBot="1" x14ac:dyDescent="0.4"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  <c r="AC940" s="37"/>
      <c r="AD940" s="37"/>
      <c r="AE940" s="37"/>
      <c r="AF940" s="37"/>
      <c r="AG940" s="37"/>
      <c r="AH940" s="37"/>
      <c r="AI940" s="37"/>
      <c r="AJ940" s="37"/>
      <c r="AK940" s="37"/>
      <c r="AL940" s="37"/>
      <c r="AM940" s="37"/>
      <c r="AN940" s="37"/>
      <c r="AO940" s="37"/>
      <c r="AP940" s="37"/>
      <c r="AQ940" s="37"/>
      <c r="AR940" s="37"/>
      <c r="AS940" s="37"/>
      <c r="AT940" s="37"/>
      <c r="AU940" s="37"/>
      <c r="AV940" s="37"/>
      <c r="AW940" s="37"/>
      <c r="AX940" s="36"/>
    </row>
    <row r="941" spans="4:50" ht="15" thickBot="1" x14ac:dyDescent="0.4"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  <c r="AC941" s="37"/>
      <c r="AD941" s="37"/>
      <c r="AE941" s="37"/>
      <c r="AF941" s="37"/>
      <c r="AG941" s="37"/>
      <c r="AH941" s="37"/>
      <c r="AI941" s="37"/>
      <c r="AJ941" s="37"/>
      <c r="AK941" s="37"/>
      <c r="AL941" s="37"/>
      <c r="AM941" s="37"/>
      <c r="AN941" s="37"/>
      <c r="AO941" s="37"/>
      <c r="AP941" s="37"/>
      <c r="AQ941" s="37"/>
      <c r="AR941" s="37"/>
      <c r="AS941" s="37"/>
      <c r="AT941" s="37"/>
      <c r="AU941" s="37"/>
      <c r="AV941" s="37"/>
      <c r="AW941" s="37"/>
      <c r="AX941" s="36"/>
    </row>
    <row r="942" spans="4:50" ht="15" thickBot="1" x14ac:dyDescent="0.4"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  <c r="AD942" s="37"/>
      <c r="AE942" s="37"/>
      <c r="AF942" s="37"/>
      <c r="AG942" s="37"/>
      <c r="AH942" s="37"/>
      <c r="AI942" s="37"/>
      <c r="AJ942" s="37"/>
      <c r="AK942" s="37"/>
      <c r="AL942" s="37"/>
      <c r="AM942" s="37"/>
      <c r="AN942" s="37"/>
      <c r="AO942" s="37"/>
      <c r="AP942" s="37"/>
      <c r="AQ942" s="37"/>
      <c r="AR942" s="37"/>
      <c r="AS942" s="37"/>
      <c r="AT942" s="37"/>
      <c r="AU942" s="37"/>
      <c r="AV942" s="37"/>
      <c r="AW942" s="37"/>
      <c r="AX942" s="36"/>
    </row>
    <row r="943" spans="4:50" ht="15" thickBot="1" x14ac:dyDescent="0.4"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  <c r="AC943" s="37"/>
      <c r="AD943" s="37"/>
      <c r="AE943" s="37"/>
      <c r="AF943" s="37"/>
      <c r="AG943" s="37"/>
      <c r="AH943" s="37"/>
      <c r="AI943" s="37"/>
      <c r="AJ943" s="37"/>
      <c r="AK943" s="37"/>
      <c r="AL943" s="37"/>
      <c r="AM943" s="37"/>
      <c r="AN943" s="37"/>
      <c r="AO943" s="37"/>
      <c r="AP943" s="37"/>
      <c r="AQ943" s="37"/>
      <c r="AR943" s="37"/>
      <c r="AS943" s="37"/>
      <c r="AT943" s="37"/>
      <c r="AU943" s="37"/>
      <c r="AV943" s="37"/>
      <c r="AW943" s="37"/>
      <c r="AX943" s="36"/>
    </row>
    <row r="944" spans="4:50" ht="15" thickBot="1" x14ac:dyDescent="0.4"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  <c r="AC944" s="37"/>
      <c r="AD944" s="37"/>
      <c r="AE944" s="37"/>
      <c r="AF944" s="37"/>
      <c r="AG944" s="37"/>
      <c r="AH944" s="37"/>
      <c r="AI944" s="37"/>
      <c r="AJ944" s="37"/>
      <c r="AK944" s="37"/>
      <c r="AL944" s="37"/>
      <c r="AM944" s="37"/>
      <c r="AN944" s="37"/>
      <c r="AO944" s="37"/>
      <c r="AP944" s="37"/>
      <c r="AQ944" s="37"/>
      <c r="AR944" s="37"/>
      <c r="AS944" s="37"/>
      <c r="AT944" s="37"/>
      <c r="AU944" s="37"/>
      <c r="AV944" s="37"/>
      <c r="AW944" s="37"/>
      <c r="AX944" s="36"/>
    </row>
    <row r="945" spans="4:50" ht="15" thickBot="1" x14ac:dyDescent="0.4"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  <c r="AC945" s="37"/>
      <c r="AD945" s="37"/>
      <c r="AE945" s="37"/>
      <c r="AF945" s="37"/>
      <c r="AG945" s="37"/>
      <c r="AH945" s="37"/>
      <c r="AI945" s="37"/>
      <c r="AJ945" s="37"/>
      <c r="AK945" s="37"/>
      <c r="AL945" s="37"/>
      <c r="AM945" s="37"/>
      <c r="AN945" s="37"/>
      <c r="AO945" s="37"/>
      <c r="AP945" s="37"/>
      <c r="AQ945" s="37"/>
      <c r="AR945" s="37"/>
      <c r="AS945" s="37"/>
      <c r="AT945" s="37"/>
      <c r="AU945" s="37"/>
      <c r="AV945" s="37"/>
      <c r="AW945" s="37"/>
      <c r="AX945" s="36"/>
    </row>
    <row r="946" spans="4:50" ht="15" thickBot="1" x14ac:dyDescent="0.4"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  <c r="AC946" s="37"/>
      <c r="AD946" s="37"/>
      <c r="AE946" s="37"/>
      <c r="AF946" s="37"/>
      <c r="AG946" s="37"/>
      <c r="AH946" s="37"/>
      <c r="AI946" s="37"/>
      <c r="AJ946" s="37"/>
      <c r="AK946" s="37"/>
      <c r="AL946" s="37"/>
      <c r="AM946" s="37"/>
      <c r="AN946" s="37"/>
      <c r="AO946" s="37"/>
      <c r="AP946" s="37"/>
      <c r="AQ946" s="37"/>
      <c r="AR946" s="37"/>
      <c r="AS946" s="37"/>
      <c r="AT946" s="37"/>
      <c r="AU946" s="37"/>
      <c r="AV946" s="37"/>
      <c r="AW946" s="37"/>
      <c r="AX946" s="36"/>
    </row>
    <row r="947" spans="4:50" ht="15" thickBot="1" x14ac:dyDescent="0.4"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  <c r="AC947" s="37"/>
      <c r="AD947" s="37"/>
      <c r="AE947" s="37"/>
      <c r="AF947" s="37"/>
      <c r="AG947" s="37"/>
      <c r="AH947" s="37"/>
      <c r="AI947" s="37"/>
      <c r="AJ947" s="37"/>
      <c r="AK947" s="37"/>
      <c r="AL947" s="37"/>
      <c r="AM947" s="37"/>
      <c r="AN947" s="37"/>
      <c r="AO947" s="37"/>
      <c r="AP947" s="37"/>
      <c r="AQ947" s="37"/>
      <c r="AR947" s="37"/>
      <c r="AS947" s="37"/>
      <c r="AT947" s="37"/>
      <c r="AU947" s="37"/>
      <c r="AV947" s="37"/>
      <c r="AW947" s="37"/>
      <c r="AX947" s="36"/>
    </row>
    <row r="948" spans="4:50" ht="15" thickBot="1" x14ac:dyDescent="0.4"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  <c r="AC948" s="37"/>
      <c r="AD948" s="37"/>
      <c r="AE948" s="37"/>
      <c r="AF948" s="37"/>
      <c r="AG948" s="37"/>
      <c r="AH948" s="37"/>
      <c r="AI948" s="37"/>
      <c r="AJ948" s="37"/>
      <c r="AK948" s="37"/>
      <c r="AL948" s="37"/>
      <c r="AM948" s="37"/>
      <c r="AN948" s="37"/>
      <c r="AO948" s="37"/>
      <c r="AP948" s="37"/>
      <c r="AQ948" s="37"/>
      <c r="AR948" s="37"/>
      <c r="AS948" s="37"/>
      <c r="AT948" s="37"/>
      <c r="AU948" s="37"/>
      <c r="AV948" s="37"/>
      <c r="AW948" s="37"/>
      <c r="AX948" s="36"/>
    </row>
    <row r="949" spans="4:50" ht="15" thickBot="1" x14ac:dyDescent="0.4"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  <c r="AC949" s="37"/>
      <c r="AD949" s="37"/>
      <c r="AE949" s="37"/>
      <c r="AF949" s="37"/>
      <c r="AG949" s="37"/>
      <c r="AH949" s="37"/>
      <c r="AI949" s="37"/>
      <c r="AJ949" s="37"/>
      <c r="AK949" s="37"/>
      <c r="AL949" s="37"/>
      <c r="AM949" s="37"/>
      <c r="AN949" s="37"/>
      <c r="AO949" s="37"/>
      <c r="AP949" s="37"/>
      <c r="AQ949" s="37"/>
      <c r="AR949" s="37"/>
      <c r="AS949" s="37"/>
      <c r="AT949" s="37"/>
      <c r="AU949" s="37"/>
      <c r="AV949" s="37"/>
      <c r="AW949" s="37"/>
      <c r="AX949" s="36"/>
    </row>
    <row r="950" spans="4:50" ht="15" thickBot="1" x14ac:dyDescent="0.4"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  <c r="AC950" s="37"/>
      <c r="AD950" s="37"/>
      <c r="AE950" s="37"/>
      <c r="AF950" s="37"/>
      <c r="AG950" s="37"/>
      <c r="AH950" s="37"/>
      <c r="AI950" s="37"/>
      <c r="AJ950" s="37"/>
      <c r="AK950" s="37"/>
      <c r="AL950" s="37"/>
      <c r="AM950" s="37"/>
      <c r="AN950" s="37"/>
      <c r="AO950" s="37"/>
      <c r="AP950" s="37"/>
      <c r="AQ950" s="37"/>
      <c r="AR950" s="37"/>
      <c r="AS950" s="37"/>
      <c r="AT950" s="37"/>
      <c r="AU950" s="37"/>
      <c r="AV950" s="37"/>
      <c r="AW950" s="37"/>
      <c r="AX950" s="36"/>
    </row>
    <row r="951" spans="4:50" ht="15" thickBot="1" x14ac:dyDescent="0.4"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  <c r="AC951" s="37"/>
      <c r="AD951" s="37"/>
      <c r="AE951" s="37"/>
      <c r="AF951" s="37"/>
      <c r="AG951" s="37"/>
      <c r="AH951" s="37"/>
      <c r="AI951" s="37"/>
      <c r="AJ951" s="37"/>
      <c r="AK951" s="37"/>
      <c r="AL951" s="37"/>
      <c r="AM951" s="37"/>
      <c r="AN951" s="37"/>
      <c r="AO951" s="37"/>
      <c r="AP951" s="37"/>
      <c r="AQ951" s="37"/>
      <c r="AR951" s="37"/>
      <c r="AS951" s="37"/>
      <c r="AT951" s="37"/>
      <c r="AU951" s="37"/>
      <c r="AV951" s="37"/>
      <c r="AW951" s="37"/>
      <c r="AX951" s="36"/>
    </row>
    <row r="952" spans="4:50" ht="15" thickBot="1" x14ac:dyDescent="0.4"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  <c r="AC952" s="37"/>
      <c r="AD952" s="37"/>
      <c r="AE952" s="37"/>
      <c r="AF952" s="37"/>
      <c r="AG952" s="37"/>
      <c r="AH952" s="37"/>
      <c r="AI952" s="37"/>
      <c r="AJ952" s="37"/>
      <c r="AK952" s="37"/>
      <c r="AL952" s="37"/>
      <c r="AM952" s="37"/>
      <c r="AN952" s="37"/>
      <c r="AO952" s="37"/>
      <c r="AP952" s="37"/>
      <c r="AQ952" s="37"/>
      <c r="AR952" s="37"/>
      <c r="AS952" s="37"/>
      <c r="AT952" s="37"/>
      <c r="AU952" s="37"/>
      <c r="AV952" s="37"/>
      <c r="AW952" s="37"/>
      <c r="AX952" s="36"/>
    </row>
    <row r="953" spans="4:50" ht="15" thickBot="1" x14ac:dyDescent="0.4"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  <c r="AC953" s="37"/>
      <c r="AD953" s="37"/>
      <c r="AE953" s="37"/>
      <c r="AF953" s="37"/>
      <c r="AG953" s="37"/>
      <c r="AH953" s="37"/>
      <c r="AI953" s="37"/>
      <c r="AJ953" s="37"/>
      <c r="AK953" s="37"/>
      <c r="AL953" s="37"/>
      <c r="AM953" s="37"/>
      <c r="AN953" s="37"/>
      <c r="AO953" s="37"/>
      <c r="AP953" s="37"/>
      <c r="AQ953" s="37"/>
      <c r="AR953" s="37"/>
      <c r="AS953" s="37"/>
      <c r="AT953" s="37"/>
      <c r="AU953" s="37"/>
      <c r="AV953" s="37"/>
      <c r="AW953" s="37"/>
      <c r="AX953" s="36"/>
    </row>
    <row r="954" spans="4:50" ht="15" thickBot="1" x14ac:dyDescent="0.4"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  <c r="AC954" s="37"/>
      <c r="AD954" s="37"/>
      <c r="AE954" s="37"/>
      <c r="AF954" s="37"/>
      <c r="AG954" s="37"/>
      <c r="AH954" s="37"/>
      <c r="AI954" s="37"/>
      <c r="AJ954" s="37"/>
      <c r="AK954" s="37"/>
      <c r="AL954" s="37"/>
      <c r="AM954" s="37"/>
      <c r="AN954" s="37"/>
      <c r="AO954" s="37"/>
      <c r="AP954" s="37"/>
      <c r="AQ954" s="37"/>
      <c r="AR954" s="37"/>
      <c r="AS954" s="37"/>
      <c r="AT954" s="37"/>
      <c r="AU954" s="37"/>
      <c r="AV954" s="37"/>
      <c r="AW954" s="37"/>
      <c r="AX954" s="36"/>
    </row>
    <row r="955" spans="4:50" ht="15" thickBot="1" x14ac:dyDescent="0.4"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  <c r="AC955" s="37"/>
      <c r="AD955" s="37"/>
      <c r="AE955" s="37"/>
      <c r="AF955" s="37"/>
      <c r="AG955" s="37"/>
      <c r="AH955" s="37"/>
      <c r="AI955" s="37"/>
      <c r="AJ955" s="37"/>
      <c r="AK955" s="37"/>
      <c r="AL955" s="37"/>
      <c r="AM955" s="37"/>
      <c r="AN955" s="37"/>
      <c r="AO955" s="37"/>
      <c r="AP955" s="37"/>
      <c r="AQ955" s="37"/>
      <c r="AR955" s="37"/>
      <c r="AS955" s="37"/>
      <c r="AT955" s="37"/>
      <c r="AU955" s="37"/>
      <c r="AV955" s="37"/>
      <c r="AW955" s="37"/>
      <c r="AX955" s="36"/>
    </row>
    <row r="956" spans="4:50" ht="15" thickBot="1" x14ac:dyDescent="0.4"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  <c r="AC956" s="37"/>
      <c r="AD956" s="37"/>
      <c r="AE956" s="37"/>
      <c r="AF956" s="37"/>
      <c r="AG956" s="37"/>
      <c r="AH956" s="37"/>
      <c r="AI956" s="37"/>
      <c r="AJ956" s="37"/>
      <c r="AK956" s="37"/>
      <c r="AL956" s="37"/>
      <c r="AM956" s="37"/>
      <c r="AN956" s="37"/>
      <c r="AO956" s="37"/>
      <c r="AP956" s="37"/>
      <c r="AQ956" s="37"/>
      <c r="AR956" s="37"/>
      <c r="AS956" s="37"/>
      <c r="AT956" s="37"/>
      <c r="AU956" s="37"/>
      <c r="AV956" s="37"/>
      <c r="AW956" s="37"/>
      <c r="AX956" s="36"/>
    </row>
    <row r="957" spans="4:50" ht="15" thickBot="1" x14ac:dyDescent="0.4"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  <c r="AC957" s="37"/>
      <c r="AD957" s="37"/>
      <c r="AE957" s="37"/>
      <c r="AF957" s="37"/>
      <c r="AG957" s="37"/>
      <c r="AH957" s="37"/>
      <c r="AI957" s="37"/>
      <c r="AJ957" s="37"/>
      <c r="AK957" s="37"/>
      <c r="AL957" s="37"/>
      <c r="AM957" s="37"/>
      <c r="AN957" s="37"/>
      <c r="AO957" s="37"/>
      <c r="AP957" s="37"/>
      <c r="AQ957" s="37"/>
      <c r="AR957" s="37"/>
      <c r="AS957" s="37"/>
      <c r="AT957" s="37"/>
      <c r="AU957" s="37"/>
      <c r="AV957" s="37"/>
      <c r="AW957" s="37"/>
      <c r="AX957" s="36"/>
    </row>
    <row r="958" spans="4:50" ht="15" thickBot="1" x14ac:dyDescent="0.4"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  <c r="AC958" s="37"/>
      <c r="AD958" s="37"/>
      <c r="AE958" s="37"/>
      <c r="AF958" s="37"/>
      <c r="AG958" s="37"/>
      <c r="AH958" s="37"/>
      <c r="AI958" s="37"/>
      <c r="AJ958" s="37"/>
      <c r="AK958" s="37"/>
      <c r="AL958" s="37"/>
      <c r="AM958" s="37"/>
      <c r="AN958" s="37"/>
      <c r="AO958" s="37"/>
      <c r="AP958" s="37"/>
      <c r="AQ958" s="37"/>
      <c r="AR958" s="37"/>
      <c r="AS958" s="37"/>
      <c r="AT958" s="37"/>
      <c r="AU958" s="37"/>
      <c r="AV958" s="37"/>
      <c r="AW958" s="37"/>
      <c r="AX958" s="36"/>
    </row>
    <row r="959" spans="4:50" ht="15" thickBot="1" x14ac:dyDescent="0.4"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  <c r="AB959" s="37"/>
      <c r="AC959" s="37"/>
      <c r="AD959" s="37"/>
      <c r="AE959" s="37"/>
      <c r="AF959" s="37"/>
      <c r="AG959" s="37"/>
      <c r="AH959" s="37"/>
      <c r="AI959" s="37"/>
      <c r="AJ959" s="37"/>
      <c r="AK959" s="37"/>
      <c r="AL959" s="37"/>
      <c r="AM959" s="37"/>
      <c r="AN959" s="37"/>
      <c r="AO959" s="37"/>
      <c r="AP959" s="37"/>
      <c r="AQ959" s="37"/>
      <c r="AR959" s="37"/>
      <c r="AS959" s="37"/>
      <c r="AT959" s="37"/>
      <c r="AU959" s="37"/>
      <c r="AV959" s="37"/>
      <c r="AW959" s="37"/>
      <c r="AX959" s="36"/>
    </row>
    <row r="960" spans="4:50" ht="15" thickBot="1" x14ac:dyDescent="0.4"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37"/>
      <c r="AB960" s="37"/>
      <c r="AC960" s="37"/>
      <c r="AD960" s="37"/>
      <c r="AE960" s="37"/>
      <c r="AF960" s="37"/>
      <c r="AG960" s="37"/>
      <c r="AH960" s="37"/>
      <c r="AI960" s="37"/>
      <c r="AJ960" s="37"/>
      <c r="AK960" s="37"/>
      <c r="AL960" s="37"/>
      <c r="AM960" s="37"/>
      <c r="AN960" s="37"/>
      <c r="AO960" s="37"/>
      <c r="AP960" s="37"/>
      <c r="AQ960" s="37"/>
      <c r="AR960" s="37"/>
      <c r="AS960" s="37"/>
      <c r="AT960" s="37"/>
      <c r="AU960" s="37"/>
      <c r="AV960" s="37"/>
      <c r="AW960" s="37"/>
      <c r="AX960" s="36"/>
    </row>
    <row r="961" spans="4:50" ht="15" thickBot="1" x14ac:dyDescent="0.4"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37"/>
      <c r="AB961" s="37"/>
      <c r="AC961" s="37"/>
      <c r="AD961" s="37"/>
      <c r="AE961" s="37"/>
      <c r="AF961" s="37"/>
      <c r="AG961" s="37"/>
      <c r="AH961" s="37"/>
      <c r="AI961" s="37"/>
      <c r="AJ961" s="37"/>
      <c r="AK961" s="37"/>
      <c r="AL961" s="37"/>
      <c r="AM961" s="37"/>
      <c r="AN961" s="37"/>
      <c r="AO961" s="37"/>
      <c r="AP961" s="37"/>
      <c r="AQ961" s="37"/>
      <c r="AR961" s="37"/>
      <c r="AS961" s="37"/>
      <c r="AT961" s="37"/>
      <c r="AU961" s="37"/>
      <c r="AV961" s="37"/>
      <c r="AW961" s="37"/>
      <c r="AX961" s="36"/>
    </row>
    <row r="962" spans="4:50" ht="15" thickBot="1" x14ac:dyDescent="0.4"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  <c r="AB962" s="37"/>
      <c r="AC962" s="37"/>
      <c r="AD962" s="37"/>
      <c r="AE962" s="37"/>
      <c r="AF962" s="37"/>
      <c r="AG962" s="37"/>
      <c r="AH962" s="37"/>
      <c r="AI962" s="37"/>
      <c r="AJ962" s="37"/>
      <c r="AK962" s="37"/>
      <c r="AL962" s="37"/>
      <c r="AM962" s="37"/>
      <c r="AN962" s="37"/>
      <c r="AO962" s="37"/>
      <c r="AP962" s="37"/>
      <c r="AQ962" s="37"/>
      <c r="AR962" s="37"/>
      <c r="AS962" s="37"/>
      <c r="AT962" s="37"/>
      <c r="AU962" s="37"/>
      <c r="AV962" s="37"/>
      <c r="AW962" s="37"/>
      <c r="AX962" s="36"/>
    </row>
    <row r="963" spans="4:50" ht="15" thickBot="1" x14ac:dyDescent="0.4"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37"/>
      <c r="AB963" s="37"/>
      <c r="AC963" s="37"/>
      <c r="AD963" s="37"/>
      <c r="AE963" s="37"/>
      <c r="AF963" s="37"/>
      <c r="AG963" s="37"/>
      <c r="AH963" s="37"/>
      <c r="AI963" s="37"/>
      <c r="AJ963" s="37"/>
      <c r="AK963" s="37"/>
      <c r="AL963" s="37"/>
      <c r="AM963" s="37"/>
      <c r="AN963" s="37"/>
      <c r="AO963" s="37"/>
      <c r="AP963" s="37"/>
      <c r="AQ963" s="37"/>
      <c r="AR963" s="37"/>
      <c r="AS963" s="37"/>
      <c r="AT963" s="37"/>
      <c r="AU963" s="37"/>
      <c r="AV963" s="37"/>
      <c r="AW963" s="37"/>
      <c r="AX963" s="36"/>
    </row>
    <row r="964" spans="4:50" ht="15" thickBot="1" x14ac:dyDescent="0.4"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37"/>
      <c r="AB964" s="37"/>
      <c r="AC964" s="37"/>
      <c r="AD964" s="37"/>
      <c r="AE964" s="37"/>
      <c r="AF964" s="37"/>
      <c r="AG964" s="37"/>
      <c r="AH964" s="37"/>
      <c r="AI964" s="37"/>
      <c r="AJ964" s="37"/>
      <c r="AK964" s="37"/>
      <c r="AL964" s="37"/>
      <c r="AM964" s="37"/>
      <c r="AN964" s="37"/>
      <c r="AO964" s="37"/>
      <c r="AP964" s="37"/>
      <c r="AQ964" s="37"/>
      <c r="AR964" s="37"/>
      <c r="AS964" s="37"/>
      <c r="AT964" s="37"/>
      <c r="AU964" s="37"/>
      <c r="AV964" s="37"/>
      <c r="AW964" s="37"/>
      <c r="AX964" s="36"/>
    </row>
    <row r="965" spans="4:50" ht="15" thickBot="1" x14ac:dyDescent="0.4"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37"/>
      <c r="AB965" s="37"/>
      <c r="AC965" s="37"/>
      <c r="AD965" s="37"/>
      <c r="AE965" s="37"/>
      <c r="AF965" s="37"/>
      <c r="AG965" s="37"/>
      <c r="AH965" s="37"/>
      <c r="AI965" s="37"/>
      <c r="AJ965" s="37"/>
      <c r="AK965" s="37"/>
      <c r="AL965" s="37"/>
      <c r="AM965" s="37"/>
      <c r="AN965" s="37"/>
      <c r="AO965" s="37"/>
      <c r="AP965" s="37"/>
      <c r="AQ965" s="37"/>
      <c r="AR965" s="37"/>
      <c r="AS965" s="37"/>
      <c r="AT965" s="37"/>
      <c r="AU965" s="37"/>
      <c r="AV965" s="37"/>
      <c r="AW965" s="37"/>
      <c r="AX965" s="36"/>
    </row>
    <row r="966" spans="4:50" ht="15" thickBot="1" x14ac:dyDescent="0.4"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37"/>
      <c r="AB966" s="37"/>
      <c r="AC966" s="37"/>
      <c r="AD966" s="37"/>
      <c r="AE966" s="37"/>
      <c r="AF966" s="37"/>
      <c r="AG966" s="37"/>
      <c r="AH966" s="37"/>
      <c r="AI966" s="37"/>
      <c r="AJ966" s="37"/>
      <c r="AK966" s="37"/>
      <c r="AL966" s="37"/>
      <c r="AM966" s="37"/>
      <c r="AN966" s="37"/>
      <c r="AO966" s="37"/>
      <c r="AP966" s="37"/>
      <c r="AQ966" s="37"/>
      <c r="AR966" s="37"/>
      <c r="AS966" s="37"/>
      <c r="AT966" s="37"/>
      <c r="AU966" s="37"/>
      <c r="AV966" s="37"/>
      <c r="AW966" s="37"/>
      <c r="AX966" s="36"/>
    </row>
    <row r="967" spans="4:50" ht="15" thickBot="1" x14ac:dyDescent="0.4"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37"/>
      <c r="AB967" s="37"/>
      <c r="AC967" s="37"/>
      <c r="AD967" s="37"/>
      <c r="AE967" s="37"/>
      <c r="AF967" s="37"/>
      <c r="AG967" s="37"/>
      <c r="AH967" s="37"/>
      <c r="AI967" s="37"/>
      <c r="AJ967" s="37"/>
      <c r="AK967" s="37"/>
      <c r="AL967" s="37"/>
      <c r="AM967" s="37"/>
      <c r="AN967" s="37"/>
      <c r="AO967" s="37"/>
      <c r="AP967" s="37"/>
      <c r="AQ967" s="37"/>
      <c r="AR967" s="37"/>
      <c r="AS967" s="37"/>
      <c r="AT967" s="37"/>
      <c r="AU967" s="37"/>
      <c r="AV967" s="37"/>
      <c r="AW967" s="37"/>
      <c r="AX967" s="36"/>
    </row>
    <row r="968" spans="4:50" ht="15" thickBot="1" x14ac:dyDescent="0.4"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37"/>
      <c r="AB968" s="37"/>
      <c r="AC968" s="37"/>
      <c r="AD968" s="37"/>
      <c r="AE968" s="37"/>
      <c r="AF968" s="37"/>
      <c r="AG968" s="37"/>
      <c r="AH968" s="37"/>
      <c r="AI968" s="37"/>
      <c r="AJ968" s="37"/>
      <c r="AK968" s="37"/>
      <c r="AL968" s="37"/>
      <c r="AM968" s="37"/>
      <c r="AN968" s="37"/>
      <c r="AO968" s="37"/>
      <c r="AP968" s="37"/>
      <c r="AQ968" s="37"/>
      <c r="AR968" s="37"/>
      <c r="AS968" s="37"/>
      <c r="AT968" s="37"/>
      <c r="AU968" s="37"/>
      <c r="AV968" s="37"/>
      <c r="AW968" s="37"/>
      <c r="AX968" s="36"/>
    </row>
    <row r="969" spans="4:50" ht="15" thickBot="1" x14ac:dyDescent="0.4"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  <c r="AA969" s="37"/>
      <c r="AB969" s="37"/>
      <c r="AC969" s="37"/>
      <c r="AD969" s="37"/>
      <c r="AE969" s="37"/>
      <c r="AF969" s="37"/>
      <c r="AG969" s="37"/>
      <c r="AH969" s="37"/>
      <c r="AI969" s="37"/>
      <c r="AJ969" s="37"/>
      <c r="AK969" s="37"/>
      <c r="AL969" s="37"/>
      <c r="AM969" s="37"/>
      <c r="AN969" s="37"/>
      <c r="AO969" s="37"/>
      <c r="AP969" s="37"/>
      <c r="AQ969" s="37"/>
      <c r="AR969" s="37"/>
      <c r="AS969" s="37"/>
      <c r="AT969" s="37"/>
      <c r="AU969" s="37"/>
      <c r="AV969" s="37"/>
      <c r="AW969" s="37"/>
      <c r="AX969" s="36"/>
    </row>
    <row r="970" spans="4:50" ht="15" thickBot="1" x14ac:dyDescent="0.4"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37"/>
      <c r="AB970" s="37"/>
      <c r="AC970" s="37"/>
      <c r="AD970" s="37"/>
      <c r="AE970" s="37"/>
      <c r="AF970" s="37"/>
      <c r="AG970" s="37"/>
      <c r="AH970" s="37"/>
      <c r="AI970" s="37"/>
      <c r="AJ970" s="37"/>
      <c r="AK970" s="37"/>
      <c r="AL970" s="37"/>
      <c r="AM970" s="37"/>
      <c r="AN970" s="37"/>
      <c r="AO970" s="37"/>
      <c r="AP970" s="37"/>
      <c r="AQ970" s="37"/>
      <c r="AR970" s="37"/>
      <c r="AS970" s="37"/>
      <c r="AT970" s="37"/>
      <c r="AU970" s="37"/>
      <c r="AV970" s="37"/>
      <c r="AW970" s="37"/>
      <c r="AX970" s="36"/>
    </row>
    <row r="971" spans="4:50" ht="15" thickBot="1" x14ac:dyDescent="0.4"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  <c r="AA971" s="37"/>
      <c r="AB971" s="37"/>
      <c r="AC971" s="37"/>
      <c r="AD971" s="37"/>
      <c r="AE971" s="37"/>
      <c r="AF971" s="37"/>
      <c r="AG971" s="37"/>
      <c r="AH971" s="37"/>
      <c r="AI971" s="37"/>
      <c r="AJ971" s="37"/>
      <c r="AK971" s="37"/>
      <c r="AL971" s="37"/>
      <c r="AM971" s="37"/>
      <c r="AN971" s="37"/>
      <c r="AO971" s="37"/>
      <c r="AP971" s="37"/>
      <c r="AQ971" s="37"/>
      <c r="AR971" s="37"/>
      <c r="AS971" s="37"/>
      <c r="AT971" s="37"/>
      <c r="AU971" s="37"/>
      <c r="AV971" s="37"/>
      <c r="AW971" s="37"/>
      <c r="AX971" s="36"/>
    </row>
    <row r="972" spans="4:50" ht="15" thickBot="1" x14ac:dyDescent="0.4"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  <c r="AA972" s="37"/>
      <c r="AB972" s="37"/>
      <c r="AC972" s="37"/>
      <c r="AD972" s="37"/>
      <c r="AE972" s="37"/>
      <c r="AF972" s="37"/>
      <c r="AG972" s="37"/>
      <c r="AH972" s="37"/>
      <c r="AI972" s="37"/>
      <c r="AJ972" s="37"/>
      <c r="AK972" s="37"/>
      <c r="AL972" s="37"/>
      <c r="AM972" s="37"/>
      <c r="AN972" s="37"/>
      <c r="AO972" s="37"/>
      <c r="AP972" s="37"/>
      <c r="AQ972" s="37"/>
      <c r="AR972" s="37"/>
      <c r="AS972" s="37"/>
      <c r="AT972" s="37"/>
      <c r="AU972" s="37"/>
      <c r="AV972" s="37"/>
      <c r="AW972" s="37"/>
      <c r="AX972" s="36"/>
    </row>
    <row r="973" spans="4:50" ht="15" thickBot="1" x14ac:dyDescent="0.4"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  <c r="AA973" s="37"/>
      <c r="AB973" s="37"/>
      <c r="AC973" s="37"/>
      <c r="AD973" s="37"/>
      <c r="AE973" s="37"/>
      <c r="AF973" s="37"/>
      <c r="AG973" s="37"/>
      <c r="AH973" s="37"/>
      <c r="AI973" s="37"/>
      <c r="AJ973" s="37"/>
      <c r="AK973" s="37"/>
      <c r="AL973" s="37"/>
      <c r="AM973" s="37"/>
      <c r="AN973" s="37"/>
      <c r="AO973" s="37"/>
      <c r="AP973" s="37"/>
      <c r="AQ973" s="37"/>
      <c r="AR973" s="37"/>
      <c r="AS973" s="37"/>
      <c r="AT973" s="37"/>
      <c r="AU973" s="37"/>
      <c r="AV973" s="37"/>
      <c r="AW973" s="37"/>
      <c r="AX973" s="36"/>
    </row>
    <row r="974" spans="4:50" ht="15" thickBot="1" x14ac:dyDescent="0.4"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7"/>
      <c r="AN974" s="37"/>
      <c r="AO974" s="37"/>
      <c r="AP974" s="37"/>
      <c r="AQ974" s="37"/>
      <c r="AR974" s="37"/>
      <c r="AS974" s="37"/>
      <c r="AT974" s="37"/>
      <c r="AU974" s="37"/>
      <c r="AV974" s="37"/>
      <c r="AW974" s="37"/>
      <c r="AX974" s="36"/>
    </row>
    <row r="975" spans="4:50" ht="15" thickBot="1" x14ac:dyDescent="0.4"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  <c r="AA975" s="37"/>
      <c r="AB975" s="37"/>
      <c r="AC975" s="37"/>
      <c r="AD975" s="37"/>
      <c r="AE975" s="37"/>
      <c r="AF975" s="37"/>
      <c r="AG975" s="37"/>
      <c r="AH975" s="37"/>
      <c r="AI975" s="37"/>
      <c r="AJ975" s="37"/>
      <c r="AK975" s="37"/>
      <c r="AL975" s="37"/>
      <c r="AM975" s="37"/>
      <c r="AN975" s="37"/>
      <c r="AO975" s="37"/>
      <c r="AP975" s="37"/>
      <c r="AQ975" s="37"/>
      <c r="AR975" s="37"/>
      <c r="AS975" s="37"/>
      <c r="AT975" s="37"/>
      <c r="AU975" s="37"/>
      <c r="AV975" s="37"/>
      <c r="AW975" s="37"/>
      <c r="AX975" s="36"/>
    </row>
    <row r="976" spans="4:50" ht="15" thickBot="1" x14ac:dyDescent="0.4"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  <c r="AA976" s="37"/>
      <c r="AB976" s="37"/>
      <c r="AC976" s="37"/>
      <c r="AD976" s="37"/>
      <c r="AE976" s="37"/>
      <c r="AF976" s="37"/>
      <c r="AG976" s="37"/>
      <c r="AH976" s="37"/>
      <c r="AI976" s="37"/>
      <c r="AJ976" s="37"/>
      <c r="AK976" s="37"/>
      <c r="AL976" s="37"/>
      <c r="AM976" s="37"/>
      <c r="AN976" s="37"/>
      <c r="AO976" s="37"/>
      <c r="AP976" s="37"/>
      <c r="AQ976" s="37"/>
      <c r="AR976" s="37"/>
      <c r="AS976" s="37"/>
      <c r="AT976" s="37"/>
      <c r="AU976" s="37"/>
      <c r="AV976" s="37"/>
      <c r="AW976" s="37"/>
      <c r="AX976" s="36"/>
    </row>
    <row r="977" spans="4:50" ht="15" thickBot="1" x14ac:dyDescent="0.4"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  <c r="AA977" s="37"/>
      <c r="AB977" s="37"/>
      <c r="AC977" s="37"/>
      <c r="AD977" s="37"/>
      <c r="AE977" s="37"/>
      <c r="AF977" s="37"/>
      <c r="AG977" s="37"/>
      <c r="AH977" s="37"/>
      <c r="AI977" s="37"/>
      <c r="AJ977" s="37"/>
      <c r="AK977" s="37"/>
      <c r="AL977" s="37"/>
      <c r="AM977" s="37"/>
      <c r="AN977" s="37"/>
      <c r="AO977" s="37"/>
      <c r="AP977" s="37"/>
      <c r="AQ977" s="37"/>
      <c r="AR977" s="37"/>
      <c r="AS977" s="37"/>
      <c r="AT977" s="37"/>
      <c r="AU977" s="37"/>
      <c r="AV977" s="37"/>
      <c r="AW977" s="37"/>
      <c r="AX977" s="36"/>
    </row>
    <row r="978" spans="4:50" ht="15" thickBot="1" x14ac:dyDescent="0.4"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  <c r="AA978" s="37"/>
      <c r="AB978" s="37"/>
      <c r="AC978" s="37"/>
      <c r="AD978" s="37"/>
      <c r="AE978" s="37"/>
      <c r="AF978" s="37"/>
      <c r="AG978" s="37"/>
      <c r="AH978" s="37"/>
      <c r="AI978" s="37"/>
      <c r="AJ978" s="37"/>
      <c r="AK978" s="37"/>
      <c r="AL978" s="37"/>
      <c r="AM978" s="37"/>
      <c r="AN978" s="37"/>
      <c r="AO978" s="37"/>
      <c r="AP978" s="37"/>
      <c r="AQ978" s="37"/>
      <c r="AR978" s="37"/>
      <c r="AS978" s="37"/>
      <c r="AT978" s="37"/>
      <c r="AU978" s="37"/>
      <c r="AV978" s="37"/>
      <c r="AW978" s="37"/>
      <c r="AX978" s="36"/>
    </row>
    <row r="979" spans="4:50" ht="15" thickBot="1" x14ac:dyDescent="0.4"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  <c r="AA979" s="37"/>
      <c r="AB979" s="37"/>
      <c r="AC979" s="37"/>
      <c r="AD979" s="37"/>
      <c r="AE979" s="37"/>
      <c r="AF979" s="37"/>
      <c r="AG979" s="37"/>
      <c r="AH979" s="37"/>
      <c r="AI979" s="37"/>
      <c r="AJ979" s="37"/>
      <c r="AK979" s="37"/>
      <c r="AL979" s="37"/>
      <c r="AM979" s="37"/>
      <c r="AN979" s="37"/>
      <c r="AO979" s="37"/>
      <c r="AP979" s="37"/>
      <c r="AQ979" s="37"/>
      <c r="AR979" s="37"/>
      <c r="AS979" s="37"/>
      <c r="AT979" s="37"/>
      <c r="AU979" s="37"/>
      <c r="AV979" s="37"/>
      <c r="AW979" s="37"/>
      <c r="AX979" s="36"/>
    </row>
    <row r="980" spans="4:50" ht="15" thickBot="1" x14ac:dyDescent="0.4"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  <c r="AA980" s="37"/>
      <c r="AB980" s="37"/>
      <c r="AC980" s="37"/>
      <c r="AD980" s="37"/>
      <c r="AE980" s="37"/>
      <c r="AF980" s="37"/>
      <c r="AG980" s="37"/>
      <c r="AH980" s="37"/>
      <c r="AI980" s="37"/>
      <c r="AJ980" s="37"/>
      <c r="AK980" s="37"/>
      <c r="AL980" s="37"/>
      <c r="AM980" s="37"/>
      <c r="AN980" s="37"/>
      <c r="AO980" s="37"/>
      <c r="AP980" s="37"/>
      <c r="AQ980" s="37"/>
      <c r="AR980" s="37"/>
      <c r="AS980" s="37"/>
      <c r="AT980" s="37"/>
      <c r="AU980" s="37"/>
      <c r="AV980" s="37"/>
      <c r="AW980" s="37"/>
      <c r="AX980" s="36"/>
    </row>
    <row r="981" spans="4:50" ht="15" thickBot="1" x14ac:dyDescent="0.4"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  <c r="AA981" s="37"/>
      <c r="AB981" s="37"/>
      <c r="AC981" s="37"/>
      <c r="AD981" s="37"/>
      <c r="AE981" s="37"/>
      <c r="AF981" s="37"/>
      <c r="AG981" s="37"/>
      <c r="AH981" s="37"/>
      <c r="AI981" s="37"/>
      <c r="AJ981" s="37"/>
      <c r="AK981" s="37"/>
      <c r="AL981" s="37"/>
      <c r="AM981" s="37"/>
      <c r="AN981" s="37"/>
      <c r="AO981" s="37"/>
      <c r="AP981" s="37"/>
      <c r="AQ981" s="37"/>
      <c r="AR981" s="37"/>
      <c r="AS981" s="37"/>
      <c r="AT981" s="37"/>
      <c r="AU981" s="37"/>
      <c r="AV981" s="37"/>
      <c r="AW981" s="37"/>
      <c r="AX981" s="36"/>
    </row>
    <row r="982" spans="4:50" ht="15" thickBot="1" x14ac:dyDescent="0.4"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  <c r="AA982" s="37"/>
      <c r="AB982" s="37"/>
      <c r="AC982" s="37"/>
      <c r="AD982" s="37"/>
      <c r="AE982" s="37"/>
      <c r="AF982" s="37"/>
      <c r="AG982" s="37"/>
      <c r="AH982" s="37"/>
      <c r="AI982" s="37"/>
      <c r="AJ982" s="37"/>
      <c r="AK982" s="37"/>
      <c r="AL982" s="37"/>
      <c r="AM982" s="37"/>
      <c r="AN982" s="37"/>
      <c r="AO982" s="37"/>
      <c r="AP982" s="37"/>
      <c r="AQ982" s="37"/>
      <c r="AR982" s="37"/>
      <c r="AS982" s="37"/>
      <c r="AT982" s="37"/>
      <c r="AU982" s="37"/>
      <c r="AV982" s="37"/>
      <c r="AW982" s="37"/>
      <c r="AX982" s="36"/>
    </row>
    <row r="983" spans="4:50" ht="15" thickBot="1" x14ac:dyDescent="0.4"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  <c r="AA983" s="37"/>
      <c r="AB983" s="37"/>
      <c r="AC983" s="37"/>
      <c r="AD983" s="37"/>
      <c r="AE983" s="37"/>
      <c r="AF983" s="37"/>
      <c r="AG983" s="37"/>
      <c r="AH983" s="37"/>
      <c r="AI983" s="37"/>
      <c r="AJ983" s="37"/>
      <c r="AK983" s="37"/>
      <c r="AL983" s="37"/>
      <c r="AM983" s="37"/>
      <c r="AN983" s="37"/>
      <c r="AO983" s="37"/>
      <c r="AP983" s="37"/>
      <c r="AQ983" s="37"/>
      <c r="AR983" s="37"/>
      <c r="AS983" s="37"/>
      <c r="AT983" s="37"/>
      <c r="AU983" s="37"/>
      <c r="AV983" s="37"/>
      <c r="AW983" s="37"/>
      <c r="AX983" s="36"/>
    </row>
    <row r="984" spans="4:50" ht="15" thickBot="1" x14ac:dyDescent="0.4"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  <c r="AA984" s="37"/>
      <c r="AB984" s="37"/>
      <c r="AC984" s="37"/>
      <c r="AD984" s="37"/>
      <c r="AE984" s="37"/>
      <c r="AF984" s="37"/>
      <c r="AG984" s="37"/>
      <c r="AH984" s="37"/>
      <c r="AI984" s="37"/>
      <c r="AJ984" s="37"/>
      <c r="AK984" s="37"/>
      <c r="AL984" s="37"/>
      <c r="AM984" s="37"/>
      <c r="AN984" s="37"/>
      <c r="AO984" s="37"/>
      <c r="AP984" s="37"/>
      <c r="AQ984" s="37"/>
      <c r="AR984" s="37"/>
      <c r="AS984" s="37"/>
      <c r="AT984" s="37"/>
      <c r="AU984" s="37"/>
      <c r="AV984" s="37"/>
      <c r="AW984" s="37"/>
      <c r="AX984" s="36"/>
    </row>
    <row r="985" spans="4:50" ht="15" thickBot="1" x14ac:dyDescent="0.4"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  <c r="AA985" s="37"/>
      <c r="AB985" s="37"/>
      <c r="AC985" s="37"/>
      <c r="AD985" s="37"/>
      <c r="AE985" s="37"/>
      <c r="AF985" s="37"/>
      <c r="AG985" s="37"/>
      <c r="AH985" s="37"/>
      <c r="AI985" s="37"/>
      <c r="AJ985" s="37"/>
      <c r="AK985" s="37"/>
      <c r="AL985" s="37"/>
      <c r="AM985" s="37"/>
      <c r="AN985" s="37"/>
      <c r="AO985" s="37"/>
      <c r="AP985" s="37"/>
      <c r="AQ985" s="37"/>
      <c r="AR985" s="37"/>
      <c r="AS985" s="37"/>
      <c r="AT985" s="37"/>
      <c r="AU985" s="37"/>
      <c r="AV985" s="37"/>
      <c r="AW985" s="37"/>
      <c r="AX985" s="36"/>
    </row>
    <row r="986" spans="4:50" ht="15" thickBot="1" x14ac:dyDescent="0.4"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  <c r="AA986" s="37"/>
      <c r="AB986" s="37"/>
      <c r="AC986" s="37"/>
      <c r="AD986" s="37"/>
      <c r="AE986" s="37"/>
      <c r="AF986" s="37"/>
      <c r="AG986" s="37"/>
      <c r="AH986" s="37"/>
      <c r="AI986" s="37"/>
      <c r="AJ986" s="37"/>
      <c r="AK986" s="37"/>
      <c r="AL986" s="37"/>
      <c r="AM986" s="37"/>
      <c r="AN986" s="37"/>
      <c r="AO986" s="37"/>
      <c r="AP986" s="37"/>
      <c r="AQ986" s="37"/>
      <c r="AR986" s="37"/>
      <c r="AS986" s="37"/>
      <c r="AT986" s="37"/>
      <c r="AU986" s="37"/>
      <c r="AV986" s="37"/>
      <c r="AW986" s="37"/>
      <c r="AX986" s="36"/>
    </row>
    <row r="987" spans="4:50" ht="15" thickBot="1" x14ac:dyDescent="0.4"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  <c r="AA987" s="37"/>
      <c r="AB987" s="37"/>
      <c r="AC987" s="37"/>
      <c r="AD987" s="37"/>
      <c r="AE987" s="37"/>
      <c r="AF987" s="37"/>
      <c r="AG987" s="37"/>
      <c r="AH987" s="37"/>
      <c r="AI987" s="37"/>
      <c r="AJ987" s="37"/>
      <c r="AK987" s="37"/>
      <c r="AL987" s="37"/>
      <c r="AM987" s="37"/>
      <c r="AN987" s="37"/>
      <c r="AO987" s="37"/>
      <c r="AP987" s="37"/>
      <c r="AQ987" s="37"/>
      <c r="AR987" s="37"/>
      <c r="AS987" s="37"/>
      <c r="AT987" s="37"/>
      <c r="AU987" s="37"/>
      <c r="AV987" s="37"/>
      <c r="AW987" s="37"/>
      <c r="AX987" s="36"/>
    </row>
    <row r="988" spans="4:50" ht="15" thickBot="1" x14ac:dyDescent="0.4"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  <c r="AA988" s="37"/>
      <c r="AB988" s="37"/>
      <c r="AC988" s="37"/>
      <c r="AD988" s="37"/>
      <c r="AE988" s="37"/>
      <c r="AF988" s="37"/>
      <c r="AG988" s="37"/>
      <c r="AH988" s="37"/>
      <c r="AI988" s="37"/>
      <c r="AJ988" s="37"/>
      <c r="AK988" s="37"/>
      <c r="AL988" s="37"/>
      <c r="AM988" s="37"/>
      <c r="AN988" s="37"/>
      <c r="AO988" s="37"/>
      <c r="AP988" s="37"/>
      <c r="AQ988" s="37"/>
      <c r="AR988" s="37"/>
      <c r="AS988" s="37"/>
      <c r="AT988" s="37"/>
      <c r="AU988" s="37"/>
      <c r="AV988" s="37"/>
      <c r="AW988" s="37"/>
      <c r="AX988" s="36"/>
    </row>
    <row r="989" spans="4:50" ht="15" thickBot="1" x14ac:dyDescent="0.4"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  <c r="AA989" s="37"/>
      <c r="AB989" s="37"/>
      <c r="AC989" s="37"/>
      <c r="AD989" s="37"/>
      <c r="AE989" s="37"/>
      <c r="AF989" s="37"/>
      <c r="AG989" s="37"/>
      <c r="AH989" s="37"/>
      <c r="AI989" s="37"/>
      <c r="AJ989" s="37"/>
      <c r="AK989" s="37"/>
      <c r="AL989" s="37"/>
      <c r="AM989" s="37"/>
      <c r="AN989" s="37"/>
      <c r="AO989" s="37"/>
      <c r="AP989" s="37"/>
      <c r="AQ989" s="37"/>
      <c r="AR989" s="37"/>
      <c r="AS989" s="37"/>
      <c r="AT989" s="37"/>
      <c r="AU989" s="37"/>
      <c r="AV989" s="37"/>
      <c r="AW989" s="37"/>
      <c r="AX989" s="36"/>
    </row>
    <row r="990" spans="4:50" ht="15" thickBot="1" x14ac:dyDescent="0.4"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  <c r="AA990" s="37"/>
      <c r="AB990" s="37"/>
      <c r="AC990" s="37"/>
      <c r="AD990" s="37"/>
      <c r="AE990" s="37"/>
      <c r="AF990" s="37"/>
      <c r="AG990" s="37"/>
      <c r="AH990" s="37"/>
      <c r="AI990" s="37"/>
      <c r="AJ990" s="37"/>
      <c r="AK990" s="37"/>
      <c r="AL990" s="37"/>
      <c r="AM990" s="37"/>
      <c r="AN990" s="37"/>
      <c r="AO990" s="37"/>
      <c r="AP990" s="37"/>
      <c r="AQ990" s="37"/>
      <c r="AR990" s="37"/>
      <c r="AS990" s="37"/>
      <c r="AT990" s="37"/>
      <c r="AU990" s="37"/>
      <c r="AV990" s="37"/>
      <c r="AW990" s="37"/>
      <c r="AX990" s="36"/>
    </row>
    <row r="991" spans="4:50" ht="15" thickBot="1" x14ac:dyDescent="0.4"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  <c r="AA991" s="37"/>
      <c r="AB991" s="37"/>
      <c r="AC991" s="37"/>
      <c r="AD991" s="37"/>
      <c r="AE991" s="37"/>
      <c r="AF991" s="37"/>
      <c r="AG991" s="37"/>
      <c r="AH991" s="37"/>
      <c r="AI991" s="37"/>
      <c r="AJ991" s="37"/>
      <c r="AK991" s="37"/>
      <c r="AL991" s="37"/>
      <c r="AM991" s="37"/>
      <c r="AN991" s="37"/>
      <c r="AO991" s="37"/>
      <c r="AP991" s="37"/>
      <c r="AQ991" s="37"/>
      <c r="AR991" s="37"/>
      <c r="AS991" s="37"/>
      <c r="AT991" s="37"/>
      <c r="AU991" s="37"/>
      <c r="AV991" s="37"/>
      <c r="AW991" s="37"/>
      <c r="AX991" s="36"/>
    </row>
    <row r="992" spans="4:50" ht="15" thickBot="1" x14ac:dyDescent="0.4"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  <c r="AA992" s="37"/>
      <c r="AB992" s="37"/>
      <c r="AC992" s="37"/>
      <c r="AD992" s="37"/>
      <c r="AE992" s="37"/>
      <c r="AF992" s="37"/>
      <c r="AG992" s="37"/>
      <c r="AH992" s="37"/>
      <c r="AI992" s="37"/>
      <c r="AJ992" s="37"/>
      <c r="AK992" s="37"/>
      <c r="AL992" s="37"/>
      <c r="AM992" s="37"/>
      <c r="AN992" s="37"/>
      <c r="AO992" s="37"/>
      <c r="AP992" s="37"/>
      <c r="AQ992" s="37"/>
      <c r="AR992" s="37"/>
      <c r="AS992" s="37"/>
      <c r="AT992" s="37"/>
      <c r="AU992" s="37"/>
      <c r="AV992" s="37"/>
      <c r="AW992" s="37"/>
      <c r="AX992" s="36"/>
    </row>
    <row r="993" spans="4:50" ht="15" thickBot="1" x14ac:dyDescent="0.4"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  <c r="AA993" s="37"/>
      <c r="AB993" s="37"/>
      <c r="AC993" s="37"/>
      <c r="AD993" s="37"/>
      <c r="AE993" s="37"/>
      <c r="AF993" s="37"/>
      <c r="AG993" s="37"/>
      <c r="AH993" s="37"/>
      <c r="AI993" s="37"/>
      <c r="AJ993" s="37"/>
      <c r="AK993" s="37"/>
      <c r="AL993" s="37"/>
      <c r="AM993" s="37"/>
      <c r="AN993" s="37"/>
      <c r="AO993" s="37"/>
      <c r="AP993" s="37"/>
      <c r="AQ993" s="37"/>
      <c r="AR993" s="37"/>
      <c r="AS993" s="37"/>
      <c r="AT993" s="37"/>
      <c r="AU993" s="37"/>
      <c r="AV993" s="37"/>
      <c r="AW993" s="37"/>
      <c r="AX993" s="36"/>
    </row>
    <row r="994" spans="4:50" ht="15" thickBot="1" x14ac:dyDescent="0.4"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  <c r="AA994" s="37"/>
      <c r="AB994" s="37"/>
      <c r="AC994" s="37"/>
      <c r="AD994" s="37"/>
      <c r="AE994" s="37"/>
      <c r="AF994" s="37"/>
      <c r="AG994" s="37"/>
      <c r="AH994" s="37"/>
      <c r="AI994" s="37"/>
      <c r="AJ994" s="37"/>
      <c r="AK994" s="37"/>
      <c r="AL994" s="37"/>
      <c r="AM994" s="37"/>
      <c r="AN994" s="37"/>
      <c r="AO994" s="37"/>
      <c r="AP994" s="37"/>
      <c r="AQ994" s="37"/>
      <c r="AR994" s="37"/>
      <c r="AS994" s="37"/>
      <c r="AT994" s="37"/>
      <c r="AU994" s="37"/>
      <c r="AV994" s="37"/>
      <c r="AW994" s="37"/>
      <c r="AX994" s="36"/>
    </row>
    <row r="995" spans="4:50" ht="15" thickBot="1" x14ac:dyDescent="0.4"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  <c r="AA995" s="37"/>
      <c r="AB995" s="37"/>
      <c r="AC995" s="37"/>
      <c r="AD995" s="37"/>
      <c r="AE995" s="37"/>
      <c r="AF995" s="37"/>
      <c r="AG995" s="37"/>
      <c r="AH995" s="37"/>
      <c r="AI995" s="37"/>
      <c r="AJ995" s="37"/>
      <c r="AK995" s="37"/>
      <c r="AL995" s="37"/>
      <c r="AM995" s="37"/>
      <c r="AN995" s="37"/>
      <c r="AO995" s="37"/>
      <c r="AP995" s="37"/>
      <c r="AQ995" s="37"/>
      <c r="AR995" s="37"/>
      <c r="AS995" s="37"/>
      <c r="AT995" s="37"/>
      <c r="AU995" s="37"/>
      <c r="AV995" s="37"/>
      <c r="AW995" s="37"/>
      <c r="AX995" s="36"/>
    </row>
    <row r="996" spans="4:50" ht="15" thickBot="1" x14ac:dyDescent="0.4"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  <c r="AA996" s="37"/>
      <c r="AB996" s="37"/>
      <c r="AC996" s="37"/>
      <c r="AD996" s="37"/>
      <c r="AE996" s="37"/>
      <c r="AF996" s="37"/>
      <c r="AG996" s="37"/>
      <c r="AH996" s="37"/>
      <c r="AI996" s="37"/>
      <c r="AJ996" s="37"/>
      <c r="AK996" s="37"/>
      <c r="AL996" s="37"/>
      <c r="AM996" s="37"/>
      <c r="AN996" s="37"/>
      <c r="AO996" s="37"/>
      <c r="AP996" s="37"/>
      <c r="AQ996" s="37"/>
      <c r="AR996" s="37"/>
      <c r="AS996" s="37"/>
      <c r="AT996" s="37"/>
      <c r="AU996" s="37"/>
      <c r="AV996" s="37"/>
      <c r="AW996" s="37"/>
      <c r="AX996" s="36"/>
    </row>
    <row r="997" spans="4:50" ht="15" thickBot="1" x14ac:dyDescent="0.4"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  <c r="AA997" s="37"/>
      <c r="AB997" s="37"/>
      <c r="AC997" s="37"/>
      <c r="AD997" s="37"/>
      <c r="AE997" s="37"/>
      <c r="AF997" s="37"/>
      <c r="AG997" s="37"/>
      <c r="AH997" s="37"/>
      <c r="AI997" s="37"/>
      <c r="AJ997" s="37"/>
      <c r="AK997" s="37"/>
      <c r="AL997" s="37"/>
      <c r="AM997" s="37"/>
      <c r="AN997" s="37"/>
      <c r="AO997" s="37"/>
      <c r="AP997" s="37"/>
      <c r="AQ997" s="37"/>
      <c r="AR997" s="37"/>
      <c r="AS997" s="37"/>
      <c r="AT997" s="37"/>
      <c r="AU997" s="37"/>
      <c r="AV997" s="37"/>
      <c r="AW997" s="37"/>
      <c r="AX997" s="36"/>
    </row>
    <row r="998" spans="4:50" ht="15" thickBot="1" x14ac:dyDescent="0.4"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  <c r="AA998" s="37"/>
      <c r="AB998" s="37"/>
      <c r="AC998" s="37"/>
      <c r="AD998" s="37"/>
      <c r="AE998" s="37"/>
      <c r="AF998" s="37"/>
      <c r="AG998" s="37"/>
      <c r="AH998" s="37"/>
      <c r="AI998" s="37"/>
      <c r="AJ998" s="37"/>
      <c r="AK998" s="37"/>
      <c r="AL998" s="37"/>
      <c r="AM998" s="37"/>
      <c r="AN998" s="37"/>
      <c r="AO998" s="37"/>
      <c r="AP998" s="37"/>
      <c r="AQ998" s="37"/>
      <c r="AR998" s="37"/>
      <c r="AS998" s="37"/>
      <c r="AT998" s="37"/>
      <c r="AU998" s="37"/>
      <c r="AV998" s="37"/>
      <c r="AW998" s="37"/>
      <c r="AX998" s="36"/>
    </row>
    <row r="999" spans="4:50" ht="15" thickBot="1" x14ac:dyDescent="0.4"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  <c r="AA999" s="37"/>
      <c r="AB999" s="37"/>
      <c r="AC999" s="37"/>
      <c r="AD999" s="37"/>
      <c r="AE999" s="37"/>
      <c r="AF999" s="37"/>
      <c r="AG999" s="37"/>
      <c r="AH999" s="37"/>
      <c r="AI999" s="37"/>
      <c r="AJ999" s="37"/>
      <c r="AK999" s="37"/>
      <c r="AL999" s="37"/>
      <c r="AM999" s="37"/>
      <c r="AN999" s="37"/>
      <c r="AO999" s="37"/>
      <c r="AP999" s="37"/>
      <c r="AQ999" s="37"/>
      <c r="AR999" s="37"/>
      <c r="AS999" s="37"/>
      <c r="AT999" s="37"/>
      <c r="AU999" s="37"/>
      <c r="AV999" s="37"/>
      <c r="AW999" s="37"/>
      <c r="AX999" s="36"/>
    </row>
    <row r="1000" spans="4:50" ht="15" thickBot="1" x14ac:dyDescent="0.4">
      <c r="D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  <c r="AA1000" s="37"/>
      <c r="AB1000" s="37"/>
      <c r="AC1000" s="37"/>
      <c r="AD1000" s="37"/>
      <c r="AE1000" s="37"/>
      <c r="AF1000" s="37"/>
      <c r="AG1000" s="37"/>
      <c r="AH1000" s="37"/>
      <c r="AI1000" s="37"/>
      <c r="AJ1000" s="37"/>
      <c r="AK1000" s="37"/>
      <c r="AL1000" s="37"/>
      <c r="AM1000" s="37"/>
      <c r="AN1000" s="37"/>
      <c r="AO1000" s="37"/>
      <c r="AP1000" s="37"/>
      <c r="AQ1000" s="37"/>
      <c r="AR1000" s="37"/>
      <c r="AS1000" s="37"/>
      <c r="AT1000" s="37"/>
      <c r="AU1000" s="37"/>
      <c r="AV1000" s="37"/>
      <c r="AW1000" s="37"/>
      <c r="AX1000" s="36"/>
    </row>
  </sheetData>
  <phoneticPr fontId="5" type="noConversion"/>
  <pageMargins left="0.7" right="0.7" top="0.75" bottom="0.75" header="0.3" footer="0.3"/>
  <pageSetup orientation="portrait" r:id="rId1"/>
  <headerFooter>
    <oddFooter>&amp;C_x000D_&amp;1#&amp;"Calibri"&amp;10&amp;K000000 Mondelez International Internal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42EAA-B39C-41FB-8DB1-79F91AE87DF9}">
  <dimension ref="A1:I5470"/>
  <sheetViews>
    <sheetView showGridLines="0" topLeftCell="B1" workbookViewId="0">
      <selection activeCell="C12" sqref="C12"/>
    </sheetView>
  </sheetViews>
  <sheetFormatPr defaultRowHeight="14.5" x14ac:dyDescent="0.35"/>
  <cols>
    <col min="1" max="1" width="33.1796875" bestFit="1" customWidth="1"/>
    <col min="2" max="2" width="21.26953125" bestFit="1" customWidth="1"/>
    <col min="3" max="3" width="23.6328125" bestFit="1" customWidth="1"/>
    <col min="4" max="4" width="15.6328125" bestFit="1" customWidth="1"/>
    <col min="5" max="5" width="11.81640625" bestFit="1" customWidth="1"/>
    <col min="6" max="6" width="7.81640625" bestFit="1" customWidth="1"/>
    <col min="7" max="7" width="11.81640625" bestFit="1" customWidth="1"/>
    <col min="8" max="8" width="27.90625" bestFit="1" customWidth="1"/>
    <col min="9" max="9" width="12.453125" bestFit="1" customWidth="1"/>
  </cols>
  <sheetData>
    <row r="1" spans="1:9" x14ac:dyDescent="0.35">
      <c r="A1" t="s">
        <v>667</v>
      </c>
      <c r="B1" t="s">
        <v>668</v>
      </c>
      <c r="C1" t="s">
        <v>669</v>
      </c>
      <c r="D1" t="s">
        <v>670</v>
      </c>
      <c r="E1" t="s">
        <v>671</v>
      </c>
      <c r="F1" t="s">
        <v>672</v>
      </c>
      <c r="G1" t="s">
        <v>673</v>
      </c>
      <c r="H1" t="s">
        <v>674</v>
      </c>
      <c r="I1" t="s">
        <v>675</v>
      </c>
    </row>
    <row r="2" spans="1:9" x14ac:dyDescent="0.35">
      <c r="A2" s="417" t="s">
        <v>846</v>
      </c>
      <c r="B2" s="417" t="s">
        <v>676</v>
      </c>
      <c r="C2" s="83">
        <v>46277</v>
      </c>
      <c r="D2" s="417" t="s">
        <v>677</v>
      </c>
      <c r="E2">
        <v>450.87398996166701</v>
      </c>
      <c r="F2">
        <v>114</v>
      </c>
      <c r="G2">
        <v>3.9550349996637402</v>
      </c>
      <c r="H2">
        <v>42.510616666666699</v>
      </c>
      <c r="I2">
        <v>31.202432733368401</v>
      </c>
    </row>
    <row r="3" spans="1:9" x14ac:dyDescent="0.35">
      <c r="A3" s="417" t="s">
        <v>846</v>
      </c>
      <c r="B3" s="417" t="s">
        <v>676</v>
      </c>
      <c r="C3" s="83">
        <v>46277</v>
      </c>
      <c r="D3" s="417" t="s">
        <v>678</v>
      </c>
      <c r="E3">
        <v>477.39255351499997</v>
      </c>
      <c r="F3">
        <v>10</v>
      </c>
      <c r="G3">
        <v>47.739255351499999</v>
      </c>
      <c r="H3">
        <v>5.9940499999999997</v>
      </c>
      <c r="I3">
        <v>94.597160259492099</v>
      </c>
    </row>
    <row r="4" spans="1:9" x14ac:dyDescent="0.35">
      <c r="A4" s="417" t="s">
        <v>846</v>
      </c>
      <c r="B4" s="417" t="s">
        <v>676</v>
      </c>
      <c r="C4" s="83">
        <v>46277</v>
      </c>
      <c r="D4" s="417" t="s">
        <v>679</v>
      </c>
      <c r="E4">
        <v>483.73516718833298</v>
      </c>
      <c r="F4">
        <v>4</v>
      </c>
      <c r="G4">
        <v>120.933791797083</v>
      </c>
      <c r="H4">
        <v>3.9941666666666702</v>
      </c>
      <c r="I4">
        <v>85.510542641257302</v>
      </c>
    </row>
    <row r="5" spans="1:9" x14ac:dyDescent="0.35">
      <c r="A5" s="417" t="s">
        <v>846</v>
      </c>
      <c r="B5" s="417" t="s">
        <v>680</v>
      </c>
      <c r="C5" s="83">
        <v>46277</v>
      </c>
      <c r="D5" s="417" t="s">
        <v>683</v>
      </c>
      <c r="E5">
        <v>487.37579597333303</v>
      </c>
      <c r="F5">
        <v>13</v>
      </c>
      <c r="G5">
        <v>37.490445844102602</v>
      </c>
      <c r="H5">
        <v>1.3321166666666699</v>
      </c>
      <c r="I5">
        <v>82.641692889243402</v>
      </c>
    </row>
    <row r="6" spans="1:9" x14ac:dyDescent="0.35">
      <c r="A6" s="417" t="s">
        <v>846</v>
      </c>
      <c r="B6" s="417" t="s">
        <v>680</v>
      </c>
      <c r="C6" s="83">
        <v>46277</v>
      </c>
      <c r="D6" s="417" t="s">
        <v>689</v>
      </c>
      <c r="E6">
        <v>476.88382637833303</v>
      </c>
      <c r="F6">
        <v>12</v>
      </c>
      <c r="G6">
        <v>39.740318864861102</v>
      </c>
      <c r="H6">
        <v>10.992100000000001</v>
      </c>
      <c r="I6">
        <v>78.507343938588306</v>
      </c>
    </row>
    <row r="7" spans="1:9" x14ac:dyDescent="0.35">
      <c r="A7" s="417" t="s">
        <v>846</v>
      </c>
      <c r="B7" s="417" t="s">
        <v>680</v>
      </c>
      <c r="C7" s="83">
        <v>46277</v>
      </c>
      <c r="D7" s="417" t="s">
        <v>690</v>
      </c>
      <c r="E7">
        <v>488.86964597333298</v>
      </c>
      <c r="F7">
        <v>10</v>
      </c>
      <c r="G7">
        <v>48.886964597333296</v>
      </c>
      <c r="H7">
        <v>2.66865</v>
      </c>
      <c r="I7">
        <v>82.520722850035497</v>
      </c>
    </row>
    <row r="8" spans="1:9" x14ac:dyDescent="0.35">
      <c r="A8" s="417" t="s">
        <v>846</v>
      </c>
      <c r="B8" s="417" t="s">
        <v>680</v>
      </c>
      <c r="C8" s="83">
        <v>46277</v>
      </c>
      <c r="D8" s="417" t="s">
        <v>681</v>
      </c>
      <c r="E8">
        <v>486.724999771667</v>
      </c>
      <c r="F8">
        <v>10</v>
      </c>
      <c r="G8">
        <v>48.672499977166702</v>
      </c>
      <c r="H8">
        <v>0</v>
      </c>
      <c r="I8">
        <v>95.331433021265795</v>
      </c>
    </row>
    <row r="9" spans="1:9" x14ac:dyDescent="0.35">
      <c r="A9" s="417" t="s">
        <v>846</v>
      </c>
      <c r="B9" s="417" t="s">
        <v>680</v>
      </c>
      <c r="C9" s="83">
        <v>46277</v>
      </c>
      <c r="D9" s="417" t="s">
        <v>687</v>
      </c>
      <c r="E9">
        <v>482.37780300666702</v>
      </c>
      <c r="F9">
        <v>8</v>
      </c>
      <c r="G9">
        <v>60.2972253758333</v>
      </c>
      <c r="H9">
        <v>4.5013166666666704</v>
      </c>
      <c r="I9">
        <v>43.569803378424403</v>
      </c>
    </row>
    <row r="10" spans="1:9" x14ac:dyDescent="0.35">
      <c r="A10" s="417" t="s">
        <v>846</v>
      </c>
      <c r="B10" s="417" t="s">
        <v>680</v>
      </c>
      <c r="C10" s="83">
        <v>46277</v>
      </c>
      <c r="D10" s="417" t="s">
        <v>684</v>
      </c>
      <c r="E10">
        <v>487.53780184499999</v>
      </c>
      <c r="F10">
        <v>7</v>
      </c>
      <c r="G10">
        <v>69.648257406428598</v>
      </c>
      <c r="H10">
        <v>2.8453499999999998</v>
      </c>
      <c r="I10">
        <v>90.750866428427003</v>
      </c>
    </row>
    <row r="11" spans="1:9" x14ac:dyDescent="0.35">
      <c r="A11" s="417" t="s">
        <v>846</v>
      </c>
      <c r="B11" s="417" t="s">
        <v>680</v>
      </c>
      <c r="C11" s="83">
        <v>46277</v>
      </c>
      <c r="D11" s="417" t="s">
        <v>685</v>
      </c>
      <c r="E11">
        <v>480.88734304500002</v>
      </c>
      <c r="F11">
        <v>7</v>
      </c>
      <c r="G11">
        <v>68.698191863571395</v>
      </c>
      <c r="H11">
        <v>5.3396999999999997</v>
      </c>
      <c r="I11">
        <v>70.6771313115743</v>
      </c>
    </row>
    <row r="12" spans="1:9" x14ac:dyDescent="0.35">
      <c r="A12" s="417" t="s">
        <v>846</v>
      </c>
      <c r="B12" s="417" t="s">
        <v>680</v>
      </c>
      <c r="C12" s="83">
        <v>46277</v>
      </c>
      <c r="D12" s="417" t="s">
        <v>682</v>
      </c>
      <c r="E12">
        <v>487.046123388333</v>
      </c>
      <c r="F12">
        <v>6</v>
      </c>
      <c r="G12">
        <v>81.1743538980556</v>
      </c>
      <c r="H12">
        <v>3.3375166666666698</v>
      </c>
      <c r="I12">
        <v>89.6591450008778</v>
      </c>
    </row>
    <row r="13" spans="1:9" x14ac:dyDescent="0.35">
      <c r="A13" s="417" t="s">
        <v>846</v>
      </c>
      <c r="B13" s="417" t="s">
        <v>680</v>
      </c>
      <c r="C13" s="83">
        <v>46277</v>
      </c>
      <c r="D13" s="417" t="s">
        <v>686</v>
      </c>
      <c r="E13">
        <v>484.57128315</v>
      </c>
      <c r="F13">
        <v>5</v>
      </c>
      <c r="G13">
        <v>96.914256629999997</v>
      </c>
      <c r="H13">
        <v>8.6527166666666702</v>
      </c>
      <c r="I13">
        <v>36.364236720802502</v>
      </c>
    </row>
    <row r="14" spans="1:9" x14ac:dyDescent="0.35">
      <c r="A14" s="417" t="s">
        <v>846</v>
      </c>
      <c r="B14" s="417" t="s">
        <v>680</v>
      </c>
      <c r="C14" s="83">
        <v>46277</v>
      </c>
      <c r="D14" s="417" t="s">
        <v>688</v>
      </c>
      <c r="E14">
        <v>493.21026643833301</v>
      </c>
      <c r="F14">
        <v>1</v>
      </c>
      <c r="G14">
        <v>493.21026643833301</v>
      </c>
      <c r="H14">
        <v>0</v>
      </c>
      <c r="I14">
        <v>94.671300092848398</v>
      </c>
    </row>
    <row r="15" spans="1:9" x14ac:dyDescent="0.35">
      <c r="A15" s="417" t="s">
        <v>846</v>
      </c>
      <c r="B15" s="417" t="s">
        <v>691</v>
      </c>
      <c r="C15" s="83">
        <v>46277</v>
      </c>
      <c r="D15" s="417" t="s">
        <v>309</v>
      </c>
      <c r="E15">
        <v>453.27988634000002</v>
      </c>
      <c r="F15">
        <v>61</v>
      </c>
      <c r="G15">
        <v>7.4308178088524599</v>
      </c>
      <c r="H15">
        <v>0</v>
      </c>
      <c r="I15">
        <v>31.390585251044499</v>
      </c>
    </row>
    <row r="16" spans="1:9" x14ac:dyDescent="0.35">
      <c r="A16" s="417" t="s">
        <v>846</v>
      </c>
      <c r="B16" s="417" t="s">
        <v>691</v>
      </c>
      <c r="C16" s="83">
        <v>46277</v>
      </c>
      <c r="D16" s="417" t="s">
        <v>301</v>
      </c>
      <c r="E16">
        <v>460.40843735499999</v>
      </c>
      <c r="F16">
        <v>40</v>
      </c>
      <c r="G16">
        <v>11.510210933874999</v>
      </c>
      <c r="H16">
        <v>2.5687166666666701</v>
      </c>
      <c r="I16">
        <v>58.428624474159101</v>
      </c>
    </row>
    <row r="17" spans="1:9" x14ac:dyDescent="0.35">
      <c r="A17" s="417" t="s">
        <v>846</v>
      </c>
      <c r="B17" s="417" t="s">
        <v>691</v>
      </c>
      <c r="C17" s="83">
        <v>46277</v>
      </c>
      <c r="D17" s="417" t="s">
        <v>303</v>
      </c>
      <c r="E17">
        <v>465.90912709833299</v>
      </c>
      <c r="F17">
        <v>27</v>
      </c>
      <c r="G17">
        <v>17.2558935962346</v>
      </c>
      <c r="H17">
        <v>0.362383333333333</v>
      </c>
      <c r="I17">
        <v>54.0462662973978</v>
      </c>
    </row>
    <row r="18" spans="1:9" x14ac:dyDescent="0.35">
      <c r="A18" s="417" t="s">
        <v>846</v>
      </c>
      <c r="B18" s="417" t="s">
        <v>691</v>
      </c>
      <c r="C18" s="83">
        <v>46277</v>
      </c>
      <c r="D18" s="417" t="s">
        <v>295</v>
      </c>
      <c r="E18">
        <v>458.34525729333302</v>
      </c>
      <c r="F18">
        <v>25</v>
      </c>
      <c r="G18">
        <v>18.3338102917333</v>
      </c>
      <c r="H18">
        <v>0</v>
      </c>
      <c r="I18">
        <v>78.840659796167301</v>
      </c>
    </row>
    <row r="19" spans="1:9" x14ac:dyDescent="0.35">
      <c r="A19" s="417" t="s">
        <v>846</v>
      </c>
      <c r="B19" s="417" t="s">
        <v>691</v>
      </c>
      <c r="C19" s="83">
        <v>46277</v>
      </c>
      <c r="D19" s="417" t="s">
        <v>299</v>
      </c>
      <c r="E19">
        <v>467.94607545666702</v>
      </c>
      <c r="F19">
        <v>25</v>
      </c>
      <c r="G19">
        <v>18.717843018266699</v>
      </c>
      <c r="H19">
        <v>0.124633333333333</v>
      </c>
      <c r="I19">
        <v>82.604649827244998</v>
      </c>
    </row>
    <row r="20" spans="1:9" x14ac:dyDescent="0.35">
      <c r="A20" s="417" t="s">
        <v>846</v>
      </c>
      <c r="B20" s="417" t="s">
        <v>691</v>
      </c>
      <c r="C20" s="83">
        <v>46277</v>
      </c>
      <c r="D20" s="417" t="s">
        <v>305</v>
      </c>
      <c r="E20">
        <v>472.134166666667</v>
      </c>
      <c r="F20">
        <v>23</v>
      </c>
      <c r="G20">
        <v>20.527572463768099</v>
      </c>
      <c r="H20">
        <v>0</v>
      </c>
      <c r="I20">
        <v>37.172204037126399</v>
      </c>
    </row>
    <row r="21" spans="1:9" x14ac:dyDescent="0.35">
      <c r="A21" s="417" t="s">
        <v>846</v>
      </c>
      <c r="B21" s="417" t="s">
        <v>691</v>
      </c>
      <c r="C21" s="83">
        <v>46277</v>
      </c>
      <c r="D21" s="417" t="s">
        <v>342</v>
      </c>
      <c r="E21">
        <v>478.56774999999999</v>
      </c>
      <c r="F21">
        <v>11</v>
      </c>
      <c r="G21">
        <v>43.506159090909101</v>
      </c>
      <c r="H21">
        <v>14.789865300000001</v>
      </c>
      <c r="I21">
        <v>39.380301075837899</v>
      </c>
    </row>
    <row r="22" spans="1:9" x14ac:dyDescent="0.35">
      <c r="A22" s="417" t="s">
        <v>846</v>
      </c>
      <c r="B22" s="417" t="s">
        <v>691</v>
      </c>
      <c r="C22" s="83">
        <v>46277</v>
      </c>
      <c r="D22" s="417" t="s">
        <v>313</v>
      </c>
      <c r="E22">
        <v>483.74497709833298</v>
      </c>
      <c r="F22">
        <v>11</v>
      </c>
      <c r="G22">
        <v>43.976816099848499</v>
      </c>
      <c r="H22">
        <v>0</v>
      </c>
      <c r="I22">
        <v>78.3912143800964</v>
      </c>
    </row>
    <row r="23" spans="1:9" x14ac:dyDescent="0.35">
      <c r="A23" s="417" t="s">
        <v>846</v>
      </c>
      <c r="B23" s="417" t="s">
        <v>691</v>
      </c>
      <c r="C23" s="83">
        <v>46277</v>
      </c>
      <c r="D23" s="417" t="s">
        <v>317</v>
      </c>
      <c r="E23">
        <v>491.78744991500002</v>
      </c>
      <c r="F23">
        <v>4</v>
      </c>
      <c r="G23">
        <v>122.94686247875001</v>
      </c>
      <c r="H23">
        <v>3.0192000000000001</v>
      </c>
      <c r="I23">
        <v>47.4629837817142</v>
      </c>
    </row>
    <row r="24" spans="1:9" x14ac:dyDescent="0.35">
      <c r="A24" s="417" t="s">
        <v>846</v>
      </c>
      <c r="B24" s="417" t="s">
        <v>691</v>
      </c>
      <c r="C24" s="83">
        <v>46277</v>
      </c>
      <c r="D24" s="417" t="s">
        <v>314</v>
      </c>
      <c r="E24">
        <v>450.77762545666599</v>
      </c>
      <c r="F24">
        <v>3</v>
      </c>
      <c r="G24">
        <v>150.25920848555501</v>
      </c>
      <c r="H24">
        <v>0.44848333333333301</v>
      </c>
      <c r="I24">
        <v>53.534008970585802</v>
      </c>
    </row>
    <row r="25" spans="1:9" x14ac:dyDescent="0.35">
      <c r="A25" s="417" t="s">
        <v>846</v>
      </c>
      <c r="B25" s="417" t="s">
        <v>691</v>
      </c>
      <c r="C25" s="83">
        <v>46277</v>
      </c>
      <c r="D25" s="417" t="s">
        <v>310</v>
      </c>
      <c r="E25">
        <v>476.23873250999998</v>
      </c>
      <c r="F25">
        <v>2</v>
      </c>
      <c r="G25">
        <v>238.11936625499999</v>
      </c>
      <c r="H25">
        <v>0</v>
      </c>
      <c r="I25">
        <v>77.437512290663605</v>
      </c>
    </row>
    <row r="26" spans="1:9" x14ac:dyDescent="0.35">
      <c r="A26" s="417" t="s">
        <v>846</v>
      </c>
      <c r="B26" s="417" t="s">
        <v>691</v>
      </c>
      <c r="C26" s="83">
        <v>46277</v>
      </c>
      <c r="D26" s="417" t="s">
        <v>504</v>
      </c>
      <c r="E26">
        <v>494.38510906499999</v>
      </c>
      <c r="F26">
        <v>1</v>
      </c>
      <c r="G26">
        <v>494.38510906499999</v>
      </c>
      <c r="H26">
        <v>0</v>
      </c>
      <c r="I26">
        <v>20.4851549325771</v>
      </c>
    </row>
    <row r="27" spans="1:9" x14ac:dyDescent="0.35">
      <c r="A27" s="417" t="s">
        <v>846</v>
      </c>
      <c r="B27" s="417" t="s">
        <v>676</v>
      </c>
      <c r="C27" s="83">
        <v>46276</v>
      </c>
      <c r="D27" s="417" t="s">
        <v>677</v>
      </c>
      <c r="E27">
        <v>1052.8500166666699</v>
      </c>
      <c r="F27">
        <v>410</v>
      </c>
      <c r="G27">
        <v>2.5679268699187001</v>
      </c>
      <c r="H27">
        <v>246.29615000000001</v>
      </c>
      <c r="I27">
        <v>25.574166666666699</v>
      </c>
    </row>
    <row r="28" spans="1:9" x14ac:dyDescent="0.35">
      <c r="A28" s="417" t="s">
        <v>846</v>
      </c>
      <c r="B28" s="417" t="s">
        <v>676</v>
      </c>
      <c r="C28" s="83">
        <v>46276</v>
      </c>
      <c r="D28" s="417" t="s">
        <v>678</v>
      </c>
      <c r="E28">
        <v>988.33503333333294</v>
      </c>
      <c r="F28">
        <v>57</v>
      </c>
      <c r="G28">
        <v>17.339211111111101</v>
      </c>
      <c r="H28">
        <v>65.1208666666667</v>
      </c>
      <c r="I28">
        <v>52.146569714772603</v>
      </c>
    </row>
    <row r="29" spans="1:9" x14ac:dyDescent="0.35">
      <c r="A29" s="417" t="s">
        <v>846</v>
      </c>
      <c r="B29" s="417" t="s">
        <v>676</v>
      </c>
      <c r="C29" s="83">
        <v>46276</v>
      </c>
      <c r="D29" s="417" t="s">
        <v>679</v>
      </c>
      <c r="E29">
        <v>1100.1554166666699</v>
      </c>
      <c r="F29">
        <v>43</v>
      </c>
      <c r="G29">
        <v>25.585009689922501</v>
      </c>
      <c r="H29">
        <v>41.826183333333297</v>
      </c>
      <c r="I29">
        <v>52.7385215109326</v>
      </c>
    </row>
    <row r="30" spans="1:9" x14ac:dyDescent="0.35">
      <c r="A30" s="417" t="s">
        <v>846</v>
      </c>
      <c r="B30" s="417" t="s">
        <v>680</v>
      </c>
      <c r="C30" s="83">
        <v>46276</v>
      </c>
      <c r="D30" s="417" t="s">
        <v>683</v>
      </c>
      <c r="E30">
        <v>1348.68131666667</v>
      </c>
      <c r="F30">
        <v>50</v>
      </c>
      <c r="G30">
        <v>26.9736263333333</v>
      </c>
      <c r="H30">
        <v>1.33335</v>
      </c>
      <c r="I30">
        <v>77.272225763350804</v>
      </c>
    </row>
    <row r="31" spans="1:9" x14ac:dyDescent="0.35">
      <c r="A31" s="417" t="s">
        <v>846</v>
      </c>
      <c r="B31" s="417" t="s">
        <v>680</v>
      </c>
      <c r="C31" s="83">
        <v>46276</v>
      </c>
      <c r="D31" s="417" t="s">
        <v>681</v>
      </c>
      <c r="E31">
        <v>1399.8144833333299</v>
      </c>
      <c r="F31">
        <v>44</v>
      </c>
      <c r="G31">
        <v>31.813965530303001</v>
      </c>
      <c r="H31">
        <v>6.3256833333333304</v>
      </c>
      <c r="I31">
        <v>90.309299924697399</v>
      </c>
    </row>
    <row r="32" spans="1:9" x14ac:dyDescent="0.35">
      <c r="A32" s="417" t="s">
        <v>846</v>
      </c>
      <c r="B32" s="417" t="s">
        <v>680</v>
      </c>
      <c r="C32" s="83">
        <v>46276</v>
      </c>
      <c r="D32" s="417" t="s">
        <v>689</v>
      </c>
      <c r="E32">
        <v>1318.32801666667</v>
      </c>
      <c r="F32">
        <v>39</v>
      </c>
      <c r="G32">
        <v>33.803282478632497</v>
      </c>
      <c r="H32">
        <v>15.1679333333333</v>
      </c>
      <c r="I32">
        <v>79.679426465364102</v>
      </c>
    </row>
    <row r="33" spans="1:9" x14ac:dyDescent="0.35">
      <c r="A33" s="417" t="s">
        <v>846</v>
      </c>
      <c r="B33" s="417" t="s">
        <v>680</v>
      </c>
      <c r="C33" s="83">
        <v>46276</v>
      </c>
      <c r="D33" s="417" t="s">
        <v>685</v>
      </c>
      <c r="E33">
        <v>1289.6725833333301</v>
      </c>
      <c r="F33">
        <v>31</v>
      </c>
      <c r="G33">
        <v>41.6023413978495</v>
      </c>
      <c r="H33">
        <v>10.1652666666667</v>
      </c>
      <c r="I33">
        <v>78.655297139437295</v>
      </c>
    </row>
    <row r="34" spans="1:9" x14ac:dyDescent="0.35">
      <c r="A34" s="417" t="s">
        <v>846</v>
      </c>
      <c r="B34" s="417" t="s">
        <v>680</v>
      </c>
      <c r="C34" s="83">
        <v>46276</v>
      </c>
      <c r="D34" s="417" t="s">
        <v>684</v>
      </c>
      <c r="E34">
        <v>1418.3483000000001</v>
      </c>
      <c r="F34">
        <v>21</v>
      </c>
      <c r="G34">
        <v>67.540395238095201</v>
      </c>
      <c r="H34">
        <v>17.15485</v>
      </c>
      <c r="I34">
        <v>85.870914068947499</v>
      </c>
    </row>
    <row r="35" spans="1:9" x14ac:dyDescent="0.35">
      <c r="A35" s="417" t="s">
        <v>846</v>
      </c>
      <c r="B35" s="417" t="s">
        <v>680</v>
      </c>
      <c r="C35" s="83">
        <v>46276</v>
      </c>
      <c r="D35" s="417" t="s">
        <v>682</v>
      </c>
      <c r="E35">
        <v>1367.9986833333301</v>
      </c>
      <c r="F35">
        <v>18</v>
      </c>
      <c r="G35">
        <v>75.999926851851896</v>
      </c>
      <c r="H35">
        <v>10.4905666666667</v>
      </c>
      <c r="I35">
        <v>86.975144477788007</v>
      </c>
    </row>
    <row r="36" spans="1:9" x14ac:dyDescent="0.35">
      <c r="A36" s="417" t="s">
        <v>846</v>
      </c>
      <c r="B36" s="417" t="s">
        <v>680</v>
      </c>
      <c r="C36" s="83">
        <v>46276</v>
      </c>
      <c r="D36" s="417" t="s">
        <v>690</v>
      </c>
      <c r="E36">
        <v>1379.1761166666699</v>
      </c>
      <c r="F36">
        <v>15</v>
      </c>
      <c r="G36">
        <v>91.945074444444401</v>
      </c>
      <c r="H36">
        <v>2.8265333333333298</v>
      </c>
      <c r="I36">
        <v>75.610808188982801</v>
      </c>
    </row>
    <row r="37" spans="1:9" x14ac:dyDescent="0.35">
      <c r="A37" s="417" t="s">
        <v>846</v>
      </c>
      <c r="B37" s="417" t="s">
        <v>680</v>
      </c>
      <c r="C37" s="83">
        <v>46276</v>
      </c>
      <c r="D37" s="417" t="s">
        <v>687</v>
      </c>
      <c r="E37">
        <v>1369.30248333333</v>
      </c>
      <c r="F37">
        <v>13</v>
      </c>
      <c r="G37">
        <v>105.33096025640999</v>
      </c>
      <c r="H37">
        <v>11.501849999999999</v>
      </c>
      <c r="I37">
        <v>43.1552970435501</v>
      </c>
    </row>
    <row r="38" spans="1:9" x14ac:dyDescent="0.35">
      <c r="A38" s="417" t="s">
        <v>846</v>
      </c>
      <c r="B38" s="417" t="s">
        <v>680</v>
      </c>
      <c r="C38" s="83">
        <v>46276</v>
      </c>
      <c r="D38" s="417" t="s">
        <v>686</v>
      </c>
      <c r="E38">
        <v>1382.83125</v>
      </c>
      <c r="F38">
        <v>11</v>
      </c>
      <c r="G38">
        <v>125.71193181818199</v>
      </c>
      <c r="H38">
        <v>11.8373333333333</v>
      </c>
      <c r="I38">
        <v>36.332518335541202</v>
      </c>
    </row>
    <row r="39" spans="1:9" x14ac:dyDescent="0.35">
      <c r="A39" s="417" t="s">
        <v>846</v>
      </c>
      <c r="B39" s="417" t="s">
        <v>680</v>
      </c>
      <c r="C39" s="83">
        <v>46276</v>
      </c>
      <c r="D39" s="417" t="s">
        <v>688</v>
      </c>
      <c r="E39">
        <v>1381.1845000000001</v>
      </c>
      <c r="F39">
        <v>10</v>
      </c>
      <c r="G39">
        <v>138.11845</v>
      </c>
      <c r="H39">
        <v>3.9766499999999998</v>
      </c>
      <c r="I39">
        <v>91.957759108229595</v>
      </c>
    </row>
    <row r="40" spans="1:9" x14ac:dyDescent="0.35">
      <c r="A40" s="417" t="s">
        <v>846</v>
      </c>
      <c r="B40" s="417" t="s">
        <v>691</v>
      </c>
      <c r="C40" s="83">
        <v>46276</v>
      </c>
      <c r="D40" s="417" t="s">
        <v>301</v>
      </c>
      <c r="E40">
        <v>1325.3796833333299</v>
      </c>
      <c r="F40">
        <v>93</v>
      </c>
      <c r="G40">
        <v>14.251394444444401</v>
      </c>
      <c r="H40">
        <v>3.87408333333333</v>
      </c>
      <c r="I40">
        <v>58.414815845605801</v>
      </c>
    </row>
    <row r="41" spans="1:9" x14ac:dyDescent="0.35">
      <c r="A41" s="417" t="s">
        <v>846</v>
      </c>
      <c r="B41" s="417" t="s">
        <v>691</v>
      </c>
      <c r="C41" s="83">
        <v>46276</v>
      </c>
      <c r="D41" s="417" t="s">
        <v>309</v>
      </c>
      <c r="E41">
        <v>533.31465000000003</v>
      </c>
      <c r="F41">
        <v>37</v>
      </c>
      <c r="G41">
        <v>14.4139094594595</v>
      </c>
      <c r="H41">
        <v>0</v>
      </c>
      <c r="I41">
        <v>27.9009679346395</v>
      </c>
    </row>
    <row r="42" spans="1:9" x14ac:dyDescent="0.35">
      <c r="A42" s="417" t="s">
        <v>846</v>
      </c>
      <c r="B42" s="417" t="s">
        <v>691</v>
      </c>
      <c r="C42" s="83">
        <v>46276</v>
      </c>
      <c r="D42" s="417" t="s">
        <v>305</v>
      </c>
      <c r="E42">
        <v>568.80906666666704</v>
      </c>
      <c r="F42">
        <v>31</v>
      </c>
      <c r="G42">
        <v>18.3486795698925</v>
      </c>
      <c r="H42">
        <v>0.7661</v>
      </c>
      <c r="I42">
        <v>26.218244870445499</v>
      </c>
    </row>
    <row r="43" spans="1:9" x14ac:dyDescent="0.35">
      <c r="A43" s="417" t="s">
        <v>846</v>
      </c>
      <c r="B43" s="417" t="s">
        <v>691</v>
      </c>
      <c r="C43" s="83">
        <v>46276</v>
      </c>
      <c r="D43" s="417" t="s">
        <v>303</v>
      </c>
      <c r="E43">
        <v>547.56740000000002</v>
      </c>
      <c r="F43">
        <v>27</v>
      </c>
      <c r="G43">
        <v>20.2802740740741</v>
      </c>
      <c r="H43">
        <v>0.26919999999999999</v>
      </c>
      <c r="I43">
        <v>57.493647153211299</v>
      </c>
    </row>
    <row r="44" spans="1:9" x14ac:dyDescent="0.35">
      <c r="A44" s="417" t="s">
        <v>846</v>
      </c>
      <c r="B44" s="417" t="s">
        <v>691</v>
      </c>
      <c r="C44" s="83">
        <v>46276</v>
      </c>
      <c r="D44" s="417" t="s">
        <v>342</v>
      </c>
      <c r="E44">
        <v>553.08181666666701</v>
      </c>
      <c r="F44">
        <v>23</v>
      </c>
      <c r="G44">
        <v>24.047035507246399</v>
      </c>
      <c r="H44">
        <v>46.918183333333303</v>
      </c>
      <c r="I44">
        <v>21.119047619047599</v>
      </c>
    </row>
    <row r="45" spans="1:9" x14ac:dyDescent="0.35">
      <c r="A45" s="417" t="s">
        <v>846</v>
      </c>
      <c r="B45" s="417" t="s">
        <v>691</v>
      </c>
      <c r="C45" s="83">
        <v>46276</v>
      </c>
      <c r="D45" s="417" t="s">
        <v>299</v>
      </c>
      <c r="E45">
        <v>1413.7472499999999</v>
      </c>
      <c r="F45">
        <v>21</v>
      </c>
      <c r="G45">
        <v>67.321297619047598</v>
      </c>
      <c r="H45">
        <v>8.4533333333333294E-2</v>
      </c>
      <c r="I45">
        <v>54.725115539420102</v>
      </c>
    </row>
    <row r="46" spans="1:9" x14ac:dyDescent="0.35">
      <c r="A46" s="417" t="s">
        <v>846</v>
      </c>
      <c r="B46" s="417" t="s">
        <v>691</v>
      </c>
      <c r="C46" s="83">
        <v>46276</v>
      </c>
      <c r="D46" s="417" t="s">
        <v>295</v>
      </c>
      <c r="E46">
        <v>1418.1370666666701</v>
      </c>
      <c r="F46">
        <v>15</v>
      </c>
      <c r="G46">
        <v>94.542471111111098</v>
      </c>
      <c r="H46">
        <v>7.6066666666666699E-2</v>
      </c>
      <c r="I46">
        <v>47.172963899655599</v>
      </c>
    </row>
    <row r="47" spans="1:9" x14ac:dyDescent="0.35">
      <c r="A47" s="417" t="s">
        <v>846</v>
      </c>
      <c r="B47" s="417" t="s">
        <v>691</v>
      </c>
      <c r="C47" s="83">
        <v>46276</v>
      </c>
      <c r="D47" s="417" t="s">
        <v>313</v>
      </c>
      <c r="E47">
        <v>1409.5042166666699</v>
      </c>
      <c r="F47">
        <v>10</v>
      </c>
      <c r="G47">
        <v>140.95042166666701</v>
      </c>
      <c r="H47">
        <v>0</v>
      </c>
      <c r="I47">
        <v>84.046164815882804</v>
      </c>
    </row>
    <row r="48" spans="1:9" x14ac:dyDescent="0.35">
      <c r="A48" s="417" t="s">
        <v>846</v>
      </c>
      <c r="B48" s="417" t="s">
        <v>691</v>
      </c>
      <c r="C48" s="83">
        <v>46276</v>
      </c>
      <c r="D48" s="417" t="s">
        <v>317</v>
      </c>
      <c r="E48">
        <v>1403.2219500000001</v>
      </c>
      <c r="F48">
        <v>10</v>
      </c>
      <c r="G48">
        <v>140.32219499999999</v>
      </c>
      <c r="H48">
        <v>7.06476666666667</v>
      </c>
      <c r="I48">
        <v>50.128094239837097</v>
      </c>
    </row>
    <row r="49" spans="1:9" x14ac:dyDescent="0.35">
      <c r="A49" s="417" t="s">
        <v>846</v>
      </c>
      <c r="B49" s="417" t="s">
        <v>691</v>
      </c>
      <c r="C49" s="83">
        <v>46276</v>
      </c>
      <c r="D49" s="417" t="s">
        <v>314</v>
      </c>
      <c r="E49">
        <v>1430.0059166666699</v>
      </c>
      <c r="F49">
        <v>5</v>
      </c>
      <c r="G49">
        <v>286.00118333333302</v>
      </c>
      <c r="H49">
        <v>0.100683333333333</v>
      </c>
      <c r="I49">
        <v>170.809540197529</v>
      </c>
    </row>
    <row r="50" spans="1:9" x14ac:dyDescent="0.35">
      <c r="A50" s="417" t="s">
        <v>846</v>
      </c>
      <c r="B50" s="417" t="s">
        <v>691</v>
      </c>
      <c r="C50" s="83">
        <v>46276</v>
      </c>
      <c r="D50" s="417" t="s">
        <v>310</v>
      </c>
      <c r="E50">
        <v>1433.8059333333299</v>
      </c>
      <c r="F50">
        <v>1</v>
      </c>
      <c r="G50">
        <v>1433.8059333333299</v>
      </c>
      <c r="H50">
        <v>0</v>
      </c>
      <c r="I50">
        <v>507.84069382890499</v>
      </c>
    </row>
    <row r="51" spans="1:9" x14ac:dyDescent="0.35">
      <c r="A51" s="417" t="s">
        <v>846</v>
      </c>
      <c r="B51" s="417" t="s">
        <v>691</v>
      </c>
      <c r="C51" s="83">
        <v>46276</v>
      </c>
      <c r="D51" s="417" t="s">
        <v>504</v>
      </c>
      <c r="E51">
        <v>1440</v>
      </c>
      <c r="F51">
        <v>1</v>
      </c>
      <c r="G51">
        <v>1440</v>
      </c>
      <c r="H51">
        <v>0</v>
      </c>
      <c r="I51">
        <v>21.324999999999999</v>
      </c>
    </row>
    <row r="52" spans="1:9" x14ac:dyDescent="0.35">
      <c r="A52" s="417" t="s">
        <v>846</v>
      </c>
      <c r="B52" s="417" t="s">
        <v>676</v>
      </c>
      <c r="C52" s="83">
        <v>46275</v>
      </c>
      <c r="D52" s="417" t="s">
        <v>677</v>
      </c>
      <c r="E52">
        <v>857.01779999999997</v>
      </c>
      <c r="F52">
        <v>302</v>
      </c>
      <c r="G52">
        <v>2.8378072847682101</v>
      </c>
      <c r="H52">
        <v>203.21968333333299</v>
      </c>
      <c r="I52">
        <v>15.4036111111112</v>
      </c>
    </row>
    <row r="53" spans="1:9" x14ac:dyDescent="0.35">
      <c r="A53" s="417" t="s">
        <v>846</v>
      </c>
      <c r="B53" s="417" t="s">
        <v>676</v>
      </c>
      <c r="C53" s="83">
        <v>46275</v>
      </c>
      <c r="D53" s="417" t="s">
        <v>678</v>
      </c>
      <c r="E53">
        <v>901.51753333333295</v>
      </c>
      <c r="F53">
        <v>49</v>
      </c>
      <c r="G53">
        <v>18.398317006802699</v>
      </c>
      <c r="H53">
        <v>71.227000000000004</v>
      </c>
      <c r="I53">
        <v>46.029717972330801</v>
      </c>
    </row>
    <row r="54" spans="1:9" x14ac:dyDescent="0.35">
      <c r="A54" s="417" t="s">
        <v>846</v>
      </c>
      <c r="B54" s="417" t="s">
        <v>676</v>
      </c>
      <c r="C54" s="83">
        <v>46275</v>
      </c>
      <c r="D54" s="417" t="s">
        <v>679</v>
      </c>
      <c r="E54">
        <v>934.80663333333302</v>
      </c>
      <c r="F54">
        <v>43</v>
      </c>
      <c r="G54">
        <v>21.7396891472868</v>
      </c>
      <c r="H54">
        <v>91.137100000000004</v>
      </c>
      <c r="I54">
        <v>42.753478596007902</v>
      </c>
    </row>
    <row r="55" spans="1:9" x14ac:dyDescent="0.35">
      <c r="A55" s="417" t="s">
        <v>846</v>
      </c>
      <c r="B55" s="417" t="s">
        <v>680</v>
      </c>
      <c r="C55" s="83">
        <v>46275</v>
      </c>
      <c r="D55" s="417" t="s">
        <v>683</v>
      </c>
      <c r="E55">
        <v>1332.6763166666699</v>
      </c>
      <c r="F55">
        <v>82</v>
      </c>
      <c r="G55">
        <v>16.252150203252</v>
      </c>
      <c r="H55">
        <v>10.5691333333333</v>
      </c>
      <c r="I55">
        <v>77.567593493455107</v>
      </c>
    </row>
    <row r="56" spans="1:9" x14ac:dyDescent="0.35">
      <c r="A56" s="417" t="s">
        <v>846</v>
      </c>
      <c r="B56" s="417" t="s">
        <v>680</v>
      </c>
      <c r="C56" s="83">
        <v>46275</v>
      </c>
      <c r="D56" s="417" t="s">
        <v>681</v>
      </c>
      <c r="E56">
        <v>1361.98968333333</v>
      </c>
      <c r="F56">
        <v>68</v>
      </c>
      <c r="G56">
        <v>20.029260049019602</v>
      </c>
      <c r="H56">
        <v>1.50128333333333</v>
      </c>
      <c r="I56">
        <v>91.196340165442294</v>
      </c>
    </row>
    <row r="57" spans="1:9" x14ac:dyDescent="0.35">
      <c r="A57" s="417" t="s">
        <v>846</v>
      </c>
      <c r="B57" s="417" t="s">
        <v>680</v>
      </c>
      <c r="C57" s="83">
        <v>46275</v>
      </c>
      <c r="D57" s="417" t="s">
        <v>684</v>
      </c>
      <c r="E57">
        <v>1414.1218166666699</v>
      </c>
      <c r="F57">
        <v>33</v>
      </c>
      <c r="G57">
        <v>42.852176262626301</v>
      </c>
      <c r="H57">
        <v>22.401733333333301</v>
      </c>
      <c r="I57">
        <v>81.1083794829038</v>
      </c>
    </row>
    <row r="58" spans="1:9" x14ac:dyDescent="0.35">
      <c r="A58" s="417" t="s">
        <v>846</v>
      </c>
      <c r="B58" s="417" t="s">
        <v>680</v>
      </c>
      <c r="C58" s="83">
        <v>46275</v>
      </c>
      <c r="D58" s="417" t="s">
        <v>689</v>
      </c>
      <c r="E58">
        <v>1412.35175</v>
      </c>
      <c r="F58">
        <v>29</v>
      </c>
      <c r="G58">
        <v>48.701784482758598</v>
      </c>
      <c r="H58">
        <v>0.34128333333333299</v>
      </c>
      <c r="I58">
        <v>91.512655657539597</v>
      </c>
    </row>
    <row r="59" spans="1:9" x14ac:dyDescent="0.35">
      <c r="A59" s="417" t="s">
        <v>846</v>
      </c>
      <c r="B59" s="417" t="s">
        <v>680</v>
      </c>
      <c r="C59" s="83">
        <v>46275</v>
      </c>
      <c r="D59" s="417" t="s">
        <v>688</v>
      </c>
      <c r="E59">
        <v>1429.8776333333301</v>
      </c>
      <c r="F59">
        <v>15</v>
      </c>
      <c r="G59">
        <v>95.325175555555603</v>
      </c>
      <c r="H59">
        <v>3.6589999999999998</v>
      </c>
      <c r="I59">
        <v>89.998044722861493</v>
      </c>
    </row>
    <row r="60" spans="1:9" x14ac:dyDescent="0.35">
      <c r="A60" s="417" t="s">
        <v>846</v>
      </c>
      <c r="B60" s="417" t="s">
        <v>680</v>
      </c>
      <c r="C60" s="83">
        <v>46275</v>
      </c>
      <c r="D60" s="417" t="s">
        <v>690</v>
      </c>
      <c r="E60">
        <v>1421.4513666666701</v>
      </c>
      <c r="F60">
        <v>14</v>
      </c>
      <c r="G60">
        <v>101.53224047619</v>
      </c>
      <c r="H60">
        <v>3.9587333333333299</v>
      </c>
      <c r="I60">
        <v>75.833834484126299</v>
      </c>
    </row>
    <row r="61" spans="1:9" x14ac:dyDescent="0.35">
      <c r="A61" s="417" t="s">
        <v>846</v>
      </c>
      <c r="B61" s="417" t="s">
        <v>680</v>
      </c>
      <c r="C61" s="83">
        <v>46275</v>
      </c>
      <c r="D61" s="417" t="s">
        <v>686</v>
      </c>
      <c r="E61">
        <v>1383.20921666667</v>
      </c>
      <c r="F61">
        <v>11</v>
      </c>
      <c r="G61">
        <v>125.746292424242</v>
      </c>
      <c r="H61">
        <v>9.1653333333333293</v>
      </c>
      <c r="I61">
        <v>35.0480407732244</v>
      </c>
    </row>
    <row r="62" spans="1:9" x14ac:dyDescent="0.35">
      <c r="A62" s="417" t="s">
        <v>846</v>
      </c>
      <c r="B62" s="417" t="s">
        <v>680</v>
      </c>
      <c r="C62" s="83">
        <v>46275</v>
      </c>
      <c r="D62" s="417" t="s">
        <v>682</v>
      </c>
      <c r="E62">
        <v>1419.6732833333299</v>
      </c>
      <c r="F62">
        <v>11</v>
      </c>
      <c r="G62">
        <v>129.061207575758</v>
      </c>
      <c r="H62">
        <v>16.663016666666699</v>
      </c>
      <c r="I62">
        <v>79.3536802130333</v>
      </c>
    </row>
    <row r="63" spans="1:9" x14ac:dyDescent="0.35">
      <c r="A63" s="417" t="s">
        <v>846</v>
      </c>
      <c r="B63" s="417" t="s">
        <v>680</v>
      </c>
      <c r="C63" s="83">
        <v>46275</v>
      </c>
      <c r="D63" s="417" t="s">
        <v>687</v>
      </c>
      <c r="E63">
        <v>1407.1726166666699</v>
      </c>
      <c r="F63">
        <v>9</v>
      </c>
      <c r="G63">
        <v>156.352512962963</v>
      </c>
      <c r="H63">
        <v>11.8267666666667</v>
      </c>
      <c r="I63">
        <v>38.785434710495203</v>
      </c>
    </row>
    <row r="64" spans="1:9" x14ac:dyDescent="0.35">
      <c r="A64" s="417" t="s">
        <v>846</v>
      </c>
      <c r="B64" s="417" t="s">
        <v>680</v>
      </c>
      <c r="C64" s="83">
        <v>46275</v>
      </c>
      <c r="D64" s="417" t="s">
        <v>685</v>
      </c>
      <c r="E64">
        <v>1432.0699500000001</v>
      </c>
      <c r="F64">
        <v>7</v>
      </c>
      <c r="G64">
        <v>204.58142142857099</v>
      </c>
      <c r="H64">
        <v>0.16650000000000001</v>
      </c>
      <c r="I64">
        <v>90.050005055015305</v>
      </c>
    </row>
    <row r="65" spans="1:9" x14ac:dyDescent="0.35">
      <c r="A65" s="417" t="s">
        <v>846</v>
      </c>
      <c r="B65" s="417" t="s">
        <v>691</v>
      </c>
      <c r="C65" s="83">
        <v>46275</v>
      </c>
      <c r="D65" s="417" t="s">
        <v>305</v>
      </c>
      <c r="E65">
        <v>849.08564999999999</v>
      </c>
      <c r="F65">
        <v>90</v>
      </c>
      <c r="G65">
        <v>9.4342849999999991</v>
      </c>
      <c r="H65">
        <v>1.90638333333333</v>
      </c>
      <c r="I65">
        <v>17.0015353959263</v>
      </c>
    </row>
    <row r="66" spans="1:9" x14ac:dyDescent="0.35">
      <c r="A66" s="417" t="s">
        <v>846</v>
      </c>
      <c r="B66" s="417" t="s">
        <v>691</v>
      </c>
      <c r="C66" s="83">
        <v>46275</v>
      </c>
      <c r="D66" s="417" t="s">
        <v>309</v>
      </c>
      <c r="E66">
        <v>788.410216666667</v>
      </c>
      <c r="F66">
        <v>58</v>
      </c>
      <c r="G66">
        <v>13.5932795977011</v>
      </c>
      <c r="H66">
        <v>0</v>
      </c>
      <c r="I66">
        <v>30.931521410787202</v>
      </c>
    </row>
    <row r="67" spans="1:9" x14ac:dyDescent="0.35">
      <c r="A67" s="417" t="s">
        <v>846</v>
      </c>
      <c r="B67" s="417" t="s">
        <v>691</v>
      </c>
      <c r="C67" s="83">
        <v>46275</v>
      </c>
      <c r="D67" s="417" t="s">
        <v>303</v>
      </c>
      <c r="E67">
        <v>577.17833333333294</v>
      </c>
      <c r="F67">
        <v>43</v>
      </c>
      <c r="G67">
        <v>13.422751937984501</v>
      </c>
      <c r="H67">
        <v>0.22771666666666701</v>
      </c>
      <c r="I67">
        <v>38.391551623955998</v>
      </c>
    </row>
    <row r="68" spans="1:9" x14ac:dyDescent="0.35">
      <c r="A68" s="417" t="s">
        <v>846</v>
      </c>
      <c r="B68" s="417" t="s">
        <v>691</v>
      </c>
      <c r="C68" s="83">
        <v>46275</v>
      </c>
      <c r="D68" s="417" t="s">
        <v>301</v>
      </c>
      <c r="E68">
        <v>911.94534999999996</v>
      </c>
      <c r="F68">
        <v>29</v>
      </c>
      <c r="G68">
        <v>31.446391379310299</v>
      </c>
      <c r="H68">
        <v>0.31235000000000002</v>
      </c>
      <c r="I68">
        <v>48.225247985013503</v>
      </c>
    </row>
    <row r="69" spans="1:9" x14ac:dyDescent="0.35">
      <c r="A69" s="417" t="s">
        <v>846</v>
      </c>
      <c r="B69" s="417" t="s">
        <v>691</v>
      </c>
      <c r="C69" s="83">
        <v>46275</v>
      </c>
      <c r="D69" s="417" t="s">
        <v>295</v>
      </c>
      <c r="E69">
        <v>1083.2449666666701</v>
      </c>
      <c r="F69">
        <v>27</v>
      </c>
      <c r="G69">
        <v>40.120183950617303</v>
      </c>
      <c r="H69">
        <v>0.21918333333333301</v>
      </c>
      <c r="I69">
        <v>49.969348174415401</v>
      </c>
    </row>
    <row r="70" spans="1:9" x14ac:dyDescent="0.35">
      <c r="A70" s="417" t="s">
        <v>846</v>
      </c>
      <c r="B70" s="417" t="s">
        <v>691</v>
      </c>
      <c r="C70" s="83">
        <v>46275</v>
      </c>
      <c r="D70" s="417" t="s">
        <v>342</v>
      </c>
      <c r="E70">
        <v>319.15988333333303</v>
      </c>
      <c r="F70">
        <v>23</v>
      </c>
      <c r="G70">
        <v>13.876516666666699</v>
      </c>
      <c r="H70">
        <v>36.304966666666701</v>
      </c>
      <c r="I70">
        <v>43.3333333333334</v>
      </c>
    </row>
    <row r="71" spans="1:9" x14ac:dyDescent="0.35">
      <c r="A71" s="417" t="s">
        <v>846</v>
      </c>
      <c r="B71" s="417" t="s">
        <v>691</v>
      </c>
      <c r="C71" s="83">
        <v>46275</v>
      </c>
      <c r="D71" s="417" t="s">
        <v>299</v>
      </c>
      <c r="E71">
        <v>1424.4278833333301</v>
      </c>
      <c r="F71">
        <v>22</v>
      </c>
      <c r="G71">
        <v>64.746721969697006</v>
      </c>
      <c r="H71">
        <v>0.11373333333333301</v>
      </c>
      <c r="I71">
        <v>27.561022443393998</v>
      </c>
    </row>
    <row r="72" spans="1:9" x14ac:dyDescent="0.35">
      <c r="A72" s="417" t="s">
        <v>846</v>
      </c>
      <c r="B72" s="417" t="s">
        <v>691</v>
      </c>
      <c r="C72" s="83">
        <v>46275</v>
      </c>
      <c r="D72" s="417" t="s">
        <v>314</v>
      </c>
      <c r="E72">
        <v>1380.9721666666701</v>
      </c>
      <c r="F72">
        <v>14</v>
      </c>
      <c r="G72">
        <v>98.640869047619006</v>
      </c>
      <c r="H72">
        <v>0.32745000000000002</v>
      </c>
      <c r="I72">
        <v>644.190019199684</v>
      </c>
    </row>
    <row r="73" spans="1:9" x14ac:dyDescent="0.35">
      <c r="A73" s="417" t="s">
        <v>846</v>
      </c>
      <c r="B73" s="417" t="s">
        <v>691</v>
      </c>
      <c r="C73" s="83">
        <v>46275</v>
      </c>
      <c r="D73" s="417" t="s">
        <v>313</v>
      </c>
      <c r="E73">
        <v>779.42923333333295</v>
      </c>
      <c r="F73">
        <v>11</v>
      </c>
      <c r="G73">
        <v>70.857203030302998</v>
      </c>
      <c r="H73">
        <v>0</v>
      </c>
      <c r="I73">
        <v>56.146292436916497</v>
      </c>
    </row>
    <row r="74" spans="1:9" x14ac:dyDescent="0.35">
      <c r="A74" s="417" t="s">
        <v>846</v>
      </c>
      <c r="B74" s="417" t="s">
        <v>691</v>
      </c>
      <c r="C74" s="83">
        <v>46275</v>
      </c>
      <c r="D74" s="417" t="s">
        <v>310</v>
      </c>
      <c r="E74">
        <v>1066.04</v>
      </c>
      <c r="F74">
        <v>4</v>
      </c>
      <c r="G74">
        <v>266.51</v>
      </c>
      <c r="H74">
        <v>0</v>
      </c>
      <c r="I74">
        <v>732.01391527138799</v>
      </c>
    </row>
    <row r="75" spans="1:9" x14ac:dyDescent="0.35">
      <c r="A75" s="417" t="s">
        <v>846</v>
      </c>
      <c r="B75" s="417" t="s">
        <v>691</v>
      </c>
      <c r="C75" s="83">
        <v>46275</v>
      </c>
      <c r="D75" s="417" t="s">
        <v>317</v>
      </c>
      <c r="E75">
        <v>1320.3939</v>
      </c>
      <c r="F75">
        <v>4</v>
      </c>
      <c r="G75">
        <v>330.09847500000001</v>
      </c>
      <c r="H75">
        <v>4.8890166666666701</v>
      </c>
      <c r="I75">
        <v>34.2681546927559</v>
      </c>
    </row>
    <row r="76" spans="1:9" x14ac:dyDescent="0.35">
      <c r="A76" s="417" t="s">
        <v>846</v>
      </c>
      <c r="B76" s="417" t="s">
        <v>691</v>
      </c>
      <c r="C76" s="83">
        <v>46275</v>
      </c>
      <c r="D76" s="417" t="s">
        <v>504</v>
      </c>
      <c r="E76">
        <v>960</v>
      </c>
      <c r="F76">
        <v>1</v>
      </c>
      <c r="G76">
        <v>960</v>
      </c>
      <c r="H76">
        <v>0</v>
      </c>
      <c r="I76">
        <v>16.445601851851801</v>
      </c>
    </row>
    <row r="77" spans="1:9" x14ac:dyDescent="0.35">
      <c r="A77" s="417" t="s">
        <v>846</v>
      </c>
      <c r="B77" s="417" t="s">
        <v>676</v>
      </c>
      <c r="C77" s="83">
        <v>46274</v>
      </c>
      <c r="D77" s="417" t="s">
        <v>677</v>
      </c>
      <c r="E77">
        <v>1259.85296666667</v>
      </c>
      <c r="F77">
        <v>224</v>
      </c>
      <c r="G77">
        <v>5.6243436011904802</v>
      </c>
      <c r="H77">
        <v>136.30698333333299</v>
      </c>
      <c r="I77">
        <v>37.2505555555556</v>
      </c>
    </row>
    <row r="78" spans="1:9" x14ac:dyDescent="0.35">
      <c r="A78" s="417" t="s">
        <v>846</v>
      </c>
      <c r="B78" s="417" t="s">
        <v>676</v>
      </c>
      <c r="C78" s="83">
        <v>46274</v>
      </c>
      <c r="D78" s="417" t="s">
        <v>678</v>
      </c>
      <c r="E78">
        <v>1334.9255499999999</v>
      </c>
      <c r="F78">
        <v>40</v>
      </c>
      <c r="G78">
        <v>33.373138750000003</v>
      </c>
      <c r="H78">
        <v>24.6652666666667</v>
      </c>
      <c r="I78">
        <v>94.486271230943501</v>
      </c>
    </row>
    <row r="79" spans="1:9" x14ac:dyDescent="0.35">
      <c r="A79" s="417" t="s">
        <v>846</v>
      </c>
      <c r="B79" s="417" t="s">
        <v>676</v>
      </c>
      <c r="C79" s="83">
        <v>46274</v>
      </c>
      <c r="D79" s="417" t="s">
        <v>679</v>
      </c>
      <c r="E79">
        <v>1246.5678333333301</v>
      </c>
      <c r="F79">
        <v>27</v>
      </c>
      <c r="G79">
        <v>46.169179012345701</v>
      </c>
      <c r="H79">
        <v>36.506883333333299</v>
      </c>
      <c r="I79">
        <v>81.523152592099393</v>
      </c>
    </row>
    <row r="80" spans="1:9" x14ac:dyDescent="0.35">
      <c r="A80" s="417" t="s">
        <v>846</v>
      </c>
      <c r="B80" s="417" t="s">
        <v>680</v>
      </c>
      <c r="C80" s="83">
        <v>46274</v>
      </c>
      <c r="D80" s="417" t="s">
        <v>681</v>
      </c>
      <c r="E80">
        <v>1406.07566666667</v>
      </c>
      <c r="F80">
        <v>36</v>
      </c>
      <c r="G80">
        <v>39.057657407407397</v>
      </c>
      <c r="H80">
        <v>2.4842166666666698</v>
      </c>
      <c r="I80">
        <v>93.130848196701507</v>
      </c>
    </row>
    <row r="81" spans="1:9" x14ac:dyDescent="0.35">
      <c r="A81" s="417" t="s">
        <v>846</v>
      </c>
      <c r="B81" s="417" t="s">
        <v>680</v>
      </c>
      <c r="C81" s="83">
        <v>46274</v>
      </c>
      <c r="D81" s="417" t="s">
        <v>683</v>
      </c>
      <c r="E81">
        <v>1407.5423333333299</v>
      </c>
      <c r="F81">
        <v>30</v>
      </c>
      <c r="G81">
        <v>46.918077777777803</v>
      </c>
      <c r="H81">
        <v>1.6748666666666701</v>
      </c>
      <c r="I81">
        <v>82.716680740967007</v>
      </c>
    </row>
    <row r="82" spans="1:9" x14ac:dyDescent="0.35">
      <c r="A82" s="417" t="s">
        <v>846</v>
      </c>
      <c r="B82" s="417" t="s">
        <v>680</v>
      </c>
      <c r="C82" s="83">
        <v>46274</v>
      </c>
      <c r="D82" s="417" t="s">
        <v>682</v>
      </c>
      <c r="E82">
        <v>1277.0690999999999</v>
      </c>
      <c r="F82">
        <v>20</v>
      </c>
      <c r="G82">
        <v>63.853454999999997</v>
      </c>
      <c r="H82">
        <v>12.6642333333333</v>
      </c>
      <c r="I82">
        <v>81.5531524642671</v>
      </c>
    </row>
    <row r="83" spans="1:9" x14ac:dyDescent="0.35">
      <c r="A83" s="417" t="s">
        <v>846</v>
      </c>
      <c r="B83" s="417" t="s">
        <v>680</v>
      </c>
      <c r="C83" s="83">
        <v>46274</v>
      </c>
      <c r="D83" s="417" t="s">
        <v>689</v>
      </c>
      <c r="E83">
        <v>1407.53023333333</v>
      </c>
      <c r="F83">
        <v>16</v>
      </c>
      <c r="G83">
        <v>87.970639583333394</v>
      </c>
      <c r="H83">
        <v>0</v>
      </c>
      <c r="I83">
        <v>90.214833489981004</v>
      </c>
    </row>
    <row r="84" spans="1:9" x14ac:dyDescent="0.35">
      <c r="A84" s="417" t="s">
        <v>846</v>
      </c>
      <c r="B84" s="417" t="s">
        <v>680</v>
      </c>
      <c r="C84" s="83">
        <v>46274</v>
      </c>
      <c r="D84" s="417" t="s">
        <v>684</v>
      </c>
      <c r="E84">
        <v>1413.4798333333299</v>
      </c>
      <c r="F84">
        <v>14</v>
      </c>
      <c r="G84">
        <v>100.962845238095</v>
      </c>
      <c r="H84">
        <v>21.665900000000001</v>
      </c>
      <c r="I84">
        <v>83.764183286869098</v>
      </c>
    </row>
    <row r="85" spans="1:9" x14ac:dyDescent="0.35">
      <c r="A85" s="417" t="s">
        <v>846</v>
      </c>
      <c r="B85" s="417" t="s">
        <v>680</v>
      </c>
      <c r="C85" s="83">
        <v>46274</v>
      </c>
      <c r="D85" s="417" t="s">
        <v>686</v>
      </c>
      <c r="E85">
        <v>1406.3413166666701</v>
      </c>
      <c r="F85">
        <v>11</v>
      </c>
      <c r="G85">
        <v>127.84921060606101</v>
      </c>
      <c r="H85">
        <v>5.6555833333333299</v>
      </c>
      <c r="I85">
        <v>34.034878445655799</v>
      </c>
    </row>
    <row r="86" spans="1:9" x14ac:dyDescent="0.35">
      <c r="A86" s="417" t="s">
        <v>846</v>
      </c>
      <c r="B86" s="417" t="s">
        <v>680</v>
      </c>
      <c r="C86" s="83">
        <v>46274</v>
      </c>
      <c r="D86" s="417" t="s">
        <v>688</v>
      </c>
      <c r="E86">
        <v>1422.18885</v>
      </c>
      <c r="F86">
        <v>11</v>
      </c>
      <c r="G86">
        <v>129.28989545454499</v>
      </c>
      <c r="H86">
        <v>2.1591999999999998</v>
      </c>
      <c r="I86">
        <v>92.748489809766895</v>
      </c>
    </row>
    <row r="87" spans="1:9" x14ac:dyDescent="0.35">
      <c r="A87" s="417" t="s">
        <v>846</v>
      </c>
      <c r="B87" s="417" t="s">
        <v>680</v>
      </c>
      <c r="C87" s="83">
        <v>46274</v>
      </c>
      <c r="D87" s="417" t="s">
        <v>690</v>
      </c>
      <c r="E87">
        <v>1433.51215</v>
      </c>
      <c r="F87">
        <v>10</v>
      </c>
      <c r="G87">
        <v>143.351215</v>
      </c>
      <c r="H87">
        <v>2.66028333333333</v>
      </c>
      <c r="I87">
        <v>81.249295471493895</v>
      </c>
    </row>
    <row r="88" spans="1:9" x14ac:dyDescent="0.35">
      <c r="A88" s="417" t="s">
        <v>846</v>
      </c>
      <c r="B88" s="417" t="s">
        <v>680</v>
      </c>
      <c r="C88" s="83">
        <v>46274</v>
      </c>
      <c r="D88" s="417" t="s">
        <v>685</v>
      </c>
      <c r="E88">
        <v>1370.8178166666701</v>
      </c>
      <c r="F88">
        <v>10</v>
      </c>
      <c r="G88">
        <v>137.08178166666701</v>
      </c>
      <c r="H88">
        <v>3.1672333333333298</v>
      </c>
      <c r="I88">
        <v>85.107920437470796</v>
      </c>
    </row>
    <row r="89" spans="1:9" x14ac:dyDescent="0.35">
      <c r="A89" s="417" t="s">
        <v>846</v>
      </c>
      <c r="B89" s="417" t="s">
        <v>680</v>
      </c>
      <c r="C89" s="83">
        <v>46274</v>
      </c>
      <c r="D89" s="417" t="s">
        <v>687</v>
      </c>
      <c r="E89">
        <v>1424.1752166666699</v>
      </c>
      <c r="F89">
        <v>7</v>
      </c>
      <c r="G89">
        <v>203.45360238095199</v>
      </c>
      <c r="H89">
        <v>6.3303000000000003</v>
      </c>
      <c r="I89">
        <v>36.030201572729901</v>
      </c>
    </row>
    <row r="90" spans="1:9" x14ac:dyDescent="0.35">
      <c r="A90" s="417" t="s">
        <v>846</v>
      </c>
      <c r="B90" s="417" t="s">
        <v>691</v>
      </c>
      <c r="C90" s="83">
        <v>46274</v>
      </c>
      <c r="D90" s="417" t="s">
        <v>305</v>
      </c>
      <c r="E90">
        <v>999.01729999999998</v>
      </c>
      <c r="F90">
        <v>464</v>
      </c>
      <c r="G90">
        <v>2.1530545258620699</v>
      </c>
      <c r="H90">
        <v>19.592216666666701</v>
      </c>
      <c r="I90">
        <v>28.564414515879001</v>
      </c>
    </row>
    <row r="91" spans="1:9" x14ac:dyDescent="0.35">
      <c r="A91" s="417" t="s">
        <v>846</v>
      </c>
      <c r="B91" s="417" t="s">
        <v>691</v>
      </c>
      <c r="C91" s="83">
        <v>46274</v>
      </c>
      <c r="D91" s="417" t="s">
        <v>309</v>
      </c>
      <c r="E91">
        <v>1219.2953500000001</v>
      </c>
      <c r="F91">
        <v>195</v>
      </c>
      <c r="G91">
        <v>6.2527966666666703</v>
      </c>
      <c r="H91">
        <v>0</v>
      </c>
      <c r="I91">
        <v>57.429556507999301</v>
      </c>
    </row>
    <row r="92" spans="1:9" x14ac:dyDescent="0.35">
      <c r="A92" s="417" t="s">
        <v>846</v>
      </c>
      <c r="B92" s="417" t="s">
        <v>691</v>
      </c>
      <c r="C92" s="83">
        <v>46274</v>
      </c>
      <c r="D92" s="417" t="s">
        <v>342</v>
      </c>
      <c r="E92">
        <v>1330.67738333333</v>
      </c>
      <c r="F92">
        <v>72</v>
      </c>
      <c r="G92">
        <v>18.4816303240741</v>
      </c>
      <c r="H92">
        <v>90.302899999999994</v>
      </c>
      <c r="I92">
        <v>37.668650793650798</v>
      </c>
    </row>
    <row r="93" spans="1:9" x14ac:dyDescent="0.35">
      <c r="A93" s="417" t="s">
        <v>846</v>
      </c>
      <c r="B93" s="417" t="s">
        <v>691</v>
      </c>
      <c r="C93" s="83">
        <v>46274</v>
      </c>
      <c r="D93" s="417" t="s">
        <v>303</v>
      </c>
      <c r="E93">
        <v>1376.5790833333299</v>
      </c>
      <c r="F93">
        <v>70</v>
      </c>
      <c r="G93">
        <v>19.6654154761905</v>
      </c>
      <c r="H93">
        <v>0.28643333333333298</v>
      </c>
      <c r="I93">
        <v>57.628751669496701</v>
      </c>
    </row>
    <row r="94" spans="1:9" x14ac:dyDescent="0.35">
      <c r="A94" s="417" t="s">
        <v>846</v>
      </c>
      <c r="B94" s="417" t="s">
        <v>691</v>
      </c>
      <c r="C94" s="83">
        <v>46274</v>
      </c>
      <c r="D94" s="417" t="s">
        <v>310</v>
      </c>
      <c r="E94">
        <v>1201.9311499999999</v>
      </c>
      <c r="F94">
        <v>69</v>
      </c>
      <c r="G94">
        <v>17.419292028985499</v>
      </c>
      <c r="H94">
        <v>1.4486000000000001</v>
      </c>
      <c r="I94">
        <v>63.826334447111101</v>
      </c>
    </row>
    <row r="95" spans="1:9" x14ac:dyDescent="0.35">
      <c r="A95" s="417" t="s">
        <v>846</v>
      </c>
      <c r="B95" s="417" t="s">
        <v>691</v>
      </c>
      <c r="C95" s="83">
        <v>46274</v>
      </c>
      <c r="D95" s="417" t="s">
        <v>295</v>
      </c>
      <c r="E95">
        <v>1337.6927000000001</v>
      </c>
      <c r="F95">
        <v>62</v>
      </c>
      <c r="G95">
        <v>21.575688709677401</v>
      </c>
      <c r="H95">
        <v>0.345216666666667</v>
      </c>
      <c r="I95">
        <v>74.894199179150107</v>
      </c>
    </row>
    <row r="96" spans="1:9" x14ac:dyDescent="0.35">
      <c r="A96" s="417" t="s">
        <v>846</v>
      </c>
      <c r="B96" s="417" t="s">
        <v>691</v>
      </c>
      <c r="C96" s="83">
        <v>46274</v>
      </c>
      <c r="D96" s="417" t="s">
        <v>299</v>
      </c>
      <c r="E96">
        <v>1353.46595</v>
      </c>
      <c r="F96">
        <v>54</v>
      </c>
      <c r="G96">
        <v>25.064184259259299</v>
      </c>
      <c r="H96">
        <v>0.82096666666666696</v>
      </c>
      <c r="I96">
        <v>80.555037513479704</v>
      </c>
    </row>
    <row r="97" spans="1:9" x14ac:dyDescent="0.35">
      <c r="A97" s="417" t="s">
        <v>846</v>
      </c>
      <c r="B97" s="417" t="s">
        <v>691</v>
      </c>
      <c r="C97" s="83">
        <v>46274</v>
      </c>
      <c r="D97" s="417" t="s">
        <v>301</v>
      </c>
      <c r="E97">
        <v>1356.26385</v>
      </c>
      <c r="F97">
        <v>46</v>
      </c>
      <c r="G97">
        <v>29.483996739130401</v>
      </c>
      <c r="H97">
        <v>1.6105</v>
      </c>
      <c r="I97">
        <v>64.336847866346602</v>
      </c>
    </row>
    <row r="98" spans="1:9" x14ac:dyDescent="0.35">
      <c r="A98" s="417" t="s">
        <v>846</v>
      </c>
      <c r="B98" s="417" t="s">
        <v>691</v>
      </c>
      <c r="C98" s="83">
        <v>46274</v>
      </c>
      <c r="D98" s="417" t="s">
        <v>313</v>
      </c>
      <c r="E98">
        <v>1385.5287333333299</v>
      </c>
      <c r="F98">
        <v>20</v>
      </c>
      <c r="G98">
        <v>69.276436666666697</v>
      </c>
      <c r="H98">
        <v>8.4166666666666695E-3</v>
      </c>
      <c r="I98">
        <v>77.748306608991598</v>
      </c>
    </row>
    <row r="99" spans="1:9" x14ac:dyDescent="0.35">
      <c r="A99" s="417" t="s">
        <v>846</v>
      </c>
      <c r="B99" s="417" t="s">
        <v>691</v>
      </c>
      <c r="C99" s="83">
        <v>46274</v>
      </c>
      <c r="D99" s="417" t="s">
        <v>314</v>
      </c>
      <c r="E99">
        <v>1399.6956333333301</v>
      </c>
      <c r="F99">
        <v>17</v>
      </c>
      <c r="G99">
        <v>82.335037254901906</v>
      </c>
      <c r="H99">
        <v>0.41543333333333299</v>
      </c>
      <c r="I99">
        <v>57.680475754279101</v>
      </c>
    </row>
    <row r="100" spans="1:9" x14ac:dyDescent="0.35">
      <c r="A100" s="417" t="s">
        <v>846</v>
      </c>
      <c r="B100" s="417" t="s">
        <v>691</v>
      </c>
      <c r="C100" s="83">
        <v>46274</v>
      </c>
      <c r="D100" s="417" t="s">
        <v>504</v>
      </c>
      <c r="E100">
        <v>1440</v>
      </c>
      <c r="F100">
        <v>1</v>
      </c>
      <c r="G100">
        <v>1440</v>
      </c>
      <c r="H100">
        <v>0</v>
      </c>
      <c r="I100">
        <v>35.563425925925898</v>
      </c>
    </row>
    <row r="101" spans="1:9" x14ac:dyDescent="0.35">
      <c r="A101" s="417" t="s">
        <v>846</v>
      </c>
      <c r="B101" s="417" t="s">
        <v>691</v>
      </c>
      <c r="C101" s="83">
        <v>46274</v>
      </c>
      <c r="D101" s="417" t="s">
        <v>317</v>
      </c>
      <c r="E101">
        <v>1438.2963666666701</v>
      </c>
      <c r="F101">
        <v>1</v>
      </c>
      <c r="G101">
        <v>1438.2963666666701</v>
      </c>
      <c r="H101">
        <v>0</v>
      </c>
      <c r="I101">
        <v>49.558631761822099</v>
      </c>
    </row>
    <row r="102" spans="1:9" x14ac:dyDescent="0.35">
      <c r="A102" s="417" t="s">
        <v>846</v>
      </c>
      <c r="B102" s="417" t="s">
        <v>676</v>
      </c>
      <c r="C102" s="83">
        <v>46273</v>
      </c>
      <c r="D102" s="417" t="s">
        <v>677</v>
      </c>
      <c r="E102">
        <v>1150.48615</v>
      </c>
      <c r="F102">
        <v>232</v>
      </c>
      <c r="G102">
        <v>4.9589920258620701</v>
      </c>
      <c r="H102">
        <v>186.66954999999999</v>
      </c>
      <c r="I102">
        <v>32.318333333333399</v>
      </c>
    </row>
    <row r="103" spans="1:9" x14ac:dyDescent="0.35">
      <c r="A103" s="417" t="s">
        <v>846</v>
      </c>
      <c r="B103" s="417" t="s">
        <v>676</v>
      </c>
      <c r="C103" s="83">
        <v>46273</v>
      </c>
      <c r="D103" s="417" t="s">
        <v>678</v>
      </c>
      <c r="E103">
        <v>1364.9445499999999</v>
      </c>
      <c r="F103">
        <v>38</v>
      </c>
      <c r="G103">
        <v>35.919593421052603</v>
      </c>
      <c r="H103">
        <v>27.516666666666701</v>
      </c>
      <c r="I103">
        <v>89.174991885359304</v>
      </c>
    </row>
    <row r="104" spans="1:9" x14ac:dyDescent="0.35">
      <c r="A104" s="417" t="s">
        <v>846</v>
      </c>
      <c r="B104" s="417" t="s">
        <v>676</v>
      </c>
      <c r="C104" s="83">
        <v>46273</v>
      </c>
      <c r="D104" s="417" t="s">
        <v>679</v>
      </c>
      <c r="E104">
        <v>1202.42671666667</v>
      </c>
      <c r="F104">
        <v>35</v>
      </c>
      <c r="G104">
        <v>34.355049047618998</v>
      </c>
      <c r="H104">
        <v>32.988799999999998</v>
      </c>
      <c r="I104">
        <v>77.728480689018198</v>
      </c>
    </row>
    <row r="105" spans="1:9" x14ac:dyDescent="0.35">
      <c r="A105" s="417" t="s">
        <v>846</v>
      </c>
      <c r="B105" s="417" t="s">
        <v>680</v>
      </c>
      <c r="C105" s="83">
        <v>46273</v>
      </c>
      <c r="D105" s="417" t="s">
        <v>681</v>
      </c>
      <c r="E105">
        <v>1405.36475</v>
      </c>
      <c r="F105">
        <v>43</v>
      </c>
      <c r="G105">
        <v>32.682901162790699</v>
      </c>
      <c r="H105">
        <v>0.8407</v>
      </c>
      <c r="I105">
        <v>89.870555074323093</v>
      </c>
    </row>
    <row r="106" spans="1:9" x14ac:dyDescent="0.35">
      <c r="A106" s="417" t="s">
        <v>846</v>
      </c>
      <c r="B106" s="417" t="s">
        <v>680</v>
      </c>
      <c r="C106" s="83">
        <v>46273</v>
      </c>
      <c r="D106" s="417" t="s">
        <v>683</v>
      </c>
      <c r="E106">
        <v>1386.2889333333301</v>
      </c>
      <c r="F106">
        <v>37</v>
      </c>
      <c r="G106">
        <v>37.467268468468497</v>
      </c>
      <c r="H106">
        <v>7.6668166666666702</v>
      </c>
      <c r="I106">
        <v>76.091260129754303</v>
      </c>
    </row>
    <row r="107" spans="1:9" x14ac:dyDescent="0.35">
      <c r="A107" s="417" t="s">
        <v>846</v>
      </c>
      <c r="B107" s="417" t="s">
        <v>680</v>
      </c>
      <c r="C107" s="83">
        <v>46273</v>
      </c>
      <c r="D107" s="417" t="s">
        <v>684</v>
      </c>
      <c r="E107">
        <v>1379.16701666667</v>
      </c>
      <c r="F107">
        <v>32</v>
      </c>
      <c r="G107">
        <v>43.0989692708334</v>
      </c>
      <c r="H107">
        <v>37.013483333333298</v>
      </c>
      <c r="I107">
        <v>74.424553570569202</v>
      </c>
    </row>
    <row r="108" spans="1:9" x14ac:dyDescent="0.35">
      <c r="A108" s="417" t="s">
        <v>846</v>
      </c>
      <c r="B108" s="417" t="s">
        <v>680</v>
      </c>
      <c r="C108" s="83">
        <v>46273</v>
      </c>
      <c r="D108" s="417" t="s">
        <v>690</v>
      </c>
      <c r="E108">
        <v>1399.9833000000001</v>
      </c>
      <c r="F108">
        <v>23</v>
      </c>
      <c r="G108">
        <v>60.8688391304348</v>
      </c>
      <c r="H108">
        <v>15.1666833333333</v>
      </c>
      <c r="I108">
        <v>73.564357726770098</v>
      </c>
    </row>
    <row r="109" spans="1:9" x14ac:dyDescent="0.35">
      <c r="A109" s="417" t="s">
        <v>846</v>
      </c>
      <c r="B109" s="417" t="s">
        <v>680</v>
      </c>
      <c r="C109" s="83">
        <v>46273</v>
      </c>
      <c r="D109" s="417" t="s">
        <v>689</v>
      </c>
      <c r="E109">
        <v>1379.8879833333301</v>
      </c>
      <c r="F109">
        <v>17</v>
      </c>
      <c r="G109">
        <v>81.169881372549</v>
      </c>
      <c r="H109">
        <v>0.66763333333333297</v>
      </c>
      <c r="I109">
        <v>88.737942919267198</v>
      </c>
    </row>
    <row r="110" spans="1:9" x14ac:dyDescent="0.35">
      <c r="A110" s="417" t="s">
        <v>846</v>
      </c>
      <c r="B110" s="417" t="s">
        <v>680</v>
      </c>
      <c r="C110" s="83">
        <v>46273</v>
      </c>
      <c r="D110" s="417" t="s">
        <v>686</v>
      </c>
      <c r="E110">
        <v>1384.84768333333</v>
      </c>
      <c r="F110">
        <v>16</v>
      </c>
      <c r="G110">
        <v>86.552980208333295</v>
      </c>
      <c r="H110">
        <v>10.8174333333333</v>
      </c>
      <c r="I110">
        <v>35.500959955165101</v>
      </c>
    </row>
    <row r="111" spans="1:9" x14ac:dyDescent="0.35">
      <c r="A111" s="417" t="s">
        <v>846</v>
      </c>
      <c r="B111" s="417" t="s">
        <v>680</v>
      </c>
      <c r="C111" s="83">
        <v>46273</v>
      </c>
      <c r="D111" s="417" t="s">
        <v>685</v>
      </c>
      <c r="E111">
        <v>1394.1717166666699</v>
      </c>
      <c r="F111">
        <v>14</v>
      </c>
      <c r="G111">
        <v>99.583694047619005</v>
      </c>
      <c r="H111">
        <v>7.4979833333333303</v>
      </c>
      <c r="I111">
        <v>85.784833013793801</v>
      </c>
    </row>
    <row r="112" spans="1:9" x14ac:dyDescent="0.35">
      <c r="A112" s="417" t="s">
        <v>846</v>
      </c>
      <c r="B112" s="417" t="s">
        <v>680</v>
      </c>
      <c r="C112" s="83">
        <v>46273</v>
      </c>
      <c r="D112" s="417" t="s">
        <v>688</v>
      </c>
      <c r="E112">
        <v>1411.4746333333301</v>
      </c>
      <c r="F112">
        <v>13</v>
      </c>
      <c r="G112">
        <v>108.574971794872</v>
      </c>
      <c r="H112">
        <v>2.9901833333333299</v>
      </c>
      <c r="I112">
        <v>89.764943917096801</v>
      </c>
    </row>
    <row r="113" spans="1:9" x14ac:dyDescent="0.35">
      <c r="A113" s="417" t="s">
        <v>846</v>
      </c>
      <c r="B113" s="417" t="s">
        <v>680</v>
      </c>
      <c r="C113" s="83">
        <v>46273</v>
      </c>
      <c r="D113" s="417" t="s">
        <v>687</v>
      </c>
      <c r="E113">
        <v>1417.49091666667</v>
      </c>
      <c r="F113">
        <v>13</v>
      </c>
      <c r="G113">
        <v>109.037762820513</v>
      </c>
      <c r="H113">
        <v>17.339566666666698</v>
      </c>
      <c r="I113">
        <v>40.458939401577602</v>
      </c>
    </row>
    <row r="114" spans="1:9" x14ac:dyDescent="0.35">
      <c r="A114" s="417" t="s">
        <v>846</v>
      </c>
      <c r="B114" s="417" t="s">
        <v>680</v>
      </c>
      <c r="C114" s="83">
        <v>46273</v>
      </c>
      <c r="D114" s="417" t="s">
        <v>682</v>
      </c>
      <c r="E114">
        <v>987.37125000000003</v>
      </c>
      <c r="F114">
        <v>10</v>
      </c>
      <c r="G114">
        <v>98.737125000000006</v>
      </c>
      <c r="H114">
        <v>5.8209166666666698</v>
      </c>
      <c r="I114">
        <v>53.104382931121698</v>
      </c>
    </row>
    <row r="115" spans="1:9" x14ac:dyDescent="0.35">
      <c r="A115" s="417" t="s">
        <v>846</v>
      </c>
      <c r="B115" s="417" t="s">
        <v>691</v>
      </c>
      <c r="C115" s="83">
        <v>46273</v>
      </c>
      <c r="D115" s="417" t="s">
        <v>305</v>
      </c>
      <c r="E115">
        <v>1062.4183333333301</v>
      </c>
      <c r="F115">
        <v>503</v>
      </c>
      <c r="G115">
        <v>2.1121636845593099</v>
      </c>
      <c r="H115">
        <v>10.478766666666701</v>
      </c>
      <c r="I115">
        <v>29.6567705825818</v>
      </c>
    </row>
    <row r="116" spans="1:9" x14ac:dyDescent="0.35">
      <c r="A116" s="417" t="s">
        <v>846</v>
      </c>
      <c r="B116" s="417" t="s">
        <v>691</v>
      </c>
      <c r="C116" s="83">
        <v>46273</v>
      </c>
      <c r="D116" s="417" t="s">
        <v>309</v>
      </c>
      <c r="E116">
        <v>1302.6564499999999</v>
      </c>
      <c r="F116">
        <v>146</v>
      </c>
      <c r="G116">
        <v>8.9223044520547905</v>
      </c>
      <c r="H116">
        <v>0</v>
      </c>
      <c r="I116">
        <v>46.3831469880244</v>
      </c>
    </row>
    <row r="117" spans="1:9" x14ac:dyDescent="0.35">
      <c r="A117" s="417" t="s">
        <v>846</v>
      </c>
      <c r="B117" s="417" t="s">
        <v>691</v>
      </c>
      <c r="C117" s="83">
        <v>46273</v>
      </c>
      <c r="D117" s="417" t="s">
        <v>303</v>
      </c>
      <c r="E117">
        <v>1380.6009166666699</v>
      </c>
      <c r="F117">
        <v>99</v>
      </c>
      <c r="G117">
        <v>13.9454638047138</v>
      </c>
      <c r="H117">
        <v>0.68888333333333296</v>
      </c>
      <c r="I117">
        <v>55.400443807860697</v>
      </c>
    </row>
    <row r="118" spans="1:9" x14ac:dyDescent="0.35">
      <c r="A118" s="417" t="s">
        <v>846</v>
      </c>
      <c r="B118" s="417" t="s">
        <v>691</v>
      </c>
      <c r="C118" s="83">
        <v>46273</v>
      </c>
      <c r="D118" s="417" t="s">
        <v>342</v>
      </c>
      <c r="E118">
        <v>1189.3424</v>
      </c>
      <c r="F118">
        <v>88</v>
      </c>
      <c r="G118">
        <v>13.5152545454545</v>
      </c>
      <c r="H118">
        <v>154.54158333333299</v>
      </c>
      <c r="I118">
        <v>33.710317460317498</v>
      </c>
    </row>
    <row r="119" spans="1:9" x14ac:dyDescent="0.35">
      <c r="A119" s="417" t="s">
        <v>846</v>
      </c>
      <c r="B119" s="417" t="s">
        <v>691</v>
      </c>
      <c r="C119" s="83">
        <v>46273</v>
      </c>
      <c r="D119" s="417" t="s">
        <v>310</v>
      </c>
      <c r="E119">
        <v>1378.1668</v>
      </c>
      <c r="F119">
        <v>86</v>
      </c>
      <c r="G119">
        <v>16.025195348837201</v>
      </c>
      <c r="H119">
        <v>0.28655000000000003</v>
      </c>
      <c r="I119">
        <v>72.716588000951702</v>
      </c>
    </row>
    <row r="120" spans="1:9" x14ac:dyDescent="0.35">
      <c r="A120" s="417" t="s">
        <v>846</v>
      </c>
      <c r="B120" s="417" t="s">
        <v>691</v>
      </c>
      <c r="C120" s="83">
        <v>46273</v>
      </c>
      <c r="D120" s="417" t="s">
        <v>301</v>
      </c>
      <c r="E120">
        <v>1357.1052666666701</v>
      </c>
      <c r="F120">
        <v>60</v>
      </c>
      <c r="G120">
        <v>22.6184211111111</v>
      </c>
      <c r="H120">
        <v>0.97845000000000004</v>
      </c>
      <c r="I120">
        <v>66.072272259678101</v>
      </c>
    </row>
    <row r="121" spans="1:9" x14ac:dyDescent="0.35">
      <c r="A121" s="417" t="s">
        <v>846</v>
      </c>
      <c r="B121" s="417" t="s">
        <v>691</v>
      </c>
      <c r="C121" s="83">
        <v>46273</v>
      </c>
      <c r="D121" s="417" t="s">
        <v>295</v>
      </c>
      <c r="E121">
        <v>1323.5751333333301</v>
      </c>
      <c r="F121">
        <v>55</v>
      </c>
      <c r="G121">
        <v>24.065002424242401</v>
      </c>
      <c r="H121">
        <v>0.101066666666667</v>
      </c>
      <c r="I121">
        <v>80.3216942266275</v>
      </c>
    </row>
    <row r="122" spans="1:9" x14ac:dyDescent="0.35">
      <c r="A122" s="417" t="s">
        <v>846</v>
      </c>
      <c r="B122" s="417" t="s">
        <v>691</v>
      </c>
      <c r="C122" s="83">
        <v>46273</v>
      </c>
      <c r="D122" s="417" t="s">
        <v>299</v>
      </c>
      <c r="E122">
        <v>1396.1320000000001</v>
      </c>
      <c r="F122">
        <v>33</v>
      </c>
      <c r="G122">
        <v>42.307030303030302</v>
      </c>
      <c r="H122">
        <v>0.48851666666666699</v>
      </c>
      <c r="I122">
        <v>84.998134375546996</v>
      </c>
    </row>
    <row r="123" spans="1:9" x14ac:dyDescent="0.35">
      <c r="A123" s="417" t="s">
        <v>846</v>
      </c>
      <c r="B123" s="417" t="s">
        <v>691</v>
      </c>
      <c r="C123" s="83">
        <v>46273</v>
      </c>
      <c r="D123" s="417" t="s">
        <v>314</v>
      </c>
      <c r="E123">
        <v>1373.8335999999999</v>
      </c>
      <c r="F123">
        <v>15</v>
      </c>
      <c r="G123">
        <v>91.588906666666702</v>
      </c>
      <c r="H123">
        <v>0.399716666666667</v>
      </c>
      <c r="I123">
        <v>62.528247505100197</v>
      </c>
    </row>
    <row r="124" spans="1:9" x14ac:dyDescent="0.35">
      <c r="A124" s="417" t="s">
        <v>846</v>
      </c>
      <c r="B124" s="417" t="s">
        <v>691</v>
      </c>
      <c r="C124" s="83">
        <v>46273</v>
      </c>
      <c r="D124" s="417" t="s">
        <v>313</v>
      </c>
      <c r="E124">
        <v>1408.0914333333301</v>
      </c>
      <c r="F124">
        <v>10</v>
      </c>
      <c r="G124">
        <v>140.809143333333</v>
      </c>
      <c r="H124">
        <v>7.60333333333333E-2</v>
      </c>
      <c r="I124">
        <v>83.076414834136102</v>
      </c>
    </row>
    <row r="125" spans="1:9" x14ac:dyDescent="0.35">
      <c r="A125" s="417" t="s">
        <v>846</v>
      </c>
      <c r="B125" s="417" t="s">
        <v>691</v>
      </c>
      <c r="C125" s="83">
        <v>46273</v>
      </c>
      <c r="D125" s="417" t="s">
        <v>317</v>
      </c>
      <c r="E125">
        <v>1436.6961166666699</v>
      </c>
      <c r="F125">
        <v>3</v>
      </c>
      <c r="G125">
        <v>478.89870555555598</v>
      </c>
      <c r="H125">
        <v>0.56786666666666696</v>
      </c>
      <c r="I125">
        <v>50.8640033060964</v>
      </c>
    </row>
    <row r="126" spans="1:9" x14ac:dyDescent="0.35">
      <c r="A126" s="417" t="s">
        <v>846</v>
      </c>
      <c r="B126" s="417" t="s">
        <v>691</v>
      </c>
      <c r="C126" s="83">
        <v>46273</v>
      </c>
      <c r="D126" s="417" t="s">
        <v>504</v>
      </c>
      <c r="E126">
        <v>1440</v>
      </c>
      <c r="F126">
        <v>1</v>
      </c>
      <c r="G126">
        <v>1440</v>
      </c>
      <c r="H126">
        <v>0</v>
      </c>
      <c r="I126">
        <v>36.2651234567901</v>
      </c>
    </row>
    <row r="127" spans="1:9" x14ac:dyDescent="0.35">
      <c r="A127" s="417" t="s">
        <v>846</v>
      </c>
      <c r="B127" s="417" t="s">
        <v>676</v>
      </c>
      <c r="C127" s="83">
        <v>46272</v>
      </c>
      <c r="D127" s="417" t="s">
        <v>677</v>
      </c>
      <c r="E127">
        <v>1211.2380499999999</v>
      </c>
      <c r="F127">
        <v>236</v>
      </c>
      <c r="G127">
        <v>5.1323646186440701</v>
      </c>
      <c r="H127">
        <v>200.92621666666699</v>
      </c>
      <c r="I127">
        <v>39.565555555555598</v>
      </c>
    </row>
    <row r="128" spans="1:9" x14ac:dyDescent="0.35">
      <c r="A128" s="417" t="s">
        <v>846</v>
      </c>
      <c r="B128" s="417" t="s">
        <v>676</v>
      </c>
      <c r="C128" s="83">
        <v>46272</v>
      </c>
      <c r="D128" s="417" t="s">
        <v>678</v>
      </c>
      <c r="E128">
        <v>917.07131666666703</v>
      </c>
      <c r="F128">
        <v>28</v>
      </c>
      <c r="G128">
        <v>32.752547023809498</v>
      </c>
      <c r="H128">
        <v>10.9987166666667</v>
      </c>
      <c r="I128">
        <v>53.0789727649152</v>
      </c>
    </row>
    <row r="129" spans="1:9" x14ac:dyDescent="0.35">
      <c r="A129" s="417" t="s">
        <v>846</v>
      </c>
      <c r="B129" s="417" t="s">
        <v>676</v>
      </c>
      <c r="C129" s="83">
        <v>46272</v>
      </c>
      <c r="D129" s="417" t="s">
        <v>679</v>
      </c>
      <c r="E129">
        <v>1274.7948833333301</v>
      </c>
      <c r="F129">
        <v>28</v>
      </c>
      <c r="G129">
        <v>45.528388690476199</v>
      </c>
      <c r="H129">
        <v>29.6545666666667</v>
      </c>
      <c r="I129">
        <v>81.399912553889905</v>
      </c>
    </row>
    <row r="130" spans="1:9" x14ac:dyDescent="0.35">
      <c r="A130" s="417" t="s">
        <v>846</v>
      </c>
      <c r="B130" s="417" t="s">
        <v>680</v>
      </c>
      <c r="C130" s="83">
        <v>46272</v>
      </c>
      <c r="D130" s="417" t="s">
        <v>681</v>
      </c>
      <c r="E130">
        <v>1393.6350666666699</v>
      </c>
      <c r="F130">
        <v>80</v>
      </c>
      <c r="G130">
        <v>17.420438333333301</v>
      </c>
      <c r="H130">
        <v>0.16668333333333299</v>
      </c>
      <c r="I130">
        <v>91.262104225626402</v>
      </c>
    </row>
    <row r="131" spans="1:9" x14ac:dyDescent="0.35">
      <c r="A131" s="417" t="s">
        <v>846</v>
      </c>
      <c r="B131" s="417" t="s">
        <v>680</v>
      </c>
      <c r="C131" s="83">
        <v>46272</v>
      </c>
      <c r="D131" s="417" t="s">
        <v>683</v>
      </c>
      <c r="E131">
        <v>1403.3373999999999</v>
      </c>
      <c r="F131">
        <v>34</v>
      </c>
      <c r="G131">
        <v>41.2746294117647</v>
      </c>
      <c r="H131">
        <v>5.3312499999999998</v>
      </c>
      <c r="I131">
        <v>79.197721723159503</v>
      </c>
    </row>
    <row r="132" spans="1:9" x14ac:dyDescent="0.35">
      <c r="A132" s="417" t="s">
        <v>846</v>
      </c>
      <c r="B132" s="417" t="s">
        <v>680</v>
      </c>
      <c r="C132" s="83">
        <v>46272</v>
      </c>
      <c r="D132" s="417" t="s">
        <v>684</v>
      </c>
      <c r="E132">
        <v>1409.63128333333</v>
      </c>
      <c r="F132">
        <v>23</v>
      </c>
      <c r="G132">
        <v>61.288316666666702</v>
      </c>
      <c r="H132">
        <v>23.0217666666667</v>
      </c>
      <c r="I132">
        <v>83.790885529429403</v>
      </c>
    </row>
    <row r="133" spans="1:9" x14ac:dyDescent="0.35">
      <c r="A133" s="417" t="s">
        <v>846</v>
      </c>
      <c r="B133" s="417" t="s">
        <v>680</v>
      </c>
      <c r="C133" s="83">
        <v>46272</v>
      </c>
      <c r="D133" s="417" t="s">
        <v>689</v>
      </c>
      <c r="E133">
        <v>1402.34441666667</v>
      </c>
      <c r="F133">
        <v>22</v>
      </c>
      <c r="G133">
        <v>63.742928030303098</v>
      </c>
      <c r="H133">
        <v>0.99301666666666599</v>
      </c>
      <c r="I133">
        <v>91.155124376053394</v>
      </c>
    </row>
    <row r="134" spans="1:9" x14ac:dyDescent="0.35">
      <c r="A134" s="417" t="s">
        <v>846</v>
      </c>
      <c r="B134" s="417" t="s">
        <v>680</v>
      </c>
      <c r="C134" s="83">
        <v>46272</v>
      </c>
      <c r="D134" s="417" t="s">
        <v>682</v>
      </c>
      <c r="E134">
        <v>1412.9764333333301</v>
      </c>
      <c r="F134">
        <v>17</v>
      </c>
      <c r="G134">
        <v>83.116260784313695</v>
      </c>
      <c r="H134">
        <v>10.165283333333299</v>
      </c>
      <c r="I134">
        <v>83.523445032023801</v>
      </c>
    </row>
    <row r="135" spans="1:9" x14ac:dyDescent="0.35">
      <c r="A135" s="417" t="s">
        <v>846</v>
      </c>
      <c r="B135" s="417" t="s">
        <v>680</v>
      </c>
      <c r="C135" s="83">
        <v>46272</v>
      </c>
      <c r="D135" s="417" t="s">
        <v>688</v>
      </c>
      <c r="E135">
        <v>1419.5162666666699</v>
      </c>
      <c r="F135">
        <v>17</v>
      </c>
      <c r="G135">
        <v>83.500956862745099</v>
      </c>
      <c r="H135">
        <v>6.9808666666666701</v>
      </c>
      <c r="I135">
        <v>90.888147440989997</v>
      </c>
    </row>
    <row r="136" spans="1:9" x14ac:dyDescent="0.35">
      <c r="A136" s="417" t="s">
        <v>846</v>
      </c>
      <c r="B136" s="417" t="s">
        <v>680</v>
      </c>
      <c r="C136" s="83">
        <v>46272</v>
      </c>
      <c r="D136" s="417" t="s">
        <v>690</v>
      </c>
      <c r="E136">
        <v>1416.47326666667</v>
      </c>
      <c r="F136">
        <v>12</v>
      </c>
      <c r="G136">
        <v>118.03943888888899</v>
      </c>
      <c r="H136">
        <v>11.1671</v>
      </c>
      <c r="I136">
        <v>76.753117558262304</v>
      </c>
    </row>
    <row r="137" spans="1:9" x14ac:dyDescent="0.35">
      <c r="A137" s="417" t="s">
        <v>846</v>
      </c>
      <c r="B137" s="417" t="s">
        <v>680</v>
      </c>
      <c r="C137" s="83">
        <v>46272</v>
      </c>
      <c r="D137" s="417" t="s">
        <v>687</v>
      </c>
      <c r="E137">
        <v>1413.8397333333301</v>
      </c>
      <c r="F137">
        <v>10</v>
      </c>
      <c r="G137">
        <v>141.38397333333299</v>
      </c>
      <c r="H137">
        <v>12.820866666666699</v>
      </c>
      <c r="I137">
        <v>39.456479902091097</v>
      </c>
    </row>
    <row r="138" spans="1:9" x14ac:dyDescent="0.35">
      <c r="A138" s="417" t="s">
        <v>846</v>
      </c>
      <c r="B138" s="417" t="s">
        <v>680</v>
      </c>
      <c r="C138" s="83">
        <v>46272</v>
      </c>
      <c r="D138" s="417" t="s">
        <v>686</v>
      </c>
      <c r="E138">
        <v>1430.9920500000001</v>
      </c>
      <c r="F138">
        <v>8</v>
      </c>
      <c r="G138">
        <v>178.87400625000001</v>
      </c>
      <c r="H138">
        <v>1.9996499999999999</v>
      </c>
      <c r="I138">
        <v>35.8739990309384</v>
      </c>
    </row>
    <row r="139" spans="1:9" x14ac:dyDescent="0.35">
      <c r="A139" s="417" t="s">
        <v>846</v>
      </c>
      <c r="B139" s="417" t="s">
        <v>680</v>
      </c>
      <c r="C139" s="83">
        <v>46272</v>
      </c>
      <c r="D139" s="417" t="s">
        <v>685</v>
      </c>
      <c r="E139">
        <v>1413.9809</v>
      </c>
      <c r="F139">
        <v>8</v>
      </c>
      <c r="G139">
        <v>176.7476125</v>
      </c>
      <c r="H139">
        <v>0.50695000000000001</v>
      </c>
      <c r="I139">
        <v>88.772368681001595</v>
      </c>
    </row>
    <row r="140" spans="1:9" x14ac:dyDescent="0.35">
      <c r="A140" s="417" t="s">
        <v>846</v>
      </c>
      <c r="B140" s="417" t="s">
        <v>691</v>
      </c>
      <c r="C140" s="83">
        <v>46272</v>
      </c>
      <c r="D140" s="417" t="s">
        <v>305</v>
      </c>
      <c r="E140">
        <v>1173.2793666666701</v>
      </c>
      <c r="F140">
        <v>283</v>
      </c>
      <c r="G140">
        <v>4.1458634864546502</v>
      </c>
      <c r="H140">
        <v>6.4286666666666701</v>
      </c>
      <c r="I140">
        <v>41.340894442015497</v>
      </c>
    </row>
    <row r="141" spans="1:9" x14ac:dyDescent="0.35">
      <c r="A141" s="417" t="s">
        <v>846</v>
      </c>
      <c r="B141" s="417" t="s">
        <v>691</v>
      </c>
      <c r="C141" s="83">
        <v>46272</v>
      </c>
      <c r="D141" s="417" t="s">
        <v>342</v>
      </c>
      <c r="E141">
        <v>992.011666666667</v>
      </c>
      <c r="F141">
        <v>141</v>
      </c>
      <c r="G141">
        <v>7.0355437352245902</v>
      </c>
      <c r="H141">
        <v>264.16289999999998</v>
      </c>
      <c r="I141">
        <v>16.140873015873002</v>
      </c>
    </row>
    <row r="142" spans="1:9" x14ac:dyDescent="0.35">
      <c r="A142" s="417" t="s">
        <v>846</v>
      </c>
      <c r="B142" s="417" t="s">
        <v>691</v>
      </c>
      <c r="C142" s="83">
        <v>46272</v>
      </c>
      <c r="D142" s="417" t="s">
        <v>295</v>
      </c>
      <c r="E142">
        <v>1366.40466666667</v>
      </c>
      <c r="F142">
        <v>76</v>
      </c>
      <c r="G142">
        <v>17.979008771929799</v>
      </c>
      <c r="H142">
        <v>0.34566666666666701</v>
      </c>
      <c r="I142">
        <v>78.556695239965407</v>
      </c>
    </row>
    <row r="143" spans="1:9" x14ac:dyDescent="0.35">
      <c r="A143" s="417" t="s">
        <v>846</v>
      </c>
      <c r="B143" s="417" t="s">
        <v>691</v>
      </c>
      <c r="C143" s="83">
        <v>46272</v>
      </c>
      <c r="D143" s="417" t="s">
        <v>303</v>
      </c>
      <c r="E143">
        <v>1331.83128333333</v>
      </c>
      <c r="F143">
        <v>74</v>
      </c>
      <c r="G143">
        <v>17.997720045045</v>
      </c>
      <c r="H143">
        <v>9.2700000000000005E-2</v>
      </c>
      <c r="I143">
        <v>46.985168257503901</v>
      </c>
    </row>
    <row r="144" spans="1:9" x14ac:dyDescent="0.35">
      <c r="A144" s="417" t="s">
        <v>846</v>
      </c>
      <c r="B144" s="417" t="s">
        <v>691</v>
      </c>
      <c r="C144" s="83">
        <v>46272</v>
      </c>
      <c r="D144" s="417" t="s">
        <v>309</v>
      </c>
      <c r="E144">
        <v>1350.4264166666701</v>
      </c>
      <c r="F144">
        <v>49</v>
      </c>
      <c r="G144">
        <v>27.5597227891156</v>
      </c>
      <c r="H144">
        <v>0</v>
      </c>
      <c r="I144">
        <v>41.015233589577598</v>
      </c>
    </row>
    <row r="145" spans="1:9" x14ac:dyDescent="0.35">
      <c r="A145" s="417" t="s">
        <v>846</v>
      </c>
      <c r="B145" s="417" t="s">
        <v>691</v>
      </c>
      <c r="C145" s="83">
        <v>46272</v>
      </c>
      <c r="D145" s="417" t="s">
        <v>310</v>
      </c>
      <c r="E145">
        <v>1398.23101666667</v>
      </c>
      <c r="F145">
        <v>30</v>
      </c>
      <c r="G145">
        <v>46.607700555555603</v>
      </c>
      <c r="H145">
        <v>1.8949833333333299</v>
      </c>
      <c r="I145">
        <v>76.893741876736499</v>
      </c>
    </row>
    <row r="146" spans="1:9" x14ac:dyDescent="0.35">
      <c r="A146" s="417" t="s">
        <v>846</v>
      </c>
      <c r="B146" s="417" t="s">
        <v>691</v>
      </c>
      <c r="C146" s="83">
        <v>46272</v>
      </c>
      <c r="D146" s="417" t="s">
        <v>299</v>
      </c>
      <c r="E146">
        <v>1413.3365833333301</v>
      </c>
      <c r="F146">
        <v>21</v>
      </c>
      <c r="G146">
        <v>67.301742063492</v>
      </c>
      <c r="H146">
        <v>0.200633333333333</v>
      </c>
      <c r="I146">
        <v>77.042605784567996</v>
      </c>
    </row>
    <row r="147" spans="1:9" x14ac:dyDescent="0.35">
      <c r="A147" s="417" t="s">
        <v>846</v>
      </c>
      <c r="B147" s="417" t="s">
        <v>691</v>
      </c>
      <c r="C147" s="83">
        <v>46272</v>
      </c>
      <c r="D147" s="417" t="s">
        <v>313</v>
      </c>
      <c r="E147">
        <v>1383.46291666667</v>
      </c>
      <c r="F147">
        <v>20</v>
      </c>
      <c r="G147">
        <v>69.173145833333294</v>
      </c>
      <c r="H147">
        <v>6.6916666666666694E-2</v>
      </c>
      <c r="I147">
        <v>75.726011495170198</v>
      </c>
    </row>
    <row r="148" spans="1:9" x14ac:dyDescent="0.35">
      <c r="A148" s="417" t="s">
        <v>846</v>
      </c>
      <c r="B148" s="417" t="s">
        <v>691</v>
      </c>
      <c r="C148" s="83">
        <v>46272</v>
      </c>
      <c r="D148" s="417" t="s">
        <v>301</v>
      </c>
      <c r="E148">
        <v>1397.71468333333</v>
      </c>
      <c r="F148">
        <v>19</v>
      </c>
      <c r="G148">
        <v>73.563930701754401</v>
      </c>
      <c r="H148">
        <v>0.82111666666666705</v>
      </c>
      <c r="I148">
        <v>59.161569675961502</v>
      </c>
    </row>
    <row r="149" spans="1:9" x14ac:dyDescent="0.35">
      <c r="A149" s="417" t="s">
        <v>846</v>
      </c>
      <c r="B149" s="417" t="s">
        <v>691</v>
      </c>
      <c r="C149" s="83">
        <v>46272</v>
      </c>
      <c r="D149" s="417" t="s">
        <v>314</v>
      </c>
      <c r="E149">
        <v>1407.2062166666699</v>
      </c>
      <c r="F149">
        <v>12</v>
      </c>
      <c r="G149">
        <v>117.267184722222</v>
      </c>
      <c r="H149">
        <v>0.22821666666666701</v>
      </c>
      <c r="I149">
        <v>48.437421338308098</v>
      </c>
    </row>
    <row r="150" spans="1:9" x14ac:dyDescent="0.35">
      <c r="A150" s="417" t="s">
        <v>846</v>
      </c>
      <c r="B150" s="417" t="s">
        <v>691</v>
      </c>
      <c r="C150" s="83">
        <v>46272</v>
      </c>
      <c r="D150" s="417" t="s">
        <v>317</v>
      </c>
      <c r="E150">
        <v>1432.58091666667</v>
      </c>
      <c r="F150">
        <v>4</v>
      </c>
      <c r="G150">
        <v>358.14522916666698</v>
      </c>
      <c r="H150">
        <v>5.9520166666666698</v>
      </c>
      <c r="I150">
        <v>42.272233461553498</v>
      </c>
    </row>
    <row r="151" spans="1:9" x14ac:dyDescent="0.35">
      <c r="A151" s="417" t="s">
        <v>846</v>
      </c>
      <c r="B151" s="417" t="s">
        <v>691</v>
      </c>
      <c r="C151" s="83">
        <v>46272</v>
      </c>
      <c r="D151" s="417" t="s">
        <v>504</v>
      </c>
      <c r="E151">
        <v>1440</v>
      </c>
      <c r="F151">
        <v>1</v>
      </c>
      <c r="G151">
        <v>1440</v>
      </c>
      <c r="H151">
        <v>0</v>
      </c>
      <c r="I151">
        <v>33.539043209876503</v>
      </c>
    </row>
    <row r="152" spans="1:9" x14ac:dyDescent="0.35">
      <c r="A152" s="417" t="s">
        <v>846</v>
      </c>
      <c r="B152" s="417" t="s">
        <v>676</v>
      </c>
      <c r="C152" s="83">
        <v>46271</v>
      </c>
      <c r="D152" s="417" t="s">
        <v>677</v>
      </c>
      <c r="E152">
        <v>1310.32701666667</v>
      </c>
      <c r="F152">
        <v>166</v>
      </c>
      <c r="G152">
        <v>7.89353624497992</v>
      </c>
      <c r="H152">
        <v>117.50635</v>
      </c>
      <c r="I152">
        <v>34.643611111111099</v>
      </c>
    </row>
    <row r="153" spans="1:9" x14ac:dyDescent="0.35">
      <c r="A153" s="417" t="s">
        <v>846</v>
      </c>
      <c r="B153" s="417" t="s">
        <v>676</v>
      </c>
      <c r="C153" s="83">
        <v>46271</v>
      </c>
      <c r="D153" s="417" t="s">
        <v>678</v>
      </c>
      <c r="E153">
        <v>1361.1457166666701</v>
      </c>
      <c r="F153">
        <v>29</v>
      </c>
      <c r="G153">
        <v>46.936059195402301</v>
      </c>
      <c r="H153">
        <v>17.029</v>
      </c>
      <c r="I153">
        <v>73.137074311199697</v>
      </c>
    </row>
    <row r="154" spans="1:9" x14ac:dyDescent="0.35">
      <c r="A154" s="417" t="s">
        <v>846</v>
      </c>
      <c r="B154" s="417" t="s">
        <v>676</v>
      </c>
      <c r="C154" s="83">
        <v>46271</v>
      </c>
      <c r="D154" s="417" t="s">
        <v>679</v>
      </c>
      <c r="E154">
        <v>1337.4835333333299</v>
      </c>
      <c r="F154">
        <v>23</v>
      </c>
      <c r="G154">
        <v>58.151457971014501</v>
      </c>
      <c r="H154">
        <v>28.35445</v>
      </c>
      <c r="I154">
        <v>90.293774350664506</v>
      </c>
    </row>
    <row r="155" spans="1:9" x14ac:dyDescent="0.35">
      <c r="A155" s="417" t="s">
        <v>846</v>
      </c>
      <c r="B155" s="417" t="s">
        <v>680</v>
      </c>
      <c r="C155" s="83">
        <v>46271</v>
      </c>
      <c r="D155" s="417" t="s">
        <v>681</v>
      </c>
      <c r="E155">
        <v>1380.6292000000001</v>
      </c>
      <c r="F155">
        <v>92</v>
      </c>
      <c r="G155">
        <v>15.0068391304348</v>
      </c>
      <c r="H155">
        <v>3.1714833333333301</v>
      </c>
      <c r="I155">
        <v>92.436114096007401</v>
      </c>
    </row>
    <row r="156" spans="1:9" x14ac:dyDescent="0.35">
      <c r="A156" s="417" t="s">
        <v>846</v>
      </c>
      <c r="B156" s="417" t="s">
        <v>680</v>
      </c>
      <c r="C156" s="83">
        <v>46271</v>
      </c>
      <c r="D156" s="417" t="s">
        <v>683</v>
      </c>
      <c r="E156">
        <v>1400.62228333333</v>
      </c>
      <c r="F156">
        <v>54</v>
      </c>
      <c r="G156">
        <v>25.937449691358001</v>
      </c>
      <c r="H156">
        <v>2.1827000000000001</v>
      </c>
      <c r="I156">
        <v>77.873284192448196</v>
      </c>
    </row>
    <row r="157" spans="1:9" x14ac:dyDescent="0.35">
      <c r="A157" s="417" t="s">
        <v>846</v>
      </c>
      <c r="B157" s="417" t="s">
        <v>680</v>
      </c>
      <c r="C157" s="83">
        <v>46271</v>
      </c>
      <c r="D157" s="417" t="s">
        <v>689</v>
      </c>
      <c r="E157">
        <v>1380.61343333333</v>
      </c>
      <c r="F157">
        <v>31</v>
      </c>
      <c r="G157">
        <v>44.5359172043011</v>
      </c>
      <c r="H157">
        <v>3.01826666666667</v>
      </c>
      <c r="I157">
        <v>90.523361805392497</v>
      </c>
    </row>
    <row r="158" spans="1:9" x14ac:dyDescent="0.35">
      <c r="A158" s="417" t="s">
        <v>846</v>
      </c>
      <c r="B158" s="417" t="s">
        <v>680</v>
      </c>
      <c r="C158" s="83">
        <v>46271</v>
      </c>
      <c r="D158" s="417" t="s">
        <v>684</v>
      </c>
      <c r="E158">
        <v>1424.4862000000001</v>
      </c>
      <c r="F158">
        <v>18</v>
      </c>
      <c r="G158">
        <v>79.138122222222194</v>
      </c>
      <c r="H158">
        <v>10.518083333333299</v>
      </c>
      <c r="I158">
        <v>81.929606022114498</v>
      </c>
    </row>
    <row r="159" spans="1:9" x14ac:dyDescent="0.35">
      <c r="A159" s="417" t="s">
        <v>846</v>
      </c>
      <c r="B159" s="417" t="s">
        <v>680</v>
      </c>
      <c r="C159" s="83">
        <v>46271</v>
      </c>
      <c r="D159" s="417" t="s">
        <v>690</v>
      </c>
      <c r="E159">
        <v>1416.3438333333299</v>
      </c>
      <c r="F159">
        <v>16</v>
      </c>
      <c r="G159">
        <v>88.521489583333306</v>
      </c>
      <c r="H159">
        <v>11.490766666666699</v>
      </c>
      <c r="I159">
        <v>74.957399969122307</v>
      </c>
    </row>
    <row r="160" spans="1:9" x14ac:dyDescent="0.35">
      <c r="A160" s="417" t="s">
        <v>846</v>
      </c>
      <c r="B160" s="417" t="s">
        <v>680</v>
      </c>
      <c r="C160" s="83">
        <v>46271</v>
      </c>
      <c r="D160" s="417" t="s">
        <v>682</v>
      </c>
      <c r="E160">
        <v>1426.3257166666699</v>
      </c>
      <c r="F160">
        <v>14</v>
      </c>
      <c r="G160">
        <v>101.88040833333299</v>
      </c>
      <c r="H160">
        <v>6.6641833333333302</v>
      </c>
      <c r="I160">
        <v>80.775035780222098</v>
      </c>
    </row>
    <row r="161" spans="1:9" x14ac:dyDescent="0.35">
      <c r="A161" s="417" t="s">
        <v>846</v>
      </c>
      <c r="B161" s="417" t="s">
        <v>680</v>
      </c>
      <c r="C161" s="83">
        <v>46271</v>
      </c>
      <c r="D161" s="417" t="s">
        <v>685</v>
      </c>
      <c r="E161">
        <v>1330.9944</v>
      </c>
      <c r="F161">
        <v>14</v>
      </c>
      <c r="G161">
        <v>95.071028571428599</v>
      </c>
      <c r="H161">
        <v>5.00836666666667</v>
      </c>
      <c r="I161">
        <v>85.633269291733797</v>
      </c>
    </row>
    <row r="162" spans="1:9" x14ac:dyDescent="0.35">
      <c r="A162" s="417" t="s">
        <v>846</v>
      </c>
      <c r="B162" s="417" t="s">
        <v>680</v>
      </c>
      <c r="C162" s="83">
        <v>46271</v>
      </c>
      <c r="D162" s="417" t="s">
        <v>686</v>
      </c>
      <c r="E162">
        <v>1422.51146666667</v>
      </c>
      <c r="F162">
        <v>11</v>
      </c>
      <c r="G162">
        <v>129.31922424242401</v>
      </c>
      <c r="H162">
        <v>9.1638000000000002</v>
      </c>
      <c r="I162">
        <v>31.1523157788715</v>
      </c>
    </row>
    <row r="163" spans="1:9" x14ac:dyDescent="0.35">
      <c r="A163" s="417" t="s">
        <v>846</v>
      </c>
      <c r="B163" s="417" t="s">
        <v>680</v>
      </c>
      <c r="C163" s="83">
        <v>46271</v>
      </c>
      <c r="D163" s="417" t="s">
        <v>687</v>
      </c>
      <c r="E163">
        <v>1418.83003333333</v>
      </c>
      <c r="F163">
        <v>10</v>
      </c>
      <c r="G163">
        <v>141.88300333333299</v>
      </c>
      <c r="H163">
        <v>8.1521833333333298</v>
      </c>
      <c r="I163">
        <v>35.036198182496697</v>
      </c>
    </row>
    <row r="164" spans="1:9" x14ac:dyDescent="0.35">
      <c r="A164" s="417" t="s">
        <v>846</v>
      </c>
      <c r="B164" s="417" t="s">
        <v>680</v>
      </c>
      <c r="C164" s="83">
        <v>46271</v>
      </c>
      <c r="D164" s="417" t="s">
        <v>688</v>
      </c>
      <c r="E164">
        <v>1418.5079166666701</v>
      </c>
      <c r="F164">
        <v>10</v>
      </c>
      <c r="G164">
        <v>141.85079166666699</v>
      </c>
      <c r="H164">
        <v>0.65825</v>
      </c>
      <c r="I164">
        <v>91.447578093312003</v>
      </c>
    </row>
    <row r="165" spans="1:9" x14ac:dyDescent="0.35">
      <c r="A165" s="417" t="s">
        <v>846</v>
      </c>
      <c r="B165" s="417" t="s">
        <v>691</v>
      </c>
      <c r="C165" s="83">
        <v>46271</v>
      </c>
      <c r="D165" s="417" t="s">
        <v>305</v>
      </c>
      <c r="E165">
        <v>978.72876666666696</v>
      </c>
      <c r="F165">
        <v>458</v>
      </c>
      <c r="G165">
        <v>2.1369623726346401</v>
      </c>
      <c r="H165">
        <v>19.326166666666701</v>
      </c>
      <c r="I165">
        <v>25.459497922088602</v>
      </c>
    </row>
    <row r="166" spans="1:9" x14ac:dyDescent="0.35">
      <c r="A166" s="417" t="s">
        <v>846</v>
      </c>
      <c r="B166" s="417" t="s">
        <v>691</v>
      </c>
      <c r="C166" s="83">
        <v>46271</v>
      </c>
      <c r="D166" s="417" t="s">
        <v>342</v>
      </c>
      <c r="E166">
        <v>761.82335</v>
      </c>
      <c r="F166">
        <v>103</v>
      </c>
      <c r="G166">
        <v>7.3963432038834904</v>
      </c>
      <c r="H166">
        <v>220.0009</v>
      </c>
      <c r="I166">
        <v>1.6369047619048001</v>
      </c>
    </row>
    <row r="167" spans="1:9" x14ac:dyDescent="0.35">
      <c r="A167" s="417" t="s">
        <v>846</v>
      </c>
      <c r="B167" s="417" t="s">
        <v>691</v>
      </c>
      <c r="C167" s="83">
        <v>46271</v>
      </c>
      <c r="D167" s="417" t="s">
        <v>309</v>
      </c>
      <c r="E167">
        <v>1292.4729666666699</v>
      </c>
      <c r="F167">
        <v>96</v>
      </c>
      <c r="G167">
        <v>13.4632600694444</v>
      </c>
      <c r="H167">
        <v>0</v>
      </c>
      <c r="I167">
        <v>42.198066129616898</v>
      </c>
    </row>
    <row r="168" spans="1:9" x14ac:dyDescent="0.35">
      <c r="A168" s="417" t="s">
        <v>846</v>
      </c>
      <c r="B168" s="417" t="s">
        <v>691</v>
      </c>
      <c r="C168" s="83">
        <v>46271</v>
      </c>
      <c r="D168" s="417" t="s">
        <v>303</v>
      </c>
      <c r="E168">
        <v>1316.44928333333</v>
      </c>
      <c r="F168">
        <v>87</v>
      </c>
      <c r="G168">
        <v>15.131600957854401</v>
      </c>
      <c r="H168">
        <v>0.85861666666666703</v>
      </c>
      <c r="I168">
        <v>43.537361029667203</v>
      </c>
    </row>
    <row r="169" spans="1:9" x14ac:dyDescent="0.35">
      <c r="A169" s="417" t="s">
        <v>846</v>
      </c>
      <c r="B169" s="417" t="s">
        <v>691</v>
      </c>
      <c r="C169" s="83">
        <v>46271</v>
      </c>
      <c r="D169" s="417" t="s">
        <v>295</v>
      </c>
      <c r="E169">
        <v>1348.2656833333299</v>
      </c>
      <c r="F169">
        <v>72</v>
      </c>
      <c r="G169">
        <v>18.725912268518499</v>
      </c>
      <c r="H169">
        <v>2.8952499999999999</v>
      </c>
      <c r="I169">
        <v>77.570435878930695</v>
      </c>
    </row>
    <row r="170" spans="1:9" x14ac:dyDescent="0.35">
      <c r="A170" s="417" t="s">
        <v>846</v>
      </c>
      <c r="B170" s="417" t="s">
        <v>691</v>
      </c>
      <c r="C170" s="83">
        <v>46271</v>
      </c>
      <c r="D170" s="417" t="s">
        <v>301</v>
      </c>
      <c r="E170">
        <v>1251.8133166666701</v>
      </c>
      <c r="F170">
        <v>42</v>
      </c>
      <c r="G170">
        <v>29.805078968254001</v>
      </c>
      <c r="H170">
        <v>5.2710833333333298</v>
      </c>
      <c r="I170">
        <v>47.010525453668002</v>
      </c>
    </row>
    <row r="171" spans="1:9" x14ac:dyDescent="0.35">
      <c r="A171" s="417" t="s">
        <v>846</v>
      </c>
      <c r="B171" s="417" t="s">
        <v>691</v>
      </c>
      <c r="C171" s="83">
        <v>46271</v>
      </c>
      <c r="D171" s="417" t="s">
        <v>310</v>
      </c>
      <c r="E171">
        <v>1403.1755166666701</v>
      </c>
      <c r="F171">
        <v>31</v>
      </c>
      <c r="G171">
        <v>45.263726344086002</v>
      </c>
      <c r="H171">
        <v>1.3519000000000001</v>
      </c>
      <c r="I171">
        <v>67.296969933225299</v>
      </c>
    </row>
    <row r="172" spans="1:9" x14ac:dyDescent="0.35">
      <c r="A172" s="417" t="s">
        <v>846</v>
      </c>
      <c r="B172" s="417" t="s">
        <v>691</v>
      </c>
      <c r="C172" s="83">
        <v>46271</v>
      </c>
      <c r="D172" s="417" t="s">
        <v>299</v>
      </c>
      <c r="E172">
        <v>1401.12895</v>
      </c>
      <c r="F172">
        <v>28</v>
      </c>
      <c r="G172">
        <v>50.040319642857099</v>
      </c>
      <c r="H172">
        <v>2.31666666666667E-2</v>
      </c>
      <c r="I172">
        <v>79.651049832016696</v>
      </c>
    </row>
    <row r="173" spans="1:9" x14ac:dyDescent="0.35">
      <c r="A173" s="417" t="s">
        <v>846</v>
      </c>
      <c r="B173" s="417" t="s">
        <v>691</v>
      </c>
      <c r="C173" s="83">
        <v>46271</v>
      </c>
      <c r="D173" s="417" t="s">
        <v>313</v>
      </c>
      <c r="E173">
        <v>1396.2868000000001</v>
      </c>
      <c r="F173">
        <v>17</v>
      </c>
      <c r="G173">
        <v>82.1345176470588</v>
      </c>
      <c r="H173">
        <v>0</v>
      </c>
      <c r="I173">
        <v>78.819056011831606</v>
      </c>
    </row>
    <row r="174" spans="1:9" x14ac:dyDescent="0.35">
      <c r="A174" s="417" t="s">
        <v>846</v>
      </c>
      <c r="B174" s="417" t="s">
        <v>691</v>
      </c>
      <c r="C174" s="83">
        <v>46271</v>
      </c>
      <c r="D174" s="417" t="s">
        <v>314</v>
      </c>
      <c r="E174">
        <v>1209.9965833333299</v>
      </c>
      <c r="F174">
        <v>9</v>
      </c>
      <c r="G174">
        <v>134.44406481481499</v>
      </c>
      <c r="H174">
        <v>1.96993333333333</v>
      </c>
      <c r="I174">
        <v>38.910030859637097</v>
      </c>
    </row>
    <row r="175" spans="1:9" x14ac:dyDescent="0.35">
      <c r="A175" s="417" t="s">
        <v>846</v>
      </c>
      <c r="B175" s="417" t="s">
        <v>691</v>
      </c>
      <c r="C175" s="83">
        <v>46271</v>
      </c>
      <c r="D175" s="417" t="s">
        <v>317</v>
      </c>
      <c r="E175">
        <v>1436.1124666666699</v>
      </c>
      <c r="F175">
        <v>3</v>
      </c>
      <c r="G175">
        <v>478.70415555555599</v>
      </c>
      <c r="H175">
        <v>1.4895499999999999</v>
      </c>
      <c r="I175">
        <v>37.677326111152198</v>
      </c>
    </row>
    <row r="176" spans="1:9" x14ac:dyDescent="0.35">
      <c r="A176" s="417" t="s">
        <v>846</v>
      </c>
      <c r="B176" s="417" t="s">
        <v>691</v>
      </c>
      <c r="C176" s="83">
        <v>46271</v>
      </c>
      <c r="D176" s="417" t="s">
        <v>504</v>
      </c>
      <c r="E176">
        <v>1440</v>
      </c>
      <c r="F176">
        <v>1</v>
      </c>
      <c r="G176">
        <v>1440</v>
      </c>
      <c r="H176">
        <v>0</v>
      </c>
      <c r="I176">
        <v>29.788734567901201</v>
      </c>
    </row>
    <row r="177" spans="1:9" x14ac:dyDescent="0.35">
      <c r="A177" s="417" t="s">
        <v>846</v>
      </c>
      <c r="B177" s="417" t="s">
        <v>676</v>
      </c>
      <c r="C177" s="83">
        <v>46270</v>
      </c>
      <c r="D177" s="417" t="s">
        <v>677</v>
      </c>
      <c r="E177">
        <v>914.77828333333298</v>
      </c>
      <c r="F177">
        <v>201</v>
      </c>
      <c r="G177">
        <v>4.5511357379767796</v>
      </c>
      <c r="H177">
        <v>121.05946666666701</v>
      </c>
      <c r="I177">
        <v>21.6685185185185</v>
      </c>
    </row>
    <row r="178" spans="1:9" x14ac:dyDescent="0.35">
      <c r="A178" s="417" t="s">
        <v>846</v>
      </c>
      <c r="B178" s="417" t="s">
        <v>676</v>
      </c>
      <c r="C178" s="83">
        <v>46270</v>
      </c>
      <c r="D178" s="417" t="s">
        <v>678</v>
      </c>
      <c r="E178">
        <v>918.82291666666697</v>
      </c>
      <c r="F178">
        <v>23</v>
      </c>
      <c r="G178">
        <v>39.948822463768103</v>
      </c>
      <c r="H178">
        <v>15.0228</v>
      </c>
      <c r="I178">
        <v>77.495313599535805</v>
      </c>
    </row>
    <row r="179" spans="1:9" x14ac:dyDescent="0.35">
      <c r="A179" s="417" t="s">
        <v>846</v>
      </c>
      <c r="B179" s="417" t="s">
        <v>676</v>
      </c>
      <c r="C179" s="83">
        <v>46270</v>
      </c>
      <c r="D179" s="417" t="s">
        <v>679</v>
      </c>
      <c r="E179">
        <v>922.11326666666696</v>
      </c>
      <c r="F179">
        <v>22</v>
      </c>
      <c r="G179">
        <v>41.914239393939397</v>
      </c>
      <c r="H179">
        <v>16.001899999999999</v>
      </c>
      <c r="I179">
        <v>68.570472246566794</v>
      </c>
    </row>
    <row r="180" spans="1:9" x14ac:dyDescent="0.35">
      <c r="A180" s="417" t="s">
        <v>846</v>
      </c>
      <c r="B180" s="417" t="s">
        <v>680</v>
      </c>
      <c r="C180" s="83">
        <v>46270</v>
      </c>
      <c r="D180" s="417" t="s">
        <v>681</v>
      </c>
      <c r="E180">
        <v>745.23996666666699</v>
      </c>
      <c r="F180">
        <v>58</v>
      </c>
      <c r="G180">
        <v>12.848964942528699</v>
      </c>
      <c r="H180">
        <v>0.49354999999999999</v>
      </c>
      <c r="I180">
        <v>54.180198051826402</v>
      </c>
    </row>
    <row r="181" spans="1:9" x14ac:dyDescent="0.35">
      <c r="A181" s="417" t="s">
        <v>846</v>
      </c>
      <c r="B181" s="417" t="s">
        <v>680</v>
      </c>
      <c r="C181" s="83">
        <v>46270</v>
      </c>
      <c r="D181" s="417" t="s">
        <v>684</v>
      </c>
      <c r="E181">
        <v>725.51805000000002</v>
      </c>
      <c r="F181">
        <v>25</v>
      </c>
      <c r="G181">
        <v>29.020721999999999</v>
      </c>
      <c r="H181">
        <v>17.514783333333298</v>
      </c>
      <c r="I181">
        <v>44.585581561655097</v>
      </c>
    </row>
    <row r="182" spans="1:9" x14ac:dyDescent="0.35">
      <c r="A182" s="417" t="s">
        <v>846</v>
      </c>
      <c r="B182" s="417" t="s">
        <v>680</v>
      </c>
      <c r="C182" s="83">
        <v>46270</v>
      </c>
      <c r="D182" s="417" t="s">
        <v>688</v>
      </c>
      <c r="E182">
        <v>771.02493333333302</v>
      </c>
      <c r="F182">
        <v>25</v>
      </c>
      <c r="G182">
        <v>30.840997333333299</v>
      </c>
      <c r="H182">
        <v>9.9967833333333296</v>
      </c>
      <c r="I182">
        <v>50.923950247864397</v>
      </c>
    </row>
    <row r="183" spans="1:9" x14ac:dyDescent="0.35">
      <c r="A183" s="417" t="s">
        <v>846</v>
      </c>
      <c r="B183" s="417" t="s">
        <v>680</v>
      </c>
      <c r="C183" s="83">
        <v>46270</v>
      </c>
      <c r="D183" s="417" t="s">
        <v>689</v>
      </c>
      <c r="E183">
        <v>731.73516666666706</v>
      </c>
      <c r="F183">
        <v>23</v>
      </c>
      <c r="G183">
        <v>31.814572463768101</v>
      </c>
      <c r="H183">
        <v>2.4987833333333298</v>
      </c>
      <c r="I183">
        <v>60.720953584444402</v>
      </c>
    </row>
    <row r="184" spans="1:9" x14ac:dyDescent="0.35">
      <c r="A184" s="417" t="s">
        <v>846</v>
      </c>
      <c r="B184" s="417" t="s">
        <v>680</v>
      </c>
      <c r="C184" s="83">
        <v>46270</v>
      </c>
      <c r="D184" s="417" t="s">
        <v>683</v>
      </c>
      <c r="E184">
        <v>722.71510000000001</v>
      </c>
      <c r="F184">
        <v>18</v>
      </c>
      <c r="G184">
        <v>40.150838888888899</v>
      </c>
      <c r="H184">
        <v>1.3341166666666699</v>
      </c>
      <c r="I184">
        <v>51.172600822205801</v>
      </c>
    </row>
    <row r="185" spans="1:9" x14ac:dyDescent="0.35">
      <c r="A185" s="417" t="s">
        <v>846</v>
      </c>
      <c r="B185" s="417" t="s">
        <v>680</v>
      </c>
      <c r="C185" s="83">
        <v>46270</v>
      </c>
      <c r="D185" s="417" t="s">
        <v>687</v>
      </c>
      <c r="E185">
        <v>774.03576666666697</v>
      </c>
      <c r="F185">
        <v>13</v>
      </c>
      <c r="G185">
        <v>59.541212820512797</v>
      </c>
      <c r="H185">
        <v>16.170066666666699</v>
      </c>
      <c r="I185">
        <v>23.503365128220899</v>
      </c>
    </row>
    <row r="186" spans="1:9" x14ac:dyDescent="0.35">
      <c r="A186" s="417" t="s">
        <v>846</v>
      </c>
      <c r="B186" s="417" t="s">
        <v>680</v>
      </c>
      <c r="C186" s="83">
        <v>46270</v>
      </c>
      <c r="D186" s="417" t="s">
        <v>686</v>
      </c>
      <c r="E186">
        <v>673.50863333333302</v>
      </c>
      <c r="F186">
        <v>13</v>
      </c>
      <c r="G186">
        <v>51.808356410256401</v>
      </c>
      <c r="H186">
        <v>5.5161833333333297</v>
      </c>
      <c r="I186">
        <v>18.6896770695284</v>
      </c>
    </row>
    <row r="187" spans="1:9" x14ac:dyDescent="0.35">
      <c r="A187" s="417" t="s">
        <v>846</v>
      </c>
      <c r="B187" s="417" t="s">
        <v>680</v>
      </c>
      <c r="C187" s="83">
        <v>46270</v>
      </c>
      <c r="D187" s="417" t="s">
        <v>690</v>
      </c>
      <c r="E187">
        <v>823.05158333333304</v>
      </c>
      <c r="F187">
        <v>11</v>
      </c>
      <c r="G187">
        <v>74.8228712121212</v>
      </c>
      <c r="H187">
        <v>6.8349166666666701</v>
      </c>
      <c r="I187">
        <v>47.961329127324703</v>
      </c>
    </row>
    <row r="188" spans="1:9" x14ac:dyDescent="0.35">
      <c r="A188" s="417" t="s">
        <v>846</v>
      </c>
      <c r="B188" s="417" t="s">
        <v>680</v>
      </c>
      <c r="C188" s="83">
        <v>46270</v>
      </c>
      <c r="D188" s="417" t="s">
        <v>685</v>
      </c>
      <c r="E188">
        <v>732.86955</v>
      </c>
      <c r="F188">
        <v>11</v>
      </c>
      <c r="G188">
        <v>66.624504545454499</v>
      </c>
      <c r="H188">
        <v>4.1756333333333302</v>
      </c>
      <c r="I188">
        <v>57.948643323258302</v>
      </c>
    </row>
    <row r="189" spans="1:9" x14ac:dyDescent="0.35">
      <c r="A189" s="417" t="s">
        <v>846</v>
      </c>
      <c r="B189" s="417" t="s">
        <v>680</v>
      </c>
      <c r="C189" s="83">
        <v>46270</v>
      </c>
      <c r="D189" s="417" t="s">
        <v>682</v>
      </c>
      <c r="E189">
        <v>775.22258333333298</v>
      </c>
      <c r="F189">
        <v>10</v>
      </c>
      <c r="G189">
        <v>77.522258333333298</v>
      </c>
      <c r="H189">
        <v>10.821199999999999</v>
      </c>
      <c r="I189">
        <v>42.689893726646801</v>
      </c>
    </row>
    <row r="190" spans="1:9" x14ac:dyDescent="0.35">
      <c r="A190" s="417" t="s">
        <v>846</v>
      </c>
      <c r="B190" s="417" t="s">
        <v>691</v>
      </c>
      <c r="C190" s="83">
        <v>46270</v>
      </c>
      <c r="D190" s="417" t="s">
        <v>305</v>
      </c>
      <c r="E190">
        <v>505.06763333333299</v>
      </c>
      <c r="F190">
        <v>265</v>
      </c>
      <c r="G190">
        <v>1.9059155974842801</v>
      </c>
      <c r="H190">
        <v>5.9930666666666701</v>
      </c>
      <c r="I190">
        <v>28.0832750973786</v>
      </c>
    </row>
    <row r="191" spans="1:9" x14ac:dyDescent="0.35">
      <c r="A191" s="417" t="s">
        <v>846</v>
      </c>
      <c r="B191" s="417" t="s">
        <v>691</v>
      </c>
      <c r="C191" s="83">
        <v>46270</v>
      </c>
      <c r="D191" s="417" t="s">
        <v>303</v>
      </c>
      <c r="E191">
        <v>810.56290000000001</v>
      </c>
      <c r="F191">
        <v>57</v>
      </c>
      <c r="G191">
        <v>14.220401754386</v>
      </c>
      <c r="H191">
        <v>0.66753333333333298</v>
      </c>
      <c r="I191">
        <v>43.795208142308901</v>
      </c>
    </row>
    <row r="192" spans="1:9" x14ac:dyDescent="0.35">
      <c r="A192" s="417" t="s">
        <v>846</v>
      </c>
      <c r="B192" s="417" t="s">
        <v>691</v>
      </c>
      <c r="C192" s="83">
        <v>46270</v>
      </c>
      <c r="D192" s="417" t="s">
        <v>299</v>
      </c>
      <c r="E192">
        <v>948.72188333333304</v>
      </c>
      <c r="F192">
        <v>47</v>
      </c>
      <c r="G192">
        <v>20.185571985815599</v>
      </c>
      <c r="H192">
        <v>1.1216666666666699</v>
      </c>
      <c r="I192">
        <v>59.0375229214889</v>
      </c>
    </row>
    <row r="193" spans="1:9" x14ac:dyDescent="0.35">
      <c r="A193" s="417" t="s">
        <v>846</v>
      </c>
      <c r="B193" s="417" t="s">
        <v>691</v>
      </c>
      <c r="C193" s="83">
        <v>46270</v>
      </c>
      <c r="D193" s="417" t="s">
        <v>309</v>
      </c>
      <c r="E193">
        <v>775.352033333333</v>
      </c>
      <c r="F193">
        <v>33</v>
      </c>
      <c r="G193">
        <v>23.495516161616202</v>
      </c>
      <c r="H193">
        <v>0</v>
      </c>
      <c r="I193">
        <v>24.673108511169001</v>
      </c>
    </row>
    <row r="194" spans="1:9" x14ac:dyDescent="0.35">
      <c r="A194" s="417" t="s">
        <v>846</v>
      </c>
      <c r="B194" s="417" t="s">
        <v>691</v>
      </c>
      <c r="C194" s="83">
        <v>46270</v>
      </c>
      <c r="D194" s="417" t="s">
        <v>295</v>
      </c>
      <c r="E194">
        <v>986.49583333333396</v>
      </c>
      <c r="F194">
        <v>32</v>
      </c>
      <c r="G194">
        <v>30.827994791666701</v>
      </c>
      <c r="H194">
        <v>0.50570000000000004</v>
      </c>
      <c r="I194">
        <v>43.755697386639604</v>
      </c>
    </row>
    <row r="195" spans="1:9" x14ac:dyDescent="0.35">
      <c r="A195" s="417" t="s">
        <v>846</v>
      </c>
      <c r="B195" s="417" t="s">
        <v>691</v>
      </c>
      <c r="C195" s="83">
        <v>46270</v>
      </c>
      <c r="D195" s="417" t="s">
        <v>301</v>
      </c>
      <c r="E195">
        <v>832.73303333333297</v>
      </c>
      <c r="F195">
        <v>21</v>
      </c>
      <c r="G195">
        <v>39.653953968254001</v>
      </c>
      <c r="H195">
        <v>9.5000000000000001E-2</v>
      </c>
      <c r="I195">
        <v>56.976742690468697</v>
      </c>
    </row>
    <row r="196" spans="1:9" x14ac:dyDescent="0.35">
      <c r="A196" s="417" t="s">
        <v>846</v>
      </c>
      <c r="B196" s="417" t="s">
        <v>691</v>
      </c>
      <c r="C196" s="83">
        <v>46270</v>
      </c>
      <c r="D196" s="417" t="s">
        <v>314</v>
      </c>
      <c r="E196">
        <v>1048.48086666667</v>
      </c>
      <c r="F196">
        <v>15</v>
      </c>
      <c r="G196">
        <v>69.898724444444397</v>
      </c>
      <c r="H196">
        <v>1.1866333333333301</v>
      </c>
      <c r="I196">
        <v>40.192914061746897</v>
      </c>
    </row>
    <row r="197" spans="1:9" x14ac:dyDescent="0.35">
      <c r="A197" s="417" t="s">
        <v>846</v>
      </c>
      <c r="B197" s="417" t="s">
        <v>691</v>
      </c>
      <c r="C197" s="83">
        <v>46270</v>
      </c>
      <c r="D197" s="417" t="s">
        <v>310</v>
      </c>
      <c r="E197">
        <v>760.50413333333302</v>
      </c>
      <c r="F197">
        <v>15</v>
      </c>
      <c r="G197">
        <v>50.700275555555599</v>
      </c>
      <c r="H197">
        <v>0.176666666666667</v>
      </c>
      <c r="I197">
        <v>30.243553067775998</v>
      </c>
    </row>
    <row r="198" spans="1:9" x14ac:dyDescent="0.35">
      <c r="A198" s="417" t="s">
        <v>846</v>
      </c>
      <c r="B198" s="417" t="s">
        <v>691</v>
      </c>
      <c r="C198" s="83">
        <v>46270</v>
      </c>
      <c r="D198" s="417" t="s">
        <v>313</v>
      </c>
      <c r="E198">
        <v>1066.78913333333</v>
      </c>
      <c r="F198">
        <v>7</v>
      </c>
      <c r="G198">
        <v>152.398447619048</v>
      </c>
      <c r="H198">
        <v>0</v>
      </c>
      <c r="I198">
        <v>53.008746809295303</v>
      </c>
    </row>
    <row r="199" spans="1:9" x14ac:dyDescent="0.35">
      <c r="A199" s="417" t="s">
        <v>846</v>
      </c>
      <c r="B199" s="417" t="s">
        <v>691</v>
      </c>
      <c r="C199" s="83">
        <v>46270</v>
      </c>
      <c r="D199" s="417" t="s">
        <v>317</v>
      </c>
      <c r="E199">
        <v>1060.28721666667</v>
      </c>
      <c r="F199">
        <v>4</v>
      </c>
      <c r="G199">
        <v>265.07180416666699</v>
      </c>
      <c r="H199">
        <v>2.6031</v>
      </c>
      <c r="I199">
        <v>26.216251632988399</v>
      </c>
    </row>
    <row r="200" spans="1:9" x14ac:dyDescent="0.35">
      <c r="A200" s="417" t="s">
        <v>846</v>
      </c>
      <c r="B200" s="417" t="s">
        <v>691</v>
      </c>
      <c r="C200" s="83">
        <v>46270</v>
      </c>
      <c r="D200" s="417" t="s">
        <v>504</v>
      </c>
      <c r="E200">
        <v>1080</v>
      </c>
      <c r="F200">
        <v>1</v>
      </c>
      <c r="G200">
        <v>1080</v>
      </c>
      <c r="H200">
        <v>0</v>
      </c>
      <c r="I200">
        <v>10.390534979423901</v>
      </c>
    </row>
    <row r="201" spans="1:9" x14ac:dyDescent="0.35">
      <c r="A201" s="417" t="s">
        <v>846</v>
      </c>
      <c r="B201" s="417" t="s">
        <v>691</v>
      </c>
      <c r="C201" s="83">
        <v>46270</v>
      </c>
      <c r="D201" s="417" t="s">
        <v>342</v>
      </c>
      <c r="E201">
        <v>120</v>
      </c>
      <c r="F201">
        <v>1</v>
      </c>
      <c r="G201">
        <v>120</v>
      </c>
      <c r="H201">
        <v>0</v>
      </c>
      <c r="I201">
        <v>0</v>
      </c>
    </row>
    <row r="202" spans="1:9" x14ac:dyDescent="0.35">
      <c r="A202" s="417" t="s">
        <v>846</v>
      </c>
      <c r="B202" s="417" t="s">
        <v>676</v>
      </c>
      <c r="C202" s="83">
        <v>46269</v>
      </c>
      <c r="D202" s="417" t="s">
        <v>677</v>
      </c>
      <c r="E202">
        <v>274.30906666666698</v>
      </c>
      <c r="F202">
        <v>76</v>
      </c>
      <c r="G202">
        <v>3.6093298245613998</v>
      </c>
      <c r="H202">
        <v>43.187333333333299</v>
      </c>
      <c r="I202">
        <v>16.161111111111101</v>
      </c>
    </row>
    <row r="203" spans="1:9" x14ac:dyDescent="0.35">
      <c r="A203" s="417" t="s">
        <v>846</v>
      </c>
      <c r="B203" s="417" t="s">
        <v>676</v>
      </c>
      <c r="C203" s="83">
        <v>46269</v>
      </c>
      <c r="D203" s="417" t="s">
        <v>678</v>
      </c>
      <c r="E203">
        <v>178.64384999999999</v>
      </c>
      <c r="F203">
        <v>10</v>
      </c>
      <c r="G203">
        <v>17.864384999999999</v>
      </c>
      <c r="H203">
        <v>19.825516666666701</v>
      </c>
      <c r="I203">
        <v>73.562764020879399</v>
      </c>
    </row>
    <row r="204" spans="1:9" x14ac:dyDescent="0.35">
      <c r="A204" s="417" t="s">
        <v>846</v>
      </c>
      <c r="B204" s="417" t="s">
        <v>676</v>
      </c>
      <c r="C204" s="83">
        <v>46269</v>
      </c>
      <c r="D204" s="417" t="s">
        <v>679</v>
      </c>
      <c r="E204">
        <v>210.77160000000001</v>
      </c>
      <c r="F204">
        <v>7</v>
      </c>
      <c r="G204">
        <v>30.1102285714286</v>
      </c>
      <c r="H204">
        <v>8.5008499999999998</v>
      </c>
      <c r="I204">
        <v>74.774395592601095</v>
      </c>
    </row>
    <row r="205" spans="1:9" x14ac:dyDescent="0.35">
      <c r="A205" s="417" t="s">
        <v>846</v>
      </c>
      <c r="B205" s="417" t="s">
        <v>680</v>
      </c>
      <c r="C205" s="83">
        <v>46269</v>
      </c>
      <c r="D205" s="417" t="s">
        <v>685</v>
      </c>
      <c r="E205">
        <v>345.03988333333302</v>
      </c>
      <c r="F205">
        <v>17</v>
      </c>
      <c r="G205">
        <v>20.296463725490199</v>
      </c>
      <c r="H205">
        <v>6.6407499999999997</v>
      </c>
      <c r="I205">
        <v>38.089557148631997</v>
      </c>
    </row>
    <row r="206" spans="1:9" x14ac:dyDescent="0.35">
      <c r="A206" s="417" t="s">
        <v>846</v>
      </c>
      <c r="B206" s="417" t="s">
        <v>680</v>
      </c>
      <c r="C206" s="83">
        <v>46269</v>
      </c>
      <c r="D206" s="417" t="s">
        <v>689</v>
      </c>
      <c r="E206">
        <v>241.10651666666701</v>
      </c>
      <c r="F206">
        <v>17</v>
      </c>
      <c r="G206">
        <v>14.1827362745098</v>
      </c>
      <c r="H206">
        <v>0</v>
      </c>
      <c r="I206">
        <v>55.455688063466503</v>
      </c>
    </row>
    <row r="207" spans="1:9" x14ac:dyDescent="0.35">
      <c r="A207" s="417" t="s">
        <v>846</v>
      </c>
      <c r="B207" s="417" t="s">
        <v>680</v>
      </c>
      <c r="C207" s="83">
        <v>46269</v>
      </c>
      <c r="D207" s="417" t="s">
        <v>683</v>
      </c>
      <c r="E207">
        <v>234.81128333333299</v>
      </c>
      <c r="F207">
        <v>8</v>
      </c>
      <c r="G207">
        <v>29.351410416666699</v>
      </c>
      <c r="H207">
        <v>5.0291833333333296</v>
      </c>
      <c r="I207">
        <v>53.224465510908701</v>
      </c>
    </row>
    <row r="208" spans="1:9" x14ac:dyDescent="0.35">
      <c r="A208" s="417" t="s">
        <v>846</v>
      </c>
      <c r="B208" s="417" t="s">
        <v>680</v>
      </c>
      <c r="C208" s="83">
        <v>46269</v>
      </c>
      <c r="D208" s="417" t="s">
        <v>681</v>
      </c>
      <c r="E208">
        <v>235.90333333333299</v>
      </c>
      <c r="F208">
        <v>8</v>
      </c>
      <c r="G208">
        <v>29.487916666666699</v>
      </c>
      <c r="H208">
        <v>0</v>
      </c>
      <c r="I208">
        <v>59.579707259723598</v>
      </c>
    </row>
    <row r="209" spans="1:9" x14ac:dyDescent="0.35">
      <c r="A209" s="417" t="s">
        <v>846</v>
      </c>
      <c r="B209" s="417" t="s">
        <v>680</v>
      </c>
      <c r="C209" s="83">
        <v>46269</v>
      </c>
      <c r="D209" s="417" t="s">
        <v>686</v>
      </c>
      <c r="E209">
        <v>308.00119999999998</v>
      </c>
      <c r="F209">
        <v>7</v>
      </c>
      <c r="G209">
        <v>44.000171428571399</v>
      </c>
      <c r="H209">
        <v>15.165416666666699</v>
      </c>
      <c r="I209">
        <v>37.087539143367202</v>
      </c>
    </row>
    <row r="210" spans="1:9" x14ac:dyDescent="0.35">
      <c r="A210" s="417" t="s">
        <v>846</v>
      </c>
      <c r="B210" s="417" t="s">
        <v>680</v>
      </c>
      <c r="C210" s="83">
        <v>46269</v>
      </c>
      <c r="D210" s="417" t="s">
        <v>684</v>
      </c>
      <c r="E210">
        <v>249.579466666667</v>
      </c>
      <c r="F210">
        <v>7</v>
      </c>
      <c r="G210">
        <v>35.654209523809499</v>
      </c>
      <c r="H210">
        <v>0.49868333333333298</v>
      </c>
      <c r="I210">
        <v>48.628788461314102</v>
      </c>
    </row>
    <row r="211" spans="1:9" x14ac:dyDescent="0.35">
      <c r="A211" s="417" t="s">
        <v>846</v>
      </c>
      <c r="B211" s="417" t="s">
        <v>680</v>
      </c>
      <c r="C211" s="83">
        <v>46269</v>
      </c>
      <c r="D211" s="417" t="s">
        <v>682</v>
      </c>
      <c r="E211">
        <v>357.51155</v>
      </c>
      <c r="F211">
        <v>4</v>
      </c>
      <c r="G211">
        <v>89.3778875</v>
      </c>
      <c r="H211">
        <v>0.66068333333333296</v>
      </c>
      <c r="I211">
        <v>32.808429995637702</v>
      </c>
    </row>
    <row r="212" spans="1:9" x14ac:dyDescent="0.35">
      <c r="A212" s="417" t="s">
        <v>846</v>
      </c>
      <c r="B212" s="417" t="s">
        <v>680</v>
      </c>
      <c r="C212" s="83">
        <v>46269</v>
      </c>
      <c r="D212" s="417" t="s">
        <v>687</v>
      </c>
      <c r="E212">
        <v>350.99341666666697</v>
      </c>
      <c r="F212">
        <v>4</v>
      </c>
      <c r="G212">
        <v>87.748354166666701</v>
      </c>
      <c r="H212">
        <v>6.1727166666666697</v>
      </c>
      <c r="I212">
        <v>13.646310624448899</v>
      </c>
    </row>
    <row r="213" spans="1:9" x14ac:dyDescent="0.35">
      <c r="A213" s="417" t="s">
        <v>846</v>
      </c>
      <c r="B213" s="417" t="s">
        <v>680</v>
      </c>
      <c r="C213" s="83">
        <v>46269</v>
      </c>
      <c r="D213" s="417" t="s">
        <v>688</v>
      </c>
      <c r="E213">
        <v>339.33069999999998</v>
      </c>
      <c r="F213">
        <v>2</v>
      </c>
      <c r="G213">
        <v>169.66534999999999</v>
      </c>
      <c r="H213">
        <v>0.333666666666667</v>
      </c>
      <c r="I213">
        <v>40.360697954944698</v>
      </c>
    </row>
    <row r="214" spans="1:9" x14ac:dyDescent="0.35">
      <c r="A214" s="417" t="s">
        <v>846</v>
      </c>
      <c r="B214" s="417" t="s">
        <v>680</v>
      </c>
      <c r="C214" s="83">
        <v>46269</v>
      </c>
      <c r="D214" s="417" t="s">
        <v>690</v>
      </c>
      <c r="E214">
        <v>326.99565000000001</v>
      </c>
      <c r="F214">
        <v>1</v>
      </c>
      <c r="G214">
        <v>326.99565000000001</v>
      </c>
      <c r="H214">
        <v>0</v>
      </c>
      <c r="I214">
        <v>37.298244292741003</v>
      </c>
    </row>
    <row r="215" spans="1:9" x14ac:dyDescent="0.35">
      <c r="A215" s="417" t="s">
        <v>846</v>
      </c>
      <c r="B215" s="417" t="s">
        <v>691</v>
      </c>
      <c r="C215" s="83">
        <v>46269</v>
      </c>
      <c r="D215" s="417" t="s">
        <v>309</v>
      </c>
      <c r="E215">
        <v>203.25354999999999</v>
      </c>
      <c r="F215">
        <v>31</v>
      </c>
      <c r="G215">
        <v>6.5565661290322597</v>
      </c>
      <c r="H215">
        <v>0</v>
      </c>
      <c r="I215">
        <v>25.6333125379672</v>
      </c>
    </row>
    <row r="216" spans="1:9" x14ac:dyDescent="0.35">
      <c r="A216" s="417" t="s">
        <v>846</v>
      </c>
      <c r="B216" s="417" t="s">
        <v>691</v>
      </c>
      <c r="C216" s="83">
        <v>46269</v>
      </c>
      <c r="D216" s="417" t="s">
        <v>295</v>
      </c>
      <c r="E216">
        <v>327.83906666666701</v>
      </c>
      <c r="F216">
        <v>24</v>
      </c>
      <c r="G216">
        <v>13.6599611111111</v>
      </c>
      <c r="H216">
        <v>0.15195</v>
      </c>
      <c r="I216">
        <v>33.880826120518101</v>
      </c>
    </row>
    <row r="217" spans="1:9" x14ac:dyDescent="0.35">
      <c r="A217" s="417" t="s">
        <v>846</v>
      </c>
      <c r="B217" s="417" t="s">
        <v>691</v>
      </c>
      <c r="C217" s="83">
        <v>46269</v>
      </c>
      <c r="D217" s="417" t="s">
        <v>303</v>
      </c>
      <c r="E217">
        <v>253.44735</v>
      </c>
      <c r="F217">
        <v>21</v>
      </c>
      <c r="G217">
        <v>12.0689214285714</v>
      </c>
      <c r="H217">
        <v>0.20830000000000001</v>
      </c>
      <c r="I217">
        <v>30.969640761630799</v>
      </c>
    </row>
    <row r="218" spans="1:9" x14ac:dyDescent="0.35">
      <c r="A218" s="417" t="s">
        <v>846</v>
      </c>
      <c r="B218" s="417" t="s">
        <v>691</v>
      </c>
      <c r="C218" s="83">
        <v>46269</v>
      </c>
      <c r="D218" s="417" t="s">
        <v>310</v>
      </c>
      <c r="E218">
        <v>246.88735</v>
      </c>
      <c r="F218">
        <v>20</v>
      </c>
      <c r="G218">
        <v>12.344367500000001</v>
      </c>
      <c r="H218">
        <v>0.15529999999999999</v>
      </c>
      <c r="I218">
        <v>33.172979552995201</v>
      </c>
    </row>
    <row r="219" spans="1:9" x14ac:dyDescent="0.35">
      <c r="A219" s="417" t="s">
        <v>846</v>
      </c>
      <c r="B219" s="417" t="s">
        <v>691</v>
      </c>
      <c r="C219" s="83">
        <v>46269</v>
      </c>
      <c r="D219" s="417" t="s">
        <v>301</v>
      </c>
      <c r="E219">
        <v>253.060133333333</v>
      </c>
      <c r="F219">
        <v>16</v>
      </c>
      <c r="G219">
        <v>15.8162583333333</v>
      </c>
      <c r="H219">
        <v>8.4183333333333304E-2</v>
      </c>
      <c r="I219">
        <v>40.4840141317327</v>
      </c>
    </row>
    <row r="220" spans="1:9" x14ac:dyDescent="0.35">
      <c r="A220" s="417" t="s">
        <v>846</v>
      </c>
      <c r="B220" s="417" t="s">
        <v>691</v>
      </c>
      <c r="C220" s="83">
        <v>46269</v>
      </c>
      <c r="D220" s="417" t="s">
        <v>299</v>
      </c>
      <c r="E220">
        <v>256.16854999999998</v>
      </c>
      <c r="F220">
        <v>7</v>
      </c>
      <c r="G220">
        <v>36.595507142857102</v>
      </c>
      <c r="H220">
        <v>0.89083333333333303</v>
      </c>
      <c r="I220">
        <v>49.9573022230974</v>
      </c>
    </row>
    <row r="221" spans="1:9" x14ac:dyDescent="0.35">
      <c r="A221" s="417" t="s">
        <v>846</v>
      </c>
      <c r="B221" s="417" t="s">
        <v>691</v>
      </c>
      <c r="C221" s="83">
        <v>46269</v>
      </c>
      <c r="D221" s="417" t="s">
        <v>314</v>
      </c>
      <c r="E221">
        <v>359.53035</v>
      </c>
      <c r="F221">
        <v>2</v>
      </c>
      <c r="G221">
        <v>179.765175</v>
      </c>
      <c r="H221">
        <v>0.46965000000000001</v>
      </c>
      <c r="I221">
        <v>13.9444444444444</v>
      </c>
    </row>
    <row r="222" spans="1:9" x14ac:dyDescent="0.35">
      <c r="A222" s="417" t="s">
        <v>846</v>
      </c>
      <c r="B222" s="417" t="s">
        <v>691</v>
      </c>
      <c r="C222" s="83">
        <v>46269</v>
      </c>
      <c r="D222" s="417" t="s">
        <v>504</v>
      </c>
      <c r="E222">
        <v>360</v>
      </c>
      <c r="F222">
        <v>1</v>
      </c>
      <c r="G222">
        <v>360</v>
      </c>
      <c r="H222">
        <v>0</v>
      </c>
      <c r="I222">
        <v>26.901234567901199</v>
      </c>
    </row>
    <row r="223" spans="1:9" x14ac:dyDescent="0.35">
      <c r="A223" s="417" t="s">
        <v>846</v>
      </c>
      <c r="B223" s="417" t="s">
        <v>691</v>
      </c>
      <c r="C223" s="83">
        <v>46269</v>
      </c>
      <c r="D223" s="417" t="s">
        <v>317</v>
      </c>
      <c r="E223">
        <v>299.5564</v>
      </c>
      <c r="F223">
        <v>1</v>
      </c>
      <c r="G223">
        <v>299.5564</v>
      </c>
      <c r="H223">
        <v>0</v>
      </c>
      <c r="I223">
        <v>22.199492315971199</v>
      </c>
    </row>
    <row r="224" spans="1:9" x14ac:dyDescent="0.35">
      <c r="A224" s="417" t="s">
        <v>846</v>
      </c>
      <c r="B224" s="417" t="s">
        <v>691</v>
      </c>
      <c r="C224" s="83">
        <v>46269</v>
      </c>
      <c r="D224" s="417" t="s">
        <v>313</v>
      </c>
      <c r="E224">
        <v>342.12141666666702</v>
      </c>
      <c r="F224">
        <v>1</v>
      </c>
      <c r="G224">
        <v>342.12141666666702</v>
      </c>
      <c r="H224">
        <v>0</v>
      </c>
      <c r="I224">
        <v>37.179782908455799</v>
      </c>
    </row>
    <row r="225" spans="1:9" x14ac:dyDescent="0.35">
      <c r="A225" s="417" t="s">
        <v>846</v>
      </c>
      <c r="B225" s="417" t="s">
        <v>676</v>
      </c>
      <c r="C225" s="83">
        <v>46268</v>
      </c>
      <c r="D225" s="417" t="s">
        <v>677</v>
      </c>
      <c r="E225">
        <v>1259.7847666666701</v>
      </c>
      <c r="F225">
        <v>231</v>
      </c>
      <c r="G225">
        <v>5.4536137085137097</v>
      </c>
      <c r="H225">
        <v>128.37665000000001</v>
      </c>
      <c r="I225">
        <v>34.477499999999999</v>
      </c>
    </row>
    <row r="226" spans="1:9" x14ac:dyDescent="0.35">
      <c r="A226" s="417" t="s">
        <v>846</v>
      </c>
      <c r="B226" s="417" t="s">
        <v>676</v>
      </c>
      <c r="C226" s="83">
        <v>46268</v>
      </c>
      <c r="D226" s="417" t="s">
        <v>678</v>
      </c>
      <c r="E226">
        <v>1279.3336833333301</v>
      </c>
      <c r="F226">
        <v>58</v>
      </c>
      <c r="G226">
        <v>22.0574772988506</v>
      </c>
      <c r="H226">
        <v>54.001433333333303</v>
      </c>
      <c r="I226">
        <v>102.279390226489</v>
      </c>
    </row>
    <row r="227" spans="1:9" x14ac:dyDescent="0.35">
      <c r="A227" s="417" t="s">
        <v>846</v>
      </c>
      <c r="B227" s="417" t="s">
        <v>676</v>
      </c>
      <c r="C227" s="83">
        <v>46268</v>
      </c>
      <c r="D227" s="417" t="s">
        <v>679</v>
      </c>
      <c r="E227">
        <v>1381.7962833333299</v>
      </c>
      <c r="F227">
        <v>23</v>
      </c>
      <c r="G227">
        <v>60.078099275362298</v>
      </c>
      <c r="H227">
        <v>15.6781333333333</v>
      </c>
      <c r="I227">
        <v>95.257080734870897</v>
      </c>
    </row>
    <row r="228" spans="1:9" x14ac:dyDescent="0.35">
      <c r="A228" s="417" t="s">
        <v>846</v>
      </c>
      <c r="B228" s="417" t="s">
        <v>680</v>
      </c>
      <c r="C228" s="83">
        <v>46268</v>
      </c>
      <c r="D228" s="417" t="s">
        <v>684</v>
      </c>
      <c r="E228">
        <v>1311.6508833333301</v>
      </c>
      <c r="F228">
        <v>83</v>
      </c>
      <c r="G228">
        <v>15.8030226907631</v>
      </c>
      <c r="H228">
        <v>62.697933333333303</v>
      </c>
      <c r="I228">
        <v>60.357353040440202</v>
      </c>
    </row>
    <row r="229" spans="1:9" x14ac:dyDescent="0.35">
      <c r="A229" s="417" t="s">
        <v>846</v>
      </c>
      <c r="B229" s="417" t="s">
        <v>680</v>
      </c>
      <c r="C229" s="83">
        <v>46268</v>
      </c>
      <c r="D229" s="417" t="s">
        <v>689</v>
      </c>
      <c r="E229">
        <v>1367.16088333333</v>
      </c>
      <c r="F229">
        <v>61</v>
      </c>
      <c r="G229">
        <v>22.412473497267801</v>
      </c>
      <c r="H229">
        <v>0.17365</v>
      </c>
      <c r="I229">
        <v>80.522532533601193</v>
      </c>
    </row>
    <row r="230" spans="1:9" x14ac:dyDescent="0.35">
      <c r="A230" s="417" t="s">
        <v>846</v>
      </c>
      <c r="B230" s="417" t="s">
        <v>680</v>
      </c>
      <c r="C230" s="83">
        <v>46268</v>
      </c>
      <c r="D230" s="417" t="s">
        <v>686</v>
      </c>
      <c r="E230">
        <v>1239.7606000000001</v>
      </c>
      <c r="F230">
        <v>38</v>
      </c>
      <c r="G230">
        <v>32.6252789473684</v>
      </c>
      <c r="H230">
        <v>31.501566666666701</v>
      </c>
      <c r="I230">
        <v>83.244398614438296</v>
      </c>
    </row>
    <row r="231" spans="1:9" x14ac:dyDescent="0.35">
      <c r="A231" s="417" t="s">
        <v>846</v>
      </c>
      <c r="B231" s="417" t="s">
        <v>680</v>
      </c>
      <c r="C231" s="83">
        <v>46268</v>
      </c>
      <c r="D231" s="417" t="s">
        <v>681</v>
      </c>
      <c r="E231">
        <v>1382.63703333333</v>
      </c>
      <c r="F231">
        <v>32</v>
      </c>
      <c r="G231">
        <v>43.207407291666698</v>
      </c>
      <c r="H231">
        <v>0.16693333333333299</v>
      </c>
      <c r="I231">
        <v>70.415879411622896</v>
      </c>
    </row>
    <row r="232" spans="1:9" x14ac:dyDescent="0.35">
      <c r="A232" s="417" t="s">
        <v>846</v>
      </c>
      <c r="B232" s="417" t="s">
        <v>680</v>
      </c>
      <c r="C232" s="83">
        <v>46268</v>
      </c>
      <c r="D232" s="417" t="s">
        <v>683</v>
      </c>
      <c r="E232">
        <v>1340.02056666667</v>
      </c>
      <c r="F232">
        <v>26</v>
      </c>
      <c r="G232">
        <v>51.539252564102597</v>
      </c>
      <c r="H232">
        <v>4.4981</v>
      </c>
      <c r="I232">
        <v>54.467091849184897</v>
      </c>
    </row>
    <row r="233" spans="1:9" x14ac:dyDescent="0.35">
      <c r="A233" s="417" t="s">
        <v>846</v>
      </c>
      <c r="B233" s="417" t="s">
        <v>680</v>
      </c>
      <c r="C233" s="83">
        <v>46268</v>
      </c>
      <c r="D233" s="417" t="s">
        <v>688</v>
      </c>
      <c r="E233">
        <v>1396.41378333333</v>
      </c>
      <c r="F233">
        <v>24</v>
      </c>
      <c r="G233">
        <v>58.183907638888897</v>
      </c>
      <c r="H233">
        <v>12.6691</v>
      </c>
      <c r="I233">
        <v>68.897261993463999</v>
      </c>
    </row>
    <row r="234" spans="1:9" x14ac:dyDescent="0.35">
      <c r="A234" s="417" t="s">
        <v>846</v>
      </c>
      <c r="B234" s="417" t="s">
        <v>680</v>
      </c>
      <c r="C234" s="83">
        <v>46268</v>
      </c>
      <c r="D234" s="417" t="s">
        <v>687</v>
      </c>
      <c r="E234">
        <v>1390.6703333333301</v>
      </c>
      <c r="F234">
        <v>15</v>
      </c>
      <c r="G234">
        <v>92.711355555555599</v>
      </c>
      <c r="H234">
        <v>22.8395333333333</v>
      </c>
      <c r="I234">
        <v>30.500709813071701</v>
      </c>
    </row>
    <row r="235" spans="1:9" x14ac:dyDescent="0.35">
      <c r="A235" s="417" t="s">
        <v>846</v>
      </c>
      <c r="B235" s="417" t="s">
        <v>680</v>
      </c>
      <c r="C235" s="83">
        <v>46268</v>
      </c>
      <c r="D235" s="417" t="s">
        <v>685</v>
      </c>
      <c r="E235">
        <v>1410.01731666667</v>
      </c>
      <c r="F235">
        <v>12</v>
      </c>
      <c r="G235">
        <v>117.501443055556</v>
      </c>
      <c r="H235">
        <v>12.82855</v>
      </c>
      <c r="I235">
        <v>79.056352508921194</v>
      </c>
    </row>
    <row r="236" spans="1:9" x14ac:dyDescent="0.35">
      <c r="A236" s="417" t="s">
        <v>846</v>
      </c>
      <c r="B236" s="417" t="s">
        <v>680</v>
      </c>
      <c r="C236" s="83">
        <v>46268</v>
      </c>
      <c r="D236" s="417" t="s">
        <v>682</v>
      </c>
      <c r="E236">
        <v>1420.4032500000001</v>
      </c>
      <c r="F236">
        <v>11</v>
      </c>
      <c r="G236">
        <v>129.12756818181799</v>
      </c>
      <c r="H236">
        <v>7.3410166666666701</v>
      </c>
      <c r="I236">
        <v>58.582823089623602</v>
      </c>
    </row>
    <row r="237" spans="1:9" x14ac:dyDescent="0.35">
      <c r="A237" s="417" t="s">
        <v>846</v>
      </c>
      <c r="B237" s="417" t="s">
        <v>680</v>
      </c>
      <c r="C237" s="83">
        <v>46268</v>
      </c>
      <c r="D237" s="417" t="s">
        <v>690</v>
      </c>
      <c r="E237">
        <v>1421.00225</v>
      </c>
      <c r="F237">
        <v>8</v>
      </c>
      <c r="G237">
        <v>177.62528125</v>
      </c>
      <c r="H237">
        <v>3.0082666666666702</v>
      </c>
      <c r="I237">
        <v>48.367736902378198</v>
      </c>
    </row>
    <row r="238" spans="1:9" x14ac:dyDescent="0.35">
      <c r="A238" s="417" t="s">
        <v>846</v>
      </c>
      <c r="B238" s="417" t="s">
        <v>691</v>
      </c>
      <c r="C238" s="83">
        <v>46268</v>
      </c>
      <c r="D238" s="417" t="s">
        <v>305</v>
      </c>
      <c r="E238">
        <v>1210.2123166666699</v>
      </c>
      <c r="F238">
        <v>143</v>
      </c>
      <c r="G238">
        <v>8.4630231934731892</v>
      </c>
      <c r="H238">
        <v>9.2711000000000006</v>
      </c>
      <c r="I238">
        <v>56.365987232597803</v>
      </c>
    </row>
    <row r="239" spans="1:9" x14ac:dyDescent="0.35">
      <c r="A239" s="417" t="s">
        <v>846</v>
      </c>
      <c r="B239" s="417" t="s">
        <v>691</v>
      </c>
      <c r="C239" s="83">
        <v>46268</v>
      </c>
      <c r="D239" s="417" t="s">
        <v>309</v>
      </c>
      <c r="E239">
        <v>983.27515000000005</v>
      </c>
      <c r="F239">
        <v>122</v>
      </c>
      <c r="G239">
        <v>8.05963237704918</v>
      </c>
      <c r="H239">
        <v>0</v>
      </c>
      <c r="I239">
        <v>37.209343855203997</v>
      </c>
    </row>
    <row r="240" spans="1:9" x14ac:dyDescent="0.35">
      <c r="A240" s="417" t="s">
        <v>846</v>
      </c>
      <c r="B240" s="417" t="s">
        <v>691</v>
      </c>
      <c r="C240" s="83">
        <v>46268</v>
      </c>
      <c r="D240" s="417" t="s">
        <v>303</v>
      </c>
      <c r="E240">
        <v>1289.96033333333</v>
      </c>
      <c r="F240">
        <v>75</v>
      </c>
      <c r="G240">
        <v>17.199471111111102</v>
      </c>
      <c r="H240">
        <v>0.49663333333333298</v>
      </c>
      <c r="I240">
        <v>42.800269451860203</v>
      </c>
    </row>
    <row r="241" spans="1:9" x14ac:dyDescent="0.35">
      <c r="A241" s="417" t="s">
        <v>846</v>
      </c>
      <c r="B241" s="417" t="s">
        <v>691</v>
      </c>
      <c r="C241" s="83">
        <v>46268</v>
      </c>
      <c r="D241" s="417" t="s">
        <v>295</v>
      </c>
      <c r="E241">
        <v>1295.96043333333</v>
      </c>
      <c r="F241">
        <v>60</v>
      </c>
      <c r="G241">
        <v>21.5993405555556</v>
      </c>
      <c r="H241">
        <v>0.134816666666667</v>
      </c>
      <c r="I241">
        <v>64.182975247143901</v>
      </c>
    </row>
    <row r="242" spans="1:9" x14ac:dyDescent="0.35">
      <c r="A242" s="417" t="s">
        <v>846</v>
      </c>
      <c r="B242" s="417" t="s">
        <v>691</v>
      </c>
      <c r="C242" s="83">
        <v>46268</v>
      </c>
      <c r="D242" s="417" t="s">
        <v>301</v>
      </c>
      <c r="E242">
        <v>1393.64746666667</v>
      </c>
      <c r="F242">
        <v>41</v>
      </c>
      <c r="G242">
        <v>33.991401626016298</v>
      </c>
      <c r="H242">
        <v>3.3541166666666702</v>
      </c>
      <c r="I242">
        <v>56.1898081300603</v>
      </c>
    </row>
    <row r="243" spans="1:9" x14ac:dyDescent="0.35">
      <c r="A243" s="417" t="s">
        <v>846</v>
      </c>
      <c r="B243" s="417" t="s">
        <v>691</v>
      </c>
      <c r="C243" s="83">
        <v>46268</v>
      </c>
      <c r="D243" s="417" t="s">
        <v>299</v>
      </c>
      <c r="E243">
        <v>1370.0984000000001</v>
      </c>
      <c r="F243">
        <v>30</v>
      </c>
      <c r="G243">
        <v>45.669946666666704</v>
      </c>
      <c r="H243">
        <v>0.16718333333333299</v>
      </c>
      <c r="I243">
        <v>63.520143619437903</v>
      </c>
    </row>
    <row r="244" spans="1:9" x14ac:dyDescent="0.35">
      <c r="A244" s="417" t="s">
        <v>846</v>
      </c>
      <c r="B244" s="417" t="s">
        <v>691</v>
      </c>
      <c r="C244" s="83">
        <v>46268</v>
      </c>
      <c r="D244" s="417" t="s">
        <v>310</v>
      </c>
      <c r="E244">
        <v>1163.00428333333</v>
      </c>
      <c r="F244">
        <v>30</v>
      </c>
      <c r="G244">
        <v>38.766809444444398</v>
      </c>
      <c r="H244">
        <v>0.43254999999999999</v>
      </c>
      <c r="I244">
        <v>55.298754771823397</v>
      </c>
    </row>
    <row r="245" spans="1:9" x14ac:dyDescent="0.35">
      <c r="A245" s="417" t="s">
        <v>846</v>
      </c>
      <c r="B245" s="417" t="s">
        <v>691</v>
      </c>
      <c r="C245" s="83">
        <v>46268</v>
      </c>
      <c r="D245" s="417" t="s">
        <v>314</v>
      </c>
      <c r="E245">
        <v>1366.5462666666699</v>
      </c>
      <c r="F245">
        <v>26</v>
      </c>
      <c r="G245">
        <v>52.559471794871797</v>
      </c>
      <c r="H245">
        <v>0.71216666666666695</v>
      </c>
      <c r="I245">
        <v>52.6543506893317</v>
      </c>
    </row>
    <row r="246" spans="1:9" x14ac:dyDescent="0.35">
      <c r="A246" s="417" t="s">
        <v>846</v>
      </c>
      <c r="B246" s="417" t="s">
        <v>691</v>
      </c>
      <c r="C246" s="83">
        <v>46268</v>
      </c>
      <c r="D246" s="417" t="s">
        <v>313</v>
      </c>
      <c r="E246">
        <v>1140.9823833333301</v>
      </c>
      <c r="F246">
        <v>23</v>
      </c>
      <c r="G246">
        <v>49.607929710144901</v>
      </c>
      <c r="H246">
        <v>0</v>
      </c>
      <c r="I246">
        <v>65.584732458947002</v>
      </c>
    </row>
    <row r="247" spans="1:9" x14ac:dyDescent="0.35">
      <c r="A247" s="417" t="s">
        <v>846</v>
      </c>
      <c r="B247" s="417" t="s">
        <v>691</v>
      </c>
      <c r="C247" s="83">
        <v>46268</v>
      </c>
      <c r="D247" s="417" t="s">
        <v>317</v>
      </c>
      <c r="E247">
        <v>1382.70311666667</v>
      </c>
      <c r="F247">
        <v>5</v>
      </c>
      <c r="G247">
        <v>276.54062333333297</v>
      </c>
      <c r="H247">
        <v>6.8977333333333304</v>
      </c>
      <c r="I247">
        <v>35.704497446155102</v>
      </c>
    </row>
    <row r="248" spans="1:9" x14ac:dyDescent="0.35">
      <c r="A248" s="417" t="s">
        <v>846</v>
      </c>
      <c r="B248" s="417" t="s">
        <v>691</v>
      </c>
      <c r="C248" s="83">
        <v>46268</v>
      </c>
      <c r="D248" s="417" t="s">
        <v>504</v>
      </c>
      <c r="E248">
        <v>1440</v>
      </c>
      <c r="F248">
        <v>1</v>
      </c>
      <c r="G248">
        <v>1440</v>
      </c>
      <c r="H248">
        <v>0</v>
      </c>
      <c r="I248">
        <v>38.117592592592601</v>
      </c>
    </row>
    <row r="249" spans="1:9" x14ac:dyDescent="0.35">
      <c r="A249" s="417" t="s">
        <v>846</v>
      </c>
      <c r="B249" s="417" t="s">
        <v>676</v>
      </c>
      <c r="C249" s="83">
        <v>46267</v>
      </c>
      <c r="D249" s="417" t="s">
        <v>677</v>
      </c>
      <c r="E249">
        <v>1065.1364000000001</v>
      </c>
      <c r="F249">
        <v>255</v>
      </c>
      <c r="G249">
        <v>4.1770054901960796</v>
      </c>
      <c r="H249">
        <v>180.188066666667</v>
      </c>
      <c r="I249">
        <v>15.6738888888889</v>
      </c>
    </row>
    <row r="250" spans="1:9" x14ac:dyDescent="0.35">
      <c r="A250" s="417" t="s">
        <v>846</v>
      </c>
      <c r="B250" s="417" t="s">
        <v>676</v>
      </c>
      <c r="C250" s="83">
        <v>46267</v>
      </c>
      <c r="D250" s="417" t="s">
        <v>679</v>
      </c>
      <c r="E250">
        <v>921.15666666666698</v>
      </c>
      <c r="F250">
        <v>45</v>
      </c>
      <c r="G250">
        <v>20.470148148148201</v>
      </c>
      <c r="H250">
        <v>65.333150000000003</v>
      </c>
      <c r="I250">
        <v>45.477704158218899</v>
      </c>
    </row>
    <row r="251" spans="1:9" x14ac:dyDescent="0.35">
      <c r="A251" s="417" t="s">
        <v>846</v>
      </c>
      <c r="B251" s="417" t="s">
        <v>676</v>
      </c>
      <c r="C251" s="83">
        <v>46267</v>
      </c>
      <c r="D251" s="417" t="s">
        <v>678</v>
      </c>
      <c r="E251">
        <v>1015.97493333333</v>
      </c>
      <c r="F251">
        <v>28</v>
      </c>
      <c r="G251">
        <v>36.284819047619102</v>
      </c>
      <c r="H251">
        <v>31.3196166666667</v>
      </c>
      <c r="I251">
        <v>66.180362853347503</v>
      </c>
    </row>
    <row r="252" spans="1:9" x14ac:dyDescent="0.35">
      <c r="A252" s="417" t="s">
        <v>846</v>
      </c>
      <c r="B252" s="417" t="s">
        <v>680</v>
      </c>
      <c r="C252" s="83">
        <v>46267</v>
      </c>
      <c r="D252" s="417" t="s">
        <v>688</v>
      </c>
      <c r="E252">
        <v>1359.8838000000001</v>
      </c>
      <c r="F252">
        <v>81</v>
      </c>
      <c r="G252">
        <v>16.788688888888899</v>
      </c>
      <c r="H252">
        <v>25.474216666666699</v>
      </c>
      <c r="I252">
        <v>76.919811250289996</v>
      </c>
    </row>
    <row r="253" spans="1:9" x14ac:dyDescent="0.35">
      <c r="A253" s="417" t="s">
        <v>846</v>
      </c>
      <c r="B253" s="417" t="s">
        <v>680</v>
      </c>
      <c r="C253" s="83">
        <v>46267</v>
      </c>
      <c r="D253" s="417" t="s">
        <v>684</v>
      </c>
      <c r="E253">
        <v>1405.17996666667</v>
      </c>
      <c r="F253">
        <v>42</v>
      </c>
      <c r="G253">
        <v>33.456665873015901</v>
      </c>
      <c r="H253">
        <v>24.157833333333301</v>
      </c>
      <c r="I253">
        <v>76.055135933951206</v>
      </c>
    </row>
    <row r="254" spans="1:9" x14ac:dyDescent="0.35">
      <c r="A254" s="417" t="s">
        <v>846</v>
      </c>
      <c r="B254" s="417" t="s">
        <v>680</v>
      </c>
      <c r="C254" s="83">
        <v>46267</v>
      </c>
      <c r="D254" s="417" t="s">
        <v>683</v>
      </c>
      <c r="E254">
        <v>1357.1396</v>
      </c>
      <c r="F254">
        <v>41</v>
      </c>
      <c r="G254">
        <v>33.100965853658501</v>
      </c>
      <c r="H254">
        <v>3.1664500000000002</v>
      </c>
      <c r="I254">
        <v>75.628112931617295</v>
      </c>
    </row>
    <row r="255" spans="1:9" x14ac:dyDescent="0.35">
      <c r="A255" s="417" t="s">
        <v>846</v>
      </c>
      <c r="B255" s="417" t="s">
        <v>680</v>
      </c>
      <c r="C255" s="83">
        <v>46267</v>
      </c>
      <c r="D255" s="417" t="s">
        <v>689</v>
      </c>
      <c r="E255">
        <v>1408.6318000000001</v>
      </c>
      <c r="F255">
        <v>35</v>
      </c>
      <c r="G255">
        <v>40.246622857142903</v>
      </c>
      <c r="H255">
        <v>4.6701333333333297</v>
      </c>
      <c r="I255">
        <v>80.967166508161398</v>
      </c>
    </row>
    <row r="256" spans="1:9" x14ac:dyDescent="0.35">
      <c r="A256" s="417" t="s">
        <v>846</v>
      </c>
      <c r="B256" s="417" t="s">
        <v>680</v>
      </c>
      <c r="C256" s="83">
        <v>46267</v>
      </c>
      <c r="D256" s="417" t="s">
        <v>681</v>
      </c>
      <c r="E256">
        <v>1410.9837333333301</v>
      </c>
      <c r="F256">
        <v>22</v>
      </c>
      <c r="G256">
        <v>64.1356242424242</v>
      </c>
      <c r="H256">
        <v>1.33426666666667</v>
      </c>
      <c r="I256">
        <v>77.528703411772895</v>
      </c>
    </row>
    <row r="257" spans="1:9" x14ac:dyDescent="0.35">
      <c r="A257" s="417" t="s">
        <v>846</v>
      </c>
      <c r="B257" s="417" t="s">
        <v>680</v>
      </c>
      <c r="C257" s="83">
        <v>46267</v>
      </c>
      <c r="D257" s="417" t="s">
        <v>687</v>
      </c>
      <c r="E257">
        <v>1411.01121666667</v>
      </c>
      <c r="F257">
        <v>17</v>
      </c>
      <c r="G257">
        <v>83.000659803921494</v>
      </c>
      <c r="H257">
        <v>18.494816666666701</v>
      </c>
      <c r="I257">
        <v>31.8867934611471</v>
      </c>
    </row>
    <row r="258" spans="1:9" x14ac:dyDescent="0.35">
      <c r="A258" s="417" t="s">
        <v>846</v>
      </c>
      <c r="B258" s="417" t="s">
        <v>680</v>
      </c>
      <c r="C258" s="83">
        <v>46267</v>
      </c>
      <c r="D258" s="417" t="s">
        <v>685</v>
      </c>
      <c r="E258">
        <v>1417.6465333333299</v>
      </c>
      <c r="F258">
        <v>9</v>
      </c>
      <c r="G258">
        <v>157.516281481481</v>
      </c>
      <c r="H258">
        <v>11.497633333333299</v>
      </c>
      <c r="I258">
        <v>80.194719587313202</v>
      </c>
    </row>
    <row r="259" spans="1:9" x14ac:dyDescent="0.35">
      <c r="A259" s="417" t="s">
        <v>846</v>
      </c>
      <c r="B259" s="417" t="s">
        <v>680</v>
      </c>
      <c r="C259" s="83">
        <v>46267</v>
      </c>
      <c r="D259" s="417" t="s">
        <v>686</v>
      </c>
      <c r="E259">
        <v>1316.14255</v>
      </c>
      <c r="F259">
        <v>9</v>
      </c>
      <c r="G259">
        <v>146.23806111111099</v>
      </c>
      <c r="H259">
        <v>7.5029166666666702</v>
      </c>
      <c r="I259">
        <v>80.9994429433915</v>
      </c>
    </row>
    <row r="260" spans="1:9" x14ac:dyDescent="0.35">
      <c r="A260" s="417" t="s">
        <v>846</v>
      </c>
      <c r="B260" s="417" t="s">
        <v>680</v>
      </c>
      <c r="C260" s="83">
        <v>46267</v>
      </c>
      <c r="D260" s="417" t="s">
        <v>682</v>
      </c>
      <c r="E260">
        <v>1434.8325833333299</v>
      </c>
      <c r="F260">
        <v>7</v>
      </c>
      <c r="G260">
        <v>204.97608333333301</v>
      </c>
      <c r="H260">
        <v>1.4984500000000001</v>
      </c>
      <c r="I260">
        <v>75.368686868686794</v>
      </c>
    </row>
    <row r="261" spans="1:9" x14ac:dyDescent="0.35">
      <c r="A261" s="417" t="s">
        <v>846</v>
      </c>
      <c r="B261" s="417" t="s">
        <v>680</v>
      </c>
      <c r="C261" s="83">
        <v>46267</v>
      </c>
      <c r="D261" s="417" t="s">
        <v>690</v>
      </c>
      <c r="E261">
        <v>1415.94828333333</v>
      </c>
      <c r="F261">
        <v>7</v>
      </c>
      <c r="G261">
        <v>202.27832619047601</v>
      </c>
      <c r="H261">
        <v>1.83253333333333</v>
      </c>
      <c r="I261">
        <v>56.974319341944003</v>
      </c>
    </row>
    <row r="262" spans="1:9" x14ac:dyDescent="0.35">
      <c r="A262" s="417" t="s">
        <v>846</v>
      </c>
      <c r="B262" s="417" t="s">
        <v>691</v>
      </c>
      <c r="C262" s="83">
        <v>46267</v>
      </c>
      <c r="D262" s="417" t="s">
        <v>295</v>
      </c>
      <c r="E262">
        <v>1299.8954166666699</v>
      </c>
      <c r="F262">
        <v>185</v>
      </c>
      <c r="G262">
        <v>7.0264617117117103</v>
      </c>
      <c r="H262">
        <v>0.664283333333333</v>
      </c>
      <c r="I262">
        <v>60.148233321534903</v>
      </c>
    </row>
    <row r="263" spans="1:9" x14ac:dyDescent="0.35">
      <c r="A263" s="417" t="s">
        <v>846</v>
      </c>
      <c r="B263" s="417" t="s">
        <v>691</v>
      </c>
      <c r="C263" s="83">
        <v>46267</v>
      </c>
      <c r="D263" s="417" t="s">
        <v>305</v>
      </c>
      <c r="E263">
        <v>1157.5421833333301</v>
      </c>
      <c r="F263">
        <v>138</v>
      </c>
      <c r="G263">
        <v>8.3879868357487908</v>
      </c>
      <c r="H263">
        <v>10.097200000000001</v>
      </c>
      <c r="I263">
        <v>36.111972942988103</v>
      </c>
    </row>
    <row r="264" spans="1:9" x14ac:dyDescent="0.35">
      <c r="A264" s="417" t="s">
        <v>846</v>
      </c>
      <c r="B264" s="417" t="s">
        <v>691</v>
      </c>
      <c r="C264" s="83">
        <v>46267</v>
      </c>
      <c r="D264" s="417" t="s">
        <v>309</v>
      </c>
      <c r="E264">
        <v>1291.1783333333301</v>
      </c>
      <c r="F264">
        <v>124</v>
      </c>
      <c r="G264">
        <v>10.4127284946237</v>
      </c>
      <c r="H264">
        <v>0</v>
      </c>
      <c r="I264">
        <v>34.736047274962999</v>
      </c>
    </row>
    <row r="265" spans="1:9" x14ac:dyDescent="0.35">
      <c r="A265" s="417" t="s">
        <v>846</v>
      </c>
      <c r="B265" s="417" t="s">
        <v>691</v>
      </c>
      <c r="C265" s="83">
        <v>46267</v>
      </c>
      <c r="D265" s="417" t="s">
        <v>303</v>
      </c>
      <c r="E265">
        <v>1334.0796333333301</v>
      </c>
      <c r="F265">
        <v>111</v>
      </c>
      <c r="G265">
        <v>12.018735435435399</v>
      </c>
      <c r="H265">
        <v>0.94643333333333302</v>
      </c>
      <c r="I265">
        <v>44.919774135829002</v>
      </c>
    </row>
    <row r="266" spans="1:9" x14ac:dyDescent="0.35">
      <c r="A266" s="417" t="s">
        <v>846</v>
      </c>
      <c r="B266" s="417" t="s">
        <v>691</v>
      </c>
      <c r="C266" s="83">
        <v>46267</v>
      </c>
      <c r="D266" s="417" t="s">
        <v>301</v>
      </c>
      <c r="E266">
        <v>1341.26931666667</v>
      </c>
      <c r="F266">
        <v>36</v>
      </c>
      <c r="G266">
        <v>37.257481018518497</v>
      </c>
      <c r="H266">
        <v>0.142916666666667</v>
      </c>
      <c r="I266">
        <v>55.6803775474243</v>
      </c>
    </row>
    <row r="267" spans="1:9" x14ac:dyDescent="0.35">
      <c r="A267" s="417" t="s">
        <v>846</v>
      </c>
      <c r="B267" s="417" t="s">
        <v>691</v>
      </c>
      <c r="C267" s="83">
        <v>46267</v>
      </c>
      <c r="D267" s="417" t="s">
        <v>299</v>
      </c>
      <c r="E267">
        <v>1380.8104000000001</v>
      </c>
      <c r="F267">
        <v>30</v>
      </c>
      <c r="G267">
        <v>46.027013333333301</v>
      </c>
      <c r="H267">
        <v>0.41903333333333298</v>
      </c>
      <c r="I267">
        <v>66.730444503547005</v>
      </c>
    </row>
    <row r="268" spans="1:9" x14ac:dyDescent="0.35">
      <c r="A268" s="417" t="s">
        <v>846</v>
      </c>
      <c r="B268" s="417" t="s">
        <v>691</v>
      </c>
      <c r="C268" s="83">
        <v>46267</v>
      </c>
      <c r="D268" s="417" t="s">
        <v>310</v>
      </c>
      <c r="E268">
        <v>1409.77193333333</v>
      </c>
      <c r="F268">
        <v>9</v>
      </c>
      <c r="G268">
        <v>156.641325925926</v>
      </c>
      <c r="H268">
        <v>2.1918833333333301</v>
      </c>
      <c r="I268">
        <v>55.807129145697097</v>
      </c>
    </row>
    <row r="269" spans="1:9" x14ac:dyDescent="0.35">
      <c r="A269" s="417" t="s">
        <v>846</v>
      </c>
      <c r="B269" s="417" t="s">
        <v>691</v>
      </c>
      <c r="C269" s="83">
        <v>46267</v>
      </c>
      <c r="D269" s="417" t="s">
        <v>314</v>
      </c>
      <c r="E269">
        <v>1319.2234166666699</v>
      </c>
      <c r="F269">
        <v>7</v>
      </c>
      <c r="G269">
        <v>188.46048809523799</v>
      </c>
      <c r="H269">
        <v>0.126516666666667</v>
      </c>
      <c r="I269">
        <v>50.988661285739198</v>
      </c>
    </row>
    <row r="270" spans="1:9" x14ac:dyDescent="0.35">
      <c r="A270" s="417" t="s">
        <v>846</v>
      </c>
      <c r="B270" s="417" t="s">
        <v>691</v>
      </c>
      <c r="C270" s="83">
        <v>46267</v>
      </c>
      <c r="D270" s="417" t="s">
        <v>313</v>
      </c>
      <c r="E270">
        <v>1405.99166666667</v>
      </c>
      <c r="F270">
        <v>5</v>
      </c>
      <c r="G270">
        <v>281.19833333333298</v>
      </c>
      <c r="H270">
        <v>5.86666666666667E-2</v>
      </c>
      <c r="I270">
        <v>64.069366089005399</v>
      </c>
    </row>
    <row r="271" spans="1:9" x14ac:dyDescent="0.35">
      <c r="A271" s="417" t="s">
        <v>846</v>
      </c>
      <c r="B271" s="417" t="s">
        <v>691</v>
      </c>
      <c r="C271" s="83">
        <v>46267</v>
      </c>
      <c r="D271" s="417" t="s">
        <v>504</v>
      </c>
      <c r="E271">
        <v>1440</v>
      </c>
      <c r="F271">
        <v>1</v>
      </c>
      <c r="G271">
        <v>1440</v>
      </c>
      <c r="H271">
        <v>0</v>
      </c>
      <c r="I271">
        <v>31.964814814814801</v>
      </c>
    </row>
    <row r="272" spans="1:9" x14ac:dyDescent="0.35">
      <c r="A272" s="417" t="s">
        <v>846</v>
      </c>
      <c r="B272" s="417" t="s">
        <v>691</v>
      </c>
      <c r="C272" s="83">
        <v>46267</v>
      </c>
      <c r="D272" s="417" t="s">
        <v>317</v>
      </c>
      <c r="E272">
        <v>1426.4252833333301</v>
      </c>
      <c r="F272">
        <v>1</v>
      </c>
      <c r="G272">
        <v>1426.4252833333301</v>
      </c>
      <c r="H272">
        <v>0</v>
      </c>
      <c r="I272">
        <v>36.703639939453801</v>
      </c>
    </row>
    <row r="273" spans="1:9" x14ac:dyDescent="0.35">
      <c r="A273" s="417" t="s">
        <v>846</v>
      </c>
      <c r="B273" s="417" t="s">
        <v>676</v>
      </c>
      <c r="C273" s="83">
        <v>46266</v>
      </c>
      <c r="D273" s="417" t="s">
        <v>677</v>
      </c>
      <c r="E273">
        <v>1168.7212666666701</v>
      </c>
      <c r="F273">
        <v>354</v>
      </c>
      <c r="G273">
        <v>3.3014725047081002</v>
      </c>
      <c r="H273">
        <v>182.93581666666699</v>
      </c>
      <c r="I273">
        <v>25.813333333333301</v>
      </c>
    </row>
    <row r="274" spans="1:9" x14ac:dyDescent="0.35">
      <c r="A274" s="417" t="s">
        <v>846</v>
      </c>
      <c r="B274" s="417" t="s">
        <v>676</v>
      </c>
      <c r="C274" s="83">
        <v>46266</v>
      </c>
      <c r="D274" s="417" t="s">
        <v>678</v>
      </c>
      <c r="E274">
        <v>1213.3231000000001</v>
      </c>
      <c r="F274">
        <v>48</v>
      </c>
      <c r="G274">
        <v>25.277564583333302</v>
      </c>
      <c r="H274">
        <v>29.479433333333301</v>
      </c>
      <c r="I274">
        <v>91.820657514304003</v>
      </c>
    </row>
    <row r="275" spans="1:9" x14ac:dyDescent="0.35">
      <c r="A275" s="417" t="s">
        <v>846</v>
      </c>
      <c r="B275" s="417" t="s">
        <v>676</v>
      </c>
      <c r="C275" s="83">
        <v>46266</v>
      </c>
      <c r="D275" s="417" t="s">
        <v>679</v>
      </c>
      <c r="E275">
        <v>1301.8235500000001</v>
      </c>
      <c r="F275">
        <v>23</v>
      </c>
      <c r="G275">
        <v>56.601023913043498</v>
      </c>
      <c r="H275">
        <v>17.6573666666667</v>
      </c>
      <c r="I275">
        <v>86.529441996896693</v>
      </c>
    </row>
    <row r="276" spans="1:9" x14ac:dyDescent="0.35">
      <c r="A276" s="417" t="s">
        <v>846</v>
      </c>
      <c r="B276" s="417" t="s">
        <v>680</v>
      </c>
      <c r="C276" s="83">
        <v>46266</v>
      </c>
      <c r="D276" s="417" t="s">
        <v>684</v>
      </c>
      <c r="E276">
        <v>1350.70763333333</v>
      </c>
      <c r="F276">
        <v>78</v>
      </c>
      <c r="G276">
        <v>17.316764529914501</v>
      </c>
      <c r="H276">
        <v>57.301833333333299</v>
      </c>
      <c r="I276">
        <v>67.174671955341495</v>
      </c>
    </row>
    <row r="277" spans="1:9" x14ac:dyDescent="0.35">
      <c r="A277" s="417" t="s">
        <v>846</v>
      </c>
      <c r="B277" s="417" t="s">
        <v>680</v>
      </c>
      <c r="C277" s="83">
        <v>46266</v>
      </c>
      <c r="D277" s="417" t="s">
        <v>688</v>
      </c>
      <c r="E277">
        <v>1384.32756666667</v>
      </c>
      <c r="F277">
        <v>56</v>
      </c>
      <c r="G277">
        <v>24.720135119047601</v>
      </c>
      <c r="H277">
        <v>20.825700000000001</v>
      </c>
      <c r="I277">
        <v>68.250121863911701</v>
      </c>
    </row>
    <row r="278" spans="1:9" x14ac:dyDescent="0.35">
      <c r="A278" s="417" t="s">
        <v>846</v>
      </c>
      <c r="B278" s="417" t="s">
        <v>680</v>
      </c>
      <c r="C278" s="83">
        <v>46266</v>
      </c>
      <c r="D278" s="417" t="s">
        <v>687</v>
      </c>
      <c r="E278">
        <v>1303.21223333333</v>
      </c>
      <c r="F278">
        <v>56</v>
      </c>
      <c r="G278">
        <v>23.2716470238095</v>
      </c>
      <c r="H278">
        <v>83.461516666666697</v>
      </c>
      <c r="I278">
        <v>31.772610393963099</v>
      </c>
    </row>
    <row r="279" spans="1:9" x14ac:dyDescent="0.35">
      <c r="A279" s="417" t="s">
        <v>846</v>
      </c>
      <c r="B279" s="417" t="s">
        <v>680</v>
      </c>
      <c r="C279" s="83">
        <v>46266</v>
      </c>
      <c r="D279" s="417" t="s">
        <v>689</v>
      </c>
      <c r="E279">
        <v>1381.1477</v>
      </c>
      <c r="F279">
        <v>51</v>
      </c>
      <c r="G279">
        <v>27.0813274509804</v>
      </c>
      <c r="H279">
        <v>0</v>
      </c>
      <c r="I279">
        <v>67.195625472200703</v>
      </c>
    </row>
    <row r="280" spans="1:9" x14ac:dyDescent="0.35">
      <c r="A280" s="417" t="s">
        <v>846</v>
      </c>
      <c r="B280" s="417" t="s">
        <v>680</v>
      </c>
      <c r="C280" s="83">
        <v>46266</v>
      </c>
      <c r="D280" s="417" t="s">
        <v>683</v>
      </c>
      <c r="E280">
        <v>1333.9760166666699</v>
      </c>
      <c r="F280">
        <v>42</v>
      </c>
      <c r="G280">
        <v>31.7613337301587</v>
      </c>
      <c r="H280">
        <v>2.8514166666666698</v>
      </c>
      <c r="I280">
        <v>49.547202966570801</v>
      </c>
    </row>
    <row r="281" spans="1:9" x14ac:dyDescent="0.35">
      <c r="A281" s="417" t="s">
        <v>846</v>
      </c>
      <c r="B281" s="417" t="s">
        <v>680</v>
      </c>
      <c r="C281" s="83">
        <v>46266</v>
      </c>
      <c r="D281" s="417" t="s">
        <v>690</v>
      </c>
      <c r="E281">
        <v>1311.32698333333</v>
      </c>
      <c r="F281">
        <v>38</v>
      </c>
      <c r="G281">
        <v>34.508604824561402</v>
      </c>
      <c r="H281">
        <v>21.642316666666702</v>
      </c>
      <c r="I281">
        <v>43.4242100042689</v>
      </c>
    </row>
    <row r="282" spans="1:9" x14ac:dyDescent="0.35">
      <c r="A282" s="417" t="s">
        <v>846</v>
      </c>
      <c r="B282" s="417" t="s">
        <v>680</v>
      </c>
      <c r="C282" s="83">
        <v>46266</v>
      </c>
      <c r="D282" s="417" t="s">
        <v>685</v>
      </c>
      <c r="E282">
        <v>1323.8489666666701</v>
      </c>
      <c r="F282">
        <v>35</v>
      </c>
      <c r="G282">
        <v>37.824256190476198</v>
      </c>
      <c r="H282">
        <v>27.635183333333298</v>
      </c>
      <c r="I282">
        <v>67.574054175867104</v>
      </c>
    </row>
    <row r="283" spans="1:9" x14ac:dyDescent="0.35">
      <c r="A283" s="417" t="s">
        <v>846</v>
      </c>
      <c r="B283" s="417" t="s">
        <v>680</v>
      </c>
      <c r="C283" s="83">
        <v>46266</v>
      </c>
      <c r="D283" s="417" t="s">
        <v>682</v>
      </c>
      <c r="E283">
        <v>1415.0325333333301</v>
      </c>
      <c r="F283">
        <v>23</v>
      </c>
      <c r="G283">
        <v>61.523153623188399</v>
      </c>
      <c r="H283">
        <v>5.9836</v>
      </c>
      <c r="I283">
        <v>66.723810041454897</v>
      </c>
    </row>
    <row r="284" spans="1:9" x14ac:dyDescent="0.35">
      <c r="A284" s="417" t="s">
        <v>846</v>
      </c>
      <c r="B284" s="417" t="s">
        <v>680</v>
      </c>
      <c r="C284" s="83">
        <v>46266</v>
      </c>
      <c r="D284" s="417" t="s">
        <v>681</v>
      </c>
      <c r="E284">
        <v>1380.2106833333301</v>
      </c>
      <c r="F284">
        <v>19</v>
      </c>
      <c r="G284">
        <v>72.642667543859702</v>
      </c>
      <c r="H284">
        <v>0.99831666666666696</v>
      </c>
      <c r="I284">
        <v>79.740600195580996</v>
      </c>
    </row>
    <row r="285" spans="1:9" x14ac:dyDescent="0.35">
      <c r="A285" s="417" t="s">
        <v>846</v>
      </c>
      <c r="B285" s="417" t="s">
        <v>680</v>
      </c>
      <c r="C285" s="83">
        <v>46266</v>
      </c>
      <c r="D285" s="417" t="s">
        <v>686</v>
      </c>
      <c r="E285">
        <v>1373.0130999999999</v>
      </c>
      <c r="F285">
        <v>17</v>
      </c>
      <c r="G285">
        <v>80.765476470588297</v>
      </c>
      <c r="H285">
        <v>14.993933333333301</v>
      </c>
      <c r="I285">
        <v>79.402269905099004</v>
      </c>
    </row>
    <row r="286" spans="1:9" x14ac:dyDescent="0.35">
      <c r="A286" s="417" t="s">
        <v>846</v>
      </c>
      <c r="B286" s="417" t="s">
        <v>691</v>
      </c>
      <c r="C286" s="83">
        <v>46266</v>
      </c>
      <c r="D286" s="417" t="s">
        <v>305</v>
      </c>
      <c r="E286">
        <v>1196.5570666666699</v>
      </c>
      <c r="F286">
        <v>148</v>
      </c>
      <c r="G286">
        <v>8.0848450450450393</v>
      </c>
      <c r="H286">
        <v>10.6261833333333</v>
      </c>
      <c r="I286">
        <v>38.722371577746401</v>
      </c>
    </row>
    <row r="287" spans="1:9" x14ac:dyDescent="0.35">
      <c r="A287" s="417" t="s">
        <v>846</v>
      </c>
      <c r="B287" s="417" t="s">
        <v>691</v>
      </c>
      <c r="C287" s="83">
        <v>46266</v>
      </c>
      <c r="D287" s="417" t="s">
        <v>309</v>
      </c>
      <c r="E287">
        <v>1284.28475</v>
      </c>
      <c r="F287">
        <v>137</v>
      </c>
      <c r="G287">
        <v>9.3743412408759106</v>
      </c>
      <c r="H287">
        <v>0</v>
      </c>
      <c r="I287">
        <v>43.715589924377099</v>
      </c>
    </row>
    <row r="288" spans="1:9" x14ac:dyDescent="0.35">
      <c r="A288" s="417" t="s">
        <v>846</v>
      </c>
      <c r="B288" s="417" t="s">
        <v>691</v>
      </c>
      <c r="C288" s="83">
        <v>46266</v>
      </c>
      <c r="D288" s="417" t="s">
        <v>295</v>
      </c>
      <c r="E288">
        <v>1341.0301833333299</v>
      </c>
      <c r="F288">
        <v>134</v>
      </c>
      <c r="G288">
        <v>10.0076879353234</v>
      </c>
      <c r="H288">
        <v>0.219283333333333</v>
      </c>
      <c r="I288">
        <v>66.996483108258801</v>
      </c>
    </row>
    <row r="289" spans="1:9" x14ac:dyDescent="0.35">
      <c r="A289" s="417" t="s">
        <v>846</v>
      </c>
      <c r="B289" s="417" t="s">
        <v>691</v>
      </c>
      <c r="C289" s="83">
        <v>46266</v>
      </c>
      <c r="D289" s="417" t="s">
        <v>303</v>
      </c>
      <c r="E289">
        <v>1303.34938333333</v>
      </c>
      <c r="F289">
        <v>76</v>
      </c>
      <c r="G289">
        <v>17.149333991228101</v>
      </c>
      <c r="H289">
        <v>0.55710000000000004</v>
      </c>
      <c r="I289">
        <v>51.870430677696703</v>
      </c>
    </row>
    <row r="290" spans="1:9" x14ac:dyDescent="0.35">
      <c r="A290" s="417" t="s">
        <v>846</v>
      </c>
      <c r="B290" s="417" t="s">
        <v>691</v>
      </c>
      <c r="C290" s="83">
        <v>46266</v>
      </c>
      <c r="D290" s="417" t="s">
        <v>299</v>
      </c>
      <c r="E290">
        <v>1323.19231666667</v>
      </c>
      <c r="F290">
        <v>36</v>
      </c>
      <c r="G290">
        <v>36.755342129629597</v>
      </c>
      <c r="H290">
        <v>0.30901666666666699</v>
      </c>
      <c r="I290">
        <v>75.614696419027098</v>
      </c>
    </row>
    <row r="291" spans="1:9" x14ac:dyDescent="0.35">
      <c r="A291" s="417" t="s">
        <v>846</v>
      </c>
      <c r="B291" s="417" t="s">
        <v>691</v>
      </c>
      <c r="C291" s="83">
        <v>46266</v>
      </c>
      <c r="D291" s="417" t="s">
        <v>301</v>
      </c>
      <c r="E291">
        <v>1394.2693833333301</v>
      </c>
      <c r="F291">
        <v>30</v>
      </c>
      <c r="G291">
        <v>46.475646111111097</v>
      </c>
      <c r="H291">
        <v>0.754016666666667</v>
      </c>
      <c r="I291">
        <v>60.050825244178199</v>
      </c>
    </row>
    <row r="292" spans="1:9" x14ac:dyDescent="0.35">
      <c r="A292" s="417" t="s">
        <v>846</v>
      </c>
      <c r="B292" s="417" t="s">
        <v>691</v>
      </c>
      <c r="C292" s="83">
        <v>46266</v>
      </c>
      <c r="D292" s="417" t="s">
        <v>313</v>
      </c>
      <c r="E292">
        <v>1412.9291499999999</v>
      </c>
      <c r="F292">
        <v>11</v>
      </c>
      <c r="G292">
        <v>128.44810454545501</v>
      </c>
      <c r="H292">
        <v>0</v>
      </c>
      <c r="I292">
        <v>68.5978325821917</v>
      </c>
    </row>
    <row r="293" spans="1:9" x14ac:dyDescent="0.35">
      <c r="A293" s="417" t="s">
        <v>846</v>
      </c>
      <c r="B293" s="417" t="s">
        <v>691</v>
      </c>
      <c r="C293" s="83">
        <v>46266</v>
      </c>
      <c r="D293" s="417" t="s">
        <v>314</v>
      </c>
      <c r="E293">
        <v>1387.6351666666701</v>
      </c>
      <c r="F293">
        <v>10</v>
      </c>
      <c r="G293">
        <v>138.76351666666699</v>
      </c>
      <c r="H293">
        <v>0.245233333333333</v>
      </c>
      <c r="I293">
        <v>56.357035412765697</v>
      </c>
    </row>
    <row r="294" spans="1:9" x14ac:dyDescent="0.35">
      <c r="A294" s="417" t="s">
        <v>846</v>
      </c>
      <c r="B294" s="417" t="s">
        <v>691</v>
      </c>
      <c r="C294" s="83">
        <v>46266</v>
      </c>
      <c r="D294" s="417" t="s">
        <v>310</v>
      </c>
      <c r="E294">
        <v>1316.52676666667</v>
      </c>
      <c r="F294">
        <v>8</v>
      </c>
      <c r="G294">
        <v>164.56584583333299</v>
      </c>
      <c r="H294">
        <v>0.54695000000000005</v>
      </c>
      <c r="I294">
        <v>60.045748836731001</v>
      </c>
    </row>
    <row r="295" spans="1:9" x14ac:dyDescent="0.35">
      <c r="A295" s="417" t="s">
        <v>846</v>
      </c>
      <c r="B295" s="417" t="s">
        <v>691</v>
      </c>
      <c r="C295" s="83">
        <v>46266</v>
      </c>
      <c r="D295" s="417" t="s">
        <v>317</v>
      </c>
      <c r="E295">
        <v>1438.41478333333</v>
      </c>
      <c r="F295">
        <v>2</v>
      </c>
      <c r="G295">
        <v>719.20739166666704</v>
      </c>
      <c r="H295">
        <v>0.19343333333333301</v>
      </c>
      <c r="I295">
        <v>46.819557416448802</v>
      </c>
    </row>
    <row r="296" spans="1:9" x14ac:dyDescent="0.35">
      <c r="A296" s="417" t="s">
        <v>846</v>
      </c>
      <c r="B296" s="417" t="s">
        <v>691</v>
      </c>
      <c r="C296" s="83">
        <v>46266</v>
      </c>
      <c r="D296" s="417" t="s">
        <v>504</v>
      </c>
      <c r="E296">
        <v>1440</v>
      </c>
      <c r="F296">
        <v>1</v>
      </c>
      <c r="G296">
        <v>1440</v>
      </c>
      <c r="H296">
        <v>0</v>
      </c>
      <c r="I296">
        <v>35.249537037037101</v>
      </c>
    </row>
    <row r="297" spans="1:9" x14ac:dyDescent="0.35">
      <c r="A297" s="417" t="s">
        <v>846</v>
      </c>
      <c r="B297" s="417" t="s">
        <v>676</v>
      </c>
      <c r="C297" s="83">
        <v>46265</v>
      </c>
      <c r="D297" s="417" t="s">
        <v>677</v>
      </c>
      <c r="E297">
        <v>1218.07375</v>
      </c>
      <c r="F297">
        <v>355</v>
      </c>
      <c r="G297">
        <v>3.4311936619718302</v>
      </c>
      <c r="H297">
        <v>175.25335000000001</v>
      </c>
      <c r="I297">
        <v>19.573333333333299</v>
      </c>
    </row>
    <row r="298" spans="1:9" x14ac:dyDescent="0.35">
      <c r="A298" s="417" t="s">
        <v>846</v>
      </c>
      <c r="B298" s="417" t="s">
        <v>676</v>
      </c>
      <c r="C298" s="83">
        <v>46265</v>
      </c>
      <c r="D298" s="417" t="s">
        <v>678</v>
      </c>
      <c r="E298">
        <v>1315.9753333333299</v>
      </c>
      <c r="F298">
        <v>34</v>
      </c>
      <c r="G298">
        <v>38.705156862745099</v>
      </c>
      <c r="H298">
        <v>20.855</v>
      </c>
      <c r="I298">
        <v>94.887193089768004</v>
      </c>
    </row>
    <row r="299" spans="1:9" x14ac:dyDescent="0.35">
      <c r="A299" s="417" t="s">
        <v>846</v>
      </c>
      <c r="B299" s="417" t="s">
        <v>676</v>
      </c>
      <c r="C299" s="83">
        <v>46265</v>
      </c>
      <c r="D299" s="417" t="s">
        <v>679</v>
      </c>
      <c r="E299">
        <v>1380.3342500000001</v>
      </c>
      <c r="F299">
        <v>25</v>
      </c>
      <c r="G299">
        <v>55.213369999999998</v>
      </c>
      <c r="H299">
        <v>17.316966666666701</v>
      </c>
      <c r="I299">
        <v>86.8857684606173</v>
      </c>
    </row>
    <row r="300" spans="1:9" x14ac:dyDescent="0.35">
      <c r="A300" s="417" t="s">
        <v>846</v>
      </c>
      <c r="B300" s="417" t="s">
        <v>680</v>
      </c>
      <c r="C300" s="83">
        <v>46265</v>
      </c>
      <c r="D300" s="417" t="s">
        <v>689</v>
      </c>
      <c r="E300">
        <v>1348.04498333333</v>
      </c>
      <c r="F300">
        <v>81</v>
      </c>
      <c r="G300">
        <v>16.6425306584362</v>
      </c>
      <c r="H300">
        <v>0.33350000000000002</v>
      </c>
      <c r="I300">
        <v>82.662587185264698</v>
      </c>
    </row>
    <row r="301" spans="1:9" x14ac:dyDescent="0.35">
      <c r="A301" s="417" t="s">
        <v>846</v>
      </c>
      <c r="B301" s="417" t="s">
        <v>680</v>
      </c>
      <c r="C301" s="83">
        <v>46265</v>
      </c>
      <c r="D301" s="417" t="s">
        <v>684</v>
      </c>
      <c r="E301">
        <v>1392.2780666666699</v>
      </c>
      <c r="F301">
        <v>81</v>
      </c>
      <c r="G301">
        <v>17.1886181069959</v>
      </c>
      <c r="H301">
        <v>31.843050000000002</v>
      </c>
      <c r="I301">
        <v>78.930396133758194</v>
      </c>
    </row>
    <row r="302" spans="1:9" x14ac:dyDescent="0.35">
      <c r="A302" s="417" t="s">
        <v>846</v>
      </c>
      <c r="B302" s="417" t="s">
        <v>680</v>
      </c>
      <c r="C302" s="83">
        <v>46265</v>
      </c>
      <c r="D302" s="417" t="s">
        <v>683</v>
      </c>
      <c r="E302">
        <v>1290.4691333333301</v>
      </c>
      <c r="F302">
        <v>59</v>
      </c>
      <c r="G302">
        <v>21.872358192090399</v>
      </c>
      <c r="H302">
        <v>7.8558333333333303</v>
      </c>
      <c r="I302">
        <v>67.795181254503504</v>
      </c>
    </row>
    <row r="303" spans="1:9" x14ac:dyDescent="0.35">
      <c r="A303" s="417" t="s">
        <v>846</v>
      </c>
      <c r="B303" s="417" t="s">
        <v>680</v>
      </c>
      <c r="C303" s="83">
        <v>46265</v>
      </c>
      <c r="D303" s="417" t="s">
        <v>687</v>
      </c>
      <c r="E303">
        <v>1363.1631500000001</v>
      </c>
      <c r="F303">
        <v>45</v>
      </c>
      <c r="G303">
        <v>30.2925144444444</v>
      </c>
      <c r="H303">
        <v>66.836749999999995</v>
      </c>
      <c r="I303">
        <v>36.451458106855704</v>
      </c>
    </row>
    <row r="304" spans="1:9" x14ac:dyDescent="0.35">
      <c r="A304" s="417" t="s">
        <v>846</v>
      </c>
      <c r="B304" s="417" t="s">
        <v>680</v>
      </c>
      <c r="C304" s="83">
        <v>46265</v>
      </c>
      <c r="D304" s="417" t="s">
        <v>686</v>
      </c>
      <c r="E304">
        <v>1343.11688333333</v>
      </c>
      <c r="F304">
        <v>33</v>
      </c>
      <c r="G304">
        <v>40.700511616161599</v>
      </c>
      <c r="H304">
        <v>23.1906</v>
      </c>
      <c r="I304">
        <v>50.2777499057146</v>
      </c>
    </row>
    <row r="305" spans="1:9" x14ac:dyDescent="0.35">
      <c r="A305" s="417" t="s">
        <v>846</v>
      </c>
      <c r="B305" s="417" t="s">
        <v>680</v>
      </c>
      <c r="C305" s="83">
        <v>46265</v>
      </c>
      <c r="D305" s="417" t="s">
        <v>688</v>
      </c>
      <c r="E305">
        <v>1355.9049666666699</v>
      </c>
      <c r="F305">
        <v>28</v>
      </c>
      <c r="G305">
        <v>48.425177380952398</v>
      </c>
      <c r="H305">
        <v>21.148783333333299</v>
      </c>
      <c r="I305">
        <v>63.225964370712802</v>
      </c>
    </row>
    <row r="306" spans="1:9" x14ac:dyDescent="0.35">
      <c r="A306" s="417" t="s">
        <v>846</v>
      </c>
      <c r="B306" s="417" t="s">
        <v>680</v>
      </c>
      <c r="C306" s="83">
        <v>46265</v>
      </c>
      <c r="D306" s="417" t="s">
        <v>681</v>
      </c>
      <c r="E306">
        <v>1345.36005</v>
      </c>
      <c r="F306">
        <v>25</v>
      </c>
      <c r="G306">
        <v>53.814402000000001</v>
      </c>
      <c r="H306">
        <v>2.1658166666666698</v>
      </c>
      <c r="I306">
        <v>66.942501714803498</v>
      </c>
    </row>
    <row r="307" spans="1:9" x14ac:dyDescent="0.35">
      <c r="A307" s="417" t="s">
        <v>846</v>
      </c>
      <c r="B307" s="417" t="s">
        <v>680</v>
      </c>
      <c r="C307" s="83">
        <v>46265</v>
      </c>
      <c r="D307" s="417" t="s">
        <v>685</v>
      </c>
      <c r="E307">
        <v>1387.6336166666699</v>
      </c>
      <c r="F307">
        <v>19</v>
      </c>
      <c r="G307">
        <v>73.033348245613993</v>
      </c>
      <c r="H307">
        <v>17.174199999999999</v>
      </c>
      <c r="I307">
        <v>81.572100879689103</v>
      </c>
    </row>
    <row r="308" spans="1:9" x14ac:dyDescent="0.35">
      <c r="A308" s="417" t="s">
        <v>846</v>
      </c>
      <c r="B308" s="417" t="s">
        <v>680</v>
      </c>
      <c r="C308" s="83">
        <v>46265</v>
      </c>
      <c r="D308" s="417" t="s">
        <v>682</v>
      </c>
      <c r="E308">
        <v>1422.84285</v>
      </c>
      <c r="F308">
        <v>12</v>
      </c>
      <c r="G308">
        <v>118.5702375</v>
      </c>
      <c r="H308">
        <v>14.663883333333301</v>
      </c>
      <c r="I308">
        <v>78.307549781288998</v>
      </c>
    </row>
    <row r="309" spans="1:9" x14ac:dyDescent="0.35">
      <c r="A309" s="417" t="s">
        <v>846</v>
      </c>
      <c r="B309" s="417" t="s">
        <v>680</v>
      </c>
      <c r="C309" s="83">
        <v>46265</v>
      </c>
      <c r="D309" s="417" t="s">
        <v>690</v>
      </c>
      <c r="E309">
        <v>1413.40173333333</v>
      </c>
      <c r="F309">
        <v>2</v>
      </c>
      <c r="G309">
        <v>706.70086666666703</v>
      </c>
      <c r="H309">
        <v>0</v>
      </c>
      <c r="I309">
        <v>50.284830406665002</v>
      </c>
    </row>
    <row r="310" spans="1:9" x14ac:dyDescent="0.35">
      <c r="A310" s="417" t="s">
        <v>846</v>
      </c>
      <c r="B310" s="417" t="s">
        <v>691</v>
      </c>
      <c r="C310" s="83">
        <v>46265</v>
      </c>
      <c r="D310" s="417" t="s">
        <v>305</v>
      </c>
      <c r="E310">
        <v>1210.6687666666701</v>
      </c>
      <c r="F310">
        <v>179</v>
      </c>
      <c r="G310">
        <v>6.7635126629422704</v>
      </c>
      <c r="H310">
        <v>14.0086833333333</v>
      </c>
      <c r="I310">
        <v>47.893297157409599</v>
      </c>
    </row>
    <row r="311" spans="1:9" x14ac:dyDescent="0.35">
      <c r="A311" s="417" t="s">
        <v>846</v>
      </c>
      <c r="B311" s="417" t="s">
        <v>691</v>
      </c>
      <c r="C311" s="83">
        <v>46265</v>
      </c>
      <c r="D311" s="417" t="s">
        <v>309</v>
      </c>
      <c r="E311">
        <v>1262.12636666667</v>
      </c>
      <c r="F311">
        <v>153</v>
      </c>
      <c r="G311">
        <v>8.2491919389978197</v>
      </c>
      <c r="H311">
        <v>1.7656833333333299</v>
      </c>
      <c r="I311">
        <v>57.181118130139097</v>
      </c>
    </row>
    <row r="312" spans="1:9" x14ac:dyDescent="0.35">
      <c r="A312" s="417" t="s">
        <v>846</v>
      </c>
      <c r="B312" s="417" t="s">
        <v>691</v>
      </c>
      <c r="C312" s="83">
        <v>46265</v>
      </c>
      <c r="D312" s="417" t="s">
        <v>295</v>
      </c>
      <c r="E312">
        <v>1329.9437</v>
      </c>
      <c r="F312">
        <v>124</v>
      </c>
      <c r="G312">
        <v>10.725352419354801</v>
      </c>
      <c r="H312">
        <v>0.79321666666666701</v>
      </c>
      <c r="I312">
        <v>65.312757326760902</v>
      </c>
    </row>
    <row r="313" spans="1:9" x14ac:dyDescent="0.35">
      <c r="A313" s="417" t="s">
        <v>846</v>
      </c>
      <c r="B313" s="417" t="s">
        <v>691</v>
      </c>
      <c r="C313" s="83">
        <v>46265</v>
      </c>
      <c r="D313" s="417" t="s">
        <v>303</v>
      </c>
      <c r="E313">
        <v>1382.74491666667</v>
      </c>
      <c r="F313">
        <v>68</v>
      </c>
      <c r="G313">
        <v>20.3344840686275</v>
      </c>
      <c r="H313">
        <v>0.392616666666667</v>
      </c>
      <c r="I313">
        <v>53.727817560882102</v>
      </c>
    </row>
    <row r="314" spans="1:9" x14ac:dyDescent="0.35">
      <c r="A314" s="417" t="s">
        <v>846</v>
      </c>
      <c r="B314" s="417" t="s">
        <v>691</v>
      </c>
      <c r="C314" s="83">
        <v>46265</v>
      </c>
      <c r="D314" s="417" t="s">
        <v>299</v>
      </c>
      <c r="E314">
        <v>1348.88771666667</v>
      </c>
      <c r="F314">
        <v>42</v>
      </c>
      <c r="G314">
        <v>32.116374206349199</v>
      </c>
      <c r="H314">
        <v>0.36511666666666698</v>
      </c>
      <c r="I314">
        <v>79.377488401432501</v>
      </c>
    </row>
    <row r="315" spans="1:9" x14ac:dyDescent="0.35">
      <c r="A315" s="417" t="s">
        <v>846</v>
      </c>
      <c r="B315" s="417" t="s">
        <v>691</v>
      </c>
      <c r="C315" s="83">
        <v>46265</v>
      </c>
      <c r="D315" s="417" t="s">
        <v>301</v>
      </c>
      <c r="E315">
        <v>1401.8903666666699</v>
      </c>
      <c r="F315">
        <v>41</v>
      </c>
      <c r="G315">
        <v>34.192447967479701</v>
      </c>
      <c r="H315">
        <v>0.13739999999999999</v>
      </c>
      <c r="I315">
        <v>62.215721806956203</v>
      </c>
    </row>
    <row r="316" spans="1:9" x14ac:dyDescent="0.35">
      <c r="A316" s="417" t="s">
        <v>846</v>
      </c>
      <c r="B316" s="417" t="s">
        <v>691</v>
      </c>
      <c r="C316" s="83">
        <v>46265</v>
      </c>
      <c r="D316" s="417" t="s">
        <v>310</v>
      </c>
      <c r="E316">
        <v>1356.78811666667</v>
      </c>
      <c r="F316">
        <v>39</v>
      </c>
      <c r="G316">
        <v>34.789438888888903</v>
      </c>
      <c r="H316">
        <v>0.64924999999999999</v>
      </c>
      <c r="I316">
        <v>60.7870084325615</v>
      </c>
    </row>
    <row r="317" spans="1:9" x14ac:dyDescent="0.35">
      <c r="A317" s="417" t="s">
        <v>846</v>
      </c>
      <c r="B317" s="417" t="s">
        <v>691</v>
      </c>
      <c r="C317" s="83">
        <v>46265</v>
      </c>
      <c r="D317" s="417" t="s">
        <v>313</v>
      </c>
      <c r="E317">
        <v>1388.5756833333301</v>
      </c>
      <c r="F317">
        <v>15</v>
      </c>
      <c r="G317">
        <v>92.571712222222203</v>
      </c>
      <c r="H317">
        <v>0</v>
      </c>
      <c r="I317">
        <v>76.547139070535394</v>
      </c>
    </row>
    <row r="318" spans="1:9" x14ac:dyDescent="0.35">
      <c r="A318" s="417" t="s">
        <v>846</v>
      </c>
      <c r="B318" s="417" t="s">
        <v>691</v>
      </c>
      <c r="C318" s="83">
        <v>46265</v>
      </c>
      <c r="D318" s="417" t="s">
        <v>314</v>
      </c>
      <c r="E318">
        <v>1414.7888499999999</v>
      </c>
      <c r="F318">
        <v>4</v>
      </c>
      <c r="G318">
        <v>353.69721249999998</v>
      </c>
      <c r="H318">
        <v>7.4999999999999997E-2</v>
      </c>
      <c r="I318">
        <v>48.929636968933501</v>
      </c>
    </row>
    <row r="319" spans="1:9" x14ac:dyDescent="0.35">
      <c r="A319" s="417" t="s">
        <v>846</v>
      </c>
      <c r="B319" s="417" t="s">
        <v>691</v>
      </c>
      <c r="C319" s="83">
        <v>46265</v>
      </c>
      <c r="D319" s="417" t="s">
        <v>317</v>
      </c>
      <c r="E319">
        <v>1435.76553333333</v>
      </c>
      <c r="F319">
        <v>3</v>
      </c>
      <c r="G319">
        <v>478.58851111111102</v>
      </c>
      <c r="H319">
        <v>2.2479833333333299</v>
      </c>
      <c r="I319">
        <v>48.796481525886499</v>
      </c>
    </row>
    <row r="320" spans="1:9" x14ac:dyDescent="0.35">
      <c r="A320" s="417" t="s">
        <v>846</v>
      </c>
      <c r="B320" s="417" t="s">
        <v>691</v>
      </c>
      <c r="C320" s="83">
        <v>46265</v>
      </c>
      <c r="D320" s="417" t="s">
        <v>504</v>
      </c>
      <c r="E320">
        <v>1440</v>
      </c>
      <c r="F320">
        <v>1</v>
      </c>
      <c r="G320">
        <v>1440</v>
      </c>
      <c r="H320">
        <v>0</v>
      </c>
      <c r="I320">
        <v>41.563580246913602</v>
      </c>
    </row>
    <row r="321" spans="1:9" x14ac:dyDescent="0.35">
      <c r="A321" s="417" t="s">
        <v>846</v>
      </c>
      <c r="B321" s="417" t="s">
        <v>676</v>
      </c>
      <c r="C321" s="83">
        <v>46264</v>
      </c>
      <c r="D321" s="417" t="s">
        <v>677</v>
      </c>
      <c r="E321">
        <v>1345.40863333333</v>
      </c>
      <c r="F321">
        <v>199</v>
      </c>
      <c r="G321">
        <v>6.7608474036850899</v>
      </c>
      <c r="H321">
        <v>94.591366666666701</v>
      </c>
      <c r="I321">
        <v>22.323055555555499</v>
      </c>
    </row>
    <row r="322" spans="1:9" x14ac:dyDescent="0.35">
      <c r="A322" s="417" t="s">
        <v>846</v>
      </c>
      <c r="B322" s="417" t="s">
        <v>676</v>
      </c>
      <c r="C322" s="83">
        <v>46264</v>
      </c>
      <c r="D322" s="417" t="s">
        <v>678</v>
      </c>
      <c r="E322">
        <v>1366.6695833333299</v>
      </c>
      <c r="F322">
        <v>29</v>
      </c>
      <c r="G322">
        <v>47.126537356321798</v>
      </c>
      <c r="H322">
        <v>22.663499999999999</v>
      </c>
      <c r="I322">
        <v>114.273053192128</v>
      </c>
    </row>
    <row r="323" spans="1:9" x14ac:dyDescent="0.35">
      <c r="A323" s="417" t="s">
        <v>846</v>
      </c>
      <c r="B323" s="417" t="s">
        <v>676</v>
      </c>
      <c r="C323" s="83">
        <v>46264</v>
      </c>
      <c r="D323" s="417" t="s">
        <v>679</v>
      </c>
      <c r="E323">
        <v>1294.1229333333299</v>
      </c>
      <c r="F323">
        <v>26</v>
      </c>
      <c r="G323">
        <v>49.773958974358997</v>
      </c>
      <c r="H323">
        <v>25.0085333333333</v>
      </c>
      <c r="I323">
        <v>103.128209814013</v>
      </c>
    </row>
    <row r="324" spans="1:9" x14ac:dyDescent="0.35">
      <c r="A324" s="417" t="s">
        <v>846</v>
      </c>
      <c r="B324" s="417" t="s">
        <v>680</v>
      </c>
      <c r="C324" s="83">
        <v>46264</v>
      </c>
      <c r="D324" s="417" t="s">
        <v>689</v>
      </c>
      <c r="E324">
        <v>1322.49935</v>
      </c>
      <c r="F324">
        <v>117</v>
      </c>
      <c r="G324">
        <v>11.303413247863199</v>
      </c>
      <c r="H324">
        <v>2.8424999999999998</v>
      </c>
      <c r="I324">
        <v>83.839668465334995</v>
      </c>
    </row>
    <row r="325" spans="1:9" x14ac:dyDescent="0.35">
      <c r="A325" s="417" t="s">
        <v>846</v>
      </c>
      <c r="B325" s="417" t="s">
        <v>680</v>
      </c>
      <c r="C325" s="83">
        <v>46264</v>
      </c>
      <c r="D325" s="417" t="s">
        <v>684</v>
      </c>
      <c r="E325">
        <v>1401.30723333333</v>
      </c>
      <c r="F325">
        <v>49</v>
      </c>
      <c r="G325">
        <v>28.598106802721102</v>
      </c>
      <c r="H325">
        <v>19.66215</v>
      </c>
      <c r="I325">
        <v>74.300808516895501</v>
      </c>
    </row>
    <row r="326" spans="1:9" x14ac:dyDescent="0.35">
      <c r="A326" s="417" t="s">
        <v>846</v>
      </c>
      <c r="B326" s="417" t="s">
        <v>680</v>
      </c>
      <c r="C326" s="83">
        <v>46264</v>
      </c>
      <c r="D326" s="417" t="s">
        <v>688</v>
      </c>
      <c r="E326">
        <v>1314.99796666667</v>
      </c>
      <c r="F326">
        <v>42</v>
      </c>
      <c r="G326">
        <v>31.309475396825398</v>
      </c>
      <c r="H326">
        <v>24.161816666666699</v>
      </c>
      <c r="I326">
        <v>46.0617529195478</v>
      </c>
    </row>
    <row r="327" spans="1:9" x14ac:dyDescent="0.35">
      <c r="A327" s="417" t="s">
        <v>846</v>
      </c>
      <c r="B327" s="417" t="s">
        <v>680</v>
      </c>
      <c r="C327" s="83">
        <v>46264</v>
      </c>
      <c r="D327" s="417" t="s">
        <v>681</v>
      </c>
      <c r="E327">
        <v>1355.2976333333299</v>
      </c>
      <c r="F327">
        <v>42</v>
      </c>
      <c r="G327">
        <v>32.268991269841301</v>
      </c>
      <c r="H327">
        <v>4.8266833333333299</v>
      </c>
      <c r="I327">
        <v>50.038889693239497</v>
      </c>
    </row>
    <row r="328" spans="1:9" x14ac:dyDescent="0.35">
      <c r="A328" s="417" t="s">
        <v>846</v>
      </c>
      <c r="B328" s="417" t="s">
        <v>680</v>
      </c>
      <c r="C328" s="83">
        <v>46264</v>
      </c>
      <c r="D328" s="417" t="s">
        <v>685</v>
      </c>
      <c r="E328">
        <v>1357.52686666667</v>
      </c>
      <c r="F328">
        <v>36</v>
      </c>
      <c r="G328">
        <v>37.709079629629599</v>
      </c>
      <c r="H328">
        <v>24.9791666666667</v>
      </c>
      <c r="I328">
        <v>65.176026689594295</v>
      </c>
    </row>
    <row r="329" spans="1:9" x14ac:dyDescent="0.35">
      <c r="A329" s="417" t="s">
        <v>846</v>
      </c>
      <c r="B329" s="417" t="s">
        <v>680</v>
      </c>
      <c r="C329" s="83">
        <v>46264</v>
      </c>
      <c r="D329" s="417" t="s">
        <v>683</v>
      </c>
      <c r="E329">
        <v>1381.3290666666701</v>
      </c>
      <c r="F329">
        <v>35</v>
      </c>
      <c r="G329">
        <v>39.4665447619048</v>
      </c>
      <c r="H329">
        <v>1.5004</v>
      </c>
      <c r="I329">
        <v>95.678137848743901</v>
      </c>
    </row>
    <row r="330" spans="1:9" x14ac:dyDescent="0.35">
      <c r="A330" s="417" t="s">
        <v>846</v>
      </c>
      <c r="B330" s="417" t="s">
        <v>680</v>
      </c>
      <c r="C330" s="83">
        <v>46264</v>
      </c>
      <c r="D330" s="417" t="s">
        <v>682</v>
      </c>
      <c r="E330">
        <v>1267.1313666666699</v>
      </c>
      <c r="F330">
        <v>25</v>
      </c>
      <c r="G330">
        <v>50.685254666666701</v>
      </c>
      <c r="H330">
        <v>21.850483333333301</v>
      </c>
      <c r="I330">
        <v>80.341876299673203</v>
      </c>
    </row>
    <row r="331" spans="1:9" x14ac:dyDescent="0.35">
      <c r="A331" s="417" t="s">
        <v>846</v>
      </c>
      <c r="B331" s="417" t="s">
        <v>680</v>
      </c>
      <c r="C331" s="83">
        <v>46264</v>
      </c>
      <c r="D331" s="417" t="s">
        <v>686</v>
      </c>
      <c r="E331">
        <v>1402.99135</v>
      </c>
      <c r="F331">
        <v>24</v>
      </c>
      <c r="G331">
        <v>58.457972916666698</v>
      </c>
      <c r="H331">
        <v>17.663599999999999</v>
      </c>
      <c r="I331">
        <v>45.930159952569099</v>
      </c>
    </row>
    <row r="332" spans="1:9" x14ac:dyDescent="0.35">
      <c r="A332" s="417" t="s">
        <v>846</v>
      </c>
      <c r="B332" s="417" t="s">
        <v>680</v>
      </c>
      <c r="C332" s="83">
        <v>46264</v>
      </c>
      <c r="D332" s="417" t="s">
        <v>690</v>
      </c>
      <c r="E332">
        <v>1360.8155999999999</v>
      </c>
      <c r="F332">
        <v>18</v>
      </c>
      <c r="G332">
        <v>75.600866666666704</v>
      </c>
      <c r="H332">
        <v>13.1732666666667</v>
      </c>
      <c r="I332">
        <v>51.512448868807397</v>
      </c>
    </row>
    <row r="333" spans="1:9" x14ac:dyDescent="0.35">
      <c r="A333" s="417" t="s">
        <v>846</v>
      </c>
      <c r="B333" s="417" t="s">
        <v>680</v>
      </c>
      <c r="C333" s="83">
        <v>46264</v>
      </c>
      <c r="D333" s="417" t="s">
        <v>687</v>
      </c>
      <c r="E333">
        <v>1391.9848833333299</v>
      </c>
      <c r="F333">
        <v>12</v>
      </c>
      <c r="G333">
        <v>115.998740277778</v>
      </c>
      <c r="H333">
        <v>13.177716666666701</v>
      </c>
      <c r="I333">
        <v>49.122493659517403</v>
      </c>
    </row>
    <row r="334" spans="1:9" x14ac:dyDescent="0.35">
      <c r="A334" s="417" t="s">
        <v>846</v>
      </c>
      <c r="B334" s="417" t="s">
        <v>691</v>
      </c>
      <c r="C334" s="83">
        <v>46264</v>
      </c>
      <c r="D334" s="417" t="s">
        <v>295</v>
      </c>
      <c r="E334">
        <v>1229.97131666667</v>
      </c>
      <c r="F334">
        <v>299</v>
      </c>
      <c r="G334">
        <v>4.1136164437012299</v>
      </c>
      <c r="H334">
        <v>1.9263666666666699</v>
      </c>
      <c r="I334">
        <v>44.099817661818697</v>
      </c>
    </row>
    <row r="335" spans="1:9" x14ac:dyDescent="0.35">
      <c r="A335" s="417" t="s">
        <v>846</v>
      </c>
      <c r="B335" s="417" t="s">
        <v>691</v>
      </c>
      <c r="C335" s="83">
        <v>46264</v>
      </c>
      <c r="D335" s="417" t="s">
        <v>303</v>
      </c>
      <c r="E335">
        <v>1330.92355</v>
      </c>
      <c r="F335">
        <v>199</v>
      </c>
      <c r="G335">
        <v>6.6880580402009997</v>
      </c>
      <c r="H335">
        <v>1.3364166666666699</v>
      </c>
      <c r="I335">
        <v>32.265492439828797</v>
      </c>
    </row>
    <row r="336" spans="1:9" x14ac:dyDescent="0.35">
      <c r="A336" s="417" t="s">
        <v>846</v>
      </c>
      <c r="B336" s="417" t="s">
        <v>691</v>
      </c>
      <c r="C336" s="83">
        <v>46264</v>
      </c>
      <c r="D336" s="417" t="s">
        <v>309</v>
      </c>
      <c r="E336">
        <v>953.116983333333</v>
      </c>
      <c r="F336">
        <v>101</v>
      </c>
      <c r="G336">
        <v>9.4368018151815196</v>
      </c>
      <c r="H336">
        <v>0</v>
      </c>
      <c r="I336">
        <v>32.307696960079802</v>
      </c>
    </row>
    <row r="337" spans="1:9" x14ac:dyDescent="0.35">
      <c r="A337" s="417" t="s">
        <v>846</v>
      </c>
      <c r="B337" s="417" t="s">
        <v>691</v>
      </c>
      <c r="C337" s="83">
        <v>46264</v>
      </c>
      <c r="D337" s="417" t="s">
        <v>305</v>
      </c>
      <c r="E337">
        <v>1342.8833</v>
      </c>
      <c r="F337">
        <v>80</v>
      </c>
      <c r="G337">
        <v>16.78604125</v>
      </c>
      <c r="H337">
        <v>3.4965000000000002</v>
      </c>
      <c r="I337">
        <v>30.307962441568701</v>
      </c>
    </row>
    <row r="338" spans="1:9" x14ac:dyDescent="0.35">
      <c r="A338" s="417" t="s">
        <v>846</v>
      </c>
      <c r="B338" s="417" t="s">
        <v>691</v>
      </c>
      <c r="C338" s="83">
        <v>46264</v>
      </c>
      <c r="D338" s="417" t="s">
        <v>299</v>
      </c>
      <c r="E338">
        <v>1368.6633999999999</v>
      </c>
      <c r="F338">
        <v>52</v>
      </c>
      <c r="G338">
        <v>26.320450000000001</v>
      </c>
      <c r="H338">
        <v>0.91041666666666698</v>
      </c>
      <c r="I338">
        <v>54.645548334608002</v>
      </c>
    </row>
    <row r="339" spans="1:9" x14ac:dyDescent="0.35">
      <c r="A339" s="417" t="s">
        <v>846</v>
      </c>
      <c r="B339" s="417" t="s">
        <v>691</v>
      </c>
      <c r="C339" s="83">
        <v>46264</v>
      </c>
      <c r="D339" s="417" t="s">
        <v>301</v>
      </c>
      <c r="E339">
        <v>1384.1492000000001</v>
      </c>
      <c r="F339">
        <v>49</v>
      </c>
      <c r="G339">
        <v>28.247942857142899</v>
      </c>
      <c r="H339">
        <v>0.57596666666666696</v>
      </c>
      <c r="I339">
        <v>48.709133620167101</v>
      </c>
    </row>
    <row r="340" spans="1:9" x14ac:dyDescent="0.35">
      <c r="A340" s="417" t="s">
        <v>846</v>
      </c>
      <c r="B340" s="417" t="s">
        <v>691</v>
      </c>
      <c r="C340" s="83">
        <v>46264</v>
      </c>
      <c r="D340" s="417" t="s">
        <v>310</v>
      </c>
      <c r="E340">
        <v>1363.3674166666699</v>
      </c>
      <c r="F340">
        <v>19</v>
      </c>
      <c r="G340">
        <v>71.7561798245614</v>
      </c>
      <c r="H340">
        <v>0.101016666666667</v>
      </c>
      <c r="I340">
        <v>36.837710665054999</v>
      </c>
    </row>
    <row r="341" spans="1:9" x14ac:dyDescent="0.35">
      <c r="A341" s="417" t="s">
        <v>846</v>
      </c>
      <c r="B341" s="417" t="s">
        <v>691</v>
      </c>
      <c r="C341" s="83">
        <v>46264</v>
      </c>
      <c r="D341" s="417" t="s">
        <v>314</v>
      </c>
      <c r="E341">
        <v>1354.93006666667</v>
      </c>
      <c r="F341">
        <v>11</v>
      </c>
      <c r="G341">
        <v>123.17546060606099</v>
      </c>
      <c r="H341">
        <v>0.39208333333333301</v>
      </c>
      <c r="I341">
        <v>39.9238054039294</v>
      </c>
    </row>
    <row r="342" spans="1:9" x14ac:dyDescent="0.35">
      <c r="A342" s="417" t="s">
        <v>846</v>
      </c>
      <c r="B342" s="417" t="s">
        <v>691</v>
      </c>
      <c r="C342" s="83">
        <v>46264</v>
      </c>
      <c r="D342" s="417" t="s">
        <v>313</v>
      </c>
      <c r="E342">
        <v>1326.32305</v>
      </c>
      <c r="F342">
        <v>8</v>
      </c>
      <c r="G342">
        <v>165.79038125</v>
      </c>
      <c r="H342">
        <v>0</v>
      </c>
      <c r="I342">
        <v>54.358501440404901</v>
      </c>
    </row>
    <row r="343" spans="1:9" x14ac:dyDescent="0.35">
      <c r="A343" s="417" t="s">
        <v>846</v>
      </c>
      <c r="B343" s="417" t="s">
        <v>691</v>
      </c>
      <c r="C343" s="83">
        <v>46264</v>
      </c>
      <c r="D343" s="417" t="s">
        <v>504</v>
      </c>
      <c r="E343">
        <v>1440</v>
      </c>
      <c r="F343">
        <v>1</v>
      </c>
      <c r="G343">
        <v>1440</v>
      </c>
      <c r="H343">
        <v>0</v>
      </c>
      <c r="I343">
        <v>16.540123456790099</v>
      </c>
    </row>
    <row r="344" spans="1:9" x14ac:dyDescent="0.35">
      <c r="A344" s="417" t="s">
        <v>846</v>
      </c>
      <c r="B344" s="417" t="s">
        <v>691</v>
      </c>
      <c r="C344" s="83">
        <v>46264</v>
      </c>
      <c r="D344" s="417" t="s">
        <v>317</v>
      </c>
      <c r="E344">
        <v>1439.2661333333299</v>
      </c>
      <c r="F344">
        <v>1</v>
      </c>
      <c r="G344">
        <v>1439.2661333333299</v>
      </c>
      <c r="H344">
        <v>0</v>
      </c>
      <c r="I344">
        <v>29.987504743157999</v>
      </c>
    </row>
    <row r="345" spans="1:9" x14ac:dyDescent="0.35">
      <c r="A345" s="417" t="s">
        <v>846</v>
      </c>
      <c r="B345" s="417" t="s">
        <v>676</v>
      </c>
      <c r="C345" s="83">
        <v>46263</v>
      </c>
      <c r="D345" s="417" t="s">
        <v>677</v>
      </c>
      <c r="E345">
        <v>868.27293333333296</v>
      </c>
      <c r="F345">
        <v>193</v>
      </c>
      <c r="G345">
        <v>4.4988234887737502</v>
      </c>
      <c r="H345">
        <v>139.81811666666701</v>
      </c>
      <c r="I345">
        <v>9.2892592592592607</v>
      </c>
    </row>
    <row r="346" spans="1:9" x14ac:dyDescent="0.35">
      <c r="A346" s="417" t="s">
        <v>846</v>
      </c>
      <c r="B346" s="417" t="s">
        <v>676</v>
      </c>
      <c r="C346" s="83">
        <v>46263</v>
      </c>
      <c r="D346" s="417" t="s">
        <v>678</v>
      </c>
      <c r="E346">
        <v>652.445516666667</v>
      </c>
      <c r="F346">
        <v>18</v>
      </c>
      <c r="G346">
        <v>36.2469731481482</v>
      </c>
      <c r="H346">
        <v>33.543033333333298</v>
      </c>
      <c r="I346">
        <v>88.129894299141498</v>
      </c>
    </row>
    <row r="347" spans="1:9" x14ac:dyDescent="0.35">
      <c r="A347" s="417" t="s">
        <v>846</v>
      </c>
      <c r="B347" s="417" t="s">
        <v>676</v>
      </c>
      <c r="C347" s="83">
        <v>46263</v>
      </c>
      <c r="D347" s="417" t="s">
        <v>679</v>
      </c>
      <c r="E347">
        <v>709.257383333333</v>
      </c>
      <c r="F347">
        <v>12</v>
      </c>
      <c r="G347">
        <v>59.104781944444497</v>
      </c>
      <c r="H347">
        <v>8.7364666666666704</v>
      </c>
      <c r="I347">
        <v>89.851280295321004</v>
      </c>
    </row>
    <row r="348" spans="1:9" x14ac:dyDescent="0.35">
      <c r="A348" s="417" t="s">
        <v>846</v>
      </c>
      <c r="B348" s="417" t="s">
        <v>680</v>
      </c>
      <c r="C348" s="83">
        <v>46263</v>
      </c>
      <c r="D348" s="417" t="s">
        <v>689</v>
      </c>
      <c r="E348">
        <v>80.555499999999995</v>
      </c>
      <c r="F348">
        <v>10</v>
      </c>
      <c r="G348">
        <v>8.0555500000000002</v>
      </c>
      <c r="H348">
        <v>0</v>
      </c>
      <c r="I348">
        <v>24.422136678386501</v>
      </c>
    </row>
    <row r="349" spans="1:9" x14ac:dyDescent="0.35">
      <c r="A349" s="417" t="s">
        <v>846</v>
      </c>
      <c r="B349" s="417" t="s">
        <v>680</v>
      </c>
      <c r="C349" s="83">
        <v>46263</v>
      </c>
      <c r="D349" s="417" t="s">
        <v>685</v>
      </c>
      <c r="E349">
        <v>829.40965000000006</v>
      </c>
      <c r="F349">
        <v>5</v>
      </c>
      <c r="G349">
        <v>165.88193000000001</v>
      </c>
      <c r="H349">
        <v>4.5492166666666698</v>
      </c>
      <c r="I349">
        <v>2.2935626190289301E-4</v>
      </c>
    </row>
    <row r="350" spans="1:9" x14ac:dyDescent="0.35">
      <c r="A350" s="417" t="s">
        <v>846</v>
      </c>
      <c r="B350" s="417" t="s">
        <v>680</v>
      </c>
      <c r="C350" s="83">
        <v>46263</v>
      </c>
      <c r="D350" s="417" t="s">
        <v>684</v>
      </c>
      <c r="E350">
        <v>81.040616666666693</v>
      </c>
      <c r="F350">
        <v>4</v>
      </c>
      <c r="G350">
        <v>20.260154166666702</v>
      </c>
      <c r="H350">
        <v>0.50565000000000004</v>
      </c>
      <c r="I350">
        <v>1.4240765187253701</v>
      </c>
    </row>
    <row r="351" spans="1:9" x14ac:dyDescent="0.35">
      <c r="A351" s="417" t="s">
        <v>846</v>
      </c>
      <c r="B351" s="417" t="s">
        <v>680</v>
      </c>
      <c r="C351" s="83">
        <v>46263</v>
      </c>
      <c r="D351" s="417" t="s">
        <v>687</v>
      </c>
      <c r="E351">
        <v>583.05678333333401</v>
      </c>
      <c r="F351">
        <v>4</v>
      </c>
      <c r="G351">
        <v>145.76419583333299</v>
      </c>
      <c r="H351">
        <v>1.3277666666666701</v>
      </c>
      <c r="I351">
        <v>4.8706541319131</v>
      </c>
    </row>
    <row r="352" spans="1:9" x14ac:dyDescent="0.35">
      <c r="A352" s="417" t="s">
        <v>846</v>
      </c>
      <c r="B352" s="417" t="s">
        <v>680</v>
      </c>
      <c r="C352" s="83">
        <v>46263</v>
      </c>
      <c r="D352" s="417" t="s">
        <v>683</v>
      </c>
      <c r="E352">
        <v>79.700950000000006</v>
      </c>
      <c r="F352">
        <v>3</v>
      </c>
      <c r="G352">
        <v>26.566983333333301</v>
      </c>
      <c r="H352">
        <v>0.33338333333333298</v>
      </c>
      <c r="I352">
        <v>23.009117176504098</v>
      </c>
    </row>
    <row r="353" spans="1:9" x14ac:dyDescent="0.35">
      <c r="A353" s="417" t="s">
        <v>846</v>
      </c>
      <c r="B353" s="417" t="s">
        <v>680</v>
      </c>
      <c r="C353" s="83">
        <v>46263</v>
      </c>
      <c r="D353" s="417" t="s">
        <v>690</v>
      </c>
      <c r="E353">
        <v>455.04199999999997</v>
      </c>
      <c r="F353">
        <v>3</v>
      </c>
      <c r="G353">
        <v>151.68066666666701</v>
      </c>
      <c r="H353">
        <v>0</v>
      </c>
      <c r="I353">
        <v>2.3522870011856898</v>
      </c>
    </row>
    <row r="354" spans="1:9" x14ac:dyDescent="0.35">
      <c r="A354" s="417" t="s">
        <v>846</v>
      </c>
      <c r="B354" s="417" t="s">
        <v>680</v>
      </c>
      <c r="C354" s="83">
        <v>46263</v>
      </c>
      <c r="D354" s="417" t="s">
        <v>681</v>
      </c>
      <c r="E354">
        <v>82.037866666666702</v>
      </c>
      <c r="F354">
        <v>3</v>
      </c>
      <c r="G354">
        <v>27.345955555555602</v>
      </c>
      <c r="H354">
        <v>0.33400000000000002</v>
      </c>
      <c r="I354">
        <v>29.079916629307299</v>
      </c>
    </row>
    <row r="355" spans="1:9" x14ac:dyDescent="0.35">
      <c r="A355" s="417" t="s">
        <v>846</v>
      </c>
      <c r="B355" s="417" t="s">
        <v>680</v>
      </c>
      <c r="C355" s="83">
        <v>46263</v>
      </c>
      <c r="D355" s="417" t="s">
        <v>686</v>
      </c>
      <c r="E355">
        <v>100.891066666667</v>
      </c>
      <c r="F355">
        <v>3</v>
      </c>
      <c r="G355">
        <v>33.630355555555603</v>
      </c>
      <c r="H355">
        <v>0.50033333333333296</v>
      </c>
      <c r="I355">
        <v>17.684140288710299</v>
      </c>
    </row>
    <row r="356" spans="1:9" x14ac:dyDescent="0.35">
      <c r="A356" s="417" t="s">
        <v>846</v>
      </c>
      <c r="B356" s="417" t="s">
        <v>680</v>
      </c>
      <c r="C356" s="83">
        <v>46263</v>
      </c>
      <c r="D356" s="417" t="s">
        <v>688</v>
      </c>
      <c r="E356">
        <v>492.82816666666702</v>
      </c>
      <c r="F356">
        <v>2</v>
      </c>
      <c r="G356">
        <v>246.414083333333</v>
      </c>
      <c r="H356">
        <v>0</v>
      </c>
      <c r="I356">
        <v>0.995075213509101</v>
      </c>
    </row>
    <row r="357" spans="1:9" x14ac:dyDescent="0.35">
      <c r="A357" s="417" t="s">
        <v>846</v>
      </c>
      <c r="B357" s="417" t="s">
        <v>680</v>
      </c>
      <c r="C357" s="83">
        <v>46263</v>
      </c>
      <c r="D357" s="417" t="s">
        <v>682</v>
      </c>
      <c r="E357">
        <v>30.869233333333302</v>
      </c>
      <c r="F357">
        <v>1</v>
      </c>
      <c r="G357">
        <v>30.869233333333302</v>
      </c>
      <c r="H357">
        <v>0</v>
      </c>
      <c r="I357">
        <v>5.5824403669739004E-15</v>
      </c>
    </row>
    <row r="358" spans="1:9" x14ac:dyDescent="0.35">
      <c r="A358" s="417" t="s">
        <v>846</v>
      </c>
      <c r="B358" s="417" t="s">
        <v>691</v>
      </c>
      <c r="C358" s="83">
        <v>46263</v>
      </c>
      <c r="D358" s="417" t="s">
        <v>303</v>
      </c>
      <c r="E358">
        <v>292.82220000000001</v>
      </c>
      <c r="F358">
        <v>45</v>
      </c>
      <c r="G358">
        <v>6.5071599999999998</v>
      </c>
      <c r="H358">
        <v>0.33724999999999999</v>
      </c>
      <c r="I358">
        <v>19.042144740470398</v>
      </c>
    </row>
    <row r="359" spans="1:9" x14ac:dyDescent="0.35">
      <c r="A359" s="417" t="s">
        <v>846</v>
      </c>
      <c r="B359" s="417" t="s">
        <v>691</v>
      </c>
      <c r="C359" s="83">
        <v>46263</v>
      </c>
      <c r="D359" s="417" t="s">
        <v>295</v>
      </c>
      <c r="E359">
        <v>417.01296666666701</v>
      </c>
      <c r="F359">
        <v>37</v>
      </c>
      <c r="G359">
        <v>11.2706207207207</v>
      </c>
      <c r="H359">
        <v>0.25490000000000002</v>
      </c>
      <c r="I359">
        <v>3.9156646376862398</v>
      </c>
    </row>
    <row r="360" spans="1:9" x14ac:dyDescent="0.35">
      <c r="A360" s="417" t="s">
        <v>846</v>
      </c>
      <c r="B360" s="417" t="s">
        <v>691</v>
      </c>
      <c r="C360" s="83">
        <v>46263</v>
      </c>
      <c r="D360" s="417" t="s">
        <v>301</v>
      </c>
      <c r="E360">
        <v>304.871716666667</v>
      </c>
      <c r="F360">
        <v>6</v>
      </c>
      <c r="G360">
        <v>50.811952777777798</v>
      </c>
      <c r="H360">
        <v>0</v>
      </c>
      <c r="I360">
        <v>23.223058646274801</v>
      </c>
    </row>
    <row r="361" spans="1:9" x14ac:dyDescent="0.35">
      <c r="A361" s="417" t="s">
        <v>846</v>
      </c>
      <c r="B361" s="417" t="s">
        <v>691</v>
      </c>
      <c r="C361" s="83">
        <v>46263</v>
      </c>
      <c r="D361" s="417" t="s">
        <v>317</v>
      </c>
      <c r="E361">
        <v>595.64004999999997</v>
      </c>
      <c r="F361">
        <v>3</v>
      </c>
      <c r="G361">
        <v>198.54668333333299</v>
      </c>
      <c r="H361">
        <v>4.3599500000000004</v>
      </c>
      <c r="I361">
        <v>8.15</v>
      </c>
    </row>
    <row r="362" spans="1:9" x14ac:dyDescent="0.35">
      <c r="A362" s="417" t="s">
        <v>846</v>
      </c>
      <c r="B362" s="417" t="s">
        <v>691</v>
      </c>
      <c r="C362" s="83">
        <v>46263</v>
      </c>
      <c r="D362" s="417" t="s">
        <v>299</v>
      </c>
      <c r="E362">
        <v>476.41378333333301</v>
      </c>
      <c r="F362">
        <v>3</v>
      </c>
      <c r="G362">
        <v>158.80459444444401</v>
      </c>
      <c r="H362">
        <v>0</v>
      </c>
      <c r="I362">
        <v>5.5257815295382997</v>
      </c>
    </row>
    <row r="363" spans="1:9" x14ac:dyDescent="0.35">
      <c r="A363" s="417" t="s">
        <v>846</v>
      </c>
      <c r="B363" s="417" t="s">
        <v>691</v>
      </c>
      <c r="C363" s="83">
        <v>46263</v>
      </c>
      <c r="D363" s="417" t="s">
        <v>314</v>
      </c>
      <c r="E363">
        <v>598.60996666666699</v>
      </c>
      <c r="F363">
        <v>1</v>
      </c>
      <c r="G363">
        <v>598.60996666666699</v>
      </c>
      <c r="H363">
        <v>0</v>
      </c>
      <c r="I363">
        <v>7.4840050274249297</v>
      </c>
    </row>
    <row r="364" spans="1:9" x14ac:dyDescent="0.35">
      <c r="A364" s="417" t="s">
        <v>846</v>
      </c>
      <c r="B364" s="417" t="s">
        <v>691</v>
      </c>
      <c r="C364" s="83">
        <v>46263</v>
      </c>
      <c r="D364" s="417" t="s">
        <v>305</v>
      </c>
      <c r="E364">
        <v>271.73489999999998</v>
      </c>
      <c r="F364">
        <v>1</v>
      </c>
      <c r="G364">
        <v>271.73489999999998</v>
      </c>
      <c r="H364">
        <v>0</v>
      </c>
      <c r="I364">
        <v>0.38435614120529699</v>
      </c>
    </row>
    <row r="365" spans="1:9" x14ac:dyDescent="0.35">
      <c r="A365" s="417" t="s">
        <v>846</v>
      </c>
      <c r="B365" s="417" t="s">
        <v>691</v>
      </c>
      <c r="C365" s="83">
        <v>46263</v>
      </c>
      <c r="D365" s="417" t="s">
        <v>309</v>
      </c>
      <c r="E365">
        <v>297.18651666666699</v>
      </c>
      <c r="F365">
        <v>1</v>
      </c>
      <c r="G365">
        <v>297.18651666666699</v>
      </c>
      <c r="H365">
        <v>0</v>
      </c>
      <c r="I365">
        <v>0.10767648666877</v>
      </c>
    </row>
    <row r="366" spans="1:9" x14ac:dyDescent="0.35">
      <c r="A366" s="417" t="s">
        <v>846</v>
      </c>
      <c r="B366" s="417" t="s">
        <v>691</v>
      </c>
      <c r="C366" s="83">
        <v>46263</v>
      </c>
      <c r="D366" s="417" t="s">
        <v>504</v>
      </c>
      <c r="E366">
        <v>600</v>
      </c>
      <c r="F366">
        <v>1</v>
      </c>
      <c r="G366">
        <v>600</v>
      </c>
      <c r="H366">
        <v>0</v>
      </c>
      <c r="I366">
        <v>0.27518518518519602</v>
      </c>
    </row>
    <row r="367" spans="1:9" x14ac:dyDescent="0.35">
      <c r="A367" s="417" t="s">
        <v>846</v>
      </c>
      <c r="B367" s="417" t="s">
        <v>691</v>
      </c>
      <c r="C367" s="83">
        <v>46263</v>
      </c>
      <c r="D367" s="417" t="s">
        <v>310</v>
      </c>
      <c r="E367">
        <v>413.66575</v>
      </c>
      <c r="F367">
        <v>1</v>
      </c>
      <c r="G367">
        <v>413.66575</v>
      </c>
      <c r="H367">
        <v>0</v>
      </c>
      <c r="I367">
        <v>0.49556918840877501</v>
      </c>
    </row>
    <row r="368" spans="1:9" x14ac:dyDescent="0.35">
      <c r="A368" s="417" t="s">
        <v>846</v>
      </c>
      <c r="B368" s="417" t="s">
        <v>691</v>
      </c>
      <c r="C368" s="83">
        <v>46263</v>
      </c>
      <c r="D368" s="417" t="s">
        <v>313</v>
      </c>
      <c r="E368">
        <v>598.76176666666697</v>
      </c>
      <c r="F368">
        <v>1</v>
      </c>
      <c r="G368">
        <v>598.76176666666697</v>
      </c>
      <c r="H368">
        <v>0</v>
      </c>
      <c r="I368">
        <v>3.8162089285037402</v>
      </c>
    </row>
    <row r="369" spans="1:9" x14ac:dyDescent="0.35">
      <c r="A369" s="417" t="s">
        <v>846</v>
      </c>
      <c r="B369" s="417" t="s">
        <v>676</v>
      </c>
      <c r="C369" s="83">
        <v>46262</v>
      </c>
      <c r="D369" s="417" t="s">
        <v>677</v>
      </c>
      <c r="E369">
        <v>334.825283333333</v>
      </c>
      <c r="F369">
        <v>56</v>
      </c>
      <c r="G369">
        <v>5.9790229166666702</v>
      </c>
      <c r="H369">
        <v>25.174716666666701</v>
      </c>
      <c r="I369">
        <v>7.8544444444444501</v>
      </c>
    </row>
    <row r="370" spans="1:9" x14ac:dyDescent="0.35">
      <c r="A370" s="417" t="s">
        <v>846</v>
      </c>
      <c r="B370" s="417" t="s">
        <v>676</v>
      </c>
      <c r="C370" s="83">
        <v>46262</v>
      </c>
      <c r="D370" s="417" t="s">
        <v>679</v>
      </c>
      <c r="E370">
        <v>223.301516666667</v>
      </c>
      <c r="F370">
        <v>2</v>
      </c>
      <c r="G370">
        <v>111.650758333333</v>
      </c>
      <c r="H370">
        <v>0.83399999999999996</v>
      </c>
      <c r="I370">
        <v>38.4841581332008</v>
      </c>
    </row>
    <row r="371" spans="1:9" x14ac:dyDescent="0.35">
      <c r="A371" s="417" t="s">
        <v>846</v>
      </c>
      <c r="B371" s="417" t="s">
        <v>676</v>
      </c>
      <c r="C371" s="83">
        <v>46262</v>
      </c>
      <c r="D371" s="417" t="s">
        <v>678</v>
      </c>
      <c r="E371">
        <v>235.14856666666699</v>
      </c>
      <c r="F371">
        <v>1</v>
      </c>
      <c r="G371">
        <v>235.14856666666699</v>
      </c>
      <c r="H371">
        <v>0</v>
      </c>
      <c r="I371">
        <v>39.3595141341141</v>
      </c>
    </row>
    <row r="372" spans="1:9" x14ac:dyDescent="0.35">
      <c r="A372" s="417" t="s">
        <v>846</v>
      </c>
      <c r="B372" s="417" t="s">
        <v>680</v>
      </c>
      <c r="C372" s="83">
        <v>46262</v>
      </c>
      <c r="D372" s="417" t="s">
        <v>687</v>
      </c>
      <c r="E372">
        <v>333.9923</v>
      </c>
      <c r="F372">
        <v>10</v>
      </c>
      <c r="G372">
        <v>33.399230000000003</v>
      </c>
      <c r="H372">
        <v>13.1658833333333</v>
      </c>
      <c r="I372">
        <v>34.596475935344898</v>
      </c>
    </row>
    <row r="373" spans="1:9" x14ac:dyDescent="0.35">
      <c r="A373" s="417" t="s">
        <v>846</v>
      </c>
      <c r="B373" s="417" t="s">
        <v>680</v>
      </c>
      <c r="C373" s="83">
        <v>46262</v>
      </c>
      <c r="D373" s="417" t="s">
        <v>681</v>
      </c>
      <c r="E373">
        <v>283.67376666666701</v>
      </c>
      <c r="F373">
        <v>8</v>
      </c>
      <c r="G373">
        <v>35.459220833333298</v>
      </c>
      <c r="H373">
        <v>0</v>
      </c>
      <c r="I373">
        <v>59.418706666319402</v>
      </c>
    </row>
    <row r="374" spans="1:9" x14ac:dyDescent="0.35">
      <c r="A374" s="417" t="s">
        <v>846</v>
      </c>
      <c r="B374" s="417" t="s">
        <v>680</v>
      </c>
      <c r="C374" s="83">
        <v>46262</v>
      </c>
      <c r="D374" s="417" t="s">
        <v>683</v>
      </c>
      <c r="E374">
        <v>314.75723333333298</v>
      </c>
      <c r="F374">
        <v>7</v>
      </c>
      <c r="G374">
        <v>44.965319047618998</v>
      </c>
      <c r="H374">
        <v>0.17285</v>
      </c>
      <c r="I374">
        <v>69.867921443535707</v>
      </c>
    </row>
    <row r="375" spans="1:9" x14ac:dyDescent="0.35">
      <c r="A375" s="417" t="s">
        <v>846</v>
      </c>
      <c r="B375" s="417" t="s">
        <v>680</v>
      </c>
      <c r="C375" s="83">
        <v>46262</v>
      </c>
      <c r="D375" s="417" t="s">
        <v>690</v>
      </c>
      <c r="E375">
        <v>354.50125000000003</v>
      </c>
      <c r="F375">
        <v>5</v>
      </c>
      <c r="G375">
        <v>70.90025</v>
      </c>
      <c r="H375">
        <v>3.4918666666666698</v>
      </c>
      <c r="I375">
        <v>61.085411226802897</v>
      </c>
    </row>
    <row r="376" spans="1:9" x14ac:dyDescent="0.35">
      <c r="A376" s="417" t="s">
        <v>846</v>
      </c>
      <c r="B376" s="417" t="s">
        <v>680</v>
      </c>
      <c r="C376" s="83">
        <v>46262</v>
      </c>
      <c r="D376" s="417" t="s">
        <v>684</v>
      </c>
      <c r="E376">
        <v>323.42986666666701</v>
      </c>
      <c r="F376">
        <v>5</v>
      </c>
      <c r="G376">
        <v>64.685973333333294</v>
      </c>
      <c r="H376">
        <v>0.49358333333333299</v>
      </c>
      <c r="I376">
        <v>72.813048314268102</v>
      </c>
    </row>
    <row r="377" spans="1:9" x14ac:dyDescent="0.35">
      <c r="A377" s="417" t="s">
        <v>846</v>
      </c>
      <c r="B377" s="417" t="s">
        <v>680</v>
      </c>
      <c r="C377" s="83">
        <v>46262</v>
      </c>
      <c r="D377" s="417" t="s">
        <v>689</v>
      </c>
      <c r="E377">
        <v>320.11026666666697</v>
      </c>
      <c r="F377">
        <v>5</v>
      </c>
      <c r="G377">
        <v>64.022053333333304</v>
      </c>
      <c r="H377">
        <v>0</v>
      </c>
      <c r="I377">
        <v>76.683148499490201</v>
      </c>
    </row>
    <row r="378" spans="1:9" x14ac:dyDescent="0.35">
      <c r="A378" s="417" t="s">
        <v>846</v>
      </c>
      <c r="B378" s="417" t="s">
        <v>680</v>
      </c>
      <c r="C378" s="83">
        <v>46262</v>
      </c>
      <c r="D378" s="417" t="s">
        <v>685</v>
      </c>
      <c r="E378">
        <v>346.16118333333299</v>
      </c>
      <c r="F378">
        <v>5</v>
      </c>
      <c r="G378">
        <v>69.232236666666694</v>
      </c>
      <c r="H378">
        <v>3.6728499999999999</v>
      </c>
      <c r="I378">
        <v>68.267357776118502</v>
      </c>
    </row>
    <row r="379" spans="1:9" x14ac:dyDescent="0.35">
      <c r="A379" s="417" t="s">
        <v>846</v>
      </c>
      <c r="B379" s="417" t="s">
        <v>680</v>
      </c>
      <c r="C379" s="83">
        <v>46262</v>
      </c>
      <c r="D379" s="417" t="s">
        <v>688</v>
      </c>
      <c r="E379">
        <v>346.01376666666698</v>
      </c>
      <c r="F379">
        <v>4</v>
      </c>
      <c r="G379">
        <v>86.503441666666703</v>
      </c>
      <c r="H379">
        <v>2.3317666666666699</v>
      </c>
      <c r="I379">
        <v>47.850678921348901</v>
      </c>
    </row>
    <row r="380" spans="1:9" x14ac:dyDescent="0.35">
      <c r="A380" s="417" t="s">
        <v>846</v>
      </c>
      <c r="B380" s="417" t="s">
        <v>680</v>
      </c>
      <c r="C380" s="83">
        <v>46262</v>
      </c>
      <c r="D380" s="417" t="s">
        <v>682</v>
      </c>
      <c r="E380">
        <v>324.83100000000002</v>
      </c>
      <c r="F380">
        <v>2</v>
      </c>
      <c r="G380">
        <v>162.41550000000001</v>
      </c>
      <c r="H380">
        <v>0.34036666666666698</v>
      </c>
      <c r="I380">
        <v>65.481956056372098</v>
      </c>
    </row>
    <row r="381" spans="1:9" x14ac:dyDescent="0.35">
      <c r="A381" s="417" t="s">
        <v>846</v>
      </c>
      <c r="B381" s="417" t="s">
        <v>680</v>
      </c>
      <c r="C381" s="83">
        <v>46262</v>
      </c>
      <c r="D381" s="417" t="s">
        <v>686</v>
      </c>
      <c r="E381">
        <v>288.37458333333302</v>
      </c>
      <c r="F381">
        <v>1</v>
      </c>
      <c r="G381">
        <v>288.37458333333302</v>
      </c>
      <c r="H381">
        <v>0</v>
      </c>
      <c r="I381">
        <v>28.311391454525602</v>
      </c>
    </row>
    <row r="382" spans="1:9" x14ac:dyDescent="0.35">
      <c r="A382" s="417" t="s">
        <v>846</v>
      </c>
      <c r="B382" s="417" t="s">
        <v>691</v>
      </c>
      <c r="C382" s="83">
        <v>46262</v>
      </c>
      <c r="D382" s="417" t="s">
        <v>305</v>
      </c>
      <c r="E382">
        <v>238.02385000000001</v>
      </c>
      <c r="F382">
        <v>34</v>
      </c>
      <c r="G382">
        <v>7.0007014705882398</v>
      </c>
      <c r="H382">
        <v>0</v>
      </c>
      <c r="I382">
        <v>7.9976008449437801</v>
      </c>
    </row>
    <row r="383" spans="1:9" x14ac:dyDescent="0.35">
      <c r="A383" s="417" t="s">
        <v>846</v>
      </c>
      <c r="B383" s="417" t="s">
        <v>691</v>
      </c>
      <c r="C383" s="83">
        <v>46262</v>
      </c>
      <c r="D383" s="417" t="s">
        <v>309</v>
      </c>
      <c r="E383">
        <v>211.84129999999999</v>
      </c>
      <c r="F383">
        <v>34</v>
      </c>
      <c r="G383">
        <v>6.2306264705882404</v>
      </c>
      <c r="H383">
        <v>0</v>
      </c>
      <c r="I383">
        <v>46.348095826946697</v>
      </c>
    </row>
    <row r="384" spans="1:9" x14ac:dyDescent="0.35">
      <c r="A384" s="417" t="s">
        <v>846</v>
      </c>
      <c r="B384" s="417" t="s">
        <v>691</v>
      </c>
      <c r="C384" s="83">
        <v>46262</v>
      </c>
      <c r="D384" s="417" t="s">
        <v>295</v>
      </c>
      <c r="E384">
        <v>239.73505</v>
      </c>
      <c r="F384">
        <v>28</v>
      </c>
      <c r="G384">
        <v>8.5619660714285697</v>
      </c>
      <c r="H384">
        <v>0.12575</v>
      </c>
      <c r="I384">
        <v>77.075388894734502</v>
      </c>
    </row>
    <row r="385" spans="1:9" x14ac:dyDescent="0.35">
      <c r="A385" s="417" t="s">
        <v>846</v>
      </c>
      <c r="B385" s="417" t="s">
        <v>691</v>
      </c>
      <c r="C385" s="83">
        <v>46262</v>
      </c>
      <c r="D385" s="417" t="s">
        <v>299</v>
      </c>
      <c r="E385">
        <v>246.91441666666699</v>
      </c>
      <c r="F385">
        <v>15</v>
      </c>
      <c r="G385">
        <v>16.4609611111111</v>
      </c>
      <c r="H385">
        <v>5.9416666666666701E-2</v>
      </c>
      <c r="I385">
        <v>73.328786587024794</v>
      </c>
    </row>
    <row r="386" spans="1:9" x14ac:dyDescent="0.35">
      <c r="A386" s="417" t="s">
        <v>846</v>
      </c>
      <c r="B386" s="417" t="s">
        <v>691</v>
      </c>
      <c r="C386" s="83">
        <v>46262</v>
      </c>
      <c r="D386" s="417" t="s">
        <v>303</v>
      </c>
      <c r="E386">
        <v>257.33418333333299</v>
      </c>
      <c r="F386">
        <v>12</v>
      </c>
      <c r="G386">
        <v>21.4445152777778</v>
      </c>
      <c r="H386">
        <v>0</v>
      </c>
      <c r="I386">
        <v>47.392097079899997</v>
      </c>
    </row>
    <row r="387" spans="1:9" x14ac:dyDescent="0.35">
      <c r="A387" s="417" t="s">
        <v>846</v>
      </c>
      <c r="B387" s="417" t="s">
        <v>691</v>
      </c>
      <c r="C387" s="83">
        <v>46262</v>
      </c>
      <c r="D387" s="417" t="s">
        <v>301</v>
      </c>
      <c r="E387">
        <v>246.41368333333301</v>
      </c>
      <c r="F387">
        <v>11</v>
      </c>
      <c r="G387">
        <v>22.4012439393939</v>
      </c>
      <c r="H387">
        <v>0</v>
      </c>
      <c r="I387">
        <v>67.983333700662499</v>
      </c>
    </row>
    <row r="388" spans="1:9" x14ac:dyDescent="0.35">
      <c r="A388" s="417" t="s">
        <v>846</v>
      </c>
      <c r="B388" s="417" t="s">
        <v>691</v>
      </c>
      <c r="C388" s="83">
        <v>46262</v>
      </c>
      <c r="D388" s="417" t="s">
        <v>310</v>
      </c>
      <c r="E388">
        <v>324.75905</v>
      </c>
      <c r="F388">
        <v>6</v>
      </c>
      <c r="G388">
        <v>54.126508333333298</v>
      </c>
      <c r="H388">
        <v>0.57768333333333299</v>
      </c>
      <c r="I388">
        <v>53.136664663504803</v>
      </c>
    </row>
    <row r="389" spans="1:9" x14ac:dyDescent="0.35">
      <c r="A389" s="417" t="s">
        <v>846</v>
      </c>
      <c r="B389" s="417" t="s">
        <v>691</v>
      </c>
      <c r="C389" s="83">
        <v>46262</v>
      </c>
      <c r="D389" s="417" t="s">
        <v>314</v>
      </c>
      <c r="E389">
        <v>356.43275</v>
      </c>
      <c r="F389">
        <v>5</v>
      </c>
      <c r="G389">
        <v>71.286550000000005</v>
      </c>
      <c r="H389">
        <v>9.3033333333333301E-2</v>
      </c>
      <c r="I389">
        <v>44.7638888888889</v>
      </c>
    </row>
    <row r="390" spans="1:9" x14ac:dyDescent="0.35">
      <c r="A390" s="417" t="s">
        <v>846</v>
      </c>
      <c r="B390" s="417" t="s">
        <v>691</v>
      </c>
      <c r="C390" s="83">
        <v>46262</v>
      </c>
      <c r="D390" s="417" t="s">
        <v>313</v>
      </c>
      <c r="E390">
        <v>324.17036666666701</v>
      </c>
      <c r="F390">
        <v>2</v>
      </c>
      <c r="G390">
        <v>162.08518333333299</v>
      </c>
      <c r="H390">
        <v>0</v>
      </c>
      <c r="I390">
        <v>28.275986344247301</v>
      </c>
    </row>
    <row r="391" spans="1:9" x14ac:dyDescent="0.35">
      <c r="A391" s="417" t="s">
        <v>846</v>
      </c>
      <c r="B391" s="417" t="s">
        <v>691</v>
      </c>
      <c r="C391" s="83">
        <v>46262</v>
      </c>
      <c r="D391" s="417" t="s">
        <v>504</v>
      </c>
      <c r="E391">
        <v>360</v>
      </c>
      <c r="F391">
        <v>1</v>
      </c>
      <c r="G391">
        <v>360</v>
      </c>
      <c r="H391">
        <v>0</v>
      </c>
      <c r="I391">
        <v>31.383950617284</v>
      </c>
    </row>
    <row r="392" spans="1:9" x14ac:dyDescent="0.35">
      <c r="A392" s="417" t="s">
        <v>846</v>
      </c>
      <c r="B392" s="417" t="s">
        <v>691</v>
      </c>
      <c r="C392" s="83">
        <v>46262</v>
      </c>
      <c r="D392" s="417" t="s">
        <v>317</v>
      </c>
      <c r="E392">
        <v>360</v>
      </c>
      <c r="F392">
        <v>1</v>
      </c>
      <c r="G392">
        <v>360</v>
      </c>
      <c r="H392">
        <v>0</v>
      </c>
      <c r="I392">
        <v>33.9027777777778</v>
      </c>
    </row>
    <row r="393" spans="1:9" x14ac:dyDescent="0.35">
      <c r="A393" s="417" t="s">
        <v>846</v>
      </c>
      <c r="B393" s="417" t="s">
        <v>676</v>
      </c>
      <c r="C393" s="83">
        <v>46261</v>
      </c>
      <c r="D393" s="417" t="s">
        <v>677</v>
      </c>
      <c r="E393">
        <v>1321.63975</v>
      </c>
      <c r="F393">
        <v>268</v>
      </c>
      <c r="G393">
        <v>4.9314916044776096</v>
      </c>
      <c r="H393">
        <v>118.36024999999999</v>
      </c>
      <c r="I393">
        <v>21.3755555555556</v>
      </c>
    </row>
    <row r="394" spans="1:9" x14ac:dyDescent="0.35">
      <c r="A394" s="417" t="s">
        <v>846</v>
      </c>
      <c r="B394" s="417" t="s">
        <v>676</v>
      </c>
      <c r="C394" s="83">
        <v>46261</v>
      </c>
      <c r="D394" s="417" t="s">
        <v>678</v>
      </c>
      <c r="E394">
        <v>1282.1580833333301</v>
      </c>
      <c r="F394">
        <v>41</v>
      </c>
      <c r="G394">
        <v>31.272148373983701</v>
      </c>
      <c r="H394">
        <v>36.99315</v>
      </c>
      <c r="I394">
        <v>100.993132804192</v>
      </c>
    </row>
    <row r="395" spans="1:9" x14ac:dyDescent="0.35">
      <c r="A395" s="417" t="s">
        <v>846</v>
      </c>
      <c r="B395" s="417" t="s">
        <v>676</v>
      </c>
      <c r="C395" s="83">
        <v>46261</v>
      </c>
      <c r="D395" s="417" t="s">
        <v>679</v>
      </c>
      <c r="E395">
        <v>1309.7786166666699</v>
      </c>
      <c r="F395">
        <v>34</v>
      </c>
      <c r="G395">
        <v>38.522900490196101</v>
      </c>
      <c r="H395">
        <v>36.691049999999997</v>
      </c>
      <c r="I395">
        <v>101.144994230592</v>
      </c>
    </row>
    <row r="396" spans="1:9" x14ac:dyDescent="0.35">
      <c r="A396" s="417" t="s">
        <v>846</v>
      </c>
      <c r="B396" s="417" t="s">
        <v>680</v>
      </c>
      <c r="C396" s="83">
        <v>46261</v>
      </c>
      <c r="D396" s="417" t="s">
        <v>681</v>
      </c>
      <c r="E396">
        <v>1354.2300666666699</v>
      </c>
      <c r="F396">
        <v>86</v>
      </c>
      <c r="G396">
        <v>15.7468612403101</v>
      </c>
      <c r="H396">
        <v>1.50145</v>
      </c>
      <c r="I396">
        <v>79.189433718861196</v>
      </c>
    </row>
    <row r="397" spans="1:9" x14ac:dyDescent="0.35">
      <c r="A397" s="417" t="s">
        <v>846</v>
      </c>
      <c r="B397" s="417" t="s">
        <v>680</v>
      </c>
      <c r="C397" s="83">
        <v>46261</v>
      </c>
      <c r="D397" s="417" t="s">
        <v>683</v>
      </c>
      <c r="E397">
        <v>1383.3195000000001</v>
      </c>
      <c r="F397">
        <v>33</v>
      </c>
      <c r="G397">
        <v>41.918772727272703</v>
      </c>
      <c r="H397">
        <v>5.6693166666666697</v>
      </c>
      <c r="I397">
        <v>78.917357197088904</v>
      </c>
    </row>
    <row r="398" spans="1:9" x14ac:dyDescent="0.35">
      <c r="A398" s="417" t="s">
        <v>846</v>
      </c>
      <c r="B398" s="417" t="s">
        <v>680</v>
      </c>
      <c r="C398" s="83">
        <v>46261</v>
      </c>
      <c r="D398" s="417" t="s">
        <v>688</v>
      </c>
      <c r="E398">
        <v>1413.4935</v>
      </c>
      <c r="F398">
        <v>31</v>
      </c>
      <c r="G398">
        <v>45.596564516129</v>
      </c>
      <c r="H398">
        <v>8.0185833333333303</v>
      </c>
      <c r="I398">
        <v>78.481725349352999</v>
      </c>
    </row>
    <row r="399" spans="1:9" x14ac:dyDescent="0.35">
      <c r="A399" s="417" t="s">
        <v>846</v>
      </c>
      <c r="B399" s="417" t="s">
        <v>680</v>
      </c>
      <c r="C399" s="83">
        <v>46261</v>
      </c>
      <c r="D399" s="417" t="s">
        <v>689</v>
      </c>
      <c r="E399">
        <v>1403.53226666667</v>
      </c>
      <c r="F399">
        <v>23</v>
      </c>
      <c r="G399">
        <v>61.023142028985497</v>
      </c>
      <c r="H399">
        <v>0.50060000000000004</v>
      </c>
      <c r="I399">
        <v>87.403172618308304</v>
      </c>
    </row>
    <row r="400" spans="1:9" x14ac:dyDescent="0.35">
      <c r="A400" s="417" t="s">
        <v>846</v>
      </c>
      <c r="B400" s="417" t="s">
        <v>680</v>
      </c>
      <c r="C400" s="83">
        <v>46261</v>
      </c>
      <c r="D400" s="417" t="s">
        <v>685</v>
      </c>
      <c r="E400">
        <v>1406.19266666667</v>
      </c>
      <c r="F400">
        <v>21</v>
      </c>
      <c r="G400">
        <v>66.961555555555506</v>
      </c>
      <c r="H400">
        <v>11.8447833333333</v>
      </c>
      <c r="I400">
        <v>85.441607734442997</v>
      </c>
    </row>
    <row r="401" spans="1:9" x14ac:dyDescent="0.35">
      <c r="A401" s="417" t="s">
        <v>846</v>
      </c>
      <c r="B401" s="417" t="s">
        <v>680</v>
      </c>
      <c r="C401" s="83">
        <v>46261</v>
      </c>
      <c r="D401" s="417" t="s">
        <v>684</v>
      </c>
      <c r="E401">
        <v>1427.31261666667</v>
      </c>
      <c r="F401">
        <v>17</v>
      </c>
      <c r="G401">
        <v>83.959565686274502</v>
      </c>
      <c r="H401">
        <v>3.1731166666666701</v>
      </c>
      <c r="I401">
        <v>87.111082536060195</v>
      </c>
    </row>
    <row r="402" spans="1:9" x14ac:dyDescent="0.35">
      <c r="A402" s="417" t="s">
        <v>846</v>
      </c>
      <c r="B402" s="417" t="s">
        <v>680</v>
      </c>
      <c r="C402" s="83">
        <v>46261</v>
      </c>
      <c r="D402" s="417" t="s">
        <v>682</v>
      </c>
      <c r="E402">
        <v>1387.4928500000001</v>
      </c>
      <c r="F402">
        <v>15</v>
      </c>
      <c r="G402">
        <v>92.4995233333334</v>
      </c>
      <c r="H402">
        <v>13.8410666666667</v>
      </c>
      <c r="I402">
        <v>85.669447386578696</v>
      </c>
    </row>
    <row r="403" spans="1:9" x14ac:dyDescent="0.35">
      <c r="A403" s="417" t="s">
        <v>846</v>
      </c>
      <c r="B403" s="417" t="s">
        <v>680</v>
      </c>
      <c r="C403" s="83">
        <v>46261</v>
      </c>
      <c r="D403" s="417" t="s">
        <v>686</v>
      </c>
      <c r="E403">
        <v>1309.4485833333299</v>
      </c>
      <c r="F403">
        <v>13</v>
      </c>
      <c r="G403">
        <v>100.72681410256401</v>
      </c>
      <c r="H403">
        <v>8.8403833333333299</v>
      </c>
      <c r="I403">
        <v>38.735275046261897</v>
      </c>
    </row>
    <row r="404" spans="1:9" x14ac:dyDescent="0.35">
      <c r="A404" s="417" t="s">
        <v>846</v>
      </c>
      <c r="B404" s="417" t="s">
        <v>680</v>
      </c>
      <c r="C404" s="83">
        <v>46261</v>
      </c>
      <c r="D404" s="417" t="s">
        <v>687</v>
      </c>
      <c r="E404">
        <v>1417.6748333333301</v>
      </c>
      <c r="F404">
        <v>8</v>
      </c>
      <c r="G404">
        <v>177.209354166667</v>
      </c>
      <c r="H404">
        <v>14.4964333333333</v>
      </c>
      <c r="I404">
        <v>40.700033121796103</v>
      </c>
    </row>
    <row r="405" spans="1:9" x14ac:dyDescent="0.35">
      <c r="A405" s="417" t="s">
        <v>846</v>
      </c>
      <c r="B405" s="417" t="s">
        <v>680</v>
      </c>
      <c r="C405" s="83">
        <v>46261</v>
      </c>
      <c r="D405" s="417" t="s">
        <v>690</v>
      </c>
      <c r="E405">
        <v>1425.3489666666701</v>
      </c>
      <c r="F405">
        <v>7</v>
      </c>
      <c r="G405">
        <v>203.621280952381</v>
      </c>
      <c r="H405">
        <v>2.3349166666666701</v>
      </c>
      <c r="I405">
        <v>78.411738498625695</v>
      </c>
    </row>
    <row r="406" spans="1:9" x14ac:dyDescent="0.35">
      <c r="A406" s="417" t="s">
        <v>846</v>
      </c>
      <c r="B406" s="417" t="s">
        <v>691</v>
      </c>
      <c r="C406" s="83">
        <v>46261</v>
      </c>
      <c r="D406" s="417" t="s">
        <v>305</v>
      </c>
      <c r="E406">
        <v>1255.1442</v>
      </c>
      <c r="F406">
        <v>193</v>
      </c>
      <c r="G406">
        <v>6.5033378238342001</v>
      </c>
      <c r="H406">
        <v>3.11015</v>
      </c>
      <c r="I406">
        <v>46.492454343425599</v>
      </c>
    </row>
    <row r="407" spans="1:9" x14ac:dyDescent="0.35">
      <c r="A407" s="417" t="s">
        <v>846</v>
      </c>
      <c r="B407" s="417" t="s">
        <v>691</v>
      </c>
      <c r="C407" s="83">
        <v>46261</v>
      </c>
      <c r="D407" s="417" t="s">
        <v>295</v>
      </c>
      <c r="E407">
        <v>1315.37703333333</v>
      </c>
      <c r="F407">
        <v>117</v>
      </c>
      <c r="G407">
        <v>11.242538746438701</v>
      </c>
      <c r="H407">
        <v>2.1589166666666699</v>
      </c>
      <c r="I407">
        <v>60.1143895031285</v>
      </c>
    </row>
    <row r="408" spans="1:9" x14ac:dyDescent="0.35">
      <c r="A408" s="417" t="s">
        <v>846</v>
      </c>
      <c r="B408" s="417" t="s">
        <v>691</v>
      </c>
      <c r="C408" s="83">
        <v>46261</v>
      </c>
      <c r="D408" s="417" t="s">
        <v>309</v>
      </c>
      <c r="E408">
        <v>1291.5734833333299</v>
      </c>
      <c r="F408">
        <v>114</v>
      </c>
      <c r="G408">
        <v>11.329591959064301</v>
      </c>
      <c r="H408">
        <v>0</v>
      </c>
      <c r="I408">
        <v>40.9128093361292</v>
      </c>
    </row>
    <row r="409" spans="1:9" x14ac:dyDescent="0.35">
      <c r="A409" s="417" t="s">
        <v>846</v>
      </c>
      <c r="B409" s="417" t="s">
        <v>691</v>
      </c>
      <c r="C409" s="83">
        <v>46261</v>
      </c>
      <c r="D409" s="417" t="s">
        <v>301</v>
      </c>
      <c r="E409">
        <v>1260.38568333333</v>
      </c>
      <c r="F409">
        <v>110</v>
      </c>
      <c r="G409">
        <v>11.4580516666667</v>
      </c>
      <c r="H409">
        <v>4.2027000000000001</v>
      </c>
      <c r="I409">
        <v>59.429831513600398</v>
      </c>
    </row>
    <row r="410" spans="1:9" x14ac:dyDescent="0.35">
      <c r="A410" s="417" t="s">
        <v>846</v>
      </c>
      <c r="B410" s="417" t="s">
        <v>691</v>
      </c>
      <c r="C410" s="83">
        <v>46261</v>
      </c>
      <c r="D410" s="417" t="s">
        <v>303</v>
      </c>
      <c r="E410">
        <v>1375.1442999999999</v>
      </c>
      <c r="F410">
        <v>77</v>
      </c>
      <c r="G410">
        <v>17.859016883116901</v>
      </c>
      <c r="H410">
        <v>0.38414999999999999</v>
      </c>
      <c r="I410">
        <v>45.449118880471502</v>
      </c>
    </row>
    <row r="411" spans="1:9" x14ac:dyDescent="0.35">
      <c r="A411" s="417" t="s">
        <v>846</v>
      </c>
      <c r="B411" s="417" t="s">
        <v>691</v>
      </c>
      <c r="C411" s="83">
        <v>46261</v>
      </c>
      <c r="D411" s="417" t="s">
        <v>299</v>
      </c>
      <c r="E411">
        <v>1342.01755</v>
      </c>
      <c r="F411">
        <v>77</v>
      </c>
      <c r="G411">
        <v>17.4287993506493</v>
      </c>
      <c r="H411">
        <v>0.192833333333333</v>
      </c>
      <c r="I411">
        <v>69.711300725105204</v>
      </c>
    </row>
    <row r="412" spans="1:9" x14ac:dyDescent="0.35">
      <c r="A412" s="417" t="s">
        <v>846</v>
      </c>
      <c r="B412" s="417" t="s">
        <v>691</v>
      </c>
      <c r="C412" s="83">
        <v>46261</v>
      </c>
      <c r="D412" s="417" t="s">
        <v>310</v>
      </c>
      <c r="E412">
        <v>1221.0813333333299</v>
      </c>
      <c r="F412">
        <v>22</v>
      </c>
      <c r="G412">
        <v>55.503696969697003</v>
      </c>
      <c r="H412">
        <v>2.5861166666666699</v>
      </c>
      <c r="I412">
        <v>44.487212525639698</v>
      </c>
    </row>
    <row r="413" spans="1:9" x14ac:dyDescent="0.35">
      <c r="A413" s="417" t="s">
        <v>846</v>
      </c>
      <c r="B413" s="417" t="s">
        <v>691</v>
      </c>
      <c r="C413" s="83">
        <v>46261</v>
      </c>
      <c r="D413" s="417" t="s">
        <v>313</v>
      </c>
      <c r="E413">
        <v>1328.0608833333299</v>
      </c>
      <c r="F413">
        <v>17</v>
      </c>
      <c r="G413">
        <v>78.121228431372501</v>
      </c>
      <c r="H413">
        <v>0</v>
      </c>
      <c r="I413">
        <v>63.102676963445397</v>
      </c>
    </row>
    <row r="414" spans="1:9" x14ac:dyDescent="0.35">
      <c r="A414" s="417" t="s">
        <v>846</v>
      </c>
      <c r="B414" s="417" t="s">
        <v>691</v>
      </c>
      <c r="C414" s="83">
        <v>46261</v>
      </c>
      <c r="D414" s="417" t="s">
        <v>314</v>
      </c>
      <c r="E414">
        <v>1408.4942333333299</v>
      </c>
      <c r="F414">
        <v>14</v>
      </c>
      <c r="G414">
        <v>100.606730952381</v>
      </c>
      <c r="H414">
        <v>0.36680000000000001</v>
      </c>
      <c r="I414">
        <v>52.671836022163298</v>
      </c>
    </row>
    <row r="415" spans="1:9" x14ac:dyDescent="0.35">
      <c r="A415" s="417" t="s">
        <v>846</v>
      </c>
      <c r="B415" s="417" t="s">
        <v>691</v>
      </c>
      <c r="C415" s="83">
        <v>46261</v>
      </c>
      <c r="D415" s="417" t="s">
        <v>317</v>
      </c>
      <c r="E415">
        <v>1429.6006666666699</v>
      </c>
      <c r="F415">
        <v>3</v>
      </c>
      <c r="G415">
        <v>476.53355555555498</v>
      </c>
      <c r="H415">
        <v>8.7621500000000001</v>
      </c>
      <c r="I415">
        <v>40.9250012013079</v>
      </c>
    </row>
    <row r="416" spans="1:9" x14ac:dyDescent="0.35">
      <c r="A416" s="417" t="s">
        <v>846</v>
      </c>
      <c r="B416" s="417" t="s">
        <v>691</v>
      </c>
      <c r="C416" s="83">
        <v>46261</v>
      </c>
      <c r="D416" s="417" t="s">
        <v>504</v>
      </c>
      <c r="E416">
        <v>1440</v>
      </c>
      <c r="F416">
        <v>1</v>
      </c>
      <c r="G416">
        <v>1440</v>
      </c>
      <c r="H416">
        <v>0</v>
      </c>
      <c r="I416">
        <v>29.3509259259259</v>
      </c>
    </row>
    <row r="417" spans="1:9" x14ac:dyDescent="0.35">
      <c r="A417" s="417" t="s">
        <v>846</v>
      </c>
      <c r="B417" s="417" t="s">
        <v>676</v>
      </c>
      <c r="C417" s="83">
        <v>46260</v>
      </c>
      <c r="D417" s="417" t="s">
        <v>677</v>
      </c>
      <c r="E417">
        <v>1300.0776499999999</v>
      </c>
      <c r="F417">
        <v>360</v>
      </c>
      <c r="G417">
        <v>3.6113268055555499</v>
      </c>
      <c r="H417">
        <v>139.92234999999999</v>
      </c>
      <c r="I417">
        <v>30.981111111111101</v>
      </c>
    </row>
    <row r="418" spans="1:9" x14ac:dyDescent="0.35">
      <c r="A418" s="417" t="s">
        <v>846</v>
      </c>
      <c r="B418" s="417" t="s">
        <v>676</v>
      </c>
      <c r="C418" s="83">
        <v>46260</v>
      </c>
      <c r="D418" s="417" t="s">
        <v>678</v>
      </c>
      <c r="E418">
        <v>1307.2058833333299</v>
      </c>
      <c r="F418">
        <v>41</v>
      </c>
      <c r="G418">
        <v>31.883070325203299</v>
      </c>
      <c r="H418">
        <v>31.826416666666699</v>
      </c>
      <c r="I418">
        <v>95.473922971586802</v>
      </c>
    </row>
    <row r="419" spans="1:9" x14ac:dyDescent="0.35">
      <c r="A419" s="417" t="s">
        <v>846</v>
      </c>
      <c r="B419" s="417" t="s">
        <v>676</v>
      </c>
      <c r="C419" s="83">
        <v>46260</v>
      </c>
      <c r="D419" s="417" t="s">
        <v>679</v>
      </c>
      <c r="E419">
        <v>1358.9940666666701</v>
      </c>
      <c r="F419">
        <v>27</v>
      </c>
      <c r="G419">
        <v>50.333113580246902</v>
      </c>
      <c r="H419">
        <v>14.8439833333333</v>
      </c>
      <c r="I419">
        <v>88.938915810831304</v>
      </c>
    </row>
    <row r="420" spans="1:9" x14ac:dyDescent="0.35">
      <c r="A420" s="417" t="s">
        <v>846</v>
      </c>
      <c r="B420" s="417" t="s">
        <v>680</v>
      </c>
      <c r="C420" s="83">
        <v>46260</v>
      </c>
      <c r="D420" s="417" t="s">
        <v>681</v>
      </c>
      <c r="E420">
        <v>1273.8061499999999</v>
      </c>
      <c r="F420">
        <v>73</v>
      </c>
      <c r="G420">
        <v>17.449399315068501</v>
      </c>
      <c r="H420">
        <v>1.82541666666667</v>
      </c>
      <c r="I420">
        <v>70.721611775711395</v>
      </c>
    </row>
    <row r="421" spans="1:9" x14ac:dyDescent="0.35">
      <c r="A421" s="417" t="s">
        <v>846</v>
      </c>
      <c r="B421" s="417" t="s">
        <v>680</v>
      </c>
      <c r="C421" s="83">
        <v>46260</v>
      </c>
      <c r="D421" s="417" t="s">
        <v>689</v>
      </c>
      <c r="E421">
        <v>1359.9745666666699</v>
      </c>
      <c r="F421">
        <v>46</v>
      </c>
      <c r="G421">
        <v>29.5646644927536</v>
      </c>
      <c r="H421">
        <v>0.49933333333333302</v>
      </c>
      <c r="I421">
        <v>80.654302978599802</v>
      </c>
    </row>
    <row r="422" spans="1:9" x14ac:dyDescent="0.35">
      <c r="A422" s="417" t="s">
        <v>846</v>
      </c>
      <c r="B422" s="417" t="s">
        <v>680</v>
      </c>
      <c r="C422" s="83">
        <v>46260</v>
      </c>
      <c r="D422" s="417" t="s">
        <v>687</v>
      </c>
      <c r="E422">
        <v>1369.6650999999999</v>
      </c>
      <c r="F422">
        <v>20</v>
      </c>
      <c r="G422">
        <v>68.483255</v>
      </c>
      <c r="H422">
        <v>35.010716666666703</v>
      </c>
      <c r="I422">
        <v>38.380318164684503</v>
      </c>
    </row>
    <row r="423" spans="1:9" x14ac:dyDescent="0.35">
      <c r="A423" s="417" t="s">
        <v>846</v>
      </c>
      <c r="B423" s="417" t="s">
        <v>680</v>
      </c>
      <c r="C423" s="83">
        <v>46260</v>
      </c>
      <c r="D423" s="417" t="s">
        <v>683</v>
      </c>
      <c r="E423">
        <v>1415.84093333333</v>
      </c>
      <c r="F423">
        <v>20</v>
      </c>
      <c r="G423">
        <v>70.792046666666707</v>
      </c>
      <c r="H423">
        <v>1.67435</v>
      </c>
      <c r="I423">
        <v>77.714629072824295</v>
      </c>
    </row>
    <row r="424" spans="1:9" x14ac:dyDescent="0.35">
      <c r="A424" s="417" t="s">
        <v>846</v>
      </c>
      <c r="B424" s="417" t="s">
        <v>680</v>
      </c>
      <c r="C424" s="83">
        <v>46260</v>
      </c>
      <c r="D424" s="417" t="s">
        <v>690</v>
      </c>
      <c r="E424">
        <v>1402.6592166666701</v>
      </c>
      <c r="F424">
        <v>19</v>
      </c>
      <c r="G424">
        <v>73.824169298245593</v>
      </c>
      <c r="H424">
        <v>8.6692999999999998</v>
      </c>
      <c r="I424">
        <v>77.541375341409704</v>
      </c>
    </row>
    <row r="425" spans="1:9" x14ac:dyDescent="0.35">
      <c r="A425" s="417" t="s">
        <v>846</v>
      </c>
      <c r="B425" s="417" t="s">
        <v>680</v>
      </c>
      <c r="C425" s="83">
        <v>46260</v>
      </c>
      <c r="D425" s="417" t="s">
        <v>684</v>
      </c>
      <c r="E425">
        <v>1409.5244666666699</v>
      </c>
      <c r="F425">
        <v>17</v>
      </c>
      <c r="G425">
        <v>82.913203921568694</v>
      </c>
      <c r="H425">
        <v>8.6601499999999998</v>
      </c>
      <c r="I425">
        <v>70.021568119468895</v>
      </c>
    </row>
    <row r="426" spans="1:9" x14ac:dyDescent="0.35">
      <c r="A426" s="417" t="s">
        <v>846</v>
      </c>
      <c r="B426" s="417" t="s">
        <v>680</v>
      </c>
      <c r="C426" s="83">
        <v>46260</v>
      </c>
      <c r="D426" s="417" t="s">
        <v>688</v>
      </c>
      <c r="E426">
        <v>1425.32273333333</v>
      </c>
      <c r="F426">
        <v>15</v>
      </c>
      <c r="G426">
        <v>95.021515555555595</v>
      </c>
      <c r="H426">
        <v>6.8520500000000002</v>
      </c>
      <c r="I426">
        <v>67.951515804419103</v>
      </c>
    </row>
    <row r="427" spans="1:9" x14ac:dyDescent="0.35">
      <c r="A427" s="417" t="s">
        <v>846</v>
      </c>
      <c r="B427" s="417" t="s">
        <v>680</v>
      </c>
      <c r="C427" s="83">
        <v>46260</v>
      </c>
      <c r="D427" s="417" t="s">
        <v>686</v>
      </c>
      <c r="E427">
        <v>1416.84466666667</v>
      </c>
      <c r="F427">
        <v>13</v>
      </c>
      <c r="G427">
        <v>108.988051282051</v>
      </c>
      <c r="H427">
        <v>11.3219166666667</v>
      </c>
      <c r="I427">
        <v>35.204976797049497</v>
      </c>
    </row>
    <row r="428" spans="1:9" x14ac:dyDescent="0.35">
      <c r="A428" s="417" t="s">
        <v>846</v>
      </c>
      <c r="B428" s="417" t="s">
        <v>680</v>
      </c>
      <c r="C428" s="83">
        <v>46260</v>
      </c>
      <c r="D428" s="417" t="s">
        <v>685</v>
      </c>
      <c r="E428">
        <v>1416.84936666667</v>
      </c>
      <c r="F428">
        <v>11</v>
      </c>
      <c r="G428">
        <v>128.804487878788</v>
      </c>
      <c r="H428">
        <v>4.8265000000000002</v>
      </c>
      <c r="I428">
        <v>73.796935474334106</v>
      </c>
    </row>
    <row r="429" spans="1:9" x14ac:dyDescent="0.35">
      <c r="A429" s="417" t="s">
        <v>846</v>
      </c>
      <c r="B429" s="417" t="s">
        <v>680</v>
      </c>
      <c r="C429" s="83">
        <v>46260</v>
      </c>
      <c r="D429" s="417" t="s">
        <v>682</v>
      </c>
      <c r="E429">
        <v>1351.4919833333299</v>
      </c>
      <c r="F429">
        <v>6</v>
      </c>
      <c r="G429">
        <v>225.24866388888901</v>
      </c>
      <c r="H429">
        <v>2.5004166666666698</v>
      </c>
      <c r="I429">
        <v>66.927916414380306</v>
      </c>
    </row>
    <row r="430" spans="1:9" x14ac:dyDescent="0.35">
      <c r="A430" s="417" t="s">
        <v>846</v>
      </c>
      <c r="B430" s="417" t="s">
        <v>691</v>
      </c>
      <c r="C430" s="83">
        <v>46260</v>
      </c>
      <c r="D430" s="417" t="s">
        <v>295</v>
      </c>
      <c r="E430">
        <v>1289.3010999999999</v>
      </c>
      <c r="F430">
        <v>221</v>
      </c>
      <c r="G430">
        <v>5.8339416289592698</v>
      </c>
      <c r="H430">
        <v>3.0102000000000002</v>
      </c>
      <c r="I430">
        <v>53.775358677752301</v>
      </c>
    </row>
    <row r="431" spans="1:9" x14ac:dyDescent="0.35">
      <c r="A431" s="417" t="s">
        <v>846</v>
      </c>
      <c r="B431" s="417" t="s">
        <v>691</v>
      </c>
      <c r="C431" s="83">
        <v>46260</v>
      </c>
      <c r="D431" s="417" t="s">
        <v>305</v>
      </c>
      <c r="E431">
        <v>1176.37846666667</v>
      </c>
      <c r="F431">
        <v>144</v>
      </c>
      <c r="G431">
        <v>8.1692949074074104</v>
      </c>
      <c r="H431">
        <v>2.2660166666666699</v>
      </c>
      <c r="I431">
        <v>30.396000177580198</v>
      </c>
    </row>
    <row r="432" spans="1:9" x14ac:dyDescent="0.35">
      <c r="A432" s="417" t="s">
        <v>846</v>
      </c>
      <c r="B432" s="417" t="s">
        <v>691</v>
      </c>
      <c r="C432" s="83">
        <v>46260</v>
      </c>
      <c r="D432" s="417" t="s">
        <v>301</v>
      </c>
      <c r="E432">
        <v>1245.7486166666699</v>
      </c>
      <c r="F432">
        <v>138</v>
      </c>
      <c r="G432">
        <v>9.0271638888888894</v>
      </c>
      <c r="H432">
        <v>1.1714500000000001</v>
      </c>
      <c r="I432">
        <v>44.411383395190398</v>
      </c>
    </row>
    <row r="433" spans="1:9" x14ac:dyDescent="0.35">
      <c r="A433" s="417" t="s">
        <v>846</v>
      </c>
      <c r="B433" s="417" t="s">
        <v>691</v>
      </c>
      <c r="C433" s="83">
        <v>46260</v>
      </c>
      <c r="D433" s="417" t="s">
        <v>303</v>
      </c>
      <c r="E433">
        <v>1338.5716333333301</v>
      </c>
      <c r="F433">
        <v>134</v>
      </c>
      <c r="G433">
        <v>9.98934054726368</v>
      </c>
      <c r="H433">
        <v>0.57916666666666705</v>
      </c>
      <c r="I433">
        <v>43.794794237218298</v>
      </c>
    </row>
    <row r="434" spans="1:9" x14ac:dyDescent="0.35">
      <c r="A434" s="417" t="s">
        <v>846</v>
      </c>
      <c r="B434" s="417" t="s">
        <v>691</v>
      </c>
      <c r="C434" s="83">
        <v>46260</v>
      </c>
      <c r="D434" s="417" t="s">
        <v>309</v>
      </c>
      <c r="E434">
        <v>1079.4105666666701</v>
      </c>
      <c r="F434">
        <v>77</v>
      </c>
      <c r="G434">
        <v>14.018319047619</v>
      </c>
      <c r="H434">
        <v>0</v>
      </c>
      <c r="I434">
        <v>20.1075344571979</v>
      </c>
    </row>
    <row r="435" spans="1:9" x14ac:dyDescent="0.35">
      <c r="A435" s="417" t="s">
        <v>846</v>
      </c>
      <c r="B435" s="417" t="s">
        <v>691</v>
      </c>
      <c r="C435" s="83">
        <v>46260</v>
      </c>
      <c r="D435" s="417" t="s">
        <v>314</v>
      </c>
      <c r="E435">
        <v>1333.31958333333</v>
      </c>
      <c r="F435">
        <v>64</v>
      </c>
      <c r="G435">
        <v>20.833118489583299</v>
      </c>
      <c r="H435">
        <v>1.68153333333333</v>
      </c>
      <c r="I435">
        <v>34.250882621372597</v>
      </c>
    </row>
    <row r="436" spans="1:9" x14ac:dyDescent="0.35">
      <c r="A436" s="417" t="s">
        <v>846</v>
      </c>
      <c r="B436" s="417" t="s">
        <v>691</v>
      </c>
      <c r="C436" s="83">
        <v>46260</v>
      </c>
      <c r="D436" s="417" t="s">
        <v>299</v>
      </c>
      <c r="E436">
        <v>1354.13768333333</v>
      </c>
      <c r="F436">
        <v>60</v>
      </c>
      <c r="G436">
        <v>22.568961388888901</v>
      </c>
      <c r="H436">
        <v>0.27021666666666699</v>
      </c>
      <c r="I436">
        <v>51.2655798618283</v>
      </c>
    </row>
    <row r="437" spans="1:9" x14ac:dyDescent="0.35">
      <c r="A437" s="417" t="s">
        <v>846</v>
      </c>
      <c r="B437" s="417" t="s">
        <v>691</v>
      </c>
      <c r="C437" s="83">
        <v>46260</v>
      </c>
      <c r="D437" s="417" t="s">
        <v>310</v>
      </c>
      <c r="E437">
        <v>1383.12636666667</v>
      </c>
      <c r="F437">
        <v>17</v>
      </c>
      <c r="G437">
        <v>81.360374509803904</v>
      </c>
      <c r="H437">
        <v>1.4913666666666701</v>
      </c>
      <c r="I437">
        <v>44.912543251544498</v>
      </c>
    </row>
    <row r="438" spans="1:9" x14ac:dyDescent="0.35">
      <c r="A438" s="417" t="s">
        <v>846</v>
      </c>
      <c r="B438" s="417" t="s">
        <v>691</v>
      </c>
      <c r="C438" s="83">
        <v>46260</v>
      </c>
      <c r="D438" s="417" t="s">
        <v>317</v>
      </c>
      <c r="E438">
        <v>1433.2552499999999</v>
      </c>
      <c r="F438">
        <v>3</v>
      </c>
      <c r="G438">
        <v>477.75175000000002</v>
      </c>
      <c r="H438">
        <v>4.9843000000000002</v>
      </c>
      <c r="I438">
        <v>40.167161304943903</v>
      </c>
    </row>
    <row r="439" spans="1:9" x14ac:dyDescent="0.35">
      <c r="A439" s="417" t="s">
        <v>846</v>
      </c>
      <c r="B439" s="417" t="s">
        <v>691</v>
      </c>
      <c r="C439" s="83">
        <v>46260</v>
      </c>
      <c r="D439" s="417" t="s">
        <v>313</v>
      </c>
      <c r="E439">
        <v>1383.3332166666701</v>
      </c>
      <c r="F439">
        <v>2</v>
      </c>
      <c r="G439">
        <v>691.66660833333299</v>
      </c>
      <c r="H439">
        <v>0</v>
      </c>
      <c r="I439">
        <v>47.015071153039699</v>
      </c>
    </row>
    <row r="440" spans="1:9" x14ac:dyDescent="0.35">
      <c r="A440" s="417" t="s">
        <v>846</v>
      </c>
      <c r="B440" s="417" t="s">
        <v>691</v>
      </c>
      <c r="C440" s="83">
        <v>46260</v>
      </c>
      <c r="D440" s="417" t="s">
        <v>504</v>
      </c>
      <c r="E440">
        <v>1440</v>
      </c>
      <c r="F440">
        <v>1</v>
      </c>
      <c r="G440">
        <v>1440</v>
      </c>
      <c r="H440">
        <v>0</v>
      </c>
      <c r="I440">
        <v>31.9356481481482</v>
      </c>
    </row>
    <row r="441" spans="1:9" x14ac:dyDescent="0.35">
      <c r="A441" s="417" t="s">
        <v>846</v>
      </c>
      <c r="B441" s="417" t="s">
        <v>676</v>
      </c>
      <c r="C441" s="83">
        <v>46259</v>
      </c>
      <c r="D441" s="417" t="s">
        <v>677</v>
      </c>
      <c r="E441">
        <v>1118.45603333333</v>
      </c>
      <c r="F441">
        <v>398</v>
      </c>
      <c r="G441">
        <v>2.8101910385259599</v>
      </c>
      <c r="H441">
        <v>187.198116666667</v>
      </c>
      <c r="I441">
        <v>28.8266666666667</v>
      </c>
    </row>
    <row r="442" spans="1:9" x14ac:dyDescent="0.35">
      <c r="A442" s="417" t="s">
        <v>846</v>
      </c>
      <c r="B442" s="417" t="s">
        <v>676</v>
      </c>
      <c r="C442" s="83">
        <v>46259</v>
      </c>
      <c r="D442" s="417" t="s">
        <v>678</v>
      </c>
      <c r="E442">
        <v>964.28256666666698</v>
      </c>
      <c r="F442">
        <v>51</v>
      </c>
      <c r="G442">
        <v>18.907501307189499</v>
      </c>
      <c r="H442">
        <v>48.517216666666698</v>
      </c>
      <c r="I442">
        <v>48.356468164559899</v>
      </c>
    </row>
    <row r="443" spans="1:9" x14ac:dyDescent="0.35">
      <c r="A443" s="417" t="s">
        <v>846</v>
      </c>
      <c r="B443" s="417" t="s">
        <v>676</v>
      </c>
      <c r="C443" s="83">
        <v>46259</v>
      </c>
      <c r="D443" s="417" t="s">
        <v>679</v>
      </c>
      <c r="E443">
        <v>1229.69155</v>
      </c>
      <c r="F443">
        <v>22</v>
      </c>
      <c r="G443">
        <v>55.895070454545397</v>
      </c>
      <c r="H443">
        <v>12.8249333333333</v>
      </c>
      <c r="I443">
        <v>54.385395597723097</v>
      </c>
    </row>
    <row r="444" spans="1:9" x14ac:dyDescent="0.35">
      <c r="A444" s="417" t="s">
        <v>846</v>
      </c>
      <c r="B444" s="417" t="s">
        <v>680</v>
      </c>
      <c r="C444" s="83">
        <v>46259</v>
      </c>
      <c r="D444" s="417" t="s">
        <v>681</v>
      </c>
      <c r="E444">
        <v>1319.3913833333299</v>
      </c>
      <c r="F444">
        <v>66</v>
      </c>
      <c r="G444">
        <v>19.990778535353499</v>
      </c>
      <c r="H444">
        <v>6.1659833333333296</v>
      </c>
      <c r="I444">
        <v>80.595061971179405</v>
      </c>
    </row>
    <row r="445" spans="1:9" x14ac:dyDescent="0.35">
      <c r="A445" s="417" t="s">
        <v>846</v>
      </c>
      <c r="B445" s="417" t="s">
        <v>680</v>
      </c>
      <c r="C445" s="83">
        <v>46259</v>
      </c>
      <c r="D445" s="417" t="s">
        <v>684</v>
      </c>
      <c r="E445">
        <v>1310.9699499999999</v>
      </c>
      <c r="F445">
        <v>52</v>
      </c>
      <c r="G445">
        <v>25.2109605769231</v>
      </c>
      <c r="H445">
        <v>25.842966666666701</v>
      </c>
      <c r="I445">
        <v>73.542426132180907</v>
      </c>
    </row>
    <row r="446" spans="1:9" x14ac:dyDescent="0.35">
      <c r="A446" s="417" t="s">
        <v>846</v>
      </c>
      <c r="B446" s="417" t="s">
        <v>680</v>
      </c>
      <c r="C446" s="83">
        <v>46259</v>
      </c>
      <c r="D446" s="417" t="s">
        <v>688</v>
      </c>
      <c r="E446">
        <v>1393.98953333333</v>
      </c>
      <c r="F446">
        <v>48</v>
      </c>
      <c r="G446">
        <v>29.0414486111111</v>
      </c>
      <c r="H446">
        <v>17.511433333333301</v>
      </c>
      <c r="I446">
        <v>77.554009647734802</v>
      </c>
    </row>
    <row r="447" spans="1:9" x14ac:dyDescent="0.35">
      <c r="A447" s="417" t="s">
        <v>846</v>
      </c>
      <c r="B447" s="417" t="s">
        <v>680</v>
      </c>
      <c r="C447" s="83">
        <v>46259</v>
      </c>
      <c r="D447" s="417" t="s">
        <v>687</v>
      </c>
      <c r="E447">
        <v>1355.0000833333299</v>
      </c>
      <c r="F447">
        <v>32</v>
      </c>
      <c r="G447">
        <v>42.343752604166703</v>
      </c>
      <c r="H447">
        <v>36.664783333333297</v>
      </c>
      <c r="I447">
        <v>46.5438298040524</v>
      </c>
    </row>
    <row r="448" spans="1:9" x14ac:dyDescent="0.35">
      <c r="A448" s="417" t="s">
        <v>846</v>
      </c>
      <c r="B448" s="417" t="s">
        <v>680</v>
      </c>
      <c r="C448" s="83">
        <v>46259</v>
      </c>
      <c r="D448" s="417" t="s">
        <v>683</v>
      </c>
      <c r="E448">
        <v>1397.6629166666701</v>
      </c>
      <c r="F448">
        <v>32</v>
      </c>
      <c r="G448">
        <v>43.676966145833298</v>
      </c>
      <c r="H448">
        <v>2.8337333333333299</v>
      </c>
      <c r="I448">
        <v>80.869405890541699</v>
      </c>
    </row>
    <row r="449" spans="1:9" x14ac:dyDescent="0.35">
      <c r="A449" s="417" t="s">
        <v>846</v>
      </c>
      <c r="B449" s="417" t="s">
        <v>680</v>
      </c>
      <c r="C449" s="83">
        <v>46259</v>
      </c>
      <c r="D449" s="417" t="s">
        <v>690</v>
      </c>
      <c r="E449">
        <v>1418.0000833333299</v>
      </c>
      <c r="F449">
        <v>23</v>
      </c>
      <c r="G449">
        <v>61.652177536231903</v>
      </c>
      <c r="H449">
        <v>6.65886666666667</v>
      </c>
      <c r="I449">
        <v>79.213477433016607</v>
      </c>
    </row>
    <row r="450" spans="1:9" x14ac:dyDescent="0.35">
      <c r="A450" s="417" t="s">
        <v>846</v>
      </c>
      <c r="B450" s="417" t="s">
        <v>680</v>
      </c>
      <c r="C450" s="83">
        <v>46259</v>
      </c>
      <c r="D450" s="417" t="s">
        <v>689</v>
      </c>
      <c r="E450">
        <v>1396.5120833333301</v>
      </c>
      <c r="F450">
        <v>23</v>
      </c>
      <c r="G450">
        <v>60.717916666666603</v>
      </c>
      <c r="H450">
        <v>0.501</v>
      </c>
      <c r="I450">
        <v>87.373186292511505</v>
      </c>
    </row>
    <row r="451" spans="1:9" x14ac:dyDescent="0.35">
      <c r="A451" s="417" t="s">
        <v>846</v>
      </c>
      <c r="B451" s="417" t="s">
        <v>680</v>
      </c>
      <c r="C451" s="83">
        <v>46259</v>
      </c>
      <c r="D451" s="417" t="s">
        <v>686</v>
      </c>
      <c r="E451">
        <v>1402.0029</v>
      </c>
      <c r="F451">
        <v>18</v>
      </c>
      <c r="G451">
        <v>77.889049999999997</v>
      </c>
      <c r="H451">
        <v>20.3221833333333</v>
      </c>
      <c r="I451">
        <v>37.955960221972902</v>
      </c>
    </row>
    <row r="452" spans="1:9" x14ac:dyDescent="0.35">
      <c r="A452" s="417" t="s">
        <v>846</v>
      </c>
      <c r="B452" s="417" t="s">
        <v>680</v>
      </c>
      <c r="C452" s="83">
        <v>46259</v>
      </c>
      <c r="D452" s="417" t="s">
        <v>685</v>
      </c>
      <c r="E452">
        <v>1426.9852333333299</v>
      </c>
      <c r="F452">
        <v>7</v>
      </c>
      <c r="G452">
        <v>203.85503333333301</v>
      </c>
      <c r="H452">
        <v>3.6662666666666701</v>
      </c>
      <c r="I452">
        <v>83.683210638345898</v>
      </c>
    </row>
    <row r="453" spans="1:9" x14ac:dyDescent="0.35">
      <c r="A453" s="417" t="s">
        <v>846</v>
      </c>
      <c r="B453" s="417" t="s">
        <v>680</v>
      </c>
      <c r="C453" s="83">
        <v>46259</v>
      </c>
      <c r="D453" s="417" t="s">
        <v>682</v>
      </c>
      <c r="E453">
        <v>505.98469999999998</v>
      </c>
      <c r="F453">
        <v>1</v>
      </c>
      <c r="G453">
        <v>505.98469999999998</v>
      </c>
      <c r="H453">
        <v>0</v>
      </c>
      <c r="I453">
        <v>20.5963314136348</v>
      </c>
    </row>
    <row r="454" spans="1:9" x14ac:dyDescent="0.35">
      <c r="A454" s="417" t="s">
        <v>846</v>
      </c>
      <c r="B454" s="417" t="s">
        <v>691</v>
      </c>
      <c r="C454" s="83">
        <v>46259</v>
      </c>
      <c r="D454" s="417" t="s">
        <v>295</v>
      </c>
      <c r="E454">
        <v>1345.48695</v>
      </c>
      <c r="F454">
        <v>146</v>
      </c>
      <c r="G454">
        <v>9.2156640410958897</v>
      </c>
      <c r="H454">
        <v>2.5287999999999999</v>
      </c>
      <c r="I454">
        <v>42.065537509877501</v>
      </c>
    </row>
    <row r="455" spans="1:9" x14ac:dyDescent="0.35">
      <c r="A455" s="417" t="s">
        <v>846</v>
      </c>
      <c r="B455" s="417" t="s">
        <v>691</v>
      </c>
      <c r="C455" s="83">
        <v>46259</v>
      </c>
      <c r="D455" s="417" t="s">
        <v>303</v>
      </c>
      <c r="E455">
        <v>1341.6251999999999</v>
      </c>
      <c r="F455">
        <v>129</v>
      </c>
      <c r="G455">
        <v>10.400195348837199</v>
      </c>
      <c r="H455">
        <v>0.52478333333333305</v>
      </c>
      <c r="I455">
        <v>30.5556649730412</v>
      </c>
    </row>
    <row r="456" spans="1:9" x14ac:dyDescent="0.35">
      <c r="A456" s="417" t="s">
        <v>846</v>
      </c>
      <c r="B456" s="417" t="s">
        <v>691</v>
      </c>
      <c r="C456" s="83">
        <v>46259</v>
      </c>
      <c r="D456" s="417" t="s">
        <v>305</v>
      </c>
      <c r="E456">
        <v>1244.7632000000001</v>
      </c>
      <c r="F456">
        <v>107</v>
      </c>
      <c r="G456">
        <v>11.633300934579401</v>
      </c>
      <c r="H456">
        <v>3.2308833333333302</v>
      </c>
      <c r="I456">
        <v>18.9200140167158</v>
      </c>
    </row>
    <row r="457" spans="1:9" x14ac:dyDescent="0.35">
      <c r="A457" s="417" t="s">
        <v>846</v>
      </c>
      <c r="B457" s="417" t="s">
        <v>691</v>
      </c>
      <c r="C457" s="83">
        <v>46259</v>
      </c>
      <c r="D457" s="417" t="s">
        <v>301</v>
      </c>
      <c r="E457">
        <v>1252.8076000000001</v>
      </c>
      <c r="F457">
        <v>78</v>
      </c>
      <c r="G457">
        <v>16.061635897435899</v>
      </c>
      <c r="H457">
        <v>0.71641666666666703</v>
      </c>
      <c r="I457">
        <v>37.784804384783499</v>
      </c>
    </row>
    <row r="458" spans="1:9" x14ac:dyDescent="0.35">
      <c r="A458" s="417" t="s">
        <v>846</v>
      </c>
      <c r="B458" s="417" t="s">
        <v>691</v>
      </c>
      <c r="C458" s="83">
        <v>46259</v>
      </c>
      <c r="D458" s="417" t="s">
        <v>309</v>
      </c>
      <c r="E458">
        <v>797.60540000000003</v>
      </c>
      <c r="F458">
        <v>39</v>
      </c>
      <c r="G458">
        <v>20.451420512820501</v>
      </c>
      <c r="H458">
        <v>0.36856666666666699</v>
      </c>
      <c r="I458">
        <v>13.4408762776477</v>
      </c>
    </row>
    <row r="459" spans="1:9" x14ac:dyDescent="0.35">
      <c r="A459" s="417" t="s">
        <v>846</v>
      </c>
      <c r="B459" s="417" t="s">
        <v>691</v>
      </c>
      <c r="C459" s="83">
        <v>46259</v>
      </c>
      <c r="D459" s="417" t="s">
        <v>299</v>
      </c>
      <c r="E459">
        <v>1391.33971666667</v>
      </c>
      <c r="F459">
        <v>19</v>
      </c>
      <c r="G459">
        <v>73.228406140350899</v>
      </c>
      <c r="H459">
        <v>0.13513333333333299</v>
      </c>
      <c r="I459">
        <v>40.944583771562598</v>
      </c>
    </row>
    <row r="460" spans="1:9" x14ac:dyDescent="0.35">
      <c r="A460" s="417" t="s">
        <v>846</v>
      </c>
      <c r="B460" s="417" t="s">
        <v>691</v>
      </c>
      <c r="C460" s="83">
        <v>46259</v>
      </c>
      <c r="D460" s="417" t="s">
        <v>314</v>
      </c>
      <c r="E460">
        <v>1307.5693833333301</v>
      </c>
      <c r="F460">
        <v>13</v>
      </c>
      <c r="G460">
        <v>100.58226025641</v>
      </c>
      <c r="H460">
        <v>0.30566666666666698</v>
      </c>
      <c r="I460">
        <v>23.118071916443501</v>
      </c>
    </row>
    <row r="461" spans="1:9" x14ac:dyDescent="0.35">
      <c r="A461" s="417" t="s">
        <v>846</v>
      </c>
      <c r="B461" s="417" t="s">
        <v>691</v>
      </c>
      <c r="C461" s="83">
        <v>46259</v>
      </c>
      <c r="D461" s="417" t="s">
        <v>310</v>
      </c>
      <c r="E461">
        <v>1429.4704999999999</v>
      </c>
      <c r="F461">
        <v>4</v>
      </c>
      <c r="G461">
        <v>357.36762499999998</v>
      </c>
      <c r="H461">
        <v>5.0433333333333302E-2</v>
      </c>
      <c r="I461">
        <v>30.498001634438399</v>
      </c>
    </row>
    <row r="462" spans="1:9" x14ac:dyDescent="0.35">
      <c r="A462" s="417" t="s">
        <v>846</v>
      </c>
      <c r="B462" s="417" t="s">
        <v>691</v>
      </c>
      <c r="C462" s="83">
        <v>46259</v>
      </c>
      <c r="D462" s="417" t="s">
        <v>313</v>
      </c>
      <c r="E462">
        <v>1290.61771666667</v>
      </c>
      <c r="F462">
        <v>3</v>
      </c>
      <c r="G462">
        <v>430.205905555556</v>
      </c>
      <c r="H462">
        <v>0</v>
      </c>
      <c r="I462">
        <v>32.083916578048999</v>
      </c>
    </row>
    <row r="463" spans="1:9" x14ac:dyDescent="0.35">
      <c r="A463" s="417" t="s">
        <v>846</v>
      </c>
      <c r="B463" s="417" t="s">
        <v>691</v>
      </c>
      <c r="C463" s="83">
        <v>46259</v>
      </c>
      <c r="D463" s="417" t="s">
        <v>317</v>
      </c>
      <c r="E463">
        <v>1432.6418166666699</v>
      </c>
      <c r="F463">
        <v>2</v>
      </c>
      <c r="G463">
        <v>716.32090833333302</v>
      </c>
      <c r="H463">
        <v>7.5999999999999998E-2</v>
      </c>
      <c r="I463">
        <v>20.6565449635122</v>
      </c>
    </row>
    <row r="464" spans="1:9" x14ac:dyDescent="0.35">
      <c r="A464" s="417" t="s">
        <v>846</v>
      </c>
      <c r="B464" s="417" t="s">
        <v>691</v>
      </c>
      <c r="C464" s="83">
        <v>46259</v>
      </c>
      <c r="D464" s="417" t="s">
        <v>504</v>
      </c>
      <c r="E464">
        <v>1440</v>
      </c>
      <c r="F464">
        <v>1</v>
      </c>
      <c r="G464">
        <v>1440</v>
      </c>
      <c r="H464">
        <v>0</v>
      </c>
      <c r="I464">
        <v>19.110185185185198</v>
      </c>
    </row>
    <row r="465" spans="1:9" x14ac:dyDescent="0.35">
      <c r="A465" s="417" t="s">
        <v>846</v>
      </c>
      <c r="B465" s="417" t="s">
        <v>676</v>
      </c>
      <c r="C465" s="83">
        <v>46258</v>
      </c>
      <c r="D465" s="417" t="s">
        <v>677</v>
      </c>
      <c r="E465">
        <v>1181.5622333333299</v>
      </c>
      <c r="F465">
        <v>400</v>
      </c>
      <c r="G465">
        <v>2.9539055833333299</v>
      </c>
      <c r="H465">
        <v>230.7715</v>
      </c>
      <c r="I465">
        <v>34.518333333333302</v>
      </c>
    </row>
    <row r="466" spans="1:9" x14ac:dyDescent="0.35">
      <c r="A466" s="417" t="s">
        <v>846</v>
      </c>
      <c r="B466" s="417" t="s">
        <v>676</v>
      </c>
      <c r="C466" s="83">
        <v>46258</v>
      </c>
      <c r="D466" s="417" t="s">
        <v>678</v>
      </c>
      <c r="E466">
        <v>1174.72068333333</v>
      </c>
      <c r="F466">
        <v>42</v>
      </c>
      <c r="G466">
        <v>27.9695400793651</v>
      </c>
      <c r="H466">
        <v>61.0048666666667</v>
      </c>
      <c r="I466">
        <v>75.057773594647401</v>
      </c>
    </row>
    <row r="467" spans="1:9" x14ac:dyDescent="0.35">
      <c r="A467" s="417" t="s">
        <v>846</v>
      </c>
      <c r="B467" s="417" t="s">
        <v>676</v>
      </c>
      <c r="C467" s="83">
        <v>46258</v>
      </c>
      <c r="D467" s="417" t="s">
        <v>679</v>
      </c>
      <c r="E467">
        <v>1221.06971666667</v>
      </c>
      <c r="F467">
        <v>40</v>
      </c>
      <c r="G467">
        <v>30.526742916666699</v>
      </c>
      <c r="H467">
        <v>36.345983333333301</v>
      </c>
      <c r="I467">
        <v>70.720976894647194</v>
      </c>
    </row>
    <row r="468" spans="1:9" x14ac:dyDescent="0.35">
      <c r="A468" s="417" t="s">
        <v>846</v>
      </c>
      <c r="B468" s="417" t="s">
        <v>680</v>
      </c>
      <c r="C468" s="83">
        <v>46258</v>
      </c>
      <c r="D468" s="417" t="s">
        <v>681</v>
      </c>
      <c r="E468">
        <v>1352.3815500000001</v>
      </c>
      <c r="F468">
        <v>62</v>
      </c>
      <c r="G468">
        <v>21.812605645161302</v>
      </c>
      <c r="H468">
        <v>1.1593833333333301</v>
      </c>
      <c r="I468">
        <v>79.802241219724607</v>
      </c>
    </row>
    <row r="469" spans="1:9" x14ac:dyDescent="0.35">
      <c r="A469" s="417" t="s">
        <v>846</v>
      </c>
      <c r="B469" s="417" t="s">
        <v>680</v>
      </c>
      <c r="C469" s="83">
        <v>46258</v>
      </c>
      <c r="D469" s="417" t="s">
        <v>689</v>
      </c>
      <c r="E469">
        <v>1389.6569833333299</v>
      </c>
      <c r="F469">
        <v>39</v>
      </c>
      <c r="G469">
        <v>35.632230341880401</v>
      </c>
      <c r="H469">
        <v>1.51675</v>
      </c>
      <c r="I469">
        <v>81.181393395318096</v>
      </c>
    </row>
    <row r="470" spans="1:9" x14ac:dyDescent="0.35">
      <c r="A470" s="417" t="s">
        <v>846</v>
      </c>
      <c r="B470" s="417" t="s">
        <v>680</v>
      </c>
      <c r="C470" s="83">
        <v>46258</v>
      </c>
      <c r="D470" s="417" t="s">
        <v>687</v>
      </c>
      <c r="E470">
        <v>1377.5214333333299</v>
      </c>
      <c r="F470">
        <v>28</v>
      </c>
      <c r="G470">
        <v>49.197194047619</v>
      </c>
      <c r="H470">
        <v>39.814999999999998</v>
      </c>
      <c r="I470">
        <v>32.206808859437501</v>
      </c>
    </row>
    <row r="471" spans="1:9" x14ac:dyDescent="0.35">
      <c r="A471" s="417" t="s">
        <v>846</v>
      </c>
      <c r="B471" s="417" t="s">
        <v>680</v>
      </c>
      <c r="C471" s="83">
        <v>46258</v>
      </c>
      <c r="D471" s="417" t="s">
        <v>683</v>
      </c>
      <c r="E471">
        <v>1350.1638499999999</v>
      </c>
      <c r="F471">
        <v>26</v>
      </c>
      <c r="G471">
        <v>51.929378846153902</v>
      </c>
      <c r="H471">
        <v>2.3339166666666702</v>
      </c>
      <c r="I471">
        <v>73.8510884835365</v>
      </c>
    </row>
    <row r="472" spans="1:9" x14ac:dyDescent="0.35">
      <c r="A472" s="417" t="s">
        <v>846</v>
      </c>
      <c r="B472" s="417" t="s">
        <v>680</v>
      </c>
      <c r="C472" s="83">
        <v>46258</v>
      </c>
      <c r="D472" s="417" t="s">
        <v>686</v>
      </c>
      <c r="E472">
        <v>1412.9828666666699</v>
      </c>
      <c r="F472">
        <v>25</v>
      </c>
      <c r="G472">
        <v>56.519314666666702</v>
      </c>
      <c r="H472">
        <v>17.167066666666699</v>
      </c>
      <c r="I472">
        <v>26.910265412531501</v>
      </c>
    </row>
    <row r="473" spans="1:9" x14ac:dyDescent="0.35">
      <c r="A473" s="417" t="s">
        <v>846</v>
      </c>
      <c r="B473" s="417" t="s">
        <v>680</v>
      </c>
      <c r="C473" s="83">
        <v>46258</v>
      </c>
      <c r="D473" s="417" t="s">
        <v>684</v>
      </c>
      <c r="E473">
        <v>1378.6679666666701</v>
      </c>
      <c r="F473">
        <v>24</v>
      </c>
      <c r="G473">
        <v>57.444498611111101</v>
      </c>
      <c r="H473">
        <v>7.31595</v>
      </c>
      <c r="I473">
        <v>68.205571525686096</v>
      </c>
    </row>
    <row r="474" spans="1:9" x14ac:dyDescent="0.35">
      <c r="A474" s="417" t="s">
        <v>846</v>
      </c>
      <c r="B474" s="417" t="s">
        <v>680</v>
      </c>
      <c r="C474" s="83">
        <v>46258</v>
      </c>
      <c r="D474" s="417" t="s">
        <v>688</v>
      </c>
      <c r="E474">
        <v>1424.6588833333301</v>
      </c>
      <c r="F474">
        <v>18</v>
      </c>
      <c r="G474">
        <v>79.147715740740693</v>
      </c>
      <c r="H474">
        <v>8.8385833333333306</v>
      </c>
      <c r="I474">
        <v>78.267271943519205</v>
      </c>
    </row>
    <row r="475" spans="1:9" x14ac:dyDescent="0.35">
      <c r="A475" s="417" t="s">
        <v>846</v>
      </c>
      <c r="B475" s="417" t="s">
        <v>680</v>
      </c>
      <c r="C475" s="83">
        <v>46258</v>
      </c>
      <c r="D475" s="417" t="s">
        <v>690</v>
      </c>
      <c r="E475">
        <v>1416.1459</v>
      </c>
      <c r="F475">
        <v>15</v>
      </c>
      <c r="G475">
        <v>94.4097266666667</v>
      </c>
      <c r="H475">
        <v>6.5158500000000004</v>
      </c>
      <c r="I475">
        <v>71.618918453852203</v>
      </c>
    </row>
    <row r="476" spans="1:9" x14ac:dyDescent="0.35">
      <c r="A476" s="417" t="s">
        <v>846</v>
      </c>
      <c r="B476" s="417" t="s">
        <v>680</v>
      </c>
      <c r="C476" s="83">
        <v>46258</v>
      </c>
      <c r="D476" s="417" t="s">
        <v>685</v>
      </c>
      <c r="E476">
        <v>1423.00068333333</v>
      </c>
      <c r="F476">
        <v>10</v>
      </c>
      <c r="G476">
        <v>142.300068333333</v>
      </c>
      <c r="H476">
        <v>7.0015499999999999</v>
      </c>
      <c r="I476">
        <v>80.061741490018406</v>
      </c>
    </row>
    <row r="477" spans="1:9" x14ac:dyDescent="0.35">
      <c r="A477" s="417" t="s">
        <v>846</v>
      </c>
      <c r="B477" s="417" t="s">
        <v>680</v>
      </c>
      <c r="C477" s="83">
        <v>46258</v>
      </c>
      <c r="D477" s="417" t="s">
        <v>682</v>
      </c>
      <c r="E477">
        <v>1310.6656499999999</v>
      </c>
      <c r="F477">
        <v>6</v>
      </c>
      <c r="G477">
        <v>218.444275</v>
      </c>
      <c r="H477">
        <v>3.0059833333333299</v>
      </c>
      <c r="I477">
        <v>47.166333901602201</v>
      </c>
    </row>
    <row r="478" spans="1:9" x14ac:dyDescent="0.35">
      <c r="A478" s="417" t="s">
        <v>846</v>
      </c>
      <c r="B478" s="417" t="s">
        <v>691</v>
      </c>
      <c r="C478" s="83">
        <v>46258</v>
      </c>
      <c r="D478" s="417" t="s">
        <v>295</v>
      </c>
      <c r="E478">
        <v>1342.7863666666699</v>
      </c>
      <c r="F478">
        <v>180</v>
      </c>
      <c r="G478">
        <v>7.4599242592592603</v>
      </c>
      <c r="H478">
        <v>7.4178333333333297</v>
      </c>
      <c r="I478">
        <v>74.835440831865895</v>
      </c>
    </row>
    <row r="479" spans="1:9" x14ac:dyDescent="0.35">
      <c r="A479" s="417" t="s">
        <v>846</v>
      </c>
      <c r="B479" s="417" t="s">
        <v>691</v>
      </c>
      <c r="C479" s="83">
        <v>46258</v>
      </c>
      <c r="D479" s="417" t="s">
        <v>303</v>
      </c>
      <c r="E479">
        <v>1328.0170499999999</v>
      </c>
      <c r="F479">
        <v>132</v>
      </c>
      <c r="G479">
        <v>10.0607352272727</v>
      </c>
      <c r="H479">
        <v>1.20996666666667</v>
      </c>
      <c r="I479">
        <v>39.953034378559799</v>
      </c>
    </row>
    <row r="480" spans="1:9" x14ac:dyDescent="0.35">
      <c r="A480" s="417" t="s">
        <v>846</v>
      </c>
      <c r="B480" s="417" t="s">
        <v>691</v>
      </c>
      <c r="C480" s="83">
        <v>46258</v>
      </c>
      <c r="D480" s="417" t="s">
        <v>301</v>
      </c>
      <c r="E480">
        <v>1361.65401666667</v>
      </c>
      <c r="F480">
        <v>94</v>
      </c>
      <c r="G480">
        <v>14.4856810283688</v>
      </c>
      <c r="H480">
        <v>0.65751666666666697</v>
      </c>
      <c r="I480">
        <v>54.117195514025603</v>
      </c>
    </row>
    <row r="481" spans="1:9" x14ac:dyDescent="0.35">
      <c r="A481" s="417" t="s">
        <v>846</v>
      </c>
      <c r="B481" s="417" t="s">
        <v>691</v>
      </c>
      <c r="C481" s="83">
        <v>46258</v>
      </c>
      <c r="D481" s="417" t="s">
        <v>299</v>
      </c>
      <c r="E481">
        <v>1387.3160666666699</v>
      </c>
      <c r="F481">
        <v>46</v>
      </c>
      <c r="G481">
        <v>30.1590449275362</v>
      </c>
      <c r="H481">
        <v>0.270183333333333</v>
      </c>
      <c r="I481">
        <v>75.2659975076335</v>
      </c>
    </row>
    <row r="482" spans="1:9" x14ac:dyDescent="0.35">
      <c r="A482" s="417" t="s">
        <v>846</v>
      </c>
      <c r="B482" s="417" t="s">
        <v>691</v>
      </c>
      <c r="C482" s="83">
        <v>46258</v>
      </c>
      <c r="D482" s="417" t="s">
        <v>313</v>
      </c>
      <c r="E482">
        <v>1382.4223500000001</v>
      </c>
      <c r="F482">
        <v>29</v>
      </c>
      <c r="G482">
        <v>47.669736206896602</v>
      </c>
      <c r="H482">
        <v>9.2999999999999999E-2</v>
      </c>
      <c r="I482">
        <v>43.552349570384301</v>
      </c>
    </row>
    <row r="483" spans="1:9" x14ac:dyDescent="0.35">
      <c r="A483" s="417" t="s">
        <v>846</v>
      </c>
      <c r="B483" s="417" t="s">
        <v>691</v>
      </c>
      <c r="C483" s="83">
        <v>46258</v>
      </c>
      <c r="D483" s="417" t="s">
        <v>310</v>
      </c>
      <c r="E483">
        <v>1356.79651666667</v>
      </c>
      <c r="F483">
        <v>27</v>
      </c>
      <c r="G483">
        <v>50.251722839506201</v>
      </c>
      <c r="H483">
        <v>3.1230833333333301</v>
      </c>
      <c r="I483">
        <v>44.957007268680798</v>
      </c>
    </row>
    <row r="484" spans="1:9" x14ac:dyDescent="0.35">
      <c r="A484" s="417" t="s">
        <v>846</v>
      </c>
      <c r="B484" s="417" t="s">
        <v>691</v>
      </c>
      <c r="C484" s="83">
        <v>46258</v>
      </c>
      <c r="D484" s="417" t="s">
        <v>309</v>
      </c>
      <c r="E484">
        <v>415.13664999999997</v>
      </c>
      <c r="F484">
        <v>16</v>
      </c>
      <c r="G484">
        <v>25.946040624999998</v>
      </c>
      <c r="H484">
        <v>0</v>
      </c>
      <c r="I484">
        <v>14.0567172967824</v>
      </c>
    </row>
    <row r="485" spans="1:9" x14ac:dyDescent="0.35">
      <c r="A485" s="417" t="s">
        <v>846</v>
      </c>
      <c r="B485" s="417" t="s">
        <v>691</v>
      </c>
      <c r="C485" s="83">
        <v>46258</v>
      </c>
      <c r="D485" s="417" t="s">
        <v>314</v>
      </c>
      <c r="E485">
        <v>1315.43511666667</v>
      </c>
      <c r="F485">
        <v>6</v>
      </c>
      <c r="G485">
        <v>219.239186111111</v>
      </c>
      <c r="H485">
        <v>2.71573333333333</v>
      </c>
      <c r="I485">
        <v>28.421734816996299</v>
      </c>
    </row>
    <row r="486" spans="1:9" x14ac:dyDescent="0.35">
      <c r="A486" s="417" t="s">
        <v>846</v>
      </c>
      <c r="B486" s="417" t="s">
        <v>691</v>
      </c>
      <c r="C486" s="83">
        <v>46258</v>
      </c>
      <c r="D486" s="417" t="s">
        <v>317</v>
      </c>
      <c r="E486">
        <v>1428.6784333333301</v>
      </c>
      <c r="F486">
        <v>5</v>
      </c>
      <c r="G486">
        <v>285.73568666666699</v>
      </c>
      <c r="H486">
        <v>4.2989833333333296</v>
      </c>
      <c r="I486">
        <v>21.326225832007498</v>
      </c>
    </row>
    <row r="487" spans="1:9" x14ac:dyDescent="0.35">
      <c r="A487" s="417" t="s">
        <v>846</v>
      </c>
      <c r="B487" s="417" t="s">
        <v>691</v>
      </c>
      <c r="C487" s="83">
        <v>46258</v>
      </c>
      <c r="D487" s="417" t="s">
        <v>305</v>
      </c>
      <c r="E487">
        <v>207.016066666667</v>
      </c>
      <c r="F487">
        <v>2</v>
      </c>
      <c r="G487">
        <v>103.508033333333</v>
      </c>
      <c r="H487">
        <v>0</v>
      </c>
      <c r="I487">
        <v>0.52386965480202297</v>
      </c>
    </row>
    <row r="488" spans="1:9" x14ac:dyDescent="0.35">
      <c r="A488" s="417" t="s">
        <v>846</v>
      </c>
      <c r="B488" s="417" t="s">
        <v>691</v>
      </c>
      <c r="C488" s="83">
        <v>46258</v>
      </c>
      <c r="D488" s="417" t="s">
        <v>504</v>
      </c>
      <c r="E488">
        <v>1440</v>
      </c>
      <c r="F488">
        <v>1</v>
      </c>
      <c r="G488">
        <v>1440</v>
      </c>
      <c r="H488">
        <v>0</v>
      </c>
      <c r="I488">
        <v>7.70015432098766</v>
      </c>
    </row>
    <row r="489" spans="1:9" x14ac:dyDescent="0.35">
      <c r="A489" s="417" t="s">
        <v>846</v>
      </c>
      <c r="B489" s="417" t="s">
        <v>676</v>
      </c>
      <c r="C489" s="83">
        <v>46257</v>
      </c>
      <c r="D489" s="417" t="s">
        <v>677</v>
      </c>
      <c r="E489">
        <v>1218.2884833333301</v>
      </c>
      <c r="F489">
        <v>193</v>
      </c>
      <c r="G489">
        <v>6.31237556131261</v>
      </c>
      <c r="H489">
        <v>139.87559999999999</v>
      </c>
      <c r="I489">
        <v>12.272222222222201</v>
      </c>
    </row>
    <row r="490" spans="1:9" x14ac:dyDescent="0.35">
      <c r="A490" s="417" t="s">
        <v>846</v>
      </c>
      <c r="B490" s="417" t="s">
        <v>676</v>
      </c>
      <c r="C490" s="83">
        <v>46257</v>
      </c>
      <c r="D490" s="417" t="s">
        <v>678</v>
      </c>
      <c r="E490">
        <v>1213.0511833333301</v>
      </c>
      <c r="F490">
        <v>44</v>
      </c>
      <c r="G490">
        <v>27.5693450757576</v>
      </c>
      <c r="H490">
        <v>56.2069166666667</v>
      </c>
      <c r="I490">
        <v>88.8911544933013</v>
      </c>
    </row>
    <row r="491" spans="1:9" x14ac:dyDescent="0.35">
      <c r="A491" s="417" t="s">
        <v>846</v>
      </c>
      <c r="B491" s="417" t="s">
        <v>676</v>
      </c>
      <c r="C491" s="83">
        <v>46257</v>
      </c>
      <c r="D491" s="417" t="s">
        <v>679</v>
      </c>
      <c r="E491">
        <v>1133.97358333333</v>
      </c>
      <c r="F491">
        <v>38</v>
      </c>
      <c r="G491">
        <v>29.8414100877193</v>
      </c>
      <c r="H491">
        <v>50.809266666666701</v>
      </c>
      <c r="I491">
        <v>81.177635572117197</v>
      </c>
    </row>
    <row r="492" spans="1:9" x14ac:dyDescent="0.35">
      <c r="A492" s="417" t="s">
        <v>846</v>
      </c>
      <c r="B492" s="417" t="s">
        <v>680</v>
      </c>
      <c r="C492" s="83">
        <v>46257</v>
      </c>
      <c r="D492" s="417" t="s">
        <v>681</v>
      </c>
      <c r="E492">
        <v>1382.5132000000001</v>
      </c>
      <c r="F492">
        <v>54</v>
      </c>
      <c r="G492">
        <v>25.602096296296299</v>
      </c>
      <c r="H492">
        <v>5.8341500000000002</v>
      </c>
      <c r="I492">
        <v>82.197447299011898</v>
      </c>
    </row>
    <row r="493" spans="1:9" x14ac:dyDescent="0.35">
      <c r="A493" s="417" t="s">
        <v>846</v>
      </c>
      <c r="B493" s="417" t="s">
        <v>680</v>
      </c>
      <c r="C493" s="83">
        <v>46257</v>
      </c>
      <c r="D493" s="417" t="s">
        <v>686</v>
      </c>
      <c r="E493">
        <v>1346.3309999999999</v>
      </c>
      <c r="F493">
        <v>27</v>
      </c>
      <c r="G493">
        <v>49.8641111111111</v>
      </c>
      <c r="H493">
        <v>17.5199833333333</v>
      </c>
      <c r="I493">
        <v>22.740230489466601</v>
      </c>
    </row>
    <row r="494" spans="1:9" x14ac:dyDescent="0.35">
      <c r="A494" s="417" t="s">
        <v>846</v>
      </c>
      <c r="B494" s="417" t="s">
        <v>680</v>
      </c>
      <c r="C494" s="83">
        <v>46257</v>
      </c>
      <c r="D494" s="417" t="s">
        <v>689</v>
      </c>
      <c r="E494">
        <v>1361.8470500000001</v>
      </c>
      <c r="F494">
        <v>26</v>
      </c>
      <c r="G494">
        <v>52.3787326923077</v>
      </c>
      <c r="H494">
        <v>2.0010500000000002</v>
      </c>
      <c r="I494">
        <v>77.9074486857659</v>
      </c>
    </row>
    <row r="495" spans="1:9" x14ac:dyDescent="0.35">
      <c r="A495" s="417" t="s">
        <v>846</v>
      </c>
      <c r="B495" s="417" t="s">
        <v>680</v>
      </c>
      <c r="C495" s="83">
        <v>46257</v>
      </c>
      <c r="D495" s="417" t="s">
        <v>687</v>
      </c>
      <c r="E495">
        <v>1374.81553333333</v>
      </c>
      <c r="F495">
        <v>22</v>
      </c>
      <c r="G495">
        <v>62.491615151515099</v>
      </c>
      <c r="H495">
        <v>32.838466666666697</v>
      </c>
      <c r="I495">
        <v>25.2010305390274</v>
      </c>
    </row>
    <row r="496" spans="1:9" x14ac:dyDescent="0.35">
      <c r="A496" s="417" t="s">
        <v>846</v>
      </c>
      <c r="B496" s="417" t="s">
        <v>680</v>
      </c>
      <c r="C496" s="83">
        <v>46257</v>
      </c>
      <c r="D496" s="417" t="s">
        <v>683</v>
      </c>
      <c r="E496">
        <v>1387.3320000000001</v>
      </c>
      <c r="F496">
        <v>20</v>
      </c>
      <c r="G496">
        <v>69.366600000000005</v>
      </c>
      <c r="H496">
        <v>0.16694999999999999</v>
      </c>
      <c r="I496">
        <v>76.352017771742297</v>
      </c>
    </row>
    <row r="497" spans="1:9" x14ac:dyDescent="0.35">
      <c r="A497" s="417" t="s">
        <v>846</v>
      </c>
      <c r="B497" s="417" t="s">
        <v>680</v>
      </c>
      <c r="C497" s="83">
        <v>46257</v>
      </c>
      <c r="D497" s="417" t="s">
        <v>688</v>
      </c>
      <c r="E497">
        <v>1351.13838333333</v>
      </c>
      <c r="F497">
        <v>17</v>
      </c>
      <c r="G497">
        <v>79.478728431372602</v>
      </c>
      <c r="H497">
        <v>9.0120000000000005</v>
      </c>
      <c r="I497">
        <v>77.386775765738903</v>
      </c>
    </row>
    <row r="498" spans="1:9" x14ac:dyDescent="0.35">
      <c r="A498" s="417" t="s">
        <v>846</v>
      </c>
      <c r="B498" s="417" t="s">
        <v>680</v>
      </c>
      <c r="C498" s="83">
        <v>46257</v>
      </c>
      <c r="D498" s="417" t="s">
        <v>690</v>
      </c>
      <c r="E498">
        <v>1417.1556333333299</v>
      </c>
      <c r="F498">
        <v>16</v>
      </c>
      <c r="G498">
        <v>88.572227083333303</v>
      </c>
      <c r="H498">
        <v>6.1647333333333298</v>
      </c>
      <c r="I498">
        <v>74.025414205055995</v>
      </c>
    </row>
    <row r="499" spans="1:9" x14ac:dyDescent="0.35">
      <c r="A499" s="417" t="s">
        <v>846</v>
      </c>
      <c r="B499" s="417" t="s">
        <v>680</v>
      </c>
      <c r="C499" s="83">
        <v>46257</v>
      </c>
      <c r="D499" s="417" t="s">
        <v>685</v>
      </c>
      <c r="E499">
        <v>1412.50665</v>
      </c>
      <c r="F499">
        <v>15</v>
      </c>
      <c r="G499">
        <v>94.167109999999994</v>
      </c>
      <c r="H499">
        <v>9.3316666666666706</v>
      </c>
      <c r="I499">
        <v>75.951901899037694</v>
      </c>
    </row>
    <row r="500" spans="1:9" x14ac:dyDescent="0.35">
      <c r="A500" s="417" t="s">
        <v>846</v>
      </c>
      <c r="B500" s="417" t="s">
        <v>680</v>
      </c>
      <c r="C500" s="83">
        <v>46257</v>
      </c>
      <c r="D500" s="417" t="s">
        <v>684</v>
      </c>
      <c r="E500">
        <v>1422.47065</v>
      </c>
      <c r="F500">
        <v>11</v>
      </c>
      <c r="G500">
        <v>129.31551363636399</v>
      </c>
      <c r="H500">
        <v>1.00783333333333</v>
      </c>
      <c r="I500">
        <v>74.913778213469797</v>
      </c>
    </row>
    <row r="501" spans="1:9" x14ac:dyDescent="0.35">
      <c r="A501" s="417" t="s">
        <v>846</v>
      </c>
      <c r="B501" s="417" t="s">
        <v>680</v>
      </c>
      <c r="C501" s="83">
        <v>46257</v>
      </c>
      <c r="D501" s="417" t="s">
        <v>682</v>
      </c>
      <c r="E501">
        <v>1426.01561666667</v>
      </c>
      <c r="F501">
        <v>8</v>
      </c>
      <c r="G501">
        <v>178.25195208333301</v>
      </c>
      <c r="H501">
        <v>5.3163166666666699</v>
      </c>
      <c r="I501">
        <v>74.084923076665604</v>
      </c>
    </row>
    <row r="502" spans="1:9" x14ac:dyDescent="0.35">
      <c r="A502" s="417" t="s">
        <v>846</v>
      </c>
      <c r="B502" s="417" t="s">
        <v>691</v>
      </c>
      <c r="C502" s="83">
        <v>46257</v>
      </c>
      <c r="D502" s="417" t="s">
        <v>295</v>
      </c>
      <c r="E502">
        <v>1305.15951666667</v>
      </c>
      <c r="F502">
        <v>155</v>
      </c>
      <c r="G502">
        <v>8.4203839784946304</v>
      </c>
      <c r="H502">
        <v>2.25376666666667</v>
      </c>
      <c r="I502">
        <v>70.779281552982795</v>
      </c>
    </row>
    <row r="503" spans="1:9" x14ac:dyDescent="0.35">
      <c r="A503" s="417" t="s">
        <v>846</v>
      </c>
      <c r="B503" s="417" t="s">
        <v>691</v>
      </c>
      <c r="C503" s="83">
        <v>46257</v>
      </c>
      <c r="D503" s="417" t="s">
        <v>303</v>
      </c>
      <c r="E503">
        <v>1316.11681666667</v>
      </c>
      <c r="F503">
        <v>127</v>
      </c>
      <c r="G503">
        <v>10.363124540682399</v>
      </c>
      <c r="H503">
        <v>0.74043333333333305</v>
      </c>
      <c r="I503">
        <v>44.617476170877502</v>
      </c>
    </row>
    <row r="504" spans="1:9" x14ac:dyDescent="0.35">
      <c r="A504" s="417" t="s">
        <v>846</v>
      </c>
      <c r="B504" s="417" t="s">
        <v>691</v>
      </c>
      <c r="C504" s="83">
        <v>46257</v>
      </c>
      <c r="D504" s="417" t="s">
        <v>301</v>
      </c>
      <c r="E504">
        <v>1353.4429666666699</v>
      </c>
      <c r="F504">
        <v>65</v>
      </c>
      <c r="G504">
        <v>20.8221994871795</v>
      </c>
      <c r="H504">
        <v>0.47598333333333298</v>
      </c>
      <c r="I504">
        <v>50.657217470724603</v>
      </c>
    </row>
    <row r="505" spans="1:9" x14ac:dyDescent="0.35">
      <c r="A505" s="417" t="s">
        <v>846</v>
      </c>
      <c r="B505" s="417" t="s">
        <v>691</v>
      </c>
      <c r="C505" s="83">
        <v>46257</v>
      </c>
      <c r="D505" s="417" t="s">
        <v>299</v>
      </c>
      <c r="E505">
        <v>1361.3830499999999</v>
      </c>
      <c r="F505">
        <v>48</v>
      </c>
      <c r="G505">
        <v>28.362146875000001</v>
      </c>
      <c r="H505">
        <v>0.20185</v>
      </c>
      <c r="I505">
        <v>62.070894272326797</v>
      </c>
    </row>
    <row r="506" spans="1:9" x14ac:dyDescent="0.35">
      <c r="A506" s="417" t="s">
        <v>846</v>
      </c>
      <c r="B506" s="417" t="s">
        <v>691</v>
      </c>
      <c r="C506" s="83">
        <v>46257</v>
      </c>
      <c r="D506" s="417" t="s">
        <v>314</v>
      </c>
      <c r="E506">
        <v>1309.24821666667</v>
      </c>
      <c r="F506">
        <v>42</v>
      </c>
      <c r="G506">
        <v>31.172576587301599</v>
      </c>
      <c r="H506">
        <v>3.7517999999999998</v>
      </c>
      <c r="I506">
        <v>24.685100378092802</v>
      </c>
    </row>
    <row r="507" spans="1:9" x14ac:dyDescent="0.35">
      <c r="A507" s="417" t="s">
        <v>846</v>
      </c>
      <c r="B507" s="417" t="s">
        <v>691</v>
      </c>
      <c r="C507" s="83">
        <v>46257</v>
      </c>
      <c r="D507" s="417" t="s">
        <v>310</v>
      </c>
      <c r="E507">
        <v>1385.8692333333299</v>
      </c>
      <c r="F507">
        <v>31</v>
      </c>
      <c r="G507">
        <v>44.705459139784899</v>
      </c>
      <c r="H507">
        <v>0.99850000000000005</v>
      </c>
      <c r="I507">
        <v>41.713291970424102</v>
      </c>
    </row>
    <row r="508" spans="1:9" x14ac:dyDescent="0.35">
      <c r="A508" s="417" t="s">
        <v>846</v>
      </c>
      <c r="B508" s="417" t="s">
        <v>691</v>
      </c>
      <c r="C508" s="83">
        <v>46257</v>
      </c>
      <c r="D508" s="417" t="s">
        <v>313</v>
      </c>
      <c r="E508">
        <v>1184.59463333333</v>
      </c>
      <c r="F508">
        <v>7</v>
      </c>
      <c r="G508">
        <v>169.22780476190499</v>
      </c>
      <c r="H508">
        <v>0</v>
      </c>
      <c r="I508">
        <v>33.786201199310597</v>
      </c>
    </row>
    <row r="509" spans="1:9" x14ac:dyDescent="0.35">
      <c r="A509" s="417" t="s">
        <v>846</v>
      </c>
      <c r="B509" s="417" t="s">
        <v>691</v>
      </c>
      <c r="C509" s="83">
        <v>46257</v>
      </c>
      <c r="D509" s="417" t="s">
        <v>305</v>
      </c>
      <c r="E509">
        <v>71.508016666666705</v>
      </c>
      <c r="F509">
        <v>1</v>
      </c>
      <c r="G509">
        <v>71.508016666666705</v>
      </c>
      <c r="H509">
        <v>0</v>
      </c>
      <c r="I509">
        <v>0</v>
      </c>
    </row>
    <row r="510" spans="1:9" x14ac:dyDescent="0.35">
      <c r="A510" s="417" t="s">
        <v>846</v>
      </c>
      <c r="B510" s="417" t="s">
        <v>691</v>
      </c>
      <c r="C510" s="83">
        <v>46257</v>
      </c>
      <c r="D510" s="417" t="s">
        <v>309</v>
      </c>
      <c r="E510">
        <v>204.39750000000001</v>
      </c>
      <c r="F510">
        <v>1</v>
      </c>
      <c r="G510">
        <v>204.39750000000001</v>
      </c>
      <c r="H510">
        <v>0</v>
      </c>
      <c r="I510">
        <v>0</v>
      </c>
    </row>
    <row r="511" spans="1:9" x14ac:dyDescent="0.35">
      <c r="A511" s="417" t="s">
        <v>846</v>
      </c>
      <c r="B511" s="417" t="s">
        <v>691</v>
      </c>
      <c r="C511" s="83">
        <v>46257</v>
      </c>
      <c r="D511" s="417" t="s">
        <v>504</v>
      </c>
      <c r="E511">
        <v>1440</v>
      </c>
      <c r="F511">
        <v>1</v>
      </c>
      <c r="G511">
        <v>1440</v>
      </c>
      <c r="H511">
        <v>0</v>
      </c>
      <c r="I511">
        <v>12.629166666666601</v>
      </c>
    </row>
    <row r="512" spans="1:9" x14ac:dyDescent="0.35">
      <c r="A512" s="417" t="s">
        <v>846</v>
      </c>
      <c r="B512" s="417" t="s">
        <v>691</v>
      </c>
      <c r="C512" s="83">
        <v>46257</v>
      </c>
      <c r="D512" s="417" t="s">
        <v>317</v>
      </c>
      <c r="E512">
        <v>597.34053333333304</v>
      </c>
      <c r="F512">
        <v>1</v>
      </c>
      <c r="G512">
        <v>597.34053333333304</v>
      </c>
      <c r="H512">
        <v>0</v>
      </c>
      <c r="I512">
        <v>7.6087252519724196</v>
      </c>
    </row>
    <row r="513" spans="1:9" x14ac:dyDescent="0.35">
      <c r="A513" s="417" t="s">
        <v>846</v>
      </c>
      <c r="B513" s="417" t="s">
        <v>676</v>
      </c>
      <c r="C513" s="83">
        <v>46256</v>
      </c>
      <c r="D513" s="417" t="s">
        <v>677</v>
      </c>
      <c r="E513">
        <v>1209.99833333333</v>
      </c>
      <c r="F513">
        <v>177</v>
      </c>
      <c r="G513">
        <v>6.8361487758945403</v>
      </c>
      <c r="H513">
        <v>118.489866666667</v>
      </c>
      <c r="I513">
        <v>10.681944444444399</v>
      </c>
    </row>
    <row r="514" spans="1:9" x14ac:dyDescent="0.35">
      <c r="A514" s="417" t="s">
        <v>846</v>
      </c>
      <c r="B514" s="417" t="s">
        <v>676</v>
      </c>
      <c r="C514" s="83">
        <v>46256</v>
      </c>
      <c r="D514" s="417" t="s">
        <v>678</v>
      </c>
      <c r="E514">
        <v>1336.3566333333299</v>
      </c>
      <c r="F514">
        <v>30</v>
      </c>
      <c r="G514">
        <v>44.545221111111097</v>
      </c>
      <c r="H514">
        <v>21.172516666666699</v>
      </c>
      <c r="I514">
        <v>94.009888021555099</v>
      </c>
    </row>
    <row r="515" spans="1:9" x14ac:dyDescent="0.35">
      <c r="A515" s="417" t="s">
        <v>846</v>
      </c>
      <c r="B515" s="417" t="s">
        <v>676</v>
      </c>
      <c r="C515" s="83">
        <v>46256</v>
      </c>
      <c r="D515" s="417" t="s">
        <v>679</v>
      </c>
      <c r="E515">
        <v>1369.29865</v>
      </c>
      <c r="F515">
        <v>15</v>
      </c>
      <c r="G515">
        <v>91.286576666666704</v>
      </c>
      <c r="H515">
        <v>12.0096833333333</v>
      </c>
      <c r="I515">
        <v>86.252284971373797</v>
      </c>
    </row>
    <row r="516" spans="1:9" x14ac:dyDescent="0.35">
      <c r="A516" s="417" t="s">
        <v>846</v>
      </c>
      <c r="B516" s="417" t="s">
        <v>680</v>
      </c>
      <c r="C516" s="83">
        <v>46256</v>
      </c>
      <c r="D516" s="417" t="s">
        <v>681</v>
      </c>
      <c r="E516">
        <v>1373.64973333333</v>
      </c>
      <c r="F516">
        <v>46</v>
      </c>
      <c r="G516">
        <v>29.861950724637701</v>
      </c>
      <c r="H516">
        <v>0</v>
      </c>
      <c r="I516">
        <v>82.534308332159</v>
      </c>
    </row>
    <row r="517" spans="1:9" x14ac:dyDescent="0.35">
      <c r="A517" s="417" t="s">
        <v>846</v>
      </c>
      <c r="B517" s="417" t="s">
        <v>680</v>
      </c>
      <c r="C517" s="83">
        <v>46256</v>
      </c>
      <c r="D517" s="417" t="s">
        <v>689</v>
      </c>
      <c r="E517">
        <v>1362.70288333333</v>
      </c>
      <c r="F517">
        <v>42</v>
      </c>
      <c r="G517">
        <v>32.445306746031697</v>
      </c>
      <c r="H517">
        <v>2.1580333333333299</v>
      </c>
      <c r="I517">
        <v>79.443054613696106</v>
      </c>
    </row>
    <row r="518" spans="1:9" x14ac:dyDescent="0.35">
      <c r="A518" s="417" t="s">
        <v>846</v>
      </c>
      <c r="B518" s="417" t="s">
        <v>680</v>
      </c>
      <c r="C518" s="83">
        <v>46256</v>
      </c>
      <c r="D518" s="417" t="s">
        <v>683</v>
      </c>
      <c r="E518">
        <v>1377.48528333333</v>
      </c>
      <c r="F518">
        <v>39</v>
      </c>
      <c r="G518">
        <v>35.320135470085503</v>
      </c>
      <c r="H518">
        <v>2.335</v>
      </c>
      <c r="I518">
        <v>71.794365032550104</v>
      </c>
    </row>
    <row r="519" spans="1:9" x14ac:dyDescent="0.35">
      <c r="A519" s="417" t="s">
        <v>846</v>
      </c>
      <c r="B519" s="417" t="s">
        <v>680</v>
      </c>
      <c r="C519" s="83">
        <v>46256</v>
      </c>
      <c r="D519" s="417" t="s">
        <v>688</v>
      </c>
      <c r="E519">
        <v>1405.85265</v>
      </c>
      <c r="F519">
        <v>30</v>
      </c>
      <c r="G519">
        <v>46.861755000000002</v>
      </c>
      <c r="H519">
        <v>11.323883333333301</v>
      </c>
      <c r="I519">
        <v>75.074294420485899</v>
      </c>
    </row>
    <row r="520" spans="1:9" x14ac:dyDescent="0.35">
      <c r="A520" s="417" t="s">
        <v>846</v>
      </c>
      <c r="B520" s="417" t="s">
        <v>680</v>
      </c>
      <c r="C520" s="83">
        <v>46256</v>
      </c>
      <c r="D520" s="417" t="s">
        <v>686</v>
      </c>
      <c r="E520">
        <v>1404.8659</v>
      </c>
      <c r="F520">
        <v>21</v>
      </c>
      <c r="G520">
        <v>66.898376190476199</v>
      </c>
      <c r="H520">
        <v>17.646333333333299</v>
      </c>
      <c r="I520">
        <v>29.3394413824591</v>
      </c>
    </row>
    <row r="521" spans="1:9" x14ac:dyDescent="0.35">
      <c r="A521" s="417" t="s">
        <v>846</v>
      </c>
      <c r="B521" s="417" t="s">
        <v>680</v>
      </c>
      <c r="C521" s="83">
        <v>46256</v>
      </c>
      <c r="D521" s="417" t="s">
        <v>690</v>
      </c>
      <c r="E521">
        <v>1409.5544500000001</v>
      </c>
      <c r="F521">
        <v>21</v>
      </c>
      <c r="G521">
        <v>67.121640476190507</v>
      </c>
      <c r="H521">
        <v>8.6600333333333293</v>
      </c>
      <c r="I521">
        <v>70.544380494140896</v>
      </c>
    </row>
    <row r="522" spans="1:9" x14ac:dyDescent="0.35">
      <c r="A522" s="417" t="s">
        <v>846</v>
      </c>
      <c r="B522" s="417" t="s">
        <v>680</v>
      </c>
      <c r="C522" s="83">
        <v>46256</v>
      </c>
      <c r="D522" s="417" t="s">
        <v>687</v>
      </c>
      <c r="E522">
        <v>1382.32003333333</v>
      </c>
      <c r="F522">
        <v>18</v>
      </c>
      <c r="G522">
        <v>76.795557407407401</v>
      </c>
      <c r="H522">
        <v>22.836683333333301</v>
      </c>
      <c r="I522">
        <v>33.0503156445359</v>
      </c>
    </row>
    <row r="523" spans="1:9" x14ac:dyDescent="0.35">
      <c r="A523" s="417" t="s">
        <v>846</v>
      </c>
      <c r="B523" s="417" t="s">
        <v>680</v>
      </c>
      <c r="C523" s="83">
        <v>46256</v>
      </c>
      <c r="D523" s="417" t="s">
        <v>684</v>
      </c>
      <c r="E523">
        <v>1412.1743833333301</v>
      </c>
      <c r="F523">
        <v>10</v>
      </c>
      <c r="G523">
        <v>141.21743833333301</v>
      </c>
      <c r="H523">
        <v>1.83296666666667</v>
      </c>
      <c r="I523">
        <v>80.443340798079007</v>
      </c>
    </row>
    <row r="524" spans="1:9" x14ac:dyDescent="0.35">
      <c r="A524" s="417" t="s">
        <v>846</v>
      </c>
      <c r="B524" s="417" t="s">
        <v>680</v>
      </c>
      <c r="C524" s="83">
        <v>46256</v>
      </c>
      <c r="D524" s="417" t="s">
        <v>685</v>
      </c>
      <c r="E524">
        <v>1428.83925</v>
      </c>
      <c r="F524">
        <v>8</v>
      </c>
      <c r="G524">
        <v>178.60490625</v>
      </c>
      <c r="H524">
        <v>3.8216999999999999</v>
      </c>
      <c r="I524">
        <v>77.110623437472299</v>
      </c>
    </row>
    <row r="525" spans="1:9" x14ac:dyDescent="0.35">
      <c r="A525" s="417" t="s">
        <v>846</v>
      </c>
      <c r="B525" s="417" t="s">
        <v>680</v>
      </c>
      <c r="C525" s="83">
        <v>46256</v>
      </c>
      <c r="D525" s="417" t="s">
        <v>682</v>
      </c>
      <c r="E525">
        <v>1424.8336833333301</v>
      </c>
      <c r="F525">
        <v>5</v>
      </c>
      <c r="G525">
        <v>284.96673666666697</v>
      </c>
      <c r="H525">
        <v>2.5014166666666702</v>
      </c>
      <c r="I525">
        <v>79.367540085684197</v>
      </c>
    </row>
    <row r="526" spans="1:9" x14ac:dyDescent="0.35">
      <c r="A526" s="417" t="s">
        <v>846</v>
      </c>
      <c r="B526" s="417" t="s">
        <v>691</v>
      </c>
      <c r="C526" s="83">
        <v>46256</v>
      </c>
      <c r="D526" s="417" t="s">
        <v>301</v>
      </c>
      <c r="E526">
        <v>1220.8639333333299</v>
      </c>
      <c r="F526">
        <v>130</v>
      </c>
      <c r="G526">
        <v>9.3912610256410201</v>
      </c>
      <c r="H526">
        <v>1.8583333333333301</v>
      </c>
      <c r="I526">
        <v>20.623655406739001</v>
      </c>
    </row>
    <row r="527" spans="1:9" x14ac:dyDescent="0.35">
      <c r="A527" s="417" t="s">
        <v>846</v>
      </c>
      <c r="B527" s="417" t="s">
        <v>691</v>
      </c>
      <c r="C527" s="83">
        <v>46256</v>
      </c>
      <c r="D527" s="417" t="s">
        <v>295</v>
      </c>
      <c r="E527">
        <v>1346.43683333333</v>
      </c>
      <c r="F527">
        <v>100</v>
      </c>
      <c r="G527">
        <v>13.464368333333301</v>
      </c>
      <c r="H527">
        <v>0.47854999999999998</v>
      </c>
      <c r="I527">
        <v>39.534336127857102</v>
      </c>
    </row>
    <row r="528" spans="1:9" x14ac:dyDescent="0.35">
      <c r="A528" s="417" t="s">
        <v>846</v>
      </c>
      <c r="B528" s="417" t="s">
        <v>691</v>
      </c>
      <c r="C528" s="83">
        <v>46256</v>
      </c>
      <c r="D528" s="417" t="s">
        <v>303</v>
      </c>
      <c r="E528">
        <v>1248.81473333333</v>
      </c>
      <c r="F528">
        <v>71</v>
      </c>
      <c r="G528">
        <v>17.588939906103299</v>
      </c>
      <c r="H528">
        <v>0.57721666666666704</v>
      </c>
      <c r="I528">
        <v>22.982988570729098</v>
      </c>
    </row>
    <row r="529" spans="1:9" x14ac:dyDescent="0.35">
      <c r="A529" s="417" t="s">
        <v>846</v>
      </c>
      <c r="B529" s="417" t="s">
        <v>691</v>
      </c>
      <c r="C529" s="83">
        <v>46256</v>
      </c>
      <c r="D529" s="417" t="s">
        <v>299</v>
      </c>
      <c r="E529">
        <v>1347.3369666666699</v>
      </c>
      <c r="F529">
        <v>51</v>
      </c>
      <c r="G529">
        <v>26.418371895424801</v>
      </c>
      <c r="H529">
        <v>0.92046666666666699</v>
      </c>
      <c r="I529">
        <v>37.344170889522402</v>
      </c>
    </row>
    <row r="530" spans="1:9" x14ac:dyDescent="0.35">
      <c r="A530" s="417" t="s">
        <v>846</v>
      </c>
      <c r="B530" s="417" t="s">
        <v>691</v>
      </c>
      <c r="C530" s="83">
        <v>46256</v>
      </c>
      <c r="D530" s="417" t="s">
        <v>314</v>
      </c>
      <c r="E530">
        <v>1084.4611333333301</v>
      </c>
      <c r="F530">
        <v>49</v>
      </c>
      <c r="G530">
        <v>22.1318598639456</v>
      </c>
      <c r="H530">
        <v>1.23295</v>
      </c>
      <c r="I530">
        <v>7.1126877010837504</v>
      </c>
    </row>
    <row r="531" spans="1:9" x14ac:dyDescent="0.35">
      <c r="A531" s="417" t="s">
        <v>846</v>
      </c>
      <c r="B531" s="417" t="s">
        <v>691</v>
      </c>
      <c r="C531" s="83">
        <v>46256</v>
      </c>
      <c r="D531" s="417" t="s">
        <v>310</v>
      </c>
      <c r="E531">
        <v>1230.5933</v>
      </c>
      <c r="F531">
        <v>27</v>
      </c>
      <c r="G531">
        <v>45.577529629629602</v>
      </c>
      <c r="H531">
        <v>7.8795833333333301</v>
      </c>
      <c r="I531">
        <v>22.123094983569899</v>
      </c>
    </row>
    <row r="532" spans="1:9" x14ac:dyDescent="0.35">
      <c r="A532" s="417" t="s">
        <v>846</v>
      </c>
      <c r="B532" s="417" t="s">
        <v>691</v>
      </c>
      <c r="C532" s="83">
        <v>46256</v>
      </c>
      <c r="D532" s="417" t="s">
        <v>313</v>
      </c>
      <c r="E532">
        <v>361.38086666666698</v>
      </c>
      <c r="F532">
        <v>3</v>
      </c>
      <c r="G532">
        <v>120.460288888889</v>
      </c>
      <c r="H532">
        <v>9.3100000000000002E-2</v>
      </c>
      <c r="I532">
        <v>24.761445895643298</v>
      </c>
    </row>
    <row r="533" spans="1:9" x14ac:dyDescent="0.35">
      <c r="A533" s="417" t="s">
        <v>846</v>
      </c>
      <c r="B533" s="417" t="s">
        <v>691</v>
      </c>
      <c r="C533" s="83">
        <v>46256</v>
      </c>
      <c r="D533" s="417" t="s">
        <v>305</v>
      </c>
      <c r="E533">
        <v>392.39121666666699</v>
      </c>
      <c r="F533">
        <v>1</v>
      </c>
      <c r="G533">
        <v>392.39121666666699</v>
      </c>
      <c r="H533">
        <v>0</v>
      </c>
      <c r="I533">
        <v>5.6632822751005198E-4</v>
      </c>
    </row>
    <row r="534" spans="1:9" x14ac:dyDescent="0.35">
      <c r="A534" s="417" t="s">
        <v>846</v>
      </c>
      <c r="B534" s="417" t="s">
        <v>691</v>
      </c>
      <c r="C534" s="83">
        <v>46256</v>
      </c>
      <c r="D534" s="417" t="s">
        <v>309</v>
      </c>
      <c r="E534">
        <v>785.44781666666699</v>
      </c>
      <c r="F534">
        <v>1</v>
      </c>
      <c r="G534">
        <v>785.44781666666699</v>
      </c>
      <c r="H534">
        <v>0</v>
      </c>
      <c r="I534">
        <v>1.35695087697018E-14</v>
      </c>
    </row>
    <row r="535" spans="1:9" x14ac:dyDescent="0.35">
      <c r="A535" s="417" t="s">
        <v>846</v>
      </c>
      <c r="B535" s="417" t="s">
        <v>691</v>
      </c>
      <c r="C535" s="83">
        <v>46256</v>
      </c>
      <c r="D535" s="417" t="s">
        <v>504</v>
      </c>
      <c r="E535">
        <v>1440</v>
      </c>
      <c r="F535">
        <v>1</v>
      </c>
      <c r="G535">
        <v>1440</v>
      </c>
      <c r="H535">
        <v>0</v>
      </c>
      <c r="I535">
        <v>7.1566358024691201</v>
      </c>
    </row>
    <row r="536" spans="1:9" x14ac:dyDescent="0.35">
      <c r="A536" s="417" t="s">
        <v>846</v>
      </c>
      <c r="B536" s="417" t="s">
        <v>676</v>
      </c>
      <c r="C536" s="83">
        <v>46255</v>
      </c>
      <c r="D536" s="417" t="s">
        <v>677</v>
      </c>
      <c r="E536">
        <v>1337.92893333333</v>
      </c>
      <c r="F536">
        <v>180</v>
      </c>
      <c r="G536">
        <v>7.4329385185185197</v>
      </c>
      <c r="H536">
        <v>102.07106666666699</v>
      </c>
      <c r="I536">
        <v>16.093333333333401</v>
      </c>
    </row>
    <row r="537" spans="1:9" x14ac:dyDescent="0.35">
      <c r="A537" s="417" t="s">
        <v>846</v>
      </c>
      <c r="B537" s="417" t="s">
        <v>676</v>
      </c>
      <c r="C537" s="83">
        <v>46255</v>
      </c>
      <c r="D537" s="417" t="s">
        <v>678</v>
      </c>
      <c r="E537">
        <v>1374.22438333333</v>
      </c>
      <c r="F537">
        <v>39</v>
      </c>
      <c r="G537">
        <v>35.236522649572599</v>
      </c>
      <c r="H537">
        <v>25.207000000000001</v>
      </c>
      <c r="I537">
        <v>109.26247271168501</v>
      </c>
    </row>
    <row r="538" spans="1:9" x14ac:dyDescent="0.35">
      <c r="A538" s="417" t="s">
        <v>846</v>
      </c>
      <c r="B538" s="417" t="s">
        <v>676</v>
      </c>
      <c r="C538" s="83">
        <v>46255</v>
      </c>
      <c r="D538" s="417" t="s">
        <v>679</v>
      </c>
      <c r="E538">
        <v>1379.1377833333299</v>
      </c>
      <c r="F538">
        <v>17</v>
      </c>
      <c r="G538">
        <v>81.125751960784299</v>
      </c>
      <c r="H538">
        <v>16.0291833333333</v>
      </c>
      <c r="I538">
        <v>98.905724760446205</v>
      </c>
    </row>
    <row r="539" spans="1:9" x14ac:dyDescent="0.35">
      <c r="A539" s="417" t="s">
        <v>846</v>
      </c>
      <c r="B539" s="417" t="s">
        <v>680</v>
      </c>
      <c r="C539" s="83">
        <v>46255</v>
      </c>
      <c r="D539" s="417" t="s">
        <v>686</v>
      </c>
      <c r="E539">
        <v>1329.5924833333299</v>
      </c>
      <c r="F539">
        <v>61</v>
      </c>
      <c r="G539">
        <v>21.7965980874317</v>
      </c>
      <c r="H539">
        <v>61.907783333333299</v>
      </c>
      <c r="I539">
        <v>36.101835902664803</v>
      </c>
    </row>
    <row r="540" spans="1:9" x14ac:dyDescent="0.35">
      <c r="A540" s="417" t="s">
        <v>846</v>
      </c>
      <c r="B540" s="417" t="s">
        <v>680</v>
      </c>
      <c r="C540" s="83">
        <v>46255</v>
      </c>
      <c r="D540" s="417" t="s">
        <v>689</v>
      </c>
      <c r="E540">
        <v>1382.2327333333301</v>
      </c>
      <c r="F540">
        <v>46</v>
      </c>
      <c r="G540">
        <v>30.048537681159399</v>
      </c>
      <c r="H540">
        <v>1.83476666666667</v>
      </c>
      <c r="I540">
        <v>79.996482301048999</v>
      </c>
    </row>
    <row r="541" spans="1:9" x14ac:dyDescent="0.35">
      <c r="A541" s="417" t="s">
        <v>846</v>
      </c>
      <c r="B541" s="417" t="s">
        <v>680</v>
      </c>
      <c r="C541" s="83">
        <v>46255</v>
      </c>
      <c r="D541" s="417" t="s">
        <v>681</v>
      </c>
      <c r="E541">
        <v>1384.98885</v>
      </c>
      <c r="F541">
        <v>44</v>
      </c>
      <c r="G541">
        <v>31.477019318181799</v>
      </c>
      <c r="H541">
        <v>0.66011666666666702</v>
      </c>
      <c r="I541">
        <v>87.366706658372905</v>
      </c>
    </row>
    <row r="542" spans="1:9" x14ac:dyDescent="0.35">
      <c r="A542" s="417" t="s">
        <v>846</v>
      </c>
      <c r="B542" s="417" t="s">
        <v>680</v>
      </c>
      <c r="C542" s="83">
        <v>46255</v>
      </c>
      <c r="D542" s="417" t="s">
        <v>690</v>
      </c>
      <c r="E542">
        <v>1379.7366833333299</v>
      </c>
      <c r="F542">
        <v>24</v>
      </c>
      <c r="G542">
        <v>57.489028472222202</v>
      </c>
      <c r="H542">
        <v>12.402383333333299</v>
      </c>
      <c r="I542">
        <v>67.477159340075801</v>
      </c>
    </row>
    <row r="543" spans="1:9" x14ac:dyDescent="0.35">
      <c r="A543" s="417" t="s">
        <v>846</v>
      </c>
      <c r="B543" s="417" t="s">
        <v>680</v>
      </c>
      <c r="C543" s="83">
        <v>46255</v>
      </c>
      <c r="D543" s="417" t="s">
        <v>683</v>
      </c>
      <c r="E543">
        <v>1408.81126666667</v>
      </c>
      <c r="F543">
        <v>20</v>
      </c>
      <c r="G543">
        <v>70.440563333333401</v>
      </c>
      <c r="H543">
        <v>1.8083166666666699</v>
      </c>
      <c r="I543">
        <v>68.024002975867901</v>
      </c>
    </row>
    <row r="544" spans="1:9" x14ac:dyDescent="0.35">
      <c r="A544" s="417" t="s">
        <v>846</v>
      </c>
      <c r="B544" s="417" t="s">
        <v>680</v>
      </c>
      <c r="C544" s="83">
        <v>46255</v>
      </c>
      <c r="D544" s="417" t="s">
        <v>688</v>
      </c>
      <c r="E544">
        <v>1426.6246000000001</v>
      </c>
      <c r="F544">
        <v>17</v>
      </c>
      <c r="G544">
        <v>83.919094117647006</v>
      </c>
      <c r="H544">
        <v>3.01678333333333</v>
      </c>
      <c r="I544">
        <v>85.539438264843099</v>
      </c>
    </row>
    <row r="545" spans="1:9" x14ac:dyDescent="0.35">
      <c r="A545" s="417" t="s">
        <v>846</v>
      </c>
      <c r="B545" s="417" t="s">
        <v>680</v>
      </c>
      <c r="C545" s="83">
        <v>46255</v>
      </c>
      <c r="D545" s="417" t="s">
        <v>684</v>
      </c>
      <c r="E545">
        <v>1415.4912666666701</v>
      </c>
      <c r="F545">
        <v>15</v>
      </c>
      <c r="G545">
        <v>94.366084444444496</v>
      </c>
      <c r="H545">
        <v>4.8505833333333301</v>
      </c>
      <c r="I545">
        <v>82.361152158875001</v>
      </c>
    </row>
    <row r="546" spans="1:9" x14ac:dyDescent="0.35">
      <c r="A546" s="417" t="s">
        <v>846</v>
      </c>
      <c r="B546" s="417" t="s">
        <v>680</v>
      </c>
      <c r="C546" s="83">
        <v>46255</v>
      </c>
      <c r="D546" s="417" t="s">
        <v>687</v>
      </c>
      <c r="E546">
        <v>1411.8915833333299</v>
      </c>
      <c r="F546">
        <v>14</v>
      </c>
      <c r="G546">
        <v>100.849398809524</v>
      </c>
      <c r="H546">
        <v>15.1009833333333</v>
      </c>
      <c r="I546">
        <v>39.026836293264502</v>
      </c>
    </row>
    <row r="547" spans="1:9" x14ac:dyDescent="0.35">
      <c r="A547" s="417" t="s">
        <v>846</v>
      </c>
      <c r="B547" s="417" t="s">
        <v>680</v>
      </c>
      <c r="C547" s="83">
        <v>46255</v>
      </c>
      <c r="D547" s="417" t="s">
        <v>682</v>
      </c>
      <c r="E547">
        <v>1426.7426166666701</v>
      </c>
      <c r="F547">
        <v>13</v>
      </c>
      <c r="G547">
        <v>109.749432051282</v>
      </c>
      <c r="H547">
        <v>5.3400999999999996</v>
      </c>
      <c r="I547">
        <v>81.230423974031496</v>
      </c>
    </row>
    <row r="548" spans="1:9" x14ac:dyDescent="0.35">
      <c r="A548" s="417" t="s">
        <v>846</v>
      </c>
      <c r="B548" s="417" t="s">
        <v>680</v>
      </c>
      <c r="C548" s="83">
        <v>46255</v>
      </c>
      <c r="D548" s="417" t="s">
        <v>685</v>
      </c>
      <c r="E548">
        <v>1394.66715</v>
      </c>
      <c r="F548">
        <v>12</v>
      </c>
      <c r="G548">
        <v>116.2222625</v>
      </c>
      <c r="H548">
        <v>5.1096000000000004</v>
      </c>
      <c r="I548">
        <v>75.852209500707502</v>
      </c>
    </row>
    <row r="549" spans="1:9" x14ac:dyDescent="0.35">
      <c r="A549" s="417" t="s">
        <v>846</v>
      </c>
      <c r="B549" s="417" t="s">
        <v>691</v>
      </c>
      <c r="C549" s="83">
        <v>46255</v>
      </c>
      <c r="D549" s="417" t="s">
        <v>303</v>
      </c>
      <c r="E549">
        <v>1118.96636666667</v>
      </c>
      <c r="F549">
        <v>63</v>
      </c>
      <c r="G549">
        <v>17.761370899470901</v>
      </c>
      <c r="H549">
        <v>0.375</v>
      </c>
      <c r="I549">
        <v>6.9608595103984499</v>
      </c>
    </row>
    <row r="550" spans="1:9" x14ac:dyDescent="0.35">
      <c r="A550" s="417" t="s">
        <v>846</v>
      </c>
      <c r="B550" s="417" t="s">
        <v>691</v>
      </c>
      <c r="C550" s="83">
        <v>46255</v>
      </c>
      <c r="D550" s="417" t="s">
        <v>299</v>
      </c>
      <c r="E550">
        <v>1268.4176833333299</v>
      </c>
      <c r="F550">
        <v>53</v>
      </c>
      <c r="G550">
        <v>23.932409119496899</v>
      </c>
      <c r="H550">
        <v>0.45378333333333298</v>
      </c>
      <c r="I550">
        <v>3.96006161959553</v>
      </c>
    </row>
    <row r="551" spans="1:9" x14ac:dyDescent="0.35">
      <c r="A551" s="417" t="s">
        <v>846</v>
      </c>
      <c r="B551" s="417" t="s">
        <v>691</v>
      </c>
      <c r="C551" s="83">
        <v>46255</v>
      </c>
      <c r="D551" s="417" t="s">
        <v>301</v>
      </c>
      <c r="E551">
        <v>1141.90525</v>
      </c>
      <c r="F551">
        <v>49</v>
      </c>
      <c r="G551">
        <v>23.304188775510202</v>
      </c>
      <c r="H551">
        <v>7.5466666666666696E-2</v>
      </c>
      <c r="I551">
        <v>1.3036128299838099</v>
      </c>
    </row>
    <row r="552" spans="1:9" x14ac:dyDescent="0.35">
      <c r="A552" s="417" t="s">
        <v>846</v>
      </c>
      <c r="B552" s="417" t="s">
        <v>691</v>
      </c>
      <c r="C552" s="83">
        <v>46255</v>
      </c>
      <c r="D552" s="417" t="s">
        <v>295</v>
      </c>
      <c r="E552">
        <v>1199.8503499999999</v>
      </c>
      <c r="F552">
        <v>40</v>
      </c>
      <c r="G552">
        <v>29.996258749999999</v>
      </c>
      <c r="H552">
        <v>0.18891666666666701</v>
      </c>
      <c r="I552">
        <v>5.29811725385734</v>
      </c>
    </row>
    <row r="553" spans="1:9" x14ac:dyDescent="0.35">
      <c r="A553" s="417" t="s">
        <v>846</v>
      </c>
      <c r="B553" s="417" t="s">
        <v>691</v>
      </c>
      <c r="C553" s="83">
        <v>46255</v>
      </c>
      <c r="D553" s="417" t="s">
        <v>314</v>
      </c>
      <c r="E553">
        <v>479.82531666666699</v>
      </c>
      <c r="F553">
        <v>7</v>
      </c>
      <c r="G553">
        <v>68.546473809523803</v>
      </c>
      <c r="H553">
        <v>0.12563333333333301</v>
      </c>
      <c r="I553">
        <v>7.8566404062853895E-2</v>
      </c>
    </row>
    <row r="554" spans="1:9" x14ac:dyDescent="0.35">
      <c r="A554" s="417" t="s">
        <v>846</v>
      </c>
      <c r="B554" s="417" t="s">
        <v>691</v>
      </c>
      <c r="C554" s="83">
        <v>46255</v>
      </c>
      <c r="D554" s="417" t="s">
        <v>310</v>
      </c>
      <c r="E554">
        <v>1181.72481666667</v>
      </c>
      <c r="F554">
        <v>5</v>
      </c>
      <c r="G554">
        <v>236.344963333333</v>
      </c>
      <c r="H554">
        <v>0.27055000000000001</v>
      </c>
      <c r="I554">
        <v>0.392830403034439</v>
      </c>
    </row>
    <row r="555" spans="1:9" x14ac:dyDescent="0.35">
      <c r="A555" s="417" t="s">
        <v>846</v>
      </c>
      <c r="B555" s="417" t="s">
        <v>691</v>
      </c>
      <c r="C555" s="83">
        <v>46255</v>
      </c>
      <c r="D555" s="417" t="s">
        <v>305</v>
      </c>
      <c r="E555">
        <v>988.93893333333301</v>
      </c>
      <c r="F555">
        <v>2</v>
      </c>
      <c r="G555">
        <v>494.46946666666702</v>
      </c>
      <c r="H555">
        <v>0</v>
      </c>
      <c r="I555">
        <v>-2.0962496276273599E-14</v>
      </c>
    </row>
    <row r="556" spans="1:9" x14ac:dyDescent="0.35">
      <c r="A556" s="417" t="s">
        <v>846</v>
      </c>
      <c r="B556" s="417" t="s">
        <v>691</v>
      </c>
      <c r="C556" s="83">
        <v>46255</v>
      </c>
      <c r="D556" s="417" t="s">
        <v>309</v>
      </c>
      <c r="E556">
        <v>1274.55483333333</v>
      </c>
      <c r="F556">
        <v>2</v>
      </c>
      <c r="G556">
        <v>637.27741666666702</v>
      </c>
      <c r="H556">
        <v>0</v>
      </c>
      <c r="I556">
        <v>0.17252678046949299</v>
      </c>
    </row>
    <row r="557" spans="1:9" x14ac:dyDescent="0.35">
      <c r="A557" s="417" t="s">
        <v>846</v>
      </c>
      <c r="B557" s="417" t="s">
        <v>691</v>
      </c>
      <c r="C557" s="83">
        <v>46255</v>
      </c>
      <c r="D557" s="417" t="s">
        <v>313</v>
      </c>
      <c r="E557">
        <v>1048.27575</v>
      </c>
      <c r="F557">
        <v>2</v>
      </c>
      <c r="G557">
        <v>524.13787500000001</v>
      </c>
      <c r="H557">
        <v>0</v>
      </c>
      <c r="I557">
        <v>2.1648460991443401</v>
      </c>
    </row>
    <row r="558" spans="1:9" x14ac:dyDescent="0.35">
      <c r="A558" s="417" t="s">
        <v>846</v>
      </c>
      <c r="B558" s="417" t="s">
        <v>691</v>
      </c>
      <c r="C558" s="83">
        <v>46255</v>
      </c>
      <c r="D558" s="417" t="s">
        <v>504</v>
      </c>
      <c r="E558">
        <v>1440</v>
      </c>
      <c r="F558">
        <v>1</v>
      </c>
      <c r="G558">
        <v>1440</v>
      </c>
      <c r="H558">
        <v>0</v>
      </c>
      <c r="I558">
        <v>7.5154320987658202E-2</v>
      </c>
    </row>
    <row r="559" spans="1:9" x14ac:dyDescent="0.35">
      <c r="A559" s="417" t="s">
        <v>846</v>
      </c>
      <c r="B559" s="417" t="s">
        <v>676</v>
      </c>
      <c r="C559" s="83">
        <v>46254</v>
      </c>
      <c r="D559" s="417" t="s">
        <v>677</v>
      </c>
      <c r="E559">
        <v>1276.2343166666701</v>
      </c>
      <c r="F559">
        <v>286</v>
      </c>
      <c r="G559">
        <v>4.4623577505827496</v>
      </c>
      <c r="H559">
        <v>163.76568333333299</v>
      </c>
      <c r="I559">
        <v>17.947777777777802</v>
      </c>
    </row>
    <row r="560" spans="1:9" x14ac:dyDescent="0.35">
      <c r="A560" s="417" t="s">
        <v>846</v>
      </c>
      <c r="B560" s="417" t="s">
        <v>676</v>
      </c>
      <c r="C560" s="83">
        <v>46254</v>
      </c>
      <c r="D560" s="417" t="s">
        <v>678</v>
      </c>
      <c r="E560">
        <v>1286.1579666666701</v>
      </c>
      <c r="F560">
        <v>45</v>
      </c>
      <c r="G560">
        <v>28.5812881481482</v>
      </c>
      <c r="H560">
        <v>58.708016666666701</v>
      </c>
      <c r="I560">
        <v>84.025224867821095</v>
      </c>
    </row>
    <row r="561" spans="1:9" x14ac:dyDescent="0.35">
      <c r="A561" s="417" t="s">
        <v>846</v>
      </c>
      <c r="B561" s="417" t="s">
        <v>676</v>
      </c>
      <c r="C561" s="83">
        <v>46254</v>
      </c>
      <c r="D561" s="417" t="s">
        <v>679</v>
      </c>
      <c r="E561">
        <v>1316.1160500000001</v>
      </c>
      <c r="F561">
        <v>18</v>
      </c>
      <c r="G561">
        <v>73.117558333333307</v>
      </c>
      <c r="H561">
        <v>19.833466666666698</v>
      </c>
      <c r="I561">
        <v>79.237026059779595</v>
      </c>
    </row>
    <row r="562" spans="1:9" x14ac:dyDescent="0.35">
      <c r="A562" s="417" t="s">
        <v>846</v>
      </c>
      <c r="B562" s="417" t="s">
        <v>680</v>
      </c>
      <c r="C562" s="83">
        <v>46254</v>
      </c>
      <c r="D562" s="417" t="s">
        <v>681</v>
      </c>
      <c r="E562">
        <v>1370.9588000000001</v>
      </c>
      <c r="F562">
        <v>68</v>
      </c>
      <c r="G562">
        <v>20.161158823529401</v>
      </c>
      <c r="H562">
        <v>0.83358333333333301</v>
      </c>
      <c r="I562">
        <v>71.122480476488604</v>
      </c>
    </row>
    <row r="563" spans="1:9" x14ac:dyDescent="0.35">
      <c r="A563" s="417" t="s">
        <v>846</v>
      </c>
      <c r="B563" s="417" t="s">
        <v>680</v>
      </c>
      <c r="C563" s="83">
        <v>46254</v>
      </c>
      <c r="D563" s="417" t="s">
        <v>684</v>
      </c>
      <c r="E563">
        <v>1361.33995</v>
      </c>
      <c r="F563">
        <v>39</v>
      </c>
      <c r="G563">
        <v>34.906152564102598</v>
      </c>
      <c r="H563">
        <v>15.4641</v>
      </c>
      <c r="I563">
        <v>64.778634507213894</v>
      </c>
    </row>
    <row r="564" spans="1:9" x14ac:dyDescent="0.35">
      <c r="A564" s="417" t="s">
        <v>846</v>
      </c>
      <c r="B564" s="417" t="s">
        <v>680</v>
      </c>
      <c r="C564" s="83">
        <v>46254</v>
      </c>
      <c r="D564" s="417" t="s">
        <v>688</v>
      </c>
      <c r="E564">
        <v>1381.1605999999999</v>
      </c>
      <c r="F564">
        <v>36</v>
      </c>
      <c r="G564">
        <v>38.365572222222198</v>
      </c>
      <c r="H564">
        <v>16.1034333333333</v>
      </c>
      <c r="I564">
        <v>68.452064547308098</v>
      </c>
    </row>
    <row r="565" spans="1:9" x14ac:dyDescent="0.35">
      <c r="A565" s="417" t="s">
        <v>846</v>
      </c>
      <c r="B565" s="417" t="s">
        <v>680</v>
      </c>
      <c r="C565" s="83">
        <v>46254</v>
      </c>
      <c r="D565" s="417" t="s">
        <v>683</v>
      </c>
      <c r="E565">
        <v>1391.55798333333</v>
      </c>
      <c r="F565">
        <v>33</v>
      </c>
      <c r="G565">
        <v>42.168423737373701</v>
      </c>
      <c r="H565">
        <v>0.343233333333333</v>
      </c>
      <c r="I565">
        <v>61.872509834064303</v>
      </c>
    </row>
    <row r="566" spans="1:9" x14ac:dyDescent="0.35">
      <c r="A566" s="417" t="s">
        <v>846</v>
      </c>
      <c r="B566" s="417" t="s">
        <v>680</v>
      </c>
      <c r="C566" s="83">
        <v>46254</v>
      </c>
      <c r="D566" s="417" t="s">
        <v>689</v>
      </c>
      <c r="E566">
        <v>1377.22121666667</v>
      </c>
      <c r="F566">
        <v>31</v>
      </c>
      <c r="G566">
        <v>44.426490860215097</v>
      </c>
      <c r="H566">
        <v>0</v>
      </c>
      <c r="I566">
        <v>65.154369118788296</v>
      </c>
    </row>
    <row r="567" spans="1:9" x14ac:dyDescent="0.35">
      <c r="A567" s="417" t="s">
        <v>846</v>
      </c>
      <c r="B567" s="417" t="s">
        <v>680</v>
      </c>
      <c r="C567" s="83">
        <v>46254</v>
      </c>
      <c r="D567" s="417" t="s">
        <v>686</v>
      </c>
      <c r="E567">
        <v>1324.4608166666701</v>
      </c>
      <c r="F567">
        <v>28</v>
      </c>
      <c r="G567">
        <v>47.302172023809497</v>
      </c>
      <c r="H567">
        <v>22.8441333333333</v>
      </c>
      <c r="I567">
        <v>22.9152836472893</v>
      </c>
    </row>
    <row r="568" spans="1:9" x14ac:dyDescent="0.35">
      <c r="A568" s="417" t="s">
        <v>846</v>
      </c>
      <c r="B568" s="417" t="s">
        <v>680</v>
      </c>
      <c r="C568" s="83">
        <v>46254</v>
      </c>
      <c r="D568" s="417" t="s">
        <v>690</v>
      </c>
      <c r="E568">
        <v>1367.47705</v>
      </c>
      <c r="F568">
        <v>17</v>
      </c>
      <c r="G568">
        <v>80.439826470588201</v>
      </c>
      <c r="H568">
        <v>5.0101333333333304</v>
      </c>
      <c r="I568">
        <v>59.7347572075033</v>
      </c>
    </row>
    <row r="569" spans="1:9" x14ac:dyDescent="0.35">
      <c r="A569" s="417" t="s">
        <v>846</v>
      </c>
      <c r="B569" s="417" t="s">
        <v>680</v>
      </c>
      <c r="C569" s="83">
        <v>46254</v>
      </c>
      <c r="D569" s="417" t="s">
        <v>687</v>
      </c>
      <c r="E569">
        <v>1366.5746999999999</v>
      </c>
      <c r="F569">
        <v>13</v>
      </c>
      <c r="G569">
        <v>105.121130769231</v>
      </c>
      <c r="H569">
        <v>29.9492333333333</v>
      </c>
      <c r="I569">
        <v>29.5790163325074</v>
      </c>
    </row>
    <row r="570" spans="1:9" x14ac:dyDescent="0.35">
      <c r="A570" s="417" t="s">
        <v>846</v>
      </c>
      <c r="B570" s="417" t="s">
        <v>680</v>
      </c>
      <c r="C570" s="83">
        <v>46254</v>
      </c>
      <c r="D570" s="417" t="s">
        <v>682</v>
      </c>
      <c r="E570">
        <v>1345.4105666666701</v>
      </c>
      <c r="F570">
        <v>9</v>
      </c>
      <c r="G570">
        <v>149.49006296296301</v>
      </c>
      <c r="H570">
        <v>5.0079833333333301</v>
      </c>
      <c r="I570">
        <v>60.038227564108801</v>
      </c>
    </row>
    <row r="571" spans="1:9" x14ac:dyDescent="0.35">
      <c r="A571" s="417" t="s">
        <v>846</v>
      </c>
      <c r="B571" s="417" t="s">
        <v>680</v>
      </c>
      <c r="C571" s="83">
        <v>46254</v>
      </c>
      <c r="D571" s="417" t="s">
        <v>685</v>
      </c>
      <c r="E571">
        <v>1420.54823333333</v>
      </c>
      <c r="F571">
        <v>8</v>
      </c>
      <c r="G571">
        <v>177.56852916666699</v>
      </c>
      <c r="H571">
        <v>4.4577</v>
      </c>
      <c r="I571">
        <v>61.2025158461093</v>
      </c>
    </row>
    <row r="572" spans="1:9" x14ac:dyDescent="0.35">
      <c r="A572" s="417" t="s">
        <v>846</v>
      </c>
      <c r="B572" s="417" t="s">
        <v>691</v>
      </c>
      <c r="C572" s="83">
        <v>46254</v>
      </c>
      <c r="D572" s="417" t="s">
        <v>305</v>
      </c>
      <c r="E572">
        <v>1440</v>
      </c>
      <c r="F572">
        <v>1</v>
      </c>
      <c r="G572">
        <v>1440</v>
      </c>
      <c r="H572">
        <v>0</v>
      </c>
      <c r="I572">
        <v>0</v>
      </c>
    </row>
    <row r="573" spans="1:9" x14ac:dyDescent="0.35">
      <c r="A573" s="417" t="s">
        <v>846</v>
      </c>
      <c r="B573" s="417" t="s">
        <v>691</v>
      </c>
      <c r="C573" s="83">
        <v>46254</v>
      </c>
      <c r="D573" s="417" t="s">
        <v>295</v>
      </c>
      <c r="E573">
        <v>120</v>
      </c>
      <c r="F573">
        <v>1</v>
      </c>
      <c r="G573">
        <v>120</v>
      </c>
      <c r="H573">
        <v>0</v>
      </c>
      <c r="I573">
        <v>0</v>
      </c>
    </row>
    <row r="574" spans="1:9" x14ac:dyDescent="0.35">
      <c r="A574" s="417" t="s">
        <v>846</v>
      </c>
      <c r="B574" s="417" t="s">
        <v>691</v>
      </c>
      <c r="C574" s="83">
        <v>46254</v>
      </c>
      <c r="D574" s="417" t="s">
        <v>303</v>
      </c>
      <c r="E574">
        <v>120</v>
      </c>
      <c r="F574">
        <v>1</v>
      </c>
      <c r="G574">
        <v>120</v>
      </c>
      <c r="H574">
        <v>0</v>
      </c>
      <c r="I574">
        <v>0</v>
      </c>
    </row>
    <row r="575" spans="1:9" x14ac:dyDescent="0.35">
      <c r="A575" s="417" t="s">
        <v>846</v>
      </c>
      <c r="B575" s="417" t="s">
        <v>691</v>
      </c>
      <c r="C575" s="83">
        <v>46254</v>
      </c>
      <c r="D575" s="417" t="s">
        <v>299</v>
      </c>
      <c r="E575">
        <v>120</v>
      </c>
      <c r="F575">
        <v>1</v>
      </c>
      <c r="G575">
        <v>120</v>
      </c>
      <c r="H575">
        <v>0</v>
      </c>
      <c r="I575">
        <v>0</v>
      </c>
    </row>
    <row r="576" spans="1:9" x14ac:dyDescent="0.35">
      <c r="A576" s="417" t="s">
        <v>846</v>
      </c>
      <c r="B576" s="417" t="s">
        <v>691</v>
      </c>
      <c r="C576" s="83">
        <v>46254</v>
      </c>
      <c r="D576" s="417" t="s">
        <v>309</v>
      </c>
      <c r="E576">
        <v>1440</v>
      </c>
      <c r="F576">
        <v>1</v>
      </c>
      <c r="G576">
        <v>1440</v>
      </c>
      <c r="H576">
        <v>0</v>
      </c>
      <c r="I576">
        <v>0</v>
      </c>
    </row>
    <row r="577" spans="1:9" x14ac:dyDescent="0.35">
      <c r="A577" s="417" t="s">
        <v>846</v>
      </c>
      <c r="B577" s="417" t="s">
        <v>691</v>
      </c>
      <c r="C577" s="83">
        <v>46254</v>
      </c>
      <c r="D577" s="417" t="s">
        <v>504</v>
      </c>
      <c r="E577">
        <v>600</v>
      </c>
      <c r="F577">
        <v>1</v>
      </c>
      <c r="G577">
        <v>600</v>
      </c>
      <c r="H577">
        <v>0</v>
      </c>
      <c r="I577">
        <v>0</v>
      </c>
    </row>
    <row r="578" spans="1:9" x14ac:dyDescent="0.35">
      <c r="A578" s="417" t="s">
        <v>846</v>
      </c>
      <c r="B578" s="417" t="s">
        <v>691</v>
      </c>
      <c r="C578" s="83">
        <v>46254</v>
      </c>
      <c r="D578" s="417" t="s">
        <v>310</v>
      </c>
      <c r="E578">
        <v>585.43751666666697</v>
      </c>
      <c r="F578">
        <v>1</v>
      </c>
      <c r="G578">
        <v>585.43751666666697</v>
      </c>
      <c r="H578">
        <v>0</v>
      </c>
      <c r="I578">
        <v>0</v>
      </c>
    </row>
    <row r="579" spans="1:9" x14ac:dyDescent="0.35">
      <c r="A579" s="417" t="s">
        <v>846</v>
      </c>
      <c r="B579" s="417" t="s">
        <v>691</v>
      </c>
      <c r="C579" s="83">
        <v>46254</v>
      </c>
      <c r="D579" s="417" t="s">
        <v>313</v>
      </c>
      <c r="E579">
        <v>116.907866666667</v>
      </c>
      <c r="F579">
        <v>1</v>
      </c>
      <c r="G579">
        <v>116.907866666667</v>
      </c>
      <c r="H579">
        <v>0</v>
      </c>
      <c r="I579">
        <v>0</v>
      </c>
    </row>
    <row r="580" spans="1:9" x14ac:dyDescent="0.35">
      <c r="A580" s="417" t="s">
        <v>846</v>
      </c>
      <c r="B580" s="417" t="s">
        <v>691</v>
      </c>
      <c r="C580" s="83">
        <v>46254</v>
      </c>
      <c r="D580" s="417" t="s">
        <v>301</v>
      </c>
      <c r="E580">
        <v>120</v>
      </c>
      <c r="F580">
        <v>1</v>
      </c>
      <c r="G580">
        <v>120</v>
      </c>
      <c r="H580">
        <v>0</v>
      </c>
      <c r="I580">
        <v>0</v>
      </c>
    </row>
    <row r="581" spans="1:9" x14ac:dyDescent="0.35">
      <c r="A581" s="417" t="s">
        <v>846</v>
      </c>
      <c r="B581" s="417" t="s">
        <v>676</v>
      </c>
      <c r="C581" s="83">
        <v>46253</v>
      </c>
      <c r="D581" s="417" t="s">
        <v>677</v>
      </c>
      <c r="E581">
        <v>899.62676666666698</v>
      </c>
      <c r="F581">
        <v>279</v>
      </c>
      <c r="G581">
        <v>3.2244686977299901</v>
      </c>
      <c r="H581">
        <v>138.70463333333299</v>
      </c>
      <c r="I581">
        <v>6.9859340944368196</v>
      </c>
    </row>
    <row r="582" spans="1:9" x14ac:dyDescent="0.35">
      <c r="A582" s="417" t="s">
        <v>846</v>
      </c>
      <c r="B582" s="417" t="s">
        <v>676</v>
      </c>
      <c r="C582" s="83">
        <v>46253</v>
      </c>
      <c r="D582" s="417" t="s">
        <v>678</v>
      </c>
      <c r="E582">
        <v>937.26448333333303</v>
      </c>
      <c r="F582">
        <v>24</v>
      </c>
      <c r="G582">
        <v>39.052686805555602</v>
      </c>
      <c r="H582">
        <v>23.525083333333299</v>
      </c>
      <c r="I582">
        <v>76.5997139228392</v>
      </c>
    </row>
    <row r="583" spans="1:9" x14ac:dyDescent="0.35">
      <c r="A583" s="417" t="s">
        <v>846</v>
      </c>
      <c r="B583" s="417" t="s">
        <v>676</v>
      </c>
      <c r="C583" s="83">
        <v>46253</v>
      </c>
      <c r="D583" s="417" t="s">
        <v>679</v>
      </c>
      <c r="E583">
        <v>1028.44471666667</v>
      </c>
      <c r="F583">
        <v>11</v>
      </c>
      <c r="G583">
        <v>93.494974242424206</v>
      </c>
      <c r="H583">
        <v>2.68001666666667</v>
      </c>
      <c r="I583">
        <v>72.661101482821095</v>
      </c>
    </row>
    <row r="584" spans="1:9" x14ac:dyDescent="0.35">
      <c r="A584" s="417" t="s">
        <v>846</v>
      </c>
      <c r="B584" s="417" t="s">
        <v>680</v>
      </c>
      <c r="C584" s="83">
        <v>46253</v>
      </c>
      <c r="D584" s="417" t="s">
        <v>681</v>
      </c>
      <c r="E584">
        <v>1199.07036666667</v>
      </c>
      <c r="F584">
        <v>85</v>
      </c>
      <c r="G584">
        <v>14.106710196078399</v>
      </c>
      <c r="H584">
        <v>0</v>
      </c>
      <c r="I584">
        <v>66.691399885740196</v>
      </c>
    </row>
    <row r="585" spans="1:9" x14ac:dyDescent="0.35">
      <c r="A585" s="417" t="s">
        <v>846</v>
      </c>
      <c r="B585" s="417" t="s">
        <v>680</v>
      </c>
      <c r="C585" s="83">
        <v>46253</v>
      </c>
      <c r="D585" s="417" t="s">
        <v>686</v>
      </c>
      <c r="E585">
        <v>1139.0260499999999</v>
      </c>
      <c r="F585">
        <v>60</v>
      </c>
      <c r="G585">
        <v>18.983767499999999</v>
      </c>
      <c r="H585">
        <v>49.331366666666703</v>
      </c>
      <c r="I585">
        <v>19.7030669274254</v>
      </c>
    </row>
    <row r="586" spans="1:9" x14ac:dyDescent="0.35">
      <c r="A586" s="417" t="s">
        <v>846</v>
      </c>
      <c r="B586" s="417" t="s">
        <v>680</v>
      </c>
      <c r="C586" s="83">
        <v>46253</v>
      </c>
      <c r="D586" s="417" t="s">
        <v>689</v>
      </c>
      <c r="E586">
        <v>1089.55035</v>
      </c>
      <c r="F586">
        <v>28</v>
      </c>
      <c r="G586">
        <v>38.912512499999998</v>
      </c>
      <c r="H586">
        <v>0</v>
      </c>
      <c r="I586">
        <v>72.454930202046299</v>
      </c>
    </row>
    <row r="587" spans="1:9" x14ac:dyDescent="0.35">
      <c r="A587" s="417" t="s">
        <v>846</v>
      </c>
      <c r="B587" s="417" t="s">
        <v>680</v>
      </c>
      <c r="C587" s="83">
        <v>46253</v>
      </c>
      <c r="D587" s="417" t="s">
        <v>683</v>
      </c>
      <c r="E587">
        <v>1209.1574333333299</v>
      </c>
      <c r="F587">
        <v>27</v>
      </c>
      <c r="G587">
        <v>44.783608641975299</v>
      </c>
      <c r="H587">
        <v>0</v>
      </c>
      <c r="I587">
        <v>60.0539027302192</v>
      </c>
    </row>
    <row r="588" spans="1:9" x14ac:dyDescent="0.35">
      <c r="A588" s="417" t="s">
        <v>846</v>
      </c>
      <c r="B588" s="417" t="s">
        <v>680</v>
      </c>
      <c r="C588" s="83">
        <v>46253</v>
      </c>
      <c r="D588" s="417" t="s">
        <v>684</v>
      </c>
      <c r="E588">
        <v>1146.99045</v>
      </c>
      <c r="F588">
        <v>27</v>
      </c>
      <c r="G588">
        <v>42.4811277777778</v>
      </c>
      <c r="H588">
        <v>10.214283333333301</v>
      </c>
      <c r="I588">
        <v>58.473203926805098</v>
      </c>
    </row>
    <row r="589" spans="1:9" x14ac:dyDescent="0.35">
      <c r="A589" s="417" t="s">
        <v>846</v>
      </c>
      <c r="B589" s="417" t="s">
        <v>680</v>
      </c>
      <c r="C589" s="83">
        <v>46253</v>
      </c>
      <c r="D589" s="417" t="s">
        <v>687</v>
      </c>
      <c r="E589">
        <v>1218.4097833333301</v>
      </c>
      <c r="F589">
        <v>27</v>
      </c>
      <c r="G589">
        <v>45.126288271604899</v>
      </c>
      <c r="H589">
        <v>34.150500000000001</v>
      </c>
      <c r="I589">
        <v>25.848854628446102</v>
      </c>
    </row>
    <row r="590" spans="1:9" x14ac:dyDescent="0.35">
      <c r="A590" s="417" t="s">
        <v>846</v>
      </c>
      <c r="B590" s="417" t="s">
        <v>680</v>
      </c>
      <c r="C590" s="83">
        <v>46253</v>
      </c>
      <c r="D590" s="417" t="s">
        <v>688</v>
      </c>
      <c r="E590">
        <v>1248.5684833333301</v>
      </c>
      <c r="F590">
        <v>25</v>
      </c>
      <c r="G590">
        <v>49.9427393333333</v>
      </c>
      <c r="H590">
        <v>10.0644333333333</v>
      </c>
      <c r="I590">
        <v>64.713071955795101</v>
      </c>
    </row>
    <row r="591" spans="1:9" x14ac:dyDescent="0.35">
      <c r="A591" s="417" t="s">
        <v>846</v>
      </c>
      <c r="B591" s="417" t="s">
        <v>680</v>
      </c>
      <c r="C591" s="83">
        <v>46253</v>
      </c>
      <c r="D591" s="417" t="s">
        <v>682</v>
      </c>
      <c r="E591">
        <v>1238.4926166666701</v>
      </c>
      <c r="F591">
        <v>16</v>
      </c>
      <c r="G591">
        <v>77.405788541666695</v>
      </c>
      <c r="H591">
        <v>12.4079333333333</v>
      </c>
      <c r="I591">
        <v>53.750521666193599</v>
      </c>
    </row>
    <row r="592" spans="1:9" x14ac:dyDescent="0.35">
      <c r="A592" s="417" t="s">
        <v>846</v>
      </c>
      <c r="B592" s="417" t="s">
        <v>680</v>
      </c>
      <c r="C592" s="83">
        <v>46253</v>
      </c>
      <c r="D592" s="417" t="s">
        <v>690</v>
      </c>
      <c r="E592">
        <v>1260.24438333333</v>
      </c>
      <c r="F592">
        <v>8</v>
      </c>
      <c r="G592">
        <v>157.53054791666699</v>
      </c>
      <c r="H592">
        <v>2.0830000000000002</v>
      </c>
      <c r="I592">
        <v>57.215092987373701</v>
      </c>
    </row>
    <row r="593" spans="1:9" x14ac:dyDescent="0.35">
      <c r="A593" s="417" t="s">
        <v>846</v>
      </c>
      <c r="B593" s="417" t="s">
        <v>680</v>
      </c>
      <c r="C593" s="83">
        <v>46253</v>
      </c>
      <c r="D593" s="417" t="s">
        <v>685</v>
      </c>
      <c r="E593">
        <v>1266.5789</v>
      </c>
      <c r="F593">
        <v>2</v>
      </c>
      <c r="G593">
        <v>633.28944999999999</v>
      </c>
      <c r="H593">
        <v>0</v>
      </c>
      <c r="I593">
        <v>63.072039401346601</v>
      </c>
    </row>
    <row r="594" spans="1:9" x14ac:dyDescent="0.35">
      <c r="A594" s="417" t="s">
        <v>846</v>
      </c>
      <c r="B594" s="417" t="s">
        <v>691</v>
      </c>
      <c r="C594" s="83">
        <v>46253</v>
      </c>
      <c r="D594" s="417" t="s">
        <v>310</v>
      </c>
      <c r="E594">
        <v>510.94614999999999</v>
      </c>
      <c r="F594">
        <v>2</v>
      </c>
      <c r="G594">
        <v>255.47307499999999</v>
      </c>
      <c r="H594">
        <v>0</v>
      </c>
      <c r="I594">
        <v>0</v>
      </c>
    </row>
    <row r="595" spans="1:9" x14ac:dyDescent="0.35">
      <c r="A595" s="417" t="s">
        <v>846</v>
      </c>
      <c r="B595" s="417" t="s">
        <v>691</v>
      </c>
      <c r="C595" s="83">
        <v>46253</v>
      </c>
      <c r="D595" s="417" t="s">
        <v>313</v>
      </c>
      <c r="E595">
        <v>333.14425</v>
      </c>
      <c r="F595">
        <v>2</v>
      </c>
      <c r="G595">
        <v>166.572125</v>
      </c>
      <c r="H595">
        <v>0</v>
      </c>
      <c r="I595">
        <v>1.5996285447522399E-14</v>
      </c>
    </row>
    <row r="596" spans="1:9" x14ac:dyDescent="0.35">
      <c r="A596" s="417" t="s">
        <v>846</v>
      </c>
      <c r="B596" s="417" t="s">
        <v>691</v>
      </c>
      <c r="C596" s="83">
        <v>46253</v>
      </c>
      <c r="D596" s="417" t="s">
        <v>305</v>
      </c>
      <c r="E596">
        <v>545.82240000000002</v>
      </c>
      <c r="F596">
        <v>1</v>
      </c>
      <c r="G596">
        <v>545.82240000000002</v>
      </c>
      <c r="H596">
        <v>0</v>
      </c>
      <c r="I596">
        <v>12.105687776015699</v>
      </c>
    </row>
    <row r="597" spans="1:9" x14ac:dyDescent="0.35">
      <c r="A597" s="417" t="s">
        <v>846</v>
      </c>
      <c r="B597" s="417" t="s">
        <v>691</v>
      </c>
      <c r="C597" s="83">
        <v>46253</v>
      </c>
      <c r="D597" s="417" t="s">
        <v>309</v>
      </c>
      <c r="E597">
        <v>545.82240000000002</v>
      </c>
      <c r="F597">
        <v>1</v>
      </c>
      <c r="G597">
        <v>545.82240000000002</v>
      </c>
      <c r="H597">
        <v>0</v>
      </c>
      <c r="I597">
        <v>5.4384804369414699</v>
      </c>
    </row>
    <row r="598" spans="1:9" x14ac:dyDescent="0.35">
      <c r="A598" s="417" t="s">
        <v>846</v>
      </c>
      <c r="B598" s="417" t="s">
        <v>676</v>
      </c>
      <c r="C598" s="83">
        <v>46252</v>
      </c>
      <c r="D598" s="417" t="s">
        <v>677</v>
      </c>
      <c r="E598">
        <v>1273.8060666666699</v>
      </c>
      <c r="F598">
        <v>316</v>
      </c>
      <c r="G598">
        <v>4.03103185654009</v>
      </c>
      <c r="H598">
        <v>147.21045000000001</v>
      </c>
      <c r="I598">
        <v>9.4180555555555596</v>
      </c>
    </row>
    <row r="599" spans="1:9" x14ac:dyDescent="0.35">
      <c r="A599" s="417" t="s">
        <v>846</v>
      </c>
      <c r="B599" s="417" t="s">
        <v>676</v>
      </c>
      <c r="C599" s="83">
        <v>46252</v>
      </c>
      <c r="D599" s="417" t="s">
        <v>678</v>
      </c>
      <c r="E599">
        <v>1285.1339</v>
      </c>
      <c r="F599">
        <v>51</v>
      </c>
      <c r="G599">
        <v>25.198703921568601</v>
      </c>
      <c r="H599">
        <v>36.914583333333297</v>
      </c>
      <c r="I599">
        <v>81.931900689975294</v>
      </c>
    </row>
    <row r="600" spans="1:9" x14ac:dyDescent="0.35">
      <c r="A600" s="417" t="s">
        <v>846</v>
      </c>
      <c r="B600" s="417" t="s">
        <v>676</v>
      </c>
      <c r="C600" s="83">
        <v>46252</v>
      </c>
      <c r="D600" s="417" t="s">
        <v>679</v>
      </c>
      <c r="E600">
        <v>1387.11228333333</v>
      </c>
      <c r="F600">
        <v>24</v>
      </c>
      <c r="G600">
        <v>57.796345138888903</v>
      </c>
      <c r="H600">
        <v>14.30645</v>
      </c>
      <c r="I600">
        <v>84.789552073444</v>
      </c>
    </row>
    <row r="601" spans="1:9" x14ac:dyDescent="0.35">
      <c r="A601" s="417" t="s">
        <v>846</v>
      </c>
      <c r="B601" s="417" t="s">
        <v>680</v>
      </c>
      <c r="C601" s="83">
        <v>46252</v>
      </c>
      <c r="D601" s="417" t="s">
        <v>681</v>
      </c>
      <c r="E601">
        <v>1368.0110500000001</v>
      </c>
      <c r="F601">
        <v>65</v>
      </c>
      <c r="G601">
        <v>21.0463238461539</v>
      </c>
      <c r="H601">
        <v>0.51128333333333298</v>
      </c>
      <c r="I601">
        <v>81.661994052617501</v>
      </c>
    </row>
    <row r="602" spans="1:9" x14ac:dyDescent="0.35">
      <c r="A602" s="417" t="s">
        <v>846</v>
      </c>
      <c r="B602" s="417" t="s">
        <v>680</v>
      </c>
      <c r="C602" s="83">
        <v>46252</v>
      </c>
      <c r="D602" s="417" t="s">
        <v>688</v>
      </c>
      <c r="E602">
        <v>1413.9156499999999</v>
      </c>
      <c r="F602">
        <v>42</v>
      </c>
      <c r="G602">
        <v>33.6646583333333</v>
      </c>
      <c r="H602">
        <v>9.3343166666666697</v>
      </c>
      <c r="I602">
        <v>79.828655791735699</v>
      </c>
    </row>
    <row r="603" spans="1:9" x14ac:dyDescent="0.35">
      <c r="A603" s="417" t="s">
        <v>846</v>
      </c>
      <c r="B603" s="417" t="s">
        <v>680</v>
      </c>
      <c r="C603" s="83">
        <v>46252</v>
      </c>
      <c r="D603" s="417" t="s">
        <v>689</v>
      </c>
      <c r="E603">
        <v>1364.56476666667</v>
      </c>
      <c r="F603">
        <v>42</v>
      </c>
      <c r="G603">
        <v>32.489637301587301</v>
      </c>
      <c r="H603">
        <v>0</v>
      </c>
      <c r="I603">
        <v>79.679769550605002</v>
      </c>
    </row>
    <row r="604" spans="1:9" x14ac:dyDescent="0.35">
      <c r="A604" s="417" t="s">
        <v>846</v>
      </c>
      <c r="B604" s="417" t="s">
        <v>680</v>
      </c>
      <c r="C604" s="83">
        <v>46252</v>
      </c>
      <c r="D604" s="417" t="s">
        <v>684</v>
      </c>
      <c r="E604">
        <v>1399.33073333333</v>
      </c>
      <c r="F604">
        <v>27</v>
      </c>
      <c r="G604">
        <v>51.827064197530902</v>
      </c>
      <c r="H604">
        <v>19.269966666666701</v>
      </c>
      <c r="I604">
        <v>72.896816222394605</v>
      </c>
    </row>
    <row r="605" spans="1:9" x14ac:dyDescent="0.35">
      <c r="A605" s="417" t="s">
        <v>846</v>
      </c>
      <c r="B605" s="417" t="s">
        <v>680</v>
      </c>
      <c r="C605" s="83">
        <v>46252</v>
      </c>
      <c r="D605" s="417" t="s">
        <v>687</v>
      </c>
      <c r="E605">
        <v>1341.7933166666701</v>
      </c>
      <c r="F605">
        <v>27</v>
      </c>
      <c r="G605">
        <v>49.696048765432103</v>
      </c>
      <c r="H605">
        <v>33.768716666666698</v>
      </c>
      <c r="I605">
        <v>31.822060707430701</v>
      </c>
    </row>
    <row r="606" spans="1:9" x14ac:dyDescent="0.35">
      <c r="A606" s="417" t="s">
        <v>846</v>
      </c>
      <c r="B606" s="417" t="s">
        <v>680</v>
      </c>
      <c r="C606" s="83">
        <v>46252</v>
      </c>
      <c r="D606" s="417" t="s">
        <v>683</v>
      </c>
      <c r="E606">
        <v>1410.01055</v>
      </c>
      <c r="F606">
        <v>24</v>
      </c>
      <c r="G606">
        <v>58.750439583333304</v>
      </c>
      <c r="H606">
        <v>0.23948333333333299</v>
      </c>
      <c r="I606">
        <v>74.137662656824304</v>
      </c>
    </row>
    <row r="607" spans="1:9" x14ac:dyDescent="0.35">
      <c r="A607" s="417" t="s">
        <v>846</v>
      </c>
      <c r="B607" s="417" t="s">
        <v>680</v>
      </c>
      <c r="C607" s="83">
        <v>46252</v>
      </c>
      <c r="D607" s="417" t="s">
        <v>686</v>
      </c>
      <c r="E607">
        <v>1384.31743333333</v>
      </c>
      <c r="F607">
        <v>23</v>
      </c>
      <c r="G607">
        <v>60.187714492753599</v>
      </c>
      <c r="H607">
        <v>10.6247666666667</v>
      </c>
      <c r="I607">
        <v>29.443104217098401</v>
      </c>
    </row>
    <row r="608" spans="1:9" x14ac:dyDescent="0.35">
      <c r="A608" s="417" t="s">
        <v>846</v>
      </c>
      <c r="B608" s="417" t="s">
        <v>680</v>
      </c>
      <c r="C608" s="83">
        <v>46252</v>
      </c>
      <c r="D608" s="417" t="s">
        <v>682</v>
      </c>
      <c r="E608">
        <v>1421.7754500000001</v>
      </c>
      <c r="F608">
        <v>15</v>
      </c>
      <c r="G608">
        <v>94.785030000000006</v>
      </c>
      <c r="H608">
        <v>6.8720999999999997</v>
      </c>
      <c r="I608">
        <v>72.535047015010406</v>
      </c>
    </row>
    <row r="609" spans="1:9" x14ac:dyDescent="0.35">
      <c r="A609" s="417" t="s">
        <v>846</v>
      </c>
      <c r="B609" s="417" t="s">
        <v>680</v>
      </c>
      <c r="C609" s="83">
        <v>46252</v>
      </c>
      <c r="D609" s="417" t="s">
        <v>690</v>
      </c>
      <c r="E609">
        <v>1399.28653333333</v>
      </c>
      <c r="F609">
        <v>13</v>
      </c>
      <c r="G609">
        <v>107.637425641026</v>
      </c>
      <c r="H609">
        <v>5.2065999999999999</v>
      </c>
      <c r="I609">
        <v>72.978253546856905</v>
      </c>
    </row>
    <row r="610" spans="1:9" x14ac:dyDescent="0.35">
      <c r="A610" s="417" t="s">
        <v>846</v>
      </c>
      <c r="B610" s="417" t="s">
        <v>680</v>
      </c>
      <c r="C610" s="83">
        <v>46252</v>
      </c>
      <c r="D610" s="417" t="s">
        <v>685</v>
      </c>
      <c r="E610">
        <v>1400.8641666666699</v>
      </c>
      <c r="F610">
        <v>11</v>
      </c>
      <c r="G610">
        <v>127.351287878788</v>
      </c>
      <c r="H610">
        <v>4.7052833333333304</v>
      </c>
      <c r="I610">
        <v>74.7632645506974</v>
      </c>
    </row>
    <row r="611" spans="1:9" x14ac:dyDescent="0.35">
      <c r="A611" s="417" t="s">
        <v>846</v>
      </c>
      <c r="B611" s="417" t="s">
        <v>676</v>
      </c>
      <c r="C611" s="83">
        <v>46251</v>
      </c>
      <c r="D611" s="417" t="s">
        <v>677</v>
      </c>
      <c r="E611">
        <v>1221.89263333333</v>
      </c>
      <c r="F611">
        <v>292</v>
      </c>
      <c r="G611">
        <v>4.1845638127853899</v>
      </c>
      <c r="H611">
        <v>168.366533333333</v>
      </c>
      <c r="I611">
        <v>14.7736111111111</v>
      </c>
    </row>
    <row r="612" spans="1:9" x14ac:dyDescent="0.35">
      <c r="A612" s="417" t="s">
        <v>846</v>
      </c>
      <c r="B612" s="417" t="s">
        <v>676</v>
      </c>
      <c r="C612" s="83">
        <v>46251</v>
      </c>
      <c r="D612" s="417" t="s">
        <v>678</v>
      </c>
      <c r="E612">
        <v>845.68525</v>
      </c>
      <c r="F612">
        <v>60</v>
      </c>
      <c r="G612">
        <v>14.0947541666667</v>
      </c>
      <c r="H612">
        <v>88.237099999999998</v>
      </c>
      <c r="I612">
        <v>39.422737911835199</v>
      </c>
    </row>
    <row r="613" spans="1:9" x14ac:dyDescent="0.35">
      <c r="A613" s="417" t="s">
        <v>846</v>
      </c>
      <c r="B613" s="417" t="s">
        <v>676</v>
      </c>
      <c r="C613" s="83">
        <v>46251</v>
      </c>
      <c r="D613" s="417" t="s">
        <v>679</v>
      </c>
      <c r="E613">
        <v>1391.39701666667</v>
      </c>
      <c r="F613">
        <v>20</v>
      </c>
      <c r="G613">
        <v>69.569850833333305</v>
      </c>
      <c r="H613">
        <v>10.7357</v>
      </c>
      <c r="I613">
        <v>77.218082648690796</v>
      </c>
    </row>
    <row r="614" spans="1:9" x14ac:dyDescent="0.35">
      <c r="A614" s="417" t="s">
        <v>846</v>
      </c>
      <c r="B614" s="417" t="s">
        <v>680</v>
      </c>
      <c r="C614" s="83">
        <v>46251</v>
      </c>
      <c r="D614" s="417" t="s">
        <v>689</v>
      </c>
      <c r="E614">
        <v>1323.4290000000001</v>
      </c>
      <c r="F614">
        <v>114</v>
      </c>
      <c r="G614">
        <v>11.6090263157895</v>
      </c>
      <c r="H614">
        <v>0.3352</v>
      </c>
      <c r="I614">
        <v>76.906270461918695</v>
      </c>
    </row>
    <row r="615" spans="1:9" x14ac:dyDescent="0.35">
      <c r="A615" s="417" t="s">
        <v>846</v>
      </c>
      <c r="B615" s="417" t="s">
        <v>680</v>
      </c>
      <c r="C615" s="83">
        <v>46251</v>
      </c>
      <c r="D615" s="417" t="s">
        <v>681</v>
      </c>
      <c r="E615">
        <v>1373.63568333333</v>
      </c>
      <c r="F615">
        <v>85</v>
      </c>
      <c r="G615">
        <v>16.160419803921599</v>
      </c>
      <c r="H615">
        <v>0</v>
      </c>
      <c r="I615">
        <v>56.9591905658787</v>
      </c>
    </row>
    <row r="616" spans="1:9" x14ac:dyDescent="0.35">
      <c r="A616" s="417" t="s">
        <v>846</v>
      </c>
      <c r="B616" s="417" t="s">
        <v>680</v>
      </c>
      <c r="C616" s="83">
        <v>46251</v>
      </c>
      <c r="D616" s="417" t="s">
        <v>687</v>
      </c>
      <c r="E616">
        <v>1331.7872500000001</v>
      </c>
      <c r="F616">
        <v>76</v>
      </c>
      <c r="G616">
        <v>17.523516447368401</v>
      </c>
      <c r="H616">
        <v>66.382800000000003</v>
      </c>
      <c r="I616">
        <v>35.243818770007202</v>
      </c>
    </row>
    <row r="617" spans="1:9" x14ac:dyDescent="0.35">
      <c r="A617" s="417" t="s">
        <v>846</v>
      </c>
      <c r="B617" s="417" t="s">
        <v>680</v>
      </c>
      <c r="C617" s="83">
        <v>46251</v>
      </c>
      <c r="D617" s="417" t="s">
        <v>688</v>
      </c>
      <c r="E617">
        <v>1402.8834999999999</v>
      </c>
      <c r="F617">
        <v>57</v>
      </c>
      <c r="G617">
        <v>24.611991228070199</v>
      </c>
      <c r="H617">
        <v>12.947416666666699</v>
      </c>
      <c r="I617">
        <v>72.595080886640304</v>
      </c>
    </row>
    <row r="618" spans="1:9" x14ac:dyDescent="0.35">
      <c r="A618" s="417" t="s">
        <v>846</v>
      </c>
      <c r="B618" s="417" t="s">
        <v>680</v>
      </c>
      <c r="C618" s="83">
        <v>46251</v>
      </c>
      <c r="D618" s="417" t="s">
        <v>690</v>
      </c>
      <c r="E618">
        <v>1351.3513499999999</v>
      </c>
      <c r="F618">
        <v>35</v>
      </c>
      <c r="G618">
        <v>38.610038571428603</v>
      </c>
      <c r="H618">
        <v>19.5903833333333</v>
      </c>
      <c r="I618">
        <v>72.942347935155695</v>
      </c>
    </row>
    <row r="619" spans="1:9" x14ac:dyDescent="0.35">
      <c r="A619" s="417" t="s">
        <v>846</v>
      </c>
      <c r="B619" s="417" t="s">
        <v>680</v>
      </c>
      <c r="C619" s="83">
        <v>46251</v>
      </c>
      <c r="D619" s="417" t="s">
        <v>686</v>
      </c>
      <c r="E619">
        <v>1406.3712333333301</v>
      </c>
      <c r="F619">
        <v>31</v>
      </c>
      <c r="G619">
        <v>45.366813978494598</v>
      </c>
      <c r="H619">
        <v>21.301749999999998</v>
      </c>
      <c r="I619">
        <v>31.4347696933992</v>
      </c>
    </row>
    <row r="620" spans="1:9" x14ac:dyDescent="0.35">
      <c r="A620" s="417" t="s">
        <v>846</v>
      </c>
      <c r="B620" s="417" t="s">
        <v>680</v>
      </c>
      <c r="C620" s="83">
        <v>46251</v>
      </c>
      <c r="D620" s="417" t="s">
        <v>684</v>
      </c>
      <c r="E620">
        <v>1412.44706666667</v>
      </c>
      <c r="F620">
        <v>22</v>
      </c>
      <c r="G620">
        <v>64.202139393939404</v>
      </c>
      <c r="H620">
        <v>13.208966666666701</v>
      </c>
      <c r="I620">
        <v>57.951374216456003</v>
      </c>
    </row>
    <row r="621" spans="1:9" x14ac:dyDescent="0.35">
      <c r="A621" s="417" t="s">
        <v>846</v>
      </c>
      <c r="B621" s="417" t="s">
        <v>680</v>
      </c>
      <c r="C621" s="83">
        <v>46251</v>
      </c>
      <c r="D621" s="417" t="s">
        <v>683</v>
      </c>
      <c r="E621">
        <v>1400.92413333333</v>
      </c>
      <c r="F621">
        <v>22</v>
      </c>
      <c r="G621">
        <v>63.678369696969703</v>
      </c>
      <c r="H621">
        <v>2.8707833333333301</v>
      </c>
      <c r="I621">
        <v>57.037589215947399</v>
      </c>
    </row>
    <row r="622" spans="1:9" x14ac:dyDescent="0.35">
      <c r="A622" s="417" t="s">
        <v>846</v>
      </c>
      <c r="B622" s="417" t="s">
        <v>680</v>
      </c>
      <c r="C622" s="83">
        <v>46251</v>
      </c>
      <c r="D622" s="417" t="s">
        <v>682</v>
      </c>
      <c r="E622">
        <v>1432.6775</v>
      </c>
      <c r="F622">
        <v>3</v>
      </c>
      <c r="G622">
        <v>477.55916666666701</v>
      </c>
      <c r="H622">
        <v>2.4423499999999998</v>
      </c>
      <c r="I622">
        <v>57.506396715627197</v>
      </c>
    </row>
    <row r="623" spans="1:9" x14ac:dyDescent="0.35">
      <c r="A623" s="417" t="s">
        <v>846</v>
      </c>
      <c r="B623" s="417" t="s">
        <v>680</v>
      </c>
      <c r="C623" s="83">
        <v>46251</v>
      </c>
      <c r="D623" s="417" t="s">
        <v>685</v>
      </c>
      <c r="E623">
        <v>1430.2682666666699</v>
      </c>
      <c r="F623">
        <v>3</v>
      </c>
      <c r="G623">
        <v>476.756088888889</v>
      </c>
      <c r="H623">
        <v>2.8580666666666699</v>
      </c>
      <c r="I623">
        <v>74.855255741546202</v>
      </c>
    </row>
    <row r="624" spans="1:9" x14ac:dyDescent="0.35">
      <c r="A624" s="417" t="s">
        <v>846</v>
      </c>
      <c r="B624" s="417" t="s">
        <v>676</v>
      </c>
      <c r="C624" s="83">
        <v>46250</v>
      </c>
      <c r="D624" s="417" t="s">
        <v>677</v>
      </c>
      <c r="E624">
        <v>35.351066666666703</v>
      </c>
      <c r="F624">
        <v>30</v>
      </c>
      <c r="G624">
        <v>1.1783688888888899</v>
      </c>
      <c r="H624">
        <v>20.922983333333299</v>
      </c>
      <c r="I624">
        <v>1.0033333333333501</v>
      </c>
    </row>
    <row r="625" spans="1:9" x14ac:dyDescent="0.35">
      <c r="A625" s="417" t="s">
        <v>846</v>
      </c>
      <c r="B625" s="417" t="s">
        <v>676</v>
      </c>
      <c r="C625" s="83">
        <v>46250</v>
      </c>
      <c r="D625" s="417" t="s">
        <v>678</v>
      </c>
      <c r="E625">
        <v>355.61365000000001</v>
      </c>
      <c r="F625">
        <v>6</v>
      </c>
      <c r="G625">
        <v>59.268941666666699</v>
      </c>
      <c r="H625">
        <v>4.2025333333333297</v>
      </c>
      <c r="I625">
        <v>0.203074236082363</v>
      </c>
    </row>
    <row r="626" spans="1:9" x14ac:dyDescent="0.35">
      <c r="A626" s="417" t="s">
        <v>846</v>
      </c>
      <c r="B626" s="417" t="s">
        <v>676</v>
      </c>
      <c r="C626" s="83">
        <v>46250</v>
      </c>
      <c r="D626" s="417" t="s">
        <v>679</v>
      </c>
      <c r="E626">
        <v>391.59764999999999</v>
      </c>
      <c r="F626">
        <v>4</v>
      </c>
      <c r="G626">
        <v>97.899412499999997</v>
      </c>
      <c r="H626">
        <v>2.8589833333333301</v>
      </c>
      <c r="I626">
        <v>1.64975854908885</v>
      </c>
    </row>
    <row r="627" spans="1:9" x14ac:dyDescent="0.35">
      <c r="A627" s="417" t="s">
        <v>846</v>
      </c>
      <c r="B627" s="417" t="s">
        <v>680</v>
      </c>
      <c r="C627" s="83">
        <v>46250</v>
      </c>
      <c r="D627" s="417" t="s">
        <v>681</v>
      </c>
      <c r="E627">
        <v>983.748066666667</v>
      </c>
      <c r="F627">
        <v>61</v>
      </c>
      <c r="G627">
        <v>16.127017486338801</v>
      </c>
      <c r="H627">
        <v>3.70841666666667</v>
      </c>
      <c r="I627">
        <v>16.1400212642335</v>
      </c>
    </row>
    <row r="628" spans="1:9" x14ac:dyDescent="0.35">
      <c r="A628" s="417" t="s">
        <v>846</v>
      </c>
      <c r="B628" s="417" t="s">
        <v>680</v>
      </c>
      <c r="C628" s="83">
        <v>46250</v>
      </c>
      <c r="D628" s="417" t="s">
        <v>689</v>
      </c>
      <c r="E628">
        <v>983.79853333333301</v>
      </c>
      <c r="F628">
        <v>36</v>
      </c>
      <c r="G628">
        <v>27.327737037037</v>
      </c>
      <c r="H628">
        <v>5.88605</v>
      </c>
      <c r="I628">
        <v>25.308438686623099</v>
      </c>
    </row>
    <row r="629" spans="1:9" x14ac:dyDescent="0.35">
      <c r="A629" s="417" t="s">
        <v>846</v>
      </c>
      <c r="B629" s="417" t="s">
        <v>680</v>
      </c>
      <c r="C629" s="83">
        <v>46250</v>
      </c>
      <c r="D629" s="417" t="s">
        <v>687</v>
      </c>
      <c r="E629">
        <v>556.59643333333304</v>
      </c>
      <c r="F629">
        <v>23</v>
      </c>
      <c r="G629">
        <v>24.199844927536201</v>
      </c>
      <c r="H629">
        <v>14.5277333333333</v>
      </c>
      <c r="I629">
        <v>11.8606034118725</v>
      </c>
    </row>
    <row r="630" spans="1:9" x14ac:dyDescent="0.35">
      <c r="A630" s="417" t="s">
        <v>846</v>
      </c>
      <c r="B630" s="417" t="s">
        <v>680</v>
      </c>
      <c r="C630" s="83">
        <v>46250</v>
      </c>
      <c r="D630" s="417" t="s">
        <v>684</v>
      </c>
      <c r="E630">
        <v>1039.0165500000001</v>
      </c>
      <c r="F630">
        <v>20</v>
      </c>
      <c r="G630">
        <v>51.950827500000003</v>
      </c>
      <c r="H630">
        <v>5.1391666666666698</v>
      </c>
      <c r="I630">
        <v>14.910145928473399</v>
      </c>
    </row>
    <row r="631" spans="1:9" x14ac:dyDescent="0.35">
      <c r="A631" s="417" t="s">
        <v>846</v>
      </c>
      <c r="B631" s="417" t="s">
        <v>680</v>
      </c>
      <c r="C631" s="83">
        <v>46250</v>
      </c>
      <c r="D631" s="417" t="s">
        <v>683</v>
      </c>
      <c r="E631">
        <v>975.42236666666702</v>
      </c>
      <c r="F631">
        <v>20</v>
      </c>
      <c r="G631">
        <v>48.771118333333298</v>
      </c>
      <c r="H631">
        <v>3.448</v>
      </c>
      <c r="I631">
        <v>23.822130488950901</v>
      </c>
    </row>
    <row r="632" spans="1:9" x14ac:dyDescent="0.35">
      <c r="A632" s="417" t="s">
        <v>846</v>
      </c>
      <c r="B632" s="417" t="s">
        <v>680</v>
      </c>
      <c r="C632" s="83">
        <v>46250</v>
      </c>
      <c r="D632" s="417" t="s">
        <v>690</v>
      </c>
      <c r="E632">
        <v>856.184666666667</v>
      </c>
      <c r="F632">
        <v>15</v>
      </c>
      <c r="G632">
        <v>57.078977777777801</v>
      </c>
      <c r="H632">
        <v>2.0445833333333301</v>
      </c>
      <c r="I632">
        <v>28.3837454756152</v>
      </c>
    </row>
    <row r="633" spans="1:9" x14ac:dyDescent="0.35">
      <c r="A633" s="417" t="s">
        <v>846</v>
      </c>
      <c r="B633" s="417" t="s">
        <v>680</v>
      </c>
      <c r="C633" s="83">
        <v>46250</v>
      </c>
      <c r="D633" s="417" t="s">
        <v>686</v>
      </c>
      <c r="E633">
        <v>591.92473333333305</v>
      </c>
      <c r="F633">
        <v>13</v>
      </c>
      <c r="G633">
        <v>45.532671794871803</v>
      </c>
      <c r="H633">
        <v>6.3058333333333296</v>
      </c>
      <c r="I633">
        <v>4.8953891555381297</v>
      </c>
    </row>
    <row r="634" spans="1:9" x14ac:dyDescent="0.35">
      <c r="A634" s="417" t="s">
        <v>846</v>
      </c>
      <c r="B634" s="417" t="s">
        <v>680</v>
      </c>
      <c r="C634" s="83">
        <v>46250</v>
      </c>
      <c r="D634" s="417" t="s">
        <v>685</v>
      </c>
      <c r="E634">
        <v>764.23888333333298</v>
      </c>
      <c r="F634">
        <v>10</v>
      </c>
      <c r="G634">
        <v>76.423888333333295</v>
      </c>
      <c r="H634">
        <v>1.40818333333333</v>
      </c>
      <c r="I634">
        <v>30.9997915276439</v>
      </c>
    </row>
    <row r="635" spans="1:9" x14ac:dyDescent="0.35">
      <c r="A635" s="417" t="s">
        <v>846</v>
      </c>
      <c r="B635" s="417" t="s">
        <v>680</v>
      </c>
      <c r="C635" s="83">
        <v>46250</v>
      </c>
      <c r="D635" s="417" t="s">
        <v>688</v>
      </c>
      <c r="E635">
        <v>678.79504999999995</v>
      </c>
      <c r="F635">
        <v>9</v>
      </c>
      <c r="G635">
        <v>75.421672222222199</v>
      </c>
      <c r="H635">
        <v>1.2817499999999999</v>
      </c>
      <c r="I635">
        <v>13.738509435261699</v>
      </c>
    </row>
    <row r="636" spans="1:9" x14ac:dyDescent="0.35">
      <c r="A636" s="417" t="s">
        <v>846</v>
      </c>
      <c r="B636" s="417" t="s">
        <v>680</v>
      </c>
      <c r="C636" s="83">
        <v>46250</v>
      </c>
      <c r="D636" s="417" t="s">
        <v>682</v>
      </c>
      <c r="E636">
        <v>578.60521666666705</v>
      </c>
      <c r="F636">
        <v>7</v>
      </c>
      <c r="G636">
        <v>82.657888095238107</v>
      </c>
      <c r="H636">
        <v>9.2509666666666703</v>
      </c>
      <c r="I636">
        <v>24.337828303543201</v>
      </c>
    </row>
    <row r="637" spans="1:9" x14ac:dyDescent="0.35">
      <c r="A637" s="417" t="s">
        <v>846</v>
      </c>
      <c r="B637" s="417" t="s">
        <v>680</v>
      </c>
      <c r="C637" s="83">
        <v>46249</v>
      </c>
      <c r="D637" s="417" t="s">
        <v>688</v>
      </c>
      <c r="E637">
        <v>0</v>
      </c>
      <c r="F637">
        <v>1</v>
      </c>
      <c r="G637">
        <v>0</v>
      </c>
      <c r="H637">
        <v>0</v>
      </c>
      <c r="I637">
        <v>0</v>
      </c>
    </row>
    <row r="638" spans="1:9" x14ac:dyDescent="0.35">
      <c r="A638" s="417" t="s">
        <v>846</v>
      </c>
      <c r="B638" s="417" t="s">
        <v>680</v>
      </c>
      <c r="C638" s="83">
        <v>46248</v>
      </c>
      <c r="D638" s="417" t="s">
        <v>688</v>
      </c>
      <c r="E638">
        <v>0.1668</v>
      </c>
      <c r="F638">
        <v>1</v>
      </c>
      <c r="G638">
        <v>0.1668</v>
      </c>
      <c r="H638">
        <v>0</v>
      </c>
      <c r="I638">
        <v>0</v>
      </c>
    </row>
    <row r="639" spans="1:9" x14ac:dyDescent="0.35">
      <c r="A639" s="417" t="s">
        <v>846</v>
      </c>
      <c r="B639" s="417" t="s">
        <v>680</v>
      </c>
      <c r="C639" s="83">
        <v>46247</v>
      </c>
      <c r="D639" s="417" t="s">
        <v>688</v>
      </c>
      <c r="E639">
        <v>0</v>
      </c>
      <c r="F639">
        <v>1</v>
      </c>
      <c r="G639">
        <v>0</v>
      </c>
      <c r="H639">
        <v>0</v>
      </c>
      <c r="I639">
        <v>0</v>
      </c>
    </row>
    <row r="640" spans="1:9" x14ac:dyDescent="0.35">
      <c r="A640" s="417" t="s">
        <v>846</v>
      </c>
      <c r="B640" s="417" t="s">
        <v>680</v>
      </c>
      <c r="C640" s="83">
        <v>46246</v>
      </c>
      <c r="D640" s="417" t="s">
        <v>688</v>
      </c>
      <c r="E640">
        <v>0</v>
      </c>
      <c r="F640">
        <v>1</v>
      </c>
      <c r="G640">
        <v>0</v>
      </c>
      <c r="H640">
        <v>0</v>
      </c>
      <c r="I640">
        <v>0</v>
      </c>
    </row>
    <row r="641" spans="1:9" x14ac:dyDescent="0.35">
      <c r="A641" s="417" t="s">
        <v>846</v>
      </c>
      <c r="B641" s="417" t="s">
        <v>680</v>
      </c>
      <c r="C641" s="83">
        <v>46246</v>
      </c>
      <c r="D641" s="417" t="s">
        <v>690</v>
      </c>
      <c r="E641">
        <v>477.48655000000002</v>
      </c>
      <c r="F641">
        <v>1</v>
      </c>
      <c r="G641">
        <v>477.48655000000002</v>
      </c>
      <c r="H641">
        <v>0</v>
      </c>
      <c r="I641">
        <v>0</v>
      </c>
    </row>
    <row r="642" spans="1:9" x14ac:dyDescent="0.35">
      <c r="A642" s="417" t="s">
        <v>846</v>
      </c>
      <c r="B642" s="417" t="s">
        <v>680</v>
      </c>
      <c r="C642" s="83">
        <v>46245</v>
      </c>
      <c r="D642" s="417" t="s">
        <v>690</v>
      </c>
      <c r="E642">
        <v>0</v>
      </c>
      <c r="F642">
        <v>2</v>
      </c>
      <c r="G642">
        <v>0</v>
      </c>
      <c r="H642">
        <v>0</v>
      </c>
      <c r="I642">
        <v>0</v>
      </c>
    </row>
    <row r="643" spans="1:9" x14ac:dyDescent="0.35">
      <c r="A643" s="417" t="s">
        <v>846</v>
      </c>
      <c r="B643" s="417" t="s">
        <v>680</v>
      </c>
      <c r="C643" s="83">
        <v>46245</v>
      </c>
      <c r="D643" s="417" t="s">
        <v>688</v>
      </c>
      <c r="E643">
        <v>88.075966666666702</v>
      </c>
      <c r="F643">
        <v>2</v>
      </c>
      <c r="G643">
        <v>44.037983333333301</v>
      </c>
      <c r="H643">
        <v>0</v>
      </c>
      <c r="I643">
        <v>1.8344196349037199E-14</v>
      </c>
    </row>
    <row r="644" spans="1:9" x14ac:dyDescent="0.35">
      <c r="A644" s="417" t="s">
        <v>846</v>
      </c>
      <c r="B644" s="417" t="s">
        <v>680</v>
      </c>
      <c r="C644" s="83">
        <v>46245</v>
      </c>
      <c r="D644" s="417" t="s">
        <v>685</v>
      </c>
      <c r="E644">
        <v>478.81503333333302</v>
      </c>
      <c r="F644">
        <v>1</v>
      </c>
      <c r="G644">
        <v>478.81503333333302</v>
      </c>
      <c r="H644">
        <v>0</v>
      </c>
      <c r="I644">
        <v>0</v>
      </c>
    </row>
    <row r="645" spans="1:9" x14ac:dyDescent="0.35">
      <c r="A645" s="417" t="s">
        <v>846</v>
      </c>
      <c r="B645" s="417" t="s">
        <v>680</v>
      </c>
      <c r="C645" s="83">
        <v>46245</v>
      </c>
      <c r="D645" s="417" t="s">
        <v>682</v>
      </c>
      <c r="E645">
        <v>478.75863333333302</v>
      </c>
      <c r="F645">
        <v>1</v>
      </c>
      <c r="G645">
        <v>478.75863333333302</v>
      </c>
      <c r="H645">
        <v>0</v>
      </c>
      <c r="I645">
        <v>0</v>
      </c>
    </row>
    <row r="646" spans="1:9" x14ac:dyDescent="0.35">
      <c r="A646" s="417" t="s">
        <v>846</v>
      </c>
      <c r="B646" s="417" t="s">
        <v>680</v>
      </c>
      <c r="C646" s="83">
        <v>46244</v>
      </c>
      <c r="D646" s="417" t="s">
        <v>685</v>
      </c>
      <c r="E646">
        <v>86.728116666666693</v>
      </c>
      <c r="F646">
        <v>1</v>
      </c>
      <c r="G646">
        <v>86.728116666666693</v>
      </c>
      <c r="H646">
        <v>0</v>
      </c>
      <c r="I646">
        <v>0</v>
      </c>
    </row>
    <row r="647" spans="1:9" x14ac:dyDescent="0.35">
      <c r="A647" s="417" t="s">
        <v>846</v>
      </c>
      <c r="B647" s="417" t="s">
        <v>680</v>
      </c>
      <c r="C647" s="83">
        <v>46243</v>
      </c>
      <c r="D647" s="417" t="s">
        <v>685</v>
      </c>
      <c r="E647">
        <v>0.32451666666666701</v>
      </c>
      <c r="F647">
        <v>1</v>
      </c>
      <c r="G647">
        <v>0.32451666666666701</v>
      </c>
      <c r="H647">
        <v>0</v>
      </c>
      <c r="I647">
        <v>0</v>
      </c>
    </row>
    <row r="648" spans="1:9" x14ac:dyDescent="0.35">
      <c r="A648" s="417" t="s">
        <v>846</v>
      </c>
      <c r="B648" s="417" t="s">
        <v>680</v>
      </c>
      <c r="C648" s="83">
        <v>46242</v>
      </c>
      <c r="D648" s="417" t="s">
        <v>685</v>
      </c>
      <c r="E648">
        <v>16.242516666666699</v>
      </c>
      <c r="F648">
        <v>2</v>
      </c>
      <c r="G648">
        <v>8.1212583333333299</v>
      </c>
      <c r="H648">
        <v>0</v>
      </c>
      <c r="I648">
        <v>1.7763568394002501E-14</v>
      </c>
    </row>
    <row r="649" spans="1:9" x14ac:dyDescent="0.35">
      <c r="A649" s="417" t="s">
        <v>846</v>
      </c>
      <c r="B649" s="417" t="s">
        <v>680</v>
      </c>
      <c r="C649" s="83">
        <v>46240</v>
      </c>
      <c r="D649" s="417" t="s">
        <v>682</v>
      </c>
      <c r="E649">
        <v>451.81953333333303</v>
      </c>
      <c r="F649">
        <v>2</v>
      </c>
      <c r="G649">
        <v>225.909766666667</v>
      </c>
      <c r="H649">
        <v>0</v>
      </c>
      <c r="I649">
        <v>0</v>
      </c>
    </row>
    <row r="650" spans="1:9" x14ac:dyDescent="0.35">
      <c r="A650" s="417" t="s">
        <v>846</v>
      </c>
      <c r="B650" s="417" t="s">
        <v>680</v>
      </c>
      <c r="C650" s="83">
        <v>46240</v>
      </c>
      <c r="D650" s="417" t="s">
        <v>683</v>
      </c>
      <c r="E650">
        <v>364.19336666666698</v>
      </c>
      <c r="F650">
        <v>1</v>
      </c>
      <c r="G650">
        <v>364.19336666666698</v>
      </c>
      <c r="H650">
        <v>0</v>
      </c>
      <c r="I650">
        <v>0</v>
      </c>
    </row>
    <row r="651" spans="1:9" x14ac:dyDescent="0.35">
      <c r="A651" s="417" t="s">
        <v>846</v>
      </c>
      <c r="B651" s="417" t="s">
        <v>680</v>
      </c>
      <c r="C651" s="83">
        <v>46240</v>
      </c>
      <c r="D651" s="417" t="s">
        <v>690</v>
      </c>
      <c r="E651">
        <v>273.63639999999998</v>
      </c>
      <c r="F651">
        <v>1</v>
      </c>
      <c r="G651">
        <v>273.63639999999998</v>
      </c>
      <c r="H651">
        <v>0</v>
      </c>
      <c r="I651">
        <v>0</v>
      </c>
    </row>
    <row r="652" spans="1:9" x14ac:dyDescent="0.35">
      <c r="A652" s="417" t="s">
        <v>846</v>
      </c>
      <c r="B652" s="417" t="s">
        <v>680</v>
      </c>
      <c r="C652" s="83">
        <v>46240</v>
      </c>
      <c r="D652" s="417" t="s">
        <v>689</v>
      </c>
      <c r="E652">
        <v>364.70546666666701</v>
      </c>
      <c r="F652">
        <v>1</v>
      </c>
      <c r="G652">
        <v>364.70546666666701</v>
      </c>
      <c r="H652">
        <v>0</v>
      </c>
      <c r="I652">
        <v>0</v>
      </c>
    </row>
    <row r="653" spans="1:9" x14ac:dyDescent="0.35">
      <c r="A653" s="417" t="s">
        <v>846</v>
      </c>
      <c r="B653" s="417" t="s">
        <v>680</v>
      </c>
      <c r="C653" s="83">
        <v>46238</v>
      </c>
      <c r="D653" s="417" t="s">
        <v>690</v>
      </c>
      <c r="E653">
        <v>0.33405000000000001</v>
      </c>
      <c r="F653">
        <v>1</v>
      </c>
      <c r="G653">
        <v>0.33405000000000001</v>
      </c>
      <c r="H653">
        <v>0</v>
      </c>
      <c r="I653">
        <v>0</v>
      </c>
    </row>
    <row r="654" spans="1:9" x14ac:dyDescent="0.35">
      <c r="A654" s="417" t="s">
        <v>846</v>
      </c>
      <c r="B654" s="417" t="s">
        <v>680</v>
      </c>
      <c r="C654" s="83">
        <v>46235</v>
      </c>
      <c r="D654" s="417" t="s">
        <v>690</v>
      </c>
      <c r="E654">
        <v>0.33396666666666702</v>
      </c>
      <c r="F654">
        <v>1</v>
      </c>
      <c r="G654">
        <v>0.33396666666666702</v>
      </c>
      <c r="H654">
        <v>0</v>
      </c>
      <c r="I654">
        <v>0</v>
      </c>
    </row>
    <row r="655" spans="1:9" x14ac:dyDescent="0.35">
      <c r="A655" s="417" t="s">
        <v>846</v>
      </c>
      <c r="B655" s="417" t="s">
        <v>676</v>
      </c>
      <c r="C655" s="83">
        <v>46232</v>
      </c>
      <c r="D655" s="417" t="s">
        <v>677</v>
      </c>
      <c r="E655">
        <v>271.49223333333299</v>
      </c>
      <c r="F655">
        <v>12</v>
      </c>
      <c r="G655">
        <v>22.624352777777801</v>
      </c>
      <c r="H655">
        <v>3.8461666666666701</v>
      </c>
      <c r="I655">
        <v>6.8588888888888899</v>
      </c>
    </row>
    <row r="656" spans="1:9" x14ac:dyDescent="0.35">
      <c r="A656" s="417" t="s">
        <v>846</v>
      </c>
      <c r="B656" s="417" t="s">
        <v>676</v>
      </c>
      <c r="C656" s="83">
        <v>46232</v>
      </c>
      <c r="D656" s="417" t="s">
        <v>678</v>
      </c>
      <c r="E656">
        <v>239.95740000000001</v>
      </c>
      <c r="F656">
        <v>2</v>
      </c>
      <c r="G656">
        <v>119.9787</v>
      </c>
      <c r="H656">
        <v>0.51396666666666702</v>
      </c>
      <c r="I656">
        <v>32.444611215666598</v>
      </c>
    </row>
    <row r="657" spans="1:9" x14ac:dyDescent="0.35">
      <c r="A657" s="417" t="s">
        <v>846</v>
      </c>
      <c r="B657" s="417" t="s">
        <v>676</v>
      </c>
      <c r="C657" s="83">
        <v>46232</v>
      </c>
      <c r="D657" s="417" t="s">
        <v>679</v>
      </c>
      <c r="E657">
        <v>243.50616666666701</v>
      </c>
      <c r="F657">
        <v>2</v>
      </c>
      <c r="G657">
        <v>121.753083333333</v>
      </c>
      <c r="H657">
        <v>0.66698333333333304</v>
      </c>
      <c r="I657">
        <v>31.373910958951299</v>
      </c>
    </row>
    <row r="658" spans="1:9" x14ac:dyDescent="0.35">
      <c r="A658" s="417" t="s">
        <v>846</v>
      </c>
      <c r="B658" s="417" t="s">
        <v>676</v>
      </c>
      <c r="C658" s="83">
        <v>46231</v>
      </c>
      <c r="D658" s="417" t="s">
        <v>677</v>
      </c>
      <c r="E658">
        <v>1265.4930833333301</v>
      </c>
      <c r="F658">
        <v>154</v>
      </c>
      <c r="G658">
        <v>8.2174875541125498</v>
      </c>
      <c r="H658">
        <v>104.3685</v>
      </c>
      <c r="I658">
        <v>15.0663888888889</v>
      </c>
    </row>
    <row r="659" spans="1:9" x14ac:dyDescent="0.35">
      <c r="A659" s="417" t="s">
        <v>846</v>
      </c>
      <c r="B659" s="417" t="s">
        <v>676</v>
      </c>
      <c r="C659" s="83">
        <v>46231</v>
      </c>
      <c r="D659" s="417" t="s">
        <v>678</v>
      </c>
      <c r="E659">
        <v>1355.7262166666701</v>
      </c>
      <c r="F659">
        <v>43</v>
      </c>
      <c r="G659">
        <v>31.5285166666667</v>
      </c>
      <c r="H659">
        <v>33.657366666666697</v>
      </c>
      <c r="I659">
        <v>86.485122116801094</v>
      </c>
    </row>
    <row r="660" spans="1:9" x14ac:dyDescent="0.35">
      <c r="A660" s="417" t="s">
        <v>846</v>
      </c>
      <c r="B660" s="417" t="s">
        <v>676</v>
      </c>
      <c r="C660" s="83">
        <v>46231</v>
      </c>
      <c r="D660" s="417" t="s">
        <v>679</v>
      </c>
      <c r="E660">
        <v>1395.8054</v>
      </c>
      <c r="F660">
        <v>13</v>
      </c>
      <c r="G660">
        <v>107.36964615384601</v>
      </c>
      <c r="H660">
        <v>7.5712999999999999</v>
      </c>
      <c r="I660">
        <v>87.571403078493901</v>
      </c>
    </row>
    <row r="661" spans="1:9" x14ac:dyDescent="0.35">
      <c r="A661" s="417" t="s">
        <v>846</v>
      </c>
      <c r="B661" s="417" t="s">
        <v>680</v>
      </c>
      <c r="C661" s="83">
        <v>46231</v>
      </c>
      <c r="D661" s="417" t="s">
        <v>681</v>
      </c>
      <c r="E661">
        <v>351.93644999999998</v>
      </c>
      <c r="F661">
        <v>5</v>
      </c>
      <c r="G661">
        <v>70.387289999999993</v>
      </c>
      <c r="H661">
        <v>0</v>
      </c>
      <c r="I661">
        <v>17.7840241034685</v>
      </c>
    </row>
    <row r="662" spans="1:9" x14ac:dyDescent="0.35">
      <c r="A662" s="417" t="s">
        <v>846</v>
      </c>
      <c r="B662" s="417" t="s">
        <v>680</v>
      </c>
      <c r="C662" s="83">
        <v>46231</v>
      </c>
      <c r="D662" s="417" t="s">
        <v>686</v>
      </c>
      <c r="E662">
        <v>530.716816666667</v>
      </c>
      <c r="F662">
        <v>4</v>
      </c>
      <c r="G662">
        <v>132.67920416666701</v>
      </c>
      <c r="H662">
        <v>2.2083833333333298</v>
      </c>
      <c r="I662">
        <v>3.6992594297071602</v>
      </c>
    </row>
    <row r="663" spans="1:9" x14ac:dyDescent="0.35">
      <c r="A663" s="417" t="s">
        <v>846</v>
      </c>
      <c r="B663" s="417" t="s">
        <v>680</v>
      </c>
      <c r="C663" s="83">
        <v>46231</v>
      </c>
      <c r="D663" s="417" t="s">
        <v>689</v>
      </c>
      <c r="E663">
        <v>555.26068333333296</v>
      </c>
      <c r="F663">
        <v>4</v>
      </c>
      <c r="G663">
        <v>138.81517083333301</v>
      </c>
      <c r="H663">
        <v>0</v>
      </c>
      <c r="I663">
        <v>12.1302073242062</v>
      </c>
    </row>
    <row r="664" spans="1:9" x14ac:dyDescent="0.35">
      <c r="A664" s="417" t="s">
        <v>846</v>
      </c>
      <c r="B664" s="417" t="s">
        <v>680</v>
      </c>
      <c r="C664" s="83">
        <v>46231</v>
      </c>
      <c r="D664" s="417" t="s">
        <v>685</v>
      </c>
      <c r="E664">
        <v>358.06889999999999</v>
      </c>
      <c r="F664">
        <v>3</v>
      </c>
      <c r="G664">
        <v>119.3563</v>
      </c>
      <c r="H664">
        <v>0.83514999999999995</v>
      </c>
      <c r="I664">
        <v>18.531746031746</v>
      </c>
    </row>
    <row r="665" spans="1:9" x14ac:dyDescent="0.35">
      <c r="A665" s="417" t="s">
        <v>846</v>
      </c>
      <c r="B665" s="417" t="s">
        <v>680</v>
      </c>
      <c r="C665" s="83">
        <v>46231</v>
      </c>
      <c r="D665" s="417" t="s">
        <v>684</v>
      </c>
      <c r="E665">
        <v>352.35825</v>
      </c>
      <c r="F665">
        <v>2</v>
      </c>
      <c r="G665">
        <v>176.179125</v>
      </c>
      <c r="H665">
        <v>0.16671666666666701</v>
      </c>
      <c r="I665">
        <v>14.010790457924401</v>
      </c>
    </row>
    <row r="666" spans="1:9" x14ac:dyDescent="0.35">
      <c r="A666" s="417" t="s">
        <v>846</v>
      </c>
      <c r="B666" s="417" t="s">
        <v>680</v>
      </c>
      <c r="C666" s="83">
        <v>46231</v>
      </c>
      <c r="D666" s="417" t="s">
        <v>690</v>
      </c>
      <c r="E666">
        <v>105.366583333333</v>
      </c>
      <c r="F666">
        <v>1</v>
      </c>
      <c r="G666">
        <v>105.366583333333</v>
      </c>
      <c r="H666">
        <v>0</v>
      </c>
      <c r="I666">
        <v>47.724537225082599</v>
      </c>
    </row>
    <row r="667" spans="1:9" x14ac:dyDescent="0.35">
      <c r="A667" s="417" t="s">
        <v>846</v>
      </c>
      <c r="B667" s="417" t="s">
        <v>680</v>
      </c>
      <c r="C667" s="83">
        <v>46231</v>
      </c>
      <c r="D667" s="417" t="s">
        <v>682</v>
      </c>
      <c r="E667">
        <v>360</v>
      </c>
      <c r="F667">
        <v>1</v>
      </c>
      <c r="G667">
        <v>360</v>
      </c>
      <c r="H667">
        <v>0</v>
      </c>
      <c r="I667">
        <v>13.6706349206349</v>
      </c>
    </row>
    <row r="668" spans="1:9" x14ac:dyDescent="0.35">
      <c r="A668" s="417" t="s">
        <v>846</v>
      </c>
      <c r="B668" s="417" t="s">
        <v>680</v>
      </c>
      <c r="C668" s="83">
        <v>46231</v>
      </c>
      <c r="D668" s="417" t="s">
        <v>687</v>
      </c>
      <c r="E668">
        <v>360</v>
      </c>
      <c r="F668">
        <v>1</v>
      </c>
      <c r="G668">
        <v>360</v>
      </c>
      <c r="H668">
        <v>0</v>
      </c>
      <c r="I668">
        <v>6.2220752498530203</v>
      </c>
    </row>
    <row r="669" spans="1:9" x14ac:dyDescent="0.35">
      <c r="A669" s="417" t="s">
        <v>846</v>
      </c>
      <c r="B669" s="417" t="s">
        <v>680</v>
      </c>
      <c r="C669" s="83">
        <v>46231</v>
      </c>
      <c r="D669" s="417" t="s">
        <v>683</v>
      </c>
      <c r="E669">
        <v>447.55705</v>
      </c>
      <c r="F669">
        <v>1</v>
      </c>
      <c r="G669">
        <v>447.55705</v>
      </c>
      <c r="H669">
        <v>0</v>
      </c>
      <c r="I669">
        <v>13.5574333321861</v>
      </c>
    </row>
    <row r="670" spans="1:9" x14ac:dyDescent="0.35">
      <c r="A670" s="417" t="s">
        <v>846</v>
      </c>
      <c r="B670" s="417" t="s">
        <v>680</v>
      </c>
      <c r="C670" s="83">
        <v>46231</v>
      </c>
      <c r="D670" s="417" t="s">
        <v>688</v>
      </c>
      <c r="E670">
        <v>360</v>
      </c>
      <c r="F670">
        <v>1</v>
      </c>
      <c r="G670">
        <v>360</v>
      </c>
      <c r="H670">
        <v>0</v>
      </c>
      <c r="I670">
        <v>17.519841269841301</v>
      </c>
    </row>
    <row r="671" spans="1:9" x14ac:dyDescent="0.35">
      <c r="A671" s="417" t="s">
        <v>846</v>
      </c>
      <c r="B671" s="417" t="s">
        <v>676</v>
      </c>
      <c r="C671" s="83">
        <v>46230</v>
      </c>
      <c r="D671" s="417" t="s">
        <v>677</v>
      </c>
      <c r="E671">
        <v>1299.45888333333</v>
      </c>
      <c r="F671">
        <v>297</v>
      </c>
      <c r="G671">
        <v>4.3752824354657696</v>
      </c>
      <c r="H671">
        <v>140.54111666666699</v>
      </c>
      <c r="I671">
        <v>30.772222222222201</v>
      </c>
    </row>
    <row r="672" spans="1:9" x14ac:dyDescent="0.35">
      <c r="A672" s="417" t="s">
        <v>846</v>
      </c>
      <c r="B672" s="417" t="s">
        <v>676</v>
      </c>
      <c r="C672" s="83">
        <v>46230</v>
      </c>
      <c r="D672" s="417" t="s">
        <v>678</v>
      </c>
      <c r="E672">
        <v>1360.9907166666701</v>
      </c>
      <c r="F672">
        <v>44</v>
      </c>
      <c r="G672">
        <v>30.931607196969701</v>
      </c>
      <c r="H672">
        <v>28.741299999999999</v>
      </c>
      <c r="I672">
        <v>92.300444664769401</v>
      </c>
    </row>
    <row r="673" spans="1:9" x14ac:dyDescent="0.35">
      <c r="A673" s="417" t="s">
        <v>846</v>
      </c>
      <c r="B673" s="417" t="s">
        <v>676</v>
      </c>
      <c r="C673" s="83">
        <v>46230</v>
      </c>
      <c r="D673" s="417" t="s">
        <v>679</v>
      </c>
      <c r="E673">
        <v>1407.7449833333301</v>
      </c>
      <c r="F673">
        <v>8</v>
      </c>
      <c r="G673">
        <v>175.968122916667</v>
      </c>
      <c r="H673">
        <v>5.8715666666666699</v>
      </c>
      <c r="I673">
        <v>102.21678101698301</v>
      </c>
    </row>
    <row r="674" spans="1:9" x14ac:dyDescent="0.35">
      <c r="A674" s="417" t="s">
        <v>846</v>
      </c>
      <c r="B674" s="417" t="s">
        <v>680</v>
      </c>
      <c r="C674" s="83">
        <v>46230</v>
      </c>
      <c r="D674" s="417" t="s">
        <v>681</v>
      </c>
      <c r="E674">
        <v>1366.8944833333301</v>
      </c>
      <c r="F674">
        <v>64</v>
      </c>
      <c r="G674">
        <v>21.3577263020833</v>
      </c>
      <c r="H674">
        <v>0.43523333333333297</v>
      </c>
      <c r="I674">
        <v>76.857727480622103</v>
      </c>
    </row>
    <row r="675" spans="1:9" x14ac:dyDescent="0.35">
      <c r="A675" s="417" t="s">
        <v>846</v>
      </c>
      <c r="B675" s="417" t="s">
        <v>680</v>
      </c>
      <c r="C675" s="83">
        <v>46230</v>
      </c>
      <c r="D675" s="417" t="s">
        <v>689</v>
      </c>
      <c r="E675">
        <v>1328.0881833333301</v>
      </c>
      <c r="F675">
        <v>63</v>
      </c>
      <c r="G675">
        <v>21.080764814814799</v>
      </c>
      <c r="H675">
        <v>1.8880333333333299</v>
      </c>
      <c r="I675">
        <v>64.8815190394144</v>
      </c>
    </row>
    <row r="676" spans="1:9" x14ac:dyDescent="0.35">
      <c r="A676" s="417" t="s">
        <v>846</v>
      </c>
      <c r="B676" s="417" t="s">
        <v>680</v>
      </c>
      <c r="C676" s="83">
        <v>46230</v>
      </c>
      <c r="D676" s="417" t="s">
        <v>686</v>
      </c>
      <c r="E676">
        <v>1362.9058833333299</v>
      </c>
      <c r="F676">
        <v>48</v>
      </c>
      <c r="G676">
        <v>28.393872569444401</v>
      </c>
      <c r="H676">
        <v>49.034550000000003</v>
      </c>
      <c r="I676">
        <v>22.385606439872401</v>
      </c>
    </row>
    <row r="677" spans="1:9" x14ac:dyDescent="0.35">
      <c r="A677" s="417" t="s">
        <v>846</v>
      </c>
      <c r="B677" s="417" t="s">
        <v>680</v>
      </c>
      <c r="C677" s="83">
        <v>46230</v>
      </c>
      <c r="D677" s="417" t="s">
        <v>687</v>
      </c>
      <c r="E677">
        <v>1364.3341333333301</v>
      </c>
      <c r="F677">
        <v>31</v>
      </c>
      <c r="G677">
        <v>44.010778494623601</v>
      </c>
      <c r="H677">
        <v>33.641716666666703</v>
      </c>
      <c r="I677">
        <v>28.509473576067599</v>
      </c>
    </row>
    <row r="678" spans="1:9" x14ac:dyDescent="0.35">
      <c r="A678" s="417" t="s">
        <v>846</v>
      </c>
      <c r="B678" s="417" t="s">
        <v>680</v>
      </c>
      <c r="C678" s="83">
        <v>46230</v>
      </c>
      <c r="D678" s="417" t="s">
        <v>684</v>
      </c>
      <c r="E678">
        <v>1387.3152333333301</v>
      </c>
      <c r="F678">
        <v>25</v>
      </c>
      <c r="G678">
        <v>55.492609333333299</v>
      </c>
      <c r="H678">
        <v>16.224049999999998</v>
      </c>
      <c r="I678">
        <v>62.110198875960201</v>
      </c>
    </row>
    <row r="679" spans="1:9" x14ac:dyDescent="0.35">
      <c r="A679" s="417" t="s">
        <v>846</v>
      </c>
      <c r="B679" s="417" t="s">
        <v>680</v>
      </c>
      <c r="C679" s="83">
        <v>46230</v>
      </c>
      <c r="D679" s="417" t="s">
        <v>688</v>
      </c>
      <c r="E679">
        <v>1416.22806666667</v>
      </c>
      <c r="F679">
        <v>22</v>
      </c>
      <c r="G679">
        <v>64.374003030303001</v>
      </c>
      <c r="H679">
        <v>4.53846666666667</v>
      </c>
      <c r="I679">
        <v>64.512433333031495</v>
      </c>
    </row>
    <row r="680" spans="1:9" x14ac:dyDescent="0.35">
      <c r="A680" s="417" t="s">
        <v>846</v>
      </c>
      <c r="B680" s="417" t="s">
        <v>680</v>
      </c>
      <c r="C680" s="83">
        <v>46230</v>
      </c>
      <c r="D680" s="417" t="s">
        <v>682</v>
      </c>
      <c r="E680">
        <v>1398.12183333333</v>
      </c>
      <c r="F680">
        <v>15</v>
      </c>
      <c r="G680">
        <v>93.208122222222201</v>
      </c>
      <c r="H680">
        <v>18.020416666666701</v>
      </c>
      <c r="I680">
        <v>60.169547818802101</v>
      </c>
    </row>
    <row r="681" spans="1:9" x14ac:dyDescent="0.35">
      <c r="A681" s="417" t="s">
        <v>846</v>
      </c>
      <c r="B681" s="417" t="s">
        <v>680</v>
      </c>
      <c r="C681" s="83">
        <v>46230</v>
      </c>
      <c r="D681" s="417" t="s">
        <v>690</v>
      </c>
      <c r="E681">
        <v>1403.83206666667</v>
      </c>
      <c r="F681">
        <v>14</v>
      </c>
      <c r="G681">
        <v>100.273719047619</v>
      </c>
      <c r="H681">
        <v>9.3262166666666708</v>
      </c>
      <c r="I681">
        <v>45.6806123276642</v>
      </c>
    </row>
    <row r="682" spans="1:9" x14ac:dyDescent="0.35">
      <c r="A682" s="417" t="s">
        <v>846</v>
      </c>
      <c r="B682" s="417" t="s">
        <v>680</v>
      </c>
      <c r="C682" s="83">
        <v>46230</v>
      </c>
      <c r="D682" s="417" t="s">
        <v>683</v>
      </c>
      <c r="E682">
        <v>1411.3447166666699</v>
      </c>
      <c r="F682">
        <v>13</v>
      </c>
      <c r="G682">
        <v>108.564978205128</v>
      </c>
      <c r="H682">
        <v>3.2591000000000001</v>
      </c>
      <c r="I682">
        <v>47.9614530679466</v>
      </c>
    </row>
    <row r="683" spans="1:9" x14ac:dyDescent="0.35">
      <c r="A683" s="417" t="s">
        <v>846</v>
      </c>
      <c r="B683" s="417" t="s">
        <v>680</v>
      </c>
      <c r="C683" s="83">
        <v>46230</v>
      </c>
      <c r="D683" s="417" t="s">
        <v>685</v>
      </c>
      <c r="E683">
        <v>1434.77796666667</v>
      </c>
      <c r="F683">
        <v>7</v>
      </c>
      <c r="G683">
        <v>204.96828095238101</v>
      </c>
      <c r="H683">
        <v>2.12503333333333</v>
      </c>
      <c r="I683">
        <v>62.568290894493501</v>
      </c>
    </row>
    <row r="684" spans="1:9" x14ac:dyDescent="0.35">
      <c r="A684" s="417" t="s">
        <v>846</v>
      </c>
      <c r="B684" s="417" t="s">
        <v>676</v>
      </c>
      <c r="C684" s="83">
        <v>46229</v>
      </c>
      <c r="D684" s="417" t="s">
        <v>677</v>
      </c>
      <c r="E684">
        <v>1195.88905</v>
      </c>
      <c r="F684">
        <v>146</v>
      </c>
      <c r="G684">
        <v>8.1910208904109592</v>
      </c>
      <c r="H684">
        <v>99.154849999999996</v>
      </c>
      <c r="I684">
        <v>26.057777777777801</v>
      </c>
    </row>
    <row r="685" spans="1:9" x14ac:dyDescent="0.35">
      <c r="A685" s="417" t="s">
        <v>846</v>
      </c>
      <c r="B685" s="417" t="s">
        <v>676</v>
      </c>
      <c r="C685" s="83">
        <v>46229</v>
      </c>
      <c r="D685" s="417" t="s">
        <v>678</v>
      </c>
      <c r="E685">
        <v>1353.78246666667</v>
      </c>
      <c r="F685">
        <v>39</v>
      </c>
      <c r="G685">
        <v>34.712370940170899</v>
      </c>
      <c r="H685">
        <v>21.3738666666667</v>
      </c>
      <c r="I685">
        <v>87.003290059815996</v>
      </c>
    </row>
    <row r="686" spans="1:9" x14ac:dyDescent="0.35">
      <c r="A686" s="417" t="s">
        <v>846</v>
      </c>
      <c r="B686" s="417" t="s">
        <v>676</v>
      </c>
      <c r="C686" s="83">
        <v>46229</v>
      </c>
      <c r="D686" s="417" t="s">
        <v>679</v>
      </c>
      <c r="E686">
        <v>1250.5379333333301</v>
      </c>
      <c r="F686">
        <v>11</v>
      </c>
      <c r="G686">
        <v>113.685266666667</v>
      </c>
      <c r="H686">
        <v>7.3856000000000002</v>
      </c>
      <c r="I686">
        <v>89.231087181488107</v>
      </c>
    </row>
    <row r="687" spans="1:9" x14ac:dyDescent="0.35">
      <c r="A687" s="417" t="s">
        <v>846</v>
      </c>
      <c r="B687" s="417" t="s">
        <v>680</v>
      </c>
      <c r="C687" s="83">
        <v>46229</v>
      </c>
      <c r="D687" s="417" t="s">
        <v>687</v>
      </c>
      <c r="E687">
        <v>1343.62386666667</v>
      </c>
      <c r="F687">
        <v>67</v>
      </c>
      <c r="G687">
        <v>20.0540875621891</v>
      </c>
      <c r="H687">
        <v>67.755183333333306</v>
      </c>
      <c r="I687">
        <v>23.1109098354931</v>
      </c>
    </row>
    <row r="688" spans="1:9" x14ac:dyDescent="0.35">
      <c r="A688" s="417" t="s">
        <v>846</v>
      </c>
      <c r="B688" s="417" t="s">
        <v>680</v>
      </c>
      <c r="C688" s="83">
        <v>46229</v>
      </c>
      <c r="D688" s="417" t="s">
        <v>688</v>
      </c>
      <c r="E688">
        <v>1373.09871666667</v>
      </c>
      <c r="F688">
        <v>58</v>
      </c>
      <c r="G688">
        <v>23.674115804597701</v>
      </c>
      <c r="H688">
        <v>10.39405</v>
      </c>
      <c r="I688">
        <v>46.799206867033902</v>
      </c>
    </row>
    <row r="689" spans="1:9" x14ac:dyDescent="0.35">
      <c r="A689" s="417" t="s">
        <v>846</v>
      </c>
      <c r="B689" s="417" t="s">
        <v>680</v>
      </c>
      <c r="C689" s="83">
        <v>46229</v>
      </c>
      <c r="D689" s="417" t="s">
        <v>681</v>
      </c>
      <c r="E689">
        <v>1369.1661999999999</v>
      </c>
      <c r="F689">
        <v>55</v>
      </c>
      <c r="G689">
        <v>24.893930909090901</v>
      </c>
      <c r="H689">
        <v>7.2905666666666704</v>
      </c>
      <c r="I689">
        <v>54.765919293030102</v>
      </c>
    </row>
    <row r="690" spans="1:9" x14ac:dyDescent="0.35">
      <c r="A690" s="417" t="s">
        <v>846</v>
      </c>
      <c r="B690" s="417" t="s">
        <v>680</v>
      </c>
      <c r="C690" s="83">
        <v>46229</v>
      </c>
      <c r="D690" s="417" t="s">
        <v>683</v>
      </c>
      <c r="E690">
        <v>1279.51841666667</v>
      </c>
      <c r="F690">
        <v>51</v>
      </c>
      <c r="G690">
        <v>25.088596405228699</v>
      </c>
      <c r="H690">
        <v>3.1685333333333299</v>
      </c>
      <c r="I690">
        <v>36.046825232344901</v>
      </c>
    </row>
    <row r="691" spans="1:9" x14ac:dyDescent="0.35">
      <c r="A691" s="417" t="s">
        <v>846</v>
      </c>
      <c r="B691" s="417" t="s">
        <v>680</v>
      </c>
      <c r="C691" s="83">
        <v>46229</v>
      </c>
      <c r="D691" s="417" t="s">
        <v>686</v>
      </c>
      <c r="E691">
        <v>1304.6731666666701</v>
      </c>
      <c r="F691">
        <v>50</v>
      </c>
      <c r="G691">
        <v>26.0934633333333</v>
      </c>
      <c r="H691">
        <v>51.359266666666699</v>
      </c>
      <c r="I691">
        <v>15.4564081374614</v>
      </c>
    </row>
    <row r="692" spans="1:9" x14ac:dyDescent="0.35">
      <c r="A692" s="417" t="s">
        <v>846</v>
      </c>
      <c r="B692" s="417" t="s">
        <v>680</v>
      </c>
      <c r="C692" s="83">
        <v>46229</v>
      </c>
      <c r="D692" s="417" t="s">
        <v>689</v>
      </c>
      <c r="E692">
        <v>1396.4159999999999</v>
      </c>
      <c r="F692">
        <v>50</v>
      </c>
      <c r="G692">
        <v>27.928319999999999</v>
      </c>
      <c r="H692">
        <v>3.5919500000000002</v>
      </c>
      <c r="I692">
        <v>57.9787994018658</v>
      </c>
    </row>
    <row r="693" spans="1:9" x14ac:dyDescent="0.35">
      <c r="A693" s="417" t="s">
        <v>846</v>
      </c>
      <c r="B693" s="417" t="s">
        <v>680</v>
      </c>
      <c r="C693" s="83">
        <v>46229</v>
      </c>
      <c r="D693" s="417" t="s">
        <v>684</v>
      </c>
      <c r="E693">
        <v>1397.7075666666699</v>
      </c>
      <c r="F693">
        <v>37</v>
      </c>
      <c r="G693">
        <v>37.775880180180202</v>
      </c>
      <c r="H693">
        <v>15.3736333333333</v>
      </c>
      <c r="I693">
        <v>48.384211804606899</v>
      </c>
    </row>
    <row r="694" spans="1:9" x14ac:dyDescent="0.35">
      <c r="A694" s="417" t="s">
        <v>846</v>
      </c>
      <c r="B694" s="417" t="s">
        <v>680</v>
      </c>
      <c r="C694" s="83">
        <v>46229</v>
      </c>
      <c r="D694" s="417" t="s">
        <v>682</v>
      </c>
      <c r="E694">
        <v>1396.5569333333301</v>
      </c>
      <c r="F694">
        <v>22</v>
      </c>
      <c r="G694">
        <v>63.479860606060598</v>
      </c>
      <c r="H694">
        <v>22.32865</v>
      </c>
      <c r="I694">
        <v>46.245748907319303</v>
      </c>
    </row>
    <row r="695" spans="1:9" x14ac:dyDescent="0.35">
      <c r="A695" s="417" t="s">
        <v>846</v>
      </c>
      <c r="B695" s="417" t="s">
        <v>680</v>
      </c>
      <c r="C695" s="83">
        <v>46229</v>
      </c>
      <c r="D695" s="417" t="s">
        <v>690</v>
      </c>
      <c r="E695">
        <v>1312.3015666666699</v>
      </c>
      <c r="F695">
        <v>7</v>
      </c>
      <c r="G695">
        <v>187.47165238095201</v>
      </c>
      <c r="H695">
        <v>2.3477000000000001</v>
      </c>
      <c r="I695">
        <v>21.890897104412801</v>
      </c>
    </row>
    <row r="696" spans="1:9" x14ac:dyDescent="0.35">
      <c r="A696" s="417" t="s">
        <v>846</v>
      </c>
      <c r="B696" s="417" t="s">
        <v>680</v>
      </c>
      <c r="C696" s="83">
        <v>46229</v>
      </c>
      <c r="D696" s="417" t="s">
        <v>685</v>
      </c>
      <c r="E696">
        <v>1428.2609</v>
      </c>
      <c r="F696">
        <v>7</v>
      </c>
      <c r="G696">
        <v>204.03727142857099</v>
      </c>
      <c r="H696">
        <v>5.1303999999999998</v>
      </c>
      <c r="I696">
        <v>56.779946206088702</v>
      </c>
    </row>
    <row r="697" spans="1:9" x14ac:dyDescent="0.35">
      <c r="A697" s="417" t="s">
        <v>846</v>
      </c>
      <c r="B697" s="417" t="s">
        <v>676</v>
      </c>
      <c r="C697" s="83">
        <v>46228</v>
      </c>
      <c r="D697" s="417" t="s">
        <v>677</v>
      </c>
      <c r="E697">
        <v>1109.24696666667</v>
      </c>
      <c r="F697">
        <v>126</v>
      </c>
      <c r="G697">
        <v>8.8035473544973506</v>
      </c>
      <c r="H697">
        <v>55.158366666666701</v>
      </c>
      <c r="I697">
        <v>25.5413888888889</v>
      </c>
    </row>
    <row r="698" spans="1:9" x14ac:dyDescent="0.35">
      <c r="A698" s="417" t="s">
        <v>846</v>
      </c>
      <c r="B698" s="417" t="s">
        <v>676</v>
      </c>
      <c r="C698" s="83">
        <v>46228</v>
      </c>
      <c r="D698" s="417" t="s">
        <v>678</v>
      </c>
      <c r="E698">
        <v>1348.19726666667</v>
      </c>
      <c r="F698">
        <v>24</v>
      </c>
      <c r="G698">
        <v>56.1748861111111</v>
      </c>
      <c r="H698">
        <v>15.8237166666667</v>
      </c>
      <c r="I698">
        <v>69.191212938030802</v>
      </c>
    </row>
    <row r="699" spans="1:9" x14ac:dyDescent="0.35">
      <c r="A699" s="417" t="s">
        <v>846</v>
      </c>
      <c r="B699" s="417" t="s">
        <v>676</v>
      </c>
      <c r="C699" s="83">
        <v>46228</v>
      </c>
      <c r="D699" s="417" t="s">
        <v>679</v>
      </c>
      <c r="E699">
        <v>1103.62565</v>
      </c>
      <c r="F699">
        <v>10</v>
      </c>
      <c r="G699">
        <v>110.362565</v>
      </c>
      <c r="H699">
        <v>3.5406833333333299</v>
      </c>
      <c r="I699">
        <v>18.048778578587601</v>
      </c>
    </row>
    <row r="700" spans="1:9" x14ac:dyDescent="0.35">
      <c r="A700" s="417" t="s">
        <v>846</v>
      </c>
      <c r="B700" s="417" t="s">
        <v>680</v>
      </c>
      <c r="C700" s="83">
        <v>46228</v>
      </c>
      <c r="D700" s="417" t="s">
        <v>683</v>
      </c>
      <c r="E700">
        <v>905.25431666666702</v>
      </c>
      <c r="F700">
        <v>47</v>
      </c>
      <c r="G700">
        <v>19.260730141844</v>
      </c>
      <c r="H700">
        <v>0.61503333333333299</v>
      </c>
      <c r="I700">
        <v>50.101973730000701</v>
      </c>
    </row>
    <row r="701" spans="1:9" x14ac:dyDescent="0.35">
      <c r="A701" s="417" t="s">
        <v>846</v>
      </c>
      <c r="B701" s="417" t="s">
        <v>680</v>
      </c>
      <c r="C701" s="83">
        <v>46228</v>
      </c>
      <c r="D701" s="417" t="s">
        <v>689</v>
      </c>
      <c r="E701">
        <v>898.60763333333296</v>
      </c>
      <c r="F701">
        <v>31</v>
      </c>
      <c r="G701">
        <v>28.987343010752699</v>
      </c>
      <c r="H701">
        <v>0.84824999999999995</v>
      </c>
      <c r="I701">
        <v>47.139692078403797</v>
      </c>
    </row>
    <row r="702" spans="1:9" x14ac:dyDescent="0.35">
      <c r="A702" s="417" t="s">
        <v>846</v>
      </c>
      <c r="B702" s="417" t="s">
        <v>680</v>
      </c>
      <c r="C702" s="83">
        <v>46228</v>
      </c>
      <c r="D702" s="417" t="s">
        <v>686</v>
      </c>
      <c r="E702">
        <v>833.87366666666696</v>
      </c>
      <c r="F702">
        <v>27</v>
      </c>
      <c r="G702">
        <v>30.884209876543199</v>
      </c>
      <c r="H702">
        <v>19.426133333333301</v>
      </c>
      <c r="I702">
        <v>16.0636892885043</v>
      </c>
    </row>
    <row r="703" spans="1:9" x14ac:dyDescent="0.35">
      <c r="A703" s="417" t="s">
        <v>846</v>
      </c>
      <c r="B703" s="417" t="s">
        <v>680</v>
      </c>
      <c r="C703" s="83">
        <v>46228</v>
      </c>
      <c r="D703" s="417" t="s">
        <v>687</v>
      </c>
      <c r="E703">
        <v>945.42228333333298</v>
      </c>
      <c r="F703">
        <v>23</v>
      </c>
      <c r="G703">
        <v>41.105316666666702</v>
      </c>
      <c r="H703">
        <v>7.5398666666666703</v>
      </c>
      <c r="I703">
        <v>16.1586113084816</v>
      </c>
    </row>
    <row r="704" spans="1:9" x14ac:dyDescent="0.35">
      <c r="A704" s="417" t="s">
        <v>846</v>
      </c>
      <c r="B704" s="417" t="s">
        <v>680</v>
      </c>
      <c r="C704" s="83">
        <v>46228</v>
      </c>
      <c r="D704" s="417" t="s">
        <v>681</v>
      </c>
      <c r="E704">
        <v>848.79359999999997</v>
      </c>
      <c r="F704">
        <v>21</v>
      </c>
      <c r="G704">
        <v>40.418742857142902</v>
      </c>
      <c r="H704">
        <v>0</v>
      </c>
      <c r="I704">
        <v>51.108979401219898</v>
      </c>
    </row>
    <row r="705" spans="1:9" x14ac:dyDescent="0.35">
      <c r="A705" s="417" t="s">
        <v>846</v>
      </c>
      <c r="B705" s="417" t="s">
        <v>680</v>
      </c>
      <c r="C705" s="83">
        <v>46228</v>
      </c>
      <c r="D705" s="417" t="s">
        <v>684</v>
      </c>
      <c r="E705">
        <v>919.59844999999996</v>
      </c>
      <c r="F705">
        <v>12</v>
      </c>
      <c r="G705">
        <v>76.633204166666701</v>
      </c>
      <c r="H705">
        <v>7.5437333333333303</v>
      </c>
      <c r="I705">
        <v>40.8078153468905</v>
      </c>
    </row>
    <row r="706" spans="1:9" x14ac:dyDescent="0.35">
      <c r="A706" s="417" t="s">
        <v>846</v>
      </c>
      <c r="B706" s="417" t="s">
        <v>680</v>
      </c>
      <c r="C706" s="83">
        <v>46228</v>
      </c>
      <c r="D706" s="417" t="s">
        <v>688</v>
      </c>
      <c r="E706">
        <v>952.43543333333298</v>
      </c>
      <c r="F706">
        <v>10</v>
      </c>
      <c r="G706">
        <v>95.243543333333307</v>
      </c>
      <c r="H706">
        <v>1.2156</v>
      </c>
      <c r="I706">
        <v>44.5108246540319</v>
      </c>
    </row>
    <row r="707" spans="1:9" x14ac:dyDescent="0.35">
      <c r="A707" s="417" t="s">
        <v>846</v>
      </c>
      <c r="B707" s="417" t="s">
        <v>680</v>
      </c>
      <c r="C707" s="83">
        <v>46228</v>
      </c>
      <c r="D707" s="417" t="s">
        <v>682</v>
      </c>
      <c r="E707">
        <v>951.62518333333298</v>
      </c>
      <c r="F707">
        <v>9</v>
      </c>
      <c r="G707">
        <v>105.736131481481</v>
      </c>
      <c r="H707">
        <v>8.0411999999999999</v>
      </c>
      <c r="I707">
        <v>39.188988095238102</v>
      </c>
    </row>
    <row r="708" spans="1:9" x14ac:dyDescent="0.35">
      <c r="A708" s="417" t="s">
        <v>846</v>
      </c>
      <c r="B708" s="417" t="s">
        <v>680</v>
      </c>
      <c r="C708" s="83">
        <v>46228</v>
      </c>
      <c r="D708" s="417" t="s">
        <v>685</v>
      </c>
      <c r="E708">
        <v>953.13001666666696</v>
      </c>
      <c r="F708">
        <v>6</v>
      </c>
      <c r="G708">
        <v>158.855002777778</v>
      </c>
      <c r="H708">
        <v>2.01373333333333</v>
      </c>
      <c r="I708">
        <v>44.983397128598298</v>
      </c>
    </row>
    <row r="709" spans="1:9" x14ac:dyDescent="0.35">
      <c r="A709" s="417" t="s">
        <v>846</v>
      </c>
      <c r="B709" s="417" t="s">
        <v>680</v>
      </c>
      <c r="C709" s="83">
        <v>46228</v>
      </c>
      <c r="D709" s="417" t="s">
        <v>690</v>
      </c>
      <c r="E709">
        <v>955.24914999999999</v>
      </c>
      <c r="F709">
        <v>5</v>
      </c>
      <c r="G709">
        <v>191.04982999999999</v>
      </c>
      <c r="H709">
        <v>2.5153166666666702</v>
      </c>
      <c r="I709">
        <v>36.824175121894903</v>
      </c>
    </row>
    <row r="710" spans="1:9" x14ac:dyDescent="0.35">
      <c r="A710" s="417" t="s">
        <v>846</v>
      </c>
      <c r="B710" s="417" t="s">
        <v>676</v>
      </c>
      <c r="C710" s="83">
        <v>46227</v>
      </c>
      <c r="D710" s="417" t="s">
        <v>677</v>
      </c>
      <c r="E710">
        <v>1358.8142499999999</v>
      </c>
      <c r="F710">
        <v>179</v>
      </c>
      <c r="G710">
        <v>7.5911410614525101</v>
      </c>
      <c r="H710">
        <v>81.185749999999999</v>
      </c>
      <c r="I710">
        <v>30.536111111111101</v>
      </c>
    </row>
    <row r="711" spans="1:9" x14ac:dyDescent="0.35">
      <c r="A711" s="417" t="s">
        <v>846</v>
      </c>
      <c r="B711" s="417" t="s">
        <v>676</v>
      </c>
      <c r="C711" s="83">
        <v>46227</v>
      </c>
      <c r="D711" s="417" t="s">
        <v>678</v>
      </c>
      <c r="E711">
        <v>1312.5701833333301</v>
      </c>
      <c r="F711">
        <v>66</v>
      </c>
      <c r="G711">
        <v>19.887427020202001</v>
      </c>
      <c r="H711">
        <v>82.013599999999997</v>
      </c>
      <c r="I711">
        <v>96.859006690251803</v>
      </c>
    </row>
    <row r="712" spans="1:9" x14ac:dyDescent="0.35">
      <c r="A712" s="417" t="s">
        <v>846</v>
      </c>
      <c r="B712" s="417" t="s">
        <v>676</v>
      </c>
      <c r="C712" s="83">
        <v>46227</v>
      </c>
      <c r="D712" s="417" t="s">
        <v>679</v>
      </c>
      <c r="E712">
        <v>1410.4807499999999</v>
      </c>
      <c r="F712">
        <v>14</v>
      </c>
      <c r="G712">
        <v>100.748625</v>
      </c>
      <c r="H712">
        <v>4.6744166666666702</v>
      </c>
      <c r="I712">
        <v>1.1847935167533701</v>
      </c>
    </row>
    <row r="713" spans="1:9" x14ac:dyDescent="0.35">
      <c r="A713" s="417" t="s">
        <v>846</v>
      </c>
      <c r="B713" s="417" t="s">
        <v>680</v>
      </c>
      <c r="C713" s="83">
        <v>46227</v>
      </c>
      <c r="D713" s="417" t="s">
        <v>683</v>
      </c>
      <c r="E713">
        <v>1371.83778333333</v>
      </c>
      <c r="F713">
        <v>82</v>
      </c>
      <c r="G713">
        <v>16.729729065040701</v>
      </c>
      <c r="H713">
        <v>2.0210499999999998</v>
      </c>
      <c r="I713">
        <v>70.043622739508294</v>
      </c>
    </row>
    <row r="714" spans="1:9" x14ac:dyDescent="0.35">
      <c r="A714" s="417" t="s">
        <v>846</v>
      </c>
      <c r="B714" s="417" t="s">
        <v>680</v>
      </c>
      <c r="C714" s="83">
        <v>46227</v>
      </c>
      <c r="D714" s="417" t="s">
        <v>689</v>
      </c>
      <c r="E714">
        <v>1374.93311666667</v>
      </c>
      <c r="F714">
        <v>77</v>
      </c>
      <c r="G714">
        <v>17.856274242424199</v>
      </c>
      <c r="H714">
        <v>1.1675833333333301</v>
      </c>
      <c r="I714">
        <v>87.670657976207593</v>
      </c>
    </row>
    <row r="715" spans="1:9" x14ac:dyDescent="0.35">
      <c r="A715" s="417" t="s">
        <v>846</v>
      </c>
      <c r="B715" s="417" t="s">
        <v>680</v>
      </c>
      <c r="C715" s="83">
        <v>46227</v>
      </c>
      <c r="D715" s="417" t="s">
        <v>684</v>
      </c>
      <c r="E715">
        <v>1378.64253333333</v>
      </c>
      <c r="F715">
        <v>58</v>
      </c>
      <c r="G715">
        <v>23.769698850574699</v>
      </c>
      <c r="H715">
        <v>29.518000000000001</v>
      </c>
      <c r="I715">
        <v>80.626360288237294</v>
      </c>
    </row>
    <row r="716" spans="1:9" x14ac:dyDescent="0.35">
      <c r="A716" s="417" t="s">
        <v>846</v>
      </c>
      <c r="B716" s="417" t="s">
        <v>680</v>
      </c>
      <c r="C716" s="83">
        <v>46227</v>
      </c>
      <c r="D716" s="417" t="s">
        <v>681</v>
      </c>
      <c r="E716">
        <v>1402.7872500000001</v>
      </c>
      <c r="F716">
        <v>54</v>
      </c>
      <c r="G716">
        <v>25.977541666666699</v>
      </c>
      <c r="H716">
        <v>0.49213333333333298</v>
      </c>
      <c r="I716">
        <v>89.189175345790801</v>
      </c>
    </row>
    <row r="717" spans="1:9" x14ac:dyDescent="0.35">
      <c r="A717" s="417" t="s">
        <v>846</v>
      </c>
      <c r="B717" s="417" t="s">
        <v>680</v>
      </c>
      <c r="C717" s="83">
        <v>46227</v>
      </c>
      <c r="D717" s="417" t="s">
        <v>686</v>
      </c>
      <c r="E717">
        <v>1363.7356666666701</v>
      </c>
      <c r="F717">
        <v>53</v>
      </c>
      <c r="G717">
        <v>25.730861635220101</v>
      </c>
      <c r="H717">
        <v>38.089316666666697</v>
      </c>
      <c r="I717">
        <v>34.846135494843601</v>
      </c>
    </row>
    <row r="718" spans="1:9" x14ac:dyDescent="0.35">
      <c r="A718" s="417" t="s">
        <v>846</v>
      </c>
      <c r="B718" s="417" t="s">
        <v>680</v>
      </c>
      <c r="C718" s="83">
        <v>46227</v>
      </c>
      <c r="D718" s="417" t="s">
        <v>687</v>
      </c>
      <c r="E718">
        <v>1401.9613999999999</v>
      </c>
      <c r="F718">
        <v>26</v>
      </c>
      <c r="G718">
        <v>53.9215923076923</v>
      </c>
      <c r="H718">
        <v>23.104433333333301</v>
      </c>
      <c r="I718">
        <v>38.538180594775604</v>
      </c>
    </row>
    <row r="719" spans="1:9" x14ac:dyDescent="0.35">
      <c r="A719" s="417" t="s">
        <v>846</v>
      </c>
      <c r="B719" s="417" t="s">
        <v>680</v>
      </c>
      <c r="C719" s="83">
        <v>46227</v>
      </c>
      <c r="D719" s="417" t="s">
        <v>688</v>
      </c>
      <c r="E719">
        <v>1362.83678333333</v>
      </c>
      <c r="F719">
        <v>23</v>
      </c>
      <c r="G719">
        <v>59.253773188405802</v>
      </c>
      <c r="H719">
        <v>7.9958</v>
      </c>
      <c r="I719">
        <v>88.676915106687005</v>
      </c>
    </row>
    <row r="720" spans="1:9" x14ac:dyDescent="0.35">
      <c r="A720" s="417" t="s">
        <v>846</v>
      </c>
      <c r="B720" s="417" t="s">
        <v>680</v>
      </c>
      <c r="C720" s="83">
        <v>46227</v>
      </c>
      <c r="D720" s="417" t="s">
        <v>685</v>
      </c>
      <c r="E720">
        <v>1412.5651499999999</v>
      </c>
      <c r="F720">
        <v>20</v>
      </c>
      <c r="G720">
        <v>70.628257500000004</v>
      </c>
      <c r="H720">
        <v>8.3821499999999993</v>
      </c>
      <c r="I720">
        <v>86.179957152420798</v>
      </c>
    </row>
    <row r="721" spans="1:9" x14ac:dyDescent="0.35">
      <c r="A721" s="417" t="s">
        <v>846</v>
      </c>
      <c r="B721" s="417" t="s">
        <v>680</v>
      </c>
      <c r="C721" s="83">
        <v>46227</v>
      </c>
      <c r="D721" s="417" t="s">
        <v>690</v>
      </c>
      <c r="E721">
        <v>1411.13016666667</v>
      </c>
      <c r="F721">
        <v>12</v>
      </c>
      <c r="G721">
        <v>117.59418055555599</v>
      </c>
      <c r="H721">
        <v>5.3331</v>
      </c>
      <c r="I721">
        <v>67.853442438397295</v>
      </c>
    </row>
    <row r="722" spans="1:9" x14ac:dyDescent="0.35">
      <c r="A722" s="417" t="s">
        <v>846</v>
      </c>
      <c r="B722" s="417" t="s">
        <v>680</v>
      </c>
      <c r="C722" s="83">
        <v>46227</v>
      </c>
      <c r="D722" s="417" t="s">
        <v>682</v>
      </c>
      <c r="E722">
        <v>1366.6468833333299</v>
      </c>
      <c r="F722">
        <v>12</v>
      </c>
      <c r="G722">
        <v>113.88724027777801</v>
      </c>
      <c r="H722">
        <v>7.4684499999999998</v>
      </c>
      <c r="I722">
        <v>78.286921103559706</v>
      </c>
    </row>
    <row r="723" spans="1:9" x14ac:dyDescent="0.35">
      <c r="A723" s="417" t="s">
        <v>846</v>
      </c>
      <c r="B723" s="417" t="s">
        <v>676</v>
      </c>
      <c r="C723" s="83">
        <v>46226</v>
      </c>
      <c r="D723" s="417" t="s">
        <v>677</v>
      </c>
      <c r="E723">
        <v>939.239916666667</v>
      </c>
      <c r="F723">
        <v>180</v>
      </c>
      <c r="G723">
        <v>5.2179995370370396</v>
      </c>
      <c r="H723">
        <v>160.50083333333299</v>
      </c>
      <c r="I723">
        <v>17.746944444444399</v>
      </c>
    </row>
    <row r="724" spans="1:9" x14ac:dyDescent="0.35">
      <c r="A724" s="417" t="s">
        <v>846</v>
      </c>
      <c r="B724" s="417" t="s">
        <v>676</v>
      </c>
      <c r="C724" s="83">
        <v>46226</v>
      </c>
      <c r="D724" s="417" t="s">
        <v>678</v>
      </c>
      <c r="E724">
        <v>1098.59241666667</v>
      </c>
      <c r="F724">
        <v>52</v>
      </c>
      <c r="G724">
        <v>21.1267772435897</v>
      </c>
      <c r="H724">
        <v>62.19115</v>
      </c>
      <c r="I724">
        <v>68.039439325525606</v>
      </c>
    </row>
    <row r="725" spans="1:9" x14ac:dyDescent="0.35">
      <c r="A725" s="417" t="s">
        <v>846</v>
      </c>
      <c r="B725" s="417" t="s">
        <v>676</v>
      </c>
      <c r="C725" s="83">
        <v>46226</v>
      </c>
      <c r="D725" s="417" t="s">
        <v>679</v>
      </c>
      <c r="E725">
        <v>1402.65611666667</v>
      </c>
      <c r="F725">
        <v>13</v>
      </c>
      <c r="G725">
        <v>107.89662435897399</v>
      </c>
      <c r="H725">
        <v>7.1670499999999997</v>
      </c>
      <c r="I725">
        <v>34.678107975480202</v>
      </c>
    </row>
    <row r="726" spans="1:9" x14ac:dyDescent="0.35">
      <c r="A726" s="417" t="s">
        <v>846</v>
      </c>
      <c r="B726" s="417" t="s">
        <v>680</v>
      </c>
      <c r="C726" s="83">
        <v>46226</v>
      </c>
      <c r="D726" s="417" t="s">
        <v>689</v>
      </c>
      <c r="E726">
        <v>1370.20276666667</v>
      </c>
      <c r="F726">
        <v>52</v>
      </c>
      <c r="G726">
        <v>26.350053205128201</v>
      </c>
      <c r="H726">
        <v>5.5066333333333297</v>
      </c>
      <c r="I726">
        <v>85.578744376998799</v>
      </c>
    </row>
    <row r="727" spans="1:9" x14ac:dyDescent="0.35">
      <c r="A727" s="417" t="s">
        <v>846</v>
      </c>
      <c r="B727" s="417" t="s">
        <v>680</v>
      </c>
      <c r="C727" s="83">
        <v>46226</v>
      </c>
      <c r="D727" s="417" t="s">
        <v>681</v>
      </c>
      <c r="E727">
        <v>1401.3362</v>
      </c>
      <c r="F727">
        <v>39</v>
      </c>
      <c r="G727">
        <v>35.931697435897398</v>
      </c>
      <c r="H727">
        <v>0.68230000000000002</v>
      </c>
      <c r="I727">
        <v>88.988420327566004</v>
      </c>
    </row>
    <row r="728" spans="1:9" x14ac:dyDescent="0.35">
      <c r="A728" s="417" t="s">
        <v>846</v>
      </c>
      <c r="B728" s="417" t="s">
        <v>680</v>
      </c>
      <c r="C728" s="83">
        <v>46226</v>
      </c>
      <c r="D728" s="417" t="s">
        <v>686</v>
      </c>
      <c r="E728">
        <v>1358.7761333333301</v>
      </c>
      <c r="F728">
        <v>38</v>
      </c>
      <c r="G728">
        <v>35.757266666666702</v>
      </c>
      <c r="H728">
        <v>35.371266666666699</v>
      </c>
      <c r="I728">
        <v>30.166927010115899</v>
      </c>
    </row>
    <row r="729" spans="1:9" x14ac:dyDescent="0.35">
      <c r="A729" s="417" t="s">
        <v>846</v>
      </c>
      <c r="B729" s="417" t="s">
        <v>680</v>
      </c>
      <c r="C729" s="83">
        <v>46226</v>
      </c>
      <c r="D729" s="417" t="s">
        <v>684</v>
      </c>
      <c r="E729">
        <v>1393.4911999999999</v>
      </c>
      <c r="F729">
        <v>34</v>
      </c>
      <c r="G729">
        <v>40.985035294117601</v>
      </c>
      <c r="H729">
        <v>28.181083333333302</v>
      </c>
      <c r="I729">
        <v>77.172684515971994</v>
      </c>
    </row>
    <row r="730" spans="1:9" x14ac:dyDescent="0.35">
      <c r="A730" s="417" t="s">
        <v>846</v>
      </c>
      <c r="B730" s="417" t="s">
        <v>680</v>
      </c>
      <c r="C730" s="83">
        <v>46226</v>
      </c>
      <c r="D730" s="417" t="s">
        <v>683</v>
      </c>
      <c r="E730">
        <v>1406.9708166666701</v>
      </c>
      <c r="F730">
        <v>30</v>
      </c>
      <c r="G730">
        <v>46.899027222222202</v>
      </c>
      <c r="H730">
        <v>4.9961833333333301</v>
      </c>
      <c r="I730">
        <v>74.466162468921993</v>
      </c>
    </row>
    <row r="731" spans="1:9" x14ac:dyDescent="0.35">
      <c r="A731" s="417" t="s">
        <v>846</v>
      </c>
      <c r="B731" s="417" t="s">
        <v>680</v>
      </c>
      <c r="C731" s="83">
        <v>46226</v>
      </c>
      <c r="D731" s="417" t="s">
        <v>690</v>
      </c>
      <c r="E731">
        <v>1378.01395</v>
      </c>
      <c r="F731">
        <v>28</v>
      </c>
      <c r="G731">
        <v>49.2147839285714</v>
      </c>
      <c r="H731">
        <v>26.512699999999999</v>
      </c>
      <c r="I731">
        <v>72.572527095162002</v>
      </c>
    </row>
    <row r="732" spans="1:9" x14ac:dyDescent="0.35">
      <c r="A732" s="417" t="s">
        <v>846</v>
      </c>
      <c r="B732" s="417" t="s">
        <v>680</v>
      </c>
      <c r="C732" s="83">
        <v>46226</v>
      </c>
      <c r="D732" s="417" t="s">
        <v>685</v>
      </c>
      <c r="E732">
        <v>1398.6823833333301</v>
      </c>
      <c r="F732">
        <v>26</v>
      </c>
      <c r="G732">
        <v>53.795476282051297</v>
      </c>
      <c r="H732">
        <v>7.3503999999999996</v>
      </c>
      <c r="I732">
        <v>80.318752088969106</v>
      </c>
    </row>
    <row r="733" spans="1:9" x14ac:dyDescent="0.35">
      <c r="A733" s="417" t="s">
        <v>846</v>
      </c>
      <c r="B733" s="417" t="s">
        <v>680</v>
      </c>
      <c r="C733" s="83">
        <v>46226</v>
      </c>
      <c r="D733" s="417" t="s">
        <v>682</v>
      </c>
      <c r="E733">
        <v>1412.95516666667</v>
      </c>
      <c r="F733">
        <v>24</v>
      </c>
      <c r="G733">
        <v>58.873131944444403</v>
      </c>
      <c r="H733">
        <v>14.8410166666667</v>
      </c>
      <c r="I733">
        <v>76.335739962749301</v>
      </c>
    </row>
    <row r="734" spans="1:9" x14ac:dyDescent="0.35">
      <c r="A734" s="417" t="s">
        <v>846</v>
      </c>
      <c r="B734" s="417" t="s">
        <v>680</v>
      </c>
      <c r="C734" s="83">
        <v>46226</v>
      </c>
      <c r="D734" s="417" t="s">
        <v>687</v>
      </c>
      <c r="E734">
        <v>1422.3190999999999</v>
      </c>
      <c r="F734">
        <v>16</v>
      </c>
      <c r="G734">
        <v>88.894943749999996</v>
      </c>
      <c r="H734">
        <v>14.668049999999999</v>
      </c>
      <c r="I734">
        <v>35.5713747792446</v>
      </c>
    </row>
    <row r="735" spans="1:9" x14ac:dyDescent="0.35">
      <c r="A735" s="417" t="s">
        <v>846</v>
      </c>
      <c r="B735" s="417" t="s">
        <v>680</v>
      </c>
      <c r="C735" s="83">
        <v>46226</v>
      </c>
      <c r="D735" s="417" t="s">
        <v>688</v>
      </c>
      <c r="E735">
        <v>1423.51325</v>
      </c>
      <c r="F735">
        <v>12</v>
      </c>
      <c r="G735">
        <v>118.62610416666701</v>
      </c>
      <c r="H735">
        <v>0.83423333333333305</v>
      </c>
      <c r="I735">
        <v>86.933729759851502</v>
      </c>
    </row>
    <row r="736" spans="1:9" x14ac:dyDescent="0.35">
      <c r="A736" s="417" t="s">
        <v>846</v>
      </c>
      <c r="B736" s="417" t="s">
        <v>676</v>
      </c>
      <c r="C736" s="83">
        <v>46225</v>
      </c>
      <c r="D736" s="417" t="s">
        <v>677</v>
      </c>
      <c r="E736">
        <v>1118.19951666667</v>
      </c>
      <c r="F736">
        <v>147</v>
      </c>
      <c r="G736">
        <v>7.6067994331065796</v>
      </c>
      <c r="H736">
        <v>92.3456166666667</v>
      </c>
      <c r="I736">
        <v>23.339722222222299</v>
      </c>
    </row>
    <row r="737" spans="1:9" x14ac:dyDescent="0.35">
      <c r="A737" s="417" t="s">
        <v>846</v>
      </c>
      <c r="B737" s="417" t="s">
        <v>676</v>
      </c>
      <c r="C737" s="83">
        <v>46225</v>
      </c>
      <c r="D737" s="417" t="s">
        <v>678</v>
      </c>
      <c r="E737">
        <v>919.43163333333302</v>
      </c>
      <c r="F737">
        <v>34</v>
      </c>
      <c r="G737">
        <v>27.042106862745101</v>
      </c>
      <c r="H737">
        <v>44.728716666666699</v>
      </c>
      <c r="I737">
        <v>39.985092926504002</v>
      </c>
    </row>
    <row r="738" spans="1:9" x14ac:dyDescent="0.35">
      <c r="A738" s="417" t="s">
        <v>846</v>
      </c>
      <c r="B738" s="417" t="s">
        <v>676</v>
      </c>
      <c r="C738" s="83">
        <v>46225</v>
      </c>
      <c r="D738" s="417" t="s">
        <v>679</v>
      </c>
      <c r="E738">
        <v>1088.66556666667</v>
      </c>
      <c r="F738">
        <v>12</v>
      </c>
      <c r="G738">
        <v>90.722130555555594</v>
      </c>
      <c r="H738">
        <v>24.6765333333333</v>
      </c>
      <c r="I738">
        <v>45.841555199730003</v>
      </c>
    </row>
    <row r="739" spans="1:9" x14ac:dyDescent="0.35">
      <c r="A739" s="417" t="s">
        <v>846</v>
      </c>
      <c r="B739" s="417" t="s">
        <v>680</v>
      </c>
      <c r="C739" s="83">
        <v>46225</v>
      </c>
      <c r="D739" s="417" t="s">
        <v>684</v>
      </c>
      <c r="E739">
        <v>1381.7112999999999</v>
      </c>
      <c r="F739">
        <v>62</v>
      </c>
      <c r="G739">
        <v>22.2856661290323</v>
      </c>
      <c r="H739">
        <v>33.098550000000003</v>
      </c>
      <c r="I739">
        <v>64.757632778333203</v>
      </c>
    </row>
    <row r="740" spans="1:9" x14ac:dyDescent="0.35">
      <c r="A740" s="417" t="s">
        <v>846</v>
      </c>
      <c r="B740" s="417" t="s">
        <v>680</v>
      </c>
      <c r="C740" s="83">
        <v>46225</v>
      </c>
      <c r="D740" s="417" t="s">
        <v>686</v>
      </c>
      <c r="E740">
        <v>1330.2254166666701</v>
      </c>
      <c r="F740">
        <v>56</v>
      </c>
      <c r="G740">
        <v>23.754025297618998</v>
      </c>
      <c r="H740">
        <v>60.968899999999998</v>
      </c>
      <c r="I740">
        <v>36.450773569150002</v>
      </c>
    </row>
    <row r="741" spans="1:9" x14ac:dyDescent="0.35">
      <c r="A741" s="417" t="s">
        <v>846</v>
      </c>
      <c r="B741" s="417" t="s">
        <v>680</v>
      </c>
      <c r="C741" s="83">
        <v>46225</v>
      </c>
      <c r="D741" s="417" t="s">
        <v>689</v>
      </c>
      <c r="E741">
        <v>1351.79081666667</v>
      </c>
      <c r="F741">
        <v>52</v>
      </c>
      <c r="G741">
        <v>25.995977243589799</v>
      </c>
      <c r="H741">
        <v>2.6573500000000001</v>
      </c>
      <c r="I741">
        <v>86.553136641437405</v>
      </c>
    </row>
    <row r="742" spans="1:9" x14ac:dyDescent="0.35">
      <c r="A742" s="417" t="s">
        <v>846</v>
      </c>
      <c r="B742" s="417" t="s">
        <v>680</v>
      </c>
      <c r="C742" s="83">
        <v>46225</v>
      </c>
      <c r="D742" s="417" t="s">
        <v>683</v>
      </c>
      <c r="E742">
        <v>1388.67581666667</v>
      </c>
      <c r="F742">
        <v>50</v>
      </c>
      <c r="G742">
        <v>27.773516333333301</v>
      </c>
      <c r="H742">
        <v>1.17408333333333</v>
      </c>
      <c r="I742">
        <v>76.382123850024698</v>
      </c>
    </row>
    <row r="743" spans="1:9" x14ac:dyDescent="0.35">
      <c r="A743" s="417" t="s">
        <v>846</v>
      </c>
      <c r="B743" s="417" t="s">
        <v>680</v>
      </c>
      <c r="C743" s="83">
        <v>46225</v>
      </c>
      <c r="D743" s="417" t="s">
        <v>682</v>
      </c>
      <c r="E743">
        <v>1306.0386166666699</v>
      </c>
      <c r="F743">
        <v>33</v>
      </c>
      <c r="G743">
        <v>39.576927777777797</v>
      </c>
      <c r="H743">
        <v>34.1525166666666</v>
      </c>
      <c r="I743">
        <v>61.300631664832501</v>
      </c>
    </row>
    <row r="744" spans="1:9" x14ac:dyDescent="0.35">
      <c r="A744" s="417" t="s">
        <v>846</v>
      </c>
      <c r="B744" s="417" t="s">
        <v>680</v>
      </c>
      <c r="C744" s="83">
        <v>46225</v>
      </c>
      <c r="D744" s="417" t="s">
        <v>681</v>
      </c>
      <c r="E744">
        <v>1420.0271</v>
      </c>
      <c r="F744">
        <v>28</v>
      </c>
      <c r="G744">
        <v>50.715253571428597</v>
      </c>
      <c r="H744">
        <v>0.65881666666666705</v>
      </c>
      <c r="I744">
        <v>88.764320045068203</v>
      </c>
    </row>
    <row r="745" spans="1:9" x14ac:dyDescent="0.35">
      <c r="A745" s="417" t="s">
        <v>846</v>
      </c>
      <c r="B745" s="417" t="s">
        <v>680</v>
      </c>
      <c r="C745" s="83">
        <v>46225</v>
      </c>
      <c r="D745" s="417" t="s">
        <v>687</v>
      </c>
      <c r="E745">
        <v>1403.79113333333</v>
      </c>
      <c r="F745">
        <v>26</v>
      </c>
      <c r="G745">
        <v>53.991966666666698</v>
      </c>
      <c r="H745">
        <v>18.675083333333301</v>
      </c>
      <c r="I745">
        <v>40.943682604627497</v>
      </c>
    </row>
    <row r="746" spans="1:9" x14ac:dyDescent="0.35">
      <c r="A746" s="417" t="s">
        <v>846</v>
      </c>
      <c r="B746" s="417" t="s">
        <v>680</v>
      </c>
      <c r="C746" s="83">
        <v>46225</v>
      </c>
      <c r="D746" s="417" t="s">
        <v>685</v>
      </c>
      <c r="E746">
        <v>1377.4867999999999</v>
      </c>
      <c r="F746">
        <v>20</v>
      </c>
      <c r="G746">
        <v>68.874340000000004</v>
      </c>
      <c r="H746">
        <v>5.3253166666666703</v>
      </c>
      <c r="I746">
        <v>81.3713395660169</v>
      </c>
    </row>
    <row r="747" spans="1:9" x14ac:dyDescent="0.35">
      <c r="A747" s="417" t="s">
        <v>846</v>
      </c>
      <c r="B747" s="417" t="s">
        <v>680</v>
      </c>
      <c r="C747" s="83">
        <v>46225</v>
      </c>
      <c r="D747" s="417" t="s">
        <v>688</v>
      </c>
      <c r="E747">
        <v>1414.8227999999999</v>
      </c>
      <c r="F747">
        <v>19</v>
      </c>
      <c r="G747">
        <v>74.464357894736807</v>
      </c>
      <c r="H747">
        <v>5.3459333333333303</v>
      </c>
      <c r="I747">
        <v>87.746354976929894</v>
      </c>
    </row>
    <row r="748" spans="1:9" x14ac:dyDescent="0.35">
      <c r="A748" s="417" t="s">
        <v>846</v>
      </c>
      <c r="B748" s="417" t="s">
        <v>680</v>
      </c>
      <c r="C748" s="83">
        <v>46225</v>
      </c>
      <c r="D748" s="417" t="s">
        <v>690</v>
      </c>
      <c r="E748">
        <v>1370.5354500000001</v>
      </c>
      <c r="F748">
        <v>18</v>
      </c>
      <c r="G748">
        <v>76.140858333333298</v>
      </c>
      <c r="H748">
        <v>10.15335</v>
      </c>
      <c r="I748">
        <v>74.995894701229901</v>
      </c>
    </row>
    <row r="749" spans="1:9" x14ac:dyDescent="0.35">
      <c r="A749" s="417" t="s">
        <v>846</v>
      </c>
      <c r="B749" s="417" t="s">
        <v>691</v>
      </c>
      <c r="C749" s="83">
        <v>46225</v>
      </c>
      <c r="D749" s="417" t="s">
        <v>303</v>
      </c>
      <c r="E749">
        <v>349.74495000000002</v>
      </c>
      <c r="F749">
        <v>1</v>
      </c>
      <c r="G749">
        <v>349.74495000000002</v>
      </c>
      <c r="H749">
        <v>0</v>
      </c>
      <c r="I749">
        <v>0</v>
      </c>
    </row>
    <row r="750" spans="1:9" x14ac:dyDescent="0.35">
      <c r="A750" s="417" t="s">
        <v>846</v>
      </c>
      <c r="B750" s="417" t="s">
        <v>691</v>
      </c>
      <c r="C750" s="83">
        <v>46225</v>
      </c>
      <c r="D750" s="417" t="s">
        <v>310</v>
      </c>
      <c r="E750">
        <v>521.14893333333305</v>
      </c>
      <c r="F750">
        <v>1</v>
      </c>
      <c r="G750">
        <v>521.14893333333305</v>
      </c>
      <c r="H750">
        <v>0</v>
      </c>
      <c r="I750">
        <v>0</v>
      </c>
    </row>
    <row r="751" spans="1:9" x14ac:dyDescent="0.35">
      <c r="A751" s="417" t="s">
        <v>846</v>
      </c>
      <c r="B751" s="417" t="s">
        <v>691</v>
      </c>
      <c r="C751" s="83">
        <v>46225</v>
      </c>
      <c r="D751" s="417" t="s">
        <v>299</v>
      </c>
      <c r="E751">
        <v>350.00616666666701</v>
      </c>
      <c r="F751">
        <v>1</v>
      </c>
      <c r="G751">
        <v>350.00616666666701</v>
      </c>
      <c r="H751">
        <v>0</v>
      </c>
      <c r="I751">
        <v>0</v>
      </c>
    </row>
    <row r="752" spans="1:9" x14ac:dyDescent="0.35">
      <c r="A752" s="417" t="s">
        <v>846</v>
      </c>
      <c r="B752" s="417" t="s">
        <v>691</v>
      </c>
      <c r="C752" s="83">
        <v>46225</v>
      </c>
      <c r="D752" s="417" t="s">
        <v>301</v>
      </c>
      <c r="E752">
        <v>350.07421666666698</v>
      </c>
      <c r="F752">
        <v>1</v>
      </c>
      <c r="G752">
        <v>350.07421666666698</v>
      </c>
      <c r="H752">
        <v>0</v>
      </c>
      <c r="I752">
        <v>0</v>
      </c>
    </row>
    <row r="753" spans="1:9" x14ac:dyDescent="0.35">
      <c r="A753" s="417" t="s">
        <v>846</v>
      </c>
      <c r="B753" s="417" t="s">
        <v>691</v>
      </c>
      <c r="C753" s="83">
        <v>46225</v>
      </c>
      <c r="D753" s="417" t="s">
        <v>295</v>
      </c>
      <c r="E753">
        <v>350.00643333333301</v>
      </c>
      <c r="F753">
        <v>1</v>
      </c>
      <c r="G753">
        <v>350.00643333333301</v>
      </c>
      <c r="H753">
        <v>0</v>
      </c>
      <c r="I753">
        <v>0</v>
      </c>
    </row>
    <row r="754" spans="1:9" x14ac:dyDescent="0.35">
      <c r="A754" s="417" t="s">
        <v>846</v>
      </c>
      <c r="B754" s="417" t="s">
        <v>676</v>
      </c>
      <c r="C754" s="83">
        <v>46224</v>
      </c>
      <c r="D754" s="417" t="s">
        <v>677</v>
      </c>
      <c r="E754">
        <v>1330.72413333333</v>
      </c>
      <c r="F754">
        <v>201</v>
      </c>
      <c r="G754">
        <v>6.62051807628524</v>
      </c>
      <c r="H754">
        <v>109.275866666667</v>
      </c>
      <c r="I754">
        <v>37.830833333333302</v>
      </c>
    </row>
    <row r="755" spans="1:9" x14ac:dyDescent="0.35">
      <c r="A755" s="417" t="s">
        <v>846</v>
      </c>
      <c r="B755" s="417" t="s">
        <v>676</v>
      </c>
      <c r="C755" s="83">
        <v>46224</v>
      </c>
      <c r="D755" s="417" t="s">
        <v>678</v>
      </c>
      <c r="E755">
        <v>1110.3586333333301</v>
      </c>
      <c r="F755">
        <v>68</v>
      </c>
      <c r="G755">
        <v>16.328803431372499</v>
      </c>
      <c r="H755">
        <v>76.288349999999994</v>
      </c>
      <c r="I755">
        <v>50.959051187424699</v>
      </c>
    </row>
    <row r="756" spans="1:9" x14ac:dyDescent="0.35">
      <c r="A756" s="417" t="s">
        <v>846</v>
      </c>
      <c r="B756" s="417" t="s">
        <v>676</v>
      </c>
      <c r="C756" s="83">
        <v>46224</v>
      </c>
      <c r="D756" s="417" t="s">
        <v>679</v>
      </c>
      <c r="E756">
        <v>1379.4739666666701</v>
      </c>
      <c r="F756">
        <v>18</v>
      </c>
      <c r="G756">
        <v>76.637442592592606</v>
      </c>
      <c r="H756">
        <v>27.172899999999998</v>
      </c>
      <c r="I756">
        <v>80.261319318096596</v>
      </c>
    </row>
    <row r="757" spans="1:9" x14ac:dyDescent="0.35">
      <c r="A757" s="417" t="s">
        <v>846</v>
      </c>
      <c r="B757" s="417" t="s">
        <v>680</v>
      </c>
      <c r="C757" s="83">
        <v>46224</v>
      </c>
      <c r="D757" s="417" t="s">
        <v>687</v>
      </c>
      <c r="E757">
        <v>1258.19303333333</v>
      </c>
      <c r="F757">
        <v>62</v>
      </c>
      <c r="G757">
        <v>20.2934360215054</v>
      </c>
      <c r="H757">
        <v>49.971616666666698</v>
      </c>
      <c r="I757">
        <v>21.6787658671883</v>
      </c>
    </row>
    <row r="758" spans="1:9" x14ac:dyDescent="0.35">
      <c r="A758" s="417" t="s">
        <v>846</v>
      </c>
      <c r="B758" s="417" t="s">
        <v>680</v>
      </c>
      <c r="C758" s="83">
        <v>46224</v>
      </c>
      <c r="D758" s="417" t="s">
        <v>689</v>
      </c>
      <c r="E758">
        <v>1163.54823333333</v>
      </c>
      <c r="F758">
        <v>61</v>
      </c>
      <c r="G758">
        <v>19.074561202185802</v>
      </c>
      <c r="H758">
        <v>5.1649166666666702</v>
      </c>
      <c r="I758">
        <v>80.092579953367107</v>
      </c>
    </row>
    <row r="759" spans="1:9" x14ac:dyDescent="0.35">
      <c r="A759" s="417" t="s">
        <v>846</v>
      </c>
      <c r="B759" s="417" t="s">
        <v>680</v>
      </c>
      <c r="C759" s="83">
        <v>46224</v>
      </c>
      <c r="D759" s="417" t="s">
        <v>684</v>
      </c>
      <c r="E759">
        <v>1164.2261166666699</v>
      </c>
      <c r="F759">
        <v>45</v>
      </c>
      <c r="G759">
        <v>25.871691481481498</v>
      </c>
      <c r="H759">
        <v>40.088133333333303</v>
      </c>
      <c r="I759">
        <v>48.814392160865999</v>
      </c>
    </row>
    <row r="760" spans="1:9" x14ac:dyDescent="0.35">
      <c r="A760" s="417" t="s">
        <v>846</v>
      </c>
      <c r="B760" s="417" t="s">
        <v>680</v>
      </c>
      <c r="C760" s="83">
        <v>46224</v>
      </c>
      <c r="D760" s="417" t="s">
        <v>681</v>
      </c>
      <c r="E760">
        <v>1404.5125</v>
      </c>
      <c r="F760">
        <v>38</v>
      </c>
      <c r="G760">
        <v>36.960855263157903</v>
      </c>
      <c r="H760">
        <v>0.65090000000000003</v>
      </c>
      <c r="I760">
        <v>66.9544020081333</v>
      </c>
    </row>
    <row r="761" spans="1:9" x14ac:dyDescent="0.35">
      <c r="A761" s="417" t="s">
        <v>846</v>
      </c>
      <c r="B761" s="417" t="s">
        <v>680</v>
      </c>
      <c r="C761" s="83">
        <v>46224</v>
      </c>
      <c r="D761" s="417" t="s">
        <v>683</v>
      </c>
      <c r="E761">
        <v>1377.5878166666701</v>
      </c>
      <c r="F761">
        <v>38</v>
      </c>
      <c r="G761">
        <v>36.252310964912297</v>
      </c>
      <c r="H761">
        <v>7.1658499999999998</v>
      </c>
      <c r="I761">
        <v>61.661525045496703</v>
      </c>
    </row>
    <row r="762" spans="1:9" x14ac:dyDescent="0.35">
      <c r="A762" s="417" t="s">
        <v>846</v>
      </c>
      <c r="B762" s="417" t="s">
        <v>680</v>
      </c>
      <c r="C762" s="83">
        <v>46224</v>
      </c>
      <c r="D762" s="417" t="s">
        <v>682</v>
      </c>
      <c r="E762">
        <v>1156.6514</v>
      </c>
      <c r="F762">
        <v>36</v>
      </c>
      <c r="G762">
        <v>32.1292055555556</v>
      </c>
      <c r="H762">
        <v>26.152550000000002</v>
      </c>
      <c r="I762">
        <v>44.363770009131102</v>
      </c>
    </row>
    <row r="763" spans="1:9" x14ac:dyDescent="0.35">
      <c r="A763" s="417" t="s">
        <v>846</v>
      </c>
      <c r="B763" s="417" t="s">
        <v>680</v>
      </c>
      <c r="C763" s="83">
        <v>46224</v>
      </c>
      <c r="D763" s="417" t="s">
        <v>690</v>
      </c>
      <c r="E763">
        <v>1189.8355833333301</v>
      </c>
      <c r="F763">
        <v>34</v>
      </c>
      <c r="G763">
        <v>34.995164215686302</v>
      </c>
      <c r="H763">
        <v>9.15363333333333</v>
      </c>
      <c r="I763">
        <v>58.734393691579399</v>
      </c>
    </row>
    <row r="764" spans="1:9" x14ac:dyDescent="0.35">
      <c r="A764" s="417" t="s">
        <v>846</v>
      </c>
      <c r="B764" s="417" t="s">
        <v>680</v>
      </c>
      <c r="C764" s="83">
        <v>46224</v>
      </c>
      <c r="D764" s="417" t="s">
        <v>688</v>
      </c>
      <c r="E764">
        <v>1388.3756333333299</v>
      </c>
      <c r="F764">
        <v>16</v>
      </c>
      <c r="G764">
        <v>86.773477083333304</v>
      </c>
      <c r="H764">
        <v>6.6582166666666698</v>
      </c>
      <c r="I764">
        <v>62.520041376879703</v>
      </c>
    </row>
    <row r="765" spans="1:9" x14ac:dyDescent="0.35">
      <c r="A765" s="417" t="s">
        <v>846</v>
      </c>
      <c r="B765" s="417" t="s">
        <v>680</v>
      </c>
      <c r="C765" s="83">
        <v>46224</v>
      </c>
      <c r="D765" s="417" t="s">
        <v>686</v>
      </c>
      <c r="E765">
        <v>1069.6712333333301</v>
      </c>
      <c r="F765">
        <v>14</v>
      </c>
      <c r="G765">
        <v>76.405088095238099</v>
      </c>
      <c r="H765">
        <v>11.487349999999999</v>
      </c>
      <c r="I765">
        <v>20.1052984253676</v>
      </c>
    </row>
    <row r="766" spans="1:9" x14ac:dyDescent="0.35">
      <c r="A766" s="417" t="s">
        <v>846</v>
      </c>
      <c r="B766" s="417" t="s">
        <v>680</v>
      </c>
      <c r="C766" s="83">
        <v>46224</v>
      </c>
      <c r="D766" s="417" t="s">
        <v>685</v>
      </c>
      <c r="E766">
        <v>1410.16106666667</v>
      </c>
      <c r="F766">
        <v>10</v>
      </c>
      <c r="G766">
        <v>141.01610666666701</v>
      </c>
      <c r="H766">
        <v>3.3259833333333302</v>
      </c>
      <c r="I766">
        <v>63.389685159313899</v>
      </c>
    </row>
    <row r="767" spans="1:9" x14ac:dyDescent="0.35">
      <c r="A767" s="417" t="s">
        <v>846</v>
      </c>
      <c r="B767" s="417" t="s">
        <v>691</v>
      </c>
      <c r="C767" s="83">
        <v>46224</v>
      </c>
      <c r="D767" s="417" t="s">
        <v>309</v>
      </c>
      <c r="E767">
        <v>1242.19628333333</v>
      </c>
      <c r="F767">
        <v>116</v>
      </c>
      <c r="G767">
        <v>10.7085886494253</v>
      </c>
      <c r="H767">
        <v>0</v>
      </c>
      <c r="I767">
        <v>36.565848861006899</v>
      </c>
    </row>
    <row r="768" spans="1:9" x14ac:dyDescent="0.35">
      <c r="A768" s="417" t="s">
        <v>846</v>
      </c>
      <c r="B768" s="417" t="s">
        <v>691</v>
      </c>
      <c r="C768" s="83">
        <v>46224</v>
      </c>
      <c r="D768" s="417" t="s">
        <v>303</v>
      </c>
      <c r="E768">
        <v>1111.7297166666699</v>
      </c>
      <c r="F768">
        <v>98</v>
      </c>
      <c r="G768">
        <v>11.3441807823129</v>
      </c>
      <c r="H768">
        <v>0.50114999999999998</v>
      </c>
      <c r="I768">
        <v>54.976275610667699</v>
      </c>
    </row>
    <row r="769" spans="1:9" x14ac:dyDescent="0.35">
      <c r="A769" s="417" t="s">
        <v>846</v>
      </c>
      <c r="B769" s="417" t="s">
        <v>691</v>
      </c>
      <c r="C769" s="83">
        <v>46224</v>
      </c>
      <c r="D769" s="417" t="s">
        <v>305</v>
      </c>
      <c r="E769">
        <v>1229.8832666666699</v>
      </c>
      <c r="F769">
        <v>91</v>
      </c>
      <c r="G769">
        <v>13.5152007326007</v>
      </c>
      <c r="H769">
        <v>6.9490333333333298</v>
      </c>
      <c r="I769">
        <v>39.717960335224397</v>
      </c>
    </row>
    <row r="770" spans="1:9" x14ac:dyDescent="0.35">
      <c r="A770" s="417" t="s">
        <v>846</v>
      </c>
      <c r="B770" s="417" t="s">
        <v>691</v>
      </c>
      <c r="C770" s="83">
        <v>46224</v>
      </c>
      <c r="D770" s="417" t="s">
        <v>295</v>
      </c>
      <c r="E770">
        <v>1000.26913333333</v>
      </c>
      <c r="F770">
        <v>80</v>
      </c>
      <c r="G770">
        <v>12.503364166666699</v>
      </c>
      <c r="H770">
        <v>0.37151666666666699</v>
      </c>
      <c r="I770">
        <v>80.696096452028698</v>
      </c>
    </row>
    <row r="771" spans="1:9" x14ac:dyDescent="0.35">
      <c r="A771" s="417" t="s">
        <v>846</v>
      </c>
      <c r="B771" s="417" t="s">
        <v>691</v>
      </c>
      <c r="C771" s="83">
        <v>46224</v>
      </c>
      <c r="D771" s="417" t="s">
        <v>299</v>
      </c>
      <c r="E771">
        <v>1097.10385</v>
      </c>
      <c r="F771">
        <v>67</v>
      </c>
      <c r="G771">
        <v>16.3746843283582</v>
      </c>
      <c r="H771">
        <v>0.67676666666666696</v>
      </c>
      <c r="I771">
        <v>83.456501264265796</v>
      </c>
    </row>
    <row r="772" spans="1:9" x14ac:dyDescent="0.35">
      <c r="A772" s="417" t="s">
        <v>846</v>
      </c>
      <c r="B772" s="417" t="s">
        <v>691</v>
      </c>
      <c r="C772" s="83">
        <v>46224</v>
      </c>
      <c r="D772" s="417" t="s">
        <v>301</v>
      </c>
      <c r="E772">
        <v>1107.06015</v>
      </c>
      <c r="F772">
        <v>60</v>
      </c>
      <c r="G772">
        <v>18.451002500000001</v>
      </c>
      <c r="H772">
        <v>3.1115666666666701</v>
      </c>
      <c r="I772">
        <v>56.780701477140298</v>
      </c>
    </row>
    <row r="773" spans="1:9" x14ac:dyDescent="0.35">
      <c r="A773" s="417" t="s">
        <v>846</v>
      </c>
      <c r="B773" s="417" t="s">
        <v>691</v>
      </c>
      <c r="C773" s="83">
        <v>46224</v>
      </c>
      <c r="D773" s="417" t="s">
        <v>342</v>
      </c>
      <c r="E773">
        <v>1026.6140333333301</v>
      </c>
      <c r="F773">
        <v>57</v>
      </c>
      <c r="G773">
        <v>18.010772514619902</v>
      </c>
      <c r="H773">
        <v>114.8905</v>
      </c>
      <c r="I773">
        <v>38.463203463203499</v>
      </c>
    </row>
    <row r="774" spans="1:9" x14ac:dyDescent="0.35">
      <c r="A774" s="417" t="s">
        <v>846</v>
      </c>
      <c r="B774" s="417" t="s">
        <v>691</v>
      </c>
      <c r="C774" s="83">
        <v>46224</v>
      </c>
      <c r="D774" s="417" t="s">
        <v>314</v>
      </c>
      <c r="E774">
        <v>1271.21291666667</v>
      </c>
      <c r="F774">
        <v>41</v>
      </c>
      <c r="G774">
        <v>31.0051930894309</v>
      </c>
      <c r="H774">
        <v>5.4408666666666701</v>
      </c>
      <c r="I774">
        <v>57.234840521725403</v>
      </c>
    </row>
    <row r="775" spans="1:9" x14ac:dyDescent="0.35">
      <c r="A775" s="417" t="s">
        <v>846</v>
      </c>
      <c r="B775" s="417" t="s">
        <v>691</v>
      </c>
      <c r="C775" s="83">
        <v>46224</v>
      </c>
      <c r="D775" s="417" t="s">
        <v>317</v>
      </c>
      <c r="E775">
        <v>1300.29631666667</v>
      </c>
      <c r="F775">
        <v>11</v>
      </c>
      <c r="G775">
        <v>118.20875606060601</v>
      </c>
      <c r="H775">
        <v>17.7966333333333</v>
      </c>
      <c r="I775">
        <v>39.909931996829201</v>
      </c>
    </row>
    <row r="776" spans="1:9" x14ac:dyDescent="0.35">
      <c r="A776" s="417" t="s">
        <v>846</v>
      </c>
      <c r="B776" s="417" t="s">
        <v>691</v>
      </c>
      <c r="C776" s="83">
        <v>46224</v>
      </c>
      <c r="D776" s="417" t="s">
        <v>310</v>
      </c>
      <c r="E776">
        <v>1154.9804833333301</v>
      </c>
      <c r="F776">
        <v>7</v>
      </c>
      <c r="G776">
        <v>164.997211904762</v>
      </c>
      <c r="H776">
        <v>0.51201666666666701</v>
      </c>
      <c r="I776">
        <v>71.945882999418302</v>
      </c>
    </row>
    <row r="777" spans="1:9" x14ac:dyDescent="0.35">
      <c r="A777" s="417" t="s">
        <v>846</v>
      </c>
      <c r="B777" s="417" t="s">
        <v>691</v>
      </c>
      <c r="C777" s="83">
        <v>46224</v>
      </c>
      <c r="D777" s="417" t="s">
        <v>313</v>
      </c>
      <c r="E777">
        <v>1301.6652999999999</v>
      </c>
      <c r="F777">
        <v>6</v>
      </c>
      <c r="G777">
        <v>216.94421666666699</v>
      </c>
      <c r="H777">
        <v>0</v>
      </c>
      <c r="I777">
        <v>70.513168128922601</v>
      </c>
    </row>
    <row r="778" spans="1:9" x14ac:dyDescent="0.35">
      <c r="A778" s="417" t="s">
        <v>846</v>
      </c>
      <c r="B778" s="417" t="s">
        <v>691</v>
      </c>
      <c r="C778" s="83">
        <v>46224</v>
      </c>
      <c r="D778" s="417" t="s">
        <v>504</v>
      </c>
      <c r="E778">
        <v>1320</v>
      </c>
      <c r="F778">
        <v>1</v>
      </c>
      <c r="G778">
        <v>1320</v>
      </c>
      <c r="H778">
        <v>0</v>
      </c>
      <c r="I778">
        <v>22.4560606060606</v>
      </c>
    </row>
    <row r="779" spans="1:9" x14ac:dyDescent="0.35">
      <c r="A779" s="417" t="s">
        <v>846</v>
      </c>
      <c r="B779" s="417" t="s">
        <v>676</v>
      </c>
      <c r="C779" s="83">
        <v>46223</v>
      </c>
      <c r="D779" s="417" t="s">
        <v>677</v>
      </c>
      <c r="E779">
        <v>1183.3794</v>
      </c>
      <c r="F779">
        <v>350</v>
      </c>
      <c r="G779">
        <v>3.381084</v>
      </c>
      <c r="H779">
        <v>179.61595</v>
      </c>
      <c r="I779">
        <v>29.2222222222222</v>
      </c>
    </row>
    <row r="780" spans="1:9" x14ac:dyDescent="0.35">
      <c r="A780" s="417" t="s">
        <v>846</v>
      </c>
      <c r="B780" s="417" t="s">
        <v>676</v>
      </c>
      <c r="C780" s="83">
        <v>46223</v>
      </c>
      <c r="D780" s="417" t="s">
        <v>678</v>
      </c>
      <c r="E780">
        <v>1290.9508499999999</v>
      </c>
      <c r="F780">
        <v>33</v>
      </c>
      <c r="G780">
        <v>39.119722727272702</v>
      </c>
      <c r="H780">
        <v>23.5168833333333</v>
      </c>
      <c r="I780">
        <v>73.274422822002407</v>
      </c>
    </row>
    <row r="781" spans="1:9" x14ac:dyDescent="0.35">
      <c r="A781" s="417" t="s">
        <v>846</v>
      </c>
      <c r="B781" s="417" t="s">
        <v>676</v>
      </c>
      <c r="C781" s="83">
        <v>46223</v>
      </c>
      <c r="D781" s="417" t="s">
        <v>679</v>
      </c>
      <c r="E781">
        <v>1266.0266833333301</v>
      </c>
      <c r="F781">
        <v>21</v>
      </c>
      <c r="G781">
        <v>60.2869849206349</v>
      </c>
      <c r="H781">
        <v>18.2968166666667</v>
      </c>
      <c r="I781">
        <v>59.199857433317</v>
      </c>
    </row>
    <row r="782" spans="1:9" x14ac:dyDescent="0.35">
      <c r="A782" s="417" t="s">
        <v>846</v>
      </c>
      <c r="B782" s="417" t="s">
        <v>680</v>
      </c>
      <c r="C782" s="83">
        <v>46223</v>
      </c>
      <c r="D782" s="417" t="s">
        <v>689</v>
      </c>
      <c r="E782">
        <v>1410.85815</v>
      </c>
      <c r="F782">
        <v>22</v>
      </c>
      <c r="G782">
        <v>64.129915909090897</v>
      </c>
      <c r="H782">
        <v>1.16716666666667</v>
      </c>
      <c r="I782">
        <v>89.379919990203703</v>
      </c>
    </row>
    <row r="783" spans="1:9" x14ac:dyDescent="0.35">
      <c r="A783" s="417" t="s">
        <v>846</v>
      </c>
      <c r="B783" s="417" t="s">
        <v>680</v>
      </c>
      <c r="C783" s="83">
        <v>46223</v>
      </c>
      <c r="D783" s="417" t="s">
        <v>684</v>
      </c>
      <c r="E783">
        <v>1421.8404166666701</v>
      </c>
      <c r="F783">
        <v>17</v>
      </c>
      <c r="G783">
        <v>83.637671568627397</v>
      </c>
      <c r="H783">
        <v>13.490600000000001</v>
      </c>
      <c r="I783">
        <v>81.263231275050202</v>
      </c>
    </row>
    <row r="784" spans="1:9" x14ac:dyDescent="0.35">
      <c r="A784" s="417" t="s">
        <v>846</v>
      </c>
      <c r="B784" s="417" t="s">
        <v>680</v>
      </c>
      <c r="C784" s="83">
        <v>46223</v>
      </c>
      <c r="D784" s="417" t="s">
        <v>683</v>
      </c>
      <c r="E784">
        <v>1410.3335833333299</v>
      </c>
      <c r="F784">
        <v>16</v>
      </c>
      <c r="G784">
        <v>88.145848958333303</v>
      </c>
      <c r="H784">
        <v>2.8387333333333302</v>
      </c>
      <c r="I784">
        <v>76.735498371203093</v>
      </c>
    </row>
    <row r="785" spans="1:9" x14ac:dyDescent="0.35">
      <c r="A785" s="417" t="s">
        <v>846</v>
      </c>
      <c r="B785" s="417" t="s">
        <v>680</v>
      </c>
      <c r="C785" s="83">
        <v>46223</v>
      </c>
      <c r="D785" s="417" t="s">
        <v>686</v>
      </c>
      <c r="E785">
        <v>1419.67996666667</v>
      </c>
      <c r="F785">
        <v>15</v>
      </c>
      <c r="G785">
        <v>94.645331111111105</v>
      </c>
      <c r="H785">
        <v>8.3358666666666696</v>
      </c>
      <c r="I785">
        <v>23.335621066505201</v>
      </c>
    </row>
    <row r="786" spans="1:9" x14ac:dyDescent="0.35">
      <c r="A786" s="417" t="s">
        <v>846</v>
      </c>
      <c r="B786" s="417" t="s">
        <v>680</v>
      </c>
      <c r="C786" s="83">
        <v>46223</v>
      </c>
      <c r="D786" s="417" t="s">
        <v>681</v>
      </c>
      <c r="E786">
        <v>1422.68163333333</v>
      </c>
      <c r="F786">
        <v>13</v>
      </c>
      <c r="G786">
        <v>109.437048717949</v>
      </c>
      <c r="H786">
        <v>1.3345</v>
      </c>
      <c r="I786">
        <v>89.513250940963601</v>
      </c>
    </row>
    <row r="787" spans="1:9" x14ac:dyDescent="0.35">
      <c r="A787" s="417" t="s">
        <v>846</v>
      </c>
      <c r="B787" s="417" t="s">
        <v>680</v>
      </c>
      <c r="C787" s="83">
        <v>46223</v>
      </c>
      <c r="D787" s="417" t="s">
        <v>688</v>
      </c>
      <c r="E787">
        <v>1433.33036666667</v>
      </c>
      <c r="F787">
        <v>13</v>
      </c>
      <c r="G787">
        <v>110.256182051282</v>
      </c>
      <c r="H787">
        <v>1.49328333333333</v>
      </c>
      <c r="I787">
        <v>88.617118811602197</v>
      </c>
    </row>
    <row r="788" spans="1:9" x14ac:dyDescent="0.35">
      <c r="A788" s="417" t="s">
        <v>846</v>
      </c>
      <c r="B788" s="417" t="s">
        <v>680</v>
      </c>
      <c r="C788" s="83">
        <v>46223</v>
      </c>
      <c r="D788" s="417" t="s">
        <v>687</v>
      </c>
      <c r="E788">
        <v>1417.5152</v>
      </c>
      <c r="F788">
        <v>11</v>
      </c>
      <c r="G788">
        <v>128.86501818181799</v>
      </c>
      <c r="H788">
        <v>8.3257333333333303</v>
      </c>
      <c r="I788">
        <v>25.006869523981099</v>
      </c>
    </row>
    <row r="789" spans="1:9" x14ac:dyDescent="0.35">
      <c r="A789" s="417" t="s">
        <v>846</v>
      </c>
      <c r="B789" s="417" t="s">
        <v>680</v>
      </c>
      <c r="C789" s="83">
        <v>46223</v>
      </c>
      <c r="D789" s="417" t="s">
        <v>685</v>
      </c>
      <c r="E789">
        <v>1425.1939</v>
      </c>
      <c r="F789">
        <v>6</v>
      </c>
      <c r="G789">
        <v>237.53231666666699</v>
      </c>
      <c r="H789">
        <v>2.8340333333333301</v>
      </c>
      <c r="I789">
        <v>85.314541809087999</v>
      </c>
    </row>
    <row r="790" spans="1:9" x14ac:dyDescent="0.35">
      <c r="A790" s="417" t="s">
        <v>846</v>
      </c>
      <c r="B790" s="417" t="s">
        <v>680</v>
      </c>
      <c r="C790" s="83">
        <v>46223</v>
      </c>
      <c r="D790" s="417" t="s">
        <v>682</v>
      </c>
      <c r="E790">
        <v>1430.50055</v>
      </c>
      <c r="F790">
        <v>5</v>
      </c>
      <c r="G790">
        <v>286.10010999999997</v>
      </c>
      <c r="H790">
        <v>3.5110333333333301</v>
      </c>
      <c r="I790">
        <v>81.003529783203106</v>
      </c>
    </row>
    <row r="791" spans="1:9" x14ac:dyDescent="0.35">
      <c r="A791" s="417" t="s">
        <v>846</v>
      </c>
      <c r="B791" s="417" t="s">
        <v>680</v>
      </c>
      <c r="C791" s="83">
        <v>46223</v>
      </c>
      <c r="D791" s="417" t="s">
        <v>690</v>
      </c>
      <c r="E791">
        <v>1430.15871666667</v>
      </c>
      <c r="F791">
        <v>5</v>
      </c>
      <c r="G791">
        <v>286.031743333333</v>
      </c>
      <c r="H791">
        <v>3.9984000000000002</v>
      </c>
      <c r="I791">
        <v>72.2497398980545</v>
      </c>
    </row>
    <row r="792" spans="1:9" x14ac:dyDescent="0.35">
      <c r="A792" s="417" t="s">
        <v>846</v>
      </c>
      <c r="B792" s="417" t="s">
        <v>691</v>
      </c>
      <c r="C792" s="83">
        <v>46223</v>
      </c>
      <c r="D792" s="417" t="s">
        <v>309</v>
      </c>
      <c r="E792">
        <v>1316.6321666666699</v>
      </c>
      <c r="F792">
        <v>136</v>
      </c>
      <c r="G792">
        <v>9.6811188725490194</v>
      </c>
      <c r="H792">
        <v>0</v>
      </c>
      <c r="I792">
        <v>53.441367626446898</v>
      </c>
    </row>
    <row r="793" spans="1:9" x14ac:dyDescent="0.35">
      <c r="A793" s="417" t="s">
        <v>846</v>
      </c>
      <c r="B793" s="417" t="s">
        <v>691</v>
      </c>
      <c r="C793" s="83">
        <v>46223</v>
      </c>
      <c r="D793" s="417" t="s">
        <v>295</v>
      </c>
      <c r="E793">
        <v>1334.1480833333301</v>
      </c>
      <c r="F793">
        <v>103</v>
      </c>
      <c r="G793">
        <v>12.952894012945</v>
      </c>
      <c r="H793">
        <v>0.24035000000000001</v>
      </c>
      <c r="I793">
        <v>84.711310515668501</v>
      </c>
    </row>
    <row r="794" spans="1:9" x14ac:dyDescent="0.35">
      <c r="A794" s="417" t="s">
        <v>846</v>
      </c>
      <c r="B794" s="417" t="s">
        <v>691</v>
      </c>
      <c r="C794" s="83">
        <v>46223</v>
      </c>
      <c r="D794" s="417" t="s">
        <v>305</v>
      </c>
      <c r="E794">
        <v>1183.8662833333301</v>
      </c>
      <c r="F794">
        <v>89</v>
      </c>
      <c r="G794">
        <v>13.3018683520599</v>
      </c>
      <c r="H794">
        <v>6.7196166666666697</v>
      </c>
      <c r="I794">
        <v>45.146714983527602</v>
      </c>
    </row>
    <row r="795" spans="1:9" x14ac:dyDescent="0.35">
      <c r="A795" s="417" t="s">
        <v>846</v>
      </c>
      <c r="B795" s="417" t="s">
        <v>691</v>
      </c>
      <c r="C795" s="83">
        <v>46223</v>
      </c>
      <c r="D795" s="417" t="s">
        <v>303</v>
      </c>
      <c r="E795">
        <v>1352.74101666667</v>
      </c>
      <c r="F795">
        <v>81</v>
      </c>
      <c r="G795">
        <v>16.700506378600799</v>
      </c>
      <c r="H795">
        <v>0.86243333333333305</v>
      </c>
      <c r="I795">
        <v>53.065013764092399</v>
      </c>
    </row>
    <row r="796" spans="1:9" x14ac:dyDescent="0.35">
      <c r="A796" s="417" t="s">
        <v>846</v>
      </c>
      <c r="B796" s="417" t="s">
        <v>691</v>
      </c>
      <c r="C796" s="83">
        <v>46223</v>
      </c>
      <c r="D796" s="417" t="s">
        <v>301</v>
      </c>
      <c r="E796">
        <v>1346.5484166666699</v>
      </c>
      <c r="F796">
        <v>57</v>
      </c>
      <c r="G796">
        <v>23.623656432748501</v>
      </c>
      <c r="H796">
        <v>0.62156666666666704</v>
      </c>
      <c r="I796">
        <v>69.536883652862798</v>
      </c>
    </row>
    <row r="797" spans="1:9" x14ac:dyDescent="0.35">
      <c r="A797" s="417" t="s">
        <v>846</v>
      </c>
      <c r="B797" s="417" t="s">
        <v>691</v>
      </c>
      <c r="C797" s="83">
        <v>46223</v>
      </c>
      <c r="D797" s="417" t="s">
        <v>299</v>
      </c>
      <c r="E797">
        <v>1362.1983666666699</v>
      </c>
      <c r="F797">
        <v>55</v>
      </c>
      <c r="G797">
        <v>24.767243030303</v>
      </c>
      <c r="H797">
        <v>1.3566833333333299</v>
      </c>
      <c r="I797">
        <v>81.395029889217</v>
      </c>
    </row>
    <row r="798" spans="1:9" x14ac:dyDescent="0.35">
      <c r="A798" s="417" t="s">
        <v>846</v>
      </c>
      <c r="B798" s="417" t="s">
        <v>691</v>
      </c>
      <c r="C798" s="83">
        <v>46223</v>
      </c>
      <c r="D798" s="417" t="s">
        <v>342</v>
      </c>
      <c r="E798">
        <v>1361.6419333333299</v>
      </c>
      <c r="F798">
        <v>51</v>
      </c>
      <c r="G798">
        <v>26.698861437908501</v>
      </c>
      <c r="H798">
        <v>78.358066666666701</v>
      </c>
      <c r="I798">
        <v>50.009920634920697</v>
      </c>
    </row>
    <row r="799" spans="1:9" x14ac:dyDescent="0.35">
      <c r="A799" s="417" t="s">
        <v>846</v>
      </c>
      <c r="B799" s="417" t="s">
        <v>691</v>
      </c>
      <c r="C799" s="83">
        <v>46223</v>
      </c>
      <c r="D799" s="417" t="s">
        <v>314</v>
      </c>
      <c r="E799">
        <v>1418.0066666666701</v>
      </c>
      <c r="F799">
        <v>15</v>
      </c>
      <c r="G799">
        <v>94.5337777777778</v>
      </c>
      <c r="H799">
        <v>0.35476666666666701</v>
      </c>
      <c r="I799">
        <v>64.052953052360806</v>
      </c>
    </row>
    <row r="800" spans="1:9" x14ac:dyDescent="0.35">
      <c r="A800" s="417" t="s">
        <v>846</v>
      </c>
      <c r="B800" s="417" t="s">
        <v>691</v>
      </c>
      <c r="C800" s="83">
        <v>46223</v>
      </c>
      <c r="D800" s="417" t="s">
        <v>310</v>
      </c>
      <c r="E800">
        <v>1426.7263499999999</v>
      </c>
      <c r="F800">
        <v>6</v>
      </c>
      <c r="G800">
        <v>237.78772499999999</v>
      </c>
      <c r="H800">
        <v>0.278733333333333</v>
      </c>
      <c r="I800">
        <v>80.046491925306299</v>
      </c>
    </row>
    <row r="801" spans="1:9" x14ac:dyDescent="0.35">
      <c r="A801" s="417" t="s">
        <v>846</v>
      </c>
      <c r="B801" s="417" t="s">
        <v>691</v>
      </c>
      <c r="C801" s="83">
        <v>46223</v>
      </c>
      <c r="D801" s="417" t="s">
        <v>313</v>
      </c>
      <c r="E801">
        <v>1387.329</v>
      </c>
      <c r="F801">
        <v>6</v>
      </c>
      <c r="G801">
        <v>231.22149999999999</v>
      </c>
      <c r="H801">
        <v>0</v>
      </c>
      <c r="I801">
        <v>79.483278577030006</v>
      </c>
    </row>
    <row r="802" spans="1:9" x14ac:dyDescent="0.35">
      <c r="A802" s="417" t="s">
        <v>846</v>
      </c>
      <c r="B802" s="417" t="s">
        <v>691</v>
      </c>
      <c r="C802" s="83">
        <v>46223</v>
      </c>
      <c r="D802" s="417" t="s">
        <v>317</v>
      </c>
      <c r="E802">
        <v>1436.9943499999999</v>
      </c>
      <c r="F802">
        <v>5</v>
      </c>
      <c r="G802">
        <v>287.39886999999999</v>
      </c>
      <c r="H802">
        <v>1.4934833333333299</v>
      </c>
      <c r="I802">
        <v>49.781442943498398</v>
      </c>
    </row>
    <row r="803" spans="1:9" x14ac:dyDescent="0.35">
      <c r="A803" s="417" t="s">
        <v>846</v>
      </c>
      <c r="B803" s="417" t="s">
        <v>691</v>
      </c>
      <c r="C803" s="83">
        <v>46223</v>
      </c>
      <c r="D803" s="417" t="s">
        <v>504</v>
      </c>
      <c r="E803">
        <v>1440</v>
      </c>
      <c r="F803">
        <v>1</v>
      </c>
      <c r="G803">
        <v>1440</v>
      </c>
      <c r="H803">
        <v>0</v>
      </c>
      <c r="I803">
        <v>32.792592592592598</v>
      </c>
    </row>
    <row r="804" spans="1:9" x14ac:dyDescent="0.35">
      <c r="A804" s="417" t="s">
        <v>846</v>
      </c>
      <c r="B804" s="417" t="s">
        <v>676</v>
      </c>
      <c r="C804" s="83">
        <v>46222</v>
      </c>
      <c r="D804" s="417" t="s">
        <v>677</v>
      </c>
      <c r="E804">
        <v>1177.43965</v>
      </c>
      <c r="F804">
        <v>295</v>
      </c>
      <c r="G804">
        <v>3.9913208474576298</v>
      </c>
      <c r="H804">
        <v>171.87776666666699</v>
      </c>
      <c r="I804">
        <v>33.056944444444397</v>
      </c>
    </row>
    <row r="805" spans="1:9" x14ac:dyDescent="0.35">
      <c r="A805" s="417" t="s">
        <v>846</v>
      </c>
      <c r="B805" s="417" t="s">
        <v>676</v>
      </c>
      <c r="C805" s="83">
        <v>46222</v>
      </c>
      <c r="D805" s="417" t="s">
        <v>678</v>
      </c>
      <c r="E805">
        <v>1222.3227666666701</v>
      </c>
      <c r="F805">
        <v>52</v>
      </c>
      <c r="G805">
        <v>23.5062070512821</v>
      </c>
      <c r="H805">
        <v>41.975983333333303</v>
      </c>
      <c r="I805">
        <v>70.957456948362307</v>
      </c>
    </row>
    <row r="806" spans="1:9" x14ac:dyDescent="0.35">
      <c r="A806" s="417" t="s">
        <v>846</v>
      </c>
      <c r="B806" s="417" t="s">
        <v>676</v>
      </c>
      <c r="C806" s="83">
        <v>46222</v>
      </c>
      <c r="D806" s="417" t="s">
        <v>679</v>
      </c>
      <c r="E806">
        <v>1238.1384166666701</v>
      </c>
      <c r="F806">
        <v>35</v>
      </c>
      <c r="G806">
        <v>35.375383333333303</v>
      </c>
      <c r="H806">
        <v>18.829633333333302</v>
      </c>
      <c r="I806">
        <v>67.118738815436302</v>
      </c>
    </row>
    <row r="807" spans="1:9" x14ac:dyDescent="0.35">
      <c r="A807" s="417" t="s">
        <v>846</v>
      </c>
      <c r="B807" s="417" t="s">
        <v>680</v>
      </c>
      <c r="C807" s="83">
        <v>46222</v>
      </c>
      <c r="D807" s="417" t="s">
        <v>686</v>
      </c>
      <c r="E807">
        <v>1279.28698333333</v>
      </c>
      <c r="F807">
        <v>55</v>
      </c>
      <c r="G807">
        <v>23.2597633333333</v>
      </c>
      <c r="H807">
        <v>60.518466666666697</v>
      </c>
      <c r="I807">
        <v>30.5281771930531</v>
      </c>
    </row>
    <row r="808" spans="1:9" x14ac:dyDescent="0.35">
      <c r="A808" s="417" t="s">
        <v>846</v>
      </c>
      <c r="B808" s="417" t="s">
        <v>680</v>
      </c>
      <c r="C808" s="83">
        <v>46222</v>
      </c>
      <c r="D808" s="417" t="s">
        <v>684</v>
      </c>
      <c r="E808">
        <v>1420.4854333333301</v>
      </c>
      <c r="F808">
        <v>28</v>
      </c>
      <c r="G808">
        <v>50.731622619047599</v>
      </c>
      <c r="H808">
        <v>13.667899999999999</v>
      </c>
      <c r="I808">
        <v>78.491060897081795</v>
      </c>
    </row>
    <row r="809" spans="1:9" x14ac:dyDescent="0.35">
      <c r="A809" s="417" t="s">
        <v>846</v>
      </c>
      <c r="B809" s="417" t="s">
        <v>680</v>
      </c>
      <c r="C809" s="83">
        <v>46222</v>
      </c>
      <c r="D809" s="417" t="s">
        <v>689</v>
      </c>
      <c r="E809">
        <v>1412.00695</v>
      </c>
      <c r="F809">
        <v>19</v>
      </c>
      <c r="G809">
        <v>74.316155263157896</v>
      </c>
      <c r="H809">
        <v>0.83386666666666698</v>
      </c>
      <c r="I809">
        <v>97.491605027418998</v>
      </c>
    </row>
    <row r="810" spans="1:9" x14ac:dyDescent="0.35">
      <c r="A810" s="417" t="s">
        <v>846</v>
      </c>
      <c r="B810" s="417" t="s">
        <v>680</v>
      </c>
      <c r="C810" s="83">
        <v>46222</v>
      </c>
      <c r="D810" s="417" t="s">
        <v>685</v>
      </c>
      <c r="E810">
        <v>1389.49405</v>
      </c>
      <c r="F810">
        <v>12</v>
      </c>
      <c r="G810">
        <v>115.791170833333</v>
      </c>
      <c r="H810">
        <v>6.0024833333333296</v>
      </c>
      <c r="I810">
        <v>97.7966730287567</v>
      </c>
    </row>
    <row r="811" spans="1:9" x14ac:dyDescent="0.35">
      <c r="A811" s="417" t="s">
        <v>846</v>
      </c>
      <c r="B811" s="417" t="s">
        <v>680</v>
      </c>
      <c r="C811" s="83">
        <v>46222</v>
      </c>
      <c r="D811" s="417" t="s">
        <v>683</v>
      </c>
      <c r="E811">
        <v>1397.66693333333</v>
      </c>
      <c r="F811">
        <v>11</v>
      </c>
      <c r="G811">
        <v>127.06063030303</v>
      </c>
      <c r="H811">
        <v>2.17383333333333</v>
      </c>
      <c r="I811">
        <v>77.503253207374996</v>
      </c>
    </row>
    <row r="812" spans="1:9" x14ac:dyDescent="0.35">
      <c r="A812" s="417" t="s">
        <v>846</v>
      </c>
      <c r="B812" s="417" t="s">
        <v>680</v>
      </c>
      <c r="C812" s="83">
        <v>46222</v>
      </c>
      <c r="D812" s="417" t="s">
        <v>681</v>
      </c>
      <c r="E812">
        <v>1424.1761166666699</v>
      </c>
      <c r="F812">
        <v>10</v>
      </c>
      <c r="G812">
        <v>142.417611666667</v>
      </c>
      <c r="H812">
        <v>0</v>
      </c>
      <c r="I812">
        <v>89.087762166896397</v>
      </c>
    </row>
    <row r="813" spans="1:9" x14ac:dyDescent="0.35">
      <c r="A813" s="417" t="s">
        <v>846</v>
      </c>
      <c r="B813" s="417" t="s">
        <v>680</v>
      </c>
      <c r="C813" s="83">
        <v>46222</v>
      </c>
      <c r="D813" s="417" t="s">
        <v>687</v>
      </c>
      <c r="E813">
        <v>1406.84431666667</v>
      </c>
      <c r="F813">
        <v>9</v>
      </c>
      <c r="G813">
        <v>156.316035185185</v>
      </c>
      <c r="H813">
        <v>10.667666666666699</v>
      </c>
      <c r="I813">
        <v>21.176155756276199</v>
      </c>
    </row>
    <row r="814" spans="1:9" x14ac:dyDescent="0.35">
      <c r="A814" s="417" t="s">
        <v>846</v>
      </c>
      <c r="B814" s="417" t="s">
        <v>680</v>
      </c>
      <c r="C814" s="83">
        <v>46222</v>
      </c>
      <c r="D814" s="417" t="s">
        <v>688</v>
      </c>
      <c r="E814">
        <v>1430.6645000000001</v>
      </c>
      <c r="F814">
        <v>9</v>
      </c>
      <c r="G814">
        <v>158.962722222222</v>
      </c>
      <c r="H814">
        <v>5.3250166666666701</v>
      </c>
      <c r="I814">
        <v>88.512109292597302</v>
      </c>
    </row>
    <row r="815" spans="1:9" x14ac:dyDescent="0.35">
      <c r="A815" s="417" t="s">
        <v>846</v>
      </c>
      <c r="B815" s="417" t="s">
        <v>680</v>
      </c>
      <c r="C815" s="83">
        <v>46222</v>
      </c>
      <c r="D815" s="417" t="s">
        <v>682</v>
      </c>
      <c r="E815">
        <v>1433.98795</v>
      </c>
      <c r="F815">
        <v>8</v>
      </c>
      <c r="G815">
        <v>179.24849374999999</v>
      </c>
      <c r="H815">
        <v>4.6856</v>
      </c>
      <c r="I815">
        <v>78.0022001553709</v>
      </c>
    </row>
    <row r="816" spans="1:9" x14ac:dyDescent="0.35">
      <c r="A816" s="417" t="s">
        <v>846</v>
      </c>
      <c r="B816" s="417" t="s">
        <v>680</v>
      </c>
      <c r="C816" s="83">
        <v>46222</v>
      </c>
      <c r="D816" s="417" t="s">
        <v>690</v>
      </c>
      <c r="E816">
        <v>1433.8404166666701</v>
      </c>
      <c r="F816">
        <v>5</v>
      </c>
      <c r="G816">
        <v>286.76808333333298</v>
      </c>
      <c r="H816">
        <v>2.5076000000000001</v>
      </c>
      <c r="I816">
        <v>73.686877255292799</v>
      </c>
    </row>
    <row r="817" spans="1:9" x14ac:dyDescent="0.35">
      <c r="A817" s="417" t="s">
        <v>846</v>
      </c>
      <c r="B817" s="417" t="s">
        <v>691</v>
      </c>
      <c r="C817" s="83">
        <v>46222</v>
      </c>
      <c r="D817" s="417" t="s">
        <v>301</v>
      </c>
      <c r="E817">
        <v>1304.58803333333</v>
      </c>
      <c r="F817">
        <v>158</v>
      </c>
      <c r="G817">
        <v>8.2568862869198405</v>
      </c>
      <c r="H817">
        <v>0.2253</v>
      </c>
      <c r="I817">
        <v>64.703966770951098</v>
      </c>
    </row>
    <row r="818" spans="1:9" x14ac:dyDescent="0.35">
      <c r="A818" s="417" t="s">
        <v>846</v>
      </c>
      <c r="B818" s="417" t="s">
        <v>691</v>
      </c>
      <c r="C818" s="83">
        <v>46222</v>
      </c>
      <c r="D818" s="417" t="s">
        <v>295</v>
      </c>
      <c r="E818">
        <v>1313.80835</v>
      </c>
      <c r="F818">
        <v>137</v>
      </c>
      <c r="G818">
        <v>9.5898419708029206</v>
      </c>
      <c r="H818">
        <v>0.42916666666666697</v>
      </c>
      <c r="I818">
        <v>77.778246047563997</v>
      </c>
    </row>
    <row r="819" spans="1:9" x14ac:dyDescent="0.35">
      <c r="A819" s="417" t="s">
        <v>846</v>
      </c>
      <c r="B819" s="417" t="s">
        <v>691</v>
      </c>
      <c r="C819" s="83">
        <v>46222</v>
      </c>
      <c r="D819" s="417" t="s">
        <v>309</v>
      </c>
      <c r="E819">
        <v>1322.6610499999999</v>
      </c>
      <c r="F819">
        <v>122</v>
      </c>
      <c r="G819">
        <v>10.8414840163934</v>
      </c>
      <c r="H819">
        <v>0</v>
      </c>
      <c r="I819">
        <v>53.494453744761202</v>
      </c>
    </row>
    <row r="820" spans="1:9" x14ac:dyDescent="0.35">
      <c r="A820" s="417" t="s">
        <v>846</v>
      </c>
      <c r="B820" s="417" t="s">
        <v>691</v>
      </c>
      <c r="C820" s="83">
        <v>46222</v>
      </c>
      <c r="D820" s="417" t="s">
        <v>299</v>
      </c>
      <c r="E820">
        <v>1357.4747833333299</v>
      </c>
      <c r="F820">
        <v>111</v>
      </c>
      <c r="G820">
        <v>12.229502552552599</v>
      </c>
      <c r="H820">
        <v>0.40593333333333298</v>
      </c>
      <c r="I820">
        <v>77.309607300837499</v>
      </c>
    </row>
    <row r="821" spans="1:9" x14ac:dyDescent="0.35">
      <c r="A821" s="417" t="s">
        <v>846</v>
      </c>
      <c r="B821" s="417" t="s">
        <v>691</v>
      </c>
      <c r="C821" s="83">
        <v>46222</v>
      </c>
      <c r="D821" s="417" t="s">
        <v>303</v>
      </c>
      <c r="E821">
        <v>1336.0843833333299</v>
      </c>
      <c r="F821">
        <v>102</v>
      </c>
      <c r="G821">
        <v>13.098866503268001</v>
      </c>
      <c r="H821">
        <v>1.13798333333333</v>
      </c>
      <c r="I821">
        <v>56.3878712106481</v>
      </c>
    </row>
    <row r="822" spans="1:9" x14ac:dyDescent="0.35">
      <c r="A822" s="417" t="s">
        <v>846</v>
      </c>
      <c r="B822" s="417" t="s">
        <v>691</v>
      </c>
      <c r="C822" s="83">
        <v>46222</v>
      </c>
      <c r="D822" s="417" t="s">
        <v>342</v>
      </c>
      <c r="E822">
        <v>1287.24168333333</v>
      </c>
      <c r="F822">
        <v>93</v>
      </c>
      <c r="G822">
        <v>13.8413084229391</v>
      </c>
      <c r="H822">
        <v>127.256633333333</v>
      </c>
      <c r="I822">
        <v>59.246031746031697</v>
      </c>
    </row>
    <row r="823" spans="1:9" x14ac:dyDescent="0.35">
      <c r="A823" s="417" t="s">
        <v>846</v>
      </c>
      <c r="B823" s="417" t="s">
        <v>691</v>
      </c>
      <c r="C823" s="83">
        <v>46222</v>
      </c>
      <c r="D823" s="417" t="s">
        <v>305</v>
      </c>
      <c r="E823">
        <v>1361.0526833333299</v>
      </c>
      <c r="F823">
        <v>91</v>
      </c>
      <c r="G823">
        <v>14.9566228937729</v>
      </c>
      <c r="H823">
        <v>6.1122666666666703</v>
      </c>
      <c r="I823">
        <v>54.1257933751777</v>
      </c>
    </row>
    <row r="824" spans="1:9" x14ac:dyDescent="0.35">
      <c r="A824" s="417" t="s">
        <v>846</v>
      </c>
      <c r="B824" s="417" t="s">
        <v>691</v>
      </c>
      <c r="C824" s="83">
        <v>46222</v>
      </c>
      <c r="D824" s="417" t="s">
        <v>314</v>
      </c>
      <c r="E824">
        <v>1406.09046666667</v>
      </c>
      <c r="F824">
        <v>32</v>
      </c>
      <c r="G824">
        <v>43.940327083333301</v>
      </c>
      <c r="H824">
        <v>0.93799999999999994</v>
      </c>
      <c r="I824">
        <v>61.0874992336568</v>
      </c>
    </row>
    <row r="825" spans="1:9" x14ac:dyDescent="0.35">
      <c r="A825" s="417" t="s">
        <v>846</v>
      </c>
      <c r="B825" s="417" t="s">
        <v>691</v>
      </c>
      <c r="C825" s="83">
        <v>46222</v>
      </c>
      <c r="D825" s="417" t="s">
        <v>310</v>
      </c>
      <c r="E825">
        <v>1374.5914166666701</v>
      </c>
      <c r="F825">
        <v>7</v>
      </c>
      <c r="G825">
        <v>196.37020238095201</v>
      </c>
      <c r="H825">
        <v>2.4272499999999999</v>
      </c>
      <c r="I825">
        <v>65.863759755773998</v>
      </c>
    </row>
    <row r="826" spans="1:9" x14ac:dyDescent="0.35">
      <c r="A826" s="417" t="s">
        <v>846</v>
      </c>
      <c r="B826" s="417" t="s">
        <v>691</v>
      </c>
      <c r="C826" s="83">
        <v>46222</v>
      </c>
      <c r="D826" s="417" t="s">
        <v>313</v>
      </c>
      <c r="E826">
        <v>1332.35151666667</v>
      </c>
      <c r="F826">
        <v>7</v>
      </c>
      <c r="G826">
        <v>190.33593095238101</v>
      </c>
      <c r="H826">
        <v>0</v>
      </c>
      <c r="I826">
        <v>70.6970061519159</v>
      </c>
    </row>
    <row r="827" spans="1:9" x14ac:dyDescent="0.35">
      <c r="A827" s="417" t="s">
        <v>846</v>
      </c>
      <c r="B827" s="417" t="s">
        <v>691</v>
      </c>
      <c r="C827" s="83">
        <v>46222</v>
      </c>
      <c r="D827" s="417" t="s">
        <v>317</v>
      </c>
      <c r="E827">
        <v>1419.2487000000001</v>
      </c>
      <c r="F827">
        <v>4</v>
      </c>
      <c r="G827">
        <v>354.81217500000002</v>
      </c>
      <c r="H827">
        <v>2.17681666666667</v>
      </c>
      <c r="I827">
        <v>52.932777073288101</v>
      </c>
    </row>
    <row r="828" spans="1:9" x14ac:dyDescent="0.35">
      <c r="A828" s="417" t="s">
        <v>846</v>
      </c>
      <c r="B828" s="417" t="s">
        <v>691</v>
      </c>
      <c r="C828" s="83">
        <v>46222</v>
      </c>
      <c r="D828" s="417" t="s">
        <v>504</v>
      </c>
      <c r="E828">
        <v>1440</v>
      </c>
      <c r="F828">
        <v>1</v>
      </c>
      <c r="G828">
        <v>1440</v>
      </c>
      <c r="H828">
        <v>0</v>
      </c>
      <c r="I828">
        <v>30.623456790123399</v>
      </c>
    </row>
    <row r="829" spans="1:9" x14ac:dyDescent="0.35">
      <c r="A829" s="417" t="s">
        <v>846</v>
      </c>
      <c r="B829" s="417" t="s">
        <v>676</v>
      </c>
      <c r="C829" s="83">
        <v>46221</v>
      </c>
      <c r="D829" s="417" t="s">
        <v>677</v>
      </c>
      <c r="E829">
        <v>1300.3055833333301</v>
      </c>
      <c r="F829">
        <v>271</v>
      </c>
      <c r="G829">
        <v>4.7981755842558398</v>
      </c>
      <c r="H829">
        <v>139.694416666667</v>
      </c>
      <c r="I829">
        <v>40.761111111111099</v>
      </c>
    </row>
    <row r="830" spans="1:9" x14ac:dyDescent="0.35">
      <c r="A830" s="417" t="s">
        <v>846</v>
      </c>
      <c r="B830" s="417" t="s">
        <v>676</v>
      </c>
      <c r="C830" s="83">
        <v>46221</v>
      </c>
      <c r="D830" s="417" t="s">
        <v>678</v>
      </c>
      <c r="E830">
        <v>1261.7582500000001</v>
      </c>
      <c r="F830">
        <v>50</v>
      </c>
      <c r="G830">
        <v>25.235164999999999</v>
      </c>
      <c r="H830">
        <v>48.552149999999997</v>
      </c>
      <c r="I830">
        <v>76.7618150157965</v>
      </c>
    </row>
    <row r="831" spans="1:9" x14ac:dyDescent="0.35">
      <c r="A831" s="417" t="s">
        <v>846</v>
      </c>
      <c r="B831" s="417" t="s">
        <v>676</v>
      </c>
      <c r="C831" s="83">
        <v>46221</v>
      </c>
      <c r="D831" s="417" t="s">
        <v>679</v>
      </c>
      <c r="E831">
        <v>1313.6232833333299</v>
      </c>
      <c r="F831">
        <v>34</v>
      </c>
      <c r="G831">
        <v>38.635978921568601</v>
      </c>
      <c r="H831">
        <v>28.179483333333302</v>
      </c>
      <c r="I831">
        <v>76.113546228155798</v>
      </c>
    </row>
    <row r="832" spans="1:9" x14ac:dyDescent="0.35">
      <c r="A832" s="417" t="s">
        <v>846</v>
      </c>
      <c r="B832" s="417" t="s">
        <v>680</v>
      </c>
      <c r="C832" s="83">
        <v>46221</v>
      </c>
      <c r="D832" s="417" t="s">
        <v>689</v>
      </c>
      <c r="E832">
        <v>1402.4994666666701</v>
      </c>
      <c r="F832">
        <v>39</v>
      </c>
      <c r="G832">
        <v>35.961524786324802</v>
      </c>
      <c r="H832">
        <v>1.0060833333333301</v>
      </c>
      <c r="I832">
        <v>82.509632108811402</v>
      </c>
    </row>
    <row r="833" spans="1:9" x14ac:dyDescent="0.35">
      <c r="A833" s="417" t="s">
        <v>846</v>
      </c>
      <c r="B833" s="417" t="s">
        <v>680</v>
      </c>
      <c r="C833" s="83">
        <v>46221</v>
      </c>
      <c r="D833" s="417" t="s">
        <v>683</v>
      </c>
      <c r="E833">
        <v>1381.03473333333</v>
      </c>
      <c r="F833">
        <v>33</v>
      </c>
      <c r="G833">
        <v>41.849537373737398</v>
      </c>
      <c r="H833">
        <v>7.9938000000000002</v>
      </c>
      <c r="I833">
        <v>71.614467406843303</v>
      </c>
    </row>
    <row r="834" spans="1:9" x14ac:dyDescent="0.35">
      <c r="A834" s="417" t="s">
        <v>846</v>
      </c>
      <c r="B834" s="417" t="s">
        <v>680</v>
      </c>
      <c r="C834" s="83">
        <v>46221</v>
      </c>
      <c r="D834" s="417" t="s">
        <v>684</v>
      </c>
      <c r="E834">
        <v>1392.49065</v>
      </c>
      <c r="F834">
        <v>29</v>
      </c>
      <c r="G834">
        <v>48.016918965517199</v>
      </c>
      <c r="H834">
        <v>13.6721166666667</v>
      </c>
      <c r="I834">
        <v>70.410157123844698</v>
      </c>
    </row>
    <row r="835" spans="1:9" x14ac:dyDescent="0.35">
      <c r="A835" s="417" t="s">
        <v>846</v>
      </c>
      <c r="B835" s="417" t="s">
        <v>680</v>
      </c>
      <c r="C835" s="83">
        <v>46221</v>
      </c>
      <c r="D835" s="417" t="s">
        <v>681</v>
      </c>
      <c r="E835">
        <v>1351.2188333333299</v>
      </c>
      <c r="F835">
        <v>26</v>
      </c>
      <c r="G835">
        <v>51.9699551282051</v>
      </c>
      <c r="H835">
        <v>0.33395000000000002</v>
      </c>
      <c r="I835">
        <v>69.804593943812804</v>
      </c>
    </row>
    <row r="836" spans="1:9" x14ac:dyDescent="0.35">
      <c r="A836" s="417" t="s">
        <v>846</v>
      </c>
      <c r="B836" s="417" t="s">
        <v>680</v>
      </c>
      <c r="C836" s="83">
        <v>46221</v>
      </c>
      <c r="D836" s="417" t="s">
        <v>690</v>
      </c>
      <c r="E836">
        <v>1375.4597833333301</v>
      </c>
      <c r="F836">
        <v>25</v>
      </c>
      <c r="G836">
        <v>55.018391333333298</v>
      </c>
      <c r="H836">
        <v>12.3591</v>
      </c>
      <c r="I836">
        <v>68.494165134610498</v>
      </c>
    </row>
    <row r="837" spans="1:9" x14ac:dyDescent="0.35">
      <c r="A837" s="417" t="s">
        <v>846</v>
      </c>
      <c r="B837" s="417" t="s">
        <v>680</v>
      </c>
      <c r="C837" s="83">
        <v>46221</v>
      </c>
      <c r="D837" s="417" t="s">
        <v>686</v>
      </c>
      <c r="E837">
        <v>1310.53238333333</v>
      </c>
      <c r="F837">
        <v>19</v>
      </c>
      <c r="G837">
        <v>68.9753885964912</v>
      </c>
      <c r="H837">
        <v>23.808683333333299</v>
      </c>
      <c r="I837">
        <v>70.817385311090902</v>
      </c>
    </row>
    <row r="838" spans="1:9" x14ac:dyDescent="0.35">
      <c r="A838" s="417" t="s">
        <v>846</v>
      </c>
      <c r="B838" s="417" t="s">
        <v>680</v>
      </c>
      <c r="C838" s="83">
        <v>46221</v>
      </c>
      <c r="D838" s="417" t="s">
        <v>685</v>
      </c>
      <c r="E838">
        <v>1404.66683333333</v>
      </c>
      <c r="F838">
        <v>17</v>
      </c>
      <c r="G838">
        <v>82.627460784313698</v>
      </c>
      <c r="H838">
        <v>16.327083333333299</v>
      </c>
      <c r="I838">
        <v>76.571902464266202</v>
      </c>
    </row>
    <row r="839" spans="1:9" x14ac:dyDescent="0.35">
      <c r="A839" s="417" t="s">
        <v>846</v>
      </c>
      <c r="B839" s="417" t="s">
        <v>680</v>
      </c>
      <c r="C839" s="83">
        <v>46221</v>
      </c>
      <c r="D839" s="417" t="s">
        <v>687</v>
      </c>
      <c r="E839">
        <v>1396.1550833333299</v>
      </c>
      <c r="F839">
        <v>16</v>
      </c>
      <c r="G839">
        <v>87.259692708333304</v>
      </c>
      <c r="H839">
        <v>30.837633333333301</v>
      </c>
      <c r="I839">
        <v>28.0211661440038</v>
      </c>
    </row>
    <row r="840" spans="1:9" x14ac:dyDescent="0.35">
      <c r="A840" s="417" t="s">
        <v>846</v>
      </c>
      <c r="B840" s="417" t="s">
        <v>680</v>
      </c>
      <c r="C840" s="83">
        <v>46221</v>
      </c>
      <c r="D840" s="417" t="s">
        <v>688</v>
      </c>
      <c r="E840">
        <v>1433.32596666667</v>
      </c>
      <c r="F840">
        <v>7</v>
      </c>
      <c r="G840">
        <v>204.760852380952</v>
      </c>
      <c r="H840">
        <v>2.1759166666666698</v>
      </c>
      <c r="I840">
        <v>63.2103185929194</v>
      </c>
    </row>
    <row r="841" spans="1:9" x14ac:dyDescent="0.35">
      <c r="A841" s="417" t="s">
        <v>846</v>
      </c>
      <c r="B841" s="417" t="s">
        <v>680</v>
      </c>
      <c r="C841" s="83">
        <v>46221</v>
      </c>
      <c r="D841" s="417" t="s">
        <v>682</v>
      </c>
      <c r="E841">
        <v>1430.51115</v>
      </c>
      <c r="F841">
        <v>5</v>
      </c>
      <c r="G841">
        <v>286.10223000000002</v>
      </c>
      <c r="H841">
        <v>4.3244333333333298</v>
      </c>
      <c r="I841">
        <v>67.965975427962803</v>
      </c>
    </row>
    <row r="842" spans="1:9" x14ac:dyDescent="0.35">
      <c r="A842" s="417" t="s">
        <v>846</v>
      </c>
      <c r="B842" s="417" t="s">
        <v>691</v>
      </c>
      <c r="C842" s="83">
        <v>46221</v>
      </c>
      <c r="D842" s="417" t="s">
        <v>309</v>
      </c>
      <c r="E842">
        <v>1332.12891666667</v>
      </c>
      <c r="F842">
        <v>134</v>
      </c>
      <c r="G842">
        <v>9.9412605721392993</v>
      </c>
      <c r="H842">
        <v>0</v>
      </c>
      <c r="I842">
        <v>54.6472155080139</v>
      </c>
    </row>
    <row r="843" spans="1:9" x14ac:dyDescent="0.35">
      <c r="A843" s="417" t="s">
        <v>846</v>
      </c>
      <c r="B843" s="417" t="s">
        <v>691</v>
      </c>
      <c r="C843" s="83">
        <v>46221</v>
      </c>
      <c r="D843" s="417" t="s">
        <v>305</v>
      </c>
      <c r="E843">
        <v>1344.5519999999999</v>
      </c>
      <c r="F843">
        <v>119</v>
      </c>
      <c r="G843">
        <v>11.298756302520999</v>
      </c>
      <c r="H843">
        <v>3.5847000000000002</v>
      </c>
      <c r="I843">
        <v>51.459286729153902</v>
      </c>
    </row>
    <row r="844" spans="1:9" x14ac:dyDescent="0.35">
      <c r="A844" s="417" t="s">
        <v>846</v>
      </c>
      <c r="B844" s="417" t="s">
        <v>691</v>
      </c>
      <c r="C844" s="83">
        <v>46221</v>
      </c>
      <c r="D844" s="417" t="s">
        <v>295</v>
      </c>
      <c r="E844">
        <v>1349.48233333333</v>
      </c>
      <c r="F844">
        <v>112</v>
      </c>
      <c r="G844">
        <v>12.048949404761901</v>
      </c>
      <c r="H844">
        <v>1.12608333333333</v>
      </c>
      <c r="I844">
        <v>83.168039184727107</v>
      </c>
    </row>
    <row r="845" spans="1:9" x14ac:dyDescent="0.35">
      <c r="A845" s="417" t="s">
        <v>846</v>
      </c>
      <c r="B845" s="417" t="s">
        <v>691</v>
      </c>
      <c r="C845" s="83">
        <v>46221</v>
      </c>
      <c r="D845" s="417" t="s">
        <v>301</v>
      </c>
      <c r="E845">
        <v>1336.8030833333301</v>
      </c>
      <c r="F845">
        <v>105</v>
      </c>
      <c r="G845">
        <v>12.731457936507899</v>
      </c>
      <c r="H845">
        <v>1.4400666666666699</v>
      </c>
      <c r="I845">
        <v>68.587099656424897</v>
      </c>
    </row>
    <row r="846" spans="1:9" x14ac:dyDescent="0.35">
      <c r="A846" s="417" t="s">
        <v>846</v>
      </c>
      <c r="B846" s="417" t="s">
        <v>691</v>
      </c>
      <c r="C846" s="83">
        <v>46221</v>
      </c>
      <c r="D846" s="417" t="s">
        <v>303</v>
      </c>
      <c r="E846">
        <v>1365.20715</v>
      </c>
      <c r="F846">
        <v>86</v>
      </c>
      <c r="G846">
        <v>15.8745017441861</v>
      </c>
      <c r="H846">
        <v>1.1234</v>
      </c>
      <c r="I846">
        <v>58.042932040037499</v>
      </c>
    </row>
    <row r="847" spans="1:9" x14ac:dyDescent="0.35">
      <c r="A847" s="417" t="s">
        <v>846</v>
      </c>
      <c r="B847" s="417" t="s">
        <v>691</v>
      </c>
      <c r="C847" s="83">
        <v>46221</v>
      </c>
      <c r="D847" s="417" t="s">
        <v>299</v>
      </c>
      <c r="E847">
        <v>1357.6381166666699</v>
      </c>
      <c r="F847">
        <v>70</v>
      </c>
      <c r="G847">
        <v>19.394830238095199</v>
      </c>
      <c r="H847">
        <v>0.479866666666667</v>
      </c>
      <c r="I847">
        <v>77.813783848662197</v>
      </c>
    </row>
    <row r="848" spans="1:9" x14ac:dyDescent="0.35">
      <c r="A848" s="417" t="s">
        <v>846</v>
      </c>
      <c r="B848" s="417" t="s">
        <v>691</v>
      </c>
      <c r="C848" s="83">
        <v>46221</v>
      </c>
      <c r="D848" s="417" t="s">
        <v>342</v>
      </c>
      <c r="E848">
        <v>1313.36105</v>
      </c>
      <c r="F848">
        <v>67</v>
      </c>
      <c r="G848">
        <v>19.602403731343301</v>
      </c>
      <c r="H848">
        <v>126.63894999999999</v>
      </c>
      <c r="I848">
        <v>58.313492063492099</v>
      </c>
    </row>
    <row r="849" spans="1:9" x14ac:dyDescent="0.35">
      <c r="A849" s="417" t="s">
        <v>846</v>
      </c>
      <c r="B849" s="417" t="s">
        <v>691</v>
      </c>
      <c r="C849" s="83">
        <v>46221</v>
      </c>
      <c r="D849" s="417" t="s">
        <v>314</v>
      </c>
      <c r="E849">
        <v>1338.5109333333301</v>
      </c>
      <c r="F849">
        <v>42</v>
      </c>
      <c r="G849">
        <v>31.869307936507902</v>
      </c>
      <c r="H849">
        <v>0.95991666666666697</v>
      </c>
      <c r="I849">
        <v>60.355686033142803</v>
      </c>
    </row>
    <row r="850" spans="1:9" x14ac:dyDescent="0.35">
      <c r="A850" s="417" t="s">
        <v>846</v>
      </c>
      <c r="B850" s="417" t="s">
        <v>691</v>
      </c>
      <c r="C850" s="83">
        <v>46221</v>
      </c>
      <c r="D850" s="417" t="s">
        <v>313</v>
      </c>
      <c r="E850">
        <v>1210.4726333333299</v>
      </c>
      <c r="F850">
        <v>18</v>
      </c>
      <c r="G850">
        <v>67.2484796296296</v>
      </c>
      <c r="H850">
        <v>0.19405</v>
      </c>
      <c r="I850">
        <v>64.463295038972802</v>
      </c>
    </row>
    <row r="851" spans="1:9" x14ac:dyDescent="0.35">
      <c r="A851" s="417" t="s">
        <v>846</v>
      </c>
      <c r="B851" s="417" t="s">
        <v>691</v>
      </c>
      <c r="C851" s="83">
        <v>46221</v>
      </c>
      <c r="D851" s="417" t="s">
        <v>310</v>
      </c>
      <c r="E851">
        <v>1381.2046</v>
      </c>
      <c r="F851">
        <v>8</v>
      </c>
      <c r="G851">
        <v>172.650575</v>
      </c>
      <c r="H851">
        <v>0.60809999999999997</v>
      </c>
      <c r="I851">
        <v>78.481910882354995</v>
      </c>
    </row>
    <row r="852" spans="1:9" x14ac:dyDescent="0.35">
      <c r="A852" s="417" t="s">
        <v>846</v>
      </c>
      <c r="B852" s="417" t="s">
        <v>691</v>
      </c>
      <c r="C852" s="83">
        <v>46221</v>
      </c>
      <c r="D852" s="417" t="s">
        <v>317</v>
      </c>
      <c r="E852">
        <v>1437.2435</v>
      </c>
      <c r="F852">
        <v>3</v>
      </c>
      <c r="G852">
        <v>479.081166666667</v>
      </c>
      <c r="H852">
        <v>2.7565</v>
      </c>
      <c r="I852">
        <v>53.0694444444444</v>
      </c>
    </row>
    <row r="853" spans="1:9" x14ac:dyDescent="0.35">
      <c r="A853" s="417" t="s">
        <v>846</v>
      </c>
      <c r="B853" s="417" t="s">
        <v>691</v>
      </c>
      <c r="C853" s="83">
        <v>46221</v>
      </c>
      <c r="D853" s="417" t="s">
        <v>504</v>
      </c>
      <c r="E853">
        <v>1440</v>
      </c>
      <c r="F853">
        <v>1</v>
      </c>
      <c r="G853">
        <v>1440</v>
      </c>
      <c r="H853">
        <v>0</v>
      </c>
      <c r="I853">
        <v>30.682870370370399</v>
      </c>
    </row>
    <row r="854" spans="1:9" x14ac:dyDescent="0.35">
      <c r="A854" s="417" t="s">
        <v>846</v>
      </c>
      <c r="B854" s="417" t="s">
        <v>676</v>
      </c>
      <c r="C854" s="83">
        <v>46220</v>
      </c>
      <c r="D854" s="417" t="s">
        <v>677</v>
      </c>
      <c r="E854">
        <v>1244.3037666666701</v>
      </c>
      <c r="F854">
        <v>175</v>
      </c>
      <c r="G854">
        <v>7.1103072380952401</v>
      </c>
      <c r="H854">
        <v>84.680983333333302</v>
      </c>
      <c r="I854">
        <v>21.5705555555556</v>
      </c>
    </row>
    <row r="855" spans="1:9" x14ac:dyDescent="0.35">
      <c r="A855" s="417" t="s">
        <v>846</v>
      </c>
      <c r="B855" s="417" t="s">
        <v>676</v>
      </c>
      <c r="C855" s="83">
        <v>46220</v>
      </c>
      <c r="D855" s="417" t="s">
        <v>678</v>
      </c>
      <c r="E855">
        <v>1148.86891666667</v>
      </c>
      <c r="F855">
        <v>38</v>
      </c>
      <c r="G855">
        <v>30.233392543859601</v>
      </c>
      <c r="H855">
        <v>71.600149999999999</v>
      </c>
      <c r="I855">
        <v>61.767613095396698</v>
      </c>
    </row>
    <row r="856" spans="1:9" x14ac:dyDescent="0.35">
      <c r="A856" s="417" t="s">
        <v>846</v>
      </c>
      <c r="B856" s="417" t="s">
        <v>676</v>
      </c>
      <c r="C856" s="83">
        <v>46220</v>
      </c>
      <c r="D856" s="417" t="s">
        <v>679</v>
      </c>
      <c r="E856">
        <v>1186.9722999999999</v>
      </c>
      <c r="F856">
        <v>23</v>
      </c>
      <c r="G856">
        <v>51.607491304347903</v>
      </c>
      <c r="H856">
        <v>18.177099999999999</v>
      </c>
      <c r="I856">
        <v>62.474752659568303</v>
      </c>
    </row>
    <row r="857" spans="1:9" x14ac:dyDescent="0.35">
      <c r="A857" s="417" t="s">
        <v>846</v>
      </c>
      <c r="B857" s="417" t="s">
        <v>680</v>
      </c>
      <c r="C857" s="83">
        <v>46220</v>
      </c>
      <c r="D857" s="417" t="s">
        <v>689</v>
      </c>
      <c r="E857">
        <v>1361.26123333333</v>
      </c>
      <c r="F857">
        <v>79</v>
      </c>
      <c r="G857">
        <v>17.231154852320699</v>
      </c>
      <c r="H857">
        <v>3.34205</v>
      </c>
      <c r="I857">
        <v>95.333141738381002</v>
      </c>
    </row>
    <row r="858" spans="1:9" x14ac:dyDescent="0.35">
      <c r="A858" s="417" t="s">
        <v>846</v>
      </c>
      <c r="B858" s="417" t="s">
        <v>680</v>
      </c>
      <c r="C858" s="83">
        <v>46220</v>
      </c>
      <c r="D858" s="417" t="s">
        <v>684</v>
      </c>
      <c r="E858">
        <v>1405.33161666667</v>
      </c>
      <c r="F858">
        <v>27</v>
      </c>
      <c r="G858">
        <v>52.049319135802499</v>
      </c>
      <c r="H858">
        <v>11.492599999999999</v>
      </c>
      <c r="I858">
        <v>71.648706673366604</v>
      </c>
    </row>
    <row r="859" spans="1:9" x14ac:dyDescent="0.35">
      <c r="A859" s="417" t="s">
        <v>846</v>
      </c>
      <c r="B859" s="417" t="s">
        <v>680</v>
      </c>
      <c r="C859" s="83">
        <v>46220</v>
      </c>
      <c r="D859" s="417" t="s">
        <v>683</v>
      </c>
      <c r="E859">
        <v>1387.47041666667</v>
      </c>
      <c r="F859">
        <v>27</v>
      </c>
      <c r="G859">
        <v>51.387793209876499</v>
      </c>
      <c r="H859">
        <v>3.3437666666666699</v>
      </c>
      <c r="I859">
        <v>78.934004943464501</v>
      </c>
    </row>
    <row r="860" spans="1:9" x14ac:dyDescent="0.35">
      <c r="A860" s="417" t="s">
        <v>846</v>
      </c>
      <c r="B860" s="417" t="s">
        <v>680</v>
      </c>
      <c r="C860" s="83">
        <v>46220</v>
      </c>
      <c r="D860" s="417" t="s">
        <v>686</v>
      </c>
      <c r="E860">
        <v>1393.0142499999999</v>
      </c>
      <c r="F860">
        <v>25</v>
      </c>
      <c r="G860">
        <v>55.720570000000002</v>
      </c>
      <c r="H860">
        <v>31.48255</v>
      </c>
      <c r="I860">
        <v>66.2760351585205</v>
      </c>
    </row>
    <row r="861" spans="1:9" x14ac:dyDescent="0.35">
      <c r="A861" s="417" t="s">
        <v>846</v>
      </c>
      <c r="B861" s="417" t="s">
        <v>680</v>
      </c>
      <c r="C861" s="83">
        <v>46220</v>
      </c>
      <c r="D861" s="417" t="s">
        <v>681</v>
      </c>
      <c r="E861">
        <v>1400.51305</v>
      </c>
      <c r="F861">
        <v>14</v>
      </c>
      <c r="G861">
        <v>100.036646428571</v>
      </c>
      <c r="H861">
        <v>0</v>
      </c>
      <c r="I861">
        <v>87.966115869700403</v>
      </c>
    </row>
    <row r="862" spans="1:9" x14ac:dyDescent="0.35">
      <c r="A862" s="417" t="s">
        <v>846</v>
      </c>
      <c r="B862" s="417" t="s">
        <v>680</v>
      </c>
      <c r="C862" s="83">
        <v>46220</v>
      </c>
      <c r="D862" s="417" t="s">
        <v>685</v>
      </c>
      <c r="E862">
        <v>1424.5103666666701</v>
      </c>
      <c r="F862">
        <v>14</v>
      </c>
      <c r="G862">
        <v>101.75074047619</v>
      </c>
      <c r="H862">
        <v>7.1619333333333302</v>
      </c>
      <c r="I862">
        <v>89.512990345346395</v>
      </c>
    </row>
    <row r="863" spans="1:9" x14ac:dyDescent="0.35">
      <c r="A863" s="417" t="s">
        <v>846</v>
      </c>
      <c r="B863" s="417" t="s">
        <v>680</v>
      </c>
      <c r="C863" s="83">
        <v>46220</v>
      </c>
      <c r="D863" s="417" t="s">
        <v>682</v>
      </c>
      <c r="E863">
        <v>1292.82455</v>
      </c>
      <c r="F863">
        <v>10</v>
      </c>
      <c r="G863">
        <v>129.282455</v>
      </c>
      <c r="H863">
        <v>6.9852333333333299</v>
      </c>
      <c r="I863">
        <v>59.477293417038702</v>
      </c>
    </row>
    <row r="864" spans="1:9" x14ac:dyDescent="0.35">
      <c r="A864" s="417" t="s">
        <v>846</v>
      </c>
      <c r="B864" s="417" t="s">
        <v>680</v>
      </c>
      <c r="C864" s="83">
        <v>46220</v>
      </c>
      <c r="D864" s="417" t="s">
        <v>687</v>
      </c>
      <c r="E864">
        <v>1421.0120666666701</v>
      </c>
      <c r="F864">
        <v>9</v>
      </c>
      <c r="G864">
        <v>157.89022962963</v>
      </c>
      <c r="H864">
        <v>7.4984333333333302</v>
      </c>
      <c r="I864">
        <v>30.320965916469099</v>
      </c>
    </row>
    <row r="865" spans="1:9" x14ac:dyDescent="0.35">
      <c r="A865" s="417" t="s">
        <v>846</v>
      </c>
      <c r="B865" s="417" t="s">
        <v>680</v>
      </c>
      <c r="C865" s="83">
        <v>46220</v>
      </c>
      <c r="D865" s="417" t="s">
        <v>690</v>
      </c>
      <c r="E865">
        <v>1427.3673833333301</v>
      </c>
      <c r="F865">
        <v>8</v>
      </c>
      <c r="G865">
        <v>178.420922916667</v>
      </c>
      <c r="H865">
        <v>3.3088833333333301</v>
      </c>
      <c r="I865">
        <v>75.420347496011104</v>
      </c>
    </row>
    <row r="866" spans="1:9" x14ac:dyDescent="0.35">
      <c r="A866" s="417" t="s">
        <v>846</v>
      </c>
      <c r="B866" s="417" t="s">
        <v>680</v>
      </c>
      <c r="C866" s="83">
        <v>46220</v>
      </c>
      <c r="D866" s="417" t="s">
        <v>688</v>
      </c>
      <c r="E866">
        <v>1433.1512666666699</v>
      </c>
      <c r="F866">
        <v>6</v>
      </c>
      <c r="G866">
        <v>238.85854444444399</v>
      </c>
      <c r="H866">
        <v>1.6660999999999999</v>
      </c>
      <c r="I866">
        <v>85.668114833860699</v>
      </c>
    </row>
    <row r="867" spans="1:9" x14ac:dyDescent="0.35">
      <c r="A867" s="417" t="s">
        <v>846</v>
      </c>
      <c r="B867" s="417" t="s">
        <v>691</v>
      </c>
      <c r="C867" s="83">
        <v>46220</v>
      </c>
      <c r="D867" s="417" t="s">
        <v>295</v>
      </c>
      <c r="E867">
        <v>1296.6059166666701</v>
      </c>
      <c r="F867">
        <v>129</v>
      </c>
      <c r="G867">
        <v>10.051208656330701</v>
      </c>
      <c r="H867">
        <v>0.62643333333333295</v>
      </c>
      <c r="I867">
        <v>66.730392415590501</v>
      </c>
    </row>
    <row r="868" spans="1:9" x14ac:dyDescent="0.35">
      <c r="A868" s="417" t="s">
        <v>846</v>
      </c>
      <c r="B868" s="417" t="s">
        <v>691</v>
      </c>
      <c r="C868" s="83">
        <v>46220</v>
      </c>
      <c r="D868" s="417" t="s">
        <v>301</v>
      </c>
      <c r="E868">
        <v>1285.7501833333299</v>
      </c>
      <c r="F868">
        <v>110</v>
      </c>
      <c r="G868">
        <v>11.688638030303</v>
      </c>
      <c r="H868">
        <v>0.82055</v>
      </c>
      <c r="I868">
        <v>59.501176534536697</v>
      </c>
    </row>
    <row r="869" spans="1:9" x14ac:dyDescent="0.35">
      <c r="A869" s="417" t="s">
        <v>846</v>
      </c>
      <c r="B869" s="417" t="s">
        <v>691</v>
      </c>
      <c r="C869" s="83">
        <v>46220</v>
      </c>
      <c r="D869" s="417" t="s">
        <v>305</v>
      </c>
      <c r="E869">
        <v>1350.99865</v>
      </c>
      <c r="F869">
        <v>100</v>
      </c>
      <c r="G869">
        <v>13.5099865</v>
      </c>
      <c r="H869">
        <v>5.5349500000000003</v>
      </c>
      <c r="I869">
        <v>36.337979158748901</v>
      </c>
    </row>
    <row r="870" spans="1:9" x14ac:dyDescent="0.35">
      <c r="A870" s="417" t="s">
        <v>846</v>
      </c>
      <c r="B870" s="417" t="s">
        <v>691</v>
      </c>
      <c r="C870" s="83">
        <v>46220</v>
      </c>
      <c r="D870" s="417" t="s">
        <v>299</v>
      </c>
      <c r="E870">
        <v>1349.1874333333301</v>
      </c>
      <c r="F870">
        <v>91</v>
      </c>
      <c r="G870">
        <v>14.826235531135501</v>
      </c>
      <c r="H870">
        <v>1.05223333333333</v>
      </c>
      <c r="I870">
        <v>68.454075505180796</v>
      </c>
    </row>
    <row r="871" spans="1:9" x14ac:dyDescent="0.35">
      <c r="A871" s="417" t="s">
        <v>846</v>
      </c>
      <c r="B871" s="417" t="s">
        <v>691</v>
      </c>
      <c r="C871" s="83">
        <v>46220</v>
      </c>
      <c r="D871" s="417" t="s">
        <v>303</v>
      </c>
      <c r="E871">
        <v>1369.9090000000001</v>
      </c>
      <c r="F871">
        <v>66</v>
      </c>
      <c r="G871">
        <v>20.756196969697001</v>
      </c>
      <c r="H871">
        <v>0.54179999999999995</v>
      </c>
      <c r="I871">
        <v>46.164511122681503</v>
      </c>
    </row>
    <row r="872" spans="1:9" x14ac:dyDescent="0.35">
      <c r="A872" s="417" t="s">
        <v>846</v>
      </c>
      <c r="B872" s="417" t="s">
        <v>691</v>
      </c>
      <c r="C872" s="83">
        <v>46220</v>
      </c>
      <c r="D872" s="417" t="s">
        <v>309</v>
      </c>
      <c r="E872">
        <v>1248.9152999999999</v>
      </c>
      <c r="F872">
        <v>65</v>
      </c>
      <c r="G872">
        <v>19.2140815384615</v>
      </c>
      <c r="H872">
        <v>0</v>
      </c>
      <c r="I872">
        <v>39.826674159875701</v>
      </c>
    </row>
    <row r="873" spans="1:9" x14ac:dyDescent="0.35">
      <c r="A873" s="417" t="s">
        <v>846</v>
      </c>
      <c r="B873" s="417" t="s">
        <v>691</v>
      </c>
      <c r="C873" s="83">
        <v>46220</v>
      </c>
      <c r="D873" s="417" t="s">
        <v>342</v>
      </c>
      <c r="E873">
        <v>1364.1820333333301</v>
      </c>
      <c r="F873">
        <v>36</v>
      </c>
      <c r="G873">
        <v>37.893945370370403</v>
      </c>
      <c r="H873">
        <v>75.817966666666607</v>
      </c>
      <c r="I873">
        <v>40.873015873015802</v>
      </c>
    </row>
    <row r="874" spans="1:9" x14ac:dyDescent="0.35">
      <c r="A874" s="417" t="s">
        <v>846</v>
      </c>
      <c r="B874" s="417" t="s">
        <v>691</v>
      </c>
      <c r="C874" s="83">
        <v>46220</v>
      </c>
      <c r="D874" s="417" t="s">
        <v>314</v>
      </c>
      <c r="E874">
        <v>1386.95671666667</v>
      </c>
      <c r="F874">
        <v>19</v>
      </c>
      <c r="G874">
        <v>72.997721929824607</v>
      </c>
      <c r="H874">
        <v>0.48139999999999999</v>
      </c>
      <c r="I874">
        <v>31.101766441186999</v>
      </c>
    </row>
    <row r="875" spans="1:9" x14ac:dyDescent="0.35">
      <c r="A875" s="417" t="s">
        <v>846</v>
      </c>
      <c r="B875" s="417" t="s">
        <v>691</v>
      </c>
      <c r="C875" s="83">
        <v>46220</v>
      </c>
      <c r="D875" s="417" t="s">
        <v>313</v>
      </c>
      <c r="E875">
        <v>1431.7547666666701</v>
      </c>
      <c r="F875">
        <v>9</v>
      </c>
      <c r="G875">
        <v>159.083862962963</v>
      </c>
      <c r="H875">
        <v>0</v>
      </c>
      <c r="I875">
        <v>41.735356688120497</v>
      </c>
    </row>
    <row r="876" spans="1:9" x14ac:dyDescent="0.35">
      <c r="A876" s="417" t="s">
        <v>846</v>
      </c>
      <c r="B876" s="417" t="s">
        <v>691</v>
      </c>
      <c r="C876" s="83">
        <v>46220</v>
      </c>
      <c r="D876" s="417" t="s">
        <v>317</v>
      </c>
      <c r="E876">
        <v>1384.0972666666701</v>
      </c>
      <c r="F876">
        <v>5</v>
      </c>
      <c r="G876">
        <v>276.819453333333</v>
      </c>
      <c r="H876">
        <v>0.49616666666666698</v>
      </c>
      <c r="I876">
        <v>25.2013888888889</v>
      </c>
    </row>
    <row r="877" spans="1:9" x14ac:dyDescent="0.35">
      <c r="A877" s="417" t="s">
        <v>846</v>
      </c>
      <c r="B877" s="417" t="s">
        <v>691</v>
      </c>
      <c r="C877" s="83">
        <v>46220</v>
      </c>
      <c r="D877" s="417" t="s">
        <v>310</v>
      </c>
      <c r="E877">
        <v>1375.1289666666701</v>
      </c>
      <c r="F877">
        <v>3</v>
      </c>
      <c r="G877">
        <v>458.37632222222197</v>
      </c>
      <c r="H877">
        <v>0</v>
      </c>
      <c r="I877">
        <v>38.776076551164401</v>
      </c>
    </row>
    <row r="878" spans="1:9" x14ac:dyDescent="0.35">
      <c r="A878" s="417" t="s">
        <v>846</v>
      </c>
      <c r="B878" s="417" t="s">
        <v>691</v>
      </c>
      <c r="C878" s="83">
        <v>46220</v>
      </c>
      <c r="D878" s="417" t="s">
        <v>504</v>
      </c>
      <c r="E878">
        <v>1440</v>
      </c>
      <c r="F878">
        <v>1</v>
      </c>
      <c r="G878">
        <v>1440</v>
      </c>
      <c r="H878">
        <v>0</v>
      </c>
      <c r="I878">
        <v>20.4785493827161</v>
      </c>
    </row>
    <row r="879" spans="1:9" x14ac:dyDescent="0.35">
      <c r="A879" s="417" t="s">
        <v>846</v>
      </c>
      <c r="B879" s="417" t="s">
        <v>676</v>
      </c>
      <c r="C879" s="83">
        <v>46219</v>
      </c>
      <c r="D879" s="417" t="s">
        <v>677</v>
      </c>
      <c r="E879">
        <v>1358.82351666667</v>
      </c>
      <c r="F879">
        <v>166</v>
      </c>
      <c r="G879">
        <v>8.1856838353413703</v>
      </c>
      <c r="H879">
        <v>81.176483333333294</v>
      </c>
      <c r="I879">
        <v>12.966944444444399</v>
      </c>
    </row>
    <row r="880" spans="1:9" x14ac:dyDescent="0.35">
      <c r="A880" s="417" t="s">
        <v>846</v>
      </c>
      <c r="B880" s="417" t="s">
        <v>676</v>
      </c>
      <c r="C880" s="83">
        <v>46219</v>
      </c>
      <c r="D880" s="417" t="s">
        <v>678</v>
      </c>
      <c r="E880">
        <v>1403.33431666667</v>
      </c>
      <c r="F880">
        <v>25</v>
      </c>
      <c r="G880">
        <v>56.133372666666702</v>
      </c>
      <c r="H880">
        <v>12.875766666666699</v>
      </c>
      <c r="I880">
        <v>100.112971704233</v>
      </c>
    </row>
    <row r="881" spans="1:9" x14ac:dyDescent="0.35">
      <c r="A881" s="417" t="s">
        <v>846</v>
      </c>
      <c r="B881" s="417" t="s">
        <v>676</v>
      </c>
      <c r="C881" s="83">
        <v>46219</v>
      </c>
      <c r="D881" s="417" t="s">
        <v>679</v>
      </c>
      <c r="E881">
        <v>1326.67301666667</v>
      </c>
      <c r="F881">
        <v>17</v>
      </c>
      <c r="G881">
        <v>78.039589215686306</v>
      </c>
      <c r="H881">
        <v>10.902950000000001</v>
      </c>
      <c r="I881">
        <v>84.076470771915496</v>
      </c>
    </row>
    <row r="882" spans="1:9" x14ac:dyDescent="0.35">
      <c r="A882" s="417" t="s">
        <v>846</v>
      </c>
      <c r="B882" s="417" t="s">
        <v>680</v>
      </c>
      <c r="C882" s="83">
        <v>46219</v>
      </c>
      <c r="D882" s="417" t="s">
        <v>689</v>
      </c>
      <c r="E882">
        <v>1359.6792166666701</v>
      </c>
      <c r="F882">
        <v>68</v>
      </c>
      <c r="G882">
        <v>19.9952825980392</v>
      </c>
      <c r="H882">
        <v>1.67405</v>
      </c>
      <c r="I882">
        <v>82.552028713653598</v>
      </c>
    </row>
    <row r="883" spans="1:9" x14ac:dyDescent="0.35">
      <c r="A883" s="417" t="s">
        <v>846</v>
      </c>
      <c r="B883" s="417" t="s">
        <v>680</v>
      </c>
      <c r="C883" s="83">
        <v>46219</v>
      </c>
      <c r="D883" s="417" t="s">
        <v>686</v>
      </c>
      <c r="E883">
        <v>1336.7251166666699</v>
      </c>
      <c r="F883">
        <v>30</v>
      </c>
      <c r="G883">
        <v>44.557503888888903</v>
      </c>
      <c r="H883">
        <v>22.453116666666698</v>
      </c>
      <c r="I883">
        <v>105.496900548087</v>
      </c>
    </row>
    <row r="884" spans="1:9" x14ac:dyDescent="0.35">
      <c r="A884" s="417" t="s">
        <v>846</v>
      </c>
      <c r="B884" s="417" t="s">
        <v>680</v>
      </c>
      <c r="C884" s="83">
        <v>46219</v>
      </c>
      <c r="D884" s="417" t="s">
        <v>684</v>
      </c>
      <c r="E884">
        <v>1388.5171166666701</v>
      </c>
      <c r="F884">
        <v>27</v>
      </c>
      <c r="G884">
        <v>51.426559876543202</v>
      </c>
      <c r="H884">
        <v>10.43815</v>
      </c>
      <c r="I884">
        <v>53.2094658570823</v>
      </c>
    </row>
    <row r="885" spans="1:9" x14ac:dyDescent="0.35">
      <c r="A885" s="417" t="s">
        <v>846</v>
      </c>
      <c r="B885" s="417" t="s">
        <v>680</v>
      </c>
      <c r="C885" s="83">
        <v>46219</v>
      </c>
      <c r="D885" s="417" t="s">
        <v>681</v>
      </c>
      <c r="E885">
        <v>1414.8010681083299</v>
      </c>
      <c r="F885">
        <v>27</v>
      </c>
      <c r="G885">
        <v>52.400039559567901</v>
      </c>
      <c r="H885">
        <v>2.60808333333333</v>
      </c>
      <c r="I885">
        <v>78.501502035618898</v>
      </c>
    </row>
    <row r="886" spans="1:9" x14ac:dyDescent="0.35">
      <c r="A886" s="417" t="s">
        <v>846</v>
      </c>
      <c r="B886" s="417" t="s">
        <v>680</v>
      </c>
      <c r="C886" s="83">
        <v>46219</v>
      </c>
      <c r="D886" s="417" t="s">
        <v>682</v>
      </c>
      <c r="E886">
        <v>1360.2356666666701</v>
      </c>
      <c r="F886">
        <v>24</v>
      </c>
      <c r="G886">
        <v>56.676486111111103</v>
      </c>
      <c r="H886">
        <v>24.213850000000001</v>
      </c>
      <c r="I886">
        <v>52.071387264497801</v>
      </c>
    </row>
    <row r="887" spans="1:9" x14ac:dyDescent="0.35">
      <c r="A887" s="417" t="s">
        <v>846</v>
      </c>
      <c r="B887" s="417" t="s">
        <v>680</v>
      </c>
      <c r="C887" s="83">
        <v>46219</v>
      </c>
      <c r="D887" s="417" t="s">
        <v>683</v>
      </c>
      <c r="E887">
        <v>1369.5522000000001</v>
      </c>
      <c r="F887">
        <v>20</v>
      </c>
      <c r="G887">
        <v>68.477609999999999</v>
      </c>
      <c r="H887">
        <v>3.9188499999999999</v>
      </c>
      <c r="I887">
        <v>70.734272882893194</v>
      </c>
    </row>
    <row r="888" spans="1:9" x14ac:dyDescent="0.35">
      <c r="A888" s="417" t="s">
        <v>846</v>
      </c>
      <c r="B888" s="417" t="s">
        <v>680</v>
      </c>
      <c r="C888" s="83">
        <v>46219</v>
      </c>
      <c r="D888" s="417" t="s">
        <v>685</v>
      </c>
      <c r="E888">
        <v>1410.37783333333</v>
      </c>
      <c r="F888">
        <v>16</v>
      </c>
      <c r="G888">
        <v>88.148614583333398</v>
      </c>
      <c r="H888">
        <v>21.867833333333301</v>
      </c>
      <c r="I888">
        <v>80.220941801786907</v>
      </c>
    </row>
    <row r="889" spans="1:9" x14ac:dyDescent="0.35">
      <c r="A889" s="417" t="s">
        <v>846</v>
      </c>
      <c r="B889" s="417" t="s">
        <v>680</v>
      </c>
      <c r="C889" s="83">
        <v>46219</v>
      </c>
      <c r="D889" s="417" t="s">
        <v>690</v>
      </c>
      <c r="E889">
        <v>1419.50833333333</v>
      </c>
      <c r="F889">
        <v>13</v>
      </c>
      <c r="G889">
        <v>109.19294871794899</v>
      </c>
      <c r="H889">
        <v>8.8895499999999998</v>
      </c>
      <c r="I889">
        <v>66.266407444354897</v>
      </c>
    </row>
    <row r="890" spans="1:9" x14ac:dyDescent="0.35">
      <c r="A890" s="417" t="s">
        <v>846</v>
      </c>
      <c r="B890" s="417" t="s">
        <v>680</v>
      </c>
      <c r="C890" s="83">
        <v>46219</v>
      </c>
      <c r="D890" s="417" t="s">
        <v>687</v>
      </c>
      <c r="E890">
        <v>1419.75833333333</v>
      </c>
      <c r="F890">
        <v>11</v>
      </c>
      <c r="G890">
        <v>129.06893939393899</v>
      </c>
      <c r="H890">
        <v>11.0942833333333</v>
      </c>
      <c r="I890">
        <v>38.6003798728918</v>
      </c>
    </row>
    <row r="891" spans="1:9" x14ac:dyDescent="0.35">
      <c r="A891" s="417" t="s">
        <v>846</v>
      </c>
      <c r="B891" s="417" t="s">
        <v>680</v>
      </c>
      <c r="C891" s="83">
        <v>46219</v>
      </c>
      <c r="D891" s="417" t="s">
        <v>688</v>
      </c>
      <c r="E891">
        <v>1430.9568666666701</v>
      </c>
      <c r="F891">
        <v>9</v>
      </c>
      <c r="G891">
        <v>158.99520740740701</v>
      </c>
      <c r="H891">
        <v>4.2055666666666696</v>
      </c>
      <c r="I891">
        <v>76.920335018114699</v>
      </c>
    </row>
    <row r="892" spans="1:9" x14ac:dyDescent="0.35">
      <c r="A892" s="417" t="s">
        <v>846</v>
      </c>
      <c r="B892" s="417" t="s">
        <v>691</v>
      </c>
      <c r="C892" s="83">
        <v>46219</v>
      </c>
      <c r="D892" s="417" t="s">
        <v>301</v>
      </c>
      <c r="E892">
        <v>678.86069999999995</v>
      </c>
      <c r="F892">
        <v>51</v>
      </c>
      <c r="G892">
        <v>13.3109941176471</v>
      </c>
      <c r="H892">
        <v>1.64703333333333</v>
      </c>
      <c r="I892">
        <v>32.609913577935899</v>
      </c>
    </row>
    <row r="893" spans="1:9" x14ac:dyDescent="0.35">
      <c r="A893" s="417" t="s">
        <v>846</v>
      </c>
      <c r="B893" s="417" t="s">
        <v>691</v>
      </c>
      <c r="C893" s="83">
        <v>46219</v>
      </c>
      <c r="D893" s="417" t="s">
        <v>303</v>
      </c>
      <c r="E893">
        <v>693.11471666666705</v>
      </c>
      <c r="F893">
        <v>48</v>
      </c>
      <c r="G893">
        <v>14.4398899305556</v>
      </c>
      <c r="H893">
        <v>0.30416666666666697</v>
      </c>
      <c r="I893">
        <v>30.998693827952799</v>
      </c>
    </row>
    <row r="894" spans="1:9" x14ac:dyDescent="0.35">
      <c r="A894" s="417" t="s">
        <v>846</v>
      </c>
      <c r="B894" s="417" t="s">
        <v>691</v>
      </c>
      <c r="C894" s="83">
        <v>46219</v>
      </c>
      <c r="D894" s="417" t="s">
        <v>295</v>
      </c>
      <c r="E894">
        <v>848.06190000000004</v>
      </c>
      <c r="F894">
        <v>40</v>
      </c>
      <c r="G894">
        <v>21.2015475</v>
      </c>
      <c r="H894">
        <v>0</v>
      </c>
      <c r="I894">
        <v>30.6775204114875</v>
      </c>
    </row>
    <row r="895" spans="1:9" x14ac:dyDescent="0.35">
      <c r="A895" s="417" t="s">
        <v>846</v>
      </c>
      <c r="B895" s="417" t="s">
        <v>691</v>
      </c>
      <c r="C895" s="83">
        <v>46219</v>
      </c>
      <c r="D895" s="417" t="s">
        <v>342</v>
      </c>
      <c r="E895">
        <v>871.42661666666697</v>
      </c>
      <c r="F895">
        <v>25</v>
      </c>
      <c r="G895">
        <v>34.857064666666702</v>
      </c>
      <c r="H895">
        <v>48.004366666666698</v>
      </c>
      <c r="I895">
        <v>18.973214285714299</v>
      </c>
    </row>
    <row r="896" spans="1:9" x14ac:dyDescent="0.35">
      <c r="A896" s="417" t="s">
        <v>846</v>
      </c>
      <c r="B896" s="417" t="s">
        <v>691</v>
      </c>
      <c r="C896" s="83">
        <v>46219</v>
      </c>
      <c r="D896" s="417" t="s">
        <v>305</v>
      </c>
      <c r="E896">
        <v>641.51558333333298</v>
      </c>
      <c r="F896">
        <v>20</v>
      </c>
      <c r="G896">
        <v>32.075779166666699</v>
      </c>
      <c r="H896">
        <v>0</v>
      </c>
      <c r="I896">
        <v>28.7352438044195</v>
      </c>
    </row>
    <row r="897" spans="1:9" x14ac:dyDescent="0.35">
      <c r="A897" s="417" t="s">
        <v>846</v>
      </c>
      <c r="B897" s="417" t="s">
        <v>691</v>
      </c>
      <c r="C897" s="83">
        <v>46219</v>
      </c>
      <c r="D897" s="417" t="s">
        <v>299</v>
      </c>
      <c r="E897">
        <v>1328.8069166666701</v>
      </c>
      <c r="F897">
        <v>19</v>
      </c>
      <c r="G897">
        <v>69.937206140350895</v>
      </c>
      <c r="H897">
        <v>8.4133333333333296E-2</v>
      </c>
      <c r="I897">
        <v>20.372921851808101</v>
      </c>
    </row>
    <row r="898" spans="1:9" x14ac:dyDescent="0.35">
      <c r="A898" s="417" t="s">
        <v>846</v>
      </c>
      <c r="B898" s="417" t="s">
        <v>691</v>
      </c>
      <c r="C898" s="83">
        <v>46219</v>
      </c>
      <c r="D898" s="417" t="s">
        <v>309</v>
      </c>
      <c r="E898">
        <v>543.82446666666704</v>
      </c>
      <c r="F898">
        <v>15</v>
      </c>
      <c r="G898">
        <v>36.254964444444397</v>
      </c>
      <c r="H898">
        <v>0</v>
      </c>
      <c r="I898">
        <v>15.666041763897301</v>
      </c>
    </row>
    <row r="899" spans="1:9" x14ac:dyDescent="0.35">
      <c r="A899" s="417" t="s">
        <v>846</v>
      </c>
      <c r="B899" s="417" t="s">
        <v>691</v>
      </c>
      <c r="C899" s="83">
        <v>46219</v>
      </c>
      <c r="D899" s="417" t="s">
        <v>317</v>
      </c>
      <c r="E899">
        <v>1433.77921666667</v>
      </c>
      <c r="F899">
        <v>7</v>
      </c>
      <c r="G899">
        <v>204.82560238095201</v>
      </c>
      <c r="H899">
        <v>4.7998833333333302</v>
      </c>
      <c r="I899">
        <v>8.3068077382745198</v>
      </c>
    </row>
    <row r="900" spans="1:9" x14ac:dyDescent="0.35">
      <c r="A900" s="417" t="s">
        <v>846</v>
      </c>
      <c r="B900" s="417" t="s">
        <v>691</v>
      </c>
      <c r="C900" s="83">
        <v>46219</v>
      </c>
      <c r="D900" s="417" t="s">
        <v>310</v>
      </c>
      <c r="E900">
        <v>730.40541666666695</v>
      </c>
      <c r="F900">
        <v>3</v>
      </c>
      <c r="G900">
        <v>243.468472222222</v>
      </c>
      <c r="H900">
        <v>0</v>
      </c>
      <c r="I900">
        <v>22.4410353590808</v>
      </c>
    </row>
    <row r="901" spans="1:9" x14ac:dyDescent="0.35">
      <c r="A901" s="417" t="s">
        <v>846</v>
      </c>
      <c r="B901" s="417" t="s">
        <v>691</v>
      </c>
      <c r="C901" s="83">
        <v>46219</v>
      </c>
      <c r="D901" s="417" t="s">
        <v>314</v>
      </c>
      <c r="E901">
        <v>1434.55216666667</v>
      </c>
      <c r="F901">
        <v>2</v>
      </c>
      <c r="G901">
        <v>717.27608333333296</v>
      </c>
      <c r="H901">
        <v>2.5083333333333301E-2</v>
      </c>
      <c r="I901">
        <v>9.7822333469056293</v>
      </c>
    </row>
    <row r="902" spans="1:9" x14ac:dyDescent="0.35">
      <c r="A902" s="417" t="s">
        <v>846</v>
      </c>
      <c r="B902" s="417" t="s">
        <v>691</v>
      </c>
      <c r="C902" s="83">
        <v>46219</v>
      </c>
      <c r="D902" s="417" t="s">
        <v>504</v>
      </c>
      <c r="E902">
        <v>1440</v>
      </c>
      <c r="F902">
        <v>1</v>
      </c>
      <c r="G902">
        <v>1440</v>
      </c>
      <c r="H902">
        <v>0</v>
      </c>
      <c r="I902">
        <v>8.2768518518518697</v>
      </c>
    </row>
    <row r="903" spans="1:9" x14ac:dyDescent="0.35">
      <c r="A903" s="417" t="s">
        <v>846</v>
      </c>
      <c r="B903" s="417" t="s">
        <v>691</v>
      </c>
      <c r="C903" s="83">
        <v>46219</v>
      </c>
      <c r="D903" s="417" t="s">
        <v>313</v>
      </c>
      <c r="E903">
        <v>1430.55316666667</v>
      </c>
      <c r="F903">
        <v>1</v>
      </c>
      <c r="G903">
        <v>1430.55316666667</v>
      </c>
      <c r="H903">
        <v>0</v>
      </c>
      <c r="I903">
        <v>11.6353592357456</v>
      </c>
    </row>
    <row r="904" spans="1:9" x14ac:dyDescent="0.35">
      <c r="A904" s="417" t="s">
        <v>846</v>
      </c>
      <c r="B904" s="417" t="s">
        <v>676</v>
      </c>
      <c r="C904" s="83">
        <v>46218</v>
      </c>
      <c r="D904" s="417" t="s">
        <v>677</v>
      </c>
      <c r="E904">
        <v>1362.8613</v>
      </c>
      <c r="F904">
        <v>161</v>
      </c>
      <c r="G904">
        <v>8.4649770186335402</v>
      </c>
      <c r="H904">
        <v>77.1387</v>
      </c>
      <c r="I904">
        <v>18.081666666666599</v>
      </c>
    </row>
    <row r="905" spans="1:9" x14ac:dyDescent="0.35">
      <c r="A905" s="417" t="s">
        <v>846</v>
      </c>
      <c r="B905" s="417" t="s">
        <v>676</v>
      </c>
      <c r="C905" s="83">
        <v>46218</v>
      </c>
      <c r="D905" s="417" t="s">
        <v>678</v>
      </c>
      <c r="E905">
        <v>1404.9621999999999</v>
      </c>
      <c r="F905">
        <v>14</v>
      </c>
      <c r="G905">
        <v>100.354442857143</v>
      </c>
      <c r="H905">
        <v>8.5180166666666697</v>
      </c>
      <c r="I905">
        <v>81.266318395471401</v>
      </c>
    </row>
    <row r="906" spans="1:9" x14ac:dyDescent="0.35">
      <c r="A906" s="417" t="s">
        <v>846</v>
      </c>
      <c r="B906" s="417" t="s">
        <v>676</v>
      </c>
      <c r="C906" s="83">
        <v>46218</v>
      </c>
      <c r="D906" s="417" t="s">
        <v>679</v>
      </c>
      <c r="E906">
        <v>1387.87038333333</v>
      </c>
      <c r="F906">
        <v>12</v>
      </c>
      <c r="G906">
        <v>115.65586527777801</v>
      </c>
      <c r="H906">
        <v>8.9935166666666699</v>
      </c>
      <c r="I906">
        <v>33.017055801451598</v>
      </c>
    </row>
    <row r="907" spans="1:9" x14ac:dyDescent="0.35">
      <c r="A907" s="417" t="s">
        <v>846</v>
      </c>
      <c r="B907" s="417" t="s">
        <v>680</v>
      </c>
      <c r="C907" s="83">
        <v>46218</v>
      </c>
      <c r="D907" s="417" t="s">
        <v>681</v>
      </c>
      <c r="E907">
        <v>1385.8525</v>
      </c>
      <c r="F907">
        <v>56</v>
      </c>
      <c r="G907">
        <v>24.747366071428601</v>
      </c>
      <c r="H907">
        <v>0</v>
      </c>
      <c r="I907">
        <v>73.795005275555496</v>
      </c>
    </row>
    <row r="908" spans="1:9" x14ac:dyDescent="0.35">
      <c r="A908" s="417" t="s">
        <v>846</v>
      </c>
      <c r="B908" s="417" t="s">
        <v>680</v>
      </c>
      <c r="C908" s="83">
        <v>46218</v>
      </c>
      <c r="D908" s="417" t="s">
        <v>684</v>
      </c>
      <c r="E908">
        <v>1389.8716999999999</v>
      </c>
      <c r="F908">
        <v>51</v>
      </c>
      <c r="G908">
        <v>27.252386274509799</v>
      </c>
      <c r="H908">
        <v>24.63795</v>
      </c>
      <c r="I908">
        <v>57.484443560081999</v>
      </c>
    </row>
    <row r="909" spans="1:9" x14ac:dyDescent="0.35">
      <c r="A909" s="417" t="s">
        <v>846</v>
      </c>
      <c r="B909" s="417" t="s">
        <v>680</v>
      </c>
      <c r="C909" s="83">
        <v>46218</v>
      </c>
      <c r="D909" s="417" t="s">
        <v>689</v>
      </c>
      <c r="E909">
        <v>1374.48425</v>
      </c>
      <c r="F909">
        <v>49</v>
      </c>
      <c r="G909">
        <v>28.0506989795918</v>
      </c>
      <c r="H909">
        <v>2.3261833333333302</v>
      </c>
      <c r="I909">
        <v>58.808324406225204</v>
      </c>
    </row>
    <row r="910" spans="1:9" x14ac:dyDescent="0.35">
      <c r="A910" s="417" t="s">
        <v>846</v>
      </c>
      <c r="B910" s="417" t="s">
        <v>680</v>
      </c>
      <c r="C910" s="83">
        <v>46218</v>
      </c>
      <c r="D910" s="417" t="s">
        <v>686</v>
      </c>
      <c r="E910">
        <v>1348.5024000000001</v>
      </c>
      <c r="F910">
        <v>33</v>
      </c>
      <c r="G910">
        <v>40.863709090909097</v>
      </c>
      <c r="H910">
        <v>40.502116666666701</v>
      </c>
      <c r="I910">
        <v>85.447430780291995</v>
      </c>
    </row>
    <row r="911" spans="1:9" x14ac:dyDescent="0.35">
      <c r="A911" s="417" t="s">
        <v>846</v>
      </c>
      <c r="B911" s="417" t="s">
        <v>680</v>
      </c>
      <c r="C911" s="83">
        <v>46218</v>
      </c>
      <c r="D911" s="417" t="s">
        <v>682</v>
      </c>
      <c r="E911">
        <v>1381.3212000000001</v>
      </c>
      <c r="F911">
        <v>27</v>
      </c>
      <c r="G911">
        <v>51.160044444444402</v>
      </c>
      <c r="H911">
        <v>18.0187666666667</v>
      </c>
      <c r="I911">
        <v>57.096957022988597</v>
      </c>
    </row>
    <row r="912" spans="1:9" x14ac:dyDescent="0.35">
      <c r="A912" s="417" t="s">
        <v>846</v>
      </c>
      <c r="B912" s="417" t="s">
        <v>680</v>
      </c>
      <c r="C912" s="83">
        <v>46218</v>
      </c>
      <c r="D912" s="417" t="s">
        <v>685</v>
      </c>
      <c r="E912">
        <v>1267.46536666667</v>
      </c>
      <c r="F912">
        <v>25</v>
      </c>
      <c r="G912">
        <v>50.6986146666667</v>
      </c>
      <c r="H912">
        <v>1.9872333333333301</v>
      </c>
      <c r="I912">
        <v>52.645079013422901</v>
      </c>
    </row>
    <row r="913" spans="1:9" x14ac:dyDescent="0.35">
      <c r="A913" s="417" t="s">
        <v>846</v>
      </c>
      <c r="B913" s="417" t="s">
        <v>680</v>
      </c>
      <c r="C913" s="83">
        <v>46218</v>
      </c>
      <c r="D913" s="417" t="s">
        <v>687</v>
      </c>
      <c r="E913">
        <v>1403.1905666666701</v>
      </c>
      <c r="F913">
        <v>24</v>
      </c>
      <c r="G913">
        <v>58.466273611111099</v>
      </c>
      <c r="H913">
        <v>13.324299999999999</v>
      </c>
      <c r="I913">
        <v>35.420094832578698</v>
      </c>
    </row>
    <row r="914" spans="1:9" x14ac:dyDescent="0.35">
      <c r="A914" s="417" t="s">
        <v>846</v>
      </c>
      <c r="B914" s="417" t="s">
        <v>680</v>
      </c>
      <c r="C914" s="83">
        <v>46218</v>
      </c>
      <c r="D914" s="417" t="s">
        <v>683</v>
      </c>
      <c r="E914">
        <v>1406.0605333333301</v>
      </c>
      <c r="F914">
        <v>21</v>
      </c>
      <c r="G914">
        <v>66.955263492063494</v>
      </c>
      <c r="H914">
        <v>1.15903333333333</v>
      </c>
      <c r="I914">
        <v>70.783931843387293</v>
      </c>
    </row>
    <row r="915" spans="1:9" x14ac:dyDescent="0.35">
      <c r="A915" s="417" t="s">
        <v>846</v>
      </c>
      <c r="B915" s="417" t="s">
        <v>680</v>
      </c>
      <c r="C915" s="83">
        <v>46218</v>
      </c>
      <c r="D915" s="417" t="s">
        <v>688</v>
      </c>
      <c r="E915">
        <v>1406.8615500000001</v>
      </c>
      <c r="F915">
        <v>19</v>
      </c>
      <c r="G915">
        <v>74.045344736842097</v>
      </c>
      <c r="H915">
        <v>6.8331166666666698</v>
      </c>
      <c r="I915">
        <v>71.933344582248097</v>
      </c>
    </row>
    <row r="916" spans="1:9" x14ac:dyDescent="0.35">
      <c r="A916" s="417" t="s">
        <v>846</v>
      </c>
      <c r="B916" s="417" t="s">
        <v>680</v>
      </c>
      <c r="C916" s="83">
        <v>46218</v>
      </c>
      <c r="D916" s="417" t="s">
        <v>690</v>
      </c>
      <c r="E916">
        <v>1400.8245666666701</v>
      </c>
      <c r="F916">
        <v>16</v>
      </c>
      <c r="G916">
        <v>87.551535416666695</v>
      </c>
      <c r="H916">
        <v>3.3237333333333301</v>
      </c>
      <c r="I916">
        <v>64.146373801252807</v>
      </c>
    </row>
    <row r="917" spans="1:9" x14ac:dyDescent="0.35">
      <c r="A917" s="417" t="s">
        <v>846</v>
      </c>
      <c r="B917" s="417" t="s">
        <v>691</v>
      </c>
      <c r="C917" s="83">
        <v>46218</v>
      </c>
      <c r="D917" s="417" t="s">
        <v>305</v>
      </c>
      <c r="E917">
        <v>1257.1433833333299</v>
      </c>
      <c r="F917">
        <v>145</v>
      </c>
      <c r="G917">
        <v>8.6699543678160893</v>
      </c>
      <c r="H917">
        <v>1.79663333333333</v>
      </c>
      <c r="I917">
        <v>58.169841176736398</v>
      </c>
    </row>
    <row r="918" spans="1:9" x14ac:dyDescent="0.35">
      <c r="A918" s="417" t="s">
        <v>846</v>
      </c>
      <c r="B918" s="417" t="s">
        <v>691</v>
      </c>
      <c r="C918" s="83">
        <v>46218</v>
      </c>
      <c r="D918" s="417" t="s">
        <v>295</v>
      </c>
      <c r="E918">
        <v>1334.45775</v>
      </c>
      <c r="F918">
        <v>104</v>
      </c>
      <c r="G918">
        <v>12.831324519230799</v>
      </c>
      <c r="H918">
        <v>0.64241666666666697</v>
      </c>
      <c r="I918">
        <v>81.653386906921</v>
      </c>
    </row>
    <row r="919" spans="1:9" x14ac:dyDescent="0.35">
      <c r="A919" s="417" t="s">
        <v>846</v>
      </c>
      <c r="B919" s="417" t="s">
        <v>691</v>
      </c>
      <c r="C919" s="83">
        <v>46218</v>
      </c>
      <c r="D919" s="417" t="s">
        <v>303</v>
      </c>
      <c r="E919">
        <v>1378.3365833333301</v>
      </c>
      <c r="F919">
        <v>96</v>
      </c>
      <c r="G919">
        <v>14.3576727430556</v>
      </c>
      <c r="H919">
        <v>0.76766666666666605</v>
      </c>
      <c r="I919">
        <v>49.840525237607302</v>
      </c>
    </row>
    <row r="920" spans="1:9" x14ac:dyDescent="0.35">
      <c r="A920" s="417" t="s">
        <v>846</v>
      </c>
      <c r="B920" s="417" t="s">
        <v>691</v>
      </c>
      <c r="C920" s="83">
        <v>46218</v>
      </c>
      <c r="D920" s="417" t="s">
        <v>342</v>
      </c>
      <c r="E920">
        <v>1254.5046500000001</v>
      </c>
      <c r="F920">
        <v>68</v>
      </c>
      <c r="G920">
        <v>18.4485977941176</v>
      </c>
      <c r="H920">
        <v>96.858783333333307</v>
      </c>
      <c r="I920">
        <v>49.632936507936499</v>
      </c>
    </row>
    <row r="921" spans="1:9" x14ac:dyDescent="0.35">
      <c r="A921" s="417" t="s">
        <v>846</v>
      </c>
      <c r="B921" s="417" t="s">
        <v>691</v>
      </c>
      <c r="C921" s="83">
        <v>46218</v>
      </c>
      <c r="D921" s="417" t="s">
        <v>309</v>
      </c>
      <c r="E921">
        <v>1349.8783166666699</v>
      </c>
      <c r="F921">
        <v>67</v>
      </c>
      <c r="G921">
        <v>20.147437562189101</v>
      </c>
      <c r="H921">
        <v>0</v>
      </c>
      <c r="I921">
        <v>59.257524016930603</v>
      </c>
    </row>
    <row r="922" spans="1:9" x14ac:dyDescent="0.35">
      <c r="A922" s="417" t="s">
        <v>846</v>
      </c>
      <c r="B922" s="417" t="s">
        <v>691</v>
      </c>
      <c r="C922" s="83">
        <v>46218</v>
      </c>
      <c r="D922" s="417" t="s">
        <v>299</v>
      </c>
      <c r="E922">
        <v>1382.13601666667</v>
      </c>
      <c r="F922">
        <v>62</v>
      </c>
      <c r="G922">
        <v>22.2925163978495</v>
      </c>
      <c r="H922">
        <v>0.25431666666666702</v>
      </c>
      <c r="I922">
        <v>77.272549601849803</v>
      </c>
    </row>
    <row r="923" spans="1:9" x14ac:dyDescent="0.35">
      <c r="A923" s="417" t="s">
        <v>846</v>
      </c>
      <c r="B923" s="417" t="s">
        <v>691</v>
      </c>
      <c r="C923" s="83">
        <v>46218</v>
      </c>
      <c r="D923" s="417" t="s">
        <v>301</v>
      </c>
      <c r="E923">
        <v>1331.3878500000001</v>
      </c>
      <c r="F923">
        <v>59</v>
      </c>
      <c r="G923">
        <v>22.5658957627119</v>
      </c>
      <c r="H923">
        <v>2.6595499999999999</v>
      </c>
      <c r="I923">
        <v>64.069502769561495</v>
      </c>
    </row>
    <row r="924" spans="1:9" x14ac:dyDescent="0.35">
      <c r="A924" s="417" t="s">
        <v>846</v>
      </c>
      <c r="B924" s="417" t="s">
        <v>691</v>
      </c>
      <c r="C924" s="83">
        <v>46218</v>
      </c>
      <c r="D924" s="417" t="s">
        <v>314</v>
      </c>
      <c r="E924">
        <v>1405.28575</v>
      </c>
      <c r="F924">
        <v>28</v>
      </c>
      <c r="G924">
        <v>50.188776785714303</v>
      </c>
      <c r="H924">
        <v>0.65400000000000003</v>
      </c>
      <c r="I924">
        <v>34.532721250871099</v>
      </c>
    </row>
    <row r="925" spans="1:9" x14ac:dyDescent="0.35">
      <c r="A925" s="417" t="s">
        <v>846</v>
      </c>
      <c r="B925" s="417" t="s">
        <v>691</v>
      </c>
      <c r="C925" s="83">
        <v>46218</v>
      </c>
      <c r="D925" s="417" t="s">
        <v>313</v>
      </c>
      <c r="E925">
        <v>1319.1293000000001</v>
      </c>
      <c r="F925">
        <v>15</v>
      </c>
      <c r="G925">
        <v>87.941953333333302</v>
      </c>
      <c r="H925">
        <v>15.8975166666667</v>
      </c>
      <c r="I925">
        <v>44.974536270990498</v>
      </c>
    </row>
    <row r="926" spans="1:9" x14ac:dyDescent="0.35">
      <c r="A926" s="417" t="s">
        <v>846</v>
      </c>
      <c r="B926" s="417" t="s">
        <v>691</v>
      </c>
      <c r="C926" s="83">
        <v>46218</v>
      </c>
      <c r="D926" s="417" t="s">
        <v>317</v>
      </c>
      <c r="E926">
        <v>1433.7080166666699</v>
      </c>
      <c r="F926">
        <v>4</v>
      </c>
      <c r="G926">
        <v>358.42700416666702</v>
      </c>
      <c r="H926">
        <v>5.3613833333333298</v>
      </c>
      <c r="I926">
        <v>29.248068230760801</v>
      </c>
    </row>
    <row r="927" spans="1:9" x14ac:dyDescent="0.35">
      <c r="A927" s="417" t="s">
        <v>846</v>
      </c>
      <c r="B927" s="417" t="s">
        <v>691</v>
      </c>
      <c r="C927" s="83">
        <v>46218</v>
      </c>
      <c r="D927" s="417" t="s">
        <v>310</v>
      </c>
      <c r="E927">
        <v>1416.7971500000001</v>
      </c>
      <c r="F927">
        <v>4</v>
      </c>
      <c r="G927">
        <v>354.19928750000003</v>
      </c>
      <c r="H927">
        <v>0</v>
      </c>
      <c r="I927">
        <v>48.5598916604458</v>
      </c>
    </row>
    <row r="928" spans="1:9" x14ac:dyDescent="0.35">
      <c r="A928" s="417" t="s">
        <v>846</v>
      </c>
      <c r="B928" s="417" t="s">
        <v>691</v>
      </c>
      <c r="C928" s="83">
        <v>46218</v>
      </c>
      <c r="D928" s="417" t="s">
        <v>504</v>
      </c>
      <c r="E928">
        <v>1440</v>
      </c>
      <c r="F928">
        <v>1</v>
      </c>
      <c r="G928">
        <v>1440</v>
      </c>
      <c r="H928">
        <v>0</v>
      </c>
      <c r="I928">
        <v>32.5384259259259</v>
      </c>
    </row>
    <row r="929" spans="1:9" x14ac:dyDescent="0.35">
      <c r="A929" s="417" t="s">
        <v>846</v>
      </c>
      <c r="B929" s="417" t="s">
        <v>676</v>
      </c>
      <c r="C929" s="83">
        <v>46217</v>
      </c>
      <c r="D929" s="417" t="s">
        <v>677</v>
      </c>
      <c r="E929">
        <v>1360.6645166666699</v>
      </c>
      <c r="F929">
        <v>173</v>
      </c>
      <c r="G929">
        <v>7.8651128131021304</v>
      </c>
      <c r="H929">
        <v>79.3354833333333</v>
      </c>
      <c r="I929">
        <v>17.598611111111101</v>
      </c>
    </row>
    <row r="930" spans="1:9" x14ac:dyDescent="0.35">
      <c r="A930" s="417" t="s">
        <v>846</v>
      </c>
      <c r="B930" s="417" t="s">
        <v>676</v>
      </c>
      <c r="C930" s="83">
        <v>46217</v>
      </c>
      <c r="D930" s="417" t="s">
        <v>678</v>
      </c>
      <c r="E930">
        <v>1384.8701000000001</v>
      </c>
      <c r="F930">
        <v>41</v>
      </c>
      <c r="G930">
        <v>33.777319512195099</v>
      </c>
      <c r="H930">
        <v>21.698033333333299</v>
      </c>
      <c r="I930">
        <v>81.236022125151706</v>
      </c>
    </row>
    <row r="931" spans="1:9" x14ac:dyDescent="0.35">
      <c r="A931" s="417" t="s">
        <v>846</v>
      </c>
      <c r="B931" s="417" t="s">
        <v>676</v>
      </c>
      <c r="C931" s="83">
        <v>46217</v>
      </c>
      <c r="D931" s="417" t="s">
        <v>679</v>
      </c>
      <c r="E931">
        <v>1310.9876833333301</v>
      </c>
      <c r="F931">
        <v>19</v>
      </c>
      <c r="G931">
        <v>68.999351754385998</v>
      </c>
      <c r="H931">
        <v>29.837566666666699</v>
      </c>
      <c r="I931">
        <v>38.342555576624697</v>
      </c>
    </row>
    <row r="932" spans="1:9" x14ac:dyDescent="0.35">
      <c r="A932" s="417" t="s">
        <v>846</v>
      </c>
      <c r="B932" s="417" t="s">
        <v>680</v>
      </c>
      <c r="C932" s="83">
        <v>46217</v>
      </c>
      <c r="D932" s="417" t="s">
        <v>681</v>
      </c>
      <c r="E932">
        <v>558.91216666666696</v>
      </c>
      <c r="F932">
        <v>60</v>
      </c>
      <c r="G932">
        <v>9.3152027777777793</v>
      </c>
      <c r="H932">
        <v>3.67395</v>
      </c>
      <c r="I932">
        <v>31.148767932321</v>
      </c>
    </row>
    <row r="933" spans="1:9" x14ac:dyDescent="0.35">
      <c r="A933" s="417" t="s">
        <v>846</v>
      </c>
      <c r="B933" s="417" t="s">
        <v>680</v>
      </c>
      <c r="C933" s="83">
        <v>46217</v>
      </c>
      <c r="D933" s="417" t="s">
        <v>689</v>
      </c>
      <c r="E933">
        <v>1341.28225</v>
      </c>
      <c r="F933">
        <v>26</v>
      </c>
      <c r="G933">
        <v>51.587778846153803</v>
      </c>
      <c r="H933">
        <v>2.99976666666667</v>
      </c>
      <c r="I933">
        <v>34.189158581656201</v>
      </c>
    </row>
    <row r="934" spans="1:9" x14ac:dyDescent="0.35">
      <c r="A934" s="417" t="s">
        <v>846</v>
      </c>
      <c r="B934" s="417" t="s">
        <v>680</v>
      </c>
      <c r="C934" s="83">
        <v>46217</v>
      </c>
      <c r="D934" s="417" t="s">
        <v>684</v>
      </c>
      <c r="E934">
        <v>1379.8423</v>
      </c>
      <c r="F934">
        <v>26</v>
      </c>
      <c r="G934">
        <v>53.070857692307698</v>
      </c>
      <c r="H934">
        <v>22.158650000000002</v>
      </c>
      <c r="I934">
        <v>29.108086127889901</v>
      </c>
    </row>
    <row r="935" spans="1:9" x14ac:dyDescent="0.35">
      <c r="A935" s="417" t="s">
        <v>846</v>
      </c>
      <c r="B935" s="417" t="s">
        <v>680</v>
      </c>
      <c r="C935" s="83">
        <v>46217</v>
      </c>
      <c r="D935" s="417" t="s">
        <v>687</v>
      </c>
      <c r="E935">
        <v>900.24978333333399</v>
      </c>
      <c r="F935">
        <v>21</v>
      </c>
      <c r="G935">
        <v>42.869037301587298</v>
      </c>
      <c r="H935">
        <v>19.6956666666667</v>
      </c>
      <c r="I935">
        <v>25.6259539092495</v>
      </c>
    </row>
    <row r="936" spans="1:9" x14ac:dyDescent="0.35">
      <c r="A936" s="417" t="s">
        <v>846</v>
      </c>
      <c r="B936" s="417" t="s">
        <v>680</v>
      </c>
      <c r="C936" s="83">
        <v>46217</v>
      </c>
      <c r="D936" s="417" t="s">
        <v>686</v>
      </c>
      <c r="E936">
        <v>572.24300000000005</v>
      </c>
      <c r="F936">
        <v>16</v>
      </c>
      <c r="G936">
        <v>35.765187500000003</v>
      </c>
      <c r="H936">
        <v>7.4966666666666697</v>
      </c>
      <c r="I936">
        <v>92.632487236042095</v>
      </c>
    </row>
    <row r="937" spans="1:9" x14ac:dyDescent="0.35">
      <c r="A937" s="417" t="s">
        <v>846</v>
      </c>
      <c r="B937" s="417" t="s">
        <v>680</v>
      </c>
      <c r="C937" s="83">
        <v>46217</v>
      </c>
      <c r="D937" s="417" t="s">
        <v>688</v>
      </c>
      <c r="E937">
        <v>452.49856666666699</v>
      </c>
      <c r="F937">
        <v>14</v>
      </c>
      <c r="G937">
        <v>32.321326190476199</v>
      </c>
      <c r="H937">
        <v>4.8356833333333302</v>
      </c>
      <c r="I937">
        <v>26.1212121212121</v>
      </c>
    </row>
    <row r="938" spans="1:9" x14ac:dyDescent="0.35">
      <c r="A938" s="417" t="s">
        <v>846</v>
      </c>
      <c r="B938" s="417" t="s">
        <v>680</v>
      </c>
      <c r="C938" s="83">
        <v>46217</v>
      </c>
      <c r="D938" s="417" t="s">
        <v>683</v>
      </c>
      <c r="E938">
        <v>1344.03426666667</v>
      </c>
      <c r="F938">
        <v>13</v>
      </c>
      <c r="G938">
        <v>103.387251282051</v>
      </c>
      <c r="H938">
        <v>0.492433333333333</v>
      </c>
      <c r="I938">
        <v>30.095981233055198</v>
      </c>
    </row>
    <row r="939" spans="1:9" x14ac:dyDescent="0.35">
      <c r="A939" s="417" t="s">
        <v>846</v>
      </c>
      <c r="B939" s="417" t="s">
        <v>680</v>
      </c>
      <c r="C939" s="83">
        <v>46217</v>
      </c>
      <c r="D939" s="417" t="s">
        <v>685</v>
      </c>
      <c r="E939">
        <v>936.65935000000002</v>
      </c>
      <c r="F939">
        <v>11</v>
      </c>
      <c r="G939">
        <v>85.150850000000005</v>
      </c>
      <c r="H939">
        <v>6.1583500000000004</v>
      </c>
      <c r="I939">
        <v>47.4186175723842</v>
      </c>
    </row>
    <row r="940" spans="1:9" x14ac:dyDescent="0.35">
      <c r="A940" s="417" t="s">
        <v>846</v>
      </c>
      <c r="B940" s="417" t="s">
        <v>680</v>
      </c>
      <c r="C940" s="83">
        <v>46217</v>
      </c>
      <c r="D940" s="417" t="s">
        <v>682</v>
      </c>
      <c r="E940">
        <v>1083.28561666667</v>
      </c>
      <c r="F940">
        <v>10</v>
      </c>
      <c r="G940">
        <v>108.328561666667</v>
      </c>
      <c r="H940">
        <v>3.1607333333333298</v>
      </c>
      <c r="I940">
        <v>26.595547582879899</v>
      </c>
    </row>
    <row r="941" spans="1:9" x14ac:dyDescent="0.35">
      <c r="A941" s="417" t="s">
        <v>846</v>
      </c>
      <c r="B941" s="417" t="s">
        <v>680</v>
      </c>
      <c r="C941" s="83">
        <v>46217</v>
      </c>
      <c r="D941" s="417" t="s">
        <v>690</v>
      </c>
      <c r="E941">
        <v>954.99988333333295</v>
      </c>
      <c r="F941">
        <v>7</v>
      </c>
      <c r="G941">
        <v>136.42855476190499</v>
      </c>
      <c r="H941">
        <v>1.16736666666667</v>
      </c>
      <c r="I941">
        <v>40.750376405729497</v>
      </c>
    </row>
    <row r="942" spans="1:9" x14ac:dyDescent="0.35">
      <c r="A942" s="417" t="s">
        <v>846</v>
      </c>
      <c r="B942" s="417" t="s">
        <v>691</v>
      </c>
      <c r="C942" s="83">
        <v>46217</v>
      </c>
      <c r="D942" s="417" t="s">
        <v>305</v>
      </c>
      <c r="E942">
        <v>1275.9283333333301</v>
      </c>
      <c r="F942">
        <v>154</v>
      </c>
      <c r="G942">
        <v>8.2852489177489197</v>
      </c>
      <c r="H942">
        <v>13.361933333333299</v>
      </c>
      <c r="I942">
        <v>49.925891933451702</v>
      </c>
    </row>
    <row r="943" spans="1:9" x14ac:dyDescent="0.35">
      <c r="A943" s="417" t="s">
        <v>846</v>
      </c>
      <c r="B943" s="417" t="s">
        <v>691</v>
      </c>
      <c r="C943" s="83">
        <v>46217</v>
      </c>
      <c r="D943" s="417" t="s">
        <v>342</v>
      </c>
      <c r="E943">
        <v>1073.04855</v>
      </c>
      <c r="F943">
        <v>119</v>
      </c>
      <c r="G943">
        <v>9.0172147058823509</v>
      </c>
      <c r="H943">
        <v>265.14864999999998</v>
      </c>
      <c r="I943">
        <v>41.617063492063501</v>
      </c>
    </row>
    <row r="944" spans="1:9" x14ac:dyDescent="0.35">
      <c r="A944" s="417" t="s">
        <v>846</v>
      </c>
      <c r="B944" s="417" t="s">
        <v>691</v>
      </c>
      <c r="C944" s="83">
        <v>46217</v>
      </c>
      <c r="D944" s="417" t="s">
        <v>295</v>
      </c>
      <c r="E944">
        <v>1327.8338000000001</v>
      </c>
      <c r="F944">
        <v>112</v>
      </c>
      <c r="G944">
        <v>11.855658928571399</v>
      </c>
      <c r="H944">
        <v>0.25073333333333298</v>
      </c>
      <c r="I944">
        <v>79.997691108798904</v>
      </c>
    </row>
    <row r="945" spans="1:9" x14ac:dyDescent="0.35">
      <c r="A945" s="417" t="s">
        <v>846</v>
      </c>
      <c r="B945" s="417" t="s">
        <v>691</v>
      </c>
      <c r="C945" s="83">
        <v>46217</v>
      </c>
      <c r="D945" s="417" t="s">
        <v>301</v>
      </c>
      <c r="E945">
        <v>1347.0932166666701</v>
      </c>
      <c r="F945">
        <v>89</v>
      </c>
      <c r="G945">
        <v>15.135878838951299</v>
      </c>
      <c r="H945">
        <v>6.7168666666666699</v>
      </c>
      <c r="I945">
        <v>68.696299884823603</v>
      </c>
    </row>
    <row r="946" spans="1:9" x14ac:dyDescent="0.35">
      <c r="A946" s="417" t="s">
        <v>846</v>
      </c>
      <c r="B946" s="417" t="s">
        <v>691</v>
      </c>
      <c r="C946" s="83">
        <v>46217</v>
      </c>
      <c r="D946" s="417" t="s">
        <v>303</v>
      </c>
      <c r="E946">
        <v>1369.7200499999999</v>
      </c>
      <c r="F946">
        <v>78</v>
      </c>
      <c r="G946">
        <v>17.560513461538498</v>
      </c>
      <c r="H946">
        <v>0.39965000000000001</v>
      </c>
      <c r="I946">
        <v>59.049270438397102</v>
      </c>
    </row>
    <row r="947" spans="1:9" x14ac:dyDescent="0.35">
      <c r="A947" s="417" t="s">
        <v>846</v>
      </c>
      <c r="B947" s="417" t="s">
        <v>691</v>
      </c>
      <c r="C947" s="83">
        <v>46217</v>
      </c>
      <c r="D947" s="417" t="s">
        <v>299</v>
      </c>
      <c r="E947">
        <v>1366.39828333333</v>
      </c>
      <c r="F947">
        <v>64</v>
      </c>
      <c r="G947">
        <v>21.349973177083299</v>
      </c>
      <c r="H947">
        <v>0.75191666666666701</v>
      </c>
      <c r="I947">
        <v>78.416068103973899</v>
      </c>
    </row>
    <row r="948" spans="1:9" x14ac:dyDescent="0.35">
      <c r="A948" s="417" t="s">
        <v>846</v>
      </c>
      <c r="B948" s="417" t="s">
        <v>691</v>
      </c>
      <c r="C948" s="83">
        <v>46217</v>
      </c>
      <c r="D948" s="417" t="s">
        <v>309</v>
      </c>
      <c r="E948">
        <v>1349.27473333333</v>
      </c>
      <c r="F948">
        <v>56</v>
      </c>
      <c r="G948">
        <v>24.094191666666699</v>
      </c>
      <c r="H948">
        <v>0</v>
      </c>
      <c r="I948">
        <v>48.640473764757701</v>
      </c>
    </row>
    <row r="949" spans="1:9" x14ac:dyDescent="0.35">
      <c r="A949" s="417" t="s">
        <v>846</v>
      </c>
      <c r="B949" s="417" t="s">
        <v>691</v>
      </c>
      <c r="C949" s="83">
        <v>46217</v>
      </c>
      <c r="D949" s="417" t="s">
        <v>310</v>
      </c>
      <c r="E949">
        <v>1365.7465999999999</v>
      </c>
      <c r="F949">
        <v>13</v>
      </c>
      <c r="G949">
        <v>105.057430769231</v>
      </c>
      <c r="H949">
        <v>0.95168333333333299</v>
      </c>
      <c r="I949">
        <v>47.431666337957097</v>
      </c>
    </row>
    <row r="950" spans="1:9" x14ac:dyDescent="0.35">
      <c r="A950" s="417" t="s">
        <v>846</v>
      </c>
      <c r="B950" s="417" t="s">
        <v>691</v>
      </c>
      <c r="C950" s="83">
        <v>46217</v>
      </c>
      <c r="D950" s="417" t="s">
        <v>313</v>
      </c>
      <c r="E950">
        <v>1350.7193666666701</v>
      </c>
      <c r="F950">
        <v>10</v>
      </c>
      <c r="G950">
        <v>135.071936666667</v>
      </c>
      <c r="H950">
        <v>13.402699999999999</v>
      </c>
      <c r="I950">
        <v>45.8925278623786</v>
      </c>
    </row>
    <row r="951" spans="1:9" x14ac:dyDescent="0.35">
      <c r="A951" s="417" t="s">
        <v>846</v>
      </c>
      <c r="B951" s="417" t="s">
        <v>691</v>
      </c>
      <c r="C951" s="83">
        <v>46217</v>
      </c>
      <c r="D951" s="417" t="s">
        <v>317</v>
      </c>
      <c r="E951">
        <v>1430.1520166666701</v>
      </c>
      <c r="F951">
        <v>4</v>
      </c>
      <c r="G951">
        <v>357.53800416666701</v>
      </c>
      <c r="H951">
        <v>9.3184833333333295</v>
      </c>
      <c r="I951">
        <v>33.644315739711203</v>
      </c>
    </row>
    <row r="952" spans="1:9" x14ac:dyDescent="0.35">
      <c r="A952" s="417" t="s">
        <v>846</v>
      </c>
      <c r="B952" s="417" t="s">
        <v>691</v>
      </c>
      <c r="C952" s="83">
        <v>46217</v>
      </c>
      <c r="D952" s="417" t="s">
        <v>314</v>
      </c>
      <c r="E952">
        <v>1386.1297833333299</v>
      </c>
      <c r="F952">
        <v>4</v>
      </c>
      <c r="G952">
        <v>346.53244583333299</v>
      </c>
      <c r="H952">
        <v>0.118916666666667</v>
      </c>
      <c r="I952">
        <v>41.099512622833601</v>
      </c>
    </row>
    <row r="953" spans="1:9" x14ac:dyDescent="0.35">
      <c r="A953" s="417" t="s">
        <v>846</v>
      </c>
      <c r="B953" s="417" t="s">
        <v>691</v>
      </c>
      <c r="C953" s="83">
        <v>46217</v>
      </c>
      <c r="D953" s="417" t="s">
        <v>504</v>
      </c>
      <c r="E953">
        <v>1440</v>
      </c>
      <c r="F953">
        <v>1</v>
      </c>
      <c r="G953">
        <v>1440</v>
      </c>
      <c r="H953">
        <v>0</v>
      </c>
      <c r="I953">
        <v>26.1162037037037</v>
      </c>
    </row>
    <row r="954" spans="1:9" x14ac:dyDescent="0.35">
      <c r="A954" s="417" t="s">
        <v>846</v>
      </c>
      <c r="B954" s="417" t="s">
        <v>676</v>
      </c>
      <c r="C954" s="83">
        <v>46216</v>
      </c>
      <c r="D954" s="417" t="s">
        <v>677</v>
      </c>
      <c r="E954">
        <v>1240.1723</v>
      </c>
      <c r="F954">
        <v>294</v>
      </c>
      <c r="G954">
        <v>4.2182731292516999</v>
      </c>
      <c r="H954">
        <v>177.992883333333</v>
      </c>
      <c r="I954">
        <v>16.084722222222201</v>
      </c>
    </row>
    <row r="955" spans="1:9" x14ac:dyDescent="0.35">
      <c r="A955" s="417" t="s">
        <v>846</v>
      </c>
      <c r="B955" s="417" t="s">
        <v>676</v>
      </c>
      <c r="C955" s="83">
        <v>46216</v>
      </c>
      <c r="D955" s="417" t="s">
        <v>679</v>
      </c>
      <c r="E955">
        <v>1174.4490499999999</v>
      </c>
      <c r="F955">
        <v>29</v>
      </c>
      <c r="G955">
        <v>40.498243103448303</v>
      </c>
      <c r="H955">
        <v>39.356066666666699</v>
      </c>
      <c r="I955">
        <v>71.549651703423507</v>
      </c>
    </row>
    <row r="956" spans="1:9" x14ac:dyDescent="0.35">
      <c r="A956" s="417" t="s">
        <v>846</v>
      </c>
      <c r="B956" s="417" t="s">
        <v>676</v>
      </c>
      <c r="C956" s="83">
        <v>46216</v>
      </c>
      <c r="D956" s="417" t="s">
        <v>678</v>
      </c>
      <c r="E956">
        <v>1335.03103333333</v>
      </c>
      <c r="F956">
        <v>28</v>
      </c>
      <c r="G956">
        <v>47.679679761904801</v>
      </c>
      <c r="H956">
        <v>16.473600000000001</v>
      </c>
      <c r="I956">
        <v>86.8728061334307</v>
      </c>
    </row>
    <row r="957" spans="1:9" x14ac:dyDescent="0.35">
      <c r="A957" s="417" t="s">
        <v>846</v>
      </c>
      <c r="B957" s="417" t="s">
        <v>680</v>
      </c>
      <c r="C957" s="83">
        <v>46216</v>
      </c>
      <c r="D957" s="417" t="s">
        <v>689</v>
      </c>
      <c r="E957">
        <v>1398.9855333333301</v>
      </c>
      <c r="F957">
        <v>47</v>
      </c>
      <c r="G957">
        <v>29.765649645390098</v>
      </c>
      <c r="H957">
        <v>0.166583333333333</v>
      </c>
      <c r="I957">
        <v>96.337603150007297</v>
      </c>
    </row>
    <row r="958" spans="1:9" x14ac:dyDescent="0.35">
      <c r="A958" s="417" t="s">
        <v>846</v>
      </c>
      <c r="B958" s="417" t="s">
        <v>680</v>
      </c>
      <c r="C958" s="83">
        <v>46216</v>
      </c>
      <c r="D958" s="417" t="s">
        <v>686</v>
      </c>
      <c r="E958">
        <v>1381.7991999999999</v>
      </c>
      <c r="F958">
        <v>38</v>
      </c>
      <c r="G958">
        <v>36.363136842105298</v>
      </c>
      <c r="H958">
        <v>36.677549999999997</v>
      </c>
      <c r="I958">
        <v>68.133907472479606</v>
      </c>
    </row>
    <row r="959" spans="1:9" x14ac:dyDescent="0.35">
      <c r="A959" s="417" t="s">
        <v>846</v>
      </c>
      <c r="B959" s="417" t="s">
        <v>680</v>
      </c>
      <c r="C959" s="83">
        <v>46216</v>
      </c>
      <c r="D959" s="417" t="s">
        <v>684</v>
      </c>
      <c r="E959">
        <v>1413.00978333333</v>
      </c>
      <c r="F959">
        <v>32</v>
      </c>
      <c r="G959">
        <v>44.156555729166698</v>
      </c>
      <c r="H959">
        <v>14.827033333333301</v>
      </c>
      <c r="I959">
        <v>72.879243026817406</v>
      </c>
    </row>
    <row r="960" spans="1:9" x14ac:dyDescent="0.35">
      <c r="A960" s="417" t="s">
        <v>846</v>
      </c>
      <c r="B960" s="417" t="s">
        <v>680</v>
      </c>
      <c r="C960" s="83">
        <v>46216</v>
      </c>
      <c r="D960" s="417" t="s">
        <v>687</v>
      </c>
      <c r="E960">
        <v>1386.5393833333301</v>
      </c>
      <c r="F960">
        <v>30</v>
      </c>
      <c r="G960">
        <v>46.217979444444403</v>
      </c>
      <c r="H960">
        <v>25.9773833333333</v>
      </c>
      <c r="I960">
        <v>26.715563813967101</v>
      </c>
    </row>
    <row r="961" spans="1:9" x14ac:dyDescent="0.35">
      <c r="A961" s="417" t="s">
        <v>846</v>
      </c>
      <c r="B961" s="417" t="s">
        <v>680</v>
      </c>
      <c r="C961" s="83">
        <v>46216</v>
      </c>
      <c r="D961" s="417" t="s">
        <v>681</v>
      </c>
      <c r="E961">
        <v>1375.2847833333301</v>
      </c>
      <c r="F961">
        <v>29</v>
      </c>
      <c r="G961">
        <v>47.423613218390798</v>
      </c>
      <c r="H961">
        <v>1.50121666666667</v>
      </c>
      <c r="I961">
        <v>73.976194077972394</v>
      </c>
    </row>
    <row r="962" spans="1:9" x14ac:dyDescent="0.35">
      <c r="A962" s="417" t="s">
        <v>846</v>
      </c>
      <c r="B962" s="417" t="s">
        <v>680</v>
      </c>
      <c r="C962" s="83">
        <v>46216</v>
      </c>
      <c r="D962" s="417" t="s">
        <v>690</v>
      </c>
      <c r="E962">
        <v>1404.3082833333301</v>
      </c>
      <c r="F962">
        <v>26</v>
      </c>
      <c r="G962">
        <v>54.011857051282099</v>
      </c>
      <c r="H962">
        <v>8.0113500000000002</v>
      </c>
      <c r="I962">
        <v>70.927306953559096</v>
      </c>
    </row>
    <row r="963" spans="1:9" x14ac:dyDescent="0.35">
      <c r="A963" s="417" t="s">
        <v>846</v>
      </c>
      <c r="B963" s="417" t="s">
        <v>680</v>
      </c>
      <c r="C963" s="83">
        <v>46216</v>
      </c>
      <c r="D963" s="417" t="s">
        <v>683</v>
      </c>
      <c r="E963">
        <v>1402.6662166666699</v>
      </c>
      <c r="F963">
        <v>22</v>
      </c>
      <c r="G963">
        <v>63.757555303030301</v>
      </c>
      <c r="H963">
        <v>0.50724999999999998</v>
      </c>
      <c r="I963">
        <v>73.349991060989396</v>
      </c>
    </row>
    <row r="964" spans="1:9" x14ac:dyDescent="0.35">
      <c r="A964" s="417" t="s">
        <v>846</v>
      </c>
      <c r="B964" s="417" t="s">
        <v>680</v>
      </c>
      <c r="C964" s="83">
        <v>46216</v>
      </c>
      <c r="D964" s="417" t="s">
        <v>688</v>
      </c>
      <c r="E964">
        <v>1408.83721666667</v>
      </c>
      <c r="F964">
        <v>16</v>
      </c>
      <c r="G964">
        <v>88.052326041666703</v>
      </c>
      <c r="H964">
        <v>7.3273000000000001</v>
      </c>
      <c r="I964">
        <v>71.347519707148194</v>
      </c>
    </row>
    <row r="965" spans="1:9" x14ac:dyDescent="0.35">
      <c r="A965" s="417" t="s">
        <v>846</v>
      </c>
      <c r="B965" s="417" t="s">
        <v>680</v>
      </c>
      <c r="C965" s="83">
        <v>46216</v>
      </c>
      <c r="D965" s="417" t="s">
        <v>685</v>
      </c>
      <c r="E965">
        <v>1413.35973333333</v>
      </c>
      <c r="F965">
        <v>15</v>
      </c>
      <c r="G965">
        <v>94.223982222222205</v>
      </c>
      <c r="H965">
        <v>6.8157833333333304</v>
      </c>
      <c r="I965">
        <v>95.142732468799096</v>
      </c>
    </row>
    <row r="966" spans="1:9" x14ac:dyDescent="0.35">
      <c r="A966" s="417" t="s">
        <v>846</v>
      </c>
      <c r="B966" s="417" t="s">
        <v>680</v>
      </c>
      <c r="C966" s="83">
        <v>46216</v>
      </c>
      <c r="D966" s="417" t="s">
        <v>682</v>
      </c>
      <c r="E966">
        <v>1420.03261666667</v>
      </c>
      <c r="F966">
        <v>12</v>
      </c>
      <c r="G966">
        <v>118.336051388889</v>
      </c>
      <c r="H966">
        <v>6.3157500000000004</v>
      </c>
      <c r="I966">
        <v>72.8380035905668</v>
      </c>
    </row>
    <row r="967" spans="1:9" x14ac:dyDescent="0.35">
      <c r="A967" s="417" t="s">
        <v>846</v>
      </c>
      <c r="B967" s="417" t="s">
        <v>691</v>
      </c>
      <c r="C967" s="83">
        <v>46216</v>
      </c>
      <c r="D967" s="417" t="s">
        <v>342</v>
      </c>
      <c r="E967">
        <v>1125.5313333333299</v>
      </c>
      <c r="F967">
        <v>159</v>
      </c>
      <c r="G967">
        <v>7.0788134171907702</v>
      </c>
      <c r="H967">
        <v>277.870383333333</v>
      </c>
      <c r="I967">
        <v>47.2222222222222</v>
      </c>
    </row>
    <row r="968" spans="1:9" x14ac:dyDescent="0.35">
      <c r="A968" s="417" t="s">
        <v>846</v>
      </c>
      <c r="B968" s="417" t="s">
        <v>691</v>
      </c>
      <c r="C968" s="83">
        <v>46216</v>
      </c>
      <c r="D968" s="417" t="s">
        <v>305</v>
      </c>
      <c r="E968">
        <v>1286.6873499999999</v>
      </c>
      <c r="F968">
        <v>157</v>
      </c>
      <c r="G968">
        <v>8.1954608280254799</v>
      </c>
      <c r="H968">
        <v>3.5452166666666698</v>
      </c>
      <c r="I968">
        <v>45.432386788900303</v>
      </c>
    </row>
    <row r="969" spans="1:9" x14ac:dyDescent="0.35">
      <c r="A969" s="417" t="s">
        <v>846</v>
      </c>
      <c r="B969" s="417" t="s">
        <v>691</v>
      </c>
      <c r="C969" s="83">
        <v>46216</v>
      </c>
      <c r="D969" s="417" t="s">
        <v>295</v>
      </c>
      <c r="E969">
        <v>1340.2614000000001</v>
      </c>
      <c r="F969">
        <v>101</v>
      </c>
      <c r="G969">
        <v>13.269914851485099</v>
      </c>
      <c r="H969">
        <v>0.34608333333333302</v>
      </c>
      <c r="I969">
        <v>86.427843742224297</v>
      </c>
    </row>
    <row r="970" spans="1:9" x14ac:dyDescent="0.35">
      <c r="A970" s="417" t="s">
        <v>846</v>
      </c>
      <c r="B970" s="417" t="s">
        <v>691</v>
      </c>
      <c r="C970" s="83">
        <v>46216</v>
      </c>
      <c r="D970" s="417" t="s">
        <v>301</v>
      </c>
      <c r="E970">
        <v>1366.64466666667</v>
      </c>
      <c r="F970">
        <v>75</v>
      </c>
      <c r="G970">
        <v>18.2219288888889</v>
      </c>
      <c r="H970">
        <v>0.71488333333333298</v>
      </c>
      <c r="I970">
        <v>74.746485031694405</v>
      </c>
    </row>
    <row r="971" spans="1:9" x14ac:dyDescent="0.35">
      <c r="A971" s="417" t="s">
        <v>846</v>
      </c>
      <c r="B971" s="417" t="s">
        <v>691</v>
      </c>
      <c r="C971" s="83">
        <v>46216</v>
      </c>
      <c r="D971" s="417" t="s">
        <v>303</v>
      </c>
      <c r="E971">
        <v>1321.9038499999999</v>
      </c>
      <c r="F971">
        <v>63</v>
      </c>
      <c r="G971">
        <v>20.9826007936508</v>
      </c>
      <c r="H971">
        <v>0.15201666666666699</v>
      </c>
      <c r="I971">
        <v>56.763452109935997</v>
      </c>
    </row>
    <row r="972" spans="1:9" x14ac:dyDescent="0.35">
      <c r="A972" s="417" t="s">
        <v>846</v>
      </c>
      <c r="B972" s="417" t="s">
        <v>691</v>
      </c>
      <c r="C972" s="83">
        <v>46216</v>
      </c>
      <c r="D972" s="417" t="s">
        <v>309</v>
      </c>
      <c r="E972">
        <v>1376.7120500000001</v>
      </c>
      <c r="F972">
        <v>60</v>
      </c>
      <c r="G972">
        <v>22.945200833333299</v>
      </c>
      <c r="H972">
        <v>0</v>
      </c>
      <c r="I972">
        <v>58.178857408808497</v>
      </c>
    </row>
    <row r="973" spans="1:9" x14ac:dyDescent="0.35">
      <c r="A973" s="417" t="s">
        <v>846</v>
      </c>
      <c r="B973" s="417" t="s">
        <v>691</v>
      </c>
      <c r="C973" s="83">
        <v>46216</v>
      </c>
      <c r="D973" s="417" t="s">
        <v>299</v>
      </c>
      <c r="E973">
        <v>1380.1882499999999</v>
      </c>
      <c r="F973">
        <v>45</v>
      </c>
      <c r="G973">
        <v>30.670850000000002</v>
      </c>
      <c r="H973">
        <v>0.390616666666667</v>
      </c>
      <c r="I973">
        <v>85.289181432792603</v>
      </c>
    </row>
    <row r="974" spans="1:9" x14ac:dyDescent="0.35">
      <c r="A974" s="417" t="s">
        <v>846</v>
      </c>
      <c r="B974" s="417" t="s">
        <v>691</v>
      </c>
      <c r="C974" s="83">
        <v>46216</v>
      </c>
      <c r="D974" s="417" t="s">
        <v>310</v>
      </c>
      <c r="E974">
        <v>1390.0725666666699</v>
      </c>
      <c r="F974">
        <v>11</v>
      </c>
      <c r="G974">
        <v>126.370233333333</v>
      </c>
      <c r="H974">
        <v>1.86351666666667</v>
      </c>
      <c r="I974">
        <v>51.850916983204399</v>
      </c>
    </row>
    <row r="975" spans="1:9" x14ac:dyDescent="0.35">
      <c r="A975" s="417" t="s">
        <v>846</v>
      </c>
      <c r="B975" s="417" t="s">
        <v>691</v>
      </c>
      <c r="C975" s="83">
        <v>46216</v>
      </c>
      <c r="D975" s="417" t="s">
        <v>314</v>
      </c>
      <c r="E975">
        <v>1382.9076333333301</v>
      </c>
      <c r="F975">
        <v>9</v>
      </c>
      <c r="G975">
        <v>153.656403703704</v>
      </c>
      <c r="H975">
        <v>2.6377333333333302</v>
      </c>
      <c r="I975">
        <v>42.729979887804298</v>
      </c>
    </row>
    <row r="976" spans="1:9" x14ac:dyDescent="0.35">
      <c r="A976" s="417" t="s">
        <v>846</v>
      </c>
      <c r="B976" s="417" t="s">
        <v>691</v>
      </c>
      <c r="C976" s="83">
        <v>46216</v>
      </c>
      <c r="D976" s="417" t="s">
        <v>317</v>
      </c>
      <c r="E976">
        <v>1435.9438500000001</v>
      </c>
      <c r="F976">
        <v>6</v>
      </c>
      <c r="G976">
        <v>239.32397499999999</v>
      </c>
      <c r="H976">
        <v>3.15188333333333</v>
      </c>
      <c r="I976">
        <v>31.561486111000399</v>
      </c>
    </row>
    <row r="977" spans="1:9" x14ac:dyDescent="0.35">
      <c r="A977" s="417" t="s">
        <v>846</v>
      </c>
      <c r="B977" s="417" t="s">
        <v>691</v>
      </c>
      <c r="C977" s="83">
        <v>46216</v>
      </c>
      <c r="D977" s="417" t="s">
        <v>313</v>
      </c>
      <c r="E977">
        <v>1366.4820833333299</v>
      </c>
      <c r="F977">
        <v>3</v>
      </c>
      <c r="G977">
        <v>455.494027777778</v>
      </c>
      <c r="H977">
        <v>0</v>
      </c>
      <c r="I977">
        <v>51.821503709445402</v>
      </c>
    </row>
    <row r="978" spans="1:9" x14ac:dyDescent="0.35">
      <c r="A978" s="417" t="s">
        <v>846</v>
      </c>
      <c r="B978" s="417" t="s">
        <v>691</v>
      </c>
      <c r="C978" s="83">
        <v>46216</v>
      </c>
      <c r="D978" s="417" t="s">
        <v>504</v>
      </c>
      <c r="E978">
        <v>1440</v>
      </c>
      <c r="F978">
        <v>1</v>
      </c>
      <c r="G978">
        <v>1440</v>
      </c>
      <c r="H978">
        <v>0</v>
      </c>
      <c r="I978">
        <v>36.856327160493798</v>
      </c>
    </row>
    <row r="979" spans="1:9" x14ac:dyDescent="0.35">
      <c r="A979" s="417" t="s">
        <v>846</v>
      </c>
      <c r="B979" s="417" t="s">
        <v>676</v>
      </c>
      <c r="C979" s="83">
        <v>46215</v>
      </c>
      <c r="D979" s="417" t="s">
        <v>677</v>
      </c>
      <c r="E979">
        <v>1341.5309833333299</v>
      </c>
      <c r="F979">
        <v>239</v>
      </c>
      <c r="G979">
        <v>5.6131003486750402</v>
      </c>
      <c r="H979">
        <v>98.469016666666704</v>
      </c>
      <c r="I979">
        <v>16.253333333333298</v>
      </c>
    </row>
    <row r="980" spans="1:9" x14ac:dyDescent="0.35">
      <c r="A980" s="417" t="s">
        <v>846</v>
      </c>
      <c r="B980" s="417" t="s">
        <v>676</v>
      </c>
      <c r="C980" s="83">
        <v>46215</v>
      </c>
      <c r="D980" s="417" t="s">
        <v>679</v>
      </c>
      <c r="E980">
        <v>1113.98841666667</v>
      </c>
      <c r="F980">
        <v>24</v>
      </c>
      <c r="G980">
        <v>46.416184027777803</v>
      </c>
      <c r="H980">
        <v>27.988016666666699</v>
      </c>
      <c r="I980">
        <v>68.092909166589706</v>
      </c>
    </row>
    <row r="981" spans="1:9" x14ac:dyDescent="0.35">
      <c r="A981" s="417" t="s">
        <v>846</v>
      </c>
      <c r="B981" s="417" t="s">
        <v>676</v>
      </c>
      <c r="C981" s="83">
        <v>46215</v>
      </c>
      <c r="D981" s="417" t="s">
        <v>678</v>
      </c>
      <c r="E981">
        <v>1314.27866666667</v>
      </c>
      <c r="F981">
        <v>20</v>
      </c>
      <c r="G981">
        <v>65.713933333333301</v>
      </c>
      <c r="H981">
        <v>17.0207333333333</v>
      </c>
      <c r="I981">
        <v>94.281822205683696</v>
      </c>
    </row>
    <row r="982" spans="1:9" x14ac:dyDescent="0.35">
      <c r="A982" s="417" t="s">
        <v>846</v>
      </c>
      <c r="B982" s="417" t="s">
        <v>680</v>
      </c>
      <c r="C982" s="83">
        <v>46215</v>
      </c>
      <c r="D982" s="417" t="s">
        <v>689</v>
      </c>
      <c r="E982">
        <v>1360.4564333333301</v>
      </c>
      <c r="F982">
        <v>50</v>
      </c>
      <c r="G982">
        <v>27.2091286666667</v>
      </c>
      <c r="H982">
        <v>0</v>
      </c>
      <c r="I982">
        <v>95.124258355517597</v>
      </c>
    </row>
    <row r="983" spans="1:9" x14ac:dyDescent="0.35">
      <c r="A983" s="417" t="s">
        <v>846</v>
      </c>
      <c r="B983" s="417" t="s">
        <v>680</v>
      </c>
      <c r="C983" s="83">
        <v>46215</v>
      </c>
      <c r="D983" s="417" t="s">
        <v>687</v>
      </c>
      <c r="E983">
        <v>1374.9872666666699</v>
      </c>
      <c r="F983">
        <v>49</v>
      </c>
      <c r="G983">
        <v>28.0609646258503</v>
      </c>
      <c r="H983">
        <v>54.356283333333302</v>
      </c>
      <c r="I983">
        <v>24.368211165569999</v>
      </c>
    </row>
    <row r="984" spans="1:9" x14ac:dyDescent="0.35">
      <c r="A984" s="417" t="s">
        <v>846</v>
      </c>
      <c r="B984" s="417" t="s">
        <v>680</v>
      </c>
      <c r="C984" s="83">
        <v>46215</v>
      </c>
      <c r="D984" s="417" t="s">
        <v>684</v>
      </c>
      <c r="E984">
        <v>1401.85678333333</v>
      </c>
      <c r="F984">
        <v>44</v>
      </c>
      <c r="G984">
        <v>31.860381439393901</v>
      </c>
      <c r="H984">
        <v>28.4807666666667</v>
      </c>
      <c r="I984">
        <v>69.3581341508512</v>
      </c>
    </row>
    <row r="985" spans="1:9" x14ac:dyDescent="0.35">
      <c r="A985" s="417" t="s">
        <v>846</v>
      </c>
      <c r="B985" s="417" t="s">
        <v>680</v>
      </c>
      <c r="C985" s="83">
        <v>46215</v>
      </c>
      <c r="D985" s="417" t="s">
        <v>690</v>
      </c>
      <c r="E985">
        <v>1395.3484000000001</v>
      </c>
      <c r="F985">
        <v>37</v>
      </c>
      <c r="G985">
        <v>37.712118918918897</v>
      </c>
      <c r="H985">
        <v>16.8229333333333</v>
      </c>
      <c r="I985">
        <v>65.232801388562805</v>
      </c>
    </row>
    <row r="986" spans="1:9" x14ac:dyDescent="0.35">
      <c r="A986" s="417" t="s">
        <v>846</v>
      </c>
      <c r="B986" s="417" t="s">
        <v>680</v>
      </c>
      <c r="C986" s="83">
        <v>46215</v>
      </c>
      <c r="D986" s="417" t="s">
        <v>681</v>
      </c>
      <c r="E986">
        <v>1406.33553333333</v>
      </c>
      <c r="F986">
        <v>35</v>
      </c>
      <c r="G986">
        <v>40.181015238095199</v>
      </c>
      <c r="H986">
        <v>2.8355333333333301</v>
      </c>
      <c r="I986">
        <v>74.2764848070114</v>
      </c>
    </row>
    <row r="987" spans="1:9" x14ac:dyDescent="0.35">
      <c r="A987" s="417" t="s">
        <v>846</v>
      </c>
      <c r="B987" s="417" t="s">
        <v>680</v>
      </c>
      <c r="C987" s="83">
        <v>46215</v>
      </c>
      <c r="D987" s="417" t="s">
        <v>685</v>
      </c>
      <c r="E987">
        <v>1421.0168000000001</v>
      </c>
      <c r="F987">
        <v>26</v>
      </c>
      <c r="G987">
        <v>54.654492307692301</v>
      </c>
      <c r="H987">
        <v>7.16428333333333</v>
      </c>
      <c r="I987">
        <v>82.171447234356293</v>
      </c>
    </row>
    <row r="988" spans="1:9" x14ac:dyDescent="0.35">
      <c r="A988" s="417" t="s">
        <v>846</v>
      </c>
      <c r="B988" s="417" t="s">
        <v>680</v>
      </c>
      <c r="C988" s="83">
        <v>46215</v>
      </c>
      <c r="D988" s="417" t="s">
        <v>688</v>
      </c>
      <c r="E988">
        <v>1392.6874499999999</v>
      </c>
      <c r="F988">
        <v>25</v>
      </c>
      <c r="G988">
        <v>55.707498000000001</v>
      </c>
      <c r="H988">
        <v>6.0039499999999997</v>
      </c>
      <c r="I988">
        <v>73.945471192112393</v>
      </c>
    </row>
    <row r="989" spans="1:9" x14ac:dyDescent="0.35">
      <c r="A989" s="417" t="s">
        <v>846</v>
      </c>
      <c r="B989" s="417" t="s">
        <v>680</v>
      </c>
      <c r="C989" s="83">
        <v>46215</v>
      </c>
      <c r="D989" s="417" t="s">
        <v>683</v>
      </c>
      <c r="E989">
        <v>1402.3465000000001</v>
      </c>
      <c r="F989">
        <v>22</v>
      </c>
      <c r="G989">
        <v>63.743022727272802</v>
      </c>
      <c r="H989">
        <v>7.8242000000000003</v>
      </c>
      <c r="I989">
        <v>66.275837426679104</v>
      </c>
    </row>
    <row r="990" spans="1:9" x14ac:dyDescent="0.35">
      <c r="A990" s="417" t="s">
        <v>846</v>
      </c>
      <c r="B990" s="417" t="s">
        <v>680</v>
      </c>
      <c r="C990" s="83">
        <v>46215</v>
      </c>
      <c r="D990" s="417" t="s">
        <v>686</v>
      </c>
      <c r="E990">
        <v>1366.32623333333</v>
      </c>
      <c r="F990">
        <v>19</v>
      </c>
      <c r="G990">
        <v>71.911907017543896</v>
      </c>
      <c r="H990">
        <v>16.987166666666699</v>
      </c>
      <c r="I990">
        <v>62.696240280465197</v>
      </c>
    </row>
    <row r="991" spans="1:9" x14ac:dyDescent="0.35">
      <c r="A991" s="417" t="s">
        <v>846</v>
      </c>
      <c r="B991" s="417" t="s">
        <v>680</v>
      </c>
      <c r="C991" s="83">
        <v>46215</v>
      </c>
      <c r="D991" s="417" t="s">
        <v>682</v>
      </c>
      <c r="E991">
        <v>1406.81913333333</v>
      </c>
      <c r="F991">
        <v>16</v>
      </c>
      <c r="G991">
        <v>87.926195833333296</v>
      </c>
      <c r="H991">
        <v>18.1778333333333</v>
      </c>
      <c r="I991">
        <v>69.092327102873796</v>
      </c>
    </row>
    <row r="992" spans="1:9" x14ac:dyDescent="0.35">
      <c r="A992" s="417" t="s">
        <v>846</v>
      </c>
      <c r="B992" s="417" t="s">
        <v>691</v>
      </c>
      <c r="C992" s="83">
        <v>46215</v>
      </c>
      <c r="D992" s="417" t="s">
        <v>309</v>
      </c>
      <c r="E992">
        <v>1311.7825166666701</v>
      </c>
      <c r="F992">
        <v>114</v>
      </c>
      <c r="G992">
        <v>11.5068641812866</v>
      </c>
      <c r="H992">
        <v>0</v>
      </c>
      <c r="I992">
        <v>67.720925789948097</v>
      </c>
    </row>
    <row r="993" spans="1:9" x14ac:dyDescent="0.35">
      <c r="A993" s="417" t="s">
        <v>846</v>
      </c>
      <c r="B993" s="417" t="s">
        <v>691</v>
      </c>
      <c r="C993" s="83">
        <v>46215</v>
      </c>
      <c r="D993" s="417" t="s">
        <v>305</v>
      </c>
      <c r="E993">
        <v>1281.8427666666701</v>
      </c>
      <c r="F993">
        <v>103</v>
      </c>
      <c r="G993">
        <v>12.4450754045307</v>
      </c>
      <c r="H993">
        <v>5.2140666666666702</v>
      </c>
      <c r="I993">
        <v>55.131418744662902</v>
      </c>
    </row>
    <row r="994" spans="1:9" x14ac:dyDescent="0.35">
      <c r="A994" s="417" t="s">
        <v>846</v>
      </c>
      <c r="B994" s="417" t="s">
        <v>691</v>
      </c>
      <c r="C994" s="83">
        <v>46215</v>
      </c>
      <c r="D994" s="417" t="s">
        <v>301</v>
      </c>
      <c r="E994">
        <v>1339.5572833333299</v>
      </c>
      <c r="F994">
        <v>103</v>
      </c>
      <c r="G994">
        <v>13.005410517799399</v>
      </c>
      <c r="H994">
        <v>1.26351666666667</v>
      </c>
      <c r="I994">
        <v>77.220520962467305</v>
      </c>
    </row>
    <row r="995" spans="1:9" x14ac:dyDescent="0.35">
      <c r="A995" s="417" t="s">
        <v>846</v>
      </c>
      <c r="B995" s="417" t="s">
        <v>691</v>
      </c>
      <c r="C995" s="83">
        <v>46215</v>
      </c>
      <c r="D995" s="417" t="s">
        <v>295</v>
      </c>
      <c r="E995">
        <v>1341.32363333333</v>
      </c>
      <c r="F995">
        <v>87</v>
      </c>
      <c r="G995">
        <v>15.417513026819901</v>
      </c>
      <c r="H995">
        <v>0.38836666666666703</v>
      </c>
      <c r="I995">
        <v>86.537720332749501</v>
      </c>
    </row>
    <row r="996" spans="1:9" x14ac:dyDescent="0.35">
      <c r="A996" s="417" t="s">
        <v>846</v>
      </c>
      <c r="B996" s="417" t="s">
        <v>691</v>
      </c>
      <c r="C996" s="83">
        <v>46215</v>
      </c>
      <c r="D996" s="417" t="s">
        <v>342</v>
      </c>
      <c r="E996">
        <v>963.30589999999995</v>
      </c>
      <c r="F996">
        <v>87</v>
      </c>
      <c r="G996">
        <v>11.0724816091954</v>
      </c>
      <c r="H996">
        <v>103.38701666666699</v>
      </c>
      <c r="I996">
        <v>45.200669045854497</v>
      </c>
    </row>
    <row r="997" spans="1:9" x14ac:dyDescent="0.35">
      <c r="A997" s="417" t="s">
        <v>846</v>
      </c>
      <c r="B997" s="417" t="s">
        <v>691</v>
      </c>
      <c r="C997" s="83">
        <v>46215</v>
      </c>
      <c r="D997" s="417" t="s">
        <v>303</v>
      </c>
      <c r="E997">
        <v>1360.8759833333299</v>
      </c>
      <c r="F997">
        <v>87</v>
      </c>
      <c r="G997">
        <v>15.6422526819923</v>
      </c>
      <c r="H997">
        <v>0.64576666666666704</v>
      </c>
      <c r="I997">
        <v>45.131930188994303</v>
      </c>
    </row>
    <row r="998" spans="1:9" x14ac:dyDescent="0.35">
      <c r="A998" s="417" t="s">
        <v>846</v>
      </c>
      <c r="B998" s="417" t="s">
        <v>691</v>
      </c>
      <c r="C998" s="83">
        <v>46215</v>
      </c>
      <c r="D998" s="417" t="s">
        <v>299</v>
      </c>
      <c r="E998">
        <v>1362.07386666667</v>
      </c>
      <c r="F998">
        <v>57</v>
      </c>
      <c r="G998">
        <v>23.896032748538001</v>
      </c>
      <c r="H998">
        <v>0.14224999999999999</v>
      </c>
      <c r="I998">
        <v>86.0913024781931</v>
      </c>
    </row>
    <row r="999" spans="1:9" x14ac:dyDescent="0.35">
      <c r="A999" s="417" t="s">
        <v>846</v>
      </c>
      <c r="B999" s="417" t="s">
        <v>691</v>
      </c>
      <c r="C999" s="83">
        <v>46215</v>
      </c>
      <c r="D999" s="417" t="s">
        <v>310</v>
      </c>
      <c r="E999">
        <v>1403.0273</v>
      </c>
      <c r="F999">
        <v>20</v>
      </c>
      <c r="G999">
        <v>70.151364999999998</v>
      </c>
      <c r="H999">
        <v>0.91068333333333296</v>
      </c>
      <c r="I999">
        <v>51.023715107228902</v>
      </c>
    </row>
    <row r="1000" spans="1:9" x14ac:dyDescent="0.35">
      <c r="A1000" s="417" t="s">
        <v>846</v>
      </c>
      <c r="B1000" s="417" t="s">
        <v>691</v>
      </c>
      <c r="C1000" s="83">
        <v>46215</v>
      </c>
      <c r="D1000" s="417" t="s">
        <v>313</v>
      </c>
      <c r="E1000">
        <v>1350.1958500000001</v>
      </c>
      <c r="F1000">
        <v>14</v>
      </c>
      <c r="G1000">
        <v>96.442560714285705</v>
      </c>
      <c r="H1000">
        <v>0</v>
      </c>
      <c r="I1000">
        <v>49.256467914204997</v>
      </c>
    </row>
    <row r="1001" spans="1:9" x14ac:dyDescent="0.35">
      <c r="A1001" s="417" t="s">
        <v>846</v>
      </c>
      <c r="B1001" s="417" t="s">
        <v>691</v>
      </c>
      <c r="C1001" s="83">
        <v>46215</v>
      </c>
      <c r="D1001" s="417" t="s">
        <v>314</v>
      </c>
      <c r="E1001">
        <v>1418.9391499999999</v>
      </c>
      <c r="F1001">
        <v>14</v>
      </c>
      <c r="G1001">
        <v>101.352796428571</v>
      </c>
      <c r="H1001">
        <v>9.9658833333333305</v>
      </c>
      <c r="I1001">
        <v>43.9118234512434</v>
      </c>
    </row>
    <row r="1002" spans="1:9" x14ac:dyDescent="0.35">
      <c r="A1002" s="417" t="s">
        <v>846</v>
      </c>
      <c r="B1002" s="417" t="s">
        <v>691</v>
      </c>
      <c r="C1002" s="83">
        <v>46215</v>
      </c>
      <c r="D1002" s="417" t="s">
        <v>317</v>
      </c>
      <c r="E1002">
        <v>1429.0378166666701</v>
      </c>
      <c r="F1002">
        <v>2</v>
      </c>
      <c r="G1002">
        <v>714.518908333333</v>
      </c>
      <c r="H1002">
        <v>4.2430000000000003</v>
      </c>
      <c r="I1002">
        <v>25.239116144825299</v>
      </c>
    </row>
    <row r="1003" spans="1:9" x14ac:dyDescent="0.35">
      <c r="A1003" s="417" t="s">
        <v>846</v>
      </c>
      <c r="B1003" s="417" t="s">
        <v>691</v>
      </c>
      <c r="C1003" s="83">
        <v>46215</v>
      </c>
      <c r="D1003" s="417" t="s">
        <v>504</v>
      </c>
      <c r="E1003">
        <v>1440</v>
      </c>
      <c r="F1003">
        <v>1</v>
      </c>
      <c r="G1003">
        <v>1440</v>
      </c>
      <c r="H1003">
        <v>0</v>
      </c>
      <c r="I1003">
        <v>30.919290123456801</v>
      </c>
    </row>
    <row r="1004" spans="1:9" x14ac:dyDescent="0.35">
      <c r="A1004" s="417" t="s">
        <v>846</v>
      </c>
      <c r="B1004" s="417" t="s">
        <v>676</v>
      </c>
      <c r="C1004" s="83">
        <v>46214</v>
      </c>
      <c r="D1004" s="417" t="s">
        <v>677</v>
      </c>
      <c r="E1004">
        <v>930.77876666666702</v>
      </c>
      <c r="F1004">
        <v>314</v>
      </c>
      <c r="G1004">
        <v>2.9642635881103998</v>
      </c>
      <c r="H1004">
        <v>150.71101666666701</v>
      </c>
      <c r="I1004">
        <v>11.0175</v>
      </c>
    </row>
    <row r="1005" spans="1:9" x14ac:dyDescent="0.35">
      <c r="A1005" s="417" t="s">
        <v>846</v>
      </c>
      <c r="B1005" s="417" t="s">
        <v>676</v>
      </c>
      <c r="C1005" s="83">
        <v>46214</v>
      </c>
      <c r="D1005" s="417" t="s">
        <v>679</v>
      </c>
      <c r="E1005">
        <v>754.61841666666703</v>
      </c>
      <c r="F1005">
        <v>25</v>
      </c>
      <c r="G1005">
        <v>30.184736666666701</v>
      </c>
      <c r="H1005">
        <v>20.7144333333333</v>
      </c>
      <c r="I1005">
        <v>60.549466986575098</v>
      </c>
    </row>
    <row r="1006" spans="1:9" x14ac:dyDescent="0.35">
      <c r="A1006" s="417" t="s">
        <v>846</v>
      </c>
      <c r="B1006" s="417" t="s">
        <v>676</v>
      </c>
      <c r="C1006" s="83">
        <v>46214</v>
      </c>
      <c r="D1006" s="417" t="s">
        <v>678</v>
      </c>
      <c r="E1006">
        <v>854.08343333333301</v>
      </c>
      <c r="F1006">
        <v>12</v>
      </c>
      <c r="G1006">
        <v>71.173619444444398</v>
      </c>
      <c r="H1006">
        <v>6.1676333333333302</v>
      </c>
      <c r="I1006">
        <v>16.111457292037901</v>
      </c>
    </row>
    <row r="1007" spans="1:9" x14ac:dyDescent="0.35">
      <c r="A1007" s="417" t="s">
        <v>846</v>
      </c>
      <c r="B1007" s="417" t="s">
        <v>680</v>
      </c>
      <c r="C1007" s="83">
        <v>46214</v>
      </c>
      <c r="D1007" s="417" t="s">
        <v>687</v>
      </c>
      <c r="E1007">
        <v>1373.0790666666701</v>
      </c>
      <c r="F1007">
        <v>47</v>
      </c>
      <c r="G1007">
        <v>29.214448226950399</v>
      </c>
      <c r="H1007">
        <v>34.402016666666697</v>
      </c>
      <c r="I1007">
        <v>29.289491449045801</v>
      </c>
    </row>
    <row r="1008" spans="1:9" x14ac:dyDescent="0.35">
      <c r="A1008" s="417" t="s">
        <v>846</v>
      </c>
      <c r="B1008" s="417" t="s">
        <v>680</v>
      </c>
      <c r="C1008" s="83">
        <v>46214</v>
      </c>
      <c r="D1008" s="417" t="s">
        <v>689</v>
      </c>
      <c r="E1008">
        <v>1404.2009499999999</v>
      </c>
      <c r="F1008">
        <v>43</v>
      </c>
      <c r="G1008">
        <v>32.655836046511602</v>
      </c>
      <c r="H1008">
        <v>3.8397666666666699</v>
      </c>
      <c r="I1008">
        <v>91.0571334624005</v>
      </c>
    </row>
    <row r="1009" spans="1:9" x14ac:dyDescent="0.35">
      <c r="A1009" s="417" t="s">
        <v>846</v>
      </c>
      <c r="B1009" s="417" t="s">
        <v>680</v>
      </c>
      <c r="C1009" s="83">
        <v>46214</v>
      </c>
      <c r="D1009" s="417" t="s">
        <v>690</v>
      </c>
      <c r="E1009">
        <v>1393.5584833333301</v>
      </c>
      <c r="F1009">
        <v>42</v>
      </c>
      <c r="G1009">
        <v>33.179963888888899</v>
      </c>
      <c r="H1009">
        <v>17.608816666666701</v>
      </c>
      <c r="I1009">
        <v>66.959179485752301</v>
      </c>
    </row>
    <row r="1010" spans="1:9" x14ac:dyDescent="0.35">
      <c r="A1010" s="417" t="s">
        <v>846</v>
      </c>
      <c r="B1010" s="417" t="s">
        <v>680</v>
      </c>
      <c r="C1010" s="83">
        <v>46214</v>
      </c>
      <c r="D1010" s="417" t="s">
        <v>686</v>
      </c>
      <c r="E1010">
        <v>1396.26888333333</v>
      </c>
      <c r="F1010">
        <v>37</v>
      </c>
      <c r="G1010">
        <v>37.7369968468468</v>
      </c>
      <c r="H1010">
        <v>30.2093666666667</v>
      </c>
      <c r="I1010">
        <v>74.349666262476703</v>
      </c>
    </row>
    <row r="1011" spans="1:9" x14ac:dyDescent="0.35">
      <c r="A1011" s="417" t="s">
        <v>846</v>
      </c>
      <c r="B1011" s="417" t="s">
        <v>680</v>
      </c>
      <c r="C1011" s="83">
        <v>46214</v>
      </c>
      <c r="D1011" s="417" t="s">
        <v>684</v>
      </c>
      <c r="E1011">
        <v>1400.11723333333</v>
      </c>
      <c r="F1011">
        <v>31</v>
      </c>
      <c r="G1011">
        <v>45.165072043010703</v>
      </c>
      <c r="H1011">
        <v>12.704833333333299</v>
      </c>
      <c r="I1011">
        <v>73.759126351168405</v>
      </c>
    </row>
    <row r="1012" spans="1:9" x14ac:dyDescent="0.35">
      <c r="A1012" s="417" t="s">
        <v>846</v>
      </c>
      <c r="B1012" s="417" t="s">
        <v>680</v>
      </c>
      <c r="C1012" s="83">
        <v>46214</v>
      </c>
      <c r="D1012" s="417" t="s">
        <v>681</v>
      </c>
      <c r="E1012">
        <v>1413.26305</v>
      </c>
      <c r="F1012">
        <v>29</v>
      </c>
      <c r="G1012">
        <v>48.733208620689702</v>
      </c>
      <c r="H1012">
        <v>3.1711666666666698</v>
      </c>
      <c r="I1012">
        <v>78.634337003354204</v>
      </c>
    </row>
    <row r="1013" spans="1:9" x14ac:dyDescent="0.35">
      <c r="A1013" s="417" t="s">
        <v>846</v>
      </c>
      <c r="B1013" s="417" t="s">
        <v>680</v>
      </c>
      <c r="C1013" s="83">
        <v>46214</v>
      </c>
      <c r="D1013" s="417" t="s">
        <v>685</v>
      </c>
      <c r="E1013">
        <v>1412.8128999999999</v>
      </c>
      <c r="F1013">
        <v>28</v>
      </c>
      <c r="G1013">
        <v>50.457603571428599</v>
      </c>
      <c r="H1013">
        <v>13.846016666666699</v>
      </c>
      <c r="I1013">
        <v>88.191332414677106</v>
      </c>
    </row>
    <row r="1014" spans="1:9" x14ac:dyDescent="0.35">
      <c r="A1014" s="417" t="s">
        <v>846</v>
      </c>
      <c r="B1014" s="417" t="s">
        <v>680</v>
      </c>
      <c r="C1014" s="83">
        <v>46214</v>
      </c>
      <c r="D1014" s="417" t="s">
        <v>683</v>
      </c>
      <c r="E1014">
        <v>1375.59826666667</v>
      </c>
      <c r="F1014">
        <v>15</v>
      </c>
      <c r="G1014">
        <v>91.706551111111096</v>
      </c>
      <c r="H1014">
        <v>2.2106833333333298</v>
      </c>
      <c r="I1014">
        <v>69.992180382885294</v>
      </c>
    </row>
    <row r="1015" spans="1:9" x14ac:dyDescent="0.35">
      <c r="A1015" s="417" t="s">
        <v>846</v>
      </c>
      <c r="B1015" s="417" t="s">
        <v>680</v>
      </c>
      <c r="C1015" s="83">
        <v>46214</v>
      </c>
      <c r="D1015" s="417" t="s">
        <v>688</v>
      </c>
      <c r="E1015">
        <v>1424.14658333333</v>
      </c>
      <c r="F1015">
        <v>15</v>
      </c>
      <c r="G1015">
        <v>94.943105555555604</v>
      </c>
      <c r="H1015">
        <v>1.8341166666666699</v>
      </c>
      <c r="I1015">
        <v>77.796345285496201</v>
      </c>
    </row>
    <row r="1016" spans="1:9" x14ac:dyDescent="0.35">
      <c r="A1016" s="417" t="s">
        <v>846</v>
      </c>
      <c r="B1016" s="417" t="s">
        <v>680</v>
      </c>
      <c r="C1016" s="83">
        <v>46214</v>
      </c>
      <c r="D1016" s="417" t="s">
        <v>682</v>
      </c>
      <c r="E1016">
        <v>1414.08353333333</v>
      </c>
      <c r="F1016">
        <v>14</v>
      </c>
      <c r="G1016">
        <v>101.00596666666701</v>
      </c>
      <c r="H1016">
        <v>5.1372499999999999</v>
      </c>
      <c r="I1016">
        <v>71.913326386245302</v>
      </c>
    </row>
    <row r="1017" spans="1:9" x14ac:dyDescent="0.35">
      <c r="A1017" s="417" t="s">
        <v>846</v>
      </c>
      <c r="B1017" s="417" t="s">
        <v>691</v>
      </c>
      <c r="C1017" s="83">
        <v>46214</v>
      </c>
      <c r="D1017" s="417" t="s">
        <v>309</v>
      </c>
      <c r="E1017">
        <v>1176.53135</v>
      </c>
      <c r="F1017">
        <v>132</v>
      </c>
      <c r="G1017">
        <v>8.9131162878787897</v>
      </c>
      <c r="H1017">
        <v>1.58538333333333</v>
      </c>
      <c r="I1017">
        <v>47.961842096402101</v>
      </c>
    </row>
    <row r="1018" spans="1:9" x14ac:dyDescent="0.35">
      <c r="A1018" s="417" t="s">
        <v>846</v>
      </c>
      <c r="B1018" s="417" t="s">
        <v>691</v>
      </c>
      <c r="C1018" s="83">
        <v>46214</v>
      </c>
      <c r="D1018" s="417" t="s">
        <v>305</v>
      </c>
      <c r="E1018">
        <v>1175.11175</v>
      </c>
      <c r="F1018">
        <v>112</v>
      </c>
      <c r="G1018">
        <v>10.4920691964286</v>
      </c>
      <c r="H1018">
        <v>0.87278333333333302</v>
      </c>
      <c r="I1018">
        <v>47.761647292875203</v>
      </c>
    </row>
    <row r="1019" spans="1:9" x14ac:dyDescent="0.35">
      <c r="A1019" s="417" t="s">
        <v>846</v>
      </c>
      <c r="B1019" s="417" t="s">
        <v>691</v>
      </c>
      <c r="C1019" s="83">
        <v>46214</v>
      </c>
      <c r="D1019" s="417" t="s">
        <v>295</v>
      </c>
      <c r="E1019">
        <v>1197.94166666667</v>
      </c>
      <c r="F1019">
        <v>83</v>
      </c>
      <c r="G1019">
        <v>14.4330321285141</v>
      </c>
      <c r="H1019">
        <v>0.87666666666666704</v>
      </c>
      <c r="I1019">
        <v>78.096752330524794</v>
      </c>
    </row>
    <row r="1020" spans="1:9" x14ac:dyDescent="0.35">
      <c r="A1020" s="417" t="s">
        <v>846</v>
      </c>
      <c r="B1020" s="417" t="s">
        <v>691</v>
      </c>
      <c r="C1020" s="83">
        <v>46214</v>
      </c>
      <c r="D1020" s="417" t="s">
        <v>303</v>
      </c>
      <c r="E1020">
        <v>1391.8168166666701</v>
      </c>
      <c r="F1020">
        <v>64</v>
      </c>
      <c r="G1020">
        <v>21.747137760416699</v>
      </c>
      <c r="H1020">
        <v>0.48149999999999998</v>
      </c>
      <c r="I1020">
        <v>42.316264639695099</v>
      </c>
    </row>
    <row r="1021" spans="1:9" x14ac:dyDescent="0.35">
      <c r="A1021" s="417" t="s">
        <v>846</v>
      </c>
      <c r="B1021" s="417" t="s">
        <v>691</v>
      </c>
      <c r="C1021" s="83">
        <v>46214</v>
      </c>
      <c r="D1021" s="417" t="s">
        <v>301</v>
      </c>
      <c r="E1021">
        <v>1368.01035</v>
      </c>
      <c r="F1021">
        <v>64</v>
      </c>
      <c r="G1021">
        <v>21.37516171875</v>
      </c>
      <c r="H1021">
        <v>0.56468333333333298</v>
      </c>
      <c r="I1021">
        <v>56.890895076405698</v>
      </c>
    </row>
    <row r="1022" spans="1:9" x14ac:dyDescent="0.35">
      <c r="A1022" s="417" t="s">
        <v>846</v>
      </c>
      <c r="B1022" s="417" t="s">
        <v>691</v>
      </c>
      <c r="C1022" s="83">
        <v>46214</v>
      </c>
      <c r="D1022" s="417" t="s">
        <v>299</v>
      </c>
      <c r="E1022">
        <v>1196.78585</v>
      </c>
      <c r="F1022">
        <v>57</v>
      </c>
      <c r="G1022">
        <v>20.996242982456099</v>
      </c>
      <c r="H1022">
        <v>0.36318333333333302</v>
      </c>
      <c r="I1022">
        <v>70.379519203150295</v>
      </c>
    </row>
    <row r="1023" spans="1:9" x14ac:dyDescent="0.35">
      <c r="A1023" s="417" t="s">
        <v>846</v>
      </c>
      <c r="B1023" s="417" t="s">
        <v>691</v>
      </c>
      <c r="C1023" s="83">
        <v>46214</v>
      </c>
      <c r="D1023" s="417" t="s">
        <v>313</v>
      </c>
      <c r="E1023">
        <v>1345.39278333333</v>
      </c>
      <c r="F1023">
        <v>43</v>
      </c>
      <c r="G1023">
        <v>31.288204263565898</v>
      </c>
      <c r="H1023">
        <v>4.8563499999999999</v>
      </c>
      <c r="I1023">
        <v>43.618116045493998</v>
      </c>
    </row>
    <row r="1024" spans="1:9" x14ac:dyDescent="0.35">
      <c r="A1024" s="417" t="s">
        <v>846</v>
      </c>
      <c r="B1024" s="417" t="s">
        <v>691</v>
      </c>
      <c r="C1024" s="83">
        <v>46214</v>
      </c>
      <c r="D1024" s="417" t="s">
        <v>314</v>
      </c>
      <c r="E1024">
        <v>1370.3833999999999</v>
      </c>
      <c r="F1024">
        <v>17</v>
      </c>
      <c r="G1024">
        <v>80.610788235294095</v>
      </c>
      <c r="H1024">
        <v>0.48230000000000001</v>
      </c>
      <c r="I1024">
        <v>37.004229954497802</v>
      </c>
    </row>
    <row r="1025" spans="1:9" x14ac:dyDescent="0.35">
      <c r="A1025" s="417" t="s">
        <v>846</v>
      </c>
      <c r="B1025" s="417" t="s">
        <v>691</v>
      </c>
      <c r="C1025" s="83">
        <v>46214</v>
      </c>
      <c r="D1025" s="417" t="s">
        <v>310</v>
      </c>
      <c r="E1025">
        <v>1413.5381</v>
      </c>
      <c r="F1025">
        <v>13</v>
      </c>
      <c r="G1025">
        <v>108.7337</v>
      </c>
      <c r="H1025">
        <v>0.570566666666667</v>
      </c>
      <c r="I1025">
        <v>49.408603263664197</v>
      </c>
    </row>
    <row r="1026" spans="1:9" x14ac:dyDescent="0.35">
      <c r="A1026" s="417" t="s">
        <v>846</v>
      </c>
      <c r="B1026" s="417" t="s">
        <v>691</v>
      </c>
      <c r="C1026" s="83">
        <v>46214</v>
      </c>
      <c r="D1026" s="417" t="s">
        <v>317</v>
      </c>
      <c r="E1026">
        <v>1420.5485166666699</v>
      </c>
      <c r="F1026">
        <v>4</v>
      </c>
      <c r="G1026">
        <v>355.13712916666702</v>
      </c>
      <c r="H1026">
        <v>1.7713333333333301</v>
      </c>
      <c r="I1026">
        <v>29.1144077051305</v>
      </c>
    </row>
    <row r="1027" spans="1:9" x14ac:dyDescent="0.35">
      <c r="A1027" s="417" t="s">
        <v>846</v>
      </c>
      <c r="B1027" s="417" t="s">
        <v>691</v>
      </c>
      <c r="C1027" s="83">
        <v>46214</v>
      </c>
      <c r="D1027" s="417" t="s">
        <v>504</v>
      </c>
      <c r="E1027">
        <v>1440</v>
      </c>
      <c r="F1027">
        <v>1</v>
      </c>
      <c r="G1027">
        <v>1440</v>
      </c>
      <c r="H1027">
        <v>0</v>
      </c>
      <c r="I1027">
        <v>35.205401234567901</v>
      </c>
    </row>
    <row r="1028" spans="1:9" x14ac:dyDescent="0.35">
      <c r="A1028" s="417" t="s">
        <v>846</v>
      </c>
      <c r="B1028" s="417" t="s">
        <v>676</v>
      </c>
      <c r="C1028" s="83">
        <v>46213</v>
      </c>
      <c r="D1028" s="417" t="s">
        <v>677</v>
      </c>
      <c r="E1028">
        <v>1284.8833999999999</v>
      </c>
      <c r="F1028">
        <v>187</v>
      </c>
      <c r="G1028">
        <v>6.8710342245989402</v>
      </c>
      <c r="H1028">
        <v>104.2791</v>
      </c>
      <c r="I1028">
        <v>33.914722222222103</v>
      </c>
    </row>
    <row r="1029" spans="1:9" x14ac:dyDescent="0.35">
      <c r="A1029" s="417" t="s">
        <v>846</v>
      </c>
      <c r="B1029" s="417" t="s">
        <v>676</v>
      </c>
      <c r="C1029" s="83">
        <v>46213</v>
      </c>
      <c r="D1029" s="417" t="s">
        <v>678</v>
      </c>
      <c r="E1029">
        <v>1381.0071499999999</v>
      </c>
      <c r="F1029">
        <v>33</v>
      </c>
      <c r="G1029">
        <v>41.848701515151497</v>
      </c>
      <c r="H1029">
        <v>27.8092166666667</v>
      </c>
      <c r="I1029">
        <v>88.055479007188396</v>
      </c>
    </row>
    <row r="1030" spans="1:9" x14ac:dyDescent="0.35">
      <c r="A1030" s="417" t="s">
        <v>846</v>
      </c>
      <c r="B1030" s="417" t="s">
        <v>676</v>
      </c>
      <c r="C1030" s="83">
        <v>46213</v>
      </c>
      <c r="D1030" s="417" t="s">
        <v>679</v>
      </c>
      <c r="E1030">
        <v>1357.95828333333</v>
      </c>
      <c r="F1030">
        <v>17</v>
      </c>
      <c r="G1030">
        <v>79.879899019607905</v>
      </c>
      <c r="H1030">
        <v>7.6747166666666704</v>
      </c>
      <c r="I1030">
        <v>101.146964899151</v>
      </c>
    </row>
    <row r="1031" spans="1:9" x14ac:dyDescent="0.35">
      <c r="A1031" s="417" t="s">
        <v>846</v>
      </c>
      <c r="B1031" s="417" t="s">
        <v>680</v>
      </c>
      <c r="C1031" s="83">
        <v>46213</v>
      </c>
      <c r="D1031" s="417" t="s">
        <v>689</v>
      </c>
      <c r="E1031">
        <v>1359.44256666667</v>
      </c>
      <c r="F1031">
        <v>75</v>
      </c>
      <c r="G1031">
        <v>18.1259008888889</v>
      </c>
      <c r="H1031">
        <v>1.3342166666666699</v>
      </c>
      <c r="I1031">
        <v>81.810233022452906</v>
      </c>
    </row>
    <row r="1032" spans="1:9" x14ac:dyDescent="0.35">
      <c r="A1032" s="417" t="s">
        <v>846</v>
      </c>
      <c r="B1032" s="417" t="s">
        <v>680</v>
      </c>
      <c r="C1032" s="83">
        <v>46213</v>
      </c>
      <c r="D1032" s="417" t="s">
        <v>681</v>
      </c>
      <c r="E1032">
        <v>1374.1749</v>
      </c>
      <c r="F1032">
        <v>47</v>
      </c>
      <c r="G1032">
        <v>29.237763829787198</v>
      </c>
      <c r="H1032">
        <v>11.1254833333333</v>
      </c>
      <c r="I1032">
        <v>75.732373087412597</v>
      </c>
    </row>
    <row r="1033" spans="1:9" x14ac:dyDescent="0.35">
      <c r="A1033" s="417" t="s">
        <v>846</v>
      </c>
      <c r="B1033" s="417" t="s">
        <v>680</v>
      </c>
      <c r="C1033" s="83">
        <v>46213</v>
      </c>
      <c r="D1033" s="417" t="s">
        <v>684</v>
      </c>
      <c r="E1033">
        <v>1397.6205500000001</v>
      </c>
      <c r="F1033">
        <v>35</v>
      </c>
      <c r="G1033">
        <v>39.932015714285697</v>
      </c>
      <c r="H1033">
        <v>22.0032</v>
      </c>
      <c r="I1033">
        <v>79.117238763351295</v>
      </c>
    </row>
    <row r="1034" spans="1:9" x14ac:dyDescent="0.35">
      <c r="A1034" s="417" t="s">
        <v>846</v>
      </c>
      <c r="B1034" s="417" t="s">
        <v>680</v>
      </c>
      <c r="C1034" s="83">
        <v>46213</v>
      </c>
      <c r="D1034" s="417" t="s">
        <v>683</v>
      </c>
      <c r="E1034">
        <v>1368.08946666667</v>
      </c>
      <c r="F1034">
        <v>30</v>
      </c>
      <c r="G1034">
        <v>45.602982222222202</v>
      </c>
      <c r="H1034">
        <v>7.9956166666666704</v>
      </c>
      <c r="I1034">
        <v>77.234030035384293</v>
      </c>
    </row>
    <row r="1035" spans="1:9" x14ac:dyDescent="0.35">
      <c r="A1035" s="417" t="s">
        <v>846</v>
      </c>
      <c r="B1035" s="417" t="s">
        <v>680</v>
      </c>
      <c r="C1035" s="83">
        <v>46213</v>
      </c>
      <c r="D1035" s="417" t="s">
        <v>687</v>
      </c>
      <c r="E1035">
        <v>1408.4906000000001</v>
      </c>
      <c r="F1035">
        <v>23</v>
      </c>
      <c r="G1035">
        <v>61.238721739130398</v>
      </c>
      <c r="H1035">
        <v>22.513349999999999</v>
      </c>
      <c r="I1035">
        <v>31.482538090573701</v>
      </c>
    </row>
    <row r="1036" spans="1:9" x14ac:dyDescent="0.35">
      <c r="A1036" s="417" t="s">
        <v>846</v>
      </c>
      <c r="B1036" s="417" t="s">
        <v>680</v>
      </c>
      <c r="C1036" s="83">
        <v>46213</v>
      </c>
      <c r="D1036" s="417" t="s">
        <v>685</v>
      </c>
      <c r="E1036">
        <v>1418.6412499999999</v>
      </c>
      <c r="F1036">
        <v>16</v>
      </c>
      <c r="G1036">
        <v>88.665078124999994</v>
      </c>
      <c r="H1036">
        <v>2.6659666666666699</v>
      </c>
      <c r="I1036">
        <v>77.402996052300296</v>
      </c>
    </row>
    <row r="1037" spans="1:9" x14ac:dyDescent="0.35">
      <c r="A1037" s="417" t="s">
        <v>846</v>
      </c>
      <c r="B1037" s="417" t="s">
        <v>680</v>
      </c>
      <c r="C1037" s="83">
        <v>46213</v>
      </c>
      <c r="D1037" s="417" t="s">
        <v>682</v>
      </c>
      <c r="E1037">
        <v>1424.98585</v>
      </c>
      <c r="F1037">
        <v>13</v>
      </c>
      <c r="G1037">
        <v>109.614296153846</v>
      </c>
      <c r="H1037">
        <v>10.00605</v>
      </c>
      <c r="I1037">
        <v>78.221926894156397</v>
      </c>
    </row>
    <row r="1038" spans="1:9" x14ac:dyDescent="0.35">
      <c r="A1038" s="417" t="s">
        <v>846</v>
      </c>
      <c r="B1038" s="417" t="s">
        <v>680</v>
      </c>
      <c r="C1038" s="83">
        <v>46213</v>
      </c>
      <c r="D1038" s="417" t="s">
        <v>686</v>
      </c>
      <c r="E1038">
        <v>1413.28811666667</v>
      </c>
      <c r="F1038">
        <v>12</v>
      </c>
      <c r="G1038">
        <v>117.774009722222</v>
      </c>
      <c r="H1038">
        <v>10.01835</v>
      </c>
      <c r="I1038">
        <v>82.087987634869805</v>
      </c>
    </row>
    <row r="1039" spans="1:9" x14ac:dyDescent="0.35">
      <c r="A1039" s="417" t="s">
        <v>846</v>
      </c>
      <c r="B1039" s="417" t="s">
        <v>680</v>
      </c>
      <c r="C1039" s="83">
        <v>46213</v>
      </c>
      <c r="D1039" s="417" t="s">
        <v>688</v>
      </c>
      <c r="E1039">
        <v>1405.9582</v>
      </c>
      <c r="F1039">
        <v>6</v>
      </c>
      <c r="G1039">
        <v>234.32636666666701</v>
      </c>
      <c r="H1039">
        <v>4.0339999999999998</v>
      </c>
      <c r="I1039">
        <v>75.652909332841503</v>
      </c>
    </row>
    <row r="1040" spans="1:9" x14ac:dyDescent="0.35">
      <c r="A1040" s="417" t="s">
        <v>846</v>
      </c>
      <c r="B1040" s="417" t="s">
        <v>680</v>
      </c>
      <c r="C1040" s="83">
        <v>46213</v>
      </c>
      <c r="D1040" s="417" t="s">
        <v>690</v>
      </c>
      <c r="E1040">
        <v>1423.74111666667</v>
      </c>
      <c r="F1040">
        <v>6</v>
      </c>
      <c r="G1040">
        <v>237.29018611111101</v>
      </c>
      <c r="H1040">
        <v>0.67335</v>
      </c>
      <c r="I1040">
        <v>65.050204661748197</v>
      </c>
    </row>
    <row r="1041" spans="1:9" x14ac:dyDescent="0.35">
      <c r="A1041" s="417" t="s">
        <v>846</v>
      </c>
      <c r="B1041" s="417" t="s">
        <v>691</v>
      </c>
      <c r="C1041" s="83">
        <v>46213</v>
      </c>
      <c r="D1041" s="417" t="s">
        <v>295</v>
      </c>
      <c r="E1041">
        <v>1149.8689666666701</v>
      </c>
      <c r="F1041">
        <v>103</v>
      </c>
      <c r="G1041">
        <v>11.163776375404501</v>
      </c>
      <c r="H1041">
        <v>1.0459333333333301</v>
      </c>
      <c r="I1041">
        <v>63.104495354153599</v>
      </c>
    </row>
    <row r="1042" spans="1:9" x14ac:dyDescent="0.35">
      <c r="A1042" s="417" t="s">
        <v>846</v>
      </c>
      <c r="B1042" s="417" t="s">
        <v>691</v>
      </c>
      <c r="C1042" s="83">
        <v>46213</v>
      </c>
      <c r="D1042" s="417" t="s">
        <v>305</v>
      </c>
      <c r="E1042">
        <v>1217.7749833333301</v>
      </c>
      <c r="F1042">
        <v>77</v>
      </c>
      <c r="G1042">
        <v>15.8152595238095</v>
      </c>
      <c r="H1042">
        <v>1.7456</v>
      </c>
      <c r="I1042">
        <v>33.950287131623099</v>
      </c>
    </row>
    <row r="1043" spans="1:9" x14ac:dyDescent="0.35">
      <c r="A1043" s="417" t="s">
        <v>846</v>
      </c>
      <c r="B1043" s="417" t="s">
        <v>691</v>
      </c>
      <c r="C1043" s="83">
        <v>46213</v>
      </c>
      <c r="D1043" s="417" t="s">
        <v>309</v>
      </c>
      <c r="E1043">
        <v>1287.3036</v>
      </c>
      <c r="F1043">
        <v>67</v>
      </c>
      <c r="G1043">
        <v>19.2134865671642</v>
      </c>
      <c r="H1043">
        <v>0</v>
      </c>
      <c r="I1043">
        <v>30.0472568424453</v>
      </c>
    </row>
    <row r="1044" spans="1:9" x14ac:dyDescent="0.35">
      <c r="A1044" s="417" t="s">
        <v>846</v>
      </c>
      <c r="B1044" s="417" t="s">
        <v>691</v>
      </c>
      <c r="C1044" s="83">
        <v>46213</v>
      </c>
      <c r="D1044" s="417" t="s">
        <v>303</v>
      </c>
      <c r="E1044">
        <v>1326.6659833333299</v>
      </c>
      <c r="F1044">
        <v>60</v>
      </c>
      <c r="G1044">
        <v>22.1110997222222</v>
      </c>
      <c r="H1044">
        <v>0.37075000000000002</v>
      </c>
      <c r="I1044">
        <v>40.909347343739498</v>
      </c>
    </row>
    <row r="1045" spans="1:9" x14ac:dyDescent="0.35">
      <c r="A1045" s="417" t="s">
        <v>846</v>
      </c>
      <c r="B1045" s="417" t="s">
        <v>691</v>
      </c>
      <c r="C1045" s="83">
        <v>46213</v>
      </c>
      <c r="D1045" s="417" t="s">
        <v>299</v>
      </c>
      <c r="E1045">
        <v>1085.70595</v>
      </c>
      <c r="F1045">
        <v>53</v>
      </c>
      <c r="G1045">
        <v>20.4850179245283</v>
      </c>
      <c r="H1045">
        <v>0.16846666666666699</v>
      </c>
      <c r="I1045">
        <v>55.175129011633899</v>
      </c>
    </row>
    <row r="1046" spans="1:9" x14ac:dyDescent="0.35">
      <c r="A1046" s="417" t="s">
        <v>846</v>
      </c>
      <c r="B1046" s="417" t="s">
        <v>691</v>
      </c>
      <c r="C1046" s="83">
        <v>46213</v>
      </c>
      <c r="D1046" s="417" t="s">
        <v>301</v>
      </c>
      <c r="E1046">
        <v>1328.6681166666699</v>
      </c>
      <c r="F1046">
        <v>46</v>
      </c>
      <c r="G1046">
        <v>28.884089492753599</v>
      </c>
      <c r="H1046">
        <v>0.56969999999999998</v>
      </c>
      <c r="I1046">
        <v>46.5462721850989</v>
      </c>
    </row>
    <row r="1047" spans="1:9" x14ac:dyDescent="0.35">
      <c r="A1047" s="417" t="s">
        <v>846</v>
      </c>
      <c r="B1047" s="417" t="s">
        <v>691</v>
      </c>
      <c r="C1047" s="83">
        <v>46213</v>
      </c>
      <c r="D1047" s="417" t="s">
        <v>314</v>
      </c>
      <c r="E1047">
        <v>1411.0602833333301</v>
      </c>
      <c r="F1047">
        <v>37</v>
      </c>
      <c r="G1047">
        <v>38.136764414414401</v>
      </c>
      <c r="H1047">
        <v>1.4842166666666701</v>
      </c>
      <c r="I1047">
        <v>41.409322989370601</v>
      </c>
    </row>
    <row r="1048" spans="1:9" x14ac:dyDescent="0.35">
      <c r="A1048" s="417" t="s">
        <v>846</v>
      </c>
      <c r="B1048" s="417" t="s">
        <v>691</v>
      </c>
      <c r="C1048" s="83">
        <v>46213</v>
      </c>
      <c r="D1048" s="417" t="s">
        <v>310</v>
      </c>
      <c r="E1048">
        <v>1351.0752</v>
      </c>
      <c r="F1048">
        <v>6</v>
      </c>
      <c r="G1048">
        <v>225.17920000000001</v>
      </c>
      <c r="H1048">
        <v>0.97148333333333303</v>
      </c>
      <c r="I1048">
        <v>53.2656296898245</v>
      </c>
    </row>
    <row r="1049" spans="1:9" x14ac:dyDescent="0.35">
      <c r="A1049" s="417" t="s">
        <v>846</v>
      </c>
      <c r="B1049" s="417" t="s">
        <v>691</v>
      </c>
      <c r="C1049" s="83">
        <v>46213</v>
      </c>
      <c r="D1049" s="417" t="s">
        <v>317</v>
      </c>
      <c r="E1049">
        <v>1435.5579499999999</v>
      </c>
      <c r="F1049">
        <v>4</v>
      </c>
      <c r="G1049">
        <v>358.88948749999997</v>
      </c>
      <c r="H1049">
        <v>0.85096666666666698</v>
      </c>
      <c r="I1049">
        <v>36.552961618926197</v>
      </c>
    </row>
    <row r="1050" spans="1:9" x14ac:dyDescent="0.35">
      <c r="A1050" s="417" t="s">
        <v>846</v>
      </c>
      <c r="B1050" s="417" t="s">
        <v>691</v>
      </c>
      <c r="C1050" s="83">
        <v>46213</v>
      </c>
      <c r="D1050" s="417" t="s">
        <v>313</v>
      </c>
      <c r="E1050">
        <v>1347.9786999999999</v>
      </c>
      <c r="F1050">
        <v>4</v>
      </c>
      <c r="G1050">
        <v>336.99467499999997</v>
      </c>
      <c r="H1050">
        <v>0</v>
      </c>
      <c r="I1050">
        <v>43.504310191753397</v>
      </c>
    </row>
    <row r="1051" spans="1:9" x14ac:dyDescent="0.35">
      <c r="A1051" s="417" t="s">
        <v>846</v>
      </c>
      <c r="B1051" s="417" t="s">
        <v>691</v>
      </c>
      <c r="C1051" s="83">
        <v>46213</v>
      </c>
      <c r="D1051" s="417" t="s">
        <v>504</v>
      </c>
      <c r="E1051">
        <v>1440</v>
      </c>
      <c r="F1051">
        <v>1</v>
      </c>
      <c r="G1051">
        <v>1440</v>
      </c>
      <c r="H1051">
        <v>0</v>
      </c>
      <c r="I1051">
        <v>23.846296296296298</v>
      </c>
    </row>
    <row r="1052" spans="1:9" x14ac:dyDescent="0.35">
      <c r="A1052" s="417" t="s">
        <v>846</v>
      </c>
      <c r="B1052" s="417" t="s">
        <v>676</v>
      </c>
      <c r="C1052" s="83">
        <v>46212</v>
      </c>
      <c r="D1052" s="417" t="s">
        <v>677</v>
      </c>
      <c r="E1052">
        <v>1337.0519999999999</v>
      </c>
      <c r="F1052">
        <v>201</v>
      </c>
      <c r="G1052">
        <v>6.6520000000000001</v>
      </c>
      <c r="H1052">
        <v>83.611033333333296</v>
      </c>
      <c r="I1052">
        <v>42.722499999999997</v>
      </c>
    </row>
    <row r="1053" spans="1:9" x14ac:dyDescent="0.35">
      <c r="A1053" s="417" t="s">
        <v>846</v>
      </c>
      <c r="B1053" s="417" t="s">
        <v>676</v>
      </c>
      <c r="C1053" s="83">
        <v>46212</v>
      </c>
      <c r="D1053" s="417" t="s">
        <v>678</v>
      </c>
      <c r="E1053">
        <v>1374.5035166666701</v>
      </c>
      <c r="F1053">
        <v>29</v>
      </c>
      <c r="G1053">
        <v>47.396672988505699</v>
      </c>
      <c r="H1053">
        <v>20.988700000000001</v>
      </c>
      <c r="I1053">
        <v>108.882250662977</v>
      </c>
    </row>
    <row r="1054" spans="1:9" x14ac:dyDescent="0.35">
      <c r="A1054" s="417" t="s">
        <v>846</v>
      </c>
      <c r="B1054" s="417" t="s">
        <v>676</v>
      </c>
      <c r="C1054" s="83">
        <v>46212</v>
      </c>
      <c r="D1054" s="417" t="s">
        <v>679</v>
      </c>
      <c r="E1054">
        <v>1365.28981666667</v>
      </c>
      <c r="F1054">
        <v>17</v>
      </c>
      <c r="G1054">
        <v>80.311165686274506</v>
      </c>
      <c r="H1054">
        <v>10.331616666666701</v>
      </c>
      <c r="I1054">
        <v>107.70526183766199</v>
      </c>
    </row>
    <row r="1055" spans="1:9" x14ac:dyDescent="0.35">
      <c r="A1055" s="417" t="s">
        <v>846</v>
      </c>
      <c r="B1055" s="417" t="s">
        <v>680</v>
      </c>
      <c r="C1055" s="83">
        <v>46212</v>
      </c>
      <c r="D1055" s="417" t="s">
        <v>684</v>
      </c>
      <c r="E1055">
        <v>1391.30768333333</v>
      </c>
      <c r="F1055">
        <v>51</v>
      </c>
      <c r="G1055">
        <v>27.280542810457501</v>
      </c>
      <c r="H1055">
        <v>29.342166666666699</v>
      </c>
      <c r="I1055">
        <v>71.214620625251897</v>
      </c>
    </row>
    <row r="1056" spans="1:9" x14ac:dyDescent="0.35">
      <c r="A1056" s="417" t="s">
        <v>846</v>
      </c>
      <c r="B1056" s="417" t="s">
        <v>680</v>
      </c>
      <c r="C1056" s="83">
        <v>46212</v>
      </c>
      <c r="D1056" s="417" t="s">
        <v>689</v>
      </c>
      <c r="E1056">
        <v>1361.3610000000001</v>
      </c>
      <c r="F1056">
        <v>48</v>
      </c>
      <c r="G1056">
        <v>28.361687499999999</v>
      </c>
      <c r="H1056">
        <v>1.6737833333333301</v>
      </c>
      <c r="I1056">
        <v>84.251863636386602</v>
      </c>
    </row>
    <row r="1057" spans="1:9" x14ac:dyDescent="0.35">
      <c r="A1057" s="417" t="s">
        <v>846</v>
      </c>
      <c r="B1057" s="417" t="s">
        <v>680</v>
      </c>
      <c r="C1057" s="83">
        <v>46212</v>
      </c>
      <c r="D1057" s="417" t="s">
        <v>681</v>
      </c>
      <c r="E1057">
        <v>1355.9476999999999</v>
      </c>
      <c r="F1057">
        <v>46</v>
      </c>
      <c r="G1057">
        <v>29.477123913043499</v>
      </c>
      <c r="H1057">
        <v>2.6789999999999998</v>
      </c>
      <c r="I1057">
        <v>73.606404974510198</v>
      </c>
    </row>
    <row r="1058" spans="1:9" x14ac:dyDescent="0.35">
      <c r="A1058" s="417" t="s">
        <v>846</v>
      </c>
      <c r="B1058" s="417" t="s">
        <v>680</v>
      </c>
      <c r="C1058" s="83">
        <v>46212</v>
      </c>
      <c r="D1058" s="417" t="s">
        <v>686</v>
      </c>
      <c r="E1058">
        <v>1256.3067333333299</v>
      </c>
      <c r="F1058">
        <v>28</v>
      </c>
      <c r="G1058">
        <v>44.868097619047603</v>
      </c>
      <c r="H1058">
        <v>47.507083333333298</v>
      </c>
      <c r="I1058">
        <v>56.569984402599701</v>
      </c>
    </row>
    <row r="1059" spans="1:9" x14ac:dyDescent="0.35">
      <c r="A1059" s="417" t="s">
        <v>846</v>
      </c>
      <c r="B1059" s="417" t="s">
        <v>680</v>
      </c>
      <c r="C1059" s="83">
        <v>46212</v>
      </c>
      <c r="D1059" s="417" t="s">
        <v>683</v>
      </c>
      <c r="E1059">
        <v>1310.0243166666701</v>
      </c>
      <c r="F1059">
        <v>24</v>
      </c>
      <c r="G1059">
        <v>54.584346527777797</v>
      </c>
      <c r="H1059">
        <v>14.0067</v>
      </c>
      <c r="I1059">
        <v>62.677550980659703</v>
      </c>
    </row>
    <row r="1060" spans="1:9" x14ac:dyDescent="0.35">
      <c r="A1060" s="417" t="s">
        <v>846</v>
      </c>
      <c r="B1060" s="417" t="s">
        <v>680</v>
      </c>
      <c r="C1060" s="83">
        <v>46212</v>
      </c>
      <c r="D1060" s="417" t="s">
        <v>688</v>
      </c>
      <c r="E1060">
        <v>1370.03823333333</v>
      </c>
      <c r="F1060">
        <v>20</v>
      </c>
      <c r="G1060">
        <v>68.5019116666667</v>
      </c>
      <c r="H1060">
        <v>8.6509166666666708</v>
      </c>
      <c r="I1060">
        <v>68.924157419105299</v>
      </c>
    </row>
    <row r="1061" spans="1:9" x14ac:dyDescent="0.35">
      <c r="A1061" s="417" t="s">
        <v>846</v>
      </c>
      <c r="B1061" s="417" t="s">
        <v>680</v>
      </c>
      <c r="C1061" s="83">
        <v>46212</v>
      </c>
      <c r="D1061" s="417" t="s">
        <v>685</v>
      </c>
      <c r="E1061">
        <v>1387.9827499999999</v>
      </c>
      <c r="F1061">
        <v>16</v>
      </c>
      <c r="G1061">
        <v>86.748921874999994</v>
      </c>
      <c r="H1061">
        <v>16.5057333333333</v>
      </c>
      <c r="I1061">
        <v>80.431252386341299</v>
      </c>
    </row>
    <row r="1062" spans="1:9" x14ac:dyDescent="0.35">
      <c r="A1062" s="417" t="s">
        <v>846</v>
      </c>
      <c r="B1062" s="417" t="s">
        <v>680</v>
      </c>
      <c r="C1062" s="83">
        <v>46212</v>
      </c>
      <c r="D1062" s="417" t="s">
        <v>687</v>
      </c>
      <c r="E1062">
        <v>1409.306</v>
      </c>
      <c r="F1062">
        <v>15</v>
      </c>
      <c r="G1062">
        <v>93.953733333333304</v>
      </c>
      <c r="H1062">
        <v>10.8441333333333</v>
      </c>
      <c r="I1062">
        <v>35.552067026016402</v>
      </c>
    </row>
    <row r="1063" spans="1:9" x14ac:dyDescent="0.35">
      <c r="A1063" s="417" t="s">
        <v>846</v>
      </c>
      <c r="B1063" s="417" t="s">
        <v>680</v>
      </c>
      <c r="C1063" s="83">
        <v>46212</v>
      </c>
      <c r="D1063" s="417" t="s">
        <v>682</v>
      </c>
      <c r="E1063">
        <v>1429.9940999999999</v>
      </c>
      <c r="F1063">
        <v>13</v>
      </c>
      <c r="G1063">
        <v>109.999546153846</v>
      </c>
      <c r="H1063">
        <v>4.6786166666666702</v>
      </c>
      <c r="I1063">
        <v>70.414179072905597</v>
      </c>
    </row>
    <row r="1064" spans="1:9" x14ac:dyDescent="0.35">
      <c r="A1064" s="417" t="s">
        <v>846</v>
      </c>
      <c r="B1064" s="417" t="s">
        <v>680</v>
      </c>
      <c r="C1064" s="83">
        <v>46212</v>
      </c>
      <c r="D1064" s="417" t="s">
        <v>690</v>
      </c>
      <c r="E1064">
        <v>1415.34598333333</v>
      </c>
      <c r="F1064">
        <v>10</v>
      </c>
      <c r="G1064">
        <v>141.53459833333301</v>
      </c>
      <c r="H1064">
        <v>3.4858833333333301</v>
      </c>
      <c r="I1064">
        <v>58.592686664519903</v>
      </c>
    </row>
    <row r="1065" spans="1:9" x14ac:dyDescent="0.35">
      <c r="A1065" s="417" t="s">
        <v>846</v>
      </c>
      <c r="B1065" s="417" t="s">
        <v>691</v>
      </c>
      <c r="C1065" s="83">
        <v>46212</v>
      </c>
      <c r="D1065" s="417" t="s">
        <v>314</v>
      </c>
      <c r="E1065">
        <v>1294.1839500000001</v>
      </c>
      <c r="F1065">
        <v>104</v>
      </c>
      <c r="G1065">
        <v>12.444076442307701</v>
      </c>
      <c r="H1065">
        <v>2.8309166666666701</v>
      </c>
      <c r="I1065">
        <v>39.7872049004404</v>
      </c>
    </row>
    <row r="1066" spans="1:9" x14ac:dyDescent="0.35">
      <c r="A1066" s="417" t="s">
        <v>846</v>
      </c>
      <c r="B1066" s="417" t="s">
        <v>691</v>
      </c>
      <c r="C1066" s="83">
        <v>46212</v>
      </c>
      <c r="D1066" s="417" t="s">
        <v>309</v>
      </c>
      <c r="E1066">
        <v>1357.66746666667</v>
      </c>
      <c r="F1066">
        <v>103</v>
      </c>
      <c r="G1066">
        <v>13.1812375404531</v>
      </c>
      <c r="H1066">
        <v>0</v>
      </c>
      <c r="I1066">
        <v>52.257371789241702</v>
      </c>
    </row>
    <row r="1067" spans="1:9" x14ac:dyDescent="0.35">
      <c r="A1067" s="417" t="s">
        <v>846</v>
      </c>
      <c r="B1067" s="417" t="s">
        <v>691</v>
      </c>
      <c r="C1067" s="83">
        <v>46212</v>
      </c>
      <c r="D1067" s="417" t="s">
        <v>305</v>
      </c>
      <c r="E1067">
        <v>1292.5534</v>
      </c>
      <c r="F1067">
        <v>97</v>
      </c>
      <c r="G1067">
        <v>13.3252927835052</v>
      </c>
      <c r="H1067">
        <v>7.9532166666666697</v>
      </c>
      <c r="I1067">
        <v>52.690523177282302</v>
      </c>
    </row>
    <row r="1068" spans="1:9" x14ac:dyDescent="0.35">
      <c r="A1068" s="417" t="s">
        <v>846</v>
      </c>
      <c r="B1068" s="417" t="s">
        <v>691</v>
      </c>
      <c r="C1068" s="83">
        <v>46212</v>
      </c>
      <c r="D1068" s="417" t="s">
        <v>295</v>
      </c>
      <c r="E1068">
        <v>1347.6034999999999</v>
      </c>
      <c r="F1068">
        <v>96</v>
      </c>
      <c r="G1068">
        <v>14.0375364583333</v>
      </c>
      <c r="H1068">
        <v>0.53810000000000002</v>
      </c>
      <c r="I1068">
        <v>64.939122445061102</v>
      </c>
    </row>
    <row r="1069" spans="1:9" x14ac:dyDescent="0.35">
      <c r="A1069" s="417" t="s">
        <v>846</v>
      </c>
      <c r="B1069" s="417" t="s">
        <v>691</v>
      </c>
      <c r="C1069" s="83">
        <v>46212</v>
      </c>
      <c r="D1069" s="417" t="s">
        <v>301</v>
      </c>
      <c r="E1069">
        <v>1383.74313333333</v>
      </c>
      <c r="F1069">
        <v>76</v>
      </c>
      <c r="G1069">
        <v>18.207146491228102</v>
      </c>
      <c r="H1069">
        <v>1.92428333333333</v>
      </c>
      <c r="I1069">
        <v>48.857467628811897</v>
      </c>
    </row>
    <row r="1070" spans="1:9" x14ac:dyDescent="0.35">
      <c r="A1070" s="417" t="s">
        <v>846</v>
      </c>
      <c r="B1070" s="417" t="s">
        <v>691</v>
      </c>
      <c r="C1070" s="83">
        <v>46212</v>
      </c>
      <c r="D1070" s="417" t="s">
        <v>303</v>
      </c>
      <c r="E1070">
        <v>1399.3623833333299</v>
      </c>
      <c r="F1070">
        <v>65</v>
      </c>
      <c r="G1070">
        <v>21.528652051282101</v>
      </c>
      <c r="H1070">
        <v>0.35628333333333301</v>
      </c>
      <c r="I1070">
        <v>44.430258553039401</v>
      </c>
    </row>
    <row r="1071" spans="1:9" x14ac:dyDescent="0.35">
      <c r="A1071" s="417" t="s">
        <v>846</v>
      </c>
      <c r="B1071" s="417" t="s">
        <v>691</v>
      </c>
      <c r="C1071" s="83">
        <v>46212</v>
      </c>
      <c r="D1071" s="417" t="s">
        <v>299</v>
      </c>
      <c r="E1071">
        <v>1381.6202333333299</v>
      </c>
      <c r="F1071">
        <v>60</v>
      </c>
      <c r="G1071">
        <v>23.027003888888899</v>
      </c>
      <c r="H1071">
        <v>0.61450000000000005</v>
      </c>
      <c r="I1071">
        <v>64.823717930918505</v>
      </c>
    </row>
    <row r="1072" spans="1:9" x14ac:dyDescent="0.35">
      <c r="A1072" s="417" t="s">
        <v>846</v>
      </c>
      <c r="B1072" s="417" t="s">
        <v>691</v>
      </c>
      <c r="C1072" s="83">
        <v>46212</v>
      </c>
      <c r="D1072" s="417" t="s">
        <v>313</v>
      </c>
      <c r="E1072">
        <v>1414.3989833333301</v>
      </c>
      <c r="F1072">
        <v>8</v>
      </c>
      <c r="G1072">
        <v>176.799872916667</v>
      </c>
      <c r="H1072">
        <v>0</v>
      </c>
      <c r="I1072">
        <v>61.721338615603699</v>
      </c>
    </row>
    <row r="1073" spans="1:9" x14ac:dyDescent="0.35">
      <c r="A1073" s="417" t="s">
        <v>846</v>
      </c>
      <c r="B1073" s="417" t="s">
        <v>691</v>
      </c>
      <c r="C1073" s="83">
        <v>46212</v>
      </c>
      <c r="D1073" s="417" t="s">
        <v>310</v>
      </c>
      <c r="E1073">
        <v>1304.21066666667</v>
      </c>
      <c r="F1073">
        <v>7</v>
      </c>
      <c r="G1073">
        <v>186.31580952381</v>
      </c>
      <c r="H1073">
        <v>1.8761666666666701</v>
      </c>
      <c r="I1073">
        <v>64.914917439613902</v>
      </c>
    </row>
    <row r="1074" spans="1:9" x14ac:dyDescent="0.35">
      <c r="A1074" s="417" t="s">
        <v>846</v>
      </c>
      <c r="B1074" s="417" t="s">
        <v>691</v>
      </c>
      <c r="C1074" s="83">
        <v>46212</v>
      </c>
      <c r="D1074" s="417" t="s">
        <v>317</v>
      </c>
      <c r="E1074">
        <v>1428.7017333333299</v>
      </c>
      <c r="F1074">
        <v>3</v>
      </c>
      <c r="G1074">
        <v>476.23391111111101</v>
      </c>
      <c r="H1074">
        <v>2.2458499999999999</v>
      </c>
      <c r="I1074">
        <v>32.988629737252801</v>
      </c>
    </row>
    <row r="1075" spans="1:9" x14ac:dyDescent="0.35">
      <c r="A1075" s="417" t="s">
        <v>846</v>
      </c>
      <c r="B1075" s="417" t="s">
        <v>691</v>
      </c>
      <c r="C1075" s="83">
        <v>46212</v>
      </c>
      <c r="D1075" s="417" t="s">
        <v>504</v>
      </c>
      <c r="E1075">
        <v>1440</v>
      </c>
      <c r="F1075">
        <v>1</v>
      </c>
      <c r="G1075">
        <v>1440</v>
      </c>
      <c r="H1075">
        <v>0</v>
      </c>
      <c r="I1075">
        <v>47.945524691358003</v>
      </c>
    </row>
    <row r="1076" spans="1:9" x14ac:dyDescent="0.35">
      <c r="A1076" s="417" t="s">
        <v>846</v>
      </c>
      <c r="B1076" s="417" t="s">
        <v>676</v>
      </c>
      <c r="C1076" s="83">
        <v>46211</v>
      </c>
      <c r="D1076" s="417" t="s">
        <v>677</v>
      </c>
      <c r="E1076">
        <v>1214.0635500000001</v>
      </c>
      <c r="F1076">
        <v>438</v>
      </c>
      <c r="G1076">
        <v>2.7718345890411</v>
      </c>
      <c r="H1076">
        <v>208.43536666666699</v>
      </c>
      <c r="I1076">
        <v>41.820555555555501</v>
      </c>
    </row>
    <row r="1077" spans="1:9" x14ac:dyDescent="0.35">
      <c r="A1077" s="417" t="s">
        <v>846</v>
      </c>
      <c r="B1077" s="417" t="s">
        <v>676</v>
      </c>
      <c r="C1077" s="83">
        <v>46211</v>
      </c>
      <c r="D1077" s="417" t="s">
        <v>678</v>
      </c>
      <c r="E1077">
        <v>1267.8222333333299</v>
      </c>
      <c r="F1077">
        <v>39</v>
      </c>
      <c r="G1077">
        <v>32.508262393162397</v>
      </c>
      <c r="H1077">
        <v>44.001766666666697</v>
      </c>
      <c r="I1077">
        <v>96.124454747746597</v>
      </c>
    </row>
    <row r="1078" spans="1:9" x14ac:dyDescent="0.35">
      <c r="A1078" s="417" t="s">
        <v>846</v>
      </c>
      <c r="B1078" s="417" t="s">
        <v>676</v>
      </c>
      <c r="C1078" s="83">
        <v>46211</v>
      </c>
      <c r="D1078" s="417" t="s">
        <v>679</v>
      </c>
      <c r="E1078">
        <v>1282.9899</v>
      </c>
      <c r="F1078">
        <v>15</v>
      </c>
      <c r="G1078">
        <v>85.532660000000007</v>
      </c>
      <c r="H1078">
        <v>5.4826499999999996</v>
      </c>
      <c r="I1078">
        <v>89.889738992418302</v>
      </c>
    </row>
    <row r="1079" spans="1:9" x14ac:dyDescent="0.35">
      <c r="A1079" s="417" t="s">
        <v>846</v>
      </c>
      <c r="B1079" s="417" t="s">
        <v>680</v>
      </c>
      <c r="C1079" s="83">
        <v>46211</v>
      </c>
      <c r="D1079" s="417" t="s">
        <v>688</v>
      </c>
      <c r="E1079">
        <v>1378.2583833333299</v>
      </c>
      <c r="F1079">
        <v>38</v>
      </c>
      <c r="G1079">
        <v>36.269957456140403</v>
      </c>
      <c r="H1079">
        <v>25.541250000000002</v>
      </c>
      <c r="I1079">
        <v>84.886910583516396</v>
      </c>
    </row>
    <row r="1080" spans="1:9" x14ac:dyDescent="0.35">
      <c r="A1080" s="417" t="s">
        <v>846</v>
      </c>
      <c r="B1080" s="417" t="s">
        <v>680</v>
      </c>
      <c r="C1080" s="83">
        <v>46211</v>
      </c>
      <c r="D1080" s="417" t="s">
        <v>682</v>
      </c>
      <c r="E1080">
        <v>1409.9882</v>
      </c>
      <c r="F1080">
        <v>35</v>
      </c>
      <c r="G1080">
        <v>40.2853771428572</v>
      </c>
      <c r="H1080">
        <v>22.671116666666698</v>
      </c>
      <c r="I1080">
        <v>99.286023816743494</v>
      </c>
    </row>
    <row r="1081" spans="1:9" x14ac:dyDescent="0.35">
      <c r="A1081" s="417" t="s">
        <v>846</v>
      </c>
      <c r="B1081" s="417" t="s">
        <v>680</v>
      </c>
      <c r="C1081" s="83">
        <v>46211</v>
      </c>
      <c r="D1081" s="417" t="s">
        <v>685</v>
      </c>
      <c r="E1081">
        <v>1384.8231000000001</v>
      </c>
      <c r="F1081">
        <v>33</v>
      </c>
      <c r="G1081">
        <v>41.964336363636399</v>
      </c>
      <c r="H1081">
        <v>19.4925833333333</v>
      </c>
      <c r="I1081">
        <v>91.700466967339395</v>
      </c>
    </row>
    <row r="1082" spans="1:9" x14ac:dyDescent="0.35">
      <c r="A1082" s="417" t="s">
        <v>846</v>
      </c>
      <c r="B1082" s="417" t="s">
        <v>680</v>
      </c>
      <c r="C1082" s="83">
        <v>46211</v>
      </c>
      <c r="D1082" s="417" t="s">
        <v>690</v>
      </c>
      <c r="E1082">
        <v>1402.6456499999999</v>
      </c>
      <c r="F1082">
        <v>31</v>
      </c>
      <c r="G1082">
        <v>45.246633870967798</v>
      </c>
      <c r="H1082">
        <v>9.3274000000000008</v>
      </c>
      <c r="I1082">
        <v>69.110701076379399</v>
      </c>
    </row>
    <row r="1083" spans="1:9" x14ac:dyDescent="0.35">
      <c r="A1083" s="417" t="s">
        <v>846</v>
      </c>
      <c r="B1083" s="417" t="s">
        <v>680</v>
      </c>
      <c r="C1083" s="83">
        <v>46211</v>
      </c>
      <c r="D1083" s="417" t="s">
        <v>681</v>
      </c>
      <c r="E1083">
        <v>1391.4713666666701</v>
      </c>
      <c r="F1083">
        <v>27</v>
      </c>
      <c r="G1083">
        <v>51.535976543209898</v>
      </c>
      <c r="H1083">
        <v>4.3407166666666699</v>
      </c>
      <c r="I1083">
        <v>86.512885707511899</v>
      </c>
    </row>
    <row r="1084" spans="1:9" x14ac:dyDescent="0.35">
      <c r="A1084" s="417" t="s">
        <v>846</v>
      </c>
      <c r="B1084" s="417" t="s">
        <v>680</v>
      </c>
      <c r="C1084" s="83">
        <v>46211</v>
      </c>
      <c r="D1084" s="417" t="s">
        <v>684</v>
      </c>
      <c r="E1084">
        <v>1418.01485</v>
      </c>
      <c r="F1084">
        <v>25</v>
      </c>
      <c r="G1084">
        <v>56.720593999999998</v>
      </c>
      <c r="H1084">
        <v>16.157033333333299</v>
      </c>
      <c r="I1084">
        <v>110.85921165830899</v>
      </c>
    </row>
    <row r="1085" spans="1:9" x14ac:dyDescent="0.35">
      <c r="A1085" s="417" t="s">
        <v>846</v>
      </c>
      <c r="B1085" s="417" t="s">
        <v>680</v>
      </c>
      <c r="C1085" s="83">
        <v>46211</v>
      </c>
      <c r="D1085" s="417" t="s">
        <v>689</v>
      </c>
      <c r="E1085">
        <v>1416.1811666666699</v>
      </c>
      <c r="F1085">
        <v>24</v>
      </c>
      <c r="G1085">
        <v>59.007548611111098</v>
      </c>
      <c r="H1085">
        <v>0.49995000000000001</v>
      </c>
      <c r="I1085">
        <v>92.926695354984005</v>
      </c>
    </row>
    <row r="1086" spans="1:9" x14ac:dyDescent="0.35">
      <c r="A1086" s="417" t="s">
        <v>846</v>
      </c>
      <c r="B1086" s="417" t="s">
        <v>680</v>
      </c>
      <c r="C1086" s="83">
        <v>46211</v>
      </c>
      <c r="D1086" s="417" t="s">
        <v>683</v>
      </c>
      <c r="E1086">
        <v>1366.10623333333</v>
      </c>
      <c r="F1086">
        <v>16</v>
      </c>
      <c r="G1086">
        <v>85.381639583333296</v>
      </c>
      <c r="H1086">
        <v>4.1842499999999996</v>
      </c>
      <c r="I1086">
        <v>87.9073536222634</v>
      </c>
    </row>
    <row r="1087" spans="1:9" x14ac:dyDescent="0.35">
      <c r="A1087" s="417" t="s">
        <v>846</v>
      </c>
      <c r="B1087" s="417" t="s">
        <v>680</v>
      </c>
      <c r="C1087" s="83">
        <v>46211</v>
      </c>
      <c r="D1087" s="417" t="s">
        <v>687</v>
      </c>
      <c r="E1087">
        <v>1415.365</v>
      </c>
      <c r="F1087">
        <v>14</v>
      </c>
      <c r="G1087">
        <v>101.0975</v>
      </c>
      <c r="H1087">
        <v>18.648883333333298</v>
      </c>
      <c r="I1087">
        <v>60.773089827329699</v>
      </c>
    </row>
    <row r="1088" spans="1:9" x14ac:dyDescent="0.35">
      <c r="A1088" s="417" t="s">
        <v>846</v>
      </c>
      <c r="B1088" s="417" t="s">
        <v>680</v>
      </c>
      <c r="C1088" s="83">
        <v>46211</v>
      </c>
      <c r="D1088" s="417" t="s">
        <v>686</v>
      </c>
      <c r="E1088">
        <v>1428.1640833333299</v>
      </c>
      <c r="F1088">
        <v>5</v>
      </c>
      <c r="G1088">
        <v>285.632816666667</v>
      </c>
      <c r="H1088">
        <v>1.6676166666666701</v>
      </c>
      <c r="I1088">
        <v>60.162198237609502</v>
      </c>
    </row>
    <row r="1089" spans="1:9" x14ac:dyDescent="0.35">
      <c r="A1089" s="417" t="s">
        <v>846</v>
      </c>
      <c r="B1089" s="417" t="s">
        <v>691</v>
      </c>
      <c r="C1089" s="83">
        <v>46211</v>
      </c>
      <c r="D1089" s="417" t="s">
        <v>301</v>
      </c>
      <c r="E1089">
        <v>1348.97043333333</v>
      </c>
      <c r="F1089">
        <v>135</v>
      </c>
      <c r="G1089">
        <v>9.9923735802469107</v>
      </c>
      <c r="H1089">
        <v>0.68131666666666701</v>
      </c>
      <c r="I1089">
        <v>40.269183547130702</v>
      </c>
    </row>
    <row r="1090" spans="1:9" x14ac:dyDescent="0.35">
      <c r="A1090" s="417" t="s">
        <v>846</v>
      </c>
      <c r="B1090" s="417" t="s">
        <v>691</v>
      </c>
      <c r="C1090" s="83">
        <v>46211</v>
      </c>
      <c r="D1090" s="417" t="s">
        <v>295</v>
      </c>
      <c r="E1090">
        <v>1337.61353333333</v>
      </c>
      <c r="F1090">
        <v>101</v>
      </c>
      <c r="G1090">
        <v>13.243698349835</v>
      </c>
      <c r="H1090">
        <v>0.29703333333333298</v>
      </c>
      <c r="I1090">
        <v>54.812589433051599</v>
      </c>
    </row>
    <row r="1091" spans="1:9" x14ac:dyDescent="0.35">
      <c r="A1091" s="417" t="s">
        <v>846</v>
      </c>
      <c r="B1091" s="417" t="s">
        <v>691</v>
      </c>
      <c r="C1091" s="83">
        <v>46211</v>
      </c>
      <c r="D1091" s="417" t="s">
        <v>305</v>
      </c>
      <c r="E1091">
        <v>1311.6563333333299</v>
      </c>
      <c r="F1091">
        <v>79</v>
      </c>
      <c r="G1091">
        <v>16.603244725738399</v>
      </c>
      <c r="H1091">
        <v>9.0587666666666706</v>
      </c>
      <c r="I1091">
        <v>57.455993562592397</v>
      </c>
    </row>
    <row r="1092" spans="1:9" x14ac:dyDescent="0.35">
      <c r="A1092" s="417" t="s">
        <v>846</v>
      </c>
      <c r="B1092" s="417" t="s">
        <v>691</v>
      </c>
      <c r="C1092" s="83">
        <v>46211</v>
      </c>
      <c r="D1092" s="417" t="s">
        <v>309</v>
      </c>
      <c r="E1092">
        <v>1329.8730166666701</v>
      </c>
      <c r="F1092">
        <v>75</v>
      </c>
      <c r="G1092">
        <v>17.7316402222222</v>
      </c>
      <c r="H1092">
        <v>1.4998166666666699</v>
      </c>
      <c r="I1092">
        <v>55.2587341063008</v>
      </c>
    </row>
    <row r="1093" spans="1:9" x14ac:dyDescent="0.35">
      <c r="A1093" s="417" t="s">
        <v>846</v>
      </c>
      <c r="B1093" s="417" t="s">
        <v>691</v>
      </c>
      <c r="C1093" s="83">
        <v>46211</v>
      </c>
      <c r="D1093" s="417" t="s">
        <v>299</v>
      </c>
      <c r="E1093">
        <v>1320.6029166666699</v>
      </c>
      <c r="F1093">
        <v>59</v>
      </c>
      <c r="G1093">
        <v>22.383100282485898</v>
      </c>
      <c r="H1093">
        <v>0.18591666666666701</v>
      </c>
      <c r="I1093">
        <v>58.331458879902002</v>
      </c>
    </row>
    <row r="1094" spans="1:9" x14ac:dyDescent="0.35">
      <c r="A1094" s="417" t="s">
        <v>846</v>
      </c>
      <c r="B1094" s="417" t="s">
        <v>691</v>
      </c>
      <c r="C1094" s="83">
        <v>46211</v>
      </c>
      <c r="D1094" s="417" t="s">
        <v>303</v>
      </c>
      <c r="E1094">
        <v>1391.05735</v>
      </c>
      <c r="F1094">
        <v>58</v>
      </c>
      <c r="G1094">
        <v>23.9837474137931</v>
      </c>
      <c r="H1094">
        <v>0.12693333333333301</v>
      </c>
      <c r="I1094">
        <v>43.093936409676402</v>
      </c>
    </row>
    <row r="1095" spans="1:9" x14ac:dyDescent="0.35">
      <c r="A1095" s="417" t="s">
        <v>846</v>
      </c>
      <c r="B1095" s="417" t="s">
        <v>691</v>
      </c>
      <c r="C1095" s="83">
        <v>46211</v>
      </c>
      <c r="D1095" s="417" t="s">
        <v>314</v>
      </c>
      <c r="E1095">
        <v>1410.92313333333</v>
      </c>
      <c r="F1095">
        <v>9</v>
      </c>
      <c r="G1095">
        <v>156.76923703703699</v>
      </c>
      <c r="H1095">
        <v>0.28243333333333298</v>
      </c>
      <c r="I1095">
        <v>26.894187668892702</v>
      </c>
    </row>
    <row r="1096" spans="1:9" x14ac:dyDescent="0.35">
      <c r="A1096" s="417" t="s">
        <v>846</v>
      </c>
      <c r="B1096" s="417" t="s">
        <v>691</v>
      </c>
      <c r="C1096" s="83">
        <v>46211</v>
      </c>
      <c r="D1096" s="417" t="s">
        <v>310</v>
      </c>
      <c r="E1096">
        <v>1412.1938500000001</v>
      </c>
      <c r="F1096">
        <v>8</v>
      </c>
      <c r="G1096">
        <v>176.52423125000001</v>
      </c>
      <c r="H1096">
        <v>11.1422166666667</v>
      </c>
      <c r="I1096">
        <v>51.629588364732797</v>
      </c>
    </row>
    <row r="1097" spans="1:9" x14ac:dyDescent="0.35">
      <c r="A1097" s="417" t="s">
        <v>846</v>
      </c>
      <c r="B1097" s="417" t="s">
        <v>691</v>
      </c>
      <c r="C1097" s="83">
        <v>46211</v>
      </c>
      <c r="D1097" s="417" t="s">
        <v>313</v>
      </c>
      <c r="E1097">
        <v>1434.4553333333299</v>
      </c>
      <c r="F1097">
        <v>4</v>
      </c>
      <c r="G1097">
        <v>358.61383333333299</v>
      </c>
      <c r="H1097">
        <v>0</v>
      </c>
      <c r="I1097">
        <v>55.182103203273797</v>
      </c>
    </row>
    <row r="1098" spans="1:9" x14ac:dyDescent="0.35">
      <c r="A1098" s="417" t="s">
        <v>846</v>
      </c>
      <c r="B1098" s="417" t="s">
        <v>691</v>
      </c>
      <c r="C1098" s="83">
        <v>46211</v>
      </c>
      <c r="D1098" s="417" t="s">
        <v>317</v>
      </c>
      <c r="E1098">
        <v>1436.43423333333</v>
      </c>
      <c r="F1098">
        <v>2</v>
      </c>
      <c r="G1098">
        <v>718.21711666666704</v>
      </c>
      <c r="H1098">
        <v>0.55656666666666699</v>
      </c>
      <c r="I1098">
        <v>41.117173471117503</v>
      </c>
    </row>
    <row r="1099" spans="1:9" x14ac:dyDescent="0.35">
      <c r="A1099" s="417" t="s">
        <v>846</v>
      </c>
      <c r="B1099" s="417" t="s">
        <v>691</v>
      </c>
      <c r="C1099" s="83">
        <v>46211</v>
      </c>
      <c r="D1099" s="417" t="s">
        <v>504</v>
      </c>
      <c r="E1099">
        <v>1440</v>
      </c>
      <c r="F1099">
        <v>1</v>
      </c>
      <c r="G1099">
        <v>1440</v>
      </c>
      <c r="H1099">
        <v>0</v>
      </c>
      <c r="I1099">
        <v>49.160339506172903</v>
      </c>
    </row>
    <row r="1100" spans="1:9" x14ac:dyDescent="0.35">
      <c r="A1100" s="417" t="s">
        <v>846</v>
      </c>
      <c r="B1100" s="417" t="s">
        <v>676</v>
      </c>
      <c r="C1100" s="83">
        <v>46210</v>
      </c>
      <c r="D1100" s="417" t="s">
        <v>677</v>
      </c>
      <c r="E1100">
        <v>1111.2664666666701</v>
      </c>
      <c r="F1100">
        <v>548</v>
      </c>
      <c r="G1100">
        <v>2.0278585158150899</v>
      </c>
      <c r="H1100">
        <v>270.23343333333298</v>
      </c>
      <c r="I1100">
        <v>27.6522222222222</v>
      </c>
    </row>
    <row r="1101" spans="1:9" x14ac:dyDescent="0.35">
      <c r="A1101" s="417" t="s">
        <v>846</v>
      </c>
      <c r="B1101" s="417" t="s">
        <v>676</v>
      </c>
      <c r="C1101" s="83">
        <v>46210</v>
      </c>
      <c r="D1101" s="417" t="s">
        <v>678</v>
      </c>
      <c r="E1101">
        <v>1396.1622666666699</v>
      </c>
      <c r="F1101">
        <v>30</v>
      </c>
      <c r="G1101">
        <v>46.538742222222197</v>
      </c>
      <c r="H1101">
        <v>15.5071166666667</v>
      </c>
      <c r="I1101">
        <v>102.038292417454</v>
      </c>
    </row>
    <row r="1102" spans="1:9" x14ac:dyDescent="0.35">
      <c r="A1102" s="417" t="s">
        <v>846</v>
      </c>
      <c r="B1102" s="417" t="s">
        <v>676</v>
      </c>
      <c r="C1102" s="83">
        <v>46210</v>
      </c>
      <c r="D1102" s="417" t="s">
        <v>679</v>
      </c>
      <c r="E1102">
        <v>1378.6892166666701</v>
      </c>
      <c r="F1102">
        <v>26</v>
      </c>
      <c r="G1102">
        <v>53.026508333333297</v>
      </c>
      <c r="H1102">
        <v>14.3446833333333</v>
      </c>
      <c r="I1102">
        <v>85.905542810791204</v>
      </c>
    </row>
    <row r="1103" spans="1:9" x14ac:dyDescent="0.35">
      <c r="A1103" s="417" t="s">
        <v>846</v>
      </c>
      <c r="B1103" s="417" t="s">
        <v>680</v>
      </c>
      <c r="C1103" s="83">
        <v>46210</v>
      </c>
      <c r="D1103" s="417" t="s">
        <v>689</v>
      </c>
      <c r="E1103">
        <v>1391.6219166666699</v>
      </c>
      <c r="F1103">
        <v>44</v>
      </c>
      <c r="G1103">
        <v>31.627770833333301</v>
      </c>
      <c r="H1103">
        <v>0.32673333333333299</v>
      </c>
      <c r="I1103">
        <v>95.033550308708598</v>
      </c>
    </row>
    <row r="1104" spans="1:9" x14ac:dyDescent="0.35">
      <c r="A1104" s="417" t="s">
        <v>846</v>
      </c>
      <c r="B1104" s="417" t="s">
        <v>680</v>
      </c>
      <c r="C1104" s="83">
        <v>46210</v>
      </c>
      <c r="D1104" s="417" t="s">
        <v>684</v>
      </c>
      <c r="E1104">
        <v>1398.4785999999999</v>
      </c>
      <c r="F1104">
        <v>44</v>
      </c>
      <c r="G1104">
        <v>31.783604545454502</v>
      </c>
      <c r="H1104">
        <v>29.338466666666701</v>
      </c>
      <c r="I1104">
        <v>142.972509073141</v>
      </c>
    </row>
    <row r="1105" spans="1:9" x14ac:dyDescent="0.35">
      <c r="A1105" s="417" t="s">
        <v>846</v>
      </c>
      <c r="B1105" s="417" t="s">
        <v>680</v>
      </c>
      <c r="C1105" s="83">
        <v>46210</v>
      </c>
      <c r="D1105" s="417" t="s">
        <v>681</v>
      </c>
      <c r="E1105">
        <v>1406.19065</v>
      </c>
      <c r="F1105">
        <v>30</v>
      </c>
      <c r="G1105">
        <v>46.873021666666702</v>
      </c>
      <c r="H1105">
        <v>0.15971666666666701</v>
      </c>
      <c r="I1105">
        <v>92.336097448402796</v>
      </c>
    </row>
    <row r="1106" spans="1:9" x14ac:dyDescent="0.35">
      <c r="A1106" s="417" t="s">
        <v>846</v>
      </c>
      <c r="B1106" s="417" t="s">
        <v>680</v>
      </c>
      <c r="C1106" s="83">
        <v>46210</v>
      </c>
      <c r="D1106" s="417" t="s">
        <v>690</v>
      </c>
      <c r="E1106">
        <v>1401.5054833333299</v>
      </c>
      <c r="F1106">
        <v>29</v>
      </c>
      <c r="G1106">
        <v>48.327775287356303</v>
      </c>
      <c r="H1106">
        <v>11.671466666666699</v>
      </c>
      <c r="I1106">
        <v>75.4800527643511</v>
      </c>
    </row>
    <row r="1107" spans="1:9" x14ac:dyDescent="0.35">
      <c r="A1107" s="417" t="s">
        <v>846</v>
      </c>
      <c r="B1107" s="417" t="s">
        <v>680</v>
      </c>
      <c r="C1107" s="83">
        <v>46210</v>
      </c>
      <c r="D1107" s="417" t="s">
        <v>688</v>
      </c>
      <c r="E1107">
        <v>1400.3245666666701</v>
      </c>
      <c r="F1107">
        <v>23</v>
      </c>
      <c r="G1107">
        <v>60.883676811594199</v>
      </c>
      <c r="H1107">
        <v>10.50315</v>
      </c>
      <c r="I1107">
        <v>91.938912114664006</v>
      </c>
    </row>
    <row r="1108" spans="1:9" x14ac:dyDescent="0.35">
      <c r="A1108" s="417" t="s">
        <v>846</v>
      </c>
      <c r="B1108" s="417" t="s">
        <v>680</v>
      </c>
      <c r="C1108" s="83">
        <v>46210</v>
      </c>
      <c r="D1108" s="417" t="s">
        <v>685</v>
      </c>
      <c r="E1108">
        <v>1391.6757</v>
      </c>
      <c r="F1108">
        <v>23</v>
      </c>
      <c r="G1108">
        <v>60.507639130434796</v>
      </c>
      <c r="H1108">
        <v>15.3085666666667</v>
      </c>
      <c r="I1108">
        <v>93.651548072401994</v>
      </c>
    </row>
    <row r="1109" spans="1:9" x14ac:dyDescent="0.35">
      <c r="A1109" s="417" t="s">
        <v>846</v>
      </c>
      <c r="B1109" s="417" t="s">
        <v>680</v>
      </c>
      <c r="C1109" s="83">
        <v>46210</v>
      </c>
      <c r="D1109" s="417" t="s">
        <v>682</v>
      </c>
      <c r="E1109">
        <v>1415.82836666667</v>
      </c>
      <c r="F1109">
        <v>18</v>
      </c>
      <c r="G1109">
        <v>78.6571314814815</v>
      </c>
      <c r="H1109">
        <v>24.1716333333333</v>
      </c>
      <c r="I1109">
        <v>95.449494949494905</v>
      </c>
    </row>
    <row r="1110" spans="1:9" x14ac:dyDescent="0.35">
      <c r="A1110" s="417" t="s">
        <v>846</v>
      </c>
      <c r="B1110" s="417" t="s">
        <v>680</v>
      </c>
      <c r="C1110" s="83">
        <v>46210</v>
      </c>
      <c r="D1110" s="417" t="s">
        <v>683</v>
      </c>
      <c r="E1110">
        <v>1390.35656666667</v>
      </c>
      <c r="F1110">
        <v>12</v>
      </c>
      <c r="G1110">
        <v>115.86304722222199</v>
      </c>
      <c r="H1110">
        <v>4.1717666666666702</v>
      </c>
      <c r="I1110">
        <v>82.749650643538502</v>
      </c>
    </row>
    <row r="1111" spans="1:9" x14ac:dyDescent="0.35">
      <c r="A1111" s="417" t="s">
        <v>846</v>
      </c>
      <c r="B1111" s="417" t="s">
        <v>680</v>
      </c>
      <c r="C1111" s="83">
        <v>46210</v>
      </c>
      <c r="D1111" s="417" t="s">
        <v>687</v>
      </c>
      <c r="E1111">
        <v>1420.17286666667</v>
      </c>
      <c r="F1111">
        <v>6</v>
      </c>
      <c r="G1111">
        <v>236.695477777778</v>
      </c>
      <c r="H1111">
        <v>13.6674166666667</v>
      </c>
      <c r="I1111">
        <v>49.711381837087998</v>
      </c>
    </row>
    <row r="1112" spans="1:9" x14ac:dyDescent="0.35">
      <c r="A1112" s="417" t="s">
        <v>846</v>
      </c>
      <c r="B1112" s="417" t="s">
        <v>680</v>
      </c>
      <c r="C1112" s="83">
        <v>46210</v>
      </c>
      <c r="D1112" s="417" t="s">
        <v>686</v>
      </c>
      <c r="E1112">
        <v>1440</v>
      </c>
      <c r="F1112">
        <v>1</v>
      </c>
      <c r="G1112">
        <v>1440</v>
      </c>
      <c r="H1112">
        <v>0</v>
      </c>
      <c r="I1112">
        <v>48.8333333333333</v>
      </c>
    </row>
    <row r="1113" spans="1:9" x14ac:dyDescent="0.35">
      <c r="A1113" s="417" t="s">
        <v>846</v>
      </c>
      <c r="B1113" s="417" t="s">
        <v>691</v>
      </c>
      <c r="C1113" s="83">
        <v>46210</v>
      </c>
      <c r="D1113" s="417" t="s">
        <v>305</v>
      </c>
      <c r="E1113">
        <v>1307.9717000000001</v>
      </c>
      <c r="F1113">
        <v>145</v>
      </c>
      <c r="G1113">
        <v>9.02049448275862</v>
      </c>
      <c r="H1113">
        <v>1.7496166666666699</v>
      </c>
      <c r="I1113">
        <v>81.057382581239196</v>
      </c>
    </row>
    <row r="1114" spans="1:9" x14ac:dyDescent="0.35">
      <c r="A1114" s="417" t="s">
        <v>846</v>
      </c>
      <c r="B1114" s="417" t="s">
        <v>691</v>
      </c>
      <c r="C1114" s="83">
        <v>46210</v>
      </c>
      <c r="D1114" s="417" t="s">
        <v>309</v>
      </c>
      <c r="E1114">
        <v>1329.05483333333</v>
      </c>
      <c r="F1114">
        <v>96</v>
      </c>
      <c r="G1114">
        <v>13.8443211805556</v>
      </c>
      <c r="H1114">
        <v>0</v>
      </c>
      <c r="I1114">
        <v>74.823936756999899</v>
      </c>
    </row>
    <row r="1115" spans="1:9" x14ac:dyDescent="0.35">
      <c r="A1115" s="417" t="s">
        <v>846</v>
      </c>
      <c r="B1115" s="417" t="s">
        <v>691</v>
      </c>
      <c r="C1115" s="83">
        <v>46210</v>
      </c>
      <c r="D1115" s="417" t="s">
        <v>301</v>
      </c>
      <c r="E1115">
        <v>1320.9808499999999</v>
      </c>
      <c r="F1115">
        <v>95</v>
      </c>
      <c r="G1115">
        <v>13.9050615789474</v>
      </c>
      <c r="H1115">
        <v>0.50763333333333305</v>
      </c>
      <c r="I1115">
        <v>38.178156331810499</v>
      </c>
    </row>
    <row r="1116" spans="1:9" x14ac:dyDescent="0.35">
      <c r="A1116" s="417" t="s">
        <v>846</v>
      </c>
      <c r="B1116" s="417" t="s">
        <v>691</v>
      </c>
      <c r="C1116" s="83">
        <v>46210</v>
      </c>
      <c r="D1116" s="417" t="s">
        <v>295</v>
      </c>
      <c r="E1116">
        <v>1385.9239333333301</v>
      </c>
      <c r="F1116">
        <v>73</v>
      </c>
      <c r="G1116">
        <v>18.985259360730598</v>
      </c>
      <c r="H1116">
        <v>0.37923333333333298</v>
      </c>
      <c r="I1116">
        <v>83.5600144441879</v>
      </c>
    </row>
    <row r="1117" spans="1:9" x14ac:dyDescent="0.35">
      <c r="A1117" s="417" t="s">
        <v>846</v>
      </c>
      <c r="B1117" s="417" t="s">
        <v>691</v>
      </c>
      <c r="C1117" s="83">
        <v>46210</v>
      </c>
      <c r="D1117" s="417" t="s">
        <v>303</v>
      </c>
      <c r="E1117">
        <v>1381.82901666667</v>
      </c>
      <c r="F1117">
        <v>54</v>
      </c>
      <c r="G1117">
        <v>25.589426234567899</v>
      </c>
      <c r="H1117">
        <v>0.25929999999999997</v>
      </c>
      <c r="I1117">
        <v>56.682820680387501</v>
      </c>
    </row>
    <row r="1118" spans="1:9" x14ac:dyDescent="0.35">
      <c r="A1118" s="417" t="s">
        <v>846</v>
      </c>
      <c r="B1118" s="417" t="s">
        <v>691</v>
      </c>
      <c r="C1118" s="83">
        <v>46210</v>
      </c>
      <c r="D1118" s="417" t="s">
        <v>299</v>
      </c>
      <c r="E1118">
        <v>1385.83766666667</v>
      </c>
      <c r="F1118">
        <v>43</v>
      </c>
      <c r="G1118">
        <v>32.228782945736398</v>
      </c>
      <c r="H1118">
        <v>0.132766666666667</v>
      </c>
      <c r="I1118">
        <v>82.725101791199904</v>
      </c>
    </row>
    <row r="1119" spans="1:9" x14ac:dyDescent="0.35">
      <c r="A1119" s="417" t="s">
        <v>846</v>
      </c>
      <c r="B1119" s="417" t="s">
        <v>691</v>
      </c>
      <c r="C1119" s="83">
        <v>46210</v>
      </c>
      <c r="D1119" s="417" t="s">
        <v>313</v>
      </c>
      <c r="E1119">
        <v>1404.95996666667</v>
      </c>
      <c r="F1119">
        <v>15</v>
      </c>
      <c r="G1119">
        <v>93.663997777777794</v>
      </c>
      <c r="H1119">
        <v>5.8950000000000002E-2</v>
      </c>
      <c r="I1119">
        <v>80.805581916941705</v>
      </c>
    </row>
    <row r="1120" spans="1:9" x14ac:dyDescent="0.35">
      <c r="A1120" s="417" t="s">
        <v>846</v>
      </c>
      <c r="B1120" s="417" t="s">
        <v>691</v>
      </c>
      <c r="C1120" s="83">
        <v>46210</v>
      </c>
      <c r="D1120" s="417" t="s">
        <v>317</v>
      </c>
      <c r="E1120">
        <v>1432.93501666667</v>
      </c>
      <c r="F1120">
        <v>10</v>
      </c>
      <c r="G1120">
        <v>143.293501666667</v>
      </c>
      <c r="H1120">
        <v>4.9044666666666696</v>
      </c>
      <c r="I1120">
        <v>50.009059309807697</v>
      </c>
    </row>
    <row r="1121" spans="1:9" x14ac:dyDescent="0.35">
      <c r="A1121" s="417" t="s">
        <v>846</v>
      </c>
      <c r="B1121" s="417" t="s">
        <v>691</v>
      </c>
      <c r="C1121" s="83">
        <v>46210</v>
      </c>
      <c r="D1121" s="417" t="s">
        <v>314</v>
      </c>
      <c r="E1121">
        <v>1404.27495</v>
      </c>
      <c r="F1121">
        <v>10</v>
      </c>
      <c r="G1121">
        <v>140.42749499999999</v>
      </c>
      <c r="H1121">
        <v>0.22841666666666699</v>
      </c>
      <c r="I1121">
        <v>12.0937073756185</v>
      </c>
    </row>
    <row r="1122" spans="1:9" x14ac:dyDescent="0.35">
      <c r="A1122" s="417" t="s">
        <v>846</v>
      </c>
      <c r="B1122" s="417" t="s">
        <v>691</v>
      </c>
      <c r="C1122" s="83">
        <v>46210</v>
      </c>
      <c r="D1122" s="417" t="s">
        <v>310</v>
      </c>
      <c r="E1122">
        <v>1432.2001166666701</v>
      </c>
      <c r="F1122">
        <v>3</v>
      </c>
      <c r="G1122">
        <v>477.40003888888901</v>
      </c>
      <c r="H1122">
        <v>0</v>
      </c>
      <c r="I1122">
        <v>80.6164604201103</v>
      </c>
    </row>
    <row r="1123" spans="1:9" x14ac:dyDescent="0.35">
      <c r="A1123" s="417" t="s">
        <v>846</v>
      </c>
      <c r="B1123" s="417" t="s">
        <v>691</v>
      </c>
      <c r="C1123" s="83">
        <v>46210</v>
      </c>
      <c r="D1123" s="417" t="s">
        <v>504</v>
      </c>
      <c r="E1123">
        <v>1440</v>
      </c>
      <c r="F1123">
        <v>1</v>
      </c>
      <c r="G1123">
        <v>1440</v>
      </c>
      <c r="H1123">
        <v>0</v>
      </c>
      <c r="I1123">
        <v>54.789351851851798</v>
      </c>
    </row>
    <row r="1124" spans="1:9" x14ac:dyDescent="0.35">
      <c r="A1124" s="417" t="s">
        <v>846</v>
      </c>
      <c r="B1124" s="417" t="s">
        <v>676</v>
      </c>
      <c r="C1124" s="83">
        <v>46209</v>
      </c>
      <c r="D1124" s="417" t="s">
        <v>677</v>
      </c>
      <c r="E1124">
        <v>1041.7701999999999</v>
      </c>
      <c r="F1124">
        <v>294</v>
      </c>
      <c r="G1124">
        <v>3.54343605442177</v>
      </c>
      <c r="H1124">
        <v>201.87763333333299</v>
      </c>
      <c r="I1124">
        <v>24.862777777777701</v>
      </c>
    </row>
    <row r="1125" spans="1:9" x14ac:dyDescent="0.35">
      <c r="A1125" s="417" t="s">
        <v>846</v>
      </c>
      <c r="B1125" s="417" t="s">
        <v>676</v>
      </c>
      <c r="C1125" s="83">
        <v>46209</v>
      </c>
      <c r="D1125" s="417" t="s">
        <v>679</v>
      </c>
      <c r="E1125">
        <v>1230.63846666667</v>
      </c>
      <c r="F1125">
        <v>28</v>
      </c>
      <c r="G1125">
        <v>43.951373809523801</v>
      </c>
      <c r="H1125">
        <v>26.169799999999999</v>
      </c>
      <c r="I1125">
        <v>63.375681168323901</v>
      </c>
    </row>
    <row r="1126" spans="1:9" x14ac:dyDescent="0.35">
      <c r="A1126" s="417" t="s">
        <v>846</v>
      </c>
      <c r="B1126" s="417" t="s">
        <v>676</v>
      </c>
      <c r="C1126" s="83">
        <v>46209</v>
      </c>
      <c r="D1126" s="417" t="s">
        <v>678</v>
      </c>
      <c r="E1126">
        <v>1324.8178499999999</v>
      </c>
      <c r="F1126">
        <v>23</v>
      </c>
      <c r="G1126">
        <v>57.6007760869565</v>
      </c>
      <c r="H1126">
        <v>14.0042666666667</v>
      </c>
      <c r="I1126">
        <v>71.963566180604701</v>
      </c>
    </row>
    <row r="1127" spans="1:9" x14ac:dyDescent="0.35">
      <c r="A1127" s="417" t="s">
        <v>846</v>
      </c>
      <c r="B1127" s="417" t="s">
        <v>680</v>
      </c>
      <c r="C1127" s="83">
        <v>46209</v>
      </c>
      <c r="D1127" s="417" t="s">
        <v>689</v>
      </c>
      <c r="E1127">
        <v>1218.5563833333299</v>
      </c>
      <c r="F1127">
        <v>56</v>
      </c>
      <c r="G1127">
        <v>21.7599354166667</v>
      </c>
      <c r="H1127">
        <v>0</v>
      </c>
      <c r="I1127">
        <v>79.284801496754298</v>
      </c>
    </row>
    <row r="1128" spans="1:9" x14ac:dyDescent="0.35">
      <c r="A1128" s="417" t="s">
        <v>846</v>
      </c>
      <c r="B1128" s="417" t="s">
        <v>680</v>
      </c>
      <c r="C1128" s="83">
        <v>46209</v>
      </c>
      <c r="D1128" s="417" t="s">
        <v>681</v>
      </c>
      <c r="E1128">
        <v>1350.3026</v>
      </c>
      <c r="F1128">
        <v>53</v>
      </c>
      <c r="G1128">
        <v>25.4774075471698</v>
      </c>
      <c r="H1128">
        <v>2.1605500000000002</v>
      </c>
      <c r="I1128">
        <v>55.2212594550886</v>
      </c>
    </row>
    <row r="1129" spans="1:9" x14ac:dyDescent="0.35">
      <c r="A1129" s="417" t="s">
        <v>846</v>
      </c>
      <c r="B1129" s="417" t="s">
        <v>680</v>
      </c>
      <c r="C1129" s="83">
        <v>46209</v>
      </c>
      <c r="D1129" s="417" t="s">
        <v>683</v>
      </c>
      <c r="E1129">
        <v>1330.1592333333299</v>
      </c>
      <c r="F1129">
        <v>36</v>
      </c>
      <c r="G1129">
        <v>36.948867592592599</v>
      </c>
      <c r="H1129">
        <v>2.4832333333333301</v>
      </c>
      <c r="I1129">
        <v>62.783010652740799</v>
      </c>
    </row>
    <row r="1130" spans="1:9" x14ac:dyDescent="0.35">
      <c r="A1130" s="417" t="s">
        <v>846</v>
      </c>
      <c r="B1130" s="417" t="s">
        <v>680</v>
      </c>
      <c r="C1130" s="83">
        <v>46209</v>
      </c>
      <c r="D1130" s="417" t="s">
        <v>684</v>
      </c>
      <c r="E1130">
        <v>1301.60025</v>
      </c>
      <c r="F1130">
        <v>34</v>
      </c>
      <c r="G1130">
        <v>38.282360294117701</v>
      </c>
      <c r="H1130">
        <v>25.482900000000001</v>
      </c>
      <c r="I1130">
        <v>64.801454403902497</v>
      </c>
    </row>
    <row r="1131" spans="1:9" x14ac:dyDescent="0.35">
      <c r="A1131" s="417" t="s">
        <v>846</v>
      </c>
      <c r="B1131" s="417" t="s">
        <v>680</v>
      </c>
      <c r="C1131" s="83">
        <v>46209</v>
      </c>
      <c r="D1131" s="417" t="s">
        <v>690</v>
      </c>
      <c r="E1131">
        <v>1337.3782166666699</v>
      </c>
      <c r="F1131">
        <v>27</v>
      </c>
      <c r="G1131">
        <v>49.532526543209897</v>
      </c>
      <c r="H1131">
        <v>7.1849833333333297</v>
      </c>
      <c r="I1131">
        <v>56.872298493785102</v>
      </c>
    </row>
    <row r="1132" spans="1:9" x14ac:dyDescent="0.35">
      <c r="A1132" s="417" t="s">
        <v>846</v>
      </c>
      <c r="B1132" s="417" t="s">
        <v>680</v>
      </c>
      <c r="C1132" s="83">
        <v>46209</v>
      </c>
      <c r="D1132" s="417" t="s">
        <v>687</v>
      </c>
      <c r="E1132">
        <v>1352.7239</v>
      </c>
      <c r="F1132">
        <v>21</v>
      </c>
      <c r="G1132">
        <v>64.415423809523801</v>
      </c>
      <c r="H1132">
        <v>20.5026166666667</v>
      </c>
      <c r="I1132">
        <v>32.729668684365201</v>
      </c>
    </row>
    <row r="1133" spans="1:9" x14ac:dyDescent="0.35">
      <c r="A1133" s="417" t="s">
        <v>846</v>
      </c>
      <c r="B1133" s="417" t="s">
        <v>680</v>
      </c>
      <c r="C1133" s="83">
        <v>46209</v>
      </c>
      <c r="D1133" s="417" t="s">
        <v>688</v>
      </c>
      <c r="E1133">
        <v>1347.93345</v>
      </c>
      <c r="F1133">
        <v>12</v>
      </c>
      <c r="G1133">
        <v>112.3277875</v>
      </c>
      <c r="H1133">
        <v>4.5008999999999997</v>
      </c>
      <c r="I1133">
        <v>51.230801445605302</v>
      </c>
    </row>
    <row r="1134" spans="1:9" x14ac:dyDescent="0.35">
      <c r="A1134" s="417" t="s">
        <v>846</v>
      </c>
      <c r="B1134" s="417" t="s">
        <v>680</v>
      </c>
      <c r="C1134" s="83">
        <v>46209</v>
      </c>
      <c r="D1134" s="417" t="s">
        <v>685</v>
      </c>
      <c r="E1134">
        <v>1356.98978333333</v>
      </c>
      <c r="F1134">
        <v>12</v>
      </c>
      <c r="G1134">
        <v>113.082481944444</v>
      </c>
      <c r="H1134">
        <v>6.6617666666666704</v>
      </c>
      <c r="I1134">
        <v>68.664509342844894</v>
      </c>
    </row>
    <row r="1135" spans="1:9" x14ac:dyDescent="0.35">
      <c r="A1135" s="417" t="s">
        <v>846</v>
      </c>
      <c r="B1135" s="417" t="s">
        <v>680</v>
      </c>
      <c r="C1135" s="83">
        <v>46209</v>
      </c>
      <c r="D1135" s="417" t="s">
        <v>682</v>
      </c>
      <c r="E1135">
        <v>1345.90871666667</v>
      </c>
      <c r="F1135">
        <v>10</v>
      </c>
      <c r="G1135">
        <v>134.590871666667</v>
      </c>
      <c r="H1135">
        <v>13.8321166666667</v>
      </c>
      <c r="I1135">
        <v>60.987436880082001</v>
      </c>
    </row>
    <row r="1136" spans="1:9" x14ac:dyDescent="0.35">
      <c r="A1136" s="417" t="s">
        <v>846</v>
      </c>
      <c r="B1136" s="417" t="s">
        <v>680</v>
      </c>
      <c r="C1136" s="83">
        <v>46209</v>
      </c>
      <c r="D1136" s="417" t="s">
        <v>686</v>
      </c>
      <c r="E1136">
        <v>1326.9050833333299</v>
      </c>
      <c r="F1136">
        <v>1</v>
      </c>
      <c r="G1136">
        <v>1326.9050833333299</v>
      </c>
      <c r="H1136">
        <v>0</v>
      </c>
      <c r="I1136">
        <v>30.218725569466301</v>
      </c>
    </row>
    <row r="1137" spans="1:9" x14ac:dyDescent="0.35">
      <c r="A1137" s="417" t="s">
        <v>846</v>
      </c>
      <c r="B1137" s="417" t="s">
        <v>691</v>
      </c>
      <c r="C1137" s="83">
        <v>46209</v>
      </c>
      <c r="D1137" s="417" t="s">
        <v>301</v>
      </c>
      <c r="E1137">
        <v>1327.0716833333299</v>
      </c>
      <c r="F1137">
        <v>163</v>
      </c>
      <c r="G1137">
        <v>8.1415440695296493</v>
      </c>
      <c r="H1137">
        <v>1.8048166666666701</v>
      </c>
      <c r="I1137">
        <v>49.228830810536003</v>
      </c>
    </row>
    <row r="1138" spans="1:9" x14ac:dyDescent="0.35">
      <c r="A1138" s="417" t="s">
        <v>846</v>
      </c>
      <c r="B1138" s="417" t="s">
        <v>691</v>
      </c>
      <c r="C1138" s="83">
        <v>46209</v>
      </c>
      <c r="D1138" s="417" t="s">
        <v>309</v>
      </c>
      <c r="E1138">
        <v>1319.2198333333299</v>
      </c>
      <c r="F1138">
        <v>134</v>
      </c>
      <c r="G1138">
        <v>9.8449241293532292</v>
      </c>
      <c r="H1138">
        <v>0</v>
      </c>
      <c r="I1138">
        <v>72.236971646476704</v>
      </c>
    </row>
    <row r="1139" spans="1:9" x14ac:dyDescent="0.35">
      <c r="A1139" s="417" t="s">
        <v>846</v>
      </c>
      <c r="B1139" s="417" t="s">
        <v>691</v>
      </c>
      <c r="C1139" s="83">
        <v>46209</v>
      </c>
      <c r="D1139" s="417" t="s">
        <v>305</v>
      </c>
      <c r="E1139">
        <v>1292.34508333333</v>
      </c>
      <c r="F1139">
        <v>115</v>
      </c>
      <c r="G1139">
        <v>11.237783333333301</v>
      </c>
      <c r="H1139">
        <v>9.0083333333333293</v>
      </c>
      <c r="I1139">
        <v>72.800629740115994</v>
      </c>
    </row>
    <row r="1140" spans="1:9" x14ac:dyDescent="0.35">
      <c r="A1140" s="417" t="s">
        <v>846</v>
      </c>
      <c r="B1140" s="417" t="s">
        <v>691</v>
      </c>
      <c r="C1140" s="83">
        <v>46209</v>
      </c>
      <c r="D1140" s="417" t="s">
        <v>295</v>
      </c>
      <c r="E1140">
        <v>1354.0894333333299</v>
      </c>
      <c r="F1140">
        <v>71</v>
      </c>
      <c r="G1140">
        <v>19.071682159624402</v>
      </c>
      <c r="H1140">
        <v>0.160783333333333</v>
      </c>
      <c r="I1140">
        <v>76.790258609105095</v>
      </c>
    </row>
    <row r="1141" spans="1:9" x14ac:dyDescent="0.35">
      <c r="A1141" s="417" t="s">
        <v>846</v>
      </c>
      <c r="B1141" s="417" t="s">
        <v>691</v>
      </c>
      <c r="C1141" s="83">
        <v>46209</v>
      </c>
      <c r="D1141" s="417" t="s">
        <v>299</v>
      </c>
      <c r="E1141">
        <v>1361.1608000000001</v>
      </c>
      <c r="F1141">
        <v>66</v>
      </c>
      <c r="G1141">
        <v>20.623648484848498</v>
      </c>
      <c r="H1141">
        <v>0.12228333333333299</v>
      </c>
      <c r="I1141">
        <v>79.944359173737695</v>
      </c>
    </row>
    <row r="1142" spans="1:9" x14ac:dyDescent="0.35">
      <c r="A1142" s="417" t="s">
        <v>846</v>
      </c>
      <c r="B1142" s="417" t="s">
        <v>691</v>
      </c>
      <c r="C1142" s="83">
        <v>46209</v>
      </c>
      <c r="D1142" s="417" t="s">
        <v>314</v>
      </c>
      <c r="E1142">
        <v>1217.69243333333</v>
      </c>
      <c r="F1142">
        <v>57</v>
      </c>
      <c r="G1142">
        <v>21.363025146198801</v>
      </c>
      <c r="H1142">
        <v>1.7126999999999999</v>
      </c>
      <c r="I1142">
        <v>49.831553046537103</v>
      </c>
    </row>
    <row r="1143" spans="1:9" x14ac:dyDescent="0.35">
      <c r="A1143" s="417" t="s">
        <v>846</v>
      </c>
      <c r="B1143" s="417" t="s">
        <v>691</v>
      </c>
      <c r="C1143" s="83">
        <v>46209</v>
      </c>
      <c r="D1143" s="417" t="s">
        <v>303</v>
      </c>
      <c r="E1143">
        <v>1372.5852833333299</v>
      </c>
      <c r="F1143">
        <v>54</v>
      </c>
      <c r="G1143">
        <v>25.418245987654299</v>
      </c>
      <c r="H1143">
        <v>0.134833333333333</v>
      </c>
      <c r="I1143">
        <v>55.396894473133599</v>
      </c>
    </row>
    <row r="1144" spans="1:9" x14ac:dyDescent="0.35">
      <c r="A1144" s="417" t="s">
        <v>846</v>
      </c>
      <c r="B1144" s="417" t="s">
        <v>691</v>
      </c>
      <c r="C1144" s="83">
        <v>46209</v>
      </c>
      <c r="D1144" s="417" t="s">
        <v>310</v>
      </c>
      <c r="E1144">
        <v>1403.5261</v>
      </c>
      <c r="F1144">
        <v>8</v>
      </c>
      <c r="G1144">
        <v>175.44076250000001</v>
      </c>
      <c r="H1144">
        <v>0.85580000000000001</v>
      </c>
      <c r="I1144">
        <v>70.777439495701699</v>
      </c>
    </row>
    <row r="1145" spans="1:9" x14ac:dyDescent="0.35">
      <c r="A1145" s="417" t="s">
        <v>846</v>
      </c>
      <c r="B1145" s="417" t="s">
        <v>691</v>
      </c>
      <c r="C1145" s="83">
        <v>46209</v>
      </c>
      <c r="D1145" s="417" t="s">
        <v>317</v>
      </c>
      <c r="E1145">
        <v>1394.09803333333</v>
      </c>
      <c r="F1145">
        <v>3</v>
      </c>
      <c r="G1145">
        <v>464.69934444444499</v>
      </c>
      <c r="H1145">
        <v>7.1078666666666699</v>
      </c>
      <c r="I1145">
        <v>49.9426957879638</v>
      </c>
    </row>
    <row r="1146" spans="1:9" x14ac:dyDescent="0.35">
      <c r="A1146" s="417" t="s">
        <v>846</v>
      </c>
      <c r="B1146" s="417" t="s">
        <v>691</v>
      </c>
      <c r="C1146" s="83">
        <v>46209</v>
      </c>
      <c r="D1146" s="417" t="s">
        <v>313</v>
      </c>
      <c r="E1146">
        <v>1427.53101666667</v>
      </c>
      <c r="F1146">
        <v>2</v>
      </c>
      <c r="G1146">
        <v>713.76550833333295</v>
      </c>
      <c r="H1146">
        <v>0</v>
      </c>
      <c r="I1146">
        <v>78.427132998345499</v>
      </c>
    </row>
    <row r="1147" spans="1:9" x14ac:dyDescent="0.35">
      <c r="A1147" s="417" t="s">
        <v>846</v>
      </c>
      <c r="B1147" s="417" t="s">
        <v>691</v>
      </c>
      <c r="C1147" s="83">
        <v>46209</v>
      </c>
      <c r="D1147" s="417" t="s">
        <v>504</v>
      </c>
      <c r="E1147">
        <v>1440</v>
      </c>
      <c r="F1147">
        <v>1</v>
      </c>
      <c r="G1147">
        <v>1440</v>
      </c>
      <c r="H1147">
        <v>0</v>
      </c>
      <c r="I1147">
        <v>61.154012345679</v>
      </c>
    </row>
    <row r="1148" spans="1:9" x14ac:dyDescent="0.35">
      <c r="A1148" s="417" t="s">
        <v>846</v>
      </c>
      <c r="B1148" s="417" t="s">
        <v>676</v>
      </c>
      <c r="C1148" s="83">
        <v>46208</v>
      </c>
      <c r="D1148" s="417" t="s">
        <v>677</v>
      </c>
      <c r="E1148">
        <v>1284.9394</v>
      </c>
      <c r="F1148">
        <v>275</v>
      </c>
      <c r="G1148">
        <v>4.6725069090909104</v>
      </c>
      <c r="H1148">
        <v>118.72414999999999</v>
      </c>
      <c r="I1148">
        <v>24.747777777777699</v>
      </c>
    </row>
    <row r="1149" spans="1:9" x14ac:dyDescent="0.35">
      <c r="A1149" s="417" t="s">
        <v>846</v>
      </c>
      <c r="B1149" s="417" t="s">
        <v>676</v>
      </c>
      <c r="C1149" s="83">
        <v>46208</v>
      </c>
      <c r="D1149" s="417" t="s">
        <v>679</v>
      </c>
      <c r="E1149">
        <v>1128.4990499999999</v>
      </c>
      <c r="F1149">
        <v>77</v>
      </c>
      <c r="G1149">
        <v>14.655831818181801</v>
      </c>
      <c r="H1149">
        <v>106.17685</v>
      </c>
      <c r="I1149">
        <v>76.121612928394299</v>
      </c>
    </row>
    <row r="1150" spans="1:9" x14ac:dyDescent="0.35">
      <c r="A1150" s="417" t="s">
        <v>846</v>
      </c>
      <c r="B1150" s="417" t="s">
        <v>676</v>
      </c>
      <c r="C1150" s="83">
        <v>46208</v>
      </c>
      <c r="D1150" s="417" t="s">
        <v>678</v>
      </c>
      <c r="E1150">
        <v>1346.10306666667</v>
      </c>
      <c r="F1150">
        <v>44</v>
      </c>
      <c r="G1150">
        <v>30.593251515151501</v>
      </c>
      <c r="H1150">
        <v>38.894633333333303</v>
      </c>
      <c r="I1150">
        <v>96.992700180416705</v>
      </c>
    </row>
    <row r="1151" spans="1:9" x14ac:dyDescent="0.35">
      <c r="A1151" s="417" t="s">
        <v>846</v>
      </c>
      <c r="B1151" s="417" t="s">
        <v>680</v>
      </c>
      <c r="C1151" s="83">
        <v>46208</v>
      </c>
      <c r="D1151" s="417" t="s">
        <v>683</v>
      </c>
      <c r="E1151">
        <v>1384.74013333333</v>
      </c>
      <c r="F1151">
        <v>80</v>
      </c>
      <c r="G1151">
        <v>17.3092516666667</v>
      </c>
      <c r="H1151">
        <v>3.3055833333333302</v>
      </c>
      <c r="I1151">
        <v>77.140762410346497</v>
      </c>
    </row>
    <row r="1152" spans="1:9" x14ac:dyDescent="0.35">
      <c r="A1152" s="417" t="s">
        <v>846</v>
      </c>
      <c r="B1152" s="417" t="s">
        <v>680</v>
      </c>
      <c r="C1152" s="83">
        <v>46208</v>
      </c>
      <c r="D1152" s="417" t="s">
        <v>684</v>
      </c>
      <c r="E1152">
        <v>1401.49653333333</v>
      </c>
      <c r="F1152">
        <v>46</v>
      </c>
      <c r="G1152">
        <v>30.467315942029</v>
      </c>
      <c r="H1152">
        <v>29.675350000000002</v>
      </c>
      <c r="I1152">
        <v>75.212693764075595</v>
      </c>
    </row>
    <row r="1153" spans="1:9" x14ac:dyDescent="0.35">
      <c r="A1153" s="417" t="s">
        <v>846</v>
      </c>
      <c r="B1153" s="417" t="s">
        <v>680</v>
      </c>
      <c r="C1153" s="83">
        <v>46208</v>
      </c>
      <c r="D1153" s="417" t="s">
        <v>681</v>
      </c>
      <c r="E1153">
        <v>1413.4664333333301</v>
      </c>
      <c r="F1153">
        <v>45</v>
      </c>
      <c r="G1153">
        <v>31.410365185185199</v>
      </c>
      <c r="H1153">
        <v>0.49266666666666697</v>
      </c>
      <c r="I1153">
        <v>86.760261556176701</v>
      </c>
    </row>
    <row r="1154" spans="1:9" x14ac:dyDescent="0.35">
      <c r="A1154" s="417" t="s">
        <v>846</v>
      </c>
      <c r="B1154" s="417" t="s">
        <v>680</v>
      </c>
      <c r="C1154" s="83">
        <v>46208</v>
      </c>
      <c r="D1154" s="417" t="s">
        <v>689</v>
      </c>
      <c r="E1154">
        <v>1381.5147999999999</v>
      </c>
      <c r="F1154">
        <v>33</v>
      </c>
      <c r="G1154">
        <v>41.8640848484849</v>
      </c>
      <c r="H1154">
        <v>1.17481666666667</v>
      </c>
      <c r="I1154">
        <v>80.856535214412801</v>
      </c>
    </row>
    <row r="1155" spans="1:9" x14ac:dyDescent="0.35">
      <c r="A1155" s="417" t="s">
        <v>846</v>
      </c>
      <c r="B1155" s="417" t="s">
        <v>680</v>
      </c>
      <c r="C1155" s="83">
        <v>46208</v>
      </c>
      <c r="D1155" s="417" t="s">
        <v>690</v>
      </c>
      <c r="E1155">
        <v>1410.52573333333</v>
      </c>
      <c r="F1155">
        <v>33</v>
      </c>
      <c r="G1155">
        <v>42.743204040404002</v>
      </c>
      <c r="H1155">
        <v>9.6468000000000007</v>
      </c>
      <c r="I1155">
        <v>75.037873006349898</v>
      </c>
    </row>
    <row r="1156" spans="1:9" x14ac:dyDescent="0.35">
      <c r="A1156" s="417" t="s">
        <v>846</v>
      </c>
      <c r="B1156" s="417" t="s">
        <v>680</v>
      </c>
      <c r="C1156" s="83">
        <v>46208</v>
      </c>
      <c r="D1156" s="417" t="s">
        <v>688</v>
      </c>
      <c r="E1156">
        <v>1420.1196500000001</v>
      </c>
      <c r="F1156">
        <v>22</v>
      </c>
      <c r="G1156">
        <v>64.550893181818196</v>
      </c>
      <c r="H1156">
        <v>4.6870833333333302</v>
      </c>
      <c r="I1156">
        <v>85.790443126202803</v>
      </c>
    </row>
    <row r="1157" spans="1:9" x14ac:dyDescent="0.35">
      <c r="A1157" s="417" t="s">
        <v>846</v>
      </c>
      <c r="B1157" s="417" t="s">
        <v>680</v>
      </c>
      <c r="C1157" s="83">
        <v>46208</v>
      </c>
      <c r="D1157" s="417" t="s">
        <v>682</v>
      </c>
      <c r="E1157">
        <v>1399.98041666667</v>
      </c>
      <c r="F1157">
        <v>18</v>
      </c>
      <c r="G1157">
        <v>77.776689814814802</v>
      </c>
      <c r="H1157">
        <v>17.144300000000001</v>
      </c>
      <c r="I1157">
        <v>74.206349206349202</v>
      </c>
    </row>
    <row r="1158" spans="1:9" x14ac:dyDescent="0.35">
      <c r="A1158" s="417" t="s">
        <v>846</v>
      </c>
      <c r="B1158" s="417" t="s">
        <v>680</v>
      </c>
      <c r="C1158" s="83">
        <v>46208</v>
      </c>
      <c r="D1158" s="417" t="s">
        <v>687</v>
      </c>
      <c r="E1158">
        <v>1398.8236833333301</v>
      </c>
      <c r="F1158">
        <v>17</v>
      </c>
      <c r="G1158">
        <v>82.283746078431406</v>
      </c>
      <c r="H1158">
        <v>27.518533333333298</v>
      </c>
      <c r="I1158">
        <v>34.032365006513103</v>
      </c>
    </row>
    <row r="1159" spans="1:9" x14ac:dyDescent="0.35">
      <c r="A1159" s="417" t="s">
        <v>846</v>
      </c>
      <c r="B1159" s="417" t="s">
        <v>680</v>
      </c>
      <c r="C1159" s="83">
        <v>46208</v>
      </c>
      <c r="D1159" s="417" t="s">
        <v>685</v>
      </c>
      <c r="E1159">
        <v>1423.64995</v>
      </c>
      <c r="F1159">
        <v>7</v>
      </c>
      <c r="G1159">
        <v>203.37856428571399</v>
      </c>
      <c r="H1159">
        <v>1.3305499999999999</v>
      </c>
      <c r="I1159">
        <v>78.363260697278207</v>
      </c>
    </row>
    <row r="1160" spans="1:9" x14ac:dyDescent="0.35">
      <c r="A1160" s="417" t="s">
        <v>846</v>
      </c>
      <c r="B1160" s="417" t="s">
        <v>680</v>
      </c>
      <c r="C1160" s="83">
        <v>46208</v>
      </c>
      <c r="D1160" s="417" t="s">
        <v>686</v>
      </c>
      <c r="E1160">
        <v>1440</v>
      </c>
      <c r="F1160">
        <v>1</v>
      </c>
      <c r="G1160">
        <v>1440</v>
      </c>
      <c r="H1160">
        <v>0</v>
      </c>
      <c r="I1160">
        <v>30.808531746031701</v>
      </c>
    </row>
    <row r="1161" spans="1:9" x14ac:dyDescent="0.35">
      <c r="A1161" s="417" t="s">
        <v>846</v>
      </c>
      <c r="B1161" s="417" t="s">
        <v>691</v>
      </c>
      <c r="C1161" s="83">
        <v>46208</v>
      </c>
      <c r="D1161" s="417" t="s">
        <v>305</v>
      </c>
      <c r="E1161">
        <v>1315.3569333333301</v>
      </c>
      <c r="F1161">
        <v>100</v>
      </c>
      <c r="G1161">
        <v>13.1535693333333</v>
      </c>
      <c r="H1161">
        <v>3.5547</v>
      </c>
      <c r="I1161">
        <v>37.674683888136599</v>
      </c>
    </row>
    <row r="1162" spans="1:9" x14ac:dyDescent="0.35">
      <c r="A1162" s="417" t="s">
        <v>846</v>
      </c>
      <c r="B1162" s="417" t="s">
        <v>691</v>
      </c>
      <c r="C1162" s="83">
        <v>46208</v>
      </c>
      <c r="D1162" s="417" t="s">
        <v>295</v>
      </c>
      <c r="E1162">
        <v>1387.6557666666699</v>
      </c>
      <c r="F1162">
        <v>93</v>
      </c>
      <c r="G1162">
        <v>14.9210297491039</v>
      </c>
      <c r="H1162">
        <v>0.57613333333333305</v>
      </c>
      <c r="I1162">
        <v>47.830920154922403</v>
      </c>
    </row>
    <row r="1163" spans="1:9" x14ac:dyDescent="0.35">
      <c r="A1163" s="417" t="s">
        <v>846</v>
      </c>
      <c r="B1163" s="417" t="s">
        <v>691</v>
      </c>
      <c r="C1163" s="83">
        <v>46208</v>
      </c>
      <c r="D1163" s="417" t="s">
        <v>301</v>
      </c>
      <c r="E1163">
        <v>1329.7140666666701</v>
      </c>
      <c r="F1163">
        <v>87</v>
      </c>
      <c r="G1163">
        <v>15.2840697318008</v>
      </c>
      <c r="H1163">
        <v>0.65261666666666696</v>
      </c>
      <c r="I1163">
        <v>30.258933007759801</v>
      </c>
    </row>
    <row r="1164" spans="1:9" x14ac:dyDescent="0.35">
      <c r="A1164" s="417" t="s">
        <v>846</v>
      </c>
      <c r="B1164" s="417" t="s">
        <v>691</v>
      </c>
      <c r="C1164" s="83">
        <v>46208</v>
      </c>
      <c r="D1164" s="417" t="s">
        <v>309</v>
      </c>
      <c r="E1164">
        <v>1337.7515333333299</v>
      </c>
      <c r="F1164">
        <v>85</v>
      </c>
      <c r="G1164">
        <v>15.738253333333301</v>
      </c>
      <c r="H1164">
        <v>0</v>
      </c>
      <c r="I1164">
        <v>37.467161298353602</v>
      </c>
    </row>
    <row r="1165" spans="1:9" x14ac:dyDescent="0.35">
      <c r="A1165" s="417" t="s">
        <v>846</v>
      </c>
      <c r="B1165" s="417" t="s">
        <v>691</v>
      </c>
      <c r="C1165" s="83">
        <v>46208</v>
      </c>
      <c r="D1165" s="417" t="s">
        <v>303</v>
      </c>
      <c r="E1165">
        <v>1389.21751666667</v>
      </c>
      <c r="F1165">
        <v>54</v>
      </c>
      <c r="G1165">
        <v>25.726250308642001</v>
      </c>
      <c r="H1165">
        <v>0.18654999999999999</v>
      </c>
      <c r="I1165">
        <v>32.510519857108903</v>
      </c>
    </row>
    <row r="1166" spans="1:9" x14ac:dyDescent="0.35">
      <c r="A1166" s="417" t="s">
        <v>846</v>
      </c>
      <c r="B1166" s="417" t="s">
        <v>691</v>
      </c>
      <c r="C1166" s="83">
        <v>46208</v>
      </c>
      <c r="D1166" s="417" t="s">
        <v>299</v>
      </c>
      <c r="E1166">
        <v>1399.18031666667</v>
      </c>
      <c r="F1166">
        <v>45</v>
      </c>
      <c r="G1166">
        <v>31.092895925925902</v>
      </c>
      <c r="H1166">
        <v>0.17678333333333299</v>
      </c>
      <c r="I1166">
        <v>47.448490418219201</v>
      </c>
    </row>
    <row r="1167" spans="1:9" x14ac:dyDescent="0.35">
      <c r="A1167" s="417" t="s">
        <v>846</v>
      </c>
      <c r="B1167" s="417" t="s">
        <v>691</v>
      </c>
      <c r="C1167" s="83">
        <v>46208</v>
      </c>
      <c r="D1167" s="417" t="s">
        <v>310</v>
      </c>
      <c r="E1167">
        <v>1408.4966666666701</v>
      </c>
      <c r="F1167">
        <v>10</v>
      </c>
      <c r="G1167">
        <v>140.84966666666699</v>
      </c>
      <c r="H1167">
        <v>2.01433333333333</v>
      </c>
      <c r="I1167">
        <v>45.123238081943498</v>
      </c>
    </row>
    <row r="1168" spans="1:9" x14ac:dyDescent="0.35">
      <c r="A1168" s="417" t="s">
        <v>846</v>
      </c>
      <c r="B1168" s="417" t="s">
        <v>691</v>
      </c>
      <c r="C1168" s="83">
        <v>46208</v>
      </c>
      <c r="D1168" s="417" t="s">
        <v>314</v>
      </c>
      <c r="E1168">
        <v>1433.1891166666701</v>
      </c>
      <c r="F1168">
        <v>8</v>
      </c>
      <c r="G1168">
        <v>179.14863958333299</v>
      </c>
      <c r="H1168">
        <v>0.52876666666666705</v>
      </c>
      <c r="I1168">
        <v>17.2257022799037</v>
      </c>
    </row>
    <row r="1169" spans="1:9" x14ac:dyDescent="0.35">
      <c r="A1169" s="417" t="s">
        <v>846</v>
      </c>
      <c r="B1169" s="417" t="s">
        <v>691</v>
      </c>
      <c r="C1169" s="83">
        <v>46208</v>
      </c>
      <c r="D1169" s="417" t="s">
        <v>313</v>
      </c>
      <c r="E1169">
        <v>1424.96536666667</v>
      </c>
      <c r="F1169">
        <v>7</v>
      </c>
      <c r="G1169">
        <v>203.566480952381</v>
      </c>
      <c r="H1169">
        <v>0</v>
      </c>
      <c r="I1169">
        <v>46.831850630111198</v>
      </c>
    </row>
    <row r="1170" spans="1:9" x14ac:dyDescent="0.35">
      <c r="A1170" s="417" t="s">
        <v>846</v>
      </c>
      <c r="B1170" s="417" t="s">
        <v>691</v>
      </c>
      <c r="C1170" s="83">
        <v>46208</v>
      </c>
      <c r="D1170" s="417" t="s">
        <v>317</v>
      </c>
      <c r="E1170">
        <v>1429.98876666667</v>
      </c>
      <c r="F1170">
        <v>7</v>
      </c>
      <c r="G1170">
        <v>204.28410952381</v>
      </c>
      <c r="H1170">
        <v>2.7075999999999998</v>
      </c>
      <c r="I1170">
        <v>30.749711540414602</v>
      </c>
    </row>
    <row r="1171" spans="1:9" x14ac:dyDescent="0.35">
      <c r="A1171" s="417" t="s">
        <v>846</v>
      </c>
      <c r="B1171" s="417" t="s">
        <v>691</v>
      </c>
      <c r="C1171" s="83">
        <v>46208</v>
      </c>
      <c r="D1171" s="417" t="s">
        <v>504</v>
      </c>
      <c r="E1171">
        <v>1440</v>
      </c>
      <c r="F1171">
        <v>1</v>
      </c>
      <c r="G1171">
        <v>1440</v>
      </c>
      <c r="H1171">
        <v>0</v>
      </c>
      <c r="I1171">
        <v>32.835956790123497</v>
      </c>
    </row>
    <row r="1172" spans="1:9" x14ac:dyDescent="0.35">
      <c r="A1172" s="417" t="s">
        <v>846</v>
      </c>
      <c r="B1172" s="417" t="s">
        <v>676</v>
      </c>
      <c r="C1172" s="83">
        <v>46207</v>
      </c>
      <c r="D1172" s="417" t="s">
        <v>677</v>
      </c>
      <c r="E1172">
        <v>1372.4674</v>
      </c>
      <c r="F1172">
        <v>120</v>
      </c>
      <c r="G1172">
        <v>11.437228333333399</v>
      </c>
      <c r="H1172">
        <v>67.532600000000002</v>
      </c>
      <c r="I1172">
        <v>29.391666666666602</v>
      </c>
    </row>
    <row r="1173" spans="1:9" x14ac:dyDescent="0.35">
      <c r="A1173" s="417" t="s">
        <v>846</v>
      </c>
      <c r="B1173" s="417" t="s">
        <v>676</v>
      </c>
      <c r="C1173" s="83">
        <v>46207</v>
      </c>
      <c r="D1173" s="417" t="s">
        <v>678</v>
      </c>
      <c r="E1173">
        <v>1387.2861</v>
      </c>
      <c r="F1173">
        <v>29</v>
      </c>
      <c r="G1173">
        <v>47.8374517241379</v>
      </c>
      <c r="H1173">
        <v>21.630316666666701</v>
      </c>
      <c r="I1173">
        <v>108.87113778987499</v>
      </c>
    </row>
    <row r="1174" spans="1:9" x14ac:dyDescent="0.35">
      <c r="A1174" s="417" t="s">
        <v>846</v>
      </c>
      <c r="B1174" s="417" t="s">
        <v>676</v>
      </c>
      <c r="C1174" s="83">
        <v>46207</v>
      </c>
      <c r="D1174" s="417" t="s">
        <v>679</v>
      </c>
      <c r="E1174">
        <v>1381.21268333333</v>
      </c>
      <c r="F1174">
        <v>24</v>
      </c>
      <c r="G1174">
        <v>57.550528472222197</v>
      </c>
      <c r="H1174">
        <v>19.7443666666667</v>
      </c>
      <c r="I1174">
        <v>102.64625885568699</v>
      </c>
    </row>
    <row r="1175" spans="1:9" x14ac:dyDescent="0.35">
      <c r="A1175" s="417" t="s">
        <v>846</v>
      </c>
      <c r="B1175" s="417" t="s">
        <v>680</v>
      </c>
      <c r="C1175" s="83">
        <v>46207</v>
      </c>
      <c r="D1175" s="417" t="s">
        <v>683</v>
      </c>
      <c r="E1175">
        <v>1390.6674499999999</v>
      </c>
      <c r="F1175">
        <v>80</v>
      </c>
      <c r="G1175">
        <v>17.383343125</v>
      </c>
      <c r="H1175">
        <v>2.1890999999999998</v>
      </c>
      <c r="I1175">
        <v>73.461243488035905</v>
      </c>
    </row>
    <row r="1176" spans="1:9" x14ac:dyDescent="0.35">
      <c r="A1176" s="417" t="s">
        <v>846</v>
      </c>
      <c r="B1176" s="417" t="s">
        <v>680</v>
      </c>
      <c r="C1176" s="83">
        <v>46207</v>
      </c>
      <c r="D1176" s="417" t="s">
        <v>681</v>
      </c>
      <c r="E1176">
        <v>1409.7570166666701</v>
      </c>
      <c r="F1176">
        <v>49</v>
      </c>
      <c r="G1176">
        <v>28.7705513605442</v>
      </c>
      <c r="H1176">
        <v>0.50666666666666704</v>
      </c>
      <c r="I1176">
        <v>89.148649845748693</v>
      </c>
    </row>
    <row r="1177" spans="1:9" x14ac:dyDescent="0.35">
      <c r="A1177" s="417" t="s">
        <v>846</v>
      </c>
      <c r="B1177" s="417" t="s">
        <v>680</v>
      </c>
      <c r="C1177" s="83">
        <v>46207</v>
      </c>
      <c r="D1177" s="417" t="s">
        <v>690</v>
      </c>
      <c r="E1177">
        <v>1386.7286833333301</v>
      </c>
      <c r="F1177">
        <v>46</v>
      </c>
      <c r="G1177">
        <v>30.1462757246377</v>
      </c>
      <c r="H1177">
        <v>16.205349999999999</v>
      </c>
      <c r="I1177">
        <v>70.738237555653399</v>
      </c>
    </row>
    <row r="1178" spans="1:9" x14ac:dyDescent="0.35">
      <c r="A1178" s="417" t="s">
        <v>846</v>
      </c>
      <c r="B1178" s="417" t="s">
        <v>680</v>
      </c>
      <c r="C1178" s="83">
        <v>46207</v>
      </c>
      <c r="D1178" s="417" t="s">
        <v>684</v>
      </c>
      <c r="E1178">
        <v>1420.31743333333</v>
      </c>
      <c r="F1178">
        <v>29</v>
      </c>
      <c r="G1178">
        <v>48.976463218390798</v>
      </c>
      <c r="H1178">
        <v>18.183983333333298</v>
      </c>
      <c r="I1178">
        <v>83.7503710029617</v>
      </c>
    </row>
    <row r="1179" spans="1:9" x14ac:dyDescent="0.35">
      <c r="A1179" s="417" t="s">
        <v>846</v>
      </c>
      <c r="B1179" s="417" t="s">
        <v>680</v>
      </c>
      <c r="C1179" s="83">
        <v>46207</v>
      </c>
      <c r="D1179" s="417" t="s">
        <v>689</v>
      </c>
      <c r="E1179">
        <v>1420.19636666667</v>
      </c>
      <c r="F1179">
        <v>27</v>
      </c>
      <c r="G1179">
        <v>52.599865432098802</v>
      </c>
      <c r="H1179">
        <v>1.5208999999999999</v>
      </c>
      <c r="I1179">
        <v>90.000369153859694</v>
      </c>
    </row>
    <row r="1180" spans="1:9" x14ac:dyDescent="0.35">
      <c r="A1180" s="417" t="s">
        <v>846</v>
      </c>
      <c r="B1180" s="417" t="s">
        <v>680</v>
      </c>
      <c r="C1180" s="83">
        <v>46207</v>
      </c>
      <c r="D1180" s="417" t="s">
        <v>682</v>
      </c>
      <c r="E1180">
        <v>1411.4364166666701</v>
      </c>
      <c r="F1180">
        <v>24</v>
      </c>
      <c r="G1180">
        <v>58.8098506944444</v>
      </c>
      <c r="H1180">
        <v>23.776983333333298</v>
      </c>
      <c r="I1180">
        <v>83.144841269841194</v>
      </c>
    </row>
    <row r="1181" spans="1:9" x14ac:dyDescent="0.35">
      <c r="A1181" s="417" t="s">
        <v>846</v>
      </c>
      <c r="B1181" s="417" t="s">
        <v>680</v>
      </c>
      <c r="C1181" s="83">
        <v>46207</v>
      </c>
      <c r="D1181" s="417" t="s">
        <v>685</v>
      </c>
      <c r="E1181">
        <v>1412.7088166666699</v>
      </c>
      <c r="F1181">
        <v>16</v>
      </c>
      <c r="G1181">
        <v>88.294301041666699</v>
      </c>
      <c r="H1181">
        <v>11.918466666666699</v>
      </c>
      <c r="I1181">
        <v>89.214825181121199</v>
      </c>
    </row>
    <row r="1182" spans="1:9" x14ac:dyDescent="0.35">
      <c r="A1182" s="417" t="s">
        <v>846</v>
      </c>
      <c r="B1182" s="417" t="s">
        <v>680</v>
      </c>
      <c r="C1182" s="83">
        <v>46207</v>
      </c>
      <c r="D1182" s="417" t="s">
        <v>688</v>
      </c>
      <c r="E1182">
        <v>1429.6367666666699</v>
      </c>
      <c r="F1182">
        <v>14</v>
      </c>
      <c r="G1182">
        <v>102.11691190476201</v>
      </c>
      <c r="H1182">
        <v>2.54036666666667</v>
      </c>
      <c r="I1182">
        <v>88.223655680967497</v>
      </c>
    </row>
    <row r="1183" spans="1:9" x14ac:dyDescent="0.35">
      <c r="A1183" s="417" t="s">
        <v>846</v>
      </c>
      <c r="B1183" s="417" t="s">
        <v>680</v>
      </c>
      <c r="C1183" s="83">
        <v>46207</v>
      </c>
      <c r="D1183" s="417" t="s">
        <v>687</v>
      </c>
      <c r="E1183">
        <v>1409.02351666667</v>
      </c>
      <c r="F1183">
        <v>14</v>
      </c>
      <c r="G1183">
        <v>100.64453690476201</v>
      </c>
      <c r="H1183">
        <v>19.6062333333333</v>
      </c>
      <c r="I1183">
        <v>35.660025660933897</v>
      </c>
    </row>
    <row r="1184" spans="1:9" x14ac:dyDescent="0.35">
      <c r="A1184" s="417" t="s">
        <v>846</v>
      </c>
      <c r="B1184" s="417" t="s">
        <v>680</v>
      </c>
      <c r="C1184" s="83">
        <v>46207</v>
      </c>
      <c r="D1184" s="417" t="s">
        <v>686</v>
      </c>
      <c r="E1184">
        <v>1440</v>
      </c>
      <c r="F1184">
        <v>1</v>
      </c>
      <c r="G1184">
        <v>1440</v>
      </c>
      <c r="H1184">
        <v>0</v>
      </c>
      <c r="I1184">
        <v>29.345238095238098</v>
      </c>
    </row>
    <row r="1185" spans="1:9" x14ac:dyDescent="0.35">
      <c r="A1185" s="417" t="s">
        <v>846</v>
      </c>
      <c r="B1185" s="417" t="s">
        <v>691</v>
      </c>
      <c r="C1185" s="83">
        <v>46207</v>
      </c>
      <c r="D1185" s="417" t="s">
        <v>303</v>
      </c>
      <c r="E1185">
        <v>1353.0933</v>
      </c>
      <c r="F1185">
        <v>114</v>
      </c>
      <c r="G1185">
        <v>11.8692394736842</v>
      </c>
      <c r="H1185">
        <v>1.01078333333333</v>
      </c>
      <c r="I1185">
        <v>32.339487236625502</v>
      </c>
    </row>
    <row r="1186" spans="1:9" x14ac:dyDescent="0.35">
      <c r="A1186" s="417" t="s">
        <v>846</v>
      </c>
      <c r="B1186" s="417" t="s">
        <v>691</v>
      </c>
      <c r="C1186" s="83">
        <v>46207</v>
      </c>
      <c r="D1186" s="417" t="s">
        <v>309</v>
      </c>
      <c r="E1186">
        <v>1338.77068333333</v>
      </c>
      <c r="F1186">
        <v>96</v>
      </c>
      <c r="G1186">
        <v>13.9455279513889</v>
      </c>
      <c r="H1186">
        <v>0.396683333333333</v>
      </c>
      <c r="I1186">
        <v>55.342292743324897</v>
      </c>
    </row>
    <row r="1187" spans="1:9" x14ac:dyDescent="0.35">
      <c r="A1187" s="417" t="s">
        <v>846</v>
      </c>
      <c r="B1187" s="417" t="s">
        <v>691</v>
      </c>
      <c r="C1187" s="83">
        <v>46207</v>
      </c>
      <c r="D1187" s="417" t="s">
        <v>305</v>
      </c>
      <c r="E1187">
        <v>1269.18301666667</v>
      </c>
      <c r="F1187">
        <v>89</v>
      </c>
      <c r="G1187">
        <v>14.260483333333299</v>
      </c>
      <c r="H1187">
        <v>4.5117333333333303</v>
      </c>
      <c r="I1187">
        <v>60.647246394966302</v>
      </c>
    </row>
    <row r="1188" spans="1:9" x14ac:dyDescent="0.35">
      <c r="A1188" s="417" t="s">
        <v>846</v>
      </c>
      <c r="B1188" s="417" t="s">
        <v>691</v>
      </c>
      <c r="C1188" s="83">
        <v>46207</v>
      </c>
      <c r="D1188" s="417" t="s">
        <v>301</v>
      </c>
      <c r="E1188">
        <v>1365.89365</v>
      </c>
      <c r="F1188">
        <v>61</v>
      </c>
      <c r="G1188">
        <v>22.391699180327901</v>
      </c>
      <c r="H1188">
        <v>0.35930000000000001</v>
      </c>
      <c r="I1188">
        <v>34.040971327678598</v>
      </c>
    </row>
    <row r="1189" spans="1:9" x14ac:dyDescent="0.35">
      <c r="A1189" s="417" t="s">
        <v>846</v>
      </c>
      <c r="B1189" s="417" t="s">
        <v>691</v>
      </c>
      <c r="C1189" s="83">
        <v>46207</v>
      </c>
      <c r="D1189" s="417" t="s">
        <v>295</v>
      </c>
      <c r="E1189">
        <v>1339.4661166666699</v>
      </c>
      <c r="F1189">
        <v>52</v>
      </c>
      <c r="G1189">
        <v>25.7589637820513</v>
      </c>
      <c r="H1189">
        <v>0.28618333333333301</v>
      </c>
      <c r="I1189">
        <v>44.966436780030101</v>
      </c>
    </row>
    <row r="1190" spans="1:9" x14ac:dyDescent="0.35">
      <c r="A1190" s="417" t="s">
        <v>846</v>
      </c>
      <c r="B1190" s="417" t="s">
        <v>691</v>
      </c>
      <c r="C1190" s="83">
        <v>46207</v>
      </c>
      <c r="D1190" s="417" t="s">
        <v>299</v>
      </c>
      <c r="E1190">
        <v>1400.9719833333299</v>
      </c>
      <c r="F1190">
        <v>42</v>
      </c>
      <c r="G1190">
        <v>33.356475793650802</v>
      </c>
      <c r="H1190">
        <v>0.17796666666666699</v>
      </c>
      <c r="I1190">
        <v>41.975872705122804</v>
      </c>
    </row>
    <row r="1191" spans="1:9" x14ac:dyDescent="0.35">
      <c r="A1191" s="417" t="s">
        <v>846</v>
      </c>
      <c r="B1191" s="417" t="s">
        <v>691</v>
      </c>
      <c r="C1191" s="83">
        <v>46207</v>
      </c>
      <c r="D1191" s="417" t="s">
        <v>314</v>
      </c>
      <c r="E1191">
        <v>1391.53146666667</v>
      </c>
      <c r="F1191">
        <v>13</v>
      </c>
      <c r="G1191">
        <v>107.040882051282</v>
      </c>
      <c r="H1191">
        <v>0.48468333333333302</v>
      </c>
      <c r="I1191">
        <v>22.827721538099102</v>
      </c>
    </row>
    <row r="1192" spans="1:9" x14ac:dyDescent="0.35">
      <c r="A1192" s="417" t="s">
        <v>846</v>
      </c>
      <c r="B1192" s="417" t="s">
        <v>691</v>
      </c>
      <c r="C1192" s="83">
        <v>46207</v>
      </c>
      <c r="D1192" s="417" t="s">
        <v>313</v>
      </c>
      <c r="E1192">
        <v>1342.52833333333</v>
      </c>
      <c r="F1192">
        <v>6</v>
      </c>
      <c r="G1192">
        <v>223.754722222222</v>
      </c>
      <c r="H1192">
        <v>0</v>
      </c>
      <c r="I1192">
        <v>41.641365808682501</v>
      </c>
    </row>
    <row r="1193" spans="1:9" x14ac:dyDescent="0.35">
      <c r="A1193" s="417" t="s">
        <v>846</v>
      </c>
      <c r="B1193" s="417" t="s">
        <v>691</v>
      </c>
      <c r="C1193" s="83">
        <v>46207</v>
      </c>
      <c r="D1193" s="417" t="s">
        <v>310</v>
      </c>
      <c r="E1193">
        <v>1399.49033333333</v>
      </c>
      <c r="F1193">
        <v>2</v>
      </c>
      <c r="G1193">
        <v>699.74516666666705</v>
      </c>
      <c r="H1193">
        <v>5.0466666666666701E-2</v>
      </c>
      <c r="I1193">
        <v>41.892312106942498</v>
      </c>
    </row>
    <row r="1194" spans="1:9" x14ac:dyDescent="0.35">
      <c r="A1194" s="417" t="s">
        <v>846</v>
      </c>
      <c r="B1194" s="417" t="s">
        <v>691</v>
      </c>
      <c r="C1194" s="83">
        <v>46207</v>
      </c>
      <c r="D1194" s="417" t="s">
        <v>317</v>
      </c>
      <c r="E1194">
        <v>1423.9292499999999</v>
      </c>
      <c r="F1194">
        <v>1</v>
      </c>
      <c r="G1194">
        <v>1423.9292499999999</v>
      </c>
      <c r="H1194">
        <v>0</v>
      </c>
      <c r="I1194">
        <v>26.732367496489001</v>
      </c>
    </row>
    <row r="1195" spans="1:9" x14ac:dyDescent="0.35">
      <c r="A1195" s="417" t="s">
        <v>846</v>
      </c>
      <c r="B1195" s="417" t="s">
        <v>691</v>
      </c>
      <c r="C1195" s="83">
        <v>46207</v>
      </c>
      <c r="D1195" s="417" t="s">
        <v>504</v>
      </c>
      <c r="E1195">
        <v>1440</v>
      </c>
      <c r="F1195">
        <v>1</v>
      </c>
      <c r="G1195">
        <v>1440</v>
      </c>
      <c r="H1195">
        <v>0</v>
      </c>
      <c r="I1195">
        <v>45.4097222222223</v>
      </c>
    </row>
    <row r="1196" spans="1:9" x14ac:dyDescent="0.35">
      <c r="A1196" s="417" t="s">
        <v>846</v>
      </c>
      <c r="B1196" s="417" t="s">
        <v>676</v>
      </c>
      <c r="C1196" s="83">
        <v>46206</v>
      </c>
      <c r="D1196" s="417" t="s">
        <v>677</v>
      </c>
      <c r="E1196">
        <v>1174.0699500000001</v>
      </c>
      <c r="F1196">
        <v>248</v>
      </c>
      <c r="G1196">
        <v>4.7341530241935503</v>
      </c>
      <c r="H1196">
        <v>204.0539</v>
      </c>
      <c r="I1196">
        <v>24.637777777777799</v>
      </c>
    </row>
    <row r="1197" spans="1:9" x14ac:dyDescent="0.35">
      <c r="A1197" s="417" t="s">
        <v>846</v>
      </c>
      <c r="B1197" s="417" t="s">
        <v>676</v>
      </c>
      <c r="C1197" s="83">
        <v>46206</v>
      </c>
      <c r="D1197" s="417" t="s">
        <v>678</v>
      </c>
      <c r="E1197">
        <v>1090.4733166666699</v>
      </c>
      <c r="F1197">
        <v>44</v>
      </c>
      <c r="G1197">
        <v>24.783484469697001</v>
      </c>
      <c r="H1197">
        <v>24.032800000000002</v>
      </c>
      <c r="I1197">
        <v>68.634722268519695</v>
      </c>
    </row>
    <row r="1198" spans="1:9" x14ac:dyDescent="0.35">
      <c r="A1198" s="417" t="s">
        <v>846</v>
      </c>
      <c r="B1198" s="417" t="s">
        <v>676</v>
      </c>
      <c r="C1198" s="83">
        <v>46206</v>
      </c>
      <c r="D1198" s="417" t="s">
        <v>679</v>
      </c>
      <c r="E1198">
        <v>1133.09421666667</v>
      </c>
      <c r="F1198">
        <v>29</v>
      </c>
      <c r="G1198">
        <v>39.072214367816102</v>
      </c>
      <c r="H1198">
        <v>27.155066666666698</v>
      </c>
      <c r="I1198">
        <v>75.445281105323403</v>
      </c>
    </row>
    <row r="1199" spans="1:9" x14ac:dyDescent="0.35">
      <c r="A1199" s="417" t="s">
        <v>846</v>
      </c>
      <c r="B1199" s="417" t="s">
        <v>680</v>
      </c>
      <c r="C1199" s="83">
        <v>46206</v>
      </c>
      <c r="D1199" s="417" t="s">
        <v>683</v>
      </c>
      <c r="E1199">
        <v>1353.27886666667</v>
      </c>
      <c r="F1199">
        <v>52</v>
      </c>
      <c r="G1199">
        <v>26.024593589743599</v>
      </c>
      <c r="H1199">
        <v>13.8046333333333</v>
      </c>
      <c r="I1199">
        <v>67.923062126224494</v>
      </c>
    </row>
    <row r="1200" spans="1:9" x14ac:dyDescent="0.35">
      <c r="A1200" s="417" t="s">
        <v>846</v>
      </c>
      <c r="B1200" s="417" t="s">
        <v>680</v>
      </c>
      <c r="C1200" s="83">
        <v>46206</v>
      </c>
      <c r="D1200" s="417" t="s">
        <v>688</v>
      </c>
      <c r="E1200">
        <v>1399.76888333333</v>
      </c>
      <c r="F1200">
        <v>47</v>
      </c>
      <c r="G1200">
        <v>29.782316666666699</v>
      </c>
      <c r="H1200">
        <v>8.7033666666666694</v>
      </c>
      <c r="I1200">
        <v>53.2230050196709</v>
      </c>
    </row>
    <row r="1201" spans="1:9" x14ac:dyDescent="0.35">
      <c r="A1201" s="417" t="s">
        <v>846</v>
      </c>
      <c r="B1201" s="417" t="s">
        <v>680</v>
      </c>
      <c r="C1201" s="83">
        <v>46206</v>
      </c>
      <c r="D1201" s="417" t="s">
        <v>682</v>
      </c>
      <c r="E1201">
        <v>1350.65368333333</v>
      </c>
      <c r="F1201">
        <v>41</v>
      </c>
      <c r="G1201">
        <v>32.942772764227598</v>
      </c>
      <c r="H1201">
        <v>32.892899999999997</v>
      </c>
      <c r="I1201">
        <v>59.647817460317498</v>
      </c>
    </row>
    <row r="1202" spans="1:9" x14ac:dyDescent="0.35">
      <c r="A1202" s="417" t="s">
        <v>846</v>
      </c>
      <c r="B1202" s="417" t="s">
        <v>680</v>
      </c>
      <c r="C1202" s="83">
        <v>46206</v>
      </c>
      <c r="D1202" s="417" t="s">
        <v>681</v>
      </c>
      <c r="E1202">
        <v>1363.9571000000001</v>
      </c>
      <c r="F1202">
        <v>35</v>
      </c>
      <c r="G1202">
        <v>38.970202857142901</v>
      </c>
      <c r="H1202">
        <v>0.83438333333333303</v>
      </c>
      <c r="I1202">
        <v>58.056386006727799</v>
      </c>
    </row>
    <row r="1203" spans="1:9" x14ac:dyDescent="0.35">
      <c r="A1203" s="417" t="s">
        <v>846</v>
      </c>
      <c r="B1203" s="417" t="s">
        <v>680</v>
      </c>
      <c r="C1203" s="83">
        <v>46206</v>
      </c>
      <c r="D1203" s="417" t="s">
        <v>690</v>
      </c>
      <c r="E1203">
        <v>1406.19885</v>
      </c>
      <c r="F1203">
        <v>26</v>
      </c>
      <c r="G1203">
        <v>54.084571153846198</v>
      </c>
      <c r="H1203">
        <v>3.83178333333333</v>
      </c>
      <c r="I1203">
        <v>58.885501835017102</v>
      </c>
    </row>
    <row r="1204" spans="1:9" x14ac:dyDescent="0.35">
      <c r="A1204" s="417" t="s">
        <v>846</v>
      </c>
      <c r="B1204" s="417" t="s">
        <v>680</v>
      </c>
      <c r="C1204" s="83">
        <v>46206</v>
      </c>
      <c r="D1204" s="417" t="s">
        <v>684</v>
      </c>
      <c r="E1204">
        <v>1412.1102333333299</v>
      </c>
      <c r="F1204">
        <v>24</v>
      </c>
      <c r="G1204">
        <v>58.837926388888903</v>
      </c>
      <c r="H1204">
        <v>15.664566666666699</v>
      </c>
      <c r="I1204">
        <v>63.927763703599403</v>
      </c>
    </row>
    <row r="1205" spans="1:9" x14ac:dyDescent="0.35">
      <c r="A1205" s="417" t="s">
        <v>846</v>
      </c>
      <c r="B1205" s="417" t="s">
        <v>680</v>
      </c>
      <c r="C1205" s="83">
        <v>46206</v>
      </c>
      <c r="D1205" s="417" t="s">
        <v>687</v>
      </c>
      <c r="E1205">
        <v>1409.9760166666699</v>
      </c>
      <c r="F1205">
        <v>20</v>
      </c>
      <c r="G1205">
        <v>70.498800833333306</v>
      </c>
      <c r="H1205">
        <v>21.408850000000001</v>
      </c>
      <c r="I1205">
        <v>40.255720116431199</v>
      </c>
    </row>
    <row r="1206" spans="1:9" x14ac:dyDescent="0.35">
      <c r="A1206" s="417" t="s">
        <v>846</v>
      </c>
      <c r="B1206" s="417" t="s">
        <v>680</v>
      </c>
      <c r="C1206" s="83">
        <v>46206</v>
      </c>
      <c r="D1206" s="417" t="s">
        <v>689</v>
      </c>
      <c r="E1206">
        <v>1368.27126666667</v>
      </c>
      <c r="F1206">
        <v>15</v>
      </c>
      <c r="G1206">
        <v>91.2180844444445</v>
      </c>
      <c r="H1206">
        <v>0</v>
      </c>
      <c r="I1206">
        <v>78.144890762120397</v>
      </c>
    </row>
    <row r="1207" spans="1:9" x14ac:dyDescent="0.35">
      <c r="A1207" s="417" t="s">
        <v>846</v>
      </c>
      <c r="B1207" s="417" t="s">
        <v>680</v>
      </c>
      <c r="C1207" s="83">
        <v>46206</v>
      </c>
      <c r="D1207" s="417" t="s">
        <v>685</v>
      </c>
      <c r="E1207">
        <v>1411.02571666667</v>
      </c>
      <c r="F1207">
        <v>14</v>
      </c>
      <c r="G1207">
        <v>100.78755119047599</v>
      </c>
      <c r="H1207">
        <v>6.1194499999999996</v>
      </c>
      <c r="I1207">
        <v>72.198339906622394</v>
      </c>
    </row>
    <row r="1208" spans="1:9" x14ac:dyDescent="0.35">
      <c r="A1208" s="417" t="s">
        <v>846</v>
      </c>
      <c r="B1208" s="417" t="s">
        <v>680</v>
      </c>
      <c r="C1208" s="83">
        <v>46206</v>
      </c>
      <c r="D1208" s="417" t="s">
        <v>686</v>
      </c>
      <c r="E1208">
        <v>1440</v>
      </c>
      <c r="F1208">
        <v>1</v>
      </c>
      <c r="G1208">
        <v>1440</v>
      </c>
      <c r="H1208">
        <v>0</v>
      </c>
      <c r="I1208">
        <v>32.296626984127002</v>
      </c>
    </row>
    <row r="1209" spans="1:9" x14ac:dyDescent="0.35">
      <c r="A1209" s="417" t="s">
        <v>846</v>
      </c>
      <c r="B1209" s="417" t="s">
        <v>691</v>
      </c>
      <c r="C1209" s="83">
        <v>46206</v>
      </c>
      <c r="D1209" s="417" t="s">
        <v>309</v>
      </c>
      <c r="E1209">
        <v>678.29456666666704</v>
      </c>
      <c r="F1209">
        <v>45</v>
      </c>
      <c r="G1209">
        <v>15.073212592592601</v>
      </c>
      <c r="H1209">
        <v>0</v>
      </c>
      <c r="I1209">
        <v>42.1060582111485</v>
      </c>
    </row>
    <row r="1210" spans="1:9" x14ac:dyDescent="0.35">
      <c r="A1210" s="417" t="s">
        <v>846</v>
      </c>
      <c r="B1210" s="417" t="s">
        <v>691</v>
      </c>
      <c r="C1210" s="83">
        <v>46206</v>
      </c>
      <c r="D1210" s="417" t="s">
        <v>301</v>
      </c>
      <c r="E1210">
        <v>904.735183333333</v>
      </c>
      <c r="F1210">
        <v>33</v>
      </c>
      <c r="G1210">
        <v>27.416217676767701</v>
      </c>
      <c r="H1210">
        <v>2.64615</v>
      </c>
      <c r="I1210">
        <v>35.252477242685302</v>
      </c>
    </row>
    <row r="1211" spans="1:9" x14ac:dyDescent="0.35">
      <c r="A1211" s="417" t="s">
        <v>846</v>
      </c>
      <c r="B1211" s="417" t="s">
        <v>691</v>
      </c>
      <c r="C1211" s="83">
        <v>46206</v>
      </c>
      <c r="D1211" s="417" t="s">
        <v>295</v>
      </c>
      <c r="E1211">
        <v>875.553</v>
      </c>
      <c r="F1211">
        <v>30</v>
      </c>
      <c r="G1211">
        <v>29.185099999999998</v>
      </c>
      <c r="H1211">
        <v>0.158016666666667</v>
      </c>
      <c r="I1211">
        <v>44.613083249272897</v>
      </c>
    </row>
    <row r="1212" spans="1:9" x14ac:dyDescent="0.35">
      <c r="A1212" s="417" t="s">
        <v>846</v>
      </c>
      <c r="B1212" s="417" t="s">
        <v>691</v>
      </c>
      <c r="C1212" s="83">
        <v>46206</v>
      </c>
      <c r="D1212" s="417" t="s">
        <v>299</v>
      </c>
      <c r="E1212">
        <v>886.06730000000005</v>
      </c>
      <c r="F1212">
        <v>26</v>
      </c>
      <c r="G1212">
        <v>34.079511538461503</v>
      </c>
      <c r="H1212">
        <v>0</v>
      </c>
      <c r="I1212">
        <v>44.684160067620802</v>
      </c>
    </row>
    <row r="1213" spans="1:9" x14ac:dyDescent="0.35">
      <c r="A1213" s="417" t="s">
        <v>846</v>
      </c>
      <c r="B1213" s="417" t="s">
        <v>691</v>
      </c>
      <c r="C1213" s="83">
        <v>46206</v>
      </c>
      <c r="D1213" s="417" t="s">
        <v>305</v>
      </c>
      <c r="E1213">
        <v>726.28761666666696</v>
      </c>
      <c r="F1213">
        <v>25</v>
      </c>
      <c r="G1213">
        <v>29.051504666666698</v>
      </c>
      <c r="H1213">
        <v>1.8355666666666699</v>
      </c>
      <c r="I1213">
        <v>50.110183104209497</v>
      </c>
    </row>
    <row r="1214" spans="1:9" x14ac:dyDescent="0.35">
      <c r="A1214" s="417" t="s">
        <v>846</v>
      </c>
      <c r="B1214" s="417" t="s">
        <v>691</v>
      </c>
      <c r="C1214" s="83">
        <v>46206</v>
      </c>
      <c r="D1214" s="417" t="s">
        <v>303</v>
      </c>
      <c r="E1214">
        <v>715.69636666666702</v>
      </c>
      <c r="F1214">
        <v>16</v>
      </c>
      <c r="G1214">
        <v>44.731022916666703</v>
      </c>
      <c r="H1214">
        <v>0</v>
      </c>
      <c r="I1214">
        <v>24.163884838354701</v>
      </c>
    </row>
    <row r="1215" spans="1:9" x14ac:dyDescent="0.35">
      <c r="A1215" s="417" t="s">
        <v>846</v>
      </c>
      <c r="B1215" s="417" t="s">
        <v>691</v>
      </c>
      <c r="C1215" s="83">
        <v>46206</v>
      </c>
      <c r="D1215" s="417" t="s">
        <v>313</v>
      </c>
      <c r="E1215">
        <v>931.07338333333303</v>
      </c>
      <c r="F1215">
        <v>4</v>
      </c>
      <c r="G1215">
        <v>232.768345833333</v>
      </c>
      <c r="H1215">
        <v>0</v>
      </c>
      <c r="I1215">
        <v>40.376852031230001</v>
      </c>
    </row>
    <row r="1216" spans="1:9" x14ac:dyDescent="0.35">
      <c r="A1216" s="417" t="s">
        <v>846</v>
      </c>
      <c r="B1216" s="417" t="s">
        <v>691</v>
      </c>
      <c r="C1216" s="83">
        <v>46206</v>
      </c>
      <c r="D1216" s="417" t="s">
        <v>314</v>
      </c>
      <c r="E1216">
        <v>944.93413333333297</v>
      </c>
      <c r="F1216">
        <v>3</v>
      </c>
      <c r="G1216">
        <v>314.97804444444398</v>
      </c>
      <c r="H1216">
        <v>5.0466666666666701E-2</v>
      </c>
      <c r="I1216">
        <v>31.586057120512901</v>
      </c>
    </row>
    <row r="1217" spans="1:9" x14ac:dyDescent="0.35">
      <c r="A1217" s="417" t="s">
        <v>846</v>
      </c>
      <c r="B1217" s="417" t="s">
        <v>691</v>
      </c>
      <c r="C1217" s="83">
        <v>46206</v>
      </c>
      <c r="D1217" s="417" t="s">
        <v>310</v>
      </c>
      <c r="E1217">
        <v>1291.9086666666699</v>
      </c>
      <c r="F1217">
        <v>2</v>
      </c>
      <c r="G1217">
        <v>645.95433333333301</v>
      </c>
      <c r="H1217">
        <v>0.39698333333333302</v>
      </c>
      <c r="I1217">
        <v>29.9658211662233</v>
      </c>
    </row>
    <row r="1218" spans="1:9" x14ac:dyDescent="0.35">
      <c r="A1218" s="417" t="s">
        <v>846</v>
      </c>
      <c r="B1218" s="417" t="s">
        <v>691</v>
      </c>
      <c r="C1218" s="83">
        <v>46206</v>
      </c>
      <c r="D1218" s="417" t="s">
        <v>317</v>
      </c>
      <c r="E1218">
        <v>954.99613333333298</v>
      </c>
      <c r="F1218">
        <v>2</v>
      </c>
      <c r="G1218">
        <v>477.498066666667</v>
      </c>
      <c r="H1218">
        <v>3.3269166666666701</v>
      </c>
      <c r="I1218">
        <v>20.301087404711801</v>
      </c>
    </row>
    <row r="1219" spans="1:9" x14ac:dyDescent="0.35">
      <c r="A1219" s="417" t="s">
        <v>846</v>
      </c>
      <c r="B1219" s="417" t="s">
        <v>691</v>
      </c>
      <c r="C1219" s="83">
        <v>46206</v>
      </c>
      <c r="D1219" s="417" t="s">
        <v>504</v>
      </c>
      <c r="E1219">
        <v>1440</v>
      </c>
      <c r="F1219">
        <v>1</v>
      </c>
      <c r="G1219">
        <v>1440</v>
      </c>
      <c r="H1219">
        <v>0</v>
      </c>
      <c r="I1219">
        <v>18.054783950617299</v>
      </c>
    </row>
    <row r="1220" spans="1:9" x14ac:dyDescent="0.35">
      <c r="A1220" s="417" t="s">
        <v>846</v>
      </c>
      <c r="B1220" s="417" t="s">
        <v>676</v>
      </c>
      <c r="C1220" s="83">
        <v>46205</v>
      </c>
      <c r="D1220" s="417" t="s">
        <v>677</v>
      </c>
      <c r="E1220">
        <v>1280.8230000000001</v>
      </c>
      <c r="F1220">
        <v>342</v>
      </c>
      <c r="G1220">
        <v>3.74509649122807</v>
      </c>
      <c r="H1220">
        <v>144.50811666666701</v>
      </c>
      <c r="I1220">
        <v>34.305277777777697</v>
      </c>
    </row>
    <row r="1221" spans="1:9" x14ac:dyDescent="0.35">
      <c r="A1221" s="417" t="s">
        <v>846</v>
      </c>
      <c r="B1221" s="417" t="s">
        <v>676</v>
      </c>
      <c r="C1221" s="83">
        <v>46205</v>
      </c>
      <c r="D1221" s="417" t="s">
        <v>678</v>
      </c>
      <c r="E1221">
        <v>1369.4673666666699</v>
      </c>
      <c r="F1221">
        <v>34</v>
      </c>
      <c r="G1221">
        <v>40.278451960784302</v>
      </c>
      <c r="H1221">
        <v>23.0004666666667</v>
      </c>
      <c r="I1221">
        <v>93.237581670049295</v>
      </c>
    </row>
    <row r="1222" spans="1:9" x14ac:dyDescent="0.35">
      <c r="A1222" s="417" t="s">
        <v>846</v>
      </c>
      <c r="B1222" s="417" t="s">
        <v>676</v>
      </c>
      <c r="C1222" s="83">
        <v>46205</v>
      </c>
      <c r="D1222" s="417" t="s">
        <v>679</v>
      </c>
      <c r="E1222">
        <v>1370.6427166666699</v>
      </c>
      <c r="F1222">
        <v>27</v>
      </c>
      <c r="G1222">
        <v>50.764545061728398</v>
      </c>
      <c r="H1222">
        <v>11.347899999999999</v>
      </c>
      <c r="I1222">
        <v>87.180031478961993</v>
      </c>
    </row>
    <row r="1223" spans="1:9" x14ac:dyDescent="0.35">
      <c r="A1223" s="417" t="s">
        <v>846</v>
      </c>
      <c r="B1223" s="417" t="s">
        <v>680</v>
      </c>
      <c r="C1223" s="83">
        <v>46205</v>
      </c>
      <c r="D1223" s="417" t="s">
        <v>681</v>
      </c>
      <c r="E1223">
        <v>1397.72356666667</v>
      </c>
      <c r="F1223">
        <v>38</v>
      </c>
      <c r="G1223">
        <v>36.782199122807</v>
      </c>
      <c r="H1223">
        <v>15.1505333333333</v>
      </c>
      <c r="I1223">
        <v>79.012093642320707</v>
      </c>
    </row>
    <row r="1224" spans="1:9" x14ac:dyDescent="0.35">
      <c r="A1224" s="417" t="s">
        <v>846</v>
      </c>
      <c r="B1224" s="417" t="s">
        <v>680</v>
      </c>
      <c r="C1224" s="83">
        <v>46205</v>
      </c>
      <c r="D1224" s="417" t="s">
        <v>683</v>
      </c>
      <c r="E1224">
        <v>1372.3431499999999</v>
      </c>
      <c r="F1224">
        <v>33</v>
      </c>
      <c r="G1224">
        <v>41.5861560606061</v>
      </c>
      <c r="H1224">
        <v>8.3424833333333304</v>
      </c>
      <c r="I1224">
        <v>73.323941879419806</v>
      </c>
    </row>
    <row r="1225" spans="1:9" x14ac:dyDescent="0.35">
      <c r="A1225" s="417" t="s">
        <v>846</v>
      </c>
      <c r="B1225" s="417" t="s">
        <v>680</v>
      </c>
      <c r="C1225" s="83">
        <v>46205</v>
      </c>
      <c r="D1225" s="417" t="s">
        <v>690</v>
      </c>
      <c r="E1225">
        <v>1379.8927000000001</v>
      </c>
      <c r="F1225">
        <v>31</v>
      </c>
      <c r="G1225">
        <v>44.512667741935502</v>
      </c>
      <c r="H1225">
        <v>14.9789166666667</v>
      </c>
      <c r="I1225">
        <v>68.0081985898006</v>
      </c>
    </row>
    <row r="1226" spans="1:9" x14ac:dyDescent="0.35">
      <c r="A1226" s="417" t="s">
        <v>846</v>
      </c>
      <c r="B1226" s="417" t="s">
        <v>680</v>
      </c>
      <c r="C1226" s="83">
        <v>46205</v>
      </c>
      <c r="D1226" s="417" t="s">
        <v>684</v>
      </c>
      <c r="E1226">
        <v>1420.65873333333</v>
      </c>
      <c r="F1226">
        <v>31</v>
      </c>
      <c r="G1226">
        <v>45.827701075268799</v>
      </c>
      <c r="H1226">
        <v>9.8112499999999994</v>
      </c>
      <c r="I1226">
        <v>82.565162612839401</v>
      </c>
    </row>
    <row r="1227" spans="1:9" x14ac:dyDescent="0.35">
      <c r="A1227" s="417" t="s">
        <v>846</v>
      </c>
      <c r="B1227" s="417" t="s">
        <v>680</v>
      </c>
      <c r="C1227" s="83">
        <v>46205</v>
      </c>
      <c r="D1227" s="417" t="s">
        <v>689</v>
      </c>
      <c r="E1227">
        <v>1408.49753333333</v>
      </c>
      <c r="F1227">
        <v>29</v>
      </c>
      <c r="G1227">
        <v>48.568880459770099</v>
      </c>
      <c r="H1227">
        <v>2.1671666666666698</v>
      </c>
      <c r="I1227">
        <v>95.256122553006605</v>
      </c>
    </row>
    <row r="1228" spans="1:9" x14ac:dyDescent="0.35">
      <c r="A1228" s="417" t="s">
        <v>846</v>
      </c>
      <c r="B1228" s="417" t="s">
        <v>680</v>
      </c>
      <c r="C1228" s="83">
        <v>46205</v>
      </c>
      <c r="D1228" s="417" t="s">
        <v>682</v>
      </c>
      <c r="E1228">
        <v>1426.1875833333299</v>
      </c>
      <c r="F1228">
        <v>23</v>
      </c>
      <c r="G1228">
        <v>62.008155797101502</v>
      </c>
      <c r="H1228">
        <v>13.812416666666699</v>
      </c>
      <c r="I1228">
        <v>81.855158730158806</v>
      </c>
    </row>
    <row r="1229" spans="1:9" x14ac:dyDescent="0.35">
      <c r="A1229" s="417" t="s">
        <v>846</v>
      </c>
      <c r="B1229" s="417" t="s">
        <v>680</v>
      </c>
      <c r="C1229" s="83">
        <v>46205</v>
      </c>
      <c r="D1229" s="417" t="s">
        <v>688</v>
      </c>
      <c r="E1229">
        <v>1411.99605</v>
      </c>
      <c r="F1229">
        <v>14</v>
      </c>
      <c r="G1229">
        <v>100.856860714286</v>
      </c>
      <c r="H1229">
        <v>5.9953833333333302</v>
      </c>
      <c r="I1229">
        <v>71.566892667959095</v>
      </c>
    </row>
    <row r="1230" spans="1:9" x14ac:dyDescent="0.35">
      <c r="A1230" s="417" t="s">
        <v>846</v>
      </c>
      <c r="B1230" s="417" t="s">
        <v>680</v>
      </c>
      <c r="C1230" s="83">
        <v>46205</v>
      </c>
      <c r="D1230" s="417" t="s">
        <v>685</v>
      </c>
      <c r="E1230">
        <v>1430.3345666666701</v>
      </c>
      <c r="F1230">
        <v>11</v>
      </c>
      <c r="G1230">
        <v>130.030415151515</v>
      </c>
      <c r="H1230">
        <v>4.1606166666666704</v>
      </c>
      <c r="I1230">
        <v>93.436471173139395</v>
      </c>
    </row>
    <row r="1231" spans="1:9" x14ac:dyDescent="0.35">
      <c r="A1231" s="417" t="s">
        <v>846</v>
      </c>
      <c r="B1231" s="417" t="s">
        <v>680</v>
      </c>
      <c r="C1231" s="83">
        <v>46205</v>
      </c>
      <c r="D1231" s="417" t="s">
        <v>687</v>
      </c>
      <c r="E1231">
        <v>1401.51685</v>
      </c>
      <c r="F1231">
        <v>7</v>
      </c>
      <c r="G1231">
        <v>200.21669285714299</v>
      </c>
      <c r="H1231">
        <v>10.8204666666667</v>
      </c>
      <c r="I1231">
        <v>43.477498934050097</v>
      </c>
    </row>
    <row r="1232" spans="1:9" x14ac:dyDescent="0.35">
      <c r="A1232" s="417" t="s">
        <v>846</v>
      </c>
      <c r="B1232" s="417" t="s">
        <v>680</v>
      </c>
      <c r="C1232" s="83">
        <v>46205</v>
      </c>
      <c r="D1232" s="417" t="s">
        <v>686</v>
      </c>
      <c r="E1232">
        <v>1440</v>
      </c>
      <c r="F1232">
        <v>1</v>
      </c>
      <c r="G1232">
        <v>1440</v>
      </c>
      <c r="H1232">
        <v>0</v>
      </c>
      <c r="I1232">
        <v>38.569204841269801</v>
      </c>
    </row>
    <row r="1233" spans="1:9" x14ac:dyDescent="0.35">
      <c r="A1233" s="417" t="s">
        <v>846</v>
      </c>
      <c r="B1233" s="417" t="s">
        <v>691</v>
      </c>
      <c r="C1233" s="83">
        <v>46205</v>
      </c>
      <c r="D1233" s="417" t="s">
        <v>305</v>
      </c>
      <c r="E1233">
        <v>1328.5219</v>
      </c>
      <c r="F1233">
        <v>142</v>
      </c>
      <c r="G1233">
        <v>9.3557880281690196</v>
      </c>
      <c r="H1233">
        <v>3.5200666666666698</v>
      </c>
      <c r="I1233">
        <v>72.889214342591103</v>
      </c>
    </row>
    <row r="1234" spans="1:9" x14ac:dyDescent="0.35">
      <c r="A1234" s="417" t="s">
        <v>846</v>
      </c>
      <c r="B1234" s="417" t="s">
        <v>691</v>
      </c>
      <c r="C1234" s="83">
        <v>46205</v>
      </c>
      <c r="D1234" s="417" t="s">
        <v>309</v>
      </c>
      <c r="E1234">
        <v>1258.74933333333</v>
      </c>
      <c r="F1234">
        <v>136</v>
      </c>
      <c r="G1234">
        <v>9.2555098039215693</v>
      </c>
      <c r="H1234">
        <v>0</v>
      </c>
      <c r="I1234">
        <v>56.925399609070297</v>
      </c>
    </row>
    <row r="1235" spans="1:9" x14ac:dyDescent="0.35">
      <c r="A1235" s="417" t="s">
        <v>846</v>
      </c>
      <c r="B1235" s="417" t="s">
        <v>691</v>
      </c>
      <c r="C1235" s="83">
        <v>46205</v>
      </c>
      <c r="D1235" s="417" t="s">
        <v>295</v>
      </c>
      <c r="E1235">
        <v>1350.1740833333299</v>
      </c>
      <c r="F1235">
        <v>103</v>
      </c>
      <c r="G1235">
        <v>13.108486245954699</v>
      </c>
      <c r="H1235">
        <v>0.75748333333333295</v>
      </c>
      <c r="I1235">
        <v>81.4355369285271</v>
      </c>
    </row>
    <row r="1236" spans="1:9" x14ac:dyDescent="0.35">
      <c r="A1236" s="417" t="s">
        <v>846</v>
      </c>
      <c r="B1236" s="417" t="s">
        <v>691</v>
      </c>
      <c r="C1236" s="83">
        <v>46205</v>
      </c>
      <c r="D1236" s="417" t="s">
        <v>301</v>
      </c>
      <c r="E1236">
        <v>1353.7879333333301</v>
      </c>
      <c r="F1236">
        <v>67</v>
      </c>
      <c r="G1236">
        <v>20.205790049751201</v>
      </c>
      <c r="H1236">
        <v>2.3623666666666701</v>
      </c>
      <c r="I1236">
        <v>59.546501519232301</v>
      </c>
    </row>
    <row r="1237" spans="1:9" x14ac:dyDescent="0.35">
      <c r="A1237" s="417" t="s">
        <v>846</v>
      </c>
      <c r="B1237" s="417" t="s">
        <v>691</v>
      </c>
      <c r="C1237" s="83">
        <v>46205</v>
      </c>
      <c r="D1237" s="417" t="s">
        <v>299</v>
      </c>
      <c r="E1237">
        <v>1365.81735</v>
      </c>
      <c r="F1237">
        <v>59</v>
      </c>
      <c r="G1237">
        <v>23.149446610169498</v>
      </c>
      <c r="H1237">
        <v>0.148483333333333</v>
      </c>
      <c r="I1237">
        <v>74.941501114042495</v>
      </c>
    </row>
    <row r="1238" spans="1:9" x14ac:dyDescent="0.35">
      <c r="A1238" s="417" t="s">
        <v>846</v>
      </c>
      <c r="B1238" s="417" t="s">
        <v>691</v>
      </c>
      <c r="C1238" s="83">
        <v>46205</v>
      </c>
      <c r="D1238" s="417" t="s">
        <v>303</v>
      </c>
      <c r="E1238">
        <v>1396.4438833333299</v>
      </c>
      <c r="F1238">
        <v>58</v>
      </c>
      <c r="G1238">
        <v>24.076618678160902</v>
      </c>
      <c r="H1238">
        <v>0.27086666666666698</v>
      </c>
      <c r="I1238">
        <v>53.5323681566652</v>
      </c>
    </row>
    <row r="1239" spans="1:9" x14ac:dyDescent="0.35">
      <c r="A1239" s="417" t="s">
        <v>846</v>
      </c>
      <c r="B1239" s="417" t="s">
        <v>691</v>
      </c>
      <c r="C1239" s="83">
        <v>46205</v>
      </c>
      <c r="D1239" s="417" t="s">
        <v>314</v>
      </c>
      <c r="E1239">
        <v>1377.4655166666701</v>
      </c>
      <c r="F1239">
        <v>29</v>
      </c>
      <c r="G1239">
        <v>47.498810919540198</v>
      </c>
      <c r="H1239">
        <v>2.7318166666666701</v>
      </c>
      <c r="I1239">
        <v>46.427490381387798</v>
      </c>
    </row>
    <row r="1240" spans="1:9" x14ac:dyDescent="0.35">
      <c r="A1240" s="417" t="s">
        <v>846</v>
      </c>
      <c r="B1240" s="417" t="s">
        <v>691</v>
      </c>
      <c r="C1240" s="83">
        <v>46205</v>
      </c>
      <c r="D1240" s="417" t="s">
        <v>313</v>
      </c>
      <c r="E1240">
        <v>1319.0256833333301</v>
      </c>
      <c r="F1240">
        <v>21</v>
      </c>
      <c r="G1240">
        <v>62.810746825396798</v>
      </c>
      <c r="H1240">
        <v>2.5897999999999999</v>
      </c>
      <c r="I1240">
        <v>72.802193602757598</v>
      </c>
    </row>
    <row r="1241" spans="1:9" x14ac:dyDescent="0.35">
      <c r="A1241" s="417" t="s">
        <v>846</v>
      </c>
      <c r="B1241" s="417" t="s">
        <v>691</v>
      </c>
      <c r="C1241" s="83">
        <v>46205</v>
      </c>
      <c r="D1241" s="417" t="s">
        <v>310</v>
      </c>
      <c r="E1241">
        <v>1420.4223833333299</v>
      </c>
      <c r="F1241">
        <v>6</v>
      </c>
      <c r="G1241">
        <v>236.737063888889</v>
      </c>
      <c r="H1241">
        <v>1.10768333333333</v>
      </c>
      <c r="I1241">
        <v>77.792571894719799</v>
      </c>
    </row>
    <row r="1242" spans="1:9" x14ac:dyDescent="0.35">
      <c r="A1242" s="417" t="s">
        <v>846</v>
      </c>
      <c r="B1242" s="417" t="s">
        <v>691</v>
      </c>
      <c r="C1242" s="83">
        <v>46205</v>
      </c>
      <c r="D1242" s="417" t="s">
        <v>317</v>
      </c>
      <c r="E1242">
        <v>1434.4209499999999</v>
      </c>
      <c r="F1242">
        <v>4</v>
      </c>
      <c r="G1242">
        <v>358.60523749999999</v>
      </c>
      <c r="H1242">
        <v>5.5790499999999996</v>
      </c>
      <c r="I1242">
        <v>50.8541666666667</v>
      </c>
    </row>
    <row r="1243" spans="1:9" x14ac:dyDescent="0.35">
      <c r="A1243" s="417" t="s">
        <v>846</v>
      </c>
      <c r="B1243" s="417" t="s">
        <v>691</v>
      </c>
      <c r="C1243" s="83">
        <v>46205</v>
      </c>
      <c r="D1243" s="417" t="s">
        <v>504</v>
      </c>
      <c r="E1243">
        <v>1440</v>
      </c>
      <c r="F1243">
        <v>1</v>
      </c>
      <c r="G1243">
        <v>1440</v>
      </c>
      <c r="H1243">
        <v>0</v>
      </c>
      <c r="I1243">
        <v>31.9356481481481</v>
      </c>
    </row>
    <row r="1244" spans="1:9" x14ac:dyDescent="0.35">
      <c r="A1244" s="417" t="s">
        <v>846</v>
      </c>
      <c r="B1244" s="417" t="s">
        <v>676</v>
      </c>
      <c r="C1244" s="83">
        <v>46204</v>
      </c>
      <c r="D1244" s="417" t="s">
        <v>677</v>
      </c>
      <c r="E1244">
        <v>1234.6098500000001</v>
      </c>
      <c r="F1244">
        <v>490</v>
      </c>
      <c r="G1244">
        <v>2.51961193877551</v>
      </c>
      <c r="H1244">
        <v>195.220666666667</v>
      </c>
      <c r="I1244">
        <v>42.199166666666599</v>
      </c>
    </row>
    <row r="1245" spans="1:9" x14ac:dyDescent="0.35">
      <c r="A1245" s="417" t="s">
        <v>846</v>
      </c>
      <c r="B1245" s="417" t="s">
        <v>676</v>
      </c>
      <c r="C1245" s="83">
        <v>46204</v>
      </c>
      <c r="D1245" s="417" t="s">
        <v>678</v>
      </c>
      <c r="E1245">
        <v>1224.09938333333</v>
      </c>
      <c r="F1245">
        <v>93</v>
      </c>
      <c r="G1245">
        <v>13.162358960573499</v>
      </c>
      <c r="H1245">
        <v>115.70435000000001</v>
      </c>
      <c r="I1245">
        <v>87.805948483874303</v>
      </c>
    </row>
    <row r="1246" spans="1:9" x14ac:dyDescent="0.35">
      <c r="A1246" s="417" t="s">
        <v>846</v>
      </c>
      <c r="B1246" s="417" t="s">
        <v>676</v>
      </c>
      <c r="C1246" s="83">
        <v>46204</v>
      </c>
      <c r="D1246" s="417" t="s">
        <v>679</v>
      </c>
      <c r="E1246">
        <v>1387.3143666666699</v>
      </c>
      <c r="F1246">
        <v>13</v>
      </c>
      <c r="G1246">
        <v>106.71648974359</v>
      </c>
      <c r="H1246">
        <v>7.1587166666666704</v>
      </c>
      <c r="I1246">
        <v>102.35789778899201</v>
      </c>
    </row>
    <row r="1247" spans="1:9" x14ac:dyDescent="0.35">
      <c r="A1247" s="417" t="s">
        <v>846</v>
      </c>
      <c r="B1247" s="417" t="s">
        <v>680</v>
      </c>
      <c r="C1247" s="83">
        <v>46204</v>
      </c>
      <c r="D1247" s="417" t="s">
        <v>684</v>
      </c>
      <c r="E1247">
        <v>1406.21573333333</v>
      </c>
      <c r="F1247">
        <v>46</v>
      </c>
      <c r="G1247">
        <v>30.5699072463768</v>
      </c>
      <c r="H1247">
        <v>17.464016666666701</v>
      </c>
      <c r="I1247">
        <v>75.254369619923395</v>
      </c>
    </row>
    <row r="1248" spans="1:9" x14ac:dyDescent="0.35">
      <c r="A1248" s="417" t="s">
        <v>846</v>
      </c>
      <c r="B1248" s="417" t="s">
        <v>680</v>
      </c>
      <c r="C1248" s="83">
        <v>46204</v>
      </c>
      <c r="D1248" s="417" t="s">
        <v>681</v>
      </c>
      <c r="E1248">
        <v>1408.8737000000001</v>
      </c>
      <c r="F1248">
        <v>44</v>
      </c>
      <c r="G1248">
        <v>32.0198568181818</v>
      </c>
      <c r="H1248">
        <v>0.49199999999999999</v>
      </c>
      <c r="I1248">
        <v>84.966022358992205</v>
      </c>
    </row>
    <row r="1249" spans="1:9" x14ac:dyDescent="0.35">
      <c r="A1249" s="417" t="s">
        <v>846</v>
      </c>
      <c r="B1249" s="417" t="s">
        <v>680</v>
      </c>
      <c r="C1249" s="83">
        <v>46204</v>
      </c>
      <c r="D1249" s="417" t="s">
        <v>682</v>
      </c>
      <c r="E1249">
        <v>1415.6777833333299</v>
      </c>
      <c r="F1249">
        <v>31</v>
      </c>
      <c r="G1249">
        <v>45.667025268817198</v>
      </c>
      <c r="H1249">
        <v>24.322216666666701</v>
      </c>
      <c r="I1249">
        <v>72.643849206349302</v>
      </c>
    </row>
    <row r="1250" spans="1:9" x14ac:dyDescent="0.35">
      <c r="A1250" s="417" t="s">
        <v>846</v>
      </c>
      <c r="B1250" s="417" t="s">
        <v>680</v>
      </c>
      <c r="C1250" s="83">
        <v>46204</v>
      </c>
      <c r="D1250" s="417" t="s">
        <v>690</v>
      </c>
      <c r="E1250">
        <v>1400.1831833333299</v>
      </c>
      <c r="F1250">
        <v>29</v>
      </c>
      <c r="G1250">
        <v>48.282178735632201</v>
      </c>
      <c r="H1250">
        <v>17.827283333333298</v>
      </c>
      <c r="I1250">
        <v>74.341669069452493</v>
      </c>
    </row>
    <row r="1251" spans="1:9" x14ac:dyDescent="0.35">
      <c r="A1251" s="417" t="s">
        <v>846</v>
      </c>
      <c r="B1251" s="417" t="s">
        <v>680</v>
      </c>
      <c r="C1251" s="83">
        <v>46204</v>
      </c>
      <c r="D1251" s="417" t="s">
        <v>689</v>
      </c>
      <c r="E1251">
        <v>1391.0923666666699</v>
      </c>
      <c r="F1251">
        <v>26</v>
      </c>
      <c r="G1251">
        <v>53.503552564102598</v>
      </c>
      <c r="H1251">
        <v>2.00213333333333</v>
      </c>
      <c r="I1251">
        <v>81.8320283047033</v>
      </c>
    </row>
    <row r="1252" spans="1:9" x14ac:dyDescent="0.35">
      <c r="A1252" s="417" t="s">
        <v>846</v>
      </c>
      <c r="B1252" s="417" t="s">
        <v>680</v>
      </c>
      <c r="C1252" s="83">
        <v>46204</v>
      </c>
      <c r="D1252" s="417" t="s">
        <v>683</v>
      </c>
      <c r="E1252">
        <v>1378.4223833333299</v>
      </c>
      <c r="F1252">
        <v>24</v>
      </c>
      <c r="G1252">
        <v>57.4342659722222</v>
      </c>
      <c r="H1252">
        <v>10.67535</v>
      </c>
      <c r="I1252">
        <v>77.3566269561463</v>
      </c>
    </row>
    <row r="1253" spans="1:9" x14ac:dyDescent="0.35">
      <c r="A1253" s="417" t="s">
        <v>846</v>
      </c>
      <c r="B1253" s="417" t="s">
        <v>680</v>
      </c>
      <c r="C1253" s="83">
        <v>46204</v>
      </c>
      <c r="D1253" s="417" t="s">
        <v>685</v>
      </c>
      <c r="E1253">
        <v>1384.01035</v>
      </c>
      <c r="F1253">
        <v>20</v>
      </c>
      <c r="G1253">
        <v>69.200517500000004</v>
      </c>
      <c r="H1253">
        <v>20.662516666666701</v>
      </c>
      <c r="I1253">
        <v>78.127874375895502</v>
      </c>
    </row>
    <row r="1254" spans="1:9" x14ac:dyDescent="0.35">
      <c r="A1254" s="417" t="s">
        <v>846</v>
      </c>
      <c r="B1254" s="417" t="s">
        <v>680</v>
      </c>
      <c r="C1254" s="83">
        <v>46204</v>
      </c>
      <c r="D1254" s="417" t="s">
        <v>688</v>
      </c>
      <c r="E1254">
        <v>1413.4716333333299</v>
      </c>
      <c r="F1254">
        <v>15</v>
      </c>
      <c r="G1254">
        <v>94.231442222222199</v>
      </c>
      <c r="H1254">
        <v>5.35856666666667</v>
      </c>
      <c r="I1254">
        <v>81.398516992579999</v>
      </c>
    </row>
    <row r="1255" spans="1:9" x14ac:dyDescent="0.35">
      <c r="A1255" s="417" t="s">
        <v>846</v>
      </c>
      <c r="B1255" s="417" t="s">
        <v>680</v>
      </c>
      <c r="C1255" s="83">
        <v>46204</v>
      </c>
      <c r="D1255" s="417" t="s">
        <v>687</v>
      </c>
      <c r="E1255">
        <v>1436.16545</v>
      </c>
      <c r="F1255">
        <v>6</v>
      </c>
      <c r="G1255">
        <v>239.36090833333299</v>
      </c>
      <c r="H1255">
        <v>2.5012666666666701</v>
      </c>
      <c r="I1255">
        <v>38.674936502500302</v>
      </c>
    </row>
    <row r="1256" spans="1:9" x14ac:dyDescent="0.35">
      <c r="A1256" s="417" t="s">
        <v>846</v>
      </c>
      <c r="B1256" s="417" t="s">
        <v>680</v>
      </c>
      <c r="C1256" s="83">
        <v>46204</v>
      </c>
      <c r="D1256" s="417" t="s">
        <v>686</v>
      </c>
      <c r="E1256">
        <v>1440</v>
      </c>
      <c r="F1256">
        <v>1</v>
      </c>
      <c r="G1256">
        <v>1440</v>
      </c>
      <c r="H1256">
        <v>0</v>
      </c>
      <c r="I1256">
        <v>31.5448824603174</v>
      </c>
    </row>
    <row r="1257" spans="1:9" x14ac:dyDescent="0.35">
      <c r="A1257" s="417" t="s">
        <v>846</v>
      </c>
      <c r="B1257" s="417" t="s">
        <v>691</v>
      </c>
      <c r="C1257" s="83">
        <v>46204</v>
      </c>
      <c r="D1257" s="417" t="s">
        <v>305</v>
      </c>
      <c r="E1257">
        <v>1305.3533</v>
      </c>
      <c r="F1257">
        <v>140</v>
      </c>
      <c r="G1257">
        <v>9.3239521428571503</v>
      </c>
      <c r="H1257">
        <v>1.4338</v>
      </c>
      <c r="I1257">
        <v>51.812146242972503</v>
      </c>
    </row>
    <row r="1258" spans="1:9" x14ac:dyDescent="0.35">
      <c r="A1258" s="417" t="s">
        <v>846</v>
      </c>
      <c r="B1258" s="417" t="s">
        <v>691</v>
      </c>
      <c r="C1258" s="83">
        <v>46204</v>
      </c>
      <c r="D1258" s="417" t="s">
        <v>309</v>
      </c>
      <c r="E1258">
        <v>1293.60735</v>
      </c>
      <c r="F1258">
        <v>133</v>
      </c>
      <c r="G1258">
        <v>9.7263710526315794</v>
      </c>
      <c r="H1258">
        <v>0.37436666666666701</v>
      </c>
      <c r="I1258">
        <v>46.330368263087003</v>
      </c>
    </row>
    <row r="1259" spans="1:9" x14ac:dyDescent="0.35">
      <c r="A1259" s="417" t="s">
        <v>846</v>
      </c>
      <c r="B1259" s="417" t="s">
        <v>691</v>
      </c>
      <c r="C1259" s="83">
        <v>46204</v>
      </c>
      <c r="D1259" s="417" t="s">
        <v>301</v>
      </c>
      <c r="E1259">
        <v>1326.42951666667</v>
      </c>
      <c r="F1259">
        <v>100</v>
      </c>
      <c r="G1259">
        <v>13.264295166666701</v>
      </c>
      <c r="H1259">
        <v>1.86591666666667</v>
      </c>
      <c r="I1259">
        <v>54.9434762856988</v>
      </c>
    </row>
    <row r="1260" spans="1:9" x14ac:dyDescent="0.35">
      <c r="A1260" s="417" t="s">
        <v>846</v>
      </c>
      <c r="B1260" s="417" t="s">
        <v>691</v>
      </c>
      <c r="C1260" s="83">
        <v>46204</v>
      </c>
      <c r="D1260" s="417" t="s">
        <v>303</v>
      </c>
      <c r="E1260">
        <v>1395.4267666666699</v>
      </c>
      <c r="F1260">
        <v>53</v>
      </c>
      <c r="G1260">
        <v>26.328806918239</v>
      </c>
      <c r="H1260">
        <v>5.1016666666666703E-2</v>
      </c>
      <c r="I1260">
        <v>51.6416494804553</v>
      </c>
    </row>
    <row r="1261" spans="1:9" x14ac:dyDescent="0.35">
      <c r="A1261" s="417" t="s">
        <v>846</v>
      </c>
      <c r="B1261" s="417" t="s">
        <v>691</v>
      </c>
      <c r="C1261" s="83">
        <v>46204</v>
      </c>
      <c r="D1261" s="417" t="s">
        <v>295</v>
      </c>
      <c r="E1261">
        <v>1373.7810500000001</v>
      </c>
      <c r="F1261">
        <v>51</v>
      </c>
      <c r="G1261">
        <v>26.936883333333299</v>
      </c>
      <c r="H1261">
        <v>0.34386666666666699</v>
      </c>
      <c r="I1261">
        <v>74.5528611303437</v>
      </c>
    </row>
    <row r="1262" spans="1:9" x14ac:dyDescent="0.35">
      <c r="A1262" s="417" t="s">
        <v>846</v>
      </c>
      <c r="B1262" s="417" t="s">
        <v>691</v>
      </c>
      <c r="C1262" s="83">
        <v>46204</v>
      </c>
      <c r="D1262" s="417" t="s">
        <v>299</v>
      </c>
      <c r="E1262">
        <v>1381.8464166666699</v>
      </c>
      <c r="F1262">
        <v>50</v>
      </c>
      <c r="G1262">
        <v>27.636928333333302</v>
      </c>
      <c r="H1262">
        <v>0.261066666666667</v>
      </c>
      <c r="I1262">
        <v>65.751785181749895</v>
      </c>
    </row>
    <row r="1263" spans="1:9" x14ac:dyDescent="0.35">
      <c r="A1263" s="417" t="s">
        <v>846</v>
      </c>
      <c r="B1263" s="417" t="s">
        <v>691</v>
      </c>
      <c r="C1263" s="83">
        <v>46204</v>
      </c>
      <c r="D1263" s="417" t="s">
        <v>314</v>
      </c>
      <c r="E1263">
        <v>1318.3347166666699</v>
      </c>
      <c r="F1263">
        <v>28</v>
      </c>
      <c r="G1263">
        <v>47.083382738095203</v>
      </c>
      <c r="H1263">
        <v>0.60858333333333303</v>
      </c>
      <c r="I1263">
        <v>46.106682026590498</v>
      </c>
    </row>
    <row r="1264" spans="1:9" x14ac:dyDescent="0.35">
      <c r="A1264" s="417" t="s">
        <v>846</v>
      </c>
      <c r="B1264" s="417" t="s">
        <v>691</v>
      </c>
      <c r="C1264" s="83">
        <v>46204</v>
      </c>
      <c r="D1264" s="417" t="s">
        <v>342</v>
      </c>
      <c r="E1264">
        <v>790.88333333333298</v>
      </c>
      <c r="F1264">
        <v>24</v>
      </c>
      <c r="G1264">
        <v>32.953472222222203</v>
      </c>
      <c r="H1264">
        <v>43.100999999999999</v>
      </c>
      <c r="I1264">
        <v>45.530146135553103</v>
      </c>
    </row>
    <row r="1265" spans="1:9" x14ac:dyDescent="0.35">
      <c r="A1265" s="417" t="s">
        <v>846</v>
      </c>
      <c r="B1265" s="417" t="s">
        <v>691</v>
      </c>
      <c r="C1265" s="83">
        <v>46204</v>
      </c>
      <c r="D1265" s="417" t="s">
        <v>313</v>
      </c>
      <c r="E1265">
        <v>1128.3775166666701</v>
      </c>
      <c r="F1265">
        <v>15</v>
      </c>
      <c r="G1265">
        <v>75.225167777777799</v>
      </c>
      <c r="H1265">
        <v>0</v>
      </c>
      <c r="I1265">
        <v>69.7783831580239</v>
      </c>
    </row>
    <row r="1266" spans="1:9" x14ac:dyDescent="0.35">
      <c r="A1266" s="417" t="s">
        <v>846</v>
      </c>
      <c r="B1266" s="417" t="s">
        <v>691</v>
      </c>
      <c r="C1266" s="83">
        <v>46204</v>
      </c>
      <c r="D1266" s="417" t="s">
        <v>310</v>
      </c>
      <c r="E1266">
        <v>1377.17055</v>
      </c>
      <c r="F1266">
        <v>5</v>
      </c>
      <c r="G1266">
        <v>275.43410999999998</v>
      </c>
      <c r="H1266">
        <v>0.117216666666667</v>
      </c>
      <c r="I1266">
        <v>69.257619107872202</v>
      </c>
    </row>
    <row r="1267" spans="1:9" x14ac:dyDescent="0.35">
      <c r="A1267" s="417" t="s">
        <v>846</v>
      </c>
      <c r="B1267" s="417" t="s">
        <v>691</v>
      </c>
      <c r="C1267" s="83">
        <v>46204</v>
      </c>
      <c r="D1267" s="417" t="s">
        <v>317</v>
      </c>
      <c r="E1267">
        <v>1438.5065666666701</v>
      </c>
      <c r="F1267">
        <v>2</v>
      </c>
      <c r="G1267">
        <v>719.253283333333</v>
      </c>
      <c r="H1267">
        <v>0.36363333333333298</v>
      </c>
      <c r="I1267">
        <v>44.9484602572212</v>
      </c>
    </row>
    <row r="1268" spans="1:9" x14ac:dyDescent="0.35">
      <c r="A1268" s="417" t="s">
        <v>846</v>
      </c>
      <c r="B1268" s="417" t="s">
        <v>691</v>
      </c>
      <c r="C1268" s="83">
        <v>46204</v>
      </c>
      <c r="D1268" s="417" t="s">
        <v>504</v>
      </c>
      <c r="E1268">
        <v>1440</v>
      </c>
      <c r="F1268">
        <v>1</v>
      </c>
      <c r="G1268">
        <v>1440</v>
      </c>
      <c r="H1268">
        <v>0</v>
      </c>
      <c r="I1268">
        <v>28.015895061728401</v>
      </c>
    </row>
    <row r="1269" spans="1:9" x14ac:dyDescent="0.35">
      <c r="A1269" s="417" t="s">
        <v>846</v>
      </c>
      <c r="B1269" s="417" t="s">
        <v>676</v>
      </c>
      <c r="C1269" s="83">
        <v>46203</v>
      </c>
      <c r="D1269" s="417" t="s">
        <v>677</v>
      </c>
      <c r="E1269">
        <v>1218.91995</v>
      </c>
      <c r="F1269">
        <v>435</v>
      </c>
      <c r="G1269">
        <v>2.8021148275862102</v>
      </c>
      <c r="H1269">
        <v>189.08035000000001</v>
      </c>
      <c r="I1269">
        <v>41.815555555555498</v>
      </c>
    </row>
    <row r="1270" spans="1:9" x14ac:dyDescent="0.35">
      <c r="A1270" s="417" t="s">
        <v>846</v>
      </c>
      <c r="B1270" s="417" t="s">
        <v>676</v>
      </c>
      <c r="C1270" s="83">
        <v>46203</v>
      </c>
      <c r="D1270" s="417" t="s">
        <v>678</v>
      </c>
      <c r="E1270">
        <v>1354.3685499999999</v>
      </c>
      <c r="F1270">
        <v>51</v>
      </c>
      <c r="G1270">
        <v>26.5562460784314</v>
      </c>
      <c r="H1270">
        <v>40.322783333333298</v>
      </c>
      <c r="I1270">
        <v>106.229717734438</v>
      </c>
    </row>
    <row r="1271" spans="1:9" x14ac:dyDescent="0.35">
      <c r="A1271" s="417" t="s">
        <v>846</v>
      </c>
      <c r="B1271" s="417" t="s">
        <v>676</v>
      </c>
      <c r="C1271" s="83">
        <v>46203</v>
      </c>
      <c r="D1271" s="417" t="s">
        <v>679</v>
      </c>
      <c r="E1271">
        <v>1381.5214000000001</v>
      </c>
      <c r="F1271">
        <v>26</v>
      </c>
      <c r="G1271">
        <v>53.135438461538499</v>
      </c>
      <c r="H1271">
        <v>19.683900000000001</v>
      </c>
      <c r="I1271">
        <v>100.512989305231</v>
      </c>
    </row>
    <row r="1272" spans="1:9" x14ac:dyDescent="0.35">
      <c r="A1272" s="417" t="s">
        <v>846</v>
      </c>
      <c r="B1272" s="417" t="s">
        <v>680</v>
      </c>
      <c r="C1272" s="83">
        <v>46203</v>
      </c>
      <c r="D1272" s="417" t="s">
        <v>684</v>
      </c>
      <c r="E1272">
        <v>1263.42625</v>
      </c>
      <c r="F1272">
        <v>103</v>
      </c>
      <c r="G1272">
        <v>12.266274271844701</v>
      </c>
      <c r="H1272">
        <v>51.691116666666701</v>
      </c>
      <c r="I1272">
        <v>43.503491565137999</v>
      </c>
    </row>
    <row r="1273" spans="1:9" x14ac:dyDescent="0.35">
      <c r="A1273" s="417" t="s">
        <v>846</v>
      </c>
      <c r="B1273" s="417" t="s">
        <v>680</v>
      </c>
      <c r="C1273" s="83">
        <v>46203</v>
      </c>
      <c r="D1273" s="417" t="s">
        <v>681</v>
      </c>
      <c r="E1273">
        <v>1155.28</v>
      </c>
      <c r="F1273">
        <v>53</v>
      </c>
      <c r="G1273">
        <v>21.7977358490566</v>
      </c>
      <c r="H1273">
        <v>0.33383333333333298</v>
      </c>
      <c r="I1273">
        <v>49.89582552017</v>
      </c>
    </row>
    <row r="1274" spans="1:9" x14ac:dyDescent="0.35">
      <c r="A1274" s="417" t="s">
        <v>846</v>
      </c>
      <c r="B1274" s="417" t="s">
        <v>680</v>
      </c>
      <c r="C1274" s="83">
        <v>46203</v>
      </c>
      <c r="D1274" s="417" t="s">
        <v>689</v>
      </c>
      <c r="E1274">
        <v>1358.1735166666699</v>
      </c>
      <c r="F1274">
        <v>28</v>
      </c>
      <c r="G1274">
        <v>48.506197023809499</v>
      </c>
      <c r="H1274">
        <v>0.50075000000000003</v>
      </c>
      <c r="I1274">
        <v>45.104168606501503</v>
      </c>
    </row>
    <row r="1275" spans="1:9" x14ac:dyDescent="0.35">
      <c r="A1275" s="417" t="s">
        <v>846</v>
      </c>
      <c r="B1275" s="417" t="s">
        <v>680</v>
      </c>
      <c r="C1275" s="83">
        <v>46203</v>
      </c>
      <c r="D1275" s="417" t="s">
        <v>683</v>
      </c>
      <c r="E1275">
        <v>1168.2358833333301</v>
      </c>
      <c r="F1275">
        <v>23</v>
      </c>
      <c r="G1275">
        <v>50.792864492753601</v>
      </c>
      <c r="H1275">
        <v>6.8247499999999999</v>
      </c>
      <c r="I1275">
        <v>50.679164129491802</v>
      </c>
    </row>
    <row r="1276" spans="1:9" x14ac:dyDescent="0.35">
      <c r="A1276" s="417" t="s">
        <v>846</v>
      </c>
      <c r="B1276" s="417" t="s">
        <v>680</v>
      </c>
      <c r="C1276" s="83">
        <v>46203</v>
      </c>
      <c r="D1276" s="417" t="s">
        <v>685</v>
      </c>
      <c r="E1276">
        <v>1398.01958333333</v>
      </c>
      <c r="F1276">
        <v>18</v>
      </c>
      <c r="G1276">
        <v>77.667754629629599</v>
      </c>
      <c r="H1276">
        <v>13.335383333333301</v>
      </c>
      <c r="I1276">
        <v>39.775943217864999</v>
      </c>
    </row>
    <row r="1277" spans="1:9" x14ac:dyDescent="0.35">
      <c r="A1277" s="417" t="s">
        <v>846</v>
      </c>
      <c r="B1277" s="417" t="s">
        <v>680</v>
      </c>
      <c r="C1277" s="83">
        <v>46203</v>
      </c>
      <c r="D1277" s="417" t="s">
        <v>687</v>
      </c>
      <c r="E1277">
        <v>1415.8271500000001</v>
      </c>
      <c r="F1277">
        <v>14</v>
      </c>
      <c r="G1277">
        <v>101.130510714286</v>
      </c>
      <c r="H1277">
        <v>9.1648666666666596</v>
      </c>
      <c r="I1277">
        <v>18.4657119167898</v>
      </c>
    </row>
    <row r="1278" spans="1:9" x14ac:dyDescent="0.35">
      <c r="A1278" s="417" t="s">
        <v>846</v>
      </c>
      <c r="B1278" s="417" t="s">
        <v>680</v>
      </c>
      <c r="C1278" s="83">
        <v>46203</v>
      </c>
      <c r="D1278" s="417" t="s">
        <v>688</v>
      </c>
      <c r="E1278">
        <v>1434.1678666666701</v>
      </c>
      <c r="F1278">
        <v>10</v>
      </c>
      <c r="G1278">
        <v>143.41678666666701</v>
      </c>
      <c r="H1278">
        <v>2.8352499999999998</v>
      </c>
      <c r="I1278">
        <v>47.785589652578103</v>
      </c>
    </row>
    <row r="1279" spans="1:9" x14ac:dyDescent="0.35">
      <c r="A1279" s="417" t="s">
        <v>846</v>
      </c>
      <c r="B1279" s="417" t="s">
        <v>680</v>
      </c>
      <c r="C1279" s="83">
        <v>46203</v>
      </c>
      <c r="D1279" s="417" t="s">
        <v>690</v>
      </c>
      <c r="E1279">
        <v>1429.3465333333299</v>
      </c>
      <c r="F1279">
        <v>10</v>
      </c>
      <c r="G1279">
        <v>142.93465333333299</v>
      </c>
      <c r="H1279">
        <v>5.4861833333333303</v>
      </c>
      <c r="I1279">
        <v>41.165526780537597</v>
      </c>
    </row>
    <row r="1280" spans="1:9" x14ac:dyDescent="0.35">
      <c r="A1280" s="417" t="s">
        <v>846</v>
      </c>
      <c r="B1280" s="417" t="s">
        <v>680</v>
      </c>
      <c r="C1280" s="83">
        <v>46203</v>
      </c>
      <c r="D1280" s="417" t="s">
        <v>682</v>
      </c>
      <c r="E1280">
        <v>1417.67695</v>
      </c>
      <c r="F1280">
        <v>8</v>
      </c>
      <c r="G1280">
        <v>177.20961875</v>
      </c>
      <c r="H1280">
        <v>5.8212000000000002</v>
      </c>
      <c r="I1280">
        <v>39.821428571428598</v>
      </c>
    </row>
    <row r="1281" spans="1:9" x14ac:dyDescent="0.35">
      <c r="A1281" s="417" t="s">
        <v>846</v>
      </c>
      <c r="B1281" s="417" t="s">
        <v>680</v>
      </c>
      <c r="C1281" s="83">
        <v>46203</v>
      </c>
      <c r="D1281" s="417" t="s">
        <v>686</v>
      </c>
      <c r="E1281">
        <v>1440</v>
      </c>
      <c r="F1281">
        <v>1</v>
      </c>
      <c r="G1281">
        <v>1440</v>
      </c>
      <c r="H1281">
        <v>0</v>
      </c>
      <c r="I1281">
        <v>10.625</v>
      </c>
    </row>
    <row r="1282" spans="1:9" x14ac:dyDescent="0.35">
      <c r="A1282" s="417" t="s">
        <v>846</v>
      </c>
      <c r="B1282" s="417" t="s">
        <v>691</v>
      </c>
      <c r="C1282" s="83">
        <v>46203</v>
      </c>
      <c r="D1282" s="417" t="s">
        <v>305</v>
      </c>
      <c r="E1282">
        <v>1275.13411666667</v>
      </c>
      <c r="F1282">
        <v>129</v>
      </c>
      <c r="G1282">
        <v>9.8847605943152494</v>
      </c>
      <c r="H1282">
        <v>3.3988999999999998</v>
      </c>
      <c r="I1282">
        <v>49.250140244659498</v>
      </c>
    </row>
    <row r="1283" spans="1:9" x14ac:dyDescent="0.35">
      <c r="A1283" s="417" t="s">
        <v>846</v>
      </c>
      <c r="B1283" s="417" t="s">
        <v>691</v>
      </c>
      <c r="C1283" s="83">
        <v>46203</v>
      </c>
      <c r="D1283" s="417" t="s">
        <v>309</v>
      </c>
      <c r="E1283">
        <v>1343.3978833333299</v>
      </c>
      <c r="F1283">
        <v>120</v>
      </c>
      <c r="G1283">
        <v>11.1949823611111</v>
      </c>
      <c r="H1283">
        <v>0</v>
      </c>
      <c r="I1283">
        <v>53.100104733498803</v>
      </c>
    </row>
    <row r="1284" spans="1:9" x14ac:dyDescent="0.35">
      <c r="A1284" s="417" t="s">
        <v>846</v>
      </c>
      <c r="B1284" s="417" t="s">
        <v>691</v>
      </c>
      <c r="C1284" s="83">
        <v>46203</v>
      </c>
      <c r="D1284" s="417" t="s">
        <v>342</v>
      </c>
      <c r="E1284">
        <v>1283.3477499999999</v>
      </c>
      <c r="F1284">
        <v>74</v>
      </c>
      <c r="G1284">
        <v>17.342537162162198</v>
      </c>
      <c r="H1284">
        <v>142.88423333333299</v>
      </c>
      <c r="I1284">
        <v>51.865079365079303</v>
      </c>
    </row>
    <row r="1285" spans="1:9" x14ac:dyDescent="0.35">
      <c r="A1285" s="417" t="s">
        <v>846</v>
      </c>
      <c r="B1285" s="417" t="s">
        <v>691</v>
      </c>
      <c r="C1285" s="83">
        <v>46203</v>
      </c>
      <c r="D1285" s="417" t="s">
        <v>303</v>
      </c>
      <c r="E1285">
        <v>1386.5189</v>
      </c>
      <c r="F1285">
        <v>69</v>
      </c>
      <c r="G1285">
        <v>20.094476811594198</v>
      </c>
      <c r="H1285">
        <v>0.33631666666666699</v>
      </c>
      <c r="I1285">
        <v>45.987725673838099</v>
      </c>
    </row>
    <row r="1286" spans="1:9" x14ac:dyDescent="0.35">
      <c r="A1286" s="417" t="s">
        <v>846</v>
      </c>
      <c r="B1286" s="417" t="s">
        <v>691</v>
      </c>
      <c r="C1286" s="83">
        <v>46203</v>
      </c>
      <c r="D1286" s="417" t="s">
        <v>299</v>
      </c>
      <c r="E1286">
        <v>1383.7888499999999</v>
      </c>
      <c r="F1286">
        <v>63</v>
      </c>
      <c r="G1286">
        <v>21.964902380952399</v>
      </c>
      <c r="H1286">
        <v>1.1596</v>
      </c>
      <c r="I1286">
        <v>77.714638731184294</v>
      </c>
    </row>
    <row r="1287" spans="1:9" x14ac:dyDescent="0.35">
      <c r="A1287" s="417" t="s">
        <v>846</v>
      </c>
      <c r="B1287" s="417" t="s">
        <v>691</v>
      </c>
      <c r="C1287" s="83">
        <v>46203</v>
      </c>
      <c r="D1287" s="417" t="s">
        <v>295</v>
      </c>
      <c r="E1287">
        <v>1363.00473333333</v>
      </c>
      <c r="F1287">
        <v>56</v>
      </c>
      <c r="G1287">
        <v>24.339370238095199</v>
      </c>
      <c r="H1287">
        <v>0.45534999999999998</v>
      </c>
      <c r="I1287">
        <v>79.399434012544901</v>
      </c>
    </row>
    <row r="1288" spans="1:9" x14ac:dyDescent="0.35">
      <c r="A1288" s="417" t="s">
        <v>846</v>
      </c>
      <c r="B1288" s="417" t="s">
        <v>691</v>
      </c>
      <c r="C1288" s="83">
        <v>46203</v>
      </c>
      <c r="D1288" s="417" t="s">
        <v>301</v>
      </c>
      <c r="E1288">
        <v>1392.1647666666699</v>
      </c>
      <c r="F1288">
        <v>52</v>
      </c>
      <c r="G1288">
        <v>26.7723993589744</v>
      </c>
      <c r="H1288">
        <v>1.37631666666667</v>
      </c>
      <c r="I1288">
        <v>62.318988901826302</v>
      </c>
    </row>
    <row r="1289" spans="1:9" x14ac:dyDescent="0.35">
      <c r="A1289" s="417" t="s">
        <v>846</v>
      </c>
      <c r="B1289" s="417" t="s">
        <v>691</v>
      </c>
      <c r="C1289" s="83">
        <v>46203</v>
      </c>
      <c r="D1289" s="417" t="s">
        <v>314</v>
      </c>
      <c r="E1289">
        <v>1381.0149166666699</v>
      </c>
      <c r="F1289">
        <v>22</v>
      </c>
      <c r="G1289">
        <v>62.773405303030302</v>
      </c>
      <c r="H1289">
        <v>0.55576666666666696</v>
      </c>
      <c r="I1289">
        <v>45.882503493436602</v>
      </c>
    </row>
    <row r="1290" spans="1:9" x14ac:dyDescent="0.35">
      <c r="A1290" s="417" t="s">
        <v>846</v>
      </c>
      <c r="B1290" s="417" t="s">
        <v>691</v>
      </c>
      <c r="C1290" s="83">
        <v>46203</v>
      </c>
      <c r="D1290" s="417" t="s">
        <v>313</v>
      </c>
      <c r="E1290">
        <v>1406.4670000000001</v>
      </c>
      <c r="F1290">
        <v>9</v>
      </c>
      <c r="G1290">
        <v>156.27411111111101</v>
      </c>
      <c r="H1290">
        <v>0</v>
      </c>
      <c r="I1290">
        <v>58.884488047659701</v>
      </c>
    </row>
    <row r="1291" spans="1:9" x14ac:dyDescent="0.35">
      <c r="A1291" s="417" t="s">
        <v>846</v>
      </c>
      <c r="B1291" s="417" t="s">
        <v>691</v>
      </c>
      <c r="C1291" s="83">
        <v>46203</v>
      </c>
      <c r="D1291" s="417" t="s">
        <v>310</v>
      </c>
      <c r="E1291">
        <v>1399.05755</v>
      </c>
      <c r="F1291">
        <v>9</v>
      </c>
      <c r="G1291">
        <v>155.450838888889</v>
      </c>
      <c r="H1291">
        <v>0.18531666666666699</v>
      </c>
      <c r="I1291">
        <v>57.1078294191041</v>
      </c>
    </row>
    <row r="1292" spans="1:9" x14ac:dyDescent="0.35">
      <c r="A1292" s="417" t="s">
        <v>846</v>
      </c>
      <c r="B1292" s="417" t="s">
        <v>691</v>
      </c>
      <c r="C1292" s="83">
        <v>46203</v>
      </c>
      <c r="D1292" s="417" t="s">
        <v>317</v>
      </c>
      <c r="E1292">
        <v>1428.7304666666701</v>
      </c>
      <c r="F1292">
        <v>7</v>
      </c>
      <c r="G1292">
        <v>204.10435238095201</v>
      </c>
      <c r="H1292">
        <v>5.9676833333333299</v>
      </c>
      <c r="I1292">
        <v>33.902601742394403</v>
      </c>
    </row>
    <row r="1293" spans="1:9" x14ac:dyDescent="0.35">
      <c r="A1293" s="417" t="s">
        <v>846</v>
      </c>
      <c r="B1293" s="417" t="s">
        <v>691</v>
      </c>
      <c r="C1293" s="83">
        <v>46203</v>
      </c>
      <c r="D1293" s="417" t="s">
        <v>504</v>
      </c>
      <c r="E1293">
        <v>1440</v>
      </c>
      <c r="F1293">
        <v>1</v>
      </c>
      <c r="G1293">
        <v>1440</v>
      </c>
      <c r="H1293">
        <v>0</v>
      </c>
      <c r="I1293">
        <v>27.339351851851902</v>
      </c>
    </row>
    <row r="1294" spans="1:9" x14ac:dyDescent="0.35">
      <c r="A1294" s="417" t="s">
        <v>846</v>
      </c>
      <c r="B1294" s="417" t="s">
        <v>676</v>
      </c>
      <c r="C1294" s="83">
        <v>46202</v>
      </c>
      <c r="D1294" s="417" t="s">
        <v>677</v>
      </c>
      <c r="E1294">
        <v>1203.88016666667</v>
      </c>
      <c r="F1294">
        <v>322</v>
      </c>
      <c r="G1294">
        <v>3.7387582815734999</v>
      </c>
      <c r="H1294">
        <v>198.78426666666701</v>
      </c>
      <c r="I1294">
        <v>37.472499999999997</v>
      </c>
    </row>
    <row r="1295" spans="1:9" x14ac:dyDescent="0.35">
      <c r="A1295" s="417" t="s">
        <v>846</v>
      </c>
      <c r="B1295" s="417" t="s">
        <v>676</v>
      </c>
      <c r="C1295" s="83">
        <v>46202</v>
      </c>
      <c r="D1295" s="417" t="s">
        <v>678</v>
      </c>
      <c r="E1295">
        <v>1344.49728333333</v>
      </c>
      <c r="F1295">
        <v>38</v>
      </c>
      <c r="G1295">
        <v>35.381507456140397</v>
      </c>
      <c r="H1295">
        <v>42.192066666666697</v>
      </c>
      <c r="I1295">
        <v>95.642425849259794</v>
      </c>
    </row>
    <row r="1296" spans="1:9" x14ac:dyDescent="0.35">
      <c r="A1296" s="417" t="s">
        <v>846</v>
      </c>
      <c r="B1296" s="417" t="s">
        <v>676</v>
      </c>
      <c r="C1296" s="83">
        <v>46202</v>
      </c>
      <c r="D1296" s="417" t="s">
        <v>679</v>
      </c>
      <c r="E1296">
        <v>1357.37003333333</v>
      </c>
      <c r="F1296">
        <v>14</v>
      </c>
      <c r="G1296">
        <v>96.955002380952394</v>
      </c>
      <c r="H1296">
        <v>5.50613333333333</v>
      </c>
      <c r="I1296">
        <v>94.635506095209294</v>
      </c>
    </row>
    <row r="1297" spans="1:9" x14ac:dyDescent="0.35">
      <c r="A1297" s="417" t="s">
        <v>846</v>
      </c>
      <c r="B1297" s="417" t="s">
        <v>680</v>
      </c>
      <c r="C1297" s="83">
        <v>46202</v>
      </c>
      <c r="D1297" s="417" t="s">
        <v>681</v>
      </c>
      <c r="E1297">
        <v>1244.7483500000001</v>
      </c>
      <c r="F1297">
        <v>83</v>
      </c>
      <c r="G1297">
        <v>14.996968072289199</v>
      </c>
      <c r="H1297">
        <v>1.99973333333333</v>
      </c>
      <c r="I1297">
        <v>20.220740218243101</v>
      </c>
    </row>
    <row r="1298" spans="1:9" x14ac:dyDescent="0.35">
      <c r="A1298" s="417" t="s">
        <v>846</v>
      </c>
      <c r="B1298" s="417" t="s">
        <v>680</v>
      </c>
      <c r="C1298" s="83">
        <v>46202</v>
      </c>
      <c r="D1298" s="417" t="s">
        <v>683</v>
      </c>
      <c r="E1298">
        <v>1330.36465</v>
      </c>
      <c r="F1298">
        <v>28</v>
      </c>
      <c r="G1298">
        <v>47.513023214285703</v>
      </c>
      <c r="H1298">
        <v>1.3332333333333299</v>
      </c>
      <c r="I1298">
        <v>20.420802992103599</v>
      </c>
    </row>
    <row r="1299" spans="1:9" x14ac:dyDescent="0.35">
      <c r="A1299" s="417" t="s">
        <v>846</v>
      </c>
      <c r="B1299" s="417" t="s">
        <v>680</v>
      </c>
      <c r="C1299" s="83">
        <v>46202</v>
      </c>
      <c r="D1299" s="417" t="s">
        <v>687</v>
      </c>
      <c r="E1299">
        <v>1395.8385000000001</v>
      </c>
      <c r="F1299">
        <v>25</v>
      </c>
      <c r="G1299">
        <v>55.833539999999999</v>
      </c>
      <c r="H1299">
        <v>27.654900000000001</v>
      </c>
      <c r="I1299">
        <v>7.4027956068013401</v>
      </c>
    </row>
    <row r="1300" spans="1:9" x14ac:dyDescent="0.35">
      <c r="A1300" s="417" t="s">
        <v>846</v>
      </c>
      <c r="B1300" s="417" t="s">
        <v>680</v>
      </c>
      <c r="C1300" s="83">
        <v>46202</v>
      </c>
      <c r="D1300" s="417" t="s">
        <v>689</v>
      </c>
      <c r="E1300">
        <v>1085.1144999999999</v>
      </c>
      <c r="F1300">
        <v>18</v>
      </c>
      <c r="G1300">
        <v>60.284138888888897</v>
      </c>
      <c r="H1300">
        <v>1.16703333333333</v>
      </c>
      <c r="I1300">
        <v>24.079434553183901</v>
      </c>
    </row>
    <row r="1301" spans="1:9" x14ac:dyDescent="0.35">
      <c r="A1301" s="417" t="s">
        <v>846</v>
      </c>
      <c r="B1301" s="417" t="s">
        <v>680</v>
      </c>
      <c r="C1301" s="83">
        <v>46202</v>
      </c>
      <c r="D1301" s="417" t="s">
        <v>684</v>
      </c>
      <c r="E1301">
        <v>1202.4811666666701</v>
      </c>
      <c r="F1301">
        <v>18</v>
      </c>
      <c r="G1301">
        <v>66.804509259259305</v>
      </c>
      <c r="H1301">
        <v>5.4860499999999996</v>
      </c>
      <c r="I1301">
        <v>16.450479228894199</v>
      </c>
    </row>
    <row r="1302" spans="1:9" x14ac:dyDescent="0.35">
      <c r="A1302" s="417" t="s">
        <v>846</v>
      </c>
      <c r="B1302" s="417" t="s">
        <v>680</v>
      </c>
      <c r="C1302" s="83">
        <v>46202</v>
      </c>
      <c r="D1302" s="417" t="s">
        <v>690</v>
      </c>
      <c r="E1302">
        <v>1429.50676666667</v>
      </c>
      <c r="F1302">
        <v>13</v>
      </c>
      <c r="G1302">
        <v>109.962058974359</v>
      </c>
      <c r="H1302">
        <v>3.5061</v>
      </c>
      <c r="I1302">
        <v>16.4001497883661</v>
      </c>
    </row>
    <row r="1303" spans="1:9" x14ac:dyDescent="0.35">
      <c r="A1303" s="417" t="s">
        <v>846</v>
      </c>
      <c r="B1303" s="417" t="s">
        <v>680</v>
      </c>
      <c r="C1303" s="83">
        <v>46202</v>
      </c>
      <c r="D1303" s="417" t="s">
        <v>688</v>
      </c>
      <c r="E1303">
        <v>1435.9971333333301</v>
      </c>
      <c r="F1303">
        <v>6</v>
      </c>
      <c r="G1303">
        <v>239.33285555555599</v>
      </c>
      <c r="H1303">
        <v>0</v>
      </c>
      <c r="I1303">
        <v>18.6111111111111</v>
      </c>
    </row>
    <row r="1304" spans="1:9" x14ac:dyDescent="0.35">
      <c r="A1304" s="417" t="s">
        <v>846</v>
      </c>
      <c r="B1304" s="417" t="s">
        <v>680</v>
      </c>
      <c r="C1304" s="83">
        <v>46202</v>
      </c>
      <c r="D1304" s="417" t="s">
        <v>682</v>
      </c>
      <c r="E1304">
        <v>1427.82686666667</v>
      </c>
      <c r="F1304">
        <v>4</v>
      </c>
      <c r="G1304">
        <v>356.95671666666698</v>
      </c>
      <c r="H1304">
        <v>0.5</v>
      </c>
      <c r="I1304">
        <v>15.8978174603174</v>
      </c>
    </row>
    <row r="1305" spans="1:9" x14ac:dyDescent="0.35">
      <c r="A1305" s="417" t="s">
        <v>846</v>
      </c>
      <c r="B1305" s="417" t="s">
        <v>680</v>
      </c>
      <c r="C1305" s="83">
        <v>46202</v>
      </c>
      <c r="D1305" s="417" t="s">
        <v>685</v>
      </c>
      <c r="E1305">
        <v>1439.3399833333301</v>
      </c>
      <c r="F1305">
        <v>2</v>
      </c>
      <c r="G1305">
        <v>719.66999166666699</v>
      </c>
      <c r="H1305">
        <v>0</v>
      </c>
      <c r="I1305">
        <v>17.797619047619101</v>
      </c>
    </row>
    <row r="1306" spans="1:9" x14ac:dyDescent="0.35">
      <c r="A1306" s="417" t="s">
        <v>846</v>
      </c>
      <c r="B1306" s="417" t="s">
        <v>680</v>
      </c>
      <c r="C1306" s="83">
        <v>46202</v>
      </c>
      <c r="D1306" s="417" t="s">
        <v>686</v>
      </c>
      <c r="E1306">
        <v>1440</v>
      </c>
      <c r="F1306">
        <v>1</v>
      </c>
      <c r="G1306">
        <v>1440</v>
      </c>
      <c r="H1306">
        <v>0</v>
      </c>
      <c r="I1306">
        <v>1.82539682539684</v>
      </c>
    </row>
    <row r="1307" spans="1:9" x14ac:dyDescent="0.35">
      <c r="A1307" s="417" t="s">
        <v>846</v>
      </c>
      <c r="B1307" s="417" t="s">
        <v>691</v>
      </c>
      <c r="C1307" s="83">
        <v>46202</v>
      </c>
      <c r="D1307" s="417" t="s">
        <v>305</v>
      </c>
      <c r="E1307">
        <v>1231.02743333333</v>
      </c>
      <c r="F1307">
        <v>154</v>
      </c>
      <c r="G1307">
        <v>7.99368463203463</v>
      </c>
      <c r="H1307">
        <v>5.6195166666666703</v>
      </c>
      <c r="I1307">
        <v>52.626112034067603</v>
      </c>
    </row>
    <row r="1308" spans="1:9" x14ac:dyDescent="0.35">
      <c r="A1308" s="417" t="s">
        <v>846</v>
      </c>
      <c r="B1308" s="417" t="s">
        <v>691</v>
      </c>
      <c r="C1308" s="83">
        <v>46202</v>
      </c>
      <c r="D1308" s="417" t="s">
        <v>295</v>
      </c>
      <c r="E1308">
        <v>1356.9495833333301</v>
      </c>
      <c r="F1308">
        <v>107</v>
      </c>
      <c r="G1308">
        <v>12.6817718068536</v>
      </c>
      <c r="H1308">
        <v>0.30973333333333303</v>
      </c>
      <c r="I1308">
        <v>81.669439719435701</v>
      </c>
    </row>
    <row r="1309" spans="1:9" x14ac:dyDescent="0.35">
      <c r="A1309" s="417" t="s">
        <v>846</v>
      </c>
      <c r="B1309" s="417" t="s">
        <v>691</v>
      </c>
      <c r="C1309" s="83">
        <v>46202</v>
      </c>
      <c r="D1309" s="417" t="s">
        <v>309</v>
      </c>
      <c r="E1309">
        <v>1331.89646666667</v>
      </c>
      <c r="F1309">
        <v>101</v>
      </c>
      <c r="G1309">
        <v>13.187093729372901</v>
      </c>
      <c r="H1309">
        <v>0</v>
      </c>
      <c r="I1309">
        <v>56.781127098205701</v>
      </c>
    </row>
    <row r="1310" spans="1:9" x14ac:dyDescent="0.35">
      <c r="A1310" s="417" t="s">
        <v>846</v>
      </c>
      <c r="B1310" s="417" t="s">
        <v>691</v>
      </c>
      <c r="C1310" s="83">
        <v>46202</v>
      </c>
      <c r="D1310" s="417" t="s">
        <v>301</v>
      </c>
      <c r="E1310">
        <v>1379.66701666667</v>
      </c>
      <c r="F1310">
        <v>74</v>
      </c>
      <c r="G1310">
        <v>18.644148873873899</v>
      </c>
      <c r="H1310">
        <v>6.2375666666666696</v>
      </c>
      <c r="I1310">
        <v>67.8056351492434</v>
      </c>
    </row>
    <row r="1311" spans="1:9" x14ac:dyDescent="0.35">
      <c r="A1311" s="417" t="s">
        <v>846</v>
      </c>
      <c r="B1311" s="417" t="s">
        <v>691</v>
      </c>
      <c r="C1311" s="83">
        <v>46202</v>
      </c>
      <c r="D1311" s="417" t="s">
        <v>342</v>
      </c>
      <c r="E1311">
        <v>1278.19055</v>
      </c>
      <c r="F1311">
        <v>74</v>
      </c>
      <c r="G1311">
        <v>17.272845270270299</v>
      </c>
      <c r="H1311">
        <v>130.01503333333301</v>
      </c>
      <c r="I1311">
        <v>51.089288299249098</v>
      </c>
    </row>
    <row r="1312" spans="1:9" x14ac:dyDescent="0.35">
      <c r="A1312" s="417" t="s">
        <v>846</v>
      </c>
      <c r="B1312" s="417" t="s">
        <v>691</v>
      </c>
      <c r="C1312" s="83">
        <v>46202</v>
      </c>
      <c r="D1312" s="417" t="s">
        <v>299</v>
      </c>
      <c r="E1312">
        <v>1376.84085</v>
      </c>
      <c r="F1312">
        <v>63</v>
      </c>
      <c r="G1312">
        <v>21.854616666666701</v>
      </c>
      <c r="H1312">
        <v>0.21920000000000001</v>
      </c>
      <c r="I1312">
        <v>70.861031331391899</v>
      </c>
    </row>
    <row r="1313" spans="1:9" x14ac:dyDescent="0.35">
      <c r="A1313" s="417" t="s">
        <v>846</v>
      </c>
      <c r="B1313" s="417" t="s">
        <v>691</v>
      </c>
      <c r="C1313" s="83">
        <v>46202</v>
      </c>
      <c r="D1313" s="417" t="s">
        <v>303</v>
      </c>
      <c r="E1313">
        <v>1381.94941666667</v>
      </c>
      <c r="F1313">
        <v>54</v>
      </c>
      <c r="G1313">
        <v>25.591655864197499</v>
      </c>
      <c r="H1313">
        <v>0.19370000000000001</v>
      </c>
      <c r="I1313">
        <v>54.717887621929997</v>
      </c>
    </row>
    <row r="1314" spans="1:9" x14ac:dyDescent="0.35">
      <c r="A1314" s="417" t="s">
        <v>846</v>
      </c>
      <c r="B1314" s="417" t="s">
        <v>691</v>
      </c>
      <c r="C1314" s="83">
        <v>46202</v>
      </c>
      <c r="D1314" s="417" t="s">
        <v>310</v>
      </c>
      <c r="E1314">
        <v>1419.5219666666701</v>
      </c>
      <c r="F1314">
        <v>7</v>
      </c>
      <c r="G1314">
        <v>202.78885238095199</v>
      </c>
      <c r="H1314">
        <v>0.98321666666666696</v>
      </c>
      <c r="I1314">
        <v>50.098374039723801</v>
      </c>
    </row>
    <row r="1315" spans="1:9" x14ac:dyDescent="0.35">
      <c r="A1315" s="417" t="s">
        <v>846</v>
      </c>
      <c r="B1315" s="417" t="s">
        <v>691</v>
      </c>
      <c r="C1315" s="83">
        <v>46202</v>
      </c>
      <c r="D1315" s="417" t="s">
        <v>313</v>
      </c>
      <c r="E1315">
        <v>1381.3758666666699</v>
      </c>
      <c r="F1315">
        <v>5</v>
      </c>
      <c r="G1315">
        <v>276.27517333333299</v>
      </c>
      <c r="H1315">
        <v>2.5474999999999999</v>
      </c>
      <c r="I1315">
        <v>38.802970761592597</v>
      </c>
    </row>
    <row r="1316" spans="1:9" x14ac:dyDescent="0.35">
      <c r="A1316" s="417" t="s">
        <v>846</v>
      </c>
      <c r="B1316" s="417" t="s">
        <v>691</v>
      </c>
      <c r="C1316" s="83">
        <v>46202</v>
      </c>
      <c r="D1316" s="417" t="s">
        <v>314</v>
      </c>
      <c r="E1316">
        <v>1275.52518333333</v>
      </c>
      <c r="F1316">
        <v>5</v>
      </c>
      <c r="G1316">
        <v>255.10503666666699</v>
      </c>
      <c r="H1316">
        <v>6.3418333333333301</v>
      </c>
      <c r="I1316">
        <v>42.427020438747498</v>
      </c>
    </row>
    <row r="1317" spans="1:9" x14ac:dyDescent="0.35">
      <c r="A1317" s="417" t="s">
        <v>846</v>
      </c>
      <c r="B1317" s="417" t="s">
        <v>691</v>
      </c>
      <c r="C1317" s="83">
        <v>46202</v>
      </c>
      <c r="D1317" s="417" t="s">
        <v>317</v>
      </c>
      <c r="E1317">
        <v>1435.96323333333</v>
      </c>
      <c r="F1317">
        <v>3</v>
      </c>
      <c r="G1317">
        <v>478.65441111111102</v>
      </c>
      <c r="H1317">
        <v>0.19396666666666701</v>
      </c>
      <c r="I1317">
        <v>31.681768541772399</v>
      </c>
    </row>
    <row r="1318" spans="1:9" x14ac:dyDescent="0.35">
      <c r="A1318" s="417" t="s">
        <v>846</v>
      </c>
      <c r="B1318" s="417" t="s">
        <v>691</v>
      </c>
      <c r="C1318" s="83">
        <v>46202</v>
      </c>
      <c r="D1318" s="417" t="s">
        <v>504</v>
      </c>
      <c r="E1318">
        <v>1440</v>
      </c>
      <c r="F1318">
        <v>1</v>
      </c>
      <c r="G1318">
        <v>1440</v>
      </c>
      <c r="H1318">
        <v>0</v>
      </c>
      <c r="I1318">
        <v>38.968518518518501</v>
      </c>
    </row>
    <row r="1319" spans="1:9" x14ac:dyDescent="0.35">
      <c r="A1319" s="417" t="s">
        <v>846</v>
      </c>
      <c r="B1319" s="417" t="s">
        <v>676</v>
      </c>
      <c r="C1319" s="83">
        <v>46201</v>
      </c>
      <c r="D1319" s="417" t="s">
        <v>677</v>
      </c>
      <c r="E1319">
        <v>1339.12443333333</v>
      </c>
      <c r="F1319">
        <v>180</v>
      </c>
      <c r="G1319">
        <v>7.4395801851851902</v>
      </c>
      <c r="H1319">
        <v>100.875566666667</v>
      </c>
      <c r="I1319">
        <v>46.650833333333303</v>
      </c>
    </row>
    <row r="1320" spans="1:9" x14ac:dyDescent="0.35">
      <c r="A1320" s="417" t="s">
        <v>846</v>
      </c>
      <c r="B1320" s="417" t="s">
        <v>676</v>
      </c>
      <c r="C1320" s="83">
        <v>46201</v>
      </c>
      <c r="D1320" s="417" t="s">
        <v>679</v>
      </c>
      <c r="E1320">
        <v>1289.1314666666699</v>
      </c>
      <c r="F1320">
        <v>38</v>
      </c>
      <c r="G1320">
        <v>33.924512280701798</v>
      </c>
      <c r="H1320">
        <v>45.011049999999997</v>
      </c>
      <c r="I1320">
        <v>79.249160516722299</v>
      </c>
    </row>
    <row r="1321" spans="1:9" x14ac:dyDescent="0.35">
      <c r="A1321" s="417" t="s">
        <v>846</v>
      </c>
      <c r="B1321" s="417" t="s">
        <v>676</v>
      </c>
      <c r="C1321" s="83">
        <v>46201</v>
      </c>
      <c r="D1321" s="417" t="s">
        <v>678</v>
      </c>
      <c r="E1321">
        <v>1373.35025</v>
      </c>
      <c r="F1321">
        <v>35</v>
      </c>
      <c r="G1321">
        <v>39.238578571428597</v>
      </c>
      <c r="H1321">
        <v>26.6413333333333</v>
      </c>
      <c r="I1321">
        <v>102.052756388595</v>
      </c>
    </row>
    <row r="1322" spans="1:9" x14ac:dyDescent="0.35">
      <c r="A1322" s="417" t="s">
        <v>846</v>
      </c>
      <c r="B1322" s="417" t="s">
        <v>680</v>
      </c>
      <c r="C1322" s="83">
        <v>46201</v>
      </c>
      <c r="D1322" s="417" t="s">
        <v>681</v>
      </c>
      <c r="E1322">
        <v>1409.0300999999999</v>
      </c>
      <c r="F1322">
        <v>39</v>
      </c>
      <c r="G1322">
        <v>36.128976923076898</v>
      </c>
      <c r="H1322">
        <v>0</v>
      </c>
      <c r="I1322">
        <v>80.101667505038407</v>
      </c>
    </row>
    <row r="1323" spans="1:9" x14ac:dyDescent="0.35">
      <c r="A1323" s="417" t="s">
        <v>846</v>
      </c>
      <c r="B1323" s="417" t="s">
        <v>680</v>
      </c>
      <c r="C1323" s="83">
        <v>46201</v>
      </c>
      <c r="D1323" s="417" t="s">
        <v>683</v>
      </c>
      <c r="E1323">
        <v>1372.18433333333</v>
      </c>
      <c r="F1323">
        <v>39</v>
      </c>
      <c r="G1323">
        <v>35.184213675213698</v>
      </c>
      <c r="H1323">
        <v>4.8372999999999999</v>
      </c>
      <c r="I1323">
        <v>81.694582901209401</v>
      </c>
    </row>
    <row r="1324" spans="1:9" x14ac:dyDescent="0.35">
      <c r="A1324" s="417" t="s">
        <v>846</v>
      </c>
      <c r="B1324" s="417" t="s">
        <v>680</v>
      </c>
      <c r="C1324" s="83">
        <v>46201</v>
      </c>
      <c r="D1324" s="417" t="s">
        <v>690</v>
      </c>
      <c r="E1324">
        <v>1401.8753666666701</v>
      </c>
      <c r="F1324">
        <v>23</v>
      </c>
      <c r="G1324">
        <v>60.951102898550701</v>
      </c>
      <c r="H1324">
        <v>11.153233333333301</v>
      </c>
      <c r="I1324">
        <v>78.069221312649404</v>
      </c>
    </row>
    <row r="1325" spans="1:9" x14ac:dyDescent="0.35">
      <c r="A1325" s="417" t="s">
        <v>846</v>
      </c>
      <c r="B1325" s="417" t="s">
        <v>680</v>
      </c>
      <c r="C1325" s="83">
        <v>46201</v>
      </c>
      <c r="D1325" s="417" t="s">
        <v>684</v>
      </c>
      <c r="E1325">
        <v>1417.49031666667</v>
      </c>
      <c r="F1325">
        <v>21</v>
      </c>
      <c r="G1325">
        <v>67.499538888888907</v>
      </c>
      <c r="H1325">
        <v>11.6826833333333</v>
      </c>
      <c r="I1325">
        <v>79.503587064103201</v>
      </c>
    </row>
    <row r="1326" spans="1:9" x14ac:dyDescent="0.35">
      <c r="A1326" s="417" t="s">
        <v>846</v>
      </c>
      <c r="B1326" s="417" t="s">
        <v>680</v>
      </c>
      <c r="C1326" s="83">
        <v>46201</v>
      </c>
      <c r="D1326" s="417" t="s">
        <v>682</v>
      </c>
      <c r="E1326">
        <v>1409.3385499999999</v>
      </c>
      <c r="F1326">
        <v>16</v>
      </c>
      <c r="G1326">
        <v>88.083659374999996</v>
      </c>
      <c r="H1326">
        <v>15.99385</v>
      </c>
      <c r="I1326">
        <v>78.6458333333333</v>
      </c>
    </row>
    <row r="1327" spans="1:9" x14ac:dyDescent="0.35">
      <c r="A1327" s="417" t="s">
        <v>846</v>
      </c>
      <c r="B1327" s="417" t="s">
        <v>680</v>
      </c>
      <c r="C1327" s="83">
        <v>46201</v>
      </c>
      <c r="D1327" s="417" t="s">
        <v>688</v>
      </c>
      <c r="E1327">
        <v>1385.8216</v>
      </c>
      <c r="F1327">
        <v>14</v>
      </c>
      <c r="G1327">
        <v>98.987257142857104</v>
      </c>
      <c r="H1327">
        <v>4.8432833333333303</v>
      </c>
      <c r="I1327">
        <v>74.412916574860304</v>
      </c>
    </row>
    <row r="1328" spans="1:9" x14ac:dyDescent="0.35">
      <c r="A1328" s="417" t="s">
        <v>846</v>
      </c>
      <c r="B1328" s="417" t="s">
        <v>680</v>
      </c>
      <c r="C1328" s="83">
        <v>46201</v>
      </c>
      <c r="D1328" s="417" t="s">
        <v>689</v>
      </c>
      <c r="E1328">
        <v>1417.33126666667</v>
      </c>
      <c r="F1328">
        <v>13</v>
      </c>
      <c r="G1328">
        <v>109.025482051282</v>
      </c>
      <c r="H1328">
        <v>0</v>
      </c>
      <c r="I1328">
        <v>93.945444063292797</v>
      </c>
    </row>
    <row r="1329" spans="1:9" x14ac:dyDescent="0.35">
      <c r="A1329" s="417" t="s">
        <v>846</v>
      </c>
      <c r="B1329" s="417" t="s">
        <v>680</v>
      </c>
      <c r="C1329" s="83">
        <v>46201</v>
      </c>
      <c r="D1329" s="417" t="s">
        <v>685</v>
      </c>
      <c r="E1329">
        <v>1423.99976666667</v>
      </c>
      <c r="F1329">
        <v>11</v>
      </c>
      <c r="G1329">
        <v>129.45452424242399</v>
      </c>
      <c r="H1329">
        <v>5.4954000000000001</v>
      </c>
      <c r="I1329">
        <v>92.267374269249103</v>
      </c>
    </row>
    <row r="1330" spans="1:9" x14ac:dyDescent="0.35">
      <c r="A1330" s="417" t="s">
        <v>846</v>
      </c>
      <c r="B1330" s="417" t="s">
        <v>680</v>
      </c>
      <c r="C1330" s="83">
        <v>46201</v>
      </c>
      <c r="D1330" s="417" t="s">
        <v>687</v>
      </c>
      <c r="E1330">
        <v>1399.16323333333</v>
      </c>
      <c r="F1330">
        <v>9</v>
      </c>
      <c r="G1330">
        <v>155.46258148148101</v>
      </c>
      <c r="H1330">
        <v>15.6668</v>
      </c>
      <c r="I1330">
        <v>31.8301549997202</v>
      </c>
    </row>
    <row r="1331" spans="1:9" x14ac:dyDescent="0.35">
      <c r="A1331" s="417" t="s">
        <v>846</v>
      </c>
      <c r="B1331" s="417" t="s">
        <v>680</v>
      </c>
      <c r="C1331" s="83">
        <v>46201</v>
      </c>
      <c r="D1331" s="417" t="s">
        <v>686</v>
      </c>
      <c r="E1331">
        <v>1440</v>
      </c>
      <c r="F1331">
        <v>1</v>
      </c>
      <c r="G1331">
        <v>1440</v>
      </c>
      <c r="H1331">
        <v>0</v>
      </c>
      <c r="I1331">
        <v>22.088293650793599</v>
      </c>
    </row>
    <row r="1332" spans="1:9" x14ac:dyDescent="0.35">
      <c r="A1332" s="417" t="s">
        <v>846</v>
      </c>
      <c r="B1332" s="417" t="s">
        <v>691</v>
      </c>
      <c r="C1332" s="83">
        <v>46201</v>
      </c>
      <c r="D1332" s="417" t="s">
        <v>309</v>
      </c>
      <c r="E1332">
        <v>1213.90896666667</v>
      </c>
      <c r="F1332">
        <v>180</v>
      </c>
      <c r="G1332">
        <v>6.7439387037036997</v>
      </c>
      <c r="H1332">
        <v>0.30823333333333303</v>
      </c>
      <c r="I1332">
        <v>48.823758706272997</v>
      </c>
    </row>
    <row r="1333" spans="1:9" x14ac:dyDescent="0.35">
      <c r="A1333" s="417" t="s">
        <v>846</v>
      </c>
      <c r="B1333" s="417" t="s">
        <v>691</v>
      </c>
      <c r="C1333" s="83">
        <v>46201</v>
      </c>
      <c r="D1333" s="417" t="s">
        <v>305</v>
      </c>
      <c r="E1333">
        <v>1300.4249</v>
      </c>
      <c r="F1333">
        <v>173</v>
      </c>
      <c r="G1333">
        <v>7.5169069364161896</v>
      </c>
      <c r="H1333">
        <v>2.6765666666666701</v>
      </c>
      <c r="I1333">
        <v>48.539815430099402</v>
      </c>
    </row>
    <row r="1334" spans="1:9" x14ac:dyDescent="0.35">
      <c r="A1334" s="417" t="s">
        <v>846</v>
      </c>
      <c r="B1334" s="417" t="s">
        <v>691</v>
      </c>
      <c r="C1334" s="83">
        <v>46201</v>
      </c>
      <c r="D1334" s="417" t="s">
        <v>342</v>
      </c>
      <c r="E1334">
        <v>1295.5847833333301</v>
      </c>
      <c r="F1334">
        <v>89</v>
      </c>
      <c r="G1334">
        <v>14.5571323970037</v>
      </c>
      <c r="H1334">
        <v>129.75895</v>
      </c>
      <c r="I1334">
        <v>44.265873015873098</v>
      </c>
    </row>
    <row r="1335" spans="1:9" x14ac:dyDescent="0.35">
      <c r="A1335" s="417" t="s">
        <v>846</v>
      </c>
      <c r="B1335" s="417" t="s">
        <v>691</v>
      </c>
      <c r="C1335" s="83">
        <v>46201</v>
      </c>
      <c r="D1335" s="417" t="s">
        <v>295</v>
      </c>
      <c r="E1335">
        <v>1353.60083333333</v>
      </c>
      <c r="F1335">
        <v>86</v>
      </c>
      <c r="G1335">
        <v>15.7395445736434</v>
      </c>
      <c r="H1335">
        <v>0.83511666666666695</v>
      </c>
      <c r="I1335">
        <v>77.740772904880899</v>
      </c>
    </row>
    <row r="1336" spans="1:9" x14ac:dyDescent="0.35">
      <c r="A1336" s="417" t="s">
        <v>846</v>
      </c>
      <c r="B1336" s="417" t="s">
        <v>691</v>
      </c>
      <c r="C1336" s="83">
        <v>46201</v>
      </c>
      <c r="D1336" s="417" t="s">
        <v>299</v>
      </c>
      <c r="E1336">
        <v>1344.68196666667</v>
      </c>
      <c r="F1336">
        <v>84</v>
      </c>
      <c r="G1336">
        <v>16.008118650793602</v>
      </c>
      <c r="H1336">
        <v>0.69786666666666697</v>
      </c>
      <c r="I1336">
        <v>75.615272193880799</v>
      </c>
    </row>
    <row r="1337" spans="1:9" x14ac:dyDescent="0.35">
      <c r="A1337" s="417" t="s">
        <v>846</v>
      </c>
      <c r="B1337" s="417" t="s">
        <v>691</v>
      </c>
      <c r="C1337" s="83">
        <v>46201</v>
      </c>
      <c r="D1337" s="417" t="s">
        <v>301</v>
      </c>
      <c r="E1337">
        <v>1368.4917666666699</v>
      </c>
      <c r="F1337">
        <v>74</v>
      </c>
      <c r="G1337">
        <v>18.493131981982</v>
      </c>
      <c r="H1337">
        <v>1.03725</v>
      </c>
      <c r="I1337">
        <v>68.655369569545599</v>
      </c>
    </row>
    <row r="1338" spans="1:9" x14ac:dyDescent="0.35">
      <c r="A1338" s="417" t="s">
        <v>846</v>
      </c>
      <c r="B1338" s="417" t="s">
        <v>691</v>
      </c>
      <c r="C1338" s="83">
        <v>46201</v>
      </c>
      <c r="D1338" s="417" t="s">
        <v>303</v>
      </c>
      <c r="E1338">
        <v>1374.4012333333301</v>
      </c>
      <c r="F1338">
        <v>74</v>
      </c>
      <c r="G1338">
        <v>18.572989639639601</v>
      </c>
      <c r="H1338">
        <v>0.45271666666666699</v>
      </c>
      <c r="I1338">
        <v>55.783477358360997</v>
      </c>
    </row>
    <row r="1339" spans="1:9" x14ac:dyDescent="0.35">
      <c r="A1339" s="417" t="s">
        <v>846</v>
      </c>
      <c r="B1339" s="417" t="s">
        <v>691</v>
      </c>
      <c r="C1339" s="83">
        <v>46201</v>
      </c>
      <c r="D1339" s="417" t="s">
        <v>314</v>
      </c>
      <c r="E1339">
        <v>1252.1667</v>
      </c>
      <c r="F1339">
        <v>14</v>
      </c>
      <c r="G1339">
        <v>89.440478571428599</v>
      </c>
      <c r="H1339">
        <v>3.18976666666667</v>
      </c>
      <c r="I1339">
        <v>42.968423251035802</v>
      </c>
    </row>
    <row r="1340" spans="1:9" x14ac:dyDescent="0.35">
      <c r="A1340" s="417" t="s">
        <v>846</v>
      </c>
      <c r="B1340" s="417" t="s">
        <v>691</v>
      </c>
      <c r="C1340" s="83">
        <v>46201</v>
      </c>
      <c r="D1340" s="417" t="s">
        <v>310</v>
      </c>
      <c r="E1340">
        <v>1419.7237833333299</v>
      </c>
      <c r="F1340">
        <v>10</v>
      </c>
      <c r="G1340">
        <v>141.97237833333301</v>
      </c>
      <c r="H1340">
        <v>0</v>
      </c>
      <c r="I1340">
        <v>50.172049460360199</v>
      </c>
    </row>
    <row r="1341" spans="1:9" x14ac:dyDescent="0.35">
      <c r="A1341" s="417" t="s">
        <v>846</v>
      </c>
      <c r="B1341" s="417" t="s">
        <v>691</v>
      </c>
      <c r="C1341" s="83">
        <v>46201</v>
      </c>
      <c r="D1341" s="417" t="s">
        <v>313</v>
      </c>
      <c r="E1341">
        <v>1418.5944833333299</v>
      </c>
      <c r="F1341">
        <v>4</v>
      </c>
      <c r="G1341">
        <v>354.64862083333298</v>
      </c>
      <c r="H1341">
        <v>4.1966666666666701E-2</v>
      </c>
      <c r="I1341">
        <v>49.182742652232001</v>
      </c>
    </row>
    <row r="1342" spans="1:9" x14ac:dyDescent="0.35">
      <c r="A1342" s="417" t="s">
        <v>846</v>
      </c>
      <c r="B1342" s="417" t="s">
        <v>691</v>
      </c>
      <c r="C1342" s="83">
        <v>46201</v>
      </c>
      <c r="D1342" s="417" t="s">
        <v>317</v>
      </c>
      <c r="E1342">
        <v>1430.2899666666699</v>
      </c>
      <c r="F1342">
        <v>4</v>
      </c>
      <c r="G1342">
        <v>357.57249166666702</v>
      </c>
      <c r="H1342">
        <v>5.1590166666666697</v>
      </c>
      <c r="I1342">
        <v>26.392439187929298</v>
      </c>
    </row>
    <row r="1343" spans="1:9" x14ac:dyDescent="0.35">
      <c r="A1343" s="417" t="s">
        <v>846</v>
      </c>
      <c r="B1343" s="417" t="s">
        <v>691</v>
      </c>
      <c r="C1343" s="83">
        <v>46201</v>
      </c>
      <c r="D1343" s="417" t="s">
        <v>504</v>
      </c>
      <c r="E1343">
        <v>1440</v>
      </c>
      <c r="F1343">
        <v>1</v>
      </c>
      <c r="G1343">
        <v>1440</v>
      </c>
      <c r="H1343">
        <v>0</v>
      </c>
      <c r="I1343">
        <v>41.875308641975302</v>
      </c>
    </row>
    <row r="1344" spans="1:9" x14ac:dyDescent="0.35">
      <c r="A1344" s="417" t="s">
        <v>846</v>
      </c>
      <c r="B1344" s="417" t="s">
        <v>676</v>
      </c>
      <c r="C1344" s="83">
        <v>46200</v>
      </c>
      <c r="D1344" s="417" t="s">
        <v>677</v>
      </c>
      <c r="E1344">
        <v>1166.1658833333299</v>
      </c>
      <c r="F1344">
        <v>368</v>
      </c>
      <c r="G1344">
        <v>3.1689290307970999</v>
      </c>
      <c r="H1344">
        <v>202.161666666667</v>
      </c>
      <c r="I1344">
        <v>21.4797222222222</v>
      </c>
    </row>
    <row r="1345" spans="1:9" x14ac:dyDescent="0.35">
      <c r="A1345" s="417" t="s">
        <v>846</v>
      </c>
      <c r="B1345" s="417" t="s">
        <v>676</v>
      </c>
      <c r="C1345" s="83">
        <v>46200</v>
      </c>
      <c r="D1345" s="417" t="s">
        <v>678</v>
      </c>
      <c r="E1345">
        <v>1357.98413333333</v>
      </c>
      <c r="F1345">
        <v>32</v>
      </c>
      <c r="G1345">
        <v>42.437004166666703</v>
      </c>
      <c r="H1345">
        <v>27.1687166666667</v>
      </c>
      <c r="I1345">
        <v>86.549512423499806</v>
      </c>
    </row>
    <row r="1346" spans="1:9" x14ac:dyDescent="0.35">
      <c r="A1346" s="417" t="s">
        <v>846</v>
      </c>
      <c r="B1346" s="417" t="s">
        <v>676</v>
      </c>
      <c r="C1346" s="83">
        <v>46200</v>
      </c>
      <c r="D1346" s="417" t="s">
        <v>679</v>
      </c>
      <c r="E1346">
        <v>1381.6814666666701</v>
      </c>
      <c r="F1346">
        <v>24</v>
      </c>
      <c r="G1346">
        <v>57.570061111111102</v>
      </c>
      <c r="H1346">
        <v>19.329466666666701</v>
      </c>
      <c r="I1346">
        <v>77.6615400193879</v>
      </c>
    </row>
    <row r="1347" spans="1:9" x14ac:dyDescent="0.35">
      <c r="A1347" s="417" t="s">
        <v>846</v>
      </c>
      <c r="B1347" s="417" t="s">
        <v>680</v>
      </c>
      <c r="C1347" s="83">
        <v>46200</v>
      </c>
      <c r="D1347" s="417" t="s">
        <v>684</v>
      </c>
      <c r="E1347">
        <v>1384.9482499999999</v>
      </c>
      <c r="F1347">
        <v>40</v>
      </c>
      <c r="G1347">
        <v>34.623706249999998</v>
      </c>
      <c r="H1347">
        <v>29.144933333333299</v>
      </c>
      <c r="I1347">
        <v>74.585911139918593</v>
      </c>
    </row>
    <row r="1348" spans="1:9" x14ac:dyDescent="0.35">
      <c r="A1348" s="417" t="s">
        <v>846</v>
      </c>
      <c r="B1348" s="417" t="s">
        <v>680</v>
      </c>
      <c r="C1348" s="83">
        <v>46200</v>
      </c>
      <c r="D1348" s="417" t="s">
        <v>688</v>
      </c>
      <c r="E1348">
        <v>1399.9840833333301</v>
      </c>
      <c r="F1348">
        <v>28</v>
      </c>
      <c r="G1348">
        <v>49.999431547618997</v>
      </c>
      <c r="H1348">
        <v>14.99755</v>
      </c>
      <c r="I1348">
        <v>76.338233170654405</v>
      </c>
    </row>
    <row r="1349" spans="1:9" x14ac:dyDescent="0.35">
      <c r="A1349" s="417" t="s">
        <v>846</v>
      </c>
      <c r="B1349" s="417" t="s">
        <v>680</v>
      </c>
      <c r="C1349" s="83">
        <v>46200</v>
      </c>
      <c r="D1349" s="417" t="s">
        <v>690</v>
      </c>
      <c r="E1349">
        <v>1378.9671000000001</v>
      </c>
      <c r="F1349">
        <v>28</v>
      </c>
      <c r="G1349">
        <v>49.248824999999997</v>
      </c>
      <c r="H1349">
        <v>16.496216666666701</v>
      </c>
      <c r="I1349">
        <v>73.037869498756393</v>
      </c>
    </row>
    <row r="1350" spans="1:9" x14ac:dyDescent="0.35">
      <c r="A1350" s="417" t="s">
        <v>846</v>
      </c>
      <c r="B1350" s="417" t="s">
        <v>680</v>
      </c>
      <c r="C1350" s="83">
        <v>46200</v>
      </c>
      <c r="D1350" s="417" t="s">
        <v>682</v>
      </c>
      <c r="E1350">
        <v>1404.4972333333301</v>
      </c>
      <c r="F1350">
        <v>26</v>
      </c>
      <c r="G1350">
        <v>54.019124358974402</v>
      </c>
      <c r="H1350">
        <v>35.502766666666702</v>
      </c>
      <c r="I1350">
        <v>73.407738095238102</v>
      </c>
    </row>
    <row r="1351" spans="1:9" x14ac:dyDescent="0.35">
      <c r="A1351" s="417" t="s">
        <v>846</v>
      </c>
      <c r="B1351" s="417" t="s">
        <v>680</v>
      </c>
      <c r="C1351" s="83">
        <v>46200</v>
      </c>
      <c r="D1351" s="417" t="s">
        <v>689</v>
      </c>
      <c r="E1351">
        <v>1409.1701166666701</v>
      </c>
      <c r="F1351">
        <v>23</v>
      </c>
      <c r="G1351">
        <v>61.268265942028997</v>
      </c>
      <c r="H1351">
        <v>0.32605000000000001</v>
      </c>
      <c r="I1351">
        <v>88.047610923160093</v>
      </c>
    </row>
    <row r="1352" spans="1:9" x14ac:dyDescent="0.35">
      <c r="A1352" s="417" t="s">
        <v>846</v>
      </c>
      <c r="B1352" s="417" t="s">
        <v>680</v>
      </c>
      <c r="C1352" s="83">
        <v>46200</v>
      </c>
      <c r="D1352" s="417" t="s">
        <v>683</v>
      </c>
      <c r="E1352">
        <v>1407.48056666667</v>
      </c>
      <c r="F1352">
        <v>20</v>
      </c>
      <c r="G1352">
        <v>70.3740283333333</v>
      </c>
      <c r="H1352">
        <v>0.67430000000000001</v>
      </c>
      <c r="I1352">
        <v>75.692108576483207</v>
      </c>
    </row>
    <row r="1353" spans="1:9" x14ac:dyDescent="0.35">
      <c r="A1353" s="417" t="s">
        <v>846</v>
      </c>
      <c r="B1353" s="417" t="s">
        <v>680</v>
      </c>
      <c r="C1353" s="83">
        <v>46200</v>
      </c>
      <c r="D1353" s="417" t="s">
        <v>687</v>
      </c>
      <c r="E1353">
        <v>1391.17751666667</v>
      </c>
      <c r="F1353">
        <v>19</v>
      </c>
      <c r="G1353">
        <v>73.219869298245598</v>
      </c>
      <c r="H1353">
        <v>26.166799999999999</v>
      </c>
      <c r="I1353">
        <v>34.530074813511398</v>
      </c>
    </row>
    <row r="1354" spans="1:9" x14ac:dyDescent="0.35">
      <c r="A1354" s="417" t="s">
        <v>846</v>
      </c>
      <c r="B1354" s="417" t="s">
        <v>680</v>
      </c>
      <c r="C1354" s="83">
        <v>46200</v>
      </c>
      <c r="D1354" s="417" t="s">
        <v>681</v>
      </c>
      <c r="E1354">
        <v>1416.4491166666701</v>
      </c>
      <c r="F1354">
        <v>17</v>
      </c>
      <c r="G1354">
        <v>83.320536274509806</v>
      </c>
      <c r="H1354">
        <v>0.84156666666666702</v>
      </c>
      <c r="I1354">
        <v>80.195079756258906</v>
      </c>
    </row>
    <row r="1355" spans="1:9" x14ac:dyDescent="0.35">
      <c r="A1355" s="417" t="s">
        <v>846</v>
      </c>
      <c r="B1355" s="417" t="s">
        <v>680</v>
      </c>
      <c r="C1355" s="83">
        <v>46200</v>
      </c>
      <c r="D1355" s="417" t="s">
        <v>685</v>
      </c>
      <c r="E1355">
        <v>1418.1751666666701</v>
      </c>
      <c r="F1355">
        <v>16</v>
      </c>
      <c r="G1355">
        <v>88.635947916666694</v>
      </c>
      <c r="H1355">
        <v>11.32945</v>
      </c>
      <c r="I1355">
        <v>84.881122280709306</v>
      </c>
    </row>
    <row r="1356" spans="1:9" x14ac:dyDescent="0.35">
      <c r="A1356" s="417" t="s">
        <v>846</v>
      </c>
      <c r="B1356" s="417" t="s">
        <v>680</v>
      </c>
      <c r="C1356" s="83">
        <v>46200</v>
      </c>
      <c r="D1356" s="417" t="s">
        <v>686</v>
      </c>
      <c r="E1356">
        <v>1440</v>
      </c>
      <c r="F1356">
        <v>1</v>
      </c>
      <c r="G1356">
        <v>1440</v>
      </c>
      <c r="H1356">
        <v>0</v>
      </c>
      <c r="I1356">
        <v>26.3541666666667</v>
      </c>
    </row>
    <row r="1357" spans="1:9" x14ac:dyDescent="0.35">
      <c r="A1357" s="417" t="s">
        <v>846</v>
      </c>
      <c r="B1357" s="417" t="s">
        <v>691</v>
      </c>
      <c r="C1357" s="83">
        <v>46200</v>
      </c>
      <c r="D1357" s="417" t="s">
        <v>305</v>
      </c>
      <c r="E1357">
        <v>1261.3459333333301</v>
      </c>
      <c r="F1357">
        <v>213</v>
      </c>
      <c r="G1357">
        <v>5.9218118935837296</v>
      </c>
      <c r="H1357">
        <v>4.9600999999999997</v>
      </c>
      <c r="I1357">
        <v>43.082609606541297</v>
      </c>
    </row>
    <row r="1358" spans="1:9" x14ac:dyDescent="0.35">
      <c r="A1358" s="417" t="s">
        <v>846</v>
      </c>
      <c r="B1358" s="417" t="s">
        <v>691</v>
      </c>
      <c r="C1358" s="83">
        <v>46200</v>
      </c>
      <c r="D1358" s="417" t="s">
        <v>309</v>
      </c>
      <c r="E1358">
        <v>1261.64265</v>
      </c>
      <c r="F1358">
        <v>119</v>
      </c>
      <c r="G1358">
        <v>10.6020390756303</v>
      </c>
      <c r="H1358">
        <v>0.11425</v>
      </c>
      <c r="I1358">
        <v>42.4177338396388</v>
      </c>
    </row>
    <row r="1359" spans="1:9" x14ac:dyDescent="0.35">
      <c r="A1359" s="417" t="s">
        <v>846</v>
      </c>
      <c r="B1359" s="417" t="s">
        <v>691</v>
      </c>
      <c r="C1359" s="83">
        <v>46200</v>
      </c>
      <c r="D1359" s="417" t="s">
        <v>301</v>
      </c>
      <c r="E1359">
        <v>1326.21775</v>
      </c>
      <c r="F1359">
        <v>113</v>
      </c>
      <c r="G1359">
        <v>11.736440265486699</v>
      </c>
      <c r="H1359">
        <v>0.36601666666666699</v>
      </c>
      <c r="I1359">
        <v>63.931406209438101</v>
      </c>
    </row>
    <row r="1360" spans="1:9" x14ac:dyDescent="0.35">
      <c r="A1360" s="417" t="s">
        <v>846</v>
      </c>
      <c r="B1360" s="417" t="s">
        <v>691</v>
      </c>
      <c r="C1360" s="83">
        <v>46200</v>
      </c>
      <c r="D1360" s="417" t="s">
        <v>342</v>
      </c>
      <c r="E1360">
        <v>1241.1911666666699</v>
      </c>
      <c r="F1360">
        <v>105</v>
      </c>
      <c r="G1360">
        <v>11.8208682539683</v>
      </c>
      <c r="H1360">
        <v>157.43813333333301</v>
      </c>
      <c r="I1360">
        <v>38.253968253968203</v>
      </c>
    </row>
    <row r="1361" spans="1:9" x14ac:dyDescent="0.35">
      <c r="A1361" s="417" t="s">
        <v>846</v>
      </c>
      <c r="B1361" s="417" t="s">
        <v>691</v>
      </c>
      <c r="C1361" s="83">
        <v>46200</v>
      </c>
      <c r="D1361" s="417" t="s">
        <v>299</v>
      </c>
      <c r="E1361">
        <v>1302.59521666667</v>
      </c>
      <c r="F1361">
        <v>94</v>
      </c>
      <c r="G1361">
        <v>13.8573959219858</v>
      </c>
      <c r="H1361">
        <v>0.54708333333333303</v>
      </c>
      <c r="I1361">
        <v>71.553500992009006</v>
      </c>
    </row>
    <row r="1362" spans="1:9" x14ac:dyDescent="0.35">
      <c r="A1362" s="417" t="s">
        <v>846</v>
      </c>
      <c r="B1362" s="417" t="s">
        <v>691</v>
      </c>
      <c r="C1362" s="83">
        <v>46200</v>
      </c>
      <c r="D1362" s="417" t="s">
        <v>295</v>
      </c>
      <c r="E1362">
        <v>1327.09881666667</v>
      </c>
      <c r="F1362">
        <v>91</v>
      </c>
      <c r="G1362">
        <v>14.583503479853499</v>
      </c>
      <c r="H1362">
        <v>0.38005</v>
      </c>
      <c r="I1362">
        <v>71.694996702646705</v>
      </c>
    </row>
    <row r="1363" spans="1:9" x14ac:dyDescent="0.35">
      <c r="A1363" s="417" t="s">
        <v>846</v>
      </c>
      <c r="B1363" s="417" t="s">
        <v>691</v>
      </c>
      <c r="C1363" s="83">
        <v>46200</v>
      </c>
      <c r="D1363" s="417" t="s">
        <v>303</v>
      </c>
      <c r="E1363">
        <v>1361.10441666667</v>
      </c>
      <c r="F1363">
        <v>65</v>
      </c>
      <c r="G1363">
        <v>20.9400679487179</v>
      </c>
      <c r="H1363">
        <v>0.26891666666666703</v>
      </c>
      <c r="I1363">
        <v>52.716399556401697</v>
      </c>
    </row>
    <row r="1364" spans="1:9" x14ac:dyDescent="0.35">
      <c r="A1364" s="417" t="s">
        <v>846</v>
      </c>
      <c r="B1364" s="417" t="s">
        <v>691</v>
      </c>
      <c r="C1364" s="83">
        <v>46200</v>
      </c>
      <c r="D1364" s="417" t="s">
        <v>310</v>
      </c>
      <c r="E1364">
        <v>1402.13345</v>
      </c>
      <c r="F1364">
        <v>6</v>
      </c>
      <c r="G1364">
        <v>233.68890833333299</v>
      </c>
      <c r="H1364">
        <v>0</v>
      </c>
      <c r="I1364">
        <v>45.874161441635501</v>
      </c>
    </row>
    <row r="1365" spans="1:9" x14ac:dyDescent="0.35">
      <c r="A1365" s="417" t="s">
        <v>846</v>
      </c>
      <c r="B1365" s="417" t="s">
        <v>691</v>
      </c>
      <c r="C1365" s="83">
        <v>46200</v>
      </c>
      <c r="D1365" s="417" t="s">
        <v>317</v>
      </c>
      <c r="E1365">
        <v>1436.1320000000001</v>
      </c>
      <c r="F1365">
        <v>5</v>
      </c>
      <c r="G1365">
        <v>287.22640000000001</v>
      </c>
      <c r="H1365">
        <v>2.6075499999999998</v>
      </c>
      <c r="I1365">
        <v>31.020207931310399</v>
      </c>
    </row>
    <row r="1366" spans="1:9" x14ac:dyDescent="0.35">
      <c r="A1366" s="417" t="s">
        <v>846</v>
      </c>
      <c r="B1366" s="417" t="s">
        <v>691</v>
      </c>
      <c r="C1366" s="83">
        <v>46200</v>
      </c>
      <c r="D1366" s="417" t="s">
        <v>314</v>
      </c>
      <c r="E1366">
        <v>1405.41611666667</v>
      </c>
      <c r="F1366">
        <v>4</v>
      </c>
      <c r="G1366">
        <v>351.35402916666698</v>
      </c>
      <c r="H1366">
        <v>3.95156666666667</v>
      </c>
      <c r="I1366">
        <v>37.733731179623497</v>
      </c>
    </row>
    <row r="1367" spans="1:9" x14ac:dyDescent="0.35">
      <c r="A1367" s="417" t="s">
        <v>846</v>
      </c>
      <c r="B1367" s="417" t="s">
        <v>691</v>
      </c>
      <c r="C1367" s="83">
        <v>46200</v>
      </c>
      <c r="D1367" s="417" t="s">
        <v>313</v>
      </c>
      <c r="E1367">
        <v>1386.5916500000001</v>
      </c>
      <c r="F1367">
        <v>3</v>
      </c>
      <c r="G1367">
        <v>462.19721666666698</v>
      </c>
      <c r="H1367">
        <v>0</v>
      </c>
      <c r="I1367">
        <v>43.135347055338698</v>
      </c>
    </row>
    <row r="1368" spans="1:9" x14ac:dyDescent="0.35">
      <c r="A1368" s="417" t="s">
        <v>846</v>
      </c>
      <c r="B1368" s="417" t="s">
        <v>691</v>
      </c>
      <c r="C1368" s="83">
        <v>46200</v>
      </c>
      <c r="D1368" s="417" t="s">
        <v>504</v>
      </c>
      <c r="E1368">
        <v>1440</v>
      </c>
      <c r="F1368">
        <v>1</v>
      </c>
      <c r="G1368">
        <v>1440</v>
      </c>
      <c r="H1368">
        <v>0</v>
      </c>
      <c r="I1368">
        <v>27.765895061728401</v>
      </c>
    </row>
    <row r="1369" spans="1:9" x14ac:dyDescent="0.35">
      <c r="A1369" s="417" t="s">
        <v>846</v>
      </c>
      <c r="B1369" s="417" t="s">
        <v>676</v>
      </c>
      <c r="C1369" s="83">
        <v>46199</v>
      </c>
      <c r="D1369" s="417" t="s">
        <v>677</v>
      </c>
      <c r="E1369">
        <v>1224.09971666667</v>
      </c>
      <c r="F1369">
        <v>355</v>
      </c>
      <c r="G1369">
        <v>3.4481682159624398</v>
      </c>
      <c r="H1369">
        <v>175.730883333333</v>
      </c>
      <c r="I1369">
        <v>15.0175</v>
      </c>
    </row>
    <row r="1370" spans="1:9" x14ac:dyDescent="0.35">
      <c r="A1370" s="417" t="s">
        <v>846</v>
      </c>
      <c r="B1370" s="417" t="s">
        <v>676</v>
      </c>
      <c r="C1370" s="83">
        <v>46199</v>
      </c>
      <c r="D1370" s="417" t="s">
        <v>678</v>
      </c>
      <c r="E1370">
        <v>1366.3276499999999</v>
      </c>
      <c r="F1370">
        <v>28</v>
      </c>
      <c r="G1370">
        <v>48.7974160714286</v>
      </c>
      <c r="H1370">
        <v>24.990816666666699</v>
      </c>
      <c r="I1370">
        <v>86.038293557233501</v>
      </c>
    </row>
    <row r="1371" spans="1:9" x14ac:dyDescent="0.35">
      <c r="A1371" s="417" t="s">
        <v>846</v>
      </c>
      <c r="B1371" s="417" t="s">
        <v>676</v>
      </c>
      <c r="C1371" s="83">
        <v>46199</v>
      </c>
      <c r="D1371" s="417" t="s">
        <v>679</v>
      </c>
      <c r="E1371">
        <v>1370.5192</v>
      </c>
      <c r="F1371">
        <v>22</v>
      </c>
      <c r="G1371">
        <v>62.296327272727297</v>
      </c>
      <c r="H1371">
        <v>13.6628833333333</v>
      </c>
      <c r="I1371">
        <v>70.538407609548003</v>
      </c>
    </row>
    <row r="1372" spans="1:9" x14ac:dyDescent="0.35">
      <c r="A1372" s="417" t="s">
        <v>846</v>
      </c>
      <c r="B1372" s="417" t="s">
        <v>680</v>
      </c>
      <c r="C1372" s="83">
        <v>46199</v>
      </c>
      <c r="D1372" s="417" t="s">
        <v>684</v>
      </c>
      <c r="E1372">
        <v>1350.8310166666699</v>
      </c>
      <c r="F1372">
        <v>87</v>
      </c>
      <c r="G1372">
        <v>15.5267932950192</v>
      </c>
      <c r="H1372">
        <v>51.512383333333297</v>
      </c>
      <c r="I1372">
        <v>75.723943914602103</v>
      </c>
    </row>
    <row r="1373" spans="1:9" x14ac:dyDescent="0.35">
      <c r="A1373" s="417" t="s">
        <v>846</v>
      </c>
      <c r="B1373" s="417" t="s">
        <v>680</v>
      </c>
      <c r="C1373" s="83">
        <v>46199</v>
      </c>
      <c r="D1373" s="417" t="s">
        <v>681</v>
      </c>
      <c r="E1373">
        <v>1401.6332333333301</v>
      </c>
      <c r="F1373">
        <v>42</v>
      </c>
      <c r="G1373">
        <v>33.372219841269803</v>
      </c>
      <c r="H1373">
        <v>0.16646666666666701</v>
      </c>
      <c r="I1373">
        <v>79.921177584344605</v>
      </c>
    </row>
    <row r="1374" spans="1:9" x14ac:dyDescent="0.35">
      <c r="A1374" s="417" t="s">
        <v>846</v>
      </c>
      <c r="B1374" s="417" t="s">
        <v>680</v>
      </c>
      <c r="C1374" s="83">
        <v>46199</v>
      </c>
      <c r="D1374" s="417" t="s">
        <v>690</v>
      </c>
      <c r="E1374">
        <v>1377.85351666667</v>
      </c>
      <c r="F1374">
        <v>39</v>
      </c>
      <c r="G1374">
        <v>35.3295773504273</v>
      </c>
      <c r="H1374">
        <v>10.313883333333299</v>
      </c>
      <c r="I1374">
        <v>70.407927524477401</v>
      </c>
    </row>
    <row r="1375" spans="1:9" x14ac:dyDescent="0.35">
      <c r="A1375" s="417" t="s">
        <v>846</v>
      </c>
      <c r="B1375" s="417" t="s">
        <v>680</v>
      </c>
      <c r="C1375" s="83">
        <v>46199</v>
      </c>
      <c r="D1375" s="417" t="s">
        <v>683</v>
      </c>
      <c r="E1375">
        <v>1413.8550499999999</v>
      </c>
      <c r="F1375">
        <v>30</v>
      </c>
      <c r="G1375">
        <v>47.1285016666667</v>
      </c>
      <c r="H1375">
        <v>0.16643333333333299</v>
      </c>
      <c r="I1375">
        <v>76.791277335185399</v>
      </c>
    </row>
    <row r="1376" spans="1:9" x14ac:dyDescent="0.35">
      <c r="A1376" s="417" t="s">
        <v>846</v>
      </c>
      <c r="B1376" s="417" t="s">
        <v>680</v>
      </c>
      <c r="C1376" s="83">
        <v>46199</v>
      </c>
      <c r="D1376" s="417" t="s">
        <v>688</v>
      </c>
      <c r="E1376">
        <v>1372.97391666667</v>
      </c>
      <c r="F1376">
        <v>30</v>
      </c>
      <c r="G1376">
        <v>45.765797222222197</v>
      </c>
      <c r="H1376">
        <v>6.3345500000000001</v>
      </c>
      <c r="I1376">
        <v>74.982032641102407</v>
      </c>
    </row>
    <row r="1377" spans="1:9" x14ac:dyDescent="0.35">
      <c r="A1377" s="417" t="s">
        <v>846</v>
      </c>
      <c r="B1377" s="417" t="s">
        <v>680</v>
      </c>
      <c r="C1377" s="83">
        <v>46199</v>
      </c>
      <c r="D1377" s="417" t="s">
        <v>682</v>
      </c>
      <c r="E1377">
        <v>1425.1743833333301</v>
      </c>
      <c r="F1377">
        <v>28</v>
      </c>
      <c r="G1377">
        <v>50.899085119047598</v>
      </c>
      <c r="H1377">
        <v>14.825616666666701</v>
      </c>
      <c r="I1377">
        <v>73.015873015872998</v>
      </c>
    </row>
    <row r="1378" spans="1:9" x14ac:dyDescent="0.35">
      <c r="A1378" s="417" t="s">
        <v>846</v>
      </c>
      <c r="B1378" s="417" t="s">
        <v>680</v>
      </c>
      <c r="C1378" s="83">
        <v>46199</v>
      </c>
      <c r="D1378" s="417" t="s">
        <v>685</v>
      </c>
      <c r="E1378">
        <v>1407.6776833333299</v>
      </c>
      <c r="F1378">
        <v>19</v>
      </c>
      <c r="G1378">
        <v>74.088299122807001</v>
      </c>
      <c r="H1378">
        <v>12.9789833333333</v>
      </c>
      <c r="I1378">
        <v>82.603869016854702</v>
      </c>
    </row>
    <row r="1379" spans="1:9" x14ac:dyDescent="0.35">
      <c r="A1379" s="417" t="s">
        <v>846</v>
      </c>
      <c r="B1379" s="417" t="s">
        <v>680</v>
      </c>
      <c r="C1379" s="83">
        <v>46199</v>
      </c>
      <c r="D1379" s="417" t="s">
        <v>689</v>
      </c>
      <c r="E1379">
        <v>1408.5096166666699</v>
      </c>
      <c r="F1379">
        <v>19</v>
      </c>
      <c r="G1379">
        <v>74.132085087719304</v>
      </c>
      <c r="H1379">
        <v>8.1808333333333305</v>
      </c>
      <c r="I1379">
        <v>84.903297098374793</v>
      </c>
    </row>
    <row r="1380" spans="1:9" x14ac:dyDescent="0.35">
      <c r="A1380" s="417" t="s">
        <v>846</v>
      </c>
      <c r="B1380" s="417" t="s">
        <v>680</v>
      </c>
      <c r="C1380" s="83">
        <v>46199</v>
      </c>
      <c r="D1380" s="417" t="s">
        <v>687</v>
      </c>
      <c r="E1380">
        <v>1404.3361333333301</v>
      </c>
      <c r="F1380">
        <v>11</v>
      </c>
      <c r="G1380">
        <v>127.666921212121</v>
      </c>
      <c r="H1380">
        <v>13.4935166666667</v>
      </c>
      <c r="I1380">
        <v>41.489562780078899</v>
      </c>
    </row>
    <row r="1381" spans="1:9" x14ac:dyDescent="0.35">
      <c r="A1381" s="417" t="s">
        <v>846</v>
      </c>
      <c r="B1381" s="417" t="s">
        <v>680</v>
      </c>
      <c r="C1381" s="83">
        <v>46199</v>
      </c>
      <c r="D1381" s="417" t="s">
        <v>686</v>
      </c>
      <c r="E1381">
        <v>1440</v>
      </c>
      <c r="F1381">
        <v>1</v>
      </c>
      <c r="G1381">
        <v>1440</v>
      </c>
      <c r="H1381">
        <v>0</v>
      </c>
      <c r="I1381">
        <v>36.7361111111111</v>
      </c>
    </row>
    <row r="1382" spans="1:9" x14ac:dyDescent="0.35">
      <c r="A1382" s="417" t="s">
        <v>846</v>
      </c>
      <c r="B1382" s="417" t="s">
        <v>691</v>
      </c>
      <c r="C1382" s="83">
        <v>46199</v>
      </c>
      <c r="D1382" s="417" t="s">
        <v>299</v>
      </c>
      <c r="E1382">
        <v>1231.7988166666701</v>
      </c>
      <c r="F1382">
        <v>161</v>
      </c>
      <c r="G1382">
        <v>7.6509243271221496</v>
      </c>
      <c r="H1382">
        <v>2.7242833333333301</v>
      </c>
      <c r="I1382">
        <v>52.429870080104202</v>
      </c>
    </row>
    <row r="1383" spans="1:9" x14ac:dyDescent="0.35">
      <c r="A1383" s="417" t="s">
        <v>846</v>
      </c>
      <c r="B1383" s="417" t="s">
        <v>691</v>
      </c>
      <c r="C1383" s="83">
        <v>46199</v>
      </c>
      <c r="D1383" s="417" t="s">
        <v>305</v>
      </c>
      <c r="E1383">
        <v>1302.5862</v>
      </c>
      <c r="F1383">
        <v>134</v>
      </c>
      <c r="G1383">
        <v>9.7207925373134305</v>
      </c>
      <c r="H1383">
        <v>2.8048000000000002</v>
      </c>
      <c r="I1383">
        <v>48.088572652794099</v>
      </c>
    </row>
    <row r="1384" spans="1:9" x14ac:dyDescent="0.35">
      <c r="A1384" s="417" t="s">
        <v>846</v>
      </c>
      <c r="B1384" s="417" t="s">
        <v>691</v>
      </c>
      <c r="C1384" s="83">
        <v>46199</v>
      </c>
      <c r="D1384" s="417" t="s">
        <v>309</v>
      </c>
      <c r="E1384">
        <v>1315.53361666667</v>
      </c>
      <c r="F1384">
        <v>119</v>
      </c>
      <c r="G1384">
        <v>11.0549043417367</v>
      </c>
      <c r="H1384">
        <v>0.23265</v>
      </c>
      <c r="I1384">
        <v>50.0191378066515</v>
      </c>
    </row>
    <row r="1385" spans="1:9" x14ac:dyDescent="0.35">
      <c r="A1385" s="417" t="s">
        <v>846</v>
      </c>
      <c r="B1385" s="417" t="s">
        <v>691</v>
      </c>
      <c r="C1385" s="83">
        <v>46199</v>
      </c>
      <c r="D1385" s="417" t="s">
        <v>342</v>
      </c>
      <c r="E1385">
        <v>1201.2238500000001</v>
      </c>
      <c r="F1385">
        <v>108</v>
      </c>
      <c r="G1385">
        <v>11.1224430555556</v>
      </c>
      <c r="H1385">
        <v>203.81241666666699</v>
      </c>
      <c r="I1385">
        <v>46.531750000000002</v>
      </c>
    </row>
    <row r="1386" spans="1:9" x14ac:dyDescent="0.35">
      <c r="A1386" s="417" t="s">
        <v>846</v>
      </c>
      <c r="B1386" s="417" t="s">
        <v>691</v>
      </c>
      <c r="C1386" s="83">
        <v>46199</v>
      </c>
      <c r="D1386" s="417" t="s">
        <v>295</v>
      </c>
      <c r="E1386">
        <v>1260.3406</v>
      </c>
      <c r="F1386">
        <v>106</v>
      </c>
      <c r="G1386">
        <v>11.890005660377399</v>
      </c>
      <c r="H1386">
        <v>0.87073333333333303</v>
      </c>
      <c r="I1386">
        <v>65.713011738944104</v>
      </c>
    </row>
    <row r="1387" spans="1:9" x14ac:dyDescent="0.35">
      <c r="A1387" s="417" t="s">
        <v>846</v>
      </c>
      <c r="B1387" s="417" t="s">
        <v>691</v>
      </c>
      <c r="C1387" s="83">
        <v>46199</v>
      </c>
      <c r="D1387" s="417" t="s">
        <v>301</v>
      </c>
      <c r="E1387">
        <v>1363.14825</v>
      </c>
      <c r="F1387">
        <v>78</v>
      </c>
      <c r="G1387">
        <v>17.476259615384599</v>
      </c>
      <c r="H1387">
        <v>1.2579499999999999</v>
      </c>
      <c r="I1387">
        <v>54.560127299463602</v>
      </c>
    </row>
    <row r="1388" spans="1:9" x14ac:dyDescent="0.35">
      <c r="A1388" s="417" t="s">
        <v>846</v>
      </c>
      <c r="B1388" s="417" t="s">
        <v>691</v>
      </c>
      <c r="C1388" s="83">
        <v>46199</v>
      </c>
      <c r="D1388" s="417" t="s">
        <v>303</v>
      </c>
      <c r="E1388">
        <v>1373.5481</v>
      </c>
      <c r="F1388">
        <v>74</v>
      </c>
      <c r="G1388">
        <v>18.5614608108108</v>
      </c>
      <c r="H1388">
        <v>0.473266666666667</v>
      </c>
      <c r="I1388">
        <v>50.579460650400499</v>
      </c>
    </row>
    <row r="1389" spans="1:9" x14ac:dyDescent="0.35">
      <c r="A1389" s="417" t="s">
        <v>846</v>
      </c>
      <c r="B1389" s="417" t="s">
        <v>691</v>
      </c>
      <c r="C1389" s="83">
        <v>46199</v>
      </c>
      <c r="D1389" s="417" t="s">
        <v>314</v>
      </c>
      <c r="E1389">
        <v>1363.2498000000001</v>
      </c>
      <c r="F1389">
        <v>12</v>
      </c>
      <c r="G1389">
        <v>113.60415</v>
      </c>
      <c r="H1389">
        <v>9.7163000000000004</v>
      </c>
      <c r="I1389">
        <v>32.1075092380878</v>
      </c>
    </row>
    <row r="1390" spans="1:9" x14ac:dyDescent="0.35">
      <c r="A1390" s="417" t="s">
        <v>846</v>
      </c>
      <c r="B1390" s="417" t="s">
        <v>691</v>
      </c>
      <c r="C1390" s="83">
        <v>46199</v>
      </c>
      <c r="D1390" s="417" t="s">
        <v>310</v>
      </c>
      <c r="E1390">
        <v>1360.7164666666699</v>
      </c>
      <c r="F1390">
        <v>8</v>
      </c>
      <c r="G1390">
        <v>170.089558333333</v>
      </c>
      <c r="H1390">
        <v>6.0522499999999999</v>
      </c>
      <c r="I1390">
        <v>39.598889054098898</v>
      </c>
    </row>
    <row r="1391" spans="1:9" x14ac:dyDescent="0.35">
      <c r="A1391" s="417" t="s">
        <v>846</v>
      </c>
      <c r="B1391" s="417" t="s">
        <v>691</v>
      </c>
      <c r="C1391" s="83">
        <v>46199</v>
      </c>
      <c r="D1391" s="417" t="s">
        <v>313</v>
      </c>
      <c r="E1391">
        <v>1425.49031666667</v>
      </c>
      <c r="F1391">
        <v>5</v>
      </c>
      <c r="G1391">
        <v>285.09806333333302</v>
      </c>
      <c r="H1391">
        <v>0</v>
      </c>
      <c r="I1391">
        <v>31.888466447523999</v>
      </c>
    </row>
    <row r="1392" spans="1:9" x14ac:dyDescent="0.35">
      <c r="A1392" s="417" t="s">
        <v>846</v>
      </c>
      <c r="B1392" s="417" t="s">
        <v>691</v>
      </c>
      <c r="C1392" s="83">
        <v>46199</v>
      </c>
      <c r="D1392" s="417" t="s">
        <v>317</v>
      </c>
      <c r="E1392">
        <v>1428.4562166666699</v>
      </c>
      <c r="F1392">
        <v>2</v>
      </c>
      <c r="G1392">
        <v>714.22810833333301</v>
      </c>
      <c r="H1392">
        <v>7.0816666666666697</v>
      </c>
      <c r="I1392">
        <v>29.741465199693501</v>
      </c>
    </row>
    <row r="1393" spans="1:9" x14ac:dyDescent="0.35">
      <c r="A1393" s="417" t="s">
        <v>846</v>
      </c>
      <c r="B1393" s="417" t="s">
        <v>691</v>
      </c>
      <c r="C1393" s="83">
        <v>46199</v>
      </c>
      <c r="D1393" s="417" t="s">
        <v>504</v>
      </c>
      <c r="E1393">
        <v>1440</v>
      </c>
      <c r="F1393">
        <v>1</v>
      </c>
      <c r="G1393">
        <v>1440</v>
      </c>
      <c r="H1393">
        <v>0</v>
      </c>
      <c r="I1393">
        <v>29.028086419753102</v>
      </c>
    </row>
    <row r="1394" spans="1:9" x14ac:dyDescent="0.35">
      <c r="A1394" s="417" t="s">
        <v>846</v>
      </c>
      <c r="B1394" s="417" t="s">
        <v>676</v>
      </c>
      <c r="C1394" s="83">
        <v>46198</v>
      </c>
      <c r="D1394" s="417" t="s">
        <v>677</v>
      </c>
      <c r="E1394">
        <v>1060.5307</v>
      </c>
      <c r="F1394">
        <v>517</v>
      </c>
      <c r="G1394">
        <v>2.0513166344294</v>
      </c>
      <c r="H1394">
        <v>277.96171666666697</v>
      </c>
      <c r="I1394">
        <v>17.710833333333301</v>
      </c>
    </row>
    <row r="1395" spans="1:9" x14ac:dyDescent="0.35">
      <c r="A1395" s="417" t="s">
        <v>846</v>
      </c>
      <c r="B1395" s="417" t="s">
        <v>676</v>
      </c>
      <c r="C1395" s="83">
        <v>46198</v>
      </c>
      <c r="D1395" s="417" t="s">
        <v>678</v>
      </c>
      <c r="E1395">
        <v>1084.4712833333299</v>
      </c>
      <c r="F1395">
        <v>46</v>
      </c>
      <c r="G1395">
        <v>23.575462681159401</v>
      </c>
      <c r="H1395">
        <v>63.499583333333298</v>
      </c>
      <c r="I1395">
        <v>51.181230043866599</v>
      </c>
    </row>
    <row r="1396" spans="1:9" x14ac:dyDescent="0.35">
      <c r="A1396" s="417" t="s">
        <v>846</v>
      </c>
      <c r="B1396" s="417" t="s">
        <v>676</v>
      </c>
      <c r="C1396" s="83">
        <v>46198</v>
      </c>
      <c r="D1396" s="417" t="s">
        <v>679</v>
      </c>
      <c r="E1396">
        <v>1220.9303</v>
      </c>
      <c r="F1396">
        <v>32</v>
      </c>
      <c r="G1396">
        <v>38.154071875</v>
      </c>
      <c r="H1396">
        <v>23.8488166666667</v>
      </c>
      <c r="I1396">
        <v>52.3167260301895</v>
      </c>
    </row>
    <row r="1397" spans="1:9" x14ac:dyDescent="0.35">
      <c r="A1397" s="417" t="s">
        <v>846</v>
      </c>
      <c r="B1397" s="417" t="s">
        <v>680</v>
      </c>
      <c r="C1397" s="83">
        <v>46198</v>
      </c>
      <c r="D1397" s="417" t="s">
        <v>681</v>
      </c>
      <c r="E1397">
        <v>1271.7721833333301</v>
      </c>
      <c r="F1397">
        <v>85</v>
      </c>
      <c r="G1397">
        <v>14.962025686274499</v>
      </c>
      <c r="H1397">
        <v>6.8397333333333297</v>
      </c>
      <c r="I1397">
        <v>67.470907913341193</v>
      </c>
    </row>
    <row r="1398" spans="1:9" x14ac:dyDescent="0.35">
      <c r="A1398" s="417" t="s">
        <v>846</v>
      </c>
      <c r="B1398" s="417" t="s">
        <v>680</v>
      </c>
      <c r="C1398" s="83">
        <v>46198</v>
      </c>
      <c r="D1398" s="417" t="s">
        <v>684</v>
      </c>
      <c r="E1398">
        <v>1343.3050499999999</v>
      </c>
      <c r="F1398">
        <v>68</v>
      </c>
      <c r="G1398">
        <v>19.754486029411801</v>
      </c>
      <c r="H1398">
        <v>32.494533333333301</v>
      </c>
      <c r="I1398">
        <v>60.742625119468499</v>
      </c>
    </row>
    <row r="1399" spans="1:9" x14ac:dyDescent="0.35">
      <c r="A1399" s="417" t="s">
        <v>846</v>
      </c>
      <c r="B1399" s="417" t="s">
        <v>680</v>
      </c>
      <c r="C1399" s="83">
        <v>46198</v>
      </c>
      <c r="D1399" s="417" t="s">
        <v>682</v>
      </c>
      <c r="E1399">
        <v>1368.49965</v>
      </c>
      <c r="F1399">
        <v>49</v>
      </c>
      <c r="G1399">
        <v>27.928564285714302</v>
      </c>
      <c r="H1399">
        <v>52.159683333333298</v>
      </c>
      <c r="I1399">
        <v>58.4220736080728</v>
      </c>
    </row>
    <row r="1400" spans="1:9" x14ac:dyDescent="0.35">
      <c r="A1400" s="417" t="s">
        <v>846</v>
      </c>
      <c r="B1400" s="417" t="s">
        <v>680</v>
      </c>
      <c r="C1400" s="83">
        <v>46198</v>
      </c>
      <c r="D1400" s="417" t="s">
        <v>689</v>
      </c>
      <c r="E1400">
        <v>1332.63701666667</v>
      </c>
      <c r="F1400">
        <v>40</v>
      </c>
      <c r="G1400">
        <v>33.315925416666701</v>
      </c>
      <c r="H1400">
        <v>0.99050000000000005</v>
      </c>
      <c r="I1400">
        <v>76.305476950609005</v>
      </c>
    </row>
    <row r="1401" spans="1:9" x14ac:dyDescent="0.35">
      <c r="A1401" s="417" t="s">
        <v>846</v>
      </c>
      <c r="B1401" s="417" t="s">
        <v>680</v>
      </c>
      <c r="C1401" s="83">
        <v>46198</v>
      </c>
      <c r="D1401" s="417" t="s">
        <v>683</v>
      </c>
      <c r="E1401">
        <v>1251.42771666667</v>
      </c>
      <c r="F1401">
        <v>39</v>
      </c>
      <c r="G1401">
        <v>32.087890170940199</v>
      </c>
      <c r="H1401">
        <v>8.1810833333333299</v>
      </c>
      <c r="I1401">
        <v>65.395691959793197</v>
      </c>
    </row>
    <row r="1402" spans="1:9" x14ac:dyDescent="0.35">
      <c r="A1402" s="417" t="s">
        <v>846</v>
      </c>
      <c r="B1402" s="417" t="s">
        <v>680</v>
      </c>
      <c r="C1402" s="83">
        <v>46198</v>
      </c>
      <c r="D1402" s="417" t="s">
        <v>690</v>
      </c>
      <c r="E1402">
        <v>1400.1705833333299</v>
      </c>
      <c r="F1402">
        <v>23</v>
      </c>
      <c r="G1402">
        <v>60.876981884057997</v>
      </c>
      <c r="H1402">
        <v>5.6546333333333303</v>
      </c>
      <c r="I1402">
        <v>57.025113994886603</v>
      </c>
    </row>
    <row r="1403" spans="1:9" x14ac:dyDescent="0.35">
      <c r="A1403" s="417" t="s">
        <v>846</v>
      </c>
      <c r="B1403" s="417" t="s">
        <v>680</v>
      </c>
      <c r="C1403" s="83">
        <v>46198</v>
      </c>
      <c r="D1403" s="417" t="s">
        <v>687</v>
      </c>
      <c r="E1403">
        <v>1379.6441</v>
      </c>
      <c r="F1403">
        <v>19</v>
      </c>
      <c r="G1403">
        <v>72.612847368421001</v>
      </c>
      <c r="H1403">
        <v>12.1843166666667</v>
      </c>
      <c r="I1403">
        <v>30.914379950863701</v>
      </c>
    </row>
    <row r="1404" spans="1:9" x14ac:dyDescent="0.35">
      <c r="A1404" s="417" t="s">
        <v>846</v>
      </c>
      <c r="B1404" s="417" t="s">
        <v>680</v>
      </c>
      <c r="C1404" s="83">
        <v>46198</v>
      </c>
      <c r="D1404" s="417" t="s">
        <v>685</v>
      </c>
      <c r="E1404">
        <v>1374.8081666666701</v>
      </c>
      <c r="F1404">
        <v>19</v>
      </c>
      <c r="G1404">
        <v>72.358324561403506</v>
      </c>
      <c r="H1404">
        <v>13.3366666666667</v>
      </c>
      <c r="I1404">
        <v>68.359114044448802</v>
      </c>
    </row>
    <row r="1405" spans="1:9" x14ac:dyDescent="0.35">
      <c r="A1405" s="417" t="s">
        <v>846</v>
      </c>
      <c r="B1405" s="417" t="s">
        <v>680</v>
      </c>
      <c r="C1405" s="83">
        <v>46198</v>
      </c>
      <c r="D1405" s="417" t="s">
        <v>688</v>
      </c>
      <c r="E1405">
        <v>1342.0044166666701</v>
      </c>
      <c r="F1405">
        <v>14</v>
      </c>
      <c r="G1405">
        <v>95.857458333333298</v>
      </c>
      <c r="H1405">
        <v>3.6658333333333299</v>
      </c>
      <c r="I1405">
        <v>58.593813809828497</v>
      </c>
    </row>
    <row r="1406" spans="1:9" x14ac:dyDescent="0.35">
      <c r="A1406" s="417" t="s">
        <v>846</v>
      </c>
      <c r="B1406" s="417" t="s">
        <v>680</v>
      </c>
      <c r="C1406" s="83">
        <v>46198</v>
      </c>
      <c r="D1406" s="417" t="s">
        <v>686</v>
      </c>
      <c r="E1406">
        <v>1405.4902666666701</v>
      </c>
      <c r="F1406">
        <v>1</v>
      </c>
      <c r="G1406">
        <v>1405.4902666666701</v>
      </c>
      <c r="H1406">
        <v>0</v>
      </c>
      <c r="I1406">
        <v>26.088050167982399</v>
      </c>
    </row>
    <row r="1407" spans="1:9" x14ac:dyDescent="0.35">
      <c r="A1407" s="417" t="s">
        <v>846</v>
      </c>
      <c r="B1407" s="417" t="s">
        <v>691</v>
      </c>
      <c r="C1407" s="83">
        <v>46198</v>
      </c>
      <c r="D1407" s="417" t="s">
        <v>305</v>
      </c>
      <c r="E1407">
        <v>1300.84588333333</v>
      </c>
      <c r="F1407">
        <v>155</v>
      </c>
      <c r="G1407">
        <v>8.3925540860215104</v>
      </c>
      <c r="H1407">
        <v>6.6718666666666699</v>
      </c>
      <c r="I1407">
        <v>59.142678241312801</v>
      </c>
    </row>
    <row r="1408" spans="1:9" x14ac:dyDescent="0.35">
      <c r="A1408" s="417" t="s">
        <v>846</v>
      </c>
      <c r="B1408" s="417" t="s">
        <v>691</v>
      </c>
      <c r="C1408" s="83">
        <v>46198</v>
      </c>
      <c r="D1408" s="417" t="s">
        <v>299</v>
      </c>
      <c r="E1408">
        <v>1334.6814999999999</v>
      </c>
      <c r="F1408">
        <v>149</v>
      </c>
      <c r="G1408">
        <v>8.9575939597315504</v>
      </c>
      <c r="H1408">
        <v>1.41001666666667</v>
      </c>
      <c r="I1408">
        <v>73.695200753389301</v>
      </c>
    </row>
    <row r="1409" spans="1:9" x14ac:dyDescent="0.35">
      <c r="A1409" s="417" t="s">
        <v>846</v>
      </c>
      <c r="B1409" s="417" t="s">
        <v>691</v>
      </c>
      <c r="C1409" s="83">
        <v>46198</v>
      </c>
      <c r="D1409" s="417" t="s">
        <v>342</v>
      </c>
      <c r="E1409">
        <v>1193.0326833333299</v>
      </c>
      <c r="F1409">
        <v>116</v>
      </c>
      <c r="G1409">
        <v>10.2847645114943</v>
      </c>
      <c r="H1409">
        <v>235.82063333333301</v>
      </c>
      <c r="I1409">
        <v>60.643992470811298</v>
      </c>
    </row>
    <row r="1410" spans="1:9" x14ac:dyDescent="0.35">
      <c r="A1410" s="417" t="s">
        <v>846</v>
      </c>
      <c r="B1410" s="417" t="s">
        <v>691</v>
      </c>
      <c r="C1410" s="83">
        <v>46198</v>
      </c>
      <c r="D1410" s="417" t="s">
        <v>301</v>
      </c>
      <c r="E1410">
        <v>1309.45336666667</v>
      </c>
      <c r="F1410">
        <v>115</v>
      </c>
      <c r="G1410">
        <v>11.386551014492801</v>
      </c>
      <c r="H1410">
        <v>7.0897166666666704</v>
      </c>
      <c r="I1410">
        <v>65.570759034457694</v>
      </c>
    </row>
    <row r="1411" spans="1:9" x14ac:dyDescent="0.35">
      <c r="A1411" s="417" t="s">
        <v>846</v>
      </c>
      <c r="B1411" s="417" t="s">
        <v>691</v>
      </c>
      <c r="C1411" s="83">
        <v>46198</v>
      </c>
      <c r="D1411" s="417" t="s">
        <v>309</v>
      </c>
      <c r="E1411">
        <v>1306.39365</v>
      </c>
      <c r="F1411">
        <v>105</v>
      </c>
      <c r="G1411">
        <v>12.4418442857143</v>
      </c>
      <c r="H1411">
        <v>8.8400000000000006E-2</v>
      </c>
      <c r="I1411">
        <v>61.3662282773805</v>
      </c>
    </row>
    <row r="1412" spans="1:9" x14ac:dyDescent="0.35">
      <c r="A1412" s="417" t="s">
        <v>846</v>
      </c>
      <c r="B1412" s="417" t="s">
        <v>691</v>
      </c>
      <c r="C1412" s="83">
        <v>46198</v>
      </c>
      <c r="D1412" s="417" t="s">
        <v>303</v>
      </c>
      <c r="E1412">
        <v>1388.4721999999999</v>
      </c>
      <c r="F1412">
        <v>77</v>
      </c>
      <c r="G1412">
        <v>18.0321064935065</v>
      </c>
      <c r="H1412">
        <v>0.30325000000000002</v>
      </c>
      <c r="I1412">
        <v>59.268410865645897</v>
      </c>
    </row>
    <row r="1413" spans="1:9" x14ac:dyDescent="0.35">
      <c r="A1413" s="417" t="s">
        <v>846</v>
      </c>
      <c r="B1413" s="417" t="s">
        <v>691</v>
      </c>
      <c r="C1413" s="83">
        <v>46198</v>
      </c>
      <c r="D1413" s="417" t="s">
        <v>295</v>
      </c>
      <c r="E1413">
        <v>1352.03596666667</v>
      </c>
      <c r="F1413">
        <v>66</v>
      </c>
      <c r="G1413">
        <v>20.485393434343401</v>
      </c>
      <c r="H1413">
        <v>0.58093333333333297</v>
      </c>
      <c r="I1413">
        <v>76.1339685059868</v>
      </c>
    </row>
    <row r="1414" spans="1:9" x14ac:dyDescent="0.35">
      <c r="A1414" s="417" t="s">
        <v>846</v>
      </c>
      <c r="B1414" s="417" t="s">
        <v>691</v>
      </c>
      <c r="C1414" s="83">
        <v>46198</v>
      </c>
      <c r="D1414" s="417" t="s">
        <v>310</v>
      </c>
      <c r="E1414">
        <v>1212.8091666666701</v>
      </c>
      <c r="F1414">
        <v>14</v>
      </c>
      <c r="G1414">
        <v>86.629226190476203</v>
      </c>
      <c r="H1414">
        <v>2.0548833333333301</v>
      </c>
      <c r="I1414">
        <v>47.908822809028699</v>
      </c>
    </row>
    <row r="1415" spans="1:9" x14ac:dyDescent="0.35">
      <c r="A1415" s="417" t="s">
        <v>846</v>
      </c>
      <c r="B1415" s="417" t="s">
        <v>691</v>
      </c>
      <c r="C1415" s="83">
        <v>46198</v>
      </c>
      <c r="D1415" s="417" t="s">
        <v>314</v>
      </c>
      <c r="E1415">
        <v>1377.40051666667</v>
      </c>
      <c r="F1415">
        <v>9</v>
      </c>
      <c r="G1415">
        <v>153.044501851852</v>
      </c>
      <c r="H1415">
        <v>2.9986333333333302</v>
      </c>
      <c r="I1415">
        <v>37.976928154153804</v>
      </c>
    </row>
    <row r="1416" spans="1:9" x14ac:dyDescent="0.35">
      <c r="A1416" s="417" t="s">
        <v>846</v>
      </c>
      <c r="B1416" s="417" t="s">
        <v>691</v>
      </c>
      <c r="C1416" s="83">
        <v>46198</v>
      </c>
      <c r="D1416" s="417" t="s">
        <v>313</v>
      </c>
      <c r="E1416">
        <v>1429.7301500000001</v>
      </c>
      <c r="F1416">
        <v>6</v>
      </c>
      <c r="G1416">
        <v>238.28835833333301</v>
      </c>
      <c r="H1416">
        <v>0</v>
      </c>
      <c r="I1416">
        <v>48.4898280506482</v>
      </c>
    </row>
    <row r="1417" spans="1:9" x14ac:dyDescent="0.35">
      <c r="A1417" s="417" t="s">
        <v>846</v>
      </c>
      <c r="B1417" s="417" t="s">
        <v>691</v>
      </c>
      <c r="C1417" s="83">
        <v>46198</v>
      </c>
      <c r="D1417" s="417" t="s">
        <v>317</v>
      </c>
      <c r="E1417">
        <v>1438.4926499999999</v>
      </c>
      <c r="F1417">
        <v>2</v>
      </c>
      <c r="G1417">
        <v>719.24632499999996</v>
      </c>
      <c r="H1417">
        <v>0.26146666666666701</v>
      </c>
      <c r="I1417">
        <v>35.877279795098602</v>
      </c>
    </row>
    <row r="1418" spans="1:9" x14ac:dyDescent="0.35">
      <c r="A1418" s="417" t="s">
        <v>846</v>
      </c>
      <c r="B1418" s="417" t="s">
        <v>691</v>
      </c>
      <c r="C1418" s="83">
        <v>46198</v>
      </c>
      <c r="D1418" s="417" t="s">
        <v>504</v>
      </c>
      <c r="E1418">
        <v>1440</v>
      </c>
      <c r="F1418">
        <v>1</v>
      </c>
      <c r="G1418">
        <v>1440</v>
      </c>
      <c r="H1418">
        <v>0</v>
      </c>
      <c r="I1418">
        <v>35.785339506172903</v>
      </c>
    </row>
    <row r="1419" spans="1:9" x14ac:dyDescent="0.35">
      <c r="A1419" s="417" t="s">
        <v>846</v>
      </c>
      <c r="B1419" s="417" t="s">
        <v>676</v>
      </c>
      <c r="C1419" s="83">
        <v>46197</v>
      </c>
      <c r="D1419" s="417" t="s">
        <v>677</v>
      </c>
      <c r="E1419">
        <v>985.80634999999995</v>
      </c>
      <c r="F1419">
        <v>384</v>
      </c>
      <c r="G1419">
        <v>2.56720403645833</v>
      </c>
      <c r="H1419">
        <v>256.68470000000002</v>
      </c>
      <c r="I1419">
        <v>21.691111111111098</v>
      </c>
    </row>
    <row r="1420" spans="1:9" x14ac:dyDescent="0.35">
      <c r="A1420" s="417" t="s">
        <v>846</v>
      </c>
      <c r="B1420" s="417" t="s">
        <v>676</v>
      </c>
      <c r="C1420" s="83">
        <v>46197</v>
      </c>
      <c r="D1420" s="417" t="s">
        <v>679</v>
      </c>
      <c r="E1420">
        <v>1373.00563333333</v>
      </c>
      <c r="F1420">
        <v>23</v>
      </c>
      <c r="G1420">
        <v>59.695897101449297</v>
      </c>
      <c r="H1420">
        <v>17.3127</v>
      </c>
      <c r="I1420">
        <v>63.9194141389682</v>
      </c>
    </row>
    <row r="1421" spans="1:9" x14ac:dyDescent="0.35">
      <c r="A1421" s="417" t="s">
        <v>846</v>
      </c>
      <c r="B1421" s="417" t="s">
        <v>676</v>
      </c>
      <c r="C1421" s="83">
        <v>46197</v>
      </c>
      <c r="D1421" s="417" t="s">
        <v>678</v>
      </c>
      <c r="E1421">
        <v>1357.3346166666699</v>
      </c>
      <c r="F1421">
        <v>22</v>
      </c>
      <c r="G1421">
        <v>61.697028030303002</v>
      </c>
      <c r="H1421">
        <v>17.001733333333299</v>
      </c>
      <c r="I1421">
        <v>73.246019190765594</v>
      </c>
    </row>
    <row r="1422" spans="1:9" x14ac:dyDescent="0.35">
      <c r="A1422" s="417" t="s">
        <v>846</v>
      </c>
      <c r="B1422" s="417" t="s">
        <v>680</v>
      </c>
      <c r="C1422" s="83">
        <v>46197</v>
      </c>
      <c r="D1422" s="417" t="s">
        <v>681</v>
      </c>
      <c r="E1422">
        <v>1405.87018333333</v>
      </c>
      <c r="F1422">
        <v>51</v>
      </c>
      <c r="G1422">
        <v>27.5660820261438</v>
      </c>
      <c r="H1422">
        <v>4.1663500000000004</v>
      </c>
      <c r="I1422">
        <v>77.054980693984206</v>
      </c>
    </row>
    <row r="1423" spans="1:9" x14ac:dyDescent="0.35">
      <c r="A1423" s="417" t="s">
        <v>846</v>
      </c>
      <c r="B1423" s="417" t="s">
        <v>680</v>
      </c>
      <c r="C1423" s="83">
        <v>46197</v>
      </c>
      <c r="D1423" s="417" t="s">
        <v>689</v>
      </c>
      <c r="E1423">
        <v>1417.00258333333</v>
      </c>
      <c r="F1423">
        <v>31</v>
      </c>
      <c r="G1423">
        <v>45.709760752688197</v>
      </c>
      <c r="H1423">
        <v>0</v>
      </c>
      <c r="I1423">
        <v>98.016946788838496</v>
      </c>
    </row>
    <row r="1424" spans="1:9" x14ac:dyDescent="0.35">
      <c r="A1424" s="417" t="s">
        <v>846</v>
      </c>
      <c r="B1424" s="417" t="s">
        <v>680</v>
      </c>
      <c r="C1424" s="83">
        <v>46197</v>
      </c>
      <c r="D1424" s="417" t="s">
        <v>683</v>
      </c>
      <c r="E1424">
        <v>1300.36051666667</v>
      </c>
      <c r="F1424">
        <v>22</v>
      </c>
      <c r="G1424">
        <v>59.107296212121199</v>
      </c>
      <c r="H1424">
        <v>2.4850833333333302</v>
      </c>
      <c r="I1424">
        <v>63.617981778160299</v>
      </c>
    </row>
    <row r="1425" spans="1:9" x14ac:dyDescent="0.35">
      <c r="A1425" s="417" t="s">
        <v>846</v>
      </c>
      <c r="B1425" s="417" t="s">
        <v>680</v>
      </c>
      <c r="C1425" s="83">
        <v>46197</v>
      </c>
      <c r="D1425" s="417" t="s">
        <v>684</v>
      </c>
      <c r="E1425">
        <v>1407.17088333333</v>
      </c>
      <c r="F1425">
        <v>17</v>
      </c>
      <c r="G1425">
        <v>82.774757843137294</v>
      </c>
      <c r="H1425">
        <v>12.495799999999999</v>
      </c>
      <c r="I1425">
        <v>89.816414578332996</v>
      </c>
    </row>
    <row r="1426" spans="1:9" x14ac:dyDescent="0.35">
      <c r="A1426" s="417" t="s">
        <v>846</v>
      </c>
      <c r="B1426" s="417" t="s">
        <v>680</v>
      </c>
      <c r="C1426" s="83">
        <v>46197</v>
      </c>
      <c r="D1426" s="417" t="s">
        <v>685</v>
      </c>
      <c r="E1426">
        <v>1418.71246666667</v>
      </c>
      <c r="F1426">
        <v>17</v>
      </c>
      <c r="G1426">
        <v>83.453674509803903</v>
      </c>
      <c r="H1426">
        <v>9.8116333333333294</v>
      </c>
      <c r="I1426">
        <v>97.602928770860998</v>
      </c>
    </row>
    <row r="1427" spans="1:9" x14ac:dyDescent="0.35">
      <c r="A1427" s="417" t="s">
        <v>846</v>
      </c>
      <c r="B1427" s="417" t="s">
        <v>680</v>
      </c>
      <c r="C1427" s="83">
        <v>46197</v>
      </c>
      <c r="D1427" s="417" t="s">
        <v>688</v>
      </c>
      <c r="E1427">
        <v>1412.8205499999999</v>
      </c>
      <c r="F1427">
        <v>15</v>
      </c>
      <c r="G1427">
        <v>94.188036666666704</v>
      </c>
      <c r="H1427">
        <v>18.336916666666699</v>
      </c>
      <c r="I1427">
        <v>76.760242578324394</v>
      </c>
    </row>
    <row r="1428" spans="1:9" x14ac:dyDescent="0.35">
      <c r="A1428" s="417" t="s">
        <v>846</v>
      </c>
      <c r="B1428" s="417" t="s">
        <v>680</v>
      </c>
      <c r="C1428" s="83">
        <v>46197</v>
      </c>
      <c r="D1428" s="417" t="s">
        <v>687</v>
      </c>
      <c r="E1428">
        <v>1405.32833333333</v>
      </c>
      <c r="F1428">
        <v>11</v>
      </c>
      <c r="G1428">
        <v>127.75712121212101</v>
      </c>
      <c r="H1428">
        <v>18.343783333333299</v>
      </c>
      <c r="I1428">
        <v>32.7388968287053</v>
      </c>
    </row>
    <row r="1429" spans="1:9" x14ac:dyDescent="0.35">
      <c r="A1429" s="417" t="s">
        <v>846</v>
      </c>
      <c r="B1429" s="417" t="s">
        <v>680</v>
      </c>
      <c r="C1429" s="83">
        <v>46197</v>
      </c>
      <c r="D1429" s="417" t="s">
        <v>682</v>
      </c>
      <c r="E1429">
        <v>1428.50193333333</v>
      </c>
      <c r="F1429">
        <v>9</v>
      </c>
      <c r="G1429">
        <v>158.722437037037</v>
      </c>
      <c r="H1429">
        <v>11.4980666666667</v>
      </c>
      <c r="I1429">
        <v>88.464646464646407</v>
      </c>
    </row>
    <row r="1430" spans="1:9" x14ac:dyDescent="0.35">
      <c r="A1430" s="417" t="s">
        <v>846</v>
      </c>
      <c r="B1430" s="417" t="s">
        <v>680</v>
      </c>
      <c r="C1430" s="83">
        <v>46197</v>
      </c>
      <c r="D1430" s="417" t="s">
        <v>690</v>
      </c>
      <c r="E1430">
        <v>1431.17155</v>
      </c>
      <c r="F1430">
        <v>8</v>
      </c>
      <c r="G1430">
        <v>178.89644375</v>
      </c>
      <c r="H1430">
        <v>2.1667333333333301</v>
      </c>
      <c r="I1430">
        <v>57.883605459686102</v>
      </c>
    </row>
    <row r="1431" spans="1:9" x14ac:dyDescent="0.35">
      <c r="A1431" s="417" t="s">
        <v>846</v>
      </c>
      <c r="B1431" s="417" t="s">
        <v>680</v>
      </c>
      <c r="C1431" s="83">
        <v>46197</v>
      </c>
      <c r="D1431" s="417" t="s">
        <v>686</v>
      </c>
      <c r="E1431">
        <v>1440</v>
      </c>
      <c r="F1431">
        <v>1</v>
      </c>
      <c r="G1431">
        <v>1440</v>
      </c>
      <c r="H1431">
        <v>0</v>
      </c>
      <c r="I1431">
        <v>31.727272727272702</v>
      </c>
    </row>
    <row r="1432" spans="1:9" x14ac:dyDescent="0.35">
      <c r="A1432" s="417" t="s">
        <v>846</v>
      </c>
      <c r="B1432" s="417" t="s">
        <v>691</v>
      </c>
      <c r="C1432" s="83">
        <v>46197</v>
      </c>
      <c r="D1432" s="417" t="s">
        <v>299</v>
      </c>
      <c r="E1432">
        <v>1305.15791666667</v>
      </c>
      <c r="F1432">
        <v>197</v>
      </c>
      <c r="G1432">
        <v>6.6251670896785102</v>
      </c>
      <c r="H1432">
        <v>4.1085500000000001</v>
      </c>
      <c r="I1432">
        <v>66.631450121970104</v>
      </c>
    </row>
    <row r="1433" spans="1:9" x14ac:dyDescent="0.35">
      <c r="A1433" s="417" t="s">
        <v>846</v>
      </c>
      <c r="B1433" s="417" t="s">
        <v>691</v>
      </c>
      <c r="C1433" s="83">
        <v>46197</v>
      </c>
      <c r="D1433" s="417" t="s">
        <v>305</v>
      </c>
      <c r="E1433">
        <v>1293.9875666666701</v>
      </c>
      <c r="F1433">
        <v>192</v>
      </c>
      <c r="G1433">
        <v>6.7395185763888898</v>
      </c>
      <c r="H1433">
        <v>3.1679833333333298</v>
      </c>
      <c r="I1433">
        <v>55.5133798830609</v>
      </c>
    </row>
    <row r="1434" spans="1:9" x14ac:dyDescent="0.35">
      <c r="A1434" s="417" t="s">
        <v>846</v>
      </c>
      <c r="B1434" s="417" t="s">
        <v>691</v>
      </c>
      <c r="C1434" s="83">
        <v>46197</v>
      </c>
      <c r="D1434" s="417" t="s">
        <v>309</v>
      </c>
      <c r="E1434">
        <v>1335.0472500000001</v>
      </c>
      <c r="F1434">
        <v>108</v>
      </c>
      <c r="G1434">
        <v>12.3615486111111</v>
      </c>
      <c r="H1434">
        <v>0.56823333333333303</v>
      </c>
      <c r="I1434">
        <v>62.011871960032998</v>
      </c>
    </row>
    <row r="1435" spans="1:9" x14ac:dyDescent="0.35">
      <c r="A1435" s="417" t="s">
        <v>846</v>
      </c>
      <c r="B1435" s="417" t="s">
        <v>691</v>
      </c>
      <c r="C1435" s="83">
        <v>46197</v>
      </c>
      <c r="D1435" s="417" t="s">
        <v>301</v>
      </c>
      <c r="E1435">
        <v>1356.7040833333299</v>
      </c>
      <c r="F1435">
        <v>108</v>
      </c>
      <c r="G1435">
        <v>12.562074845679</v>
      </c>
      <c r="H1435">
        <v>0.53705000000000003</v>
      </c>
      <c r="I1435">
        <v>63.570495491945998</v>
      </c>
    </row>
    <row r="1436" spans="1:9" x14ac:dyDescent="0.35">
      <c r="A1436" s="417" t="s">
        <v>846</v>
      </c>
      <c r="B1436" s="417" t="s">
        <v>691</v>
      </c>
      <c r="C1436" s="83">
        <v>46197</v>
      </c>
      <c r="D1436" s="417" t="s">
        <v>342</v>
      </c>
      <c r="E1436">
        <v>1222.4347</v>
      </c>
      <c r="F1436">
        <v>97</v>
      </c>
      <c r="G1436">
        <v>12.6024195876289</v>
      </c>
      <c r="H1436">
        <v>173.140533333333</v>
      </c>
      <c r="I1436">
        <v>61.865079365079303</v>
      </c>
    </row>
    <row r="1437" spans="1:9" x14ac:dyDescent="0.35">
      <c r="A1437" s="417" t="s">
        <v>846</v>
      </c>
      <c r="B1437" s="417" t="s">
        <v>691</v>
      </c>
      <c r="C1437" s="83">
        <v>46197</v>
      </c>
      <c r="D1437" s="417" t="s">
        <v>303</v>
      </c>
      <c r="E1437">
        <v>1373.6306999999999</v>
      </c>
      <c r="F1437">
        <v>56</v>
      </c>
      <c r="G1437">
        <v>24.529119642857101</v>
      </c>
      <c r="H1437">
        <v>0.38796666666666701</v>
      </c>
      <c r="I1437">
        <v>52.437724995722803</v>
      </c>
    </row>
    <row r="1438" spans="1:9" x14ac:dyDescent="0.35">
      <c r="A1438" s="417" t="s">
        <v>846</v>
      </c>
      <c r="B1438" s="417" t="s">
        <v>691</v>
      </c>
      <c r="C1438" s="83">
        <v>46197</v>
      </c>
      <c r="D1438" s="417" t="s">
        <v>295</v>
      </c>
      <c r="E1438">
        <v>1382.2065666666699</v>
      </c>
      <c r="F1438">
        <v>29</v>
      </c>
      <c r="G1438">
        <v>47.662295402298902</v>
      </c>
      <c r="H1438">
        <v>9.3183333333333299E-2</v>
      </c>
      <c r="I1438">
        <v>71.673679543363093</v>
      </c>
    </row>
    <row r="1439" spans="1:9" x14ac:dyDescent="0.35">
      <c r="A1439" s="417" t="s">
        <v>846</v>
      </c>
      <c r="B1439" s="417" t="s">
        <v>691</v>
      </c>
      <c r="C1439" s="83">
        <v>46197</v>
      </c>
      <c r="D1439" s="417" t="s">
        <v>313</v>
      </c>
      <c r="E1439">
        <v>1384.25698333333</v>
      </c>
      <c r="F1439">
        <v>23</v>
      </c>
      <c r="G1439">
        <v>60.185086231884</v>
      </c>
      <c r="H1439">
        <v>0</v>
      </c>
      <c r="I1439">
        <v>43.5059058111013</v>
      </c>
    </row>
    <row r="1440" spans="1:9" x14ac:dyDescent="0.35">
      <c r="A1440" s="417" t="s">
        <v>846</v>
      </c>
      <c r="B1440" s="417" t="s">
        <v>691</v>
      </c>
      <c r="C1440" s="83">
        <v>46197</v>
      </c>
      <c r="D1440" s="417" t="s">
        <v>314</v>
      </c>
      <c r="E1440">
        <v>1407.64435</v>
      </c>
      <c r="F1440">
        <v>15</v>
      </c>
      <c r="G1440">
        <v>93.842956666666694</v>
      </c>
      <c r="H1440">
        <v>5.17106666666667</v>
      </c>
      <c r="I1440">
        <v>38.828755509172801</v>
      </c>
    </row>
    <row r="1441" spans="1:9" x14ac:dyDescent="0.35">
      <c r="A1441" s="417" t="s">
        <v>846</v>
      </c>
      <c r="B1441" s="417" t="s">
        <v>691</v>
      </c>
      <c r="C1441" s="83">
        <v>46197</v>
      </c>
      <c r="D1441" s="417" t="s">
        <v>310</v>
      </c>
      <c r="E1441">
        <v>1329.67133333333</v>
      </c>
      <c r="F1441">
        <v>3</v>
      </c>
      <c r="G1441">
        <v>443.22377777777803</v>
      </c>
      <c r="H1441">
        <v>8.4499999999999992E-3</v>
      </c>
      <c r="I1441">
        <v>45.504331338901302</v>
      </c>
    </row>
    <row r="1442" spans="1:9" x14ac:dyDescent="0.35">
      <c r="A1442" s="417" t="s">
        <v>846</v>
      </c>
      <c r="B1442" s="417" t="s">
        <v>691</v>
      </c>
      <c r="C1442" s="83">
        <v>46197</v>
      </c>
      <c r="D1442" s="417" t="s">
        <v>317</v>
      </c>
      <c r="E1442">
        <v>1433.8245666666701</v>
      </c>
      <c r="F1442">
        <v>2</v>
      </c>
      <c r="G1442">
        <v>716.91228333333299</v>
      </c>
      <c r="H1442">
        <v>1.20458333333333</v>
      </c>
      <c r="I1442">
        <v>27.6649432521981</v>
      </c>
    </row>
    <row r="1443" spans="1:9" x14ac:dyDescent="0.35">
      <c r="A1443" s="417" t="s">
        <v>846</v>
      </c>
      <c r="B1443" s="417" t="s">
        <v>691</v>
      </c>
      <c r="C1443" s="83">
        <v>46197</v>
      </c>
      <c r="D1443" s="417" t="s">
        <v>504</v>
      </c>
      <c r="E1443">
        <v>1440</v>
      </c>
      <c r="F1443">
        <v>1</v>
      </c>
      <c r="G1443">
        <v>1440</v>
      </c>
      <c r="H1443">
        <v>0</v>
      </c>
      <c r="I1443">
        <v>34.353549382716103</v>
      </c>
    </row>
    <row r="1444" spans="1:9" x14ac:dyDescent="0.35">
      <c r="A1444" s="417" t="s">
        <v>846</v>
      </c>
      <c r="B1444" s="417" t="s">
        <v>676</v>
      </c>
      <c r="C1444" s="83">
        <v>46196</v>
      </c>
      <c r="D1444" s="417" t="s">
        <v>677</v>
      </c>
      <c r="E1444">
        <v>1275.3042666666699</v>
      </c>
      <c r="F1444">
        <v>297</v>
      </c>
      <c r="G1444">
        <v>4.2939537598204298</v>
      </c>
      <c r="H1444">
        <v>164.69573333333301</v>
      </c>
      <c r="I1444">
        <v>28.7913888888889</v>
      </c>
    </row>
    <row r="1445" spans="1:9" x14ac:dyDescent="0.35">
      <c r="A1445" s="417" t="s">
        <v>846</v>
      </c>
      <c r="B1445" s="417" t="s">
        <v>676</v>
      </c>
      <c r="C1445" s="83">
        <v>46196</v>
      </c>
      <c r="D1445" s="417" t="s">
        <v>679</v>
      </c>
      <c r="E1445">
        <v>1308.8477</v>
      </c>
      <c r="F1445">
        <v>45</v>
      </c>
      <c r="G1445">
        <v>29.0855044444444</v>
      </c>
      <c r="H1445">
        <v>26.3166166666667</v>
      </c>
      <c r="I1445">
        <v>65.459532437501693</v>
      </c>
    </row>
    <row r="1446" spans="1:9" x14ac:dyDescent="0.35">
      <c r="A1446" s="417" t="s">
        <v>846</v>
      </c>
      <c r="B1446" s="417" t="s">
        <v>676</v>
      </c>
      <c r="C1446" s="83">
        <v>46196</v>
      </c>
      <c r="D1446" s="417" t="s">
        <v>678</v>
      </c>
      <c r="E1446">
        <v>1315.3251499999999</v>
      </c>
      <c r="F1446">
        <v>32</v>
      </c>
      <c r="G1446">
        <v>41.103910937499997</v>
      </c>
      <c r="H1446">
        <v>26.169433333333298</v>
      </c>
      <c r="I1446">
        <v>74.318103533154996</v>
      </c>
    </row>
    <row r="1447" spans="1:9" x14ac:dyDescent="0.35">
      <c r="A1447" s="417" t="s">
        <v>846</v>
      </c>
      <c r="B1447" s="417" t="s">
        <v>680</v>
      </c>
      <c r="C1447" s="83">
        <v>46196</v>
      </c>
      <c r="D1447" s="417" t="s">
        <v>681</v>
      </c>
      <c r="E1447">
        <v>1383.6668500000001</v>
      </c>
      <c r="F1447">
        <v>60</v>
      </c>
      <c r="G1447">
        <v>23.061114166666702</v>
      </c>
      <c r="H1447">
        <v>3.9975666666666698</v>
      </c>
      <c r="I1447">
        <v>69.972800451164304</v>
      </c>
    </row>
    <row r="1448" spans="1:9" x14ac:dyDescent="0.35">
      <c r="A1448" s="417" t="s">
        <v>846</v>
      </c>
      <c r="B1448" s="417" t="s">
        <v>680</v>
      </c>
      <c r="C1448" s="83">
        <v>46196</v>
      </c>
      <c r="D1448" s="417" t="s">
        <v>689</v>
      </c>
      <c r="E1448">
        <v>1381.64341666667</v>
      </c>
      <c r="F1448">
        <v>38</v>
      </c>
      <c r="G1448">
        <v>36.359037280701699</v>
      </c>
      <c r="H1448">
        <v>4.5012833333333298</v>
      </c>
      <c r="I1448">
        <v>88.745200172388607</v>
      </c>
    </row>
    <row r="1449" spans="1:9" x14ac:dyDescent="0.35">
      <c r="A1449" s="417" t="s">
        <v>846</v>
      </c>
      <c r="B1449" s="417" t="s">
        <v>680</v>
      </c>
      <c r="C1449" s="83">
        <v>46196</v>
      </c>
      <c r="D1449" s="417" t="s">
        <v>684</v>
      </c>
      <c r="E1449">
        <v>1424.5002999999999</v>
      </c>
      <c r="F1449">
        <v>21</v>
      </c>
      <c r="G1449">
        <v>67.833347619047601</v>
      </c>
      <c r="H1449">
        <v>9.2979166666666693</v>
      </c>
      <c r="I1449">
        <v>88.053941520648806</v>
      </c>
    </row>
    <row r="1450" spans="1:9" x14ac:dyDescent="0.35">
      <c r="A1450" s="417" t="s">
        <v>846</v>
      </c>
      <c r="B1450" s="417" t="s">
        <v>680</v>
      </c>
      <c r="C1450" s="83">
        <v>46196</v>
      </c>
      <c r="D1450" s="417" t="s">
        <v>683</v>
      </c>
      <c r="E1450">
        <v>1392.6344833333301</v>
      </c>
      <c r="F1450">
        <v>19</v>
      </c>
      <c r="G1450">
        <v>73.296551754386002</v>
      </c>
      <c r="H1450">
        <v>1.33375</v>
      </c>
      <c r="I1450">
        <v>63.2006800961274</v>
      </c>
    </row>
    <row r="1451" spans="1:9" x14ac:dyDescent="0.35">
      <c r="A1451" s="417" t="s">
        <v>846</v>
      </c>
      <c r="B1451" s="417" t="s">
        <v>680</v>
      </c>
      <c r="C1451" s="83">
        <v>46196</v>
      </c>
      <c r="D1451" s="417" t="s">
        <v>682</v>
      </c>
      <c r="E1451">
        <v>1428.1564166666701</v>
      </c>
      <c r="F1451">
        <v>12</v>
      </c>
      <c r="G1451">
        <v>119.013034722222</v>
      </c>
      <c r="H1451">
        <v>11.843583333333299</v>
      </c>
      <c r="I1451">
        <v>87.616161616161605</v>
      </c>
    </row>
    <row r="1452" spans="1:9" x14ac:dyDescent="0.35">
      <c r="A1452" s="417" t="s">
        <v>846</v>
      </c>
      <c r="B1452" s="417" t="s">
        <v>680</v>
      </c>
      <c r="C1452" s="83">
        <v>46196</v>
      </c>
      <c r="D1452" s="417" t="s">
        <v>688</v>
      </c>
      <c r="E1452">
        <v>1424.3194333333299</v>
      </c>
      <c r="F1452">
        <v>10</v>
      </c>
      <c r="G1452">
        <v>142.43194333333301</v>
      </c>
      <c r="H1452">
        <v>4.8331499999999998</v>
      </c>
      <c r="I1452">
        <v>69.681675025650406</v>
      </c>
    </row>
    <row r="1453" spans="1:9" x14ac:dyDescent="0.35">
      <c r="A1453" s="417" t="s">
        <v>846</v>
      </c>
      <c r="B1453" s="417" t="s">
        <v>680</v>
      </c>
      <c r="C1453" s="83">
        <v>46196</v>
      </c>
      <c r="D1453" s="417" t="s">
        <v>685</v>
      </c>
      <c r="E1453">
        <v>1414.1548499999999</v>
      </c>
      <c r="F1453">
        <v>8</v>
      </c>
      <c r="G1453">
        <v>176.76935624999999</v>
      </c>
      <c r="H1453">
        <v>7.3343666666666696</v>
      </c>
      <c r="I1453">
        <v>88.909398474768807</v>
      </c>
    </row>
    <row r="1454" spans="1:9" x14ac:dyDescent="0.35">
      <c r="A1454" s="417" t="s">
        <v>846</v>
      </c>
      <c r="B1454" s="417" t="s">
        <v>680</v>
      </c>
      <c r="C1454" s="83">
        <v>46196</v>
      </c>
      <c r="D1454" s="417" t="s">
        <v>687</v>
      </c>
      <c r="E1454">
        <v>1427.15998333333</v>
      </c>
      <c r="F1454">
        <v>6</v>
      </c>
      <c r="G1454">
        <v>237.85999722222201</v>
      </c>
      <c r="H1454">
        <v>4.17075</v>
      </c>
      <c r="I1454">
        <v>31.3283797259385</v>
      </c>
    </row>
    <row r="1455" spans="1:9" x14ac:dyDescent="0.35">
      <c r="A1455" s="417" t="s">
        <v>846</v>
      </c>
      <c r="B1455" s="417" t="s">
        <v>680</v>
      </c>
      <c r="C1455" s="83">
        <v>46196</v>
      </c>
      <c r="D1455" s="417" t="s">
        <v>690</v>
      </c>
      <c r="E1455">
        <v>1415.8292166666699</v>
      </c>
      <c r="F1455">
        <v>5</v>
      </c>
      <c r="G1455">
        <v>283.16584333333299</v>
      </c>
      <c r="H1455">
        <v>0.83158333333333301</v>
      </c>
      <c r="I1455">
        <v>60.737172989721003</v>
      </c>
    </row>
    <row r="1456" spans="1:9" x14ac:dyDescent="0.35">
      <c r="A1456" s="417" t="s">
        <v>846</v>
      </c>
      <c r="B1456" s="417" t="s">
        <v>680</v>
      </c>
      <c r="C1456" s="83">
        <v>46196</v>
      </c>
      <c r="D1456" s="417" t="s">
        <v>686</v>
      </c>
      <c r="E1456">
        <v>1440</v>
      </c>
      <c r="F1456">
        <v>1</v>
      </c>
      <c r="G1456">
        <v>1440</v>
      </c>
      <c r="H1456">
        <v>0</v>
      </c>
      <c r="I1456">
        <v>58.843434343434303</v>
      </c>
    </row>
    <row r="1457" spans="1:9" x14ac:dyDescent="0.35">
      <c r="A1457" s="417" t="s">
        <v>846</v>
      </c>
      <c r="B1457" s="417" t="s">
        <v>691</v>
      </c>
      <c r="C1457" s="83">
        <v>46196</v>
      </c>
      <c r="D1457" s="417" t="s">
        <v>299</v>
      </c>
      <c r="E1457">
        <v>1244.2100666666699</v>
      </c>
      <c r="F1457">
        <v>206</v>
      </c>
      <c r="G1457">
        <v>6.0398546925566299</v>
      </c>
      <c r="H1457">
        <v>0.74711666666666698</v>
      </c>
      <c r="I1457">
        <v>50.878243049380799</v>
      </c>
    </row>
    <row r="1458" spans="1:9" x14ac:dyDescent="0.35">
      <c r="A1458" s="417" t="s">
        <v>846</v>
      </c>
      <c r="B1458" s="417" t="s">
        <v>691</v>
      </c>
      <c r="C1458" s="83">
        <v>46196</v>
      </c>
      <c r="D1458" s="417" t="s">
        <v>305</v>
      </c>
      <c r="E1458">
        <v>1264.626</v>
      </c>
      <c r="F1458">
        <v>189</v>
      </c>
      <c r="G1458">
        <v>6.6911428571428599</v>
      </c>
      <c r="H1458">
        <v>7.8343499999999997</v>
      </c>
      <c r="I1458">
        <v>53.106844830829601</v>
      </c>
    </row>
    <row r="1459" spans="1:9" x14ac:dyDescent="0.35">
      <c r="A1459" s="417" t="s">
        <v>846</v>
      </c>
      <c r="B1459" s="417" t="s">
        <v>691</v>
      </c>
      <c r="C1459" s="83">
        <v>46196</v>
      </c>
      <c r="D1459" s="417" t="s">
        <v>301</v>
      </c>
      <c r="E1459">
        <v>1325.14816666667</v>
      </c>
      <c r="F1459">
        <v>94</v>
      </c>
      <c r="G1459">
        <v>14.0973209219858</v>
      </c>
      <c r="H1459">
        <v>3.43211666666667</v>
      </c>
      <c r="I1459">
        <v>46.961342561055702</v>
      </c>
    </row>
    <row r="1460" spans="1:9" x14ac:dyDescent="0.35">
      <c r="A1460" s="417" t="s">
        <v>846</v>
      </c>
      <c r="B1460" s="417" t="s">
        <v>691</v>
      </c>
      <c r="C1460" s="83">
        <v>46196</v>
      </c>
      <c r="D1460" s="417" t="s">
        <v>309</v>
      </c>
      <c r="E1460">
        <v>1343.91436666667</v>
      </c>
      <c r="F1460">
        <v>88</v>
      </c>
      <c r="G1460">
        <v>15.2717541666667</v>
      </c>
      <c r="H1460">
        <v>0</v>
      </c>
      <c r="I1460">
        <v>62.884304528411199</v>
      </c>
    </row>
    <row r="1461" spans="1:9" x14ac:dyDescent="0.35">
      <c r="A1461" s="417" t="s">
        <v>846</v>
      </c>
      <c r="B1461" s="417" t="s">
        <v>691</v>
      </c>
      <c r="C1461" s="83">
        <v>46196</v>
      </c>
      <c r="D1461" s="417" t="s">
        <v>303</v>
      </c>
      <c r="E1461">
        <v>1366.91368333333</v>
      </c>
      <c r="F1461">
        <v>58</v>
      </c>
      <c r="G1461">
        <v>23.567477298850601</v>
      </c>
      <c r="H1461">
        <v>0.34710000000000002</v>
      </c>
      <c r="I1461">
        <v>51.7207002012575</v>
      </c>
    </row>
    <row r="1462" spans="1:9" x14ac:dyDescent="0.35">
      <c r="A1462" s="417" t="s">
        <v>846</v>
      </c>
      <c r="B1462" s="417" t="s">
        <v>691</v>
      </c>
      <c r="C1462" s="83">
        <v>46196</v>
      </c>
      <c r="D1462" s="417" t="s">
        <v>342</v>
      </c>
      <c r="E1462">
        <v>1380.52786666667</v>
      </c>
      <c r="F1462">
        <v>37</v>
      </c>
      <c r="G1462">
        <v>37.311563963963998</v>
      </c>
      <c r="H1462">
        <v>59.472133333333304</v>
      </c>
      <c r="I1462">
        <v>69.642857142857196</v>
      </c>
    </row>
    <row r="1463" spans="1:9" x14ac:dyDescent="0.35">
      <c r="A1463" s="417" t="s">
        <v>846</v>
      </c>
      <c r="B1463" s="417" t="s">
        <v>691</v>
      </c>
      <c r="C1463" s="83">
        <v>46196</v>
      </c>
      <c r="D1463" s="417" t="s">
        <v>295</v>
      </c>
      <c r="E1463">
        <v>1294.2975833333301</v>
      </c>
      <c r="F1463">
        <v>29</v>
      </c>
      <c r="G1463">
        <v>44.6309511494253</v>
      </c>
      <c r="H1463">
        <v>6.2352833333333297</v>
      </c>
      <c r="I1463">
        <v>60.156740664831403</v>
      </c>
    </row>
    <row r="1464" spans="1:9" x14ac:dyDescent="0.35">
      <c r="A1464" s="417" t="s">
        <v>846</v>
      </c>
      <c r="B1464" s="417" t="s">
        <v>691</v>
      </c>
      <c r="C1464" s="83">
        <v>46196</v>
      </c>
      <c r="D1464" s="417" t="s">
        <v>314</v>
      </c>
      <c r="E1464">
        <v>1312.4434000000001</v>
      </c>
      <c r="F1464">
        <v>26</v>
      </c>
      <c r="G1464">
        <v>50.478592307692303</v>
      </c>
      <c r="H1464">
        <v>0.99956666666666705</v>
      </c>
      <c r="I1464">
        <v>36.735359336717799</v>
      </c>
    </row>
    <row r="1465" spans="1:9" x14ac:dyDescent="0.35">
      <c r="A1465" s="417" t="s">
        <v>846</v>
      </c>
      <c r="B1465" s="417" t="s">
        <v>691</v>
      </c>
      <c r="C1465" s="83">
        <v>46196</v>
      </c>
      <c r="D1465" s="417" t="s">
        <v>310</v>
      </c>
      <c r="E1465">
        <v>1356.24888333333</v>
      </c>
      <c r="F1465">
        <v>12</v>
      </c>
      <c r="G1465">
        <v>113.020740277778</v>
      </c>
      <c r="H1465">
        <v>1.5145666666666699</v>
      </c>
      <c r="I1465">
        <v>48.305556066426</v>
      </c>
    </row>
    <row r="1466" spans="1:9" x14ac:dyDescent="0.35">
      <c r="A1466" s="417" t="s">
        <v>846</v>
      </c>
      <c r="B1466" s="417" t="s">
        <v>691</v>
      </c>
      <c r="C1466" s="83">
        <v>46196</v>
      </c>
      <c r="D1466" s="417" t="s">
        <v>313</v>
      </c>
      <c r="E1466">
        <v>1393.0501999999999</v>
      </c>
      <c r="F1466">
        <v>7</v>
      </c>
      <c r="G1466">
        <v>199.00717142857101</v>
      </c>
      <c r="H1466">
        <v>0</v>
      </c>
      <c r="I1466">
        <v>45.072729981869301</v>
      </c>
    </row>
    <row r="1467" spans="1:9" x14ac:dyDescent="0.35">
      <c r="A1467" s="417" t="s">
        <v>846</v>
      </c>
      <c r="B1467" s="417" t="s">
        <v>691</v>
      </c>
      <c r="C1467" s="83">
        <v>46196</v>
      </c>
      <c r="D1467" s="417" t="s">
        <v>317</v>
      </c>
      <c r="E1467">
        <v>1433.6445333333299</v>
      </c>
      <c r="F1467">
        <v>2</v>
      </c>
      <c r="G1467">
        <v>716.822266666666</v>
      </c>
      <c r="H1467">
        <v>5.9019000000000004</v>
      </c>
      <c r="I1467">
        <v>33.757160501920097</v>
      </c>
    </row>
    <row r="1468" spans="1:9" x14ac:dyDescent="0.35">
      <c r="A1468" s="417" t="s">
        <v>846</v>
      </c>
      <c r="B1468" s="417" t="s">
        <v>691</v>
      </c>
      <c r="C1468" s="83">
        <v>46196</v>
      </c>
      <c r="D1468" s="417" t="s">
        <v>504</v>
      </c>
      <c r="E1468">
        <v>1440</v>
      </c>
      <c r="F1468">
        <v>1</v>
      </c>
      <c r="G1468">
        <v>1440</v>
      </c>
      <c r="H1468">
        <v>0</v>
      </c>
      <c r="I1468">
        <v>31.761111111111099</v>
      </c>
    </row>
    <row r="1469" spans="1:9" x14ac:dyDescent="0.35">
      <c r="A1469" s="417" t="s">
        <v>846</v>
      </c>
      <c r="B1469" s="417" t="s">
        <v>676</v>
      </c>
      <c r="C1469" s="83">
        <v>46195</v>
      </c>
      <c r="D1469" s="417" t="s">
        <v>677</v>
      </c>
      <c r="E1469">
        <v>1230.15085</v>
      </c>
      <c r="F1469">
        <v>303</v>
      </c>
      <c r="G1469">
        <v>4.0599037953795403</v>
      </c>
      <c r="H1469">
        <v>194.3484</v>
      </c>
      <c r="I1469">
        <v>26.227499999999999</v>
      </c>
    </row>
    <row r="1470" spans="1:9" x14ac:dyDescent="0.35">
      <c r="A1470" s="417" t="s">
        <v>846</v>
      </c>
      <c r="B1470" s="417" t="s">
        <v>676</v>
      </c>
      <c r="C1470" s="83">
        <v>46195</v>
      </c>
      <c r="D1470" s="417" t="s">
        <v>678</v>
      </c>
      <c r="E1470">
        <v>1293.3436999999999</v>
      </c>
      <c r="F1470">
        <v>39</v>
      </c>
      <c r="G1470">
        <v>33.162658974358997</v>
      </c>
      <c r="H1470">
        <v>34.681649999999998</v>
      </c>
      <c r="I1470">
        <v>63.133333009544302</v>
      </c>
    </row>
    <row r="1471" spans="1:9" x14ac:dyDescent="0.35">
      <c r="A1471" s="417" t="s">
        <v>846</v>
      </c>
      <c r="B1471" s="417" t="s">
        <v>676</v>
      </c>
      <c r="C1471" s="83">
        <v>46195</v>
      </c>
      <c r="D1471" s="417" t="s">
        <v>679</v>
      </c>
      <c r="E1471">
        <v>1216.1358166666701</v>
      </c>
      <c r="F1471">
        <v>27</v>
      </c>
      <c r="G1471">
        <v>45.042067283950601</v>
      </c>
      <c r="H1471">
        <v>37.6812166666667</v>
      </c>
      <c r="I1471">
        <v>51.658786684745202</v>
      </c>
    </row>
    <row r="1472" spans="1:9" x14ac:dyDescent="0.35">
      <c r="A1472" s="417" t="s">
        <v>846</v>
      </c>
      <c r="B1472" s="417" t="s">
        <v>680</v>
      </c>
      <c r="C1472" s="83">
        <v>46195</v>
      </c>
      <c r="D1472" s="417" t="s">
        <v>681</v>
      </c>
      <c r="E1472">
        <v>1385.3920499999999</v>
      </c>
      <c r="F1472">
        <v>78</v>
      </c>
      <c r="G1472">
        <v>17.761436538461499</v>
      </c>
      <c r="H1472">
        <v>3.6696833333333299</v>
      </c>
      <c r="I1472">
        <v>74.750161167435294</v>
      </c>
    </row>
    <row r="1473" spans="1:9" x14ac:dyDescent="0.35">
      <c r="A1473" s="417" t="s">
        <v>846</v>
      </c>
      <c r="B1473" s="417" t="s">
        <v>680</v>
      </c>
      <c r="C1473" s="83">
        <v>46195</v>
      </c>
      <c r="D1473" s="417" t="s">
        <v>689</v>
      </c>
      <c r="E1473">
        <v>1414.7940333333299</v>
      </c>
      <c r="F1473">
        <v>39</v>
      </c>
      <c r="G1473">
        <v>36.276770085470098</v>
      </c>
      <c r="H1473">
        <v>1.67458333333333</v>
      </c>
      <c r="I1473">
        <v>90.061065632070395</v>
      </c>
    </row>
    <row r="1474" spans="1:9" x14ac:dyDescent="0.35">
      <c r="A1474" s="417" t="s">
        <v>846</v>
      </c>
      <c r="B1474" s="417" t="s">
        <v>680</v>
      </c>
      <c r="C1474" s="83">
        <v>46195</v>
      </c>
      <c r="D1474" s="417" t="s">
        <v>684</v>
      </c>
      <c r="E1474">
        <v>1398.9855666666699</v>
      </c>
      <c r="F1474">
        <v>30</v>
      </c>
      <c r="G1474">
        <v>46.632852222222198</v>
      </c>
      <c r="H1474">
        <v>30.1702166666667</v>
      </c>
      <c r="I1474">
        <v>75.061604911495706</v>
      </c>
    </row>
    <row r="1475" spans="1:9" x14ac:dyDescent="0.35">
      <c r="A1475" s="417" t="s">
        <v>846</v>
      </c>
      <c r="B1475" s="417" t="s">
        <v>680</v>
      </c>
      <c r="C1475" s="83">
        <v>46195</v>
      </c>
      <c r="D1475" s="417" t="s">
        <v>687</v>
      </c>
      <c r="E1475">
        <v>1393.1430166666701</v>
      </c>
      <c r="F1475">
        <v>27</v>
      </c>
      <c r="G1475">
        <v>51.597889506172898</v>
      </c>
      <c r="H1475">
        <v>26.009433333333298</v>
      </c>
      <c r="I1475">
        <v>25.3541855531127</v>
      </c>
    </row>
    <row r="1476" spans="1:9" x14ac:dyDescent="0.35">
      <c r="A1476" s="417" t="s">
        <v>846</v>
      </c>
      <c r="B1476" s="417" t="s">
        <v>680</v>
      </c>
      <c r="C1476" s="83">
        <v>46195</v>
      </c>
      <c r="D1476" s="417" t="s">
        <v>683</v>
      </c>
      <c r="E1476">
        <v>1354.2999</v>
      </c>
      <c r="F1476">
        <v>22</v>
      </c>
      <c r="G1476">
        <v>61.559086363636403</v>
      </c>
      <c r="H1476">
        <v>0</v>
      </c>
      <c r="I1476">
        <v>69.114436617945898</v>
      </c>
    </row>
    <row r="1477" spans="1:9" x14ac:dyDescent="0.35">
      <c r="A1477" s="417" t="s">
        <v>846</v>
      </c>
      <c r="B1477" s="417" t="s">
        <v>680</v>
      </c>
      <c r="C1477" s="83">
        <v>46195</v>
      </c>
      <c r="D1477" s="417" t="s">
        <v>682</v>
      </c>
      <c r="E1477">
        <v>1428.8307833333299</v>
      </c>
      <c r="F1477">
        <v>15</v>
      </c>
      <c r="G1477">
        <v>95.255385555555506</v>
      </c>
      <c r="H1477">
        <v>11.169216666666699</v>
      </c>
      <c r="I1477">
        <v>74.595959595959599</v>
      </c>
    </row>
    <row r="1478" spans="1:9" x14ac:dyDescent="0.35">
      <c r="A1478" s="417" t="s">
        <v>846</v>
      </c>
      <c r="B1478" s="417" t="s">
        <v>680</v>
      </c>
      <c r="C1478" s="83">
        <v>46195</v>
      </c>
      <c r="D1478" s="417" t="s">
        <v>685</v>
      </c>
      <c r="E1478">
        <v>1429.5156833333299</v>
      </c>
      <c r="F1478">
        <v>11</v>
      </c>
      <c r="G1478">
        <v>129.955971212121</v>
      </c>
      <c r="H1478">
        <v>4.0024333333333297</v>
      </c>
      <c r="I1478">
        <v>89.473171304947201</v>
      </c>
    </row>
    <row r="1479" spans="1:9" x14ac:dyDescent="0.35">
      <c r="A1479" s="417" t="s">
        <v>846</v>
      </c>
      <c r="B1479" s="417" t="s">
        <v>680</v>
      </c>
      <c r="C1479" s="83">
        <v>46195</v>
      </c>
      <c r="D1479" s="417" t="s">
        <v>690</v>
      </c>
      <c r="E1479">
        <v>1368.3009500000001</v>
      </c>
      <c r="F1479">
        <v>11</v>
      </c>
      <c r="G1479">
        <v>124.39099545454501</v>
      </c>
      <c r="H1479">
        <v>4.5023499999999999</v>
      </c>
      <c r="I1479">
        <v>48.832145637483897</v>
      </c>
    </row>
    <row r="1480" spans="1:9" x14ac:dyDescent="0.35">
      <c r="A1480" s="417" t="s">
        <v>846</v>
      </c>
      <c r="B1480" s="417" t="s">
        <v>680</v>
      </c>
      <c r="C1480" s="83">
        <v>46195</v>
      </c>
      <c r="D1480" s="417" t="s">
        <v>688</v>
      </c>
      <c r="E1480">
        <v>1436.99235</v>
      </c>
      <c r="F1480">
        <v>4</v>
      </c>
      <c r="G1480">
        <v>359.2480875</v>
      </c>
      <c r="H1480">
        <v>0.66515000000000002</v>
      </c>
      <c r="I1480">
        <v>73.617533743986996</v>
      </c>
    </row>
    <row r="1481" spans="1:9" x14ac:dyDescent="0.35">
      <c r="A1481" s="417" t="s">
        <v>846</v>
      </c>
      <c r="B1481" s="417" t="s">
        <v>680</v>
      </c>
      <c r="C1481" s="83">
        <v>46195</v>
      </c>
      <c r="D1481" s="417" t="s">
        <v>686</v>
      </c>
      <c r="E1481">
        <v>1440</v>
      </c>
      <c r="F1481">
        <v>1</v>
      </c>
      <c r="G1481">
        <v>1440</v>
      </c>
      <c r="H1481">
        <v>0</v>
      </c>
      <c r="I1481">
        <v>64.676767676767696</v>
      </c>
    </row>
    <row r="1482" spans="1:9" x14ac:dyDescent="0.35">
      <c r="A1482" s="417" t="s">
        <v>846</v>
      </c>
      <c r="B1482" s="417" t="s">
        <v>691</v>
      </c>
      <c r="C1482" s="83">
        <v>46195</v>
      </c>
      <c r="D1482" s="417" t="s">
        <v>299</v>
      </c>
      <c r="E1482">
        <v>1325.1077666666699</v>
      </c>
      <c r="F1482">
        <v>184</v>
      </c>
      <c r="G1482">
        <v>7.2016726449275401</v>
      </c>
      <c r="H1482">
        <v>0.948616666666667</v>
      </c>
      <c r="I1482">
        <v>65.672503850630306</v>
      </c>
    </row>
    <row r="1483" spans="1:9" x14ac:dyDescent="0.35">
      <c r="A1483" s="417" t="s">
        <v>846</v>
      </c>
      <c r="B1483" s="417" t="s">
        <v>691</v>
      </c>
      <c r="C1483" s="83">
        <v>46195</v>
      </c>
      <c r="D1483" s="417" t="s">
        <v>305</v>
      </c>
      <c r="E1483">
        <v>1277.8749499999999</v>
      </c>
      <c r="F1483">
        <v>167</v>
      </c>
      <c r="G1483">
        <v>7.6519458083832301</v>
      </c>
      <c r="H1483">
        <v>1.17021666666667</v>
      </c>
      <c r="I1483">
        <v>48.682901813324101</v>
      </c>
    </row>
    <row r="1484" spans="1:9" x14ac:dyDescent="0.35">
      <c r="A1484" s="417" t="s">
        <v>846</v>
      </c>
      <c r="B1484" s="417" t="s">
        <v>691</v>
      </c>
      <c r="C1484" s="83">
        <v>46195</v>
      </c>
      <c r="D1484" s="417" t="s">
        <v>309</v>
      </c>
      <c r="E1484">
        <v>1211.1229166666701</v>
      </c>
      <c r="F1484">
        <v>100</v>
      </c>
      <c r="G1484">
        <v>12.1112291666667</v>
      </c>
      <c r="H1484">
        <v>3.38833333333333E-2</v>
      </c>
      <c r="I1484">
        <v>52.488704934115901</v>
      </c>
    </row>
    <row r="1485" spans="1:9" x14ac:dyDescent="0.35">
      <c r="A1485" s="417" t="s">
        <v>846</v>
      </c>
      <c r="B1485" s="417" t="s">
        <v>691</v>
      </c>
      <c r="C1485" s="83">
        <v>46195</v>
      </c>
      <c r="D1485" s="417" t="s">
        <v>301</v>
      </c>
      <c r="E1485">
        <v>1371.2100333333301</v>
      </c>
      <c r="F1485">
        <v>93</v>
      </c>
      <c r="G1485">
        <v>14.744193906810001</v>
      </c>
      <c r="H1485">
        <v>0.46045000000000003</v>
      </c>
      <c r="I1485">
        <v>63.025636225492597</v>
      </c>
    </row>
    <row r="1486" spans="1:9" x14ac:dyDescent="0.35">
      <c r="A1486" s="417" t="s">
        <v>846</v>
      </c>
      <c r="B1486" s="417" t="s">
        <v>691</v>
      </c>
      <c r="C1486" s="83">
        <v>46195</v>
      </c>
      <c r="D1486" s="417" t="s">
        <v>342</v>
      </c>
      <c r="E1486">
        <v>1027.3235666666701</v>
      </c>
      <c r="F1486">
        <v>85</v>
      </c>
      <c r="G1486">
        <v>12.086159607843101</v>
      </c>
      <c r="H1486">
        <v>179.20355000000001</v>
      </c>
      <c r="I1486">
        <v>38.521825396825399</v>
      </c>
    </row>
    <row r="1487" spans="1:9" x14ac:dyDescent="0.35">
      <c r="A1487" s="417" t="s">
        <v>846</v>
      </c>
      <c r="B1487" s="417" t="s">
        <v>691</v>
      </c>
      <c r="C1487" s="83">
        <v>46195</v>
      </c>
      <c r="D1487" s="417" t="s">
        <v>303</v>
      </c>
      <c r="E1487">
        <v>1370.24731666667</v>
      </c>
      <c r="F1487">
        <v>73</v>
      </c>
      <c r="G1487">
        <v>18.770511187214598</v>
      </c>
      <c r="H1487">
        <v>0.52313333333333301</v>
      </c>
      <c r="I1487">
        <v>62.427777900409701</v>
      </c>
    </row>
    <row r="1488" spans="1:9" x14ac:dyDescent="0.35">
      <c r="A1488" s="417" t="s">
        <v>846</v>
      </c>
      <c r="B1488" s="417" t="s">
        <v>691</v>
      </c>
      <c r="C1488" s="83">
        <v>46195</v>
      </c>
      <c r="D1488" s="417" t="s">
        <v>295</v>
      </c>
      <c r="E1488">
        <v>1366.4024666666701</v>
      </c>
      <c r="F1488">
        <v>27</v>
      </c>
      <c r="G1488">
        <v>50.607498765432098</v>
      </c>
      <c r="H1488">
        <v>9.2716666666666697E-2</v>
      </c>
      <c r="I1488">
        <v>73.908511700284805</v>
      </c>
    </row>
    <row r="1489" spans="1:9" x14ac:dyDescent="0.35">
      <c r="A1489" s="417" t="s">
        <v>846</v>
      </c>
      <c r="B1489" s="417" t="s">
        <v>691</v>
      </c>
      <c r="C1489" s="83">
        <v>46195</v>
      </c>
      <c r="D1489" s="417" t="s">
        <v>310</v>
      </c>
      <c r="E1489">
        <v>1384.35925</v>
      </c>
      <c r="F1489">
        <v>14</v>
      </c>
      <c r="G1489">
        <v>98.882803571428596</v>
      </c>
      <c r="H1489">
        <v>0</v>
      </c>
      <c r="I1489">
        <v>77.521163251234</v>
      </c>
    </row>
    <row r="1490" spans="1:9" x14ac:dyDescent="0.35">
      <c r="A1490" s="417" t="s">
        <v>846</v>
      </c>
      <c r="B1490" s="417" t="s">
        <v>691</v>
      </c>
      <c r="C1490" s="83">
        <v>46195</v>
      </c>
      <c r="D1490" s="417" t="s">
        <v>314</v>
      </c>
      <c r="E1490">
        <v>1325.94613333333</v>
      </c>
      <c r="F1490">
        <v>12</v>
      </c>
      <c r="G1490">
        <v>110.495511111111</v>
      </c>
      <c r="H1490">
        <v>0.207416666666667</v>
      </c>
      <c r="I1490">
        <v>62.767391131540997</v>
      </c>
    </row>
    <row r="1491" spans="1:9" x14ac:dyDescent="0.35">
      <c r="A1491" s="417" t="s">
        <v>846</v>
      </c>
      <c r="B1491" s="417" t="s">
        <v>691</v>
      </c>
      <c r="C1491" s="83">
        <v>46195</v>
      </c>
      <c r="D1491" s="417" t="s">
        <v>313</v>
      </c>
      <c r="E1491">
        <v>1346.9880499999999</v>
      </c>
      <c r="F1491">
        <v>9</v>
      </c>
      <c r="G1491">
        <v>149.66533888888901</v>
      </c>
      <c r="H1491">
        <v>2.6854833333333299</v>
      </c>
      <c r="I1491">
        <v>67.545511848923198</v>
      </c>
    </row>
    <row r="1492" spans="1:9" x14ac:dyDescent="0.35">
      <c r="A1492" s="417" t="s">
        <v>846</v>
      </c>
      <c r="B1492" s="417" t="s">
        <v>691</v>
      </c>
      <c r="C1492" s="83">
        <v>46195</v>
      </c>
      <c r="D1492" s="417" t="s">
        <v>317</v>
      </c>
      <c r="E1492">
        <v>1439.2998</v>
      </c>
      <c r="F1492">
        <v>2</v>
      </c>
      <c r="G1492">
        <v>719.6499</v>
      </c>
      <c r="H1492">
        <v>0.11795</v>
      </c>
      <c r="I1492">
        <v>60.531419735514604</v>
      </c>
    </row>
    <row r="1493" spans="1:9" x14ac:dyDescent="0.35">
      <c r="A1493" s="417" t="s">
        <v>846</v>
      </c>
      <c r="B1493" s="417" t="s">
        <v>691</v>
      </c>
      <c r="C1493" s="83">
        <v>46195</v>
      </c>
      <c r="D1493" s="417" t="s">
        <v>504</v>
      </c>
      <c r="E1493">
        <v>1440</v>
      </c>
      <c r="F1493">
        <v>1</v>
      </c>
      <c r="G1493">
        <v>1440</v>
      </c>
      <c r="H1493">
        <v>0</v>
      </c>
      <c r="I1493">
        <v>39.389043209876498</v>
      </c>
    </row>
    <row r="1494" spans="1:9" x14ac:dyDescent="0.35">
      <c r="A1494" s="417" t="s">
        <v>846</v>
      </c>
      <c r="B1494" s="417" t="s">
        <v>676</v>
      </c>
      <c r="C1494" s="83">
        <v>46194</v>
      </c>
      <c r="D1494" s="417" t="s">
        <v>677</v>
      </c>
      <c r="E1494">
        <v>596.66641666666703</v>
      </c>
      <c r="F1494">
        <v>148</v>
      </c>
      <c r="G1494">
        <v>4.0315298423423398</v>
      </c>
      <c r="H1494">
        <v>139.840683333333</v>
      </c>
      <c r="I1494">
        <v>8.7370833333333202</v>
      </c>
    </row>
    <row r="1495" spans="1:9" x14ac:dyDescent="0.35">
      <c r="A1495" s="417" t="s">
        <v>846</v>
      </c>
      <c r="B1495" s="417" t="s">
        <v>676</v>
      </c>
      <c r="C1495" s="83">
        <v>46194</v>
      </c>
      <c r="D1495" s="417" t="s">
        <v>678</v>
      </c>
      <c r="E1495">
        <v>653.79264999999998</v>
      </c>
      <c r="F1495">
        <v>46</v>
      </c>
      <c r="G1495">
        <v>14.2128836956522</v>
      </c>
      <c r="H1495">
        <v>72.178766666666704</v>
      </c>
      <c r="I1495">
        <v>28.761634755435502</v>
      </c>
    </row>
    <row r="1496" spans="1:9" x14ac:dyDescent="0.35">
      <c r="A1496" s="417" t="s">
        <v>846</v>
      </c>
      <c r="B1496" s="417" t="s">
        <v>676</v>
      </c>
      <c r="C1496" s="83">
        <v>46194</v>
      </c>
      <c r="D1496" s="417" t="s">
        <v>679</v>
      </c>
      <c r="E1496">
        <v>587.76461666666705</v>
      </c>
      <c r="F1496">
        <v>13</v>
      </c>
      <c r="G1496">
        <v>45.212662820512797</v>
      </c>
      <c r="H1496">
        <v>4.3335999999999997</v>
      </c>
      <c r="I1496">
        <v>31.567175226763901</v>
      </c>
    </row>
    <row r="1497" spans="1:9" x14ac:dyDescent="0.35">
      <c r="A1497" s="417" t="s">
        <v>846</v>
      </c>
      <c r="B1497" s="417" t="s">
        <v>680</v>
      </c>
      <c r="C1497" s="83">
        <v>46194</v>
      </c>
      <c r="D1497" s="417" t="s">
        <v>681</v>
      </c>
      <c r="E1497">
        <v>1327.0976499999999</v>
      </c>
      <c r="F1497">
        <v>74</v>
      </c>
      <c r="G1497">
        <v>17.933752027027001</v>
      </c>
      <c r="H1497">
        <v>7.0062166666666696</v>
      </c>
      <c r="I1497">
        <v>70.070409364465505</v>
      </c>
    </row>
    <row r="1498" spans="1:9" x14ac:dyDescent="0.35">
      <c r="A1498" s="417" t="s">
        <v>846</v>
      </c>
      <c r="B1498" s="417" t="s">
        <v>680</v>
      </c>
      <c r="C1498" s="83">
        <v>46194</v>
      </c>
      <c r="D1498" s="417" t="s">
        <v>689</v>
      </c>
      <c r="E1498">
        <v>1405.64208333333</v>
      </c>
      <c r="F1498">
        <v>50</v>
      </c>
      <c r="G1498">
        <v>28.1128416666667</v>
      </c>
      <c r="H1498">
        <v>0</v>
      </c>
      <c r="I1498">
        <v>88.792266486307696</v>
      </c>
    </row>
    <row r="1499" spans="1:9" x14ac:dyDescent="0.35">
      <c r="A1499" s="417" t="s">
        <v>846</v>
      </c>
      <c r="B1499" s="417" t="s">
        <v>680</v>
      </c>
      <c r="C1499" s="83">
        <v>46194</v>
      </c>
      <c r="D1499" s="417" t="s">
        <v>683</v>
      </c>
      <c r="E1499">
        <v>1348.9701</v>
      </c>
      <c r="F1499">
        <v>22</v>
      </c>
      <c r="G1499">
        <v>61.316822727272701</v>
      </c>
      <c r="H1499">
        <v>6.0176999999999996</v>
      </c>
      <c r="I1499">
        <v>46.5006127647396</v>
      </c>
    </row>
    <row r="1500" spans="1:9" x14ac:dyDescent="0.35">
      <c r="A1500" s="417" t="s">
        <v>846</v>
      </c>
      <c r="B1500" s="417" t="s">
        <v>680</v>
      </c>
      <c r="C1500" s="83">
        <v>46194</v>
      </c>
      <c r="D1500" s="417" t="s">
        <v>684</v>
      </c>
      <c r="E1500">
        <v>1425.8469833333299</v>
      </c>
      <c r="F1500">
        <v>20</v>
      </c>
      <c r="G1500">
        <v>71.292349166666696</v>
      </c>
      <c r="H1500">
        <v>12.1596666666667</v>
      </c>
      <c r="I1500">
        <v>81.243141900000296</v>
      </c>
    </row>
    <row r="1501" spans="1:9" x14ac:dyDescent="0.35">
      <c r="A1501" s="417" t="s">
        <v>846</v>
      </c>
      <c r="B1501" s="417" t="s">
        <v>680</v>
      </c>
      <c r="C1501" s="83">
        <v>46194</v>
      </c>
      <c r="D1501" s="417" t="s">
        <v>687</v>
      </c>
      <c r="E1501">
        <v>1414.3295166666701</v>
      </c>
      <c r="F1501">
        <v>19</v>
      </c>
      <c r="G1501">
        <v>74.438395614035102</v>
      </c>
      <c r="H1501">
        <v>18.667733333333299</v>
      </c>
      <c r="I1501">
        <v>32.9879463227416</v>
      </c>
    </row>
    <row r="1502" spans="1:9" x14ac:dyDescent="0.35">
      <c r="A1502" s="417" t="s">
        <v>846</v>
      </c>
      <c r="B1502" s="417" t="s">
        <v>680</v>
      </c>
      <c r="C1502" s="83">
        <v>46194</v>
      </c>
      <c r="D1502" s="417" t="s">
        <v>685</v>
      </c>
      <c r="E1502">
        <v>1418.1458500000001</v>
      </c>
      <c r="F1502">
        <v>16</v>
      </c>
      <c r="G1502">
        <v>88.634115625000007</v>
      </c>
      <c r="H1502">
        <v>6.0221499999999999</v>
      </c>
      <c r="I1502">
        <v>88.697633579520399</v>
      </c>
    </row>
    <row r="1503" spans="1:9" x14ac:dyDescent="0.35">
      <c r="A1503" s="417" t="s">
        <v>846</v>
      </c>
      <c r="B1503" s="417" t="s">
        <v>680</v>
      </c>
      <c r="C1503" s="83">
        <v>46194</v>
      </c>
      <c r="D1503" s="417" t="s">
        <v>682</v>
      </c>
      <c r="E1503">
        <v>1417.3279</v>
      </c>
      <c r="F1503">
        <v>12</v>
      </c>
      <c r="G1503">
        <v>118.11065833333301</v>
      </c>
      <c r="H1503">
        <v>22.6721</v>
      </c>
      <c r="I1503">
        <v>80.929292929292899</v>
      </c>
    </row>
    <row r="1504" spans="1:9" x14ac:dyDescent="0.35">
      <c r="A1504" s="417" t="s">
        <v>846</v>
      </c>
      <c r="B1504" s="417" t="s">
        <v>680</v>
      </c>
      <c r="C1504" s="83">
        <v>46194</v>
      </c>
      <c r="D1504" s="417" t="s">
        <v>688</v>
      </c>
      <c r="E1504">
        <v>1411.6541</v>
      </c>
      <c r="F1504">
        <v>8</v>
      </c>
      <c r="G1504">
        <v>176.4567625</v>
      </c>
      <c r="H1504">
        <v>7.3423499999999997</v>
      </c>
      <c r="I1504">
        <v>69.531517752082607</v>
      </c>
    </row>
    <row r="1505" spans="1:9" x14ac:dyDescent="0.35">
      <c r="A1505" s="417" t="s">
        <v>846</v>
      </c>
      <c r="B1505" s="417" t="s">
        <v>680</v>
      </c>
      <c r="C1505" s="83">
        <v>46194</v>
      </c>
      <c r="D1505" s="417" t="s">
        <v>690</v>
      </c>
      <c r="E1505">
        <v>1379.1821500000001</v>
      </c>
      <c r="F1505">
        <v>5</v>
      </c>
      <c r="G1505">
        <v>275.83643000000001</v>
      </c>
      <c r="H1505">
        <v>3.3251666666666702</v>
      </c>
      <c r="I1505">
        <v>41.927575930031999</v>
      </c>
    </row>
    <row r="1506" spans="1:9" x14ac:dyDescent="0.35">
      <c r="A1506" s="417" t="s">
        <v>846</v>
      </c>
      <c r="B1506" s="417" t="s">
        <v>680</v>
      </c>
      <c r="C1506" s="83">
        <v>46194</v>
      </c>
      <c r="D1506" s="417" t="s">
        <v>686</v>
      </c>
      <c r="E1506">
        <v>1440</v>
      </c>
      <c r="F1506">
        <v>1</v>
      </c>
      <c r="G1506">
        <v>1440</v>
      </c>
      <c r="H1506">
        <v>0</v>
      </c>
      <c r="I1506">
        <v>82.712121212121204</v>
      </c>
    </row>
    <row r="1507" spans="1:9" x14ac:dyDescent="0.35">
      <c r="A1507" s="417" t="s">
        <v>846</v>
      </c>
      <c r="B1507" s="417" t="s">
        <v>691</v>
      </c>
      <c r="C1507" s="83">
        <v>46194</v>
      </c>
      <c r="D1507" s="417" t="s">
        <v>299</v>
      </c>
      <c r="E1507">
        <v>1293.09983333333</v>
      </c>
      <c r="F1507">
        <v>239</v>
      </c>
      <c r="G1507">
        <v>5.4104595536959499</v>
      </c>
      <c r="H1507">
        <v>2.07751666666667</v>
      </c>
      <c r="I1507">
        <v>74.219151572819698</v>
      </c>
    </row>
    <row r="1508" spans="1:9" x14ac:dyDescent="0.35">
      <c r="A1508" s="417" t="s">
        <v>846</v>
      </c>
      <c r="B1508" s="417" t="s">
        <v>691</v>
      </c>
      <c r="C1508" s="83">
        <v>46194</v>
      </c>
      <c r="D1508" s="417" t="s">
        <v>305</v>
      </c>
      <c r="E1508">
        <v>1257.528</v>
      </c>
      <c r="F1508">
        <v>227</v>
      </c>
      <c r="G1508">
        <v>5.5397709251101297</v>
      </c>
      <c r="H1508">
        <v>4.9121666666666703</v>
      </c>
      <c r="I1508">
        <v>52.787077134163397</v>
      </c>
    </row>
    <row r="1509" spans="1:9" x14ac:dyDescent="0.35">
      <c r="A1509" s="417" t="s">
        <v>846</v>
      </c>
      <c r="B1509" s="417" t="s">
        <v>691</v>
      </c>
      <c r="C1509" s="83">
        <v>46194</v>
      </c>
      <c r="D1509" s="417" t="s">
        <v>342</v>
      </c>
      <c r="E1509">
        <v>1183.42435</v>
      </c>
      <c r="F1509">
        <v>125</v>
      </c>
      <c r="G1509">
        <v>9.4673947999999992</v>
      </c>
      <c r="H1509">
        <v>219.50608333333301</v>
      </c>
      <c r="I1509">
        <v>53.263888888888999</v>
      </c>
    </row>
    <row r="1510" spans="1:9" x14ac:dyDescent="0.35">
      <c r="A1510" s="417" t="s">
        <v>846</v>
      </c>
      <c r="B1510" s="417" t="s">
        <v>691</v>
      </c>
      <c r="C1510" s="83">
        <v>46194</v>
      </c>
      <c r="D1510" s="417" t="s">
        <v>301</v>
      </c>
      <c r="E1510">
        <v>1348.5562833333299</v>
      </c>
      <c r="F1510">
        <v>121</v>
      </c>
      <c r="G1510">
        <v>11.145093250688699</v>
      </c>
      <c r="H1510">
        <v>0.93955</v>
      </c>
      <c r="I1510">
        <v>58.588454971755901</v>
      </c>
    </row>
    <row r="1511" spans="1:9" x14ac:dyDescent="0.35">
      <c r="A1511" s="417" t="s">
        <v>846</v>
      </c>
      <c r="B1511" s="417" t="s">
        <v>691</v>
      </c>
      <c r="C1511" s="83">
        <v>46194</v>
      </c>
      <c r="D1511" s="417" t="s">
        <v>303</v>
      </c>
      <c r="E1511">
        <v>1340.00133333333</v>
      </c>
      <c r="F1511">
        <v>82</v>
      </c>
      <c r="G1511">
        <v>16.341479674796702</v>
      </c>
      <c r="H1511">
        <v>0.51615</v>
      </c>
      <c r="I1511">
        <v>61.085559492276701</v>
      </c>
    </row>
    <row r="1512" spans="1:9" x14ac:dyDescent="0.35">
      <c r="A1512" s="417" t="s">
        <v>846</v>
      </c>
      <c r="B1512" s="417" t="s">
        <v>691</v>
      </c>
      <c r="C1512" s="83">
        <v>46194</v>
      </c>
      <c r="D1512" s="417" t="s">
        <v>309</v>
      </c>
      <c r="E1512">
        <v>1357.0969333333301</v>
      </c>
      <c r="F1512">
        <v>68</v>
      </c>
      <c r="G1512">
        <v>19.957307843137301</v>
      </c>
      <c r="H1512">
        <v>0</v>
      </c>
      <c r="I1512">
        <v>60.286838739058801</v>
      </c>
    </row>
    <row r="1513" spans="1:9" x14ac:dyDescent="0.35">
      <c r="A1513" s="417" t="s">
        <v>846</v>
      </c>
      <c r="B1513" s="417" t="s">
        <v>691</v>
      </c>
      <c r="C1513" s="83">
        <v>46194</v>
      </c>
      <c r="D1513" s="417" t="s">
        <v>295</v>
      </c>
      <c r="E1513">
        <v>1361.12206666667</v>
      </c>
      <c r="F1513">
        <v>34</v>
      </c>
      <c r="G1513">
        <v>40.033001960784297</v>
      </c>
      <c r="H1513">
        <v>0.99886666666666701</v>
      </c>
      <c r="I1513">
        <v>73.830048402010902</v>
      </c>
    </row>
    <row r="1514" spans="1:9" x14ac:dyDescent="0.35">
      <c r="A1514" s="417" t="s">
        <v>846</v>
      </c>
      <c r="B1514" s="417" t="s">
        <v>691</v>
      </c>
      <c r="C1514" s="83">
        <v>46194</v>
      </c>
      <c r="D1514" s="417" t="s">
        <v>314</v>
      </c>
      <c r="E1514">
        <v>1349.8158333333299</v>
      </c>
      <c r="F1514">
        <v>19</v>
      </c>
      <c r="G1514">
        <v>71.042938596491197</v>
      </c>
      <c r="H1514">
        <v>1.31925</v>
      </c>
      <c r="I1514">
        <v>58.306106058246698</v>
      </c>
    </row>
    <row r="1515" spans="1:9" x14ac:dyDescent="0.35">
      <c r="A1515" s="417" t="s">
        <v>846</v>
      </c>
      <c r="B1515" s="417" t="s">
        <v>691</v>
      </c>
      <c r="C1515" s="83">
        <v>46194</v>
      </c>
      <c r="D1515" s="417" t="s">
        <v>310</v>
      </c>
      <c r="E1515">
        <v>1395.1968666666701</v>
      </c>
      <c r="F1515">
        <v>12</v>
      </c>
      <c r="G1515">
        <v>116.26640555555601</v>
      </c>
      <c r="H1515">
        <v>1.0068666666666699</v>
      </c>
      <c r="I1515">
        <v>78.601512767492594</v>
      </c>
    </row>
    <row r="1516" spans="1:9" x14ac:dyDescent="0.35">
      <c r="A1516" s="417" t="s">
        <v>846</v>
      </c>
      <c r="B1516" s="417" t="s">
        <v>691</v>
      </c>
      <c r="C1516" s="83">
        <v>46194</v>
      </c>
      <c r="D1516" s="417" t="s">
        <v>313</v>
      </c>
      <c r="E1516">
        <v>1405.8640666666699</v>
      </c>
      <c r="F1516">
        <v>8</v>
      </c>
      <c r="G1516">
        <v>175.733008333333</v>
      </c>
      <c r="H1516">
        <v>3.65458333333333</v>
      </c>
      <c r="I1516">
        <v>71.816107458710306</v>
      </c>
    </row>
    <row r="1517" spans="1:9" x14ac:dyDescent="0.35">
      <c r="A1517" s="417" t="s">
        <v>846</v>
      </c>
      <c r="B1517" s="417" t="s">
        <v>691</v>
      </c>
      <c r="C1517" s="83">
        <v>46194</v>
      </c>
      <c r="D1517" s="417" t="s">
        <v>317</v>
      </c>
      <c r="E1517">
        <v>1431.6004166666701</v>
      </c>
      <c r="F1517">
        <v>3</v>
      </c>
      <c r="G1517">
        <v>477.200138888889</v>
      </c>
      <c r="H1517">
        <v>6.1910833333333297</v>
      </c>
      <c r="I1517">
        <v>56.3503122671124</v>
      </c>
    </row>
    <row r="1518" spans="1:9" x14ac:dyDescent="0.35">
      <c r="A1518" s="417" t="s">
        <v>846</v>
      </c>
      <c r="B1518" s="417" t="s">
        <v>691</v>
      </c>
      <c r="C1518" s="83">
        <v>46194</v>
      </c>
      <c r="D1518" s="417" t="s">
        <v>504</v>
      </c>
      <c r="E1518">
        <v>1440</v>
      </c>
      <c r="F1518">
        <v>1</v>
      </c>
      <c r="G1518">
        <v>1440</v>
      </c>
      <c r="H1518">
        <v>0</v>
      </c>
      <c r="I1518">
        <v>35.973919753086399</v>
      </c>
    </row>
    <row r="1519" spans="1:9" x14ac:dyDescent="0.35">
      <c r="A1519" s="417" t="s">
        <v>846</v>
      </c>
      <c r="B1519" s="417" t="s">
        <v>676</v>
      </c>
      <c r="C1519" s="83">
        <v>46193</v>
      </c>
      <c r="D1519" s="417" t="s">
        <v>677</v>
      </c>
      <c r="E1519">
        <v>1160.14433333333</v>
      </c>
      <c r="F1519">
        <v>130</v>
      </c>
      <c r="G1519">
        <v>8.9241871794871805</v>
      </c>
      <c r="H1519">
        <v>71.597149999999999</v>
      </c>
      <c r="I1519">
        <v>28.363611111111101</v>
      </c>
    </row>
    <row r="1520" spans="1:9" x14ac:dyDescent="0.35">
      <c r="A1520" s="417" t="s">
        <v>846</v>
      </c>
      <c r="B1520" s="417" t="s">
        <v>676</v>
      </c>
      <c r="C1520" s="83">
        <v>46193</v>
      </c>
      <c r="D1520" s="417" t="s">
        <v>678</v>
      </c>
      <c r="E1520">
        <v>1273.5281</v>
      </c>
      <c r="F1520">
        <v>28</v>
      </c>
      <c r="G1520">
        <v>45.483146428571402</v>
      </c>
      <c r="H1520">
        <v>24.585633333333298</v>
      </c>
      <c r="I1520">
        <v>85.488066742878999</v>
      </c>
    </row>
    <row r="1521" spans="1:9" x14ac:dyDescent="0.35">
      <c r="A1521" s="417" t="s">
        <v>846</v>
      </c>
      <c r="B1521" s="417" t="s">
        <v>676</v>
      </c>
      <c r="C1521" s="83">
        <v>46193</v>
      </c>
      <c r="D1521" s="417" t="s">
        <v>679</v>
      </c>
      <c r="E1521">
        <v>1282.0753666666701</v>
      </c>
      <c r="F1521">
        <v>23</v>
      </c>
      <c r="G1521">
        <v>55.7424072463768</v>
      </c>
      <c r="H1521">
        <v>20.894733333333299</v>
      </c>
      <c r="I1521">
        <v>80.411506638584697</v>
      </c>
    </row>
    <row r="1522" spans="1:9" x14ac:dyDescent="0.35">
      <c r="A1522" s="417" t="s">
        <v>846</v>
      </c>
      <c r="B1522" s="417" t="s">
        <v>680</v>
      </c>
      <c r="C1522" s="83">
        <v>46193</v>
      </c>
      <c r="D1522" s="417" t="s">
        <v>681</v>
      </c>
      <c r="E1522">
        <v>1396.1048499999999</v>
      </c>
      <c r="F1522">
        <v>40</v>
      </c>
      <c r="G1522">
        <v>34.902621250000003</v>
      </c>
      <c r="H1522">
        <v>1.6672833333333299</v>
      </c>
      <c r="I1522">
        <v>83.979882817469701</v>
      </c>
    </row>
    <row r="1523" spans="1:9" x14ac:dyDescent="0.35">
      <c r="A1523" s="417" t="s">
        <v>846</v>
      </c>
      <c r="B1523" s="417" t="s">
        <v>680</v>
      </c>
      <c r="C1523" s="83">
        <v>46193</v>
      </c>
      <c r="D1523" s="417" t="s">
        <v>689</v>
      </c>
      <c r="E1523">
        <v>1417.9424833333301</v>
      </c>
      <c r="F1523">
        <v>36</v>
      </c>
      <c r="G1523">
        <v>39.387291203703697</v>
      </c>
      <c r="H1523">
        <v>0.167066666666667</v>
      </c>
      <c r="I1523">
        <v>100.19885995774</v>
      </c>
    </row>
    <row r="1524" spans="1:9" x14ac:dyDescent="0.35">
      <c r="A1524" s="417" t="s">
        <v>846</v>
      </c>
      <c r="B1524" s="417" t="s">
        <v>680</v>
      </c>
      <c r="C1524" s="83">
        <v>46193</v>
      </c>
      <c r="D1524" s="417" t="s">
        <v>684</v>
      </c>
      <c r="E1524">
        <v>1420.95435</v>
      </c>
      <c r="F1524">
        <v>17</v>
      </c>
      <c r="G1524">
        <v>83.585549999999998</v>
      </c>
      <c r="H1524">
        <v>5.6847500000000002</v>
      </c>
      <c r="I1524">
        <v>91.081391701626501</v>
      </c>
    </row>
    <row r="1525" spans="1:9" x14ac:dyDescent="0.35">
      <c r="A1525" s="417" t="s">
        <v>846</v>
      </c>
      <c r="B1525" s="417" t="s">
        <v>680</v>
      </c>
      <c r="C1525" s="83">
        <v>46193</v>
      </c>
      <c r="D1525" s="417" t="s">
        <v>685</v>
      </c>
      <c r="E1525">
        <v>1422.49665</v>
      </c>
      <c r="F1525">
        <v>16</v>
      </c>
      <c r="G1525">
        <v>88.906040625000003</v>
      </c>
      <c r="H1525">
        <v>1.333</v>
      </c>
      <c r="I1525">
        <v>99.912446844366002</v>
      </c>
    </row>
    <row r="1526" spans="1:9" x14ac:dyDescent="0.35">
      <c r="A1526" s="417" t="s">
        <v>846</v>
      </c>
      <c r="B1526" s="417" t="s">
        <v>680</v>
      </c>
      <c r="C1526" s="83">
        <v>46193</v>
      </c>
      <c r="D1526" s="417" t="s">
        <v>683</v>
      </c>
      <c r="E1526">
        <v>1397.3406833333299</v>
      </c>
      <c r="F1526">
        <v>16</v>
      </c>
      <c r="G1526">
        <v>87.333792708333405</v>
      </c>
      <c r="H1526">
        <v>2.5006333333333299</v>
      </c>
      <c r="I1526">
        <v>64.241894311251599</v>
      </c>
    </row>
    <row r="1527" spans="1:9" x14ac:dyDescent="0.35">
      <c r="A1527" s="417" t="s">
        <v>846</v>
      </c>
      <c r="B1527" s="417" t="s">
        <v>680</v>
      </c>
      <c r="C1527" s="83">
        <v>46193</v>
      </c>
      <c r="D1527" s="417" t="s">
        <v>687</v>
      </c>
      <c r="E1527">
        <v>1420.74536666667</v>
      </c>
      <c r="F1527">
        <v>14</v>
      </c>
      <c r="G1527">
        <v>101.481811904762</v>
      </c>
      <c r="H1527">
        <v>17.5826666666667</v>
      </c>
      <c r="I1527">
        <v>27.628543816123699</v>
      </c>
    </row>
    <row r="1528" spans="1:9" x14ac:dyDescent="0.35">
      <c r="A1528" s="417" t="s">
        <v>846</v>
      </c>
      <c r="B1528" s="417" t="s">
        <v>680</v>
      </c>
      <c r="C1528" s="83">
        <v>46193</v>
      </c>
      <c r="D1528" s="417" t="s">
        <v>682</v>
      </c>
      <c r="E1528">
        <v>1433.0443666666699</v>
      </c>
      <c r="F1528">
        <v>10</v>
      </c>
      <c r="G1528">
        <v>143.30443666666699</v>
      </c>
      <c r="H1528">
        <v>6.9556333333333296</v>
      </c>
      <c r="I1528">
        <v>90.237373737373701</v>
      </c>
    </row>
    <row r="1529" spans="1:9" x14ac:dyDescent="0.35">
      <c r="A1529" s="417" t="s">
        <v>846</v>
      </c>
      <c r="B1529" s="417" t="s">
        <v>680</v>
      </c>
      <c r="C1529" s="83">
        <v>46193</v>
      </c>
      <c r="D1529" s="417" t="s">
        <v>688</v>
      </c>
      <c r="E1529">
        <v>1435.6277</v>
      </c>
      <c r="F1529">
        <v>5</v>
      </c>
      <c r="G1529">
        <v>287.12554</v>
      </c>
      <c r="H1529">
        <v>1.1748666666666701</v>
      </c>
      <c r="I1529">
        <v>83.173602422677305</v>
      </c>
    </row>
    <row r="1530" spans="1:9" x14ac:dyDescent="0.35">
      <c r="A1530" s="417" t="s">
        <v>846</v>
      </c>
      <c r="B1530" s="417" t="s">
        <v>680</v>
      </c>
      <c r="C1530" s="83">
        <v>46193</v>
      </c>
      <c r="D1530" s="417" t="s">
        <v>690</v>
      </c>
      <c r="E1530">
        <v>1436.1867833333299</v>
      </c>
      <c r="F1530">
        <v>5</v>
      </c>
      <c r="G1530">
        <v>287.23735666666698</v>
      </c>
      <c r="H1530">
        <v>0.67786666666666695</v>
      </c>
      <c r="I1530">
        <v>62.327155196763897</v>
      </c>
    </row>
    <row r="1531" spans="1:9" x14ac:dyDescent="0.35">
      <c r="A1531" s="417" t="s">
        <v>846</v>
      </c>
      <c r="B1531" s="417" t="s">
        <v>680</v>
      </c>
      <c r="C1531" s="83">
        <v>46193</v>
      </c>
      <c r="D1531" s="417" t="s">
        <v>686</v>
      </c>
      <c r="E1531">
        <v>1440</v>
      </c>
      <c r="F1531">
        <v>1</v>
      </c>
      <c r="G1531">
        <v>1440</v>
      </c>
      <c r="H1531">
        <v>0</v>
      </c>
      <c r="I1531">
        <v>71.510101010100996</v>
      </c>
    </row>
    <row r="1532" spans="1:9" x14ac:dyDescent="0.35">
      <c r="A1532" s="417" t="s">
        <v>846</v>
      </c>
      <c r="B1532" s="417" t="s">
        <v>691</v>
      </c>
      <c r="C1532" s="83">
        <v>46193</v>
      </c>
      <c r="D1532" s="417" t="s">
        <v>301</v>
      </c>
      <c r="E1532">
        <v>861.00228333333303</v>
      </c>
      <c r="F1532">
        <v>138</v>
      </c>
      <c r="G1532">
        <v>6.2391469806763302</v>
      </c>
      <c r="H1532">
        <v>1.3905000000000001</v>
      </c>
      <c r="I1532">
        <v>41.444123538448601</v>
      </c>
    </row>
    <row r="1533" spans="1:9" x14ac:dyDescent="0.35">
      <c r="A1533" s="417" t="s">
        <v>846</v>
      </c>
      <c r="B1533" s="417" t="s">
        <v>691</v>
      </c>
      <c r="C1533" s="83">
        <v>46193</v>
      </c>
      <c r="D1533" s="417" t="s">
        <v>299</v>
      </c>
      <c r="E1533">
        <v>932.46574999999996</v>
      </c>
      <c r="F1533">
        <v>137</v>
      </c>
      <c r="G1533">
        <v>6.8063193430656996</v>
      </c>
      <c r="H1533">
        <v>1.0669666666666699</v>
      </c>
      <c r="I1533">
        <v>45.3261003057303</v>
      </c>
    </row>
    <row r="1534" spans="1:9" x14ac:dyDescent="0.35">
      <c r="A1534" s="417" t="s">
        <v>846</v>
      </c>
      <c r="B1534" s="417" t="s">
        <v>691</v>
      </c>
      <c r="C1534" s="83">
        <v>46193</v>
      </c>
      <c r="D1534" s="417" t="s">
        <v>305</v>
      </c>
      <c r="E1534">
        <v>1349.22841666667</v>
      </c>
      <c r="F1534">
        <v>98</v>
      </c>
      <c r="G1534">
        <v>13.7676369047619</v>
      </c>
      <c r="H1534">
        <v>3.14401666666667</v>
      </c>
      <c r="I1534">
        <v>26.1931769245701</v>
      </c>
    </row>
    <row r="1535" spans="1:9" x14ac:dyDescent="0.35">
      <c r="A1535" s="417" t="s">
        <v>846</v>
      </c>
      <c r="B1535" s="417" t="s">
        <v>691</v>
      </c>
      <c r="C1535" s="83">
        <v>46193</v>
      </c>
      <c r="D1535" s="417" t="s">
        <v>309</v>
      </c>
      <c r="E1535">
        <v>800.03425000000004</v>
      </c>
      <c r="F1535">
        <v>75</v>
      </c>
      <c r="G1535">
        <v>10.667123333333301</v>
      </c>
      <c r="H1535">
        <v>0.86501666666666699</v>
      </c>
      <c r="I1535">
        <v>43.596224666520101</v>
      </c>
    </row>
    <row r="1536" spans="1:9" x14ac:dyDescent="0.35">
      <c r="A1536" s="417" t="s">
        <v>846</v>
      </c>
      <c r="B1536" s="417" t="s">
        <v>691</v>
      </c>
      <c r="C1536" s="83">
        <v>46193</v>
      </c>
      <c r="D1536" s="417" t="s">
        <v>303</v>
      </c>
      <c r="E1536">
        <v>938.43825000000004</v>
      </c>
      <c r="F1536">
        <v>67</v>
      </c>
      <c r="G1536">
        <v>14.0065410447761</v>
      </c>
      <c r="H1536">
        <v>0.41558333333333303</v>
      </c>
      <c r="I1536">
        <v>39.480775836990901</v>
      </c>
    </row>
    <row r="1537" spans="1:9" x14ac:dyDescent="0.35">
      <c r="A1537" s="417" t="s">
        <v>846</v>
      </c>
      <c r="B1537" s="417" t="s">
        <v>691</v>
      </c>
      <c r="C1537" s="83">
        <v>46193</v>
      </c>
      <c r="D1537" s="417" t="s">
        <v>295</v>
      </c>
      <c r="E1537">
        <v>998.24699999999996</v>
      </c>
      <c r="F1537">
        <v>37</v>
      </c>
      <c r="G1537">
        <v>26.979648648648698</v>
      </c>
      <c r="H1537">
        <v>0</v>
      </c>
      <c r="I1537">
        <v>49.255499119947501</v>
      </c>
    </row>
    <row r="1538" spans="1:9" x14ac:dyDescent="0.35">
      <c r="A1538" s="417" t="s">
        <v>846</v>
      </c>
      <c r="B1538" s="417" t="s">
        <v>691</v>
      </c>
      <c r="C1538" s="83">
        <v>46193</v>
      </c>
      <c r="D1538" s="417" t="s">
        <v>342</v>
      </c>
      <c r="E1538">
        <v>1342.91815</v>
      </c>
      <c r="F1538">
        <v>36</v>
      </c>
      <c r="G1538">
        <v>37.3032819444444</v>
      </c>
      <c r="H1538">
        <v>70.695599999999999</v>
      </c>
      <c r="I1538">
        <v>28.637376955287198</v>
      </c>
    </row>
    <row r="1539" spans="1:9" x14ac:dyDescent="0.35">
      <c r="A1539" s="417" t="s">
        <v>846</v>
      </c>
      <c r="B1539" s="417" t="s">
        <v>691</v>
      </c>
      <c r="C1539" s="83">
        <v>46193</v>
      </c>
      <c r="D1539" s="417" t="s">
        <v>314</v>
      </c>
      <c r="E1539">
        <v>903.14876666666601</v>
      </c>
      <c r="F1539">
        <v>4</v>
      </c>
      <c r="G1539">
        <v>225.78719166666701</v>
      </c>
      <c r="H1539">
        <v>5.0599999999999999E-2</v>
      </c>
      <c r="I1539">
        <v>40.860276921791503</v>
      </c>
    </row>
    <row r="1540" spans="1:9" x14ac:dyDescent="0.35">
      <c r="A1540" s="417" t="s">
        <v>846</v>
      </c>
      <c r="B1540" s="417" t="s">
        <v>691</v>
      </c>
      <c r="C1540" s="83">
        <v>46193</v>
      </c>
      <c r="D1540" s="417" t="s">
        <v>310</v>
      </c>
      <c r="E1540">
        <v>1008.81805</v>
      </c>
      <c r="F1540">
        <v>3</v>
      </c>
      <c r="G1540">
        <v>336.27268333333302</v>
      </c>
      <c r="H1540">
        <v>0</v>
      </c>
      <c r="I1540">
        <v>53.473562349599902</v>
      </c>
    </row>
    <row r="1541" spans="1:9" x14ac:dyDescent="0.35">
      <c r="A1541" s="417" t="s">
        <v>846</v>
      </c>
      <c r="B1541" s="417" t="s">
        <v>691</v>
      </c>
      <c r="C1541" s="83">
        <v>46193</v>
      </c>
      <c r="D1541" s="417" t="s">
        <v>313</v>
      </c>
      <c r="E1541">
        <v>937.14208333333295</v>
      </c>
      <c r="F1541">
        <v>3</v>
      </c>
      <c r="G1541">
        <v>312.38069444444398</v>
      </c>
      <c r="H1541">
        <v>2.8579333333333299</v>
      </c>
      <c r="I1541">
        <v>47.2610628128594</v>
      </c>
    </row>
    <row r="1542" spans="1:9" x14ac:dyDescent="0.35">
      <c r="A1542" s="417" t="s">
        <v>846</v>
      </c>
      <c r="B1542" s="417" t="s">
        <v>691</v>
      </c>
      <c r="C1542" s="83">
        <v>46193</v>
      </c>
      <c r="D1542" s="417" t="s">
        <v>317</v>
      </c>
      <c r="E1542">
        <v>958.98551666666697</v>
      </c>
      <c r="F1542">
        <v>1</v>
      </c>
      <c r="G1542">
        <v>958.98551666666697</v>
      </c>
      <c r="H1542">
        <v>0</v>
      </c>
      <c r="I1542">
        <v>39.411439842565599</v>
      </c>
    </row>
    <row r="1543" spans="1:9" x14ac:dyDescent="0.35">
      <c r="A1543" s="417" t="s">
        <v>846</v>
      </c>
      <c r="B1543" s="417" t="s">
        <v>691</v>
      </c>
      <c r="C1543" s="83">
        <v>46193</v>
      </c>
      <c r="D1543" s="417" t="s">
        <v>504</v>
      </c>
      <c r="E1543">
        <v>1440</v>
      </c>
      <c r="F1543">
        <v>1</v>
      </c>
      <c r="G1543">
        <v>1440</v>
      </c>
      <c r="H1543">
        <v>0</v>
      </c>
      <c r="I1543">
        <v>14.046296296296299</v>
      </c>
    </row>
    <row r="1544" spans="1:9" x14ac:dyDescent="0.35">
      <c r="A1544" s="417" t="s">
        <v>846</v>
      </c>
      <c r="B1544" s="417" t="s">
        <v>676</v>
      </c>
      <c r="C1544" s="83">
        <v>46192</v>
      </c>
      <c r="D1544" s="417" t="s">
        <v>677</v>
      </c>
      <c r="E1544">
        <v>1333.2470000000001</v>
      </c>
      <c r="F1544">
        <v>98</v>
      </c>
      <c r="G1544">
        <v>13.6045612244898</v>
      </c>
      <c r="H1544">
        <v>77.9119666666667</v>
      </c>
      <c r="I1544">
        <v>30.9586111111111</v>
      </c>
    </row>
    <row r="1545" spans="1:9" x14ac:dyDescent="0.35">
      <c r="A1545" s="417" t="s">
        <v>846</v>
      </c>
      <c r="B1545" s="417" t="s">
        <v>676</v>
      </c>
      <c r="C1545" s="83">
        <v>46192</v>
      </c>
      <c r="D1545" s="417" t="s">
        <v>678</v>
      </c>
      <c r="E1545">
        <v>1354.8209833333301</v>
      </c>
      <c r="F1545">
        <v>36</v>
      </c>
      <c r="G1545">
        <v>37.633916203703698</v>
      </c>
      <c r="H1545">
        <v>25.347183333333302</v>
      </c>
      <c r="I1545">
        <v>101.460679570228</v>
      </c>
    </row>
    <row r="1546" spans="1:9" x14ac:dyDescent="0.35">
      <c r="A1546" s="417" t="s">
        <v>846</v>
      </c>
      <c r="B1546" s="417" t="s">
        <v>676</v>
      </c>
      <c r="C1546" s="83">
        <v>46192</v>
      </c>
      <c r="D1546" s="417" t="s">
        <v>679</v>
      </c>
      <c r="E1546">
        <v>1340.1292333333299</v>
      </c>
      <c r="F1546">
        <v>28</v>
      </c>
      <c r="G1546">
        <v>47.861758333333299</v>
      </c>
      <c r="H1546">
        <v>18.833283333333299</v>
      </c>
      <c r="I1546">
        <v>94.929233373992204</v>
      </c>
    </row>
    <row r="1547" spans="1:9" x14ac:dyDescent="0.35">
      <c r="A1547" s="417" t="s">
        <v>846</v>
      </c>
      <c r="B1547" s="417" t="s">
        <v>680</v>
      </c>
      <c r="C1547" s="83">
        <v>46192</v>
      </c>
      <c r="D1547" s="417" t="s">
        <v>690</v>
      </c>
      <c r="E1547">
        <v>1379.9925333333299</v>
      </c>
      <c r="F1547">
        <v>60</v>
      </c>
      <c r="G1547">
        <v>22.999875555555601</v>
      </c>
      <c r="H1547">
        <v>22.36985</v>
      </c>
      <c r="I1547">
        <v>56.073831198991599</v>
      </c>
    </row>
    <row r="1548" spans="1:9" x14ac:dyDescent="0.35">
      <c r="A1548" s="417" t="s">
        <v>846</v>
      </c>
      <c r="B1548" s="417" t="s">
        <v>680</v>
      </c>
      <c r="C1548" s="83">
        <v>46192</v>
      </c>
      <c r="D1548" s="417" t="s">
        <v>681</v>
      </c>
      <c r="E1548">
        <v>1404.9565500000001</v>
      </c>
      <c r="F1548">
        <v>41</v>
      </c>
      <c r="G1548">
        <v>34.267232926829301</v>
      </c>
      <c r="H1548">
        <v>0.499966666666667</v>
      </c>
      <c r="I1548">
        <v>76.009687191850603</v>
      </c>
    </row>
    <row r="1549" spans="1:9" x14ac:dyDescent="0.35">
      <c r="A1549" s="417" t="s">
        <v>846</v>
      </c>
      <c r="B1549" s="417" t="s">
        <v>680</v>
      </c>
      <c r="C1549" s="83">
        <v>46192</v>
      </c>
      <c r="D1549" s="417" t="s">
        <v>689</v>
      </c>
      <c r="E1549">
        <v>1415.2763333333301</v>
      </c>
      <c r="F1549">
        <v>41</v>
      </c>
      <c r="G1549">
        <v>34.5189349593496</v>
      </c>
      <c r="H1549">
        <v>0</v>
      </c>
      <c r="I1549">
        <v>91.483325028881197</v>
      </c>
    </row>
    <row r="1550" spans="1:9" x14ac:dyDescent="0.35">
      <c r="A1550" s="417" t="s">
        <v>846</v>
      </c>
      <c r="B1550" s="417" t="s">
        <v>680</v>
      </c>
      <c r="C1550" s="83">
        <v>46192</v>
      </c>
      <c r="D1550" s="417" t="s">
        <v>685</v>
      </c>
      <c r="E1550">
        <v>1423.3000833333299</v>
      </c>
      <c r="F1550">
        <v>30</v>
      </c>
      <c r="G1550">
        <v>47.443336111111101</v>
      </c>
      <c r="H1550">
        <v>5.5069333333333299</v>
      </c>
      <c r="I1550">
        <v>91.029354837389803</v>
      </c>
    </row>
    <row r="1551" spans="1:9" x14ac:dyDescent="0.35">
      <c r="A1551" s="417" t="s">
        <v>846</v>
      </c>
      <c r="B1551" s="417" t="s">
        <v>680</v>
      </c>
      <c r="C1551" s="83">
        <v>46192</v>
      </c>
      <c r="D1551" s="417" t="s">
        <v>683</v>
      </c>
      <c r="E1551">
        <v>1374.9946</v>
      </c>
      <c r="F1551">
        <v>27</v>
      </c>
      <c r="G1551">
        <v>50.925725925925903</v>
      </c>
      <c r="H1551">
        <v>5.492</v>
      </c>
      <c r="I1551">
        <v>58.393928510254199</v>
      </c>
    </row>
    <row r="1552" spans="1:9" x14ac:dyDescent="0.35">
      <c r="A1552" s="417" t="s">
        <v>846</v>
      </c>
      <c r="B1552" s="417" t="s">
        <v>680</v>
      </c>
      <c r="C1552" s="83">
        <v>46192</v>
      </c>
      <c r="D1552" s="417" t="s">
        <v>684</v>
      </c>
      <c r="E1552">
        <v>1404.6884</v>
      </c>
      <c r="F1552">
        <v>27</v>
      </c>
      <c r="G1552">
        <v>52.025496296296303</v>
      </c>
      <c r="H1552">
        <v>16.32395</v>
      </c>
      <c r="I1552">
        <v>75.583000737839797</v>
      </c>
    </row>
    <row r="1553" spans="1:9" x14ac:dyDescent="0.35">
      <c r="A1553" s="417" t="s">
        <v>846</v>
      </c>
      <c r="B1553" s="417" t="s">
        <v>680</v>
      </c>
      <c r="C1553" s="83">
        <v>46192</v>
      </c>
      <c r="D1553" s="417" t="s">
        <v>682</v>
      </c>
      <c r="E1553">
        <v>1404.6811333333301</v>
      </c>
      <c r="F1553">
        <v>21</v>
      </c>
      <c r="G1553">
        <v>66.889577777777802</v>
      </c>
      <c r="H1553">
        <v>18.144566666666702</v>
      </c>
      <c r="I1553">
        <v>72.616161616161605</v>
      </c>
    </row>
    <row r="1554" spans="1:9" x14ac:dyDescent="0.35">
      <c r="A1554" s="417" t="s">
        <v>846</v>
      </c>
      <c r="B1554" s="417" t="s">
        <v>680</v>
      </c>
      <c r="C1554" s="83">
        <v>46192</v>
      </c>
      <c r="D1554" s="417" t="s">
        <v>687</v>
      </c>
      <c r="E1554">
        <v>1418.4871499999999</v>
      </c>
      <c r="F1554">
        <v>14</v>
      </c>
      <c r="G1554">
        <v>101.320510714286</v>
      </c>
      <c r="H1554">
        <v>12.342700000000001</v>
      </c>
      <c r="I1554">
        <v>31.184319047757199</v>
      </c>
    </row>
    <row r="1555" spans="1:9" x14ac:dyDescent="0.35">
      <c r="A1555" s="417" t="s">
        <v>846</v>
      </c>
      <c r="B1555" s="417" t="s">
        <v>680</v>
      </c>
      <c r="C1555" s="83">
        <v>46192</v>
      </c>
      <c r="D1555" s="417" t="s">
        <v>688</v>
      </c>
      <c r="E1555">
        <v>1433.8279833333299</v>
      </c>
      <c r="F1555">
        <v>7</v>
      </c>
      <c r="G1555">
        <v>204.83256904761899</v>
      </c>
      <c r="H1555">
        <v>1.32623333333333</v>
      </c>
      <c r="I1555">
        <v>75.633552350537997</v>
      </c>
    </row>
    <row r="1556" spans="1:9" x14ac:dyDescent="0.35">
      <c r="A1556" s="417" t="s">
        <v>846</v>
      </c>
      <c r="B1556" s="417" t="s">
        <v>680</v>
      </c>
      <c r="C1556" s="83">
        <v>46192</v>
      </c>
      <c r="D1556" s="417" t="s">
        <v>686</v>
      </c>
      <c r="E1556">
        <v>1440</v>
      </c>
      <c r="F1556">
        <v>1</v>
      </c>
      <c r="G1556">
        <v>1440</v>
      </c>
      <c r="H1556">
        <v>0</v>
      </c>
      <c r="I1556">
        <v>78.085858585858603</v>
      </c>
    </row>
    <row r="1557" spans="1:9" x14ac:dyDescent="0.35">
      <c r="A1557" s="417" t="s">
        <v>846</v>
      </c>
      <c r="B1557" s="417" t="s">
        <v>691</v>
      </c>
      <c r="C1557" s="83">
        <v>46192</v>
      </c>
      <c r="D1557" s="417" t="s">
        <v>301</v>
      </c>
      <c r="E1557">
        <v>1267.43155</v>
      </c>
      <c r="F1557">
        <v>208</v>
      </c>
      <c r="G1557">
        <v>6.0934209134615402</v>
      </c>
      <c r="H1557">
        <v>2.1095000000000002</v>
      </c>
      <c r="I1557">
        <v>49.270118015125199</v>
      </c>
    </row>
    <row r="1558" spans="1:9" x14ac:dyDescent="0.35">
      <c r="A1558" s="417" t="s">
        <v>846</v>
      </c>
      <c r="B1558" s="417" t="s">
        <v>691</v>
      </c>
      <c r="C1558" s="83">
        <v>46192</v>
      </c>
      <c r="D1558" s="417" t="s">
        <v>299</v>
      </c>
      <c r="E1558">
        <v>1337.06261666667</v>
      </c>
      <c r="F1558">
        <v>155</v>
      </c>
      <c r="G1558">
        <v>8.6262104301075304</v>
      </c>
      <c r="H1558">
        <v>2.4506999999999999</v>
      </c>
      <c r="I1558">
        <v>73.621703365450699</v>
      </c>
    </row>
    <row r="1559" spans="1:9" x14ac:dyDescent="0.35">
      <c r="A1559" s="417" t="s">
        <v>846</v>
      </c>
      <c r="B1559" s="417" t="s">
        <v>691</v>
      </c>
      <c r="C1559" s="83">
        <v>46192</v>
      </c>
      <c r="D1559" s="417" t="s">
        <v>309</v>
      </c>
      <c r="E1559">
        <v>1342.1750833333299</v>
      </c>
      <c r="F1559">
        <v>136</v>
      </c>
      <c r="G1559">
        <v>9.8689344362745093</v>
      </c>
      <c r="H1559">
        <v>1.7565</v>
      </c>
      <c r="I1559">
        <v>56.870359386018201</v>
      </c>
    </row>
    <row r="1560" spans="1:9" x14ac:dyDescent="0.35">
      <c r="A1560" s="417" t="s">
        <v>846</v>
      </c>
      <c r="B1560" s="417" t="s">
        <v>691</v>
      </c>
      <c r="C1560" s="83">
        <v>46192</v>
      </c>
      <c r="D1560" s="417" t="s">
        <v>303</v>
      </c>
      <c r="E1560">
        <v>1369.8201833333301</v>
      </c>
      <c r="F1560">
        <v>115</v>
      </c>
      <c r="G1560">
        <v>11.9114798550725</v>
      </c>
      <c r="H1560">
        <v>0.93426666666666702</v>
      </c>
      <c r="I1560">
        <v>63.9320353707162</v>
      </c>
    </row>
    <row r="1561" spans="1:9" x14ac:dyDescent="0.35">
      <c r="A1561" s="417" t="s">
        <v>846</v>
      </c>
      <c r="B1561" s="417" t="s">
        <v>691</v>
      </c>
      <c r="C1561" s="83">
        <v>46192</v>
      </c>
      <c r="D1561" s="417" t="s">
        <v>305</v>
      </c>
      <c r="E1561">
        <v>1328.56563333333</v>
      </c>
      <c r="F1561">
        <v>107</v>
      </c>
      <c r="G1561">
        <v>12.4165012461059</v>
      </c>
      <c r="H1561">
        <v>0.18579999999999999</v>
      </c>
      <c r="I1561">
        <v>57.460752216366103</v>
      </c>
    </row>
    <row r="1562" spans="1:9" x14ac:dyDescent="0.35">
      <c r="A1562" s="417" t="s">
        <v>846</v>
      </c>
      <c r="B1562" s="417" t="s">
        <v>691</v>
      </c>
      <c r="C1562" s="83">
        <v>46192</v>
      </c>
      <c r="D1562" s="417" t="s">
        <v>295</v>
      </c>
      <c r="E1562">
        <v>1362.9138333333301</v>
      </c>
      <c r="F1562">
        <v>84</v>
      </c>
      <c r="G1562">
        <v>16.225164682539699</v>
      </c>
      <c r="H1562">
        <v>0.23649999999999999</v>
      </c>
      <c r="I1562">
        <v>69.732638973671797</v>
      </c>
    </row>
    <row r="1563" spans="1:9" x14ac:dyDescent="0.35">
      <c r="A1563" s="417" t="s">
        <v>846</v>
      </c>
      <c r="B1563" s="417" t="s">
        <v>691</v>
      </c>
      <c r="C1563" s="83">
        <v>46192</v>
      </c>
      <c r="D1563" s="417" t="s">
        <v>342</v>
      </c>
      <c r="E1563">
        <v>1367.63186666667</v>
      </c>
      <c r="F1563">
        <v>39</v>
      </c>
      <c r="G1563">
        <v>35.0674837606838</v>
      </c>
      <c r="H1563">
        <v>72.368133333333304</v>
      </c>
      <c r="I1563">
        <v>67.212301587301496</v>
      </c>
    </row>
    <row r="1564" spans="1:9" x14ac:dyDescent="0.35">
      <c r="A1564" s="417" t="s">
        <v>846</v>
      </c>
      <c r="B1564" s="417" t="s">
        <v>691</v>
      </c>
      <c r="C1564" s="83">
        <v>46192</v>
      </c>
      <c r="D1564" s="417" t="s">
        <v>310</v>
      </c>
      <c r="E1564">
        <v>1391.7590499999999</v>
      </c>
      <c r="F1564">
        <v>13</v>
      </c>
      <c r="G1564">
        <v>107.058388461538</v>
      </c>
      <c r="H1564">
        <v>0</v>
      </c>
      <c r="I1564">
        <v>73.154809978023295</v>
      </c>
    </row>
    <row r="1565" spans="1:9" x14ac:dyDescent="0.35">
      <c r="A1565" s="417" t="s">
        <v>846</v>
      </c>
      <c r="B1565" s="417" t="s">
        <v>691</v>
      </c>
      <c r="C1565" s="83">
        <v>46192</v>
      </c>
      <c r="D1565" s="417" t="s">
        <v>314</v>
      </c>
      <c r="E1565">
        <v>1275.3941833333299</v>
      </c>
      <c r="F1565">
        <v>7</v>
      </c>
      <c r="G1565">
        <v>182.19916904761899</v>
      </c>
      <c r="H1565">
        <v>0.12741666666666701</v>
      </c>
      <c r="I1565">
        <v>50.814496904481402</v>
      </c>
    </row>
    <row r="1566" spans="1:9" x14ac:dyDescent="0.35">
      <c r="A1566" s="417" t="s">
        <v>846</v>
      </c>
      <c r="B1566" s="417" t="s">
        <v>691</v>
      </c>
      <c r="C1566" s="83">
        <v>46192</v>
      </c>
      <c r="D1566" s="417" t="s">
        <v>313</v>
      </c>
      <c r="E1566">
        <v>1354.7267833333301</v>
      </c>
      <c r="F1566">
        <v>4</v>
      </c>
      <c r="G1566">
        <v>338.68169583333298</v>
      </c>
      <c r="H1566">
        <v>0</v>
      </c>
      <c r="I1566">
        <v>73.881072209836205</v>
      </c>
    </row>
    <row r="1567" spans="1:9" x14ac:dyDescent="0.35">
      <c r="A1567" s="417" t="s">
        <v>846</v>
      </c>
      <c r="B1567" s="417" t="s">
        <v>691</v>
      </c>
      <c r="C1567" s="83">
        <v>46192</v>
      </c>
      <c r="D1567" s="417" t="s">
        <v>317</v>
      </c>
      <c r="E1567">
        <v>1432.9984666666701</v>
      </c>
      <c r="F1567">
        <v>2</v>
      </c>
      <c r="G1567">
        <v>716.499233333333</v>
      </c>
      <c r="H1567">
        <v>0.30861666666666698</v>
      </c>
      <c r="I1567">
        <v>58.996429295071401</v>
      </c>
    </row>
    <row r="1568" spans="1:9" x14ac:dyDescent="0.35">
      <c r="A1568" s="417" t="s">
        <v>846</v>
      </c>
      <c r="B1568" s="417" t="s">
        <v>691</v>
      </c>
      <c r="C1568" s="83">
        <v>46192</v>
      </c>
      <c r="D1568" s="417" t="s">
        <v>504</v>
      </c>
      <c r="E1568">
        <v>1440</v>
      </c>
      <c r="F1568">
        <v>1</v>
      </c>
      <c r="G1568">
        <v>1440</v>
      </c>
      <c r="H1568">
        <v>0</v>
      </c>
      <c r="I1568">
        <v>33.8831790123457</v>
      </c>
    </row>
    <row r="1569" spans="1:9" x14ac:dyDescent="0.35">
      <c r="A1569" s="417" t="s">
        <v>846</v>
      </c>
      <c r="B1569" s="417" t="s">
        <v>676</v>
      </c>
      <c r="C1569" s="83">
        <v>46191</v>
      </c>
      <c r="D1569" s="417" t="s">
        <v>677</v>
      </c>
      <c r="E1569">
        <v>1259.6610166666701</v>
      </c>
      <c r="F1569">
        <v>124</v>
      </c>
      <c r="G1569">
        <v>10.158556586021501</v>
      </c>
      <c r="H1569">
        <v>132.32896666666699</v>
      </c>
      <c r="I1569">
        <v>27.5277777777777</v>
      </c>
    </row>
    <row r="1570" spans="1:9" x14ac:dyDescent="0.35">
      <c r="A1570" s="417" t="s">
        <v>846</v>
      </c>
      <c r="B1570" s="417" t="s">
        <v>676</v>
      </c>
      <c r="C1570" s="83">
        <v>46191</v>
      </c>
      <c r="D1570" s="417" t="s">
        <v>679</v>
      </c>
      <c r="E1570">
        <v>1362.6619333333299</v>
      </c>
      <c r="F1570">
        <v>25</v>
      </c>
      <c r="G1570">
        <v>54.506477333333301</v>
      </c>
      <c r="H1570">
        <v>20.346250000000001</v>
      </c>
      <c r="I1570">
        <v>94.428219278673595</v>
      </c>
    </row>
    <row r="1571" spans="1:9" x14ac:dyDescent="0.35">
      <c r="A1571" s="417" t="s">
        <v>846</v>
      </c>
      <c r="B1571" s="417" t="s">
        <v>676</v>
      </c>
      <c r="C1571" s="83">
        <v>46191</v>
      </c>
      <c r="D1571" s="417" t="s">
        <v>678</v>
      </c>
      <c r="E1571">
        <v>1382.15161666667</v>
      </c>
      <c r="F1571">
        <v>20</v>
      </c>
      <c r="G1571">
        <v>69.107580833333301</v>
      </c>
      <c r="H1571">
        <v>13.843916666666701</v>
      </c>
      <c r="I1571">
        <v>99.672477462081702</v>
      </c>
    </row>
    <row r="1572" spans="1:9" x14ac:dyDescent="0.35">
      <c r="A1572" s="417" t="s">
        <v>846</v>
      </c>
      <c r="B1572" s="417" t="s">
        <v>680</v>
      </c>
      <c r="C1572" s="83">
        <v>46191</v>
      </c>
      <c r="D1572" s="417" t="s">
        <v>689</v>
      </c>
      <c r="E1572">
        <v>1361.0306333333299</v>
      </c>
      <c r="F1572">
        <v>91</v>
      </c>
      <c r="G1572">
        <v>14.9563805860806</v>
      </c>
      <c r="H1572">
        <v>9.8333666666666701</v>
      </c>
      <c r="I1572">
        <v>77.553607886818497</v>
      </c>
    </row>
    <row r="1573" spans="1:9" x14ac:dyDescent="0.35">
      <c r="A1573" s="417" t="s">
        <v>846</v>
      </c>
      <c r="B1573" s="417" t="s">
        <v>680</v>
      </c>
      <c r="C1573" s="83">
        <v>46191</v>
      </c>
      <c r="D1573" s="417" t="s">
        <v>681</v>
      </c>
      <c r="E1573">
        <v>1287.1967833333299</v>
      </c>
      <c r="F1573">
        <v>65</v>
      </c>
      <c r="G1573">
        <v>19.803027435897398</v>
      </c>
      <c r="H1573">
        <v>5.6776</v>
      </c>
      <c r="I1573">
        <v>55.808963278564597</v>
      </c>
    </row>
    <row r="1574" spans="1:9" x14ac:dyDescent="0.35">
      <c r="A1574" s="417" t="s">
        <v>846</v>
      </c>
      <c r="B1574" s="417" t="s">
        <v>680</v>
      </c>
      <c r="C1574" s="83">
        <v>46191</v>
      </c>
      <c r="D1574" s="417" t="s">
        <v>684</v>
      </c>
      <c r="E1574">
        <v>1413.6621</v>
      </c>
      <c r="F1574">
        <v>30</v>
      </c>
      <c r="G1574">
        <v>47.122070000000001</v>
      </c>
      <c r="H1574">
        <v>16.163683333333299</v>
      </c>
      <c r="I1574">
        <v>80.760489372213797</v>
      </c>
    </row>
    <row r="1575" spans="1:9" x14ac:dyDescent="0.35">
      <c r="A1575" s="417" t="s">
        <v>846</v>
      </c>
      <c r="B1575" s="417" t="s">
        <v>680</v>
      </c>
      <c r="C1575" s="83">
        <v>46191</v>
      </c>
      <c r="D1575" s="417" t="s">
        <v>683</v>
      </c>
      <c r="E1575">
        <v>1344.8063500000001</v>
      </c>
      <c r="F1575">
        <v>29</v>
      </c>
      <c r="G1575">
        <v>46.372632758620703</v>
      </c>
      <c r="H1575">
        <v>14.31925</v>
      </c>
      <c r="I1575">
        <v>55.169137941936803</v>
      </c>
    </row>
    <row r="1576" spans="1:9" x14ac:dyDescent="0.35">
      <c r="A1576" s="417" t="s">
        <v>846</v>
      </c>
      <c r="B1576" s="417" t="s">
        <v>680</v>
      </c>
      <c r="C1576" s="83">
        <v>46191</v>
      </c>
      <c r="D1576" s="417" t="s">
        <v>682</v>
      </c>
      <c r="E1576">
        <v>1389.9973833333299</v>
      </c>
      <c r="F1576">
        <v>29</v>
      </c>
      <c r="G1576">
        <v>47.930944252873601</v>
      </c>
      <c r="H1576">
        <v>30.826783333333299</v>
      </c>
      <c r="I1576">
        <v>72.363636363636402</v>
      </c>
    </row>
    <row r="1577" spans="1:9" x14ac:dyDescent="0.35">
      <c r="A1577" s="417" t="s">
        <v>846</v>
      </c>
      <c r="B1577" s="417" t="s">
        <v>680</v>
      </c>
      <c r="C1577" s="83">
        <v>46191</v>
      </c>
      <c r="D1577" s="417" t="s">
        <v>685</v>
      </c>
      <c r="E1577">
        <v>1387.18986666667</v>
      </c>
      <c r="F1577">
        <v>25</v>
      </c>
      <c r="G1577">
        <v>55.487594666666702</v>
      </c>
      <c r="H1577">
        <v>18.832599999999999</v>
      </c>
      <c r="I1577">
        <v>75.176138396443704</v>
      </c>
    </row>
    <row r="1578" spans="1:9" x14ac:dyDescent="0.35">
      <c r="A1578" s="417" t="s">
        <v>846</v>
      </c>
      <c r="B1578" s="417" t="s">
        <v>680</v>
      </c>
      <c r="C1578" s="83">
        <v>46191</v>
      </c>
      <c r="D1578" s="417" t="s">
        <v>687</v>
      </c>
      <c r="E1578">
        <v>1417.1657</v>
      </c>
      <c r="F1578">
        <v>12</v>
      </c>
      <c r="G1578">
        <v>118.097141666667</v>
      </c>
      <c r="H1578">
        <v>17.161200000000001</v>
      </c>
      <c r="I1578">
        <v>44.670050143697701</v>
      </c>
    </row>
    <row r="1579" spans="1:9" x14ac:dyDescent="0.35">
      <c r="A1579" s="417" t="s">
        <v>846</v>
      </c>
      <c r="B1579" s="417" t="s">
        <v>680</v>
      </c>
      <c r="C1579" s="83">
        <v>46191</v>
      </c>
      <c r="D1579" s="417" t="s">
        <v>688</v>
      </c>
      <c r="E1579">
        <v>1336.5159333333299</v>
      </c>
      <c r="F1579">
        <v>7</v>
      </c>
      <c r="G1579">
        <v>190.930847619048</v>
      </c>
      <c r="H1579">
        <v>2.0002</v>
      </c>
      <c r="I1579">
        <v>51.3289642538995</v>
      </c>
    </row>
    <row r="1580" spans="1:9" x14ac:dyDescent="0.35">
      <c r="A1580" s="417" t="s">
        <v>846</v>
      </c>
      <c r="B1580" s="417" t="s">
        <v>680</v>
      </c>
      <c r="C1580" s="83">
        <v>46191</v>
      </c>
      <c r="D1580" s="417" t="s">
        <v>690</v>
      </c>
      <c r="E1580">
        <v>1354.0038999999999</v>
      </c>
      <c r="F1580">
        <v>6</v>
      </c>
      <c r="G1580">
        <v>225.66731666666701</v>
      </c>
      <c r="H1580">
        <v>4.6597499999999998</v>
      </c>
      <c r="I1580">
        <v>49.6576293187902</v>
      </c>
    </row>
    <row r="1581" spans="1:9" x14ac:dyDescent="0.35">
      <c r="A1581" s="417" t="s">
        <v>846</v>
      </c>
      <c r="B1581" s="417" t="s">
        <v>680</v>
      </c>
      <c r="C1581" s="83">
        <v>46191</v>
      </c>
      <c r="D1581" s="417" t="s">
        <v>686</v>
      </c>
      <c r="E1581">
        <v>1440</v>
      </c>
      <c r="F1581">
        <v>1</v>
      </c>
      <c r="G1581">
        <v>1440</v>
      </c>
      <c r="H1581">
        <v>0</v>
      </c>
      <c r="I1581">
        <v>110.67171717171701</v>
      </c>
    </row>
    <row r="1582" spans="1:9" x14ac:dyDescent="0.35">
      <c r="A1582" s="417" t="s">
        <v>846</v>
      </c>
      <c r="B1582" s="417" t="s">
        <v>691</v>
      </c>
      <c r="C1582" s="83">
        <v>46191</v>
      </c>
      <c r="D1582" s="417" t="s">
        <v>299</v>
      </c>
      <c r="E1582">
        <v>1315.5707500000001</v>
      </c>
      <c r="F1582">
        <v>143</v>
      </c>
      <c r="G1582">
        <v>9.1997954545454608</v>
      </c>
      <c r="H1582">
        <v>2.0520666666666698</v>
      </c>
      <c r="I1582">
        <v>69.834176020518299</v>
      </c>
    </row>
    <row r="1583" spans="1:9" x14ac:dyDescent="0.35">
      <c r="A1583" s="417" t="s">
        <v>846</v>
      </c>
      <c r="B1583" s="417" t="s">
        <v>691</v>
      </c>
      <c r="C1583" s="83">
        <v>46191</v>
      </c>
      <c r="D1583" s="417" t="s">
        <v>305</v>
      </c>
      <c r="E1583">
        <v>1329.87016666667</v>
      </c>
      <c r="F1583">
        <v>124</v>
      </c>
      <c r="G1583">
        <v>10.7247594086022</v>
      </c>
      <c r="H1583">
        <v>2.67641666666667</v>
      </c>
      <c r="I1583">
        <v>57.327217798686</v>
      </c>
    </row>
    <row r="1584" spans="1:9" x14ac:dyDescent="0.35">
      <c r="A1584" s="417" t="s">
        <v>846</v>
      </c>
      <c r="B1584" s="417" t="s">
        <v>691</v>
      </c>
      <c r="C1584" s="83">
        <v>46191</v>
      </c>
      <c r="D1584" s="417" t="s">
        <v>301</v>
      </c>
      <c r="E1584">
        <v>1320.65488333333</v>
      </c>
      <c r="F1584">
        <v>122</v>
      </c>
      <c r="G1584">
        <v>10.8250400273224</v>
      </c>
      <c r="H1584">
        <v>1.8435999999999999</v>
      </c>
      <c r="I1584">
        <v>48.603055523334199</v>
      </c>
    </row>
    <row r="1585" spans="1:9" x14ac:dyDescent="0.35">
      <c r="A1585" s="417" t="s">
        <v>846</v>
      </c>
      <c r="B1585" s="417" t="s">
        <v>691</v>
      </c>
      <c r="C1585" s="83">
        <v>46191</v>
      </c>
      <c r="D1585" s="417" t="s">
        <v>303</v>
      </c>
      <c r="E1585">
        <v>1329.28821666667</v>
      </c>
      <c r="F1585">
        <v>114</v>
      </c>
      <c r="G1585">
        <v>11.660422953216401</v>
      </c>
      <c r="H1585">
        <v>0.65064999999999995</v>
      </c>
      <c r="I1585">
        <v>61.036190730008101</v>
      </c>
    </row>
    <row r="1586" spans="1:9" x14ac:dyDescent="0.35">
      <c r="A1586" s="417" t="s">
        <v>846</v>
      </c>
      <c r="B1586" s="417" t="s">
        <v>691</v>
      </c>
      <c r="C1586" s="83">
        <v>46191</v>
      </c>
      <c r="D1586" s="417" t="s">
        <v>309</v>
      </c>
      <c r="E1586">
        <v>1314.1196333333301</v>
      </c>
      <c r="F1586">
        <v>114</v>
      </c>
      <c r="G1586">
        <v>11.5273652046784</v>
      </c>
      <c r="H1586">
        <v>0</v>
      </c>
      <c r="I1586">
        <v>55.231396857030703</v>
      </c>
    </row>
    <row r="1587" spans="1:9" x14ac:dyDescent="0.35">
      <c r="A1587" s="417" t="s">
        <v>846</v>
      </c>
      <c r="B1587" s="417" t="s">
        <v>691</v>
      </c>
      <c r="C1587" s="83">
        <v>46191</v>
      </c>
      <c r="D1587" s="417" t="s">
        <v>295</v>
      </c>
      <c r="E1587">
        <v>1329.9185500000001</v>
      </c>
      <c r="F1587">
        <v>75</v>
      </c>
      <c r="G1587">
        <v>17.732247333333301</v>
      </c>
      <c r="H1587">
        <v>0.42370000000000002</v>
      </c>
      <c r="I1587">
        <v>63.8787955852751</v>
      </c>
    </row>
    <row r="1588" spans="1:9" x14ac:dyDescent="0.35">
      <c r="A1588" s="417" t="s">
        <v>846</v>
      </c>
      <c r="B1588" s="417" t="s">
        <v>691</v>
      </c>
      <c r="C1588" s="83">
        <v>46191</v>
      </c>
      <c r="D1588" s="417" t="s">
        <v>342</v>
      </c>
      <c r="E1588">
        <v>1341.9351833333301</v>
      </c>
      <c r="F1588">
        <v>40</v>
      </c>
      <c r="G1588">
        <v>33.548379583333301</v>
      </c>
      <c r="H1588">
        <v>84.811800000000005</v>
      </c>
      <c r="I1588">
        <v>63.626857874360503</v>
      </c>
    </row>
    <row r="1589" spans="1:9" x14ac:dyDescent="0.35">
      <c r="A1589" s="417" t="s">
        <v>846</v>
      </c>
      <c r="B1589" s="417" t="s">
        <v>691</v>
      </c>
      <c r="C1589" s="83">
        <v>46191</v>
      </c>
      <c r="D1589" s="417" t="s">
        <v>310</v>
      </c>
      <c r="E1589">
        <v>1376.3568166666701</v>
      </c>
      <c r="F1589">
        <v>18</v>
      </c>
      <c r="G1589">
        <v>76.464267592592606</v>
      </c>
      <c r="H1589">
        <v>0</v>
      </c>
      <c r="I1589">
        <v>67.1549375164238</v>
      </c>
    </row>
    <row r="1590" spans="1:9" x14ac:dyDescent="0.35">
      <c r="A1590" s="417" t="s">
        <v>846</v>
      </c>
      <c r="B1590" s="417" t="s">
        <v>691</v>
      </c>
      <c r="C1590" s="83">
        <v>46191</v>
      </c>
      <c r="D1590" s="417" t="s">
        <v>314</v>
      </c>
      <c r="E1590">
        <v>1314.45098333333</v>
      </c>
      <c r="F1590">
        <v>16</v>
      </c>
      <c r="G1590">
        <v>82.153186458333394</v>
      </c>
      <c r="H1590">
        <v>5.4253999999999998</v>
      </c>
      <c r="I1590">
        <v>50.670669582012799</v>
      </c>
    </row>
    <row r="1591" spans="1:9" x14ac:dyDescent="0.35">
      <c r="A1591" s="417" t="s">
        <v>846</v>
      </c>
      <c r="B1591" s="417" t="s">
        <v>691</v>
      </c>
      <c r="C1591" s="83">
        <v>46191</v>
      </c>
      <c r="D1591" s="417" t="s">
        <v>317</v>
      </c>
      <c r="E1591">
        <v>1423.57553333333</v>
      </c>
      <c r="F1591">
        <v>4</v>
      </c>
      <c r="G1591">
        <v>355.89388333333301</v>
      </c>
      <c r="H1591">
        <v>3.9578000000000002</v>
      </c>
      <c r="I1591">
        <v>54.522271454413698</v>
      </c>
    </row>
    <row r="1592" spans="1:9" x14ac:dyDescent="0.35">
      <c r="A1592" s="417" t="s">
        <v>846</v>
      </c>
      <c r="B1592" s="417" t="s">
        <v>691</v>
      </c>
      <c r="C1592" s="83">
        <v>46191</v>
      </c>
      <c r="D1592" s="417" t="s">
        <v>313</v>
      </c>
      <c r="E1592">
        <v>1400.04936666667</v>
      </c>
      <c r="F1592">
        <v>3</v>
      </c>
      <c r="G1592">
        <v>466.68312222222198</v>
      </c>
      <c r="H1592">
        <v>0</v>
      </c>
      <c r="I1592">
        <v>69.274112994996401</v>
      </c>
    </row>
    <row r="1593" spans="1:9" x14ac:dyDescent="0.35">
      <c r="A1593" s="417" t="s">
        <v>846</v>
      </c>
      <c r="B1593" s="417" t="s">
        <v>691</v>
      </c>
      <c r="C1593" s="83">
        <v>46191</v>
      </c>
      <c r="D1593" s="417" t="s">
        <v>504</v>
      </c>
      <c r="E1593">
        <v>1440</v>
      </c>
      <c r="F1593">
        <v>1</v>
      </c>
      <c r="G1593">
        <v>1440</v>
      </c>
      <c r="H1593">
        <v>0</v>
      </c>
      <c r="I1593">
        <v>31.8327160493827</v>
      </c>
    </row>
    <row r="1594" spans="1:9" x14ac:dyDescent="0.35">
      <c r="A1594" s="417" t="s">
        <v>846</v>
      </c>
      <c r="B1594" s="417" t="s">
        <v>676</v>
      </c>
      <c r="C1594" s="83">
        <v>46190</v>
      </c>
      <c r="D1594" s="417" t="s">
        <v>677</v>
      </c>
      <c r="E1594">
        <v>1350.3026666666699</v>
      </c>
      <c r="F1594">
        <v>101</v>
      </c>
      <c r="G1594">
        <v>13.3693333333333</v>
      </c>
      <c r="H1594">
        <v>68.694033333333394</v>
      </c>
      <c r="I1594">
        <v>31.5552777777778</v>
      </c>
    </row>
    <row r="1595" spans="1:9" x14ac:dyDescent="0.35">
      <c r="A1595" s="417" t="s">
        <v>846</v>
      </c>
      <c r="B1595" s="417" t="s">
        <v>676</v>
      </c>
      <c r="C1595" s="83">
        <v>46190</v>
      </c>
      <c r="D1595" s="417" t="s">
        <v>679</v>
      </c>
      <c r="E1595">
        <v>1374.4591166666701</v>
      </c>
      <c r="F1595">
        <v>29</v>
      </c>
      <c r="G1595">
        <v>47.395141954023003</v>
      </c>
      <c r="H1595">
        <v>17.849799999999998</v>
      </c>
      <c r="I1595">
        <v>88.832058163337507</v>
      </c>
    </row>
    <row r="1596" spans="1:9" x14ac:dyDescent="0.35">
      <c r="A1596" s="417" t="s">
        <v>846</v>
      </c>
      <c r="B1596" s="417" t="s">
        <v>676</v>
      </c>
      <c r="C1596" s="83">
        <v>46190</v>
      </c>
      <c r="D1596" s="417" t="s">
        <v>678</v>
      </c>
      <c r="E1596">
        <v>1390.3169333333301</v>
      </c>
      <c r="F1596">
        <v>24</v>
      </c>
      <c r="G1596">
        <v>57.929872222222201</v>
      </c>
      <c r="H1596">
        <v>20.348666666666698</v>
      </c>
      <c r="I1596">
        <v>96.8356119739977</v>
      </c>
    </row>
    <row r="1597" spans="1:9" x14ac:dyDescent="0.35">
      <c r="A1597" s="417" t="s">
        <v>846</v>
      </c>
      <c r="B1597" s="417" t="s">
        <v>680</v>
      </c>
      <c r="C1597" s="83">
        <v>46190</v>
      </c>
      <c r="D1597" s="417" t="s">
        <v>689</v>
      </c>
      <c r="E1597">
        <v>585.448483333333</v>
      </c>
      <c r="F1597">
        <v>25</v>
      </c>
      <c r="G1597">
        <v>23.417939333333301</v>
      </c>
      <c r="H1597">
        <v>0.166833333333333</v>
      </c>
      <c r="I1597">
        <v>37.903754494582003</v>
      </c>
    </row>
    <row r="1598" spans="1:9" x14ac:dyDescent="0.35">
      <c r="A1598" s="417" t="s">
        <v>846</v>
      </c>
      <c r="B1598" s="417" t="s">
        <v>680</v>
      </c>
      <c r="C1598" s="83">
        <v>46190</v>
      </c>
      <c r="D1598" s="417" t="s">
        <v>681</v>
      </c>
      <c r="E1598">
        <v>579.52991666666696</v>
      </c>
      <c r="F1598">
        <v>9</v>
      </c>
      <c r="G1598">
        <v>64.392212962963001</v>
      </c>
      <c r="H1598">
        <v>0.16691666666666699</v>
      </c>
      <c r="I1598">
        <v>4.7572819970291604</v>
      </c>
    </row>
    <row r="1599" spans="1:9" x14ac:dyDescent="0.35">
      <c r="A1599" s="417" t="s">
        <v>846</v>
      </c>
      <c r="B1599" s="417" t="s">
        <v>680</v>
      </c>
      <c r="C1599" s="83">
        <v>46190</v>
      </c>
      <c r="D1599" s="417" t="s">
        <v>683</v>
      </c>
      <c r="E1599">
        <v>553.37620000000004</v>
      </c>
      <c r="F1599">
        <v>8</v>
      </c>
      <c r="G1599">
        <v>69.172025000000005</v>
      </c>
      <c r="H1599">
        <v>0</v>
      </c>
      <c r="I1599">
        <v>20.510472008504799</v>
      </c>
    </row>
    <row r="1600" spans="1:9" x14ac:dyDescent="0.35">
      <c r="A1600" s="417" t="s">
        <v>846</v>
      </c>
      <c r="B1600" s="417" t="s">
        <v>680</v>
      </c>
      <c r="C1600" s="83">
        <v>46190</v>
      </c>
      <c r="D1600" s="417" t="s">
        <v>687</v>
      </c>
      <c r="E1600">
        <v>948.16311666666695</v>
      </c>
      <c r="F1600">
        <v>7</v>
      </c>
      <c r="G1600">
        <v>135.45187380952399</v>
      </c>
      <c r="H1600">
        <v>3.4972166666666702</v>
      </c>
      <c r="I1600">
        <v>15.4931137736277</v>
      </c>
    </row>
    <row r="1601" spans="1:9" x14ac:dyDescent="0.35">
      <c r="A1601" s="417" t="s">
        <v>846</v>
      </c>
      <c r="B1601" s="417" t="s">
        <v>680</v>
      </c>
      <c r="C1601" s="83">
        <v>46190</v>
      </c>
      <c r="D1601" s="417" t="s">
        <v>682</v>
      </c>
      <c r="E1601">
        <v>595.84114999999997</v>
      </c>
      <c r="F1601">
        <v>7</v>
      </c>
      <c r="G1601">
        <v>85.120164285714296</v>
      </c>
      <c r="H1601">
        <v>4.1588500000000002</v>
      </c>
      <c r="I1601">
        <v>18.909090909090899</v>
      </c>
    </row>
    <row r="1602" spans="1:9" x14ac:dyDescent="0.35">
      <c r="A1602" s="417" t="s">
        <v>846</v>
      </c>
      <c r="B1602" s="417" t="s">
        <v>680</v>
      </c>
      <c r="C1602" s="83">
        <v>46190</v>
      </c>
      <c r="D1602" s="417" t="s">
        <v>690</v>
      </c>
      <c r="E1602">
        <v>459.566666666667</v>
      </c>
      <c r="F1602">
        <v>5</v>
      </c>
      <c r="G1602">
        <v>91.913333333333298</v>
      </c>
      <c r="H1602">
        <v>1.00006666666667</v>
      </c>
      <c r="I1602">
        <v>20.560368719605101</v>
      </c>
    </row>
    <row r="1603" spans="1:9" x14ac:dyDescent="0.35">
      <c r="A1603" s="417" t="s">
        <v>846</v>
      </c>
      <c r="B1603" s="417" t="s">
        <v>680</v>
      </c>
      <c r="C1603" s="83">
        <v>46190</v>
      </c>
      <c r="D1603" s="417" t="s">
        <v>684</v>
      </c>
      <c r="E1603">
        <v>542.15639999999996</v>
      </c>
      <c r="F1603">
        <v>4</v>
      </c>
      <c r="G1603">
        <v>135.53909999999999</v>
      </c>
      <c r="H1603">
        <v>0.16689999999999999</v>
      </c>
      <c r="I1603">
        <v>19.045473726639202</v>
      </c>
    </row>
    <row r="1604" spans="1:9" x14ac:dyDescent="0.35">
      <c r="A1604" s="417" t="s">
        <v>846</v>
      </c>
      <c r="B1604" s="417" t="s">
        <v>680</v>
      </c>
      <c r="C1604" s="83">
        <v>46190</v>
      </c>
      <c r="D1604" s="417" t="s">
        <v>685</v>
      </c>
      <c r="E1604">
        <v>598.17295000000001</v>
      </c>
      <c r="F1604">
        <v>3</v>
      </c>
      <c r="G1604">
        <v>199.390983333333</v>
      </c>
      <c r="H1604">
        <v>0</v>
      </c>
      <c r="I1604">
        <v>37.528851974388203</v>
      </c>
    </row>
    <row r="1605" spans="1:9" x14ac:dyDescent="0.35">
      <c r="A1605" s="417" t="s">
        <v>846</v>
      </c>
      <c r="B1605" s="417" t="s">
        <v>680</v>
      </c>
      <c r="C1605" s="83">
        <v>46190</v>
      </c>
      <c r="D1605" s="417" t="s">
        <v>688</v>
      </c>
      <c r="E1605">
        <v>510.25061666666699</v>
      </c>
      <c r="F1605">
        <v>2</v>
      </c>
      <c r="G1605">
        <v>255.12530833333301</v>
      </c>
      <c r="H1605">
        <v>0</v>
      </c>
      <c r="I1605">
        <v>3.7734281944307</v>
      </c>
    </row>
    <row r="1606" spans="1:9" x14ac:dyDescent="0.35">
      <c r="A1606" s="417" t="s">
        <v>846</v>
      </c>
      <c r="B1606" s="417" t="s">
        <v>680</v>
      </c>
      <c r="C1606" s="83">
        <v>46190</v>
      </c>
      <c r="D1606" s="417" t="s">
        <v>686</v>
      </c>
      <c r="E1606">
        <v>600</v>
      </c>
      <c r="F1606">
        <v>1</v>
      </c>
      <c r="G1606">
        <v>600</v>
      </c>
      <c r="H1606">
        <v>0</v>
      </c>
      <c r="I1606">
        <v>64.096969696969694</v>
      </c>
    </row>
    <row r="1607" spans="1:9" x14ac:dyDescent="0.35">
      <c r="A1607" s="417" t="s">
        <v>846</v>
      </c>
      <c r="B1607" s="417" t="s">
        <v>691</v>
      </c>
      <c r="C1607" s="83">
        <v>46190</v>
      </c>
      <c r="D1607" s="417" t="s">
        <v>305</v>
      </c>
      <c r="E1607">
        <v>1305.27281666667</v>
      </c>
      <c r="F1607">
        <v>168</v>
      </c>
      <c r="G1607">
        <v>7.7694810515872996</v>
      </c>
      <c r="H1607">
        <v>2.0605833333333301</v>
      </c>
      <c r="I1607">
        <v>53.774229256010102</v>
      </c>
    </row>
    <row r="1608" spans="1:9" x14ac:dyDescent="0.35">
      <c r="A1608" s="417" t="s">
        <v>846</v>
      </c>
      <c r="B1608" s="417" t="s">
        <v>691</v>
      </c>
      <c r="C1608" s="83">
        <v>46190</v>
      </c>
      <c r="D1608" s="417" t="s">
        <v>299</v>
      </c>
      <c r="E1608">
        <v>1335.2825333333301</v>
      </c>
      <c r="F1608">
        <v>112</v>
      </c>
      <c r="G1608">
        <v>11.9221654761905</v>
      </c>
      <c r="H1608">
        <v>0.40984999999999999</v>
      </c>
      <c r="I1608">
        <v>57.188402698241603</v>
      </c>
    </row>
    <row r="1609" spans="1:9" x14ac:dyDescent="0.35">
      <c r="A1609" s="417" t="s">
        <v>846</v>
      </c>
      <c r="B1609" s="417" t="s">
        <v>691</v>
      </c>
      <c r="C1609" s="83">
        <v>46190</v>
      </c>
      <c r="D1609" s="417" t="s">
        <v>303</v>
      </c>
      <c r="E1609">
        <v>1298.3986</v>
      </c>
      <c r="F1609">
        <v>110</v>
      </c>
      <c r="G1609">
        <v>11.8036236363636</v>
      </c>
      <c r="H1609">
        <v>0.96274999999999999</v>
      </c>
      <c r="I1609">
        <v>49.241239986415501</v>
      </c>
    </row>
    <row r="1610" spans="1:9" x14ac:dyDescent="0.35">
      <c r="A1610" s="417" t="s">
        <v>846</v>
      </c>
      <c r="B1610" s="417" t="s">
        <v>691</v>
      </c>
      <c r="C1610" s="83">
        <v>46190</v>
      </c>
      <c r="D1610" s="417" t="s">
        <v>301</v>
      </c>
      <c r="E1610">
        <v>1306.57128333333</v>
      </c>
      <c r="F1610">
        <v>107</v>
      </c>
      <c r="G1610">
        <v>12.2109465732087</v>
      </c>
      <c r="H1610">
        <v>4.4420666666666699</v>
      </c>
      <c r="I1610">
        <v>46.163001056774704</v>
      </c>
    </row>
    <row r="1611" spans="1:9" x14ac:dyDescent="0.35">
      <c r="A1611" s="417" t="s">
        <v>846</v>
      </c>
      <c r="B1611" s="417" t="s">
        <v>691</v>
      </c>
      <c r="C1611" s="83">
        <v>46190</v>
      </c>
      <c r="D1611" s="417" t="s">
        <v>342</v>
      </c>
      <c r="E1611">
        <v>1197.0390500000001</v>
      </c>
      <c r="F1611">
        <v>96</v>
      </c>
      <c r="G1611">
        <v>12.469156770833299</v>
      </c>
      <c r="H1611">
        <v>163.15969999999999</v>
      </c>
      <c r="I1611">
        <v>55.367063492063501</v>
      </c>
    </row>
    <row r="1612" spans="1:9" x14ac:dyDescent="0.35">
      <c r="A1612" s="417" t="s">
        <v>846</v>
      </c>
      <c r="B1612" s="417" t="s">
        <v>691</v>
      </c>
      <c r="C1612" s="83">
        <v>46190</v>
      </c>
      <c r="D1612" s="417" t="s">
        <v>309</v>
      </c>
      <c r="E1612">
        <v>1344.8801000000001</v>
      </c>
      <c r="F1612">
        <v>95</v>
      </c>
      <c r="G1612">
        <v>14.1566326315789</v>
      </c>
      <c r="H1612">
        <v>0.14000000000000001</v>
      </c>
      <c r="I1612">
        <v>57.650236921909503</v>
      </c>
    </row>
    <row r="1613" spans="1:9" x14ac:dyDescent="0.35">
      <c r="A1613" s="417" t="s">
        <v>846</v>
      </c>
      <c r="B1613" s="417" t="s">
        <v>691</v>
      </c>
      <c r="C1613" s="83">
        <v>46190</v>
      </c>
      <c r="D1613" s="417" t="s">
        <v>295</v>
      </c>
      <c r="E1613">
        <v>1285.2354333333301</v>
      </c>
      <c r="F1613">
        <v>92</v>
      </c>
      <c r="G1613">
        <v>13.9699503623188</v>
      </c>
      <c r="H1613">
        <v>2.0812333333333299</v>
      </c>
      <c r="I1613">
        <v>58.192303561532697</v>
      </c>
    </row>
    <row r="1614" spans="1:9" x14ac:dyDescent="0.35">
      <c r="A1614" s="417" t="s">
        <v>846</v>
      </c>
      <c r="B1614" s="417" t="s">
        <v>691</v>
      </c>
      <c r="C1614" s="83">
        <v>46190</v>
      </c>
      <c r="D1614" s="417" t="s">
        <v>310</v>
      </c>
      <c r="E1614">
        <v>1331.6977666666701</v>
      </c>
      <c r="F1614">
        <v>8</v>
      </c>
      <c r="G1614">
        <v>166.46222083333299</v>
      </c>
      <c r="H1614">
        <v>0.45590000000000003</v>
      </c>
      <c r="I1614">
        <v>62.033872021489302</v>
      </c>
    </row>
    <row r="1615" spans="1:9" x14ac:dyDescent="0.35">
      <c r="A1615" s="417" t="s">
        <v>846</v>
      </c>
      <c r="B1615" s="417" t="s">
        <v>691</v>
      </c>
      <c r="C1615" s="83">
        <v>46190</v>
      </c>
      <c r="D1615" s="417" t="s">
        <v>313</v>
      </c>
      <c r="E1615">
        <v>1277.2123833333301</v>
      </c>
      <c r="F1615">
        <v>7</v>
      </c>
      <c r="G1615">
        <v>182.458911904762</v>
      </c>
      <c r="H1615">
        <v>0</v>
      </c>
      <c r="I1615">
        <v>55.149763861114998</v>
      </c>
    </row>
    <row r="1616" spans="1:9" x14ac:dyDescent="0.35">
      <c r="A1616" s="417" t="s">
        <v>846</v>
      </c>
      <c r="B1616" s="417" t="s">
        <v>691</v>
      </c>
      <c r="C1616" s="83">
        <v>46190</v>
      </c>
      <c r="D1616" s="417" t="s">
        <v>317</v>
      </c>
      <c r="E1616">
        <v>1338.5170499999999</v>
      </c>
      <c r="F1616">
        <v>3</v>
      </c>
      <c r="G1616">
        <v>446.17234999999999</v>
      </c>
      <c r="H1616">
        <v>4.6739499999999996</v>
      </c>
      <c r="I1616">
        <v>42.0625</v>
      </c>
    </row>
    <row r="1617" spans="1:9" x14ac:dyDescent="0.35">
      <c r="A1617" s="417" t="s">
        <v>846</v>
      </c>
      <c r="B1617" s="417" t="s">
        <v>691</v>
      </c>
      <c r="C1617" s="83">
        <v>46190</v>
      </c>
      <c r="D1617" s="417" t="s">
        <v>314</v>
      </c>
      <c r="E1617">
        <v>1347.09631666667</v>
      </c>
      <c r="F1617">
        <v>3</v>
      </c>
      <c r="G1617">
        <v>449.03210555555597</v>
      </c>
      <c r="H1617">
        <v>2.52166666666667E-2</v>
      </c>
      <c r="I1617">
        <v>43.0586544631241</v>
      </c>
    </row>
    <row r="1618" spans="1:9" x14ac:dyDescent="0.35">
      <c r="A1618" s="417" t="s">
        <v>846</v>
      </c>
      <c r="B1618" s="417" t="s">
        <v>691</v>
      </c>
      <c r="C1618" s="83">
        <v>46190</v>
      </c>
      <c r="D1618" s="417" t="s">
        <v>504</v>
      </c>
      <c r="E1618">
        <v>1440</v>
      </c>
      <c r="F1618">
        <v>1</v>
      </c>
      <c r="G1618">
        <v>1440</v>
      </c>
      <c r="H1618">
        <v>0</v>
      </c>
      <c r="I1618">
        <v>36.451697530864202</v>
      </c>
    </row>
    <row r="1619" spans="1:9" x14ac:dyDescent="0.35">
      <c r="A1619" s="417" t="s">
        <v>846</v>
      </c>
      <c r="B1619" s="417" t="s">
        <v>676</v>
      </c>
      <c r="C1619" s="83">
        <v>46189</v>
      </c>
      <c r="D1619" s="417" t="s">
        <v>677</v>
      </c>
      <c r="E1619">
        <v>1210.6799000000001</v>
      </c>
      <c r="F1619">
        <v>191</v>
      </c>
      <c r="G1619">
        <v>6.33863821989529</v>
      </c>
      <c r="H1619">
        <v>125.31</v>
      </c>
      <c r="I1619">
        <v>25.6455555555555</v>
      </c>
    </row>
    <row r="1620" spans="1:9" x14ac:dyDescent="0.35">
      <c r="A1620" s="417" t="s">
        <v>846</v>
      </c>
      <c r="B1620" s="417" t="s">
        <v>676</v>
      </c>
      <c r="C1620" s="83">
        <v>46189</v>
      </c>
      <c r="D1620" s="417" t="s">
        <v>678</v>
      </c>
      <c r="E1620">
        <v>1295.3452833333299</v>
      </c>
      <c r="F1620">
        <v>27</v>
      </c>
      <c r="G1620">
        <v>47.975751234567902</v>
      </c>
      <c r="H1620">
        <v>27.986516666666699</v>
      </c>
      <c r="I1620">
        <v>87.599345832995198</v>
      </c>
    </row>
    <row r="1621" spans="1:9" x14ac:dyDescent="0.35">
      <c r="A1621" s="417" t="s">
        <v>846</v>
      </c>
      <c r="B1621" s="417" t="s">
        <v>676</v>
      </c>
      <c r="C1621" s="83">
        <v>46189</v>
      </c>
      <c r="D1621" s="417" t="s">
        <v>679</v>
      </c>
      <c r="E1621">
        <v>1258.3147833333301</v>
      </c>
      <c r="F1621">
        <v>26</v>
      </c>
      <c r="G1621">
        <v>48.396722435897402</v>
      </c>
      <c r="H1621">
        <v>36.671349999999997</v>
      </c>
      <c r="I1621">
        <v>82.771285272964604</v>
      </c>
    </row>
    <row r="1622" spans="1:9" x14ac:dyDescent="0.35">
      <c r="A1622" s="417" t="s">
        <v>846</v>
      </c>
      <c r="B1622" s="417" t="s">
        <v>680</v>
      </c>
      <c r="C1622" s="83">
        <v>46189</v>
      </c>
      <c r="D1622" s="417" t="s">
        <v>681</v>
      </c>
      <c r="E1622">
        <v>181.36003333333301</v>
      </c>
      <c r="F1622">
        <v>1</v>
      </c>
      <c r="G1622">
        <v>181.36003333333301</v>
      </c>
      <c r="H1622">
        <v>0</v>
      </c>
      <c r="I1622">
        <v>0</v>
      </c>
    </row>
    <row r="1623" spans="1:9" x14ac:dyDescent="0.35">
      <c r="A1623" s="417" t="s">
        <v>846</v>
      </c>
      <c r="B1623" s="417" t="s">
        <v>680</v>
      </c>
      <c r="C1623" s="83">
        <v>46189</v>
      </c>
      <c r="D1623" s="417" t="s">
        <v>690</v>
      </c>
      <c r="E1623">
        <v>120</v>
      </c>
      <c r="F1623">
        <v>1</v>
      </c>
      <c r="G1623">
        <v>120</v>
      </c>
      <c r="H1623">
        <v>0</v>
      </c>
      <c r="I1623">
        <v>0</v>
      </c>
    </row>
    <row r="1624" spans="1:9" x14ac:dyDescent="0.35">
      <c r="A1624" s="417" t="s">
        <v>846</v>
      </c>
      <c r="B1624" s="417" t="s">
        <v>680</v>
      </c>
      <c r="C1624" s="83">
        <v>46189</v>
      </c>
      <c r="D1624" s="417" t="s">
        <v>683</v>
      </c>
      <c r="E1624">
        <v>181.36003333333301</v>
      </c>
      <c r="F1624">
        <v>1</v>
      </c>
      <c r="G1624">
        <v>181.36003333333301</v>
      </c>
      <c r="H1624">
        <v>0</v>
      </c>
      <c r="I1624">
        <v>0</v>
      </c>
    </row>
    <row r="1625" spans="1:9" x14ac:dyDescent="0.35">
      <c r="A1625" s="417" t="s">
        <v>846</v>
      </c>
      <c r="B1625" s="417" t="s">
        <v>680</v>
      </c>
      <c r="C1625" s="83">
        <v>46189</v>
      </c>
      <c r="D1625" s="417" t="s">
        <v>688</v>
      </c>
      <c r="E1625">
        <v>120</v>
      </c>
      <c r="F1625">
        <v>1</v>
      </c>
      <c r="G1625">
        <v>120</v>
      </c>
      <c r="H1625">
        <v>0</v>
      </c>
      <c r="I1625">
        <v>0</v>
      </c>
    </row>
    <row r="1626" spans="1:9" x14ac:dyDescent="0.35">
      <c r="A1626" s="417" t="s">
        <v>846</v>
      </c>
      <c r="B1626" s="417" t="s">
        <v>680</v>
      </c>
      <c r="C1626" s="83">
        <v>46189</v>
      </c>
      <c r="D1626" s="417" t="s">
        <v>687</v>
      </c>
      <c r="E1626">
        <v>120</v>
      </c>
      <c r="F1626">
        <v>1</v>
      </c>
      <c r="G1626">
        <v>120</v>
      </c>
      <c r="H1626">
        <v>0</v>
      </c>
      <c r="I1626">
        <v>0</v>
      </c>
    </row>
    <row r="1627" spans="1:9" x14ac:dyDescent="0.35">
      <c r="A1627" s="417" t="s">
        <v>846</v>
      </c>
      <c r="B1627" s="417" t="s">
        <v>691</v>
      </c>
      <c r="C1627" s="83">
        <v>46189</v>
      </c>
      <c r="D1627" s="417" t="s">
        <v>305</v>
      </c>
      <c r="E1627">
        <v>1274.4081333333299</v>
      </c>
      <c r="F1627">
        <v>224</v>
      </c>
      <c r="G1627">
        <v>5.6893220238095203</v>
      </c>
      <c r="H1627">
        <v>11.371866666666699</v>
      </c>
      <c r="I1627">
        <v>54.335012677088798</v>
      </c>
    </row>
    <row r="1628" spans="1:9" x14ac:dyDescent="0.35">
      <c r="A1628" s="417" t="s">
        <v>846</v>
      </c>
      <c r="B1628" s="417" t="s">
        <v>691</v>
      </c>
      <c r="C1628" s="83">
        <v>46189</v>
      </c>
      <c r="D1628" s="417" t="s">
        <v>299</v>
      </c>
      <c r="E1628">
        <v>1306.8685333333301</v>
      </c>
      <c r="F1628">
        <v>136</v>
      </c>
      <c r="G1628">
        <v>9.6093274509803894</v>
      </c>
      <c r="H1628">
        <v>1.1321666666666701</v>
      </c>
      <c r="I1628">
        <v>64.247839865482405</v>
      </c>
    </row>
    <row r="1629" spans="1:9" x14ac:dyDescent="0.35">
      <c r="A1629" s="417" t="s">
        <v>846</v>
      </c>
      <c r="B1629" s="417" t="s">
        <v>691</v>
      </c>
      <c r="C1629" s="83">
        <v>46189</v>
      </c>
      <c r="D1629" s="417" t="s">
        <v>295</v>
      </c>
      <c r="E1629">
        <v>1292.2553499999999</v>
      </c>
      <c r="F1629">
        <v>134</v>
      </c>
      <c r="G1629">
        <v>9.6436966417910401</v>
      </c>
      <c r="H1629">
        <v>0.15968333333333301</v>
      </c>
      <c r="I1629">
        <v>64.325428513799807</v>
      </c>
    </row>
    <row r="1630" spans="1:9" x14ac:dyDescent="0.35">
      <c r="A1630" s="417" t="s">
        <v>846</v>
      </c>
      <c r="B1630" s="417" t="s">
        <v>691</v>
      </c>
      <c r="C1630" s="83">
        <v>46189</v>
      </c>
      <c r="D1630" s="417" t="s">
        <v>309</v>
      </c>
      <c r="E1630">
        <v>1353.0949499999999</v>
      </c>
      <c r="F1630">
        <v>117</v>
      </c>
      <c r="G1630">
        <v>11.564914102564099</v>
      </c>
      <c r="H1630">
        <v>0</v>
      </c>
      <c r="I1630">
        <v>59.822703699705002</v>
      </c>
    </row>
    <row r="1631" spans="1:9" x14ac:dyDescent="0.35">
      <c r="A1631" s="417" t="s">
        <v>846</v>
      </c>
      <c r="B1631" s="417" t="s">
        <v>691</v>
      </c>
      <c r="C1631" s="83">
        <v>46189</v>
      </c>
      <c r="D1631" s="417" t="s">
        <v>303</v>
      </c>
      <c r="E1631">
        <v>1311.89825</v>
      </c>
      <c r="F1631">
        <v>94</v>
      </c>
      <c r="G1631">
        <v>13.9563643617021</v>
      </c>
      <c r="H1631">
        <v>0.55673333333333297</v>
      </c>
      <c r="I1631">
        <v>52.147919892374198</v>
      </c>
    </row>
    <row r="1632" spans="1:9" x14ac:dyDescent="0.35">
      <c r="A1632" s="417" t="s">
        <v>846</v>
      </c>
      <c r="B1632" s="417" t="s">
        <v>691</v>
      </c>
      <c r="C1632" s="83">
        <v>46189</v>
      </c>
      <c r="D1632" s="417" t="s">
        <v>301</v>
      </c>
      <c r="E1632">
        <v>1331.6472000000001</v>
      </c>
      <c r="F1632">
        <v>74</v>
      </c>
      <c r="G1632">
        <v>17.995232432432399</v>
      </c>
      <c r="H1632">
        <v>2.9458333333333302</v>
      </c>
      <c r="I1632">
        <v>54.327107485949298</v>
      </c>
    </row>
    <row r="1633" spans="1:9" x14ac:dyDescent="0.35">
      <c r="A1633" s="417" t="s">
        <v>846</v>
      </c>
      <c r="B1633" s="417" t="s">
        <v>691</v>
      </c>
      <c r="C1633" s="83">
        <v>46189</v>
      </c>
      <c r="D1633" s="417" t="s">
        <v>342</v>
      </c>
      <c r="E1633">
        <v>1341.0142499999999</v>
      </c>
      <c r="F1633">
        <v>42</v>
      </c>
      <c r="G1633">
        <v>31.928910714285699</v>
      </c>
      <c r="H1633">
        <v>78.374300000000005</v>
      </c>
      <c r="I1633">
        <v>66.319444444444301</v>
      </c>
    </row>
    <row r="1634" spans="1:9" x14ac:dyDescent="0.35">
      <c r="A1634" s="417" t="s">
        <v>846</v>
      </c>
      <c r="B1634" s="417" t="s">
        <v>691</v>
      </c>
      <c r="C1634" s="83">
        <v>46189</v>
      </c>
      <c r="D1634" s="417" t="s">
        <v>310</v>
      </c>
      <c r="E1634">
        <v>1389.6392166666701</v>
      </c>
      <c r="F1634">
        <v>20</v>
      </c>
      <c r="G1634">
        <v>69.481960833333304</v>
      </c>
      <c r="H1634">
        <v>0.39643333333333303</v>
      </c>
      <c r="I1634">
        <v>65.775718378541299</v>
      </c>
    </row>
    <row r="1635" spans="1:9" x14ac:dyDescent="0.35">
      <c r="A1635" s="417" t="s">
        <v>846</v>
      </c>
      <c r="B1635" s="417" t="s">
        <v>691</v>
      </c>
      <c r="C1635" s="83">
        <v>46189</v>
      </c>
      <c r="D1635" s="417" t="s">
        <v>313</v>
      </c>
      <c r="E1635">
        <v>1355.38468333333</v>
      </c>
      <c r="F1635">
        <v>10</v>
      </c>
      <c r="G1635">
        <v>135.53846833333299</v>
      </c>
      <c r="H1635">
        <v>9.3133333333333304E-2</v>
      </c>
      <c r="I1635">
        <v>60.497336786927001</v>
      </c>
    </row>
    <row r="1636" spans="1:9" x14ac:dyDescent="0.35">
      <c r="A1636" s="417" t="s">
        <v>846</v>
      </c>
      <c r="B1636" s="417" t="s">
        <v>691</v>
      </c>
      <c r="C1636" s="83">
        <v>46189</v>
      </c>
      <c r="D1636" s="417" t="s">
        <v>314</v>
      </c>
      <c r="E1636">
        <v>1358.48178333333</v>
      </c>
      <c r="F1636">
        <v>7</v>
      </c>
      <c r="G1636">
        <v>194.06882619047599</v>
      </c>
      <c r="H1636">
        <v>0.39465</v>
      </c>
      <c r="I1636">
        <v>53.035901457209498</v>
      </c>
    </row>
    <row r="1637" spans="1:9" x14ac:dyDescent="0.35">
      <c r="A1637" s="417" t="s">
        <v>846</v>
      </c>
      <c r="B1637" s="417" t="s">
        <v>691</v>
      </c>
      <c r="C1637" s="83">
        <v>46189</v>
      </c>
      <c r="D1637" s="417" t="s">
        <v>317</v>
      </c>
      <c r="E1637">
        <v>1438.20865</v>
      </c>
      <c r="F1637">
        <v>4</v>
      </c>
      <c r="G1637">
        <v>359.55216250000001</v>
      </c>
      <c r="H1637">
        <v>1.6089</v>
      </c>
      <c r="I1637">
        <v>47.458753715010602</v>
      </c>
    </row>
    <row r="1638" spans="1:9" x14ac:dyDescent="0.35">
      <c r="A1638" s="417" t="s">
        <v>846</v>
      </c>
      <c r="B1638" s="417" t="s">
        <v>691</v>
      </c>
      <c r="C1638" s="83">
        <v>46189</v>
      </c>
      <c r="D1638" s="417" t="s">
        <v>504</v>
      </c>
      <c r="E1638">
        <v>1440</v>
      </c>
      <c r="F1638">
        <v>1</v>
      </c>
      <c r="G1638">
        <v>1440</v>
      </c>
      <c r="H1638">
        <v>0</v>
      </c>
      <c r="I1638">
        <v>35.314506172839501</v>
      </c>
    </row>
    <row r="1639" spans="1:9" x14ac:dyDescent="0.35">
      <c r="A1639" s="417" t="s">
        <v>846</v>
      </c>
      <c r="B1639" s="417" t="s">
        <v>676</v>
      </c>
      <c r="C1639" s="83">
        <v>46188</v>
      </c>
      <c r="D1639" s="417" t="s">
        <v>677</v>
      </c>
      <c r="E1639">
        <v>1329.8203166666699</v>
      </c>
      <c r="F1639">
        <v>140</v>
      </c>
      <c r="G1639">
        <v>9.4987165476190505</v>
      </c>
      <c r="H1639">
        <v>96.677583333333303</v>
      </c>
      <c r="I1639">
        <v>34.088888888888903</v>
      </c>
    </row>
    <row r="1640" spans="1:9" x14ac:dyDescent="0.35">
      <c r="A1640" s="417" t="s">
        <v>846</v>
      </c>
      <c r="B1640" s="417" t="s">
        <v>676</v>
      </c>
      <c r="C1640" s="83">
        <v>46188</v>
      </c>
      <c r="D1640" s="417" t="s">
        <v>678</v>
      </c>
      <c r="E1640">
        <v>1328.2075500000001</v>
      </c>
      <c r="F1640">
        <v>52</v>
      </c>
      <c r="G1640">
        <v>25.5424528846154</v>
      </c>
      <c r="H1640">
        <v>32.949833333333302</v>
      </c>
      <c r="I1640">
        <v>83.004721246594201</v>
      </c>
    </row>
    <row r="1641" spans="1:9" x14ac:dyDescent="0.35">
      <c r="A1641" s="417" t="s">
        <v>846</v>
      </c>
      <c r="B1641" s="417" t="s">
        <v>676</v>
      </c>
      <c r="C1641" s="83">
        <v>46188</v>
      </c>
      <c r="D1641" s="417" t="s">
        <v>679</v>
      </c>
      <c r="E1641">
        <v>1324.2873999999999</v>
      </c>
      <c r="F1641">
        <v>18</v>
      </c>
      <c r="G1641">
        <v>73.5715222222222</v>
      </c>
      <c r="H1641">
        <v>23.31945</v>
      </c>
      <c r="I1641">
        <v>71.546799029398599</v>
      </c>
    </row>
    <row r="1642" spans="1:9" x14ac:dyDescent="0.35">
      <c r="A1642" s="417" t="s">
        <v>846</v>
      </c>
      <c r="B1642" s="417" t="s">
        <v>680</v>
      </c>
      <c r="C1642" s="83">
        <v>46188</v>
      </c>
      <c r="D1642" s="417" t="s">
        <v>681</v>
      </c>
      <c r="E1642">
        <v>31.9068</v>
      </c>
      <c r="F1642">
        <v>1</v>
      </c>
      <c r="G1642">
        <v>31.9068</v>
      </c>
      <c r="H1642">
        <v>0</v>
      </c>
      <c r="I1642">
        <v>0</v>
      </c>
    </row>
    <row r="1643" spans="1:9" x14ac:dyDescent="0.35">
      <c r="A1643" s="417" t="s">
        <v>846</v>
      </c>
      <c r="B1643" s="417" t="s">
        <v>680</v>
      </c>
      <c r="C1643" s="83">
        <v>46188</v>
      </c>
      <c r="D1643" s="417" t="s">
        <v>683</v>
      </c>
      <c r="E1643">
        <v>32.907566666666703</v>
      </c>
      <c r="F1643">
        <v>1</v>
      </c>
      <c r="G1643">
        <v>32.907566666666703</v>
      </c>
      <c r="H1643">
        <v>0</v>
      </c>
      <c r="I1643">
        <v>0</v>
      </c>
    </row>
    <row r="1644" spans="1:9" x14ac:dyDescent="0.35">
      <c r="A1644" s="417" t="s">
        <v>846</v>
      </c>
      <c r="B1644" s="417" t="s">
        <v>691</v>
      </c>
      <c r="C1644" s="83">
        <v>46188</v>
      </c>
      <c r="D1644" s="417" t="s">
        <v>299</v>
      </c>
      <c r="E1644">
        <v>1303.7052166666699</v>
      </c>
      <c r="F1644">
        <v>189</v>
      </c>
      <c r="G1644">
        <v>6.8979111992945299</v>
      </c>
      <c r="H1644">
        <v>2.2175166666666701</v>
      </c>
      <c r="I1644">
        <v>61.450373376060597</v>
      </c>
    </row>
    <row r="1645" spans="1:9" x14ac:dyDescent="0.35">
      <c r="A1645" s="417" t="s">
        <v>846</v>
      </c>
      <c r="B1645" s="417" t="s">
        <v>691</v>
      </c>
      <c r="C1645" s="83">
        <v>46188</v>
      </c>
      <c r="D1645" s="417" t="s">
        <v>295</v>
      </c>
      <c r="E1645">
        <v>1317.3639000000001</v>
      </c>
      <c r="F1645">
        <v>150</v>
      </c>
      <c r="G1645">
        <v>8.7824259999999992</v>
      </c>
      <c r="H1645">
        <v>0.53961666666666697</v>
      </c>
      <c r="I1645">
        <v>68.150230917679707</v>
      </c>
    </row>
    <row r="1646" spans="1:9" x14ac:dyDescent="0.35">
      <c r="A1646" s="417" t="s">
        <v>846</v>
      </c>
      <c r="B1646" s="417" t="s">
        <v>691</v>
      </c>
      <c r="C1646" s="83">
        <v>46188</v>
      </c>
      <c r="D1646" s="417" t="s">
        <v>305</v>
      </c>
      <c r="E1646">
        <v>1159.84916666667</v>
      </c>
      <c r="F1646">
        <v>142</v>
      </c>
      <c r="G1646">
        <v>8.1679518779342697</v>
      </c>
      <c r="H1646">
        <v>2.4896500000000001</v>
      </c>
      <c r="I1646">
        <v>52.2008584638427</v>
      </c>
    </row>
    <row r="1647" spans="1:9" x14ac:dyDescent="0.35">
      <c r="A1647" s="417" t="s">
        <v>846</v>
      </c>
      <c r="B1647" s="417" t="s">
        <v>691</v>
      </c>
      <c r="C1647" s="83">
        <v>46188</v>
      </c>
      <c r="D1647" s="417" t="s">
        <v>309</v>
      </c>
      <c r="E1647">
        <v>1220.04205</v>
      </c>
      <c r="F1647">
        <v>106</v>
      </c>
      <c r="G1647">
        <v>11.5098306603774</v>
      </c>
      <c r="H1647">
        <v>0</v>
      </c>
      <c r="I1647">
        <v>50.148594423231899</v>
      </c>
    </row>
    <row r="1648" spans="1:9" x14ac:dyDescent="0.35">
      <c r="A1648" s="417" t="s">
        <v>846</v>
      </c>
      <c r="B1648" s="417" t="s">
        <v>691</v>
      </c>
      <c r="C1648" s="83">
        <v>46188</v>
      </c>
      <c r="D1648" s="417" t="s">
        <v>303</v>
      </c>
      <c r="E1648">
        <v>1353.27371666667</v>
      </c>
      <c r="F1648">
        <v>92</v>
      </c>
      <c r="G1648">
        <v>14.709496920289901</v>
      </c>
      <c r="H1648">
        <v>0.98680000000000001</v>
      </c>
      <c r="I1648">
        <v>47.606643739551998</v>
      </c>
    </row>
    <row r="1649" spans="1:9" x14ac:dyDescent="0.35">
      <c r="A1649" s="417" t="s">
        <v>846</v>
      </c>
      <c r="B1649" s="417" t="s">
        <v>691</v>
      </c>
      <c r="C1649" s="83">
        <v>46188</v>
      </c>
      <c r="D1649" s="417" t="s">
        <v>342</v>
      </c>
      <c r="E1649">
        <v>1204.8114499999999</v>
      </c>
      <c r="F1649">
        <v>86</v>
      </c>
      <c r="G1649">
        <v>14.009435465116301</v>
      </c>
      <c r="H1649">
        <v>235.18854999999999</v>
      </c>
      <c r="I1649">
        <v>46.765873015873098</v>
      </c>
    </row>
    <row r="1650" spans="1:9" x14ac:dyDescent="0.35">
      <c r="A1650" s="417" t="s">
        <v>846</v>
      </c>
      <c r="B1650" s="417" t="s">
        <v>691</v>
      </c>
      <c r="C1650" s="83">
        <v>46188</v>
      </c>
      <c r="D1650" s="417" t="s">
        <v>301</v>
      </c>
      <c r="E1650">
        <v>1358.1953333333299</v>
      </c>
      <c r="F1650">
        <v>75</v>
      </c>
      <c r="G1650">
        <v>18.109271111111099</v>
      </c>
      <c r="H1650">
        <v>0.67263333333333297</v>
      </c>
      <c r="I1650">
        <v>43.088257803694397</v>
      </c>
    </row>
    <row r="1651" spans="1:9" x14ac:dyDescent="0.35">
      <c r="A1651" s="417" t="s">
        <v>846</v>
      </c>
      <c r="B1651" s="417" t="s">
        <v>691</v>
      </c>
      <c r="C1651" s="83">
        <v>46188</v>
      </c>
      <c r="D1651" s="417" t="s">
        <v>314</v>
      </c>
      <c r="E1651">
        <v>1301.19155</v>
      </c>
      <c r="F1651">
        <v>10</v>
      </c>
      <c r="G1651">
        <v>130.11915500000001</v>
      </c>
      <c r="H1651">
        <v>0.28358333333333302</v>
      </c>
      <c r="I1651">
        <v>40.361695451590997</v>
      </c>
    </row>
    <row r="1652" spans="1:9" x14ac:dyDescent="0.35">
      <c r="A1652" s="417" t="s">
        <v>846</v>
      </c>
      <c r="B1652" s="417" t="s">
        <v>691</v>
      </c>
      <c r="C1652" s="83">
        <v>46188</v>
      </c>
      <c r="D1652" s="417" t="s">
        <v>317</v>
      </c>
      <c r="E1652">
        <v>1433.2136</v>
      </c>
      <c r="F1652">
        <v>6</v>
      </c>
      <c r="G1652">
        <v>238.86893333333299</v>
      </c>
      <c r="H1652">
        <v>1.34496666666667</v>
      </c>
      <c r="I1652">
        <v>43.405724204544498</v>
      </c>
    </row>
    <row r="1653" spans="1:9" x14ac:dyDescent="0.35">
      <c r="A1653" s="417" t="s">
        <v>846</v>
      </c>
      <c r="B1653" s="417" t="s">
        <v>691</v>
      </c>
      <c r="C1653" s="83">
        <v>46188</v>
      </c>
      <c r="D1653" s="417" t="s">
        <v>310</v>
      </c>
      <c r="E1653">
        <v>1395.0968</v>
      </c>
      <c r="F1653">
        <v>4</v>
      </c>
      <c r="G1653">
        <v>348.77420000000001</v>
      </c>
      <c r="H1653">
        <v>0</v>
      </c>
      <c r="I1653">
        <v>71.117935302479694</v>
      </c>
    </row>
    <row r="1654" spans="1:9" x14ac:dyDescent="0.35">
      <c r="A1654" s="417" t="s">
        <v>846</v>
      </c>
      <c r="B1654" s="417" t="s">
        <v>691</v>
      </c>
      <c r="C1654" s="83">
        <v>46188</v>
      </c>
      <c r="D1654" s="417" t="s">
        <v>313</v>
      </c>
      <c r="E1654">
        <v>1361.7281666666699</v>
      </c>
      <c r="F1654">
        <v>4</v>
      </c>
      <c r="G1654">
        <v>340.43204166666698</v>
      </c>
      <c r="H1654">
        <v>0</v>
      </c>
      <c r="I1654">
        <v>63.656055209840403</v>
      </c>
    </row>
    <row r="1655" spans="1:9" x14ac:dyDescent="0.35">
      <c r="A1655" s="417" t="s">
        <v>846</v>
      </c>
      <c r="B1655" s="417" t="s">
        <v>691</v>
      </c>
      <c r="C1655" s="83">
        <v>46188</v>
      </c>
      <c r="D1655" s="417" t="s">
        <v>504</v>
      </c>
      <c r="E1655">
        <v>1440</v>
      </c>
      <c r="F1655">
        <v>1</v>
      </c>
      <c r="G1655">
        <v>1440</v>
      </c>
      <c r="H1655">
        <v>0</v>
      </c>
      <c r="I1655">
        <v>31.904166666666701</v>
      </c>
    </row>
    <row r="1656" spans="1:9" x14ac:dyDescent="0.35">
      <c r="A1656" s="417" t="s">
        <v>846</v>
      </c>
      <c r="B1656" s="417" t="s">
        <v>676</v>
      </c>
      <c r="C1656" s="83">
        <v>46187</v>
      </c>
      <c r="D1656" s="417" t="s">
        <v>677</v>
      </c>
      <c r="E1656">
        <v>1204.3350333333301</v>
      </c>
      <c r="F1656">
        <v>194</v>
      </c>
      <c r="G1656">
        <v>6.2079125429553299</v>
      </c>
      <c r="H1656">
        <v>121.82021666666699</v>
      </c>
      <c r="I1656">
        <v>24.51</v>
      </c>
    </row>
    <row r="1657" spans="1:9" x14ac:dyDescent="0.35">
      <c r="A1657" s="417" t="s">
        <v>846</v>
      </c>
      <c r="B1657" s="417" t="s">
        <v>676</v>
      </c>
      <c r="C1657" s="83">
        <v>46187</v>
      </c>
      <c r="D1657" s="417" t="s">
        <v>678</v>
      </c>
      <c r="E1657">
        <v>1180.98111666667</v>
      </c>
      <c r="F1657">
        <v>58</v>
      </c>
      <c r="G1657">
        <v>20.361743390804602</v>
      </c>
      <c r="H1657">
        <v>87.845450000000099</v>
      </c>
      <c r="I1657">
        <v>15.332111373436</v>
      </c>
    </row>
    <row r="1658" spans="1:9" x14ac:dyDescent="0.35">
      <c r="A1658" s="417" t="s">
        <v>846</v>
      </c>
      <c r="B1658" s="417" t="s">
        <v>676</v>
      </c>
      <c r="C1658" s="83">
        <v>46187</v>
      </c>
      <c r="D1658" s="417" t="s">
        <v>679</v>
      </c>
      <c r="E1658">
        <v>1211.4900833333299</v>
      </c>
      <c r="F1658">
        <v>29</v>
      </c>
      <c r="G1658">
        <v>41.775520114942502</v>
      </c>
      <c r="H1658">
        <v>27.6659333333333</v>
      </c>
      <c r="I1658">
        <v>68.569789053062607</v>
      </c>
    </row>
    <row r="1659" spans="1:9" x14ac:dyDescent="0.35">
      <c r="A1659" s="417" t="s">
        <v>846</v>
      </c>
      <c r="B1659" s="417" t="s">
        <v>691</v>
      </c>
      <c r="C1659" s="83">
        <v>46187</v>
      </c>
      <c r="D1659" s="417" t="s">
        <v>295</v>
      </c>
      <c r="E1659">
        <v>1291.16198333333</v>
      </c>
      <c r="F1659">
        <v>141</v>
      </c>
      <c r="G1659">
        <v>9.1571771867612295</v>
      </c>
      <c r="H1659">
        <v>0.21829999999999999</v>
      </c>
      <c r="I1659">
        <v>51.611176449592797</v>
      </c>
    </row>
    <row r="1660" spans="1:9" x14ac:dyDescent="0.35">
      <c r="A1660" s="417" t="s">
        <v>846</v>
      </c>
      <c r="B1660" s="417" t="s">
        <v>691</v>
      </c>
      <c r="C1660" s="83">
        <v>46187</v>
      </c>
      <c r="D1660" s="417" t="s">
        <v>299</v>
      </c>
      <c r="E1660">
        <v>1295.8899833333301</v>
      </c>
      <c r="F1660">
        <v>124</v>
      </c>
      <c r="G1660">
        <v>10.450725672042999</v>
      </c>
      <c r="H1660">
        <v>0.68069999999999997</v>
      </c>
      <c r="I1660">
        <v>46.616641897901602</v>
      </c>
    </row>
    <row r="1661" spans="1:9" x14ac:dyDescent="0.35">
      <c r="A1661" s="417" t="s">
        <v>846</v>
      </c>
      <c r="B1661" s="417" t="s">
        <v>691</v>
      </c>
      <c r="C1661" s="83">
        <v>46187</v>
      </c>
      <c r="D1661" s="417" t="s">
        <v>305</v>
      </c>
      <c r="E1661">
        <v>1333.90086666667</v>
      </c>
      <c r="F1661">
        <v>100</v>
      </c>
      <c r="G1661">
        <v>13.3390086666667</v>
      </c>
      <c r="H1661">
        <v>6.5223333333333304</v>
      </c>
      <c r="I1661">
        <v>49.291897171458899</v>
      </c>
    </row>
    <row r="1662" spans="1:9" x14ac:dyDescent="0.35">
      <c r="A1662" s="417" t="s">
        <v>846</v>
      </c>
      <c r="B1662" s="417" t="s">
        <v>691</v>
      </c>
      <c r="C1662" s="83">
        <v>46187</v>
      </c>
      <c r="D1662" s="417" t="s">
        <v>309</v>
      </c>
      <c r="E1662">
        <v>1306.3901166666701</v>
      </c>
      <c r="F1662">
        <v>88</v>
      </c>
      <c r="G1662">
        <v>14.8453422348485</v>
      </c>
      <c r="H1662">
        <v>0</v>
      </c>
      <c r="I1662">
        <v>46.769280291748998</v>
      </c>
    </row>
    <row r="1663" spans="1:9" x14ac:dyDescent="0.35">
      <c r="A1663" s="417" t="s">
        <v>846</v>
      </c>
      <c r="B1663" s="417" t="s">
        <v>691</v>
      </c>
      <c r="C1663" s="83">
        <v>46187</v>
      </c>
      <c r="D1663" s="417" t="s">
        <v>342</v>
      </c>
      <c r="E1663">
        <v>1265.2632000000001</v>
      </c>
      <c r="F1663">
        <v>77</v>
      </c>
      <c r="G1663">
        <v>16.4319896103896</v>
      </c>
      <c r="H1663">
        <v>161.487416666667</v>
      </c>
      <c r="I1663">
        <v>48.144841269841201</v>
      </c>
    </row>
    <row r="1664" spans="1:9" x14ac:dyDescent="0.35">
      <c r="A1664" s="417" t="s">
        <v>846</v>
      </c>
      <c r="B1664" s="417" t="s">
        <v>691</v>
      </c>
      <c r="C1664" s="83">
        <v>46187</v>
      </c>
      <c r="D1664" s="417" t="s">
        <v>301</v>
      </c>
      <c r="E1664">
        <v>1382.7139500000001</v>
      </c>
      <c r="F1664">
        <v>61</v>
      </c>
      <c r="G1664">
        <v>22.667441803278699</v>
      </c>
      <c r="H1664">
        <v>0.143133333333333</v>
      </c>
      <c r="I1664">
        <v>31.594184002992201</v>
      </c>
    </row>
    <row r="1665" spans="1:9" x14ac:dyDescent="0.35">
      <c r="A1665" s="417" t="s">
        <v>846</v>
      </c>
      <c r="B1665" s="417" t="s">
        <v>691</v>
      </c>
      <c r="C1665" s="83">
        <v>46187</v>
      </c>
      <c r="D1665" s="417" t="s">
        <v>303</v>
      </c>
      <c r="E1665">
        <v>1383.40423333333</v>
      </c>
      <c r="F1665">
        <v>60</v>
      </c>
      <c r="G1665">
        <v>23.0567372222222</v>
      </c>
      <c r="H1665">
        <v>4.8535666666666701</v>
      </c>
      <c r="I1665">
        <v>31.4708526957487</v>
      </c>
    </row>
    <row r="1666" spans="1:9" x14ac:dyDescent="0.35">
      <c r="A1666" s="417" t="s">
        <v>846</v>
      </c>
      <c r="B1666" s="417" t="s">
        <v>691</v>
      </c>
      <c r="C1666" s="83">
        <v>46187</v>
      </c>
      <c r="D1666" s="417" t="s">
        <v>313</v>
      </c>
      <c r="E1666">
        <v>1378.0543</v>
      </c>
      <c r="F1666">
        <v>10</v>
      </c>
      <c r="G1666">
        <v>137.80543</v>
      </c>
      <c r="H1666">
        <v>12.413916666666699</v>
      </c>
      <c r="I1666">
        <v>48.122988929372497</v>
      </c>
    </row>
    <row r="1667" spans="1:9" x14ac:dyDescent="0.35">
      <c r="A1667" s="417" t="s">
        <v>846</v>
      </c>
      <c r="B1667" s="417" t="s">
        <v>691</v>
      </c>
      <c r="C1667" s="83">
        <v>46187</v>
      </c>
      <c r="D1667" s="417" t="s">
        <v>310</v>
      </c>
      <c r="E1667">
        <v>1359.8896</v>
      </c>
      <c r="F1667">
        <v>7</v>
      </c>
      <c r="G1667">
        <v>194.26994285714301</v>
      </c>
      <c r="H1667">
        <v>0</v>
      </c>
      <c r="I1667">
        <v>49.066087775196202</v>
      </c>
    </row>
    <row r="1668" spans="1:9" x14ac:dyDescent="0.35">
      <c r="A1668" s="417" t="s">
        <v>846</v>
      </c>
      <c r="B1668" s="417" t="s">
        <v>691</v>
      </c>
      <c r="C1668" s="83">
        <v>46187</v>
      </c>
      <c r="D1668" s="417" t="s">
        <v>314</v>
      </c>
      <c r="E1668">
        <v>1402.3132333333299</v>
      </c>
      <c r="F1668">
        <v>4</v>
      </c>
      <c r="G1668">
        <v>350.57830833333298</v>
      </c>
      <c r="H1668">
        <v>7.5883333333333303E-2</v>
      </c>
      <c r="I1668">
        <v>25.5345572648326</v>
      </c>
    </row>
    <row r="1669" spans="1:9" x14ac:dyDescent="0.35">
      <c r="A1669" s="417" t="s">
        <v>846</v>
      </c>
      <c r="B1669" s="417" t="s">
        <v>691</v>
      </c>
      <c r="C1669" s="83">
        <v>46187</v>
      </c>
      <c r="D1669" s="417" t="s">
        <v>504</v>
      </c>
      <c r="E1669">
        <v>1440</v>
      </c>
      <c r="F1669">
        <v>1</v>
      </c>
      <c r="G1669">
        <v>1440</v>
      </c>
      <c r="H1669">
        <v>0</v>
      </c>
      <c r="I1669">
        <v>26.250771604938301</v>
      </c>
    </row>
    <row r="1670" spans="1:9" x14ac:dyDescent="0.35">
      <c r="A1670" s="417" t="s">
        <v>846</v>
      </c>
      <c r="B1670" s="417" t="s">
        <v>691</v>
      </c>
      <c r="C1670" s="83">
        <v>46187</v>
      </c>
      <c r="D1670" s="417" t="s">
        <v>317</v>
      </c>
      <c r="E1670">
        <v>1440</v>
      </c>
      <c r="F1670">
        <v>1</v>
      </c>
      <c r="G1670">
        <v>1440</v>
      </c>
      <c r="H1670">
        <v>0</v>
      </c>
      <c r="I1670">
        <v>30.1875</v>
      </c>
    </row>
    <row r="1671" spans="1:9" x14ac:dyDescent="0.35">
      <c r="A1671" s="417" t="s">
        <v>846</v>
      </c>
      <c r="B1671" s="417" t="s">
        <v>676</v>
      </c>
      <c r="C1671" s="83">
        <v>46186</v>
      </c>
      <c r="D1671" s="417" t="s">
        <v>677</v>
      </c>
      <c r="E1671">
        <v>1142.02406666667</v>
      </c>
      <c r="F1671">
        <v>264</v>
      </c>
      <c r="G1671">
        <v>4.3258487373737404</v>
      </c>
      <c r="H1671">
        <v>204.958216666667</v>
      </c>
      <c r="I1671">
        <v>20.871944444444399</v>
      </c>
    </row>
    <row r="1672" spans="1:9" x14ac:dyDescent="0.35">
      <c r="A1672" s="417" t="s">
        <v>846</v>
      </c>
      <c r="B1672" s="417" t="s">
        <v>676</v>
      </c>
      <c r="C1672" s="83">
        <v>46186</v>
      </c>
      <c r="D1672" s="417" t="s">
        <v>679</v>
      </c>
      <c r="E1672">
        <v>1301.95898333333</v>
      </c>
      <c r="F1672">
        <v>24</v>
      </c>
      <c r="G1672">
        <v>54.2482909722222</v>
      </c>
      <c r="H1672">
        <v>22.510183333333298</v>
      </c>
      <c r="I1672">
        <v>64.9630592564463</v>
      </c>
    </row>
    <row r="1673" spans="1:9" x14ac:dyDescent="0.35">
      <c r="A1673" s="417" t="s">
        <v>846</v>
      </c>
      <c r="B1673" s="417" t="s">
        <v>676</v>
      </c>
      <c r="C1673" s="83">
        <v>46186</v>
      </c>
      <c r="D1673" s="417" t="s">
        <v>678</v>
      </c>
      <c r="E1673">
        <v>1300.64476666667</v>
      </c>
      <c r="F1673">
        <v>19</v>
      </c>
      <c r="G1673">
        <v>68.454987719298302</v>
      </c>
      <c r="H1673">
        <v>15.160866666666699</v>
      </c>
      <c r="I1673">
        <v>0.49855387709368199</v>
      </c>
    </row>
    <row r="1674" spans="1:9" x14ac:dyDescent="0.35">
      <c r="A1674" s="417" t="s">
        <v>846</v>
      </c>
      <c r="B1674" s="417" t="s">
        <v>680</v>
      </c>
      <c r="C1674" s="83">
        <v>46186</v>
      </c>
      <c r="D1674" s="417" t="s">
        <v>681</v>
      </c>
      <c r="E1674">
        <v>473.83345000000003</v>
      </c>
      <c r="F1674">
        <v>1</v>
      </c>
      <c r="G1674">
        <v>473.83345000000003</v>
      </c>
      <c r="H1674">
        <v>0</v>
      </c>
      <c r="I1674">
        <v>0</v>
      </c>
    </row>
    <row r="1675" spans="1:9" x14ac:dyDescent="0.35">
      <c r="A1675" s="417" t="s">
        <v>846</v>
      </c>
      <c r="B1675" s="417" t="s">
        <v>691</v>
      </c>
      <c r="C1675" s="83">
        <v>46186</v>
      </c>
      <c r="D1675" s="417" t="s">
        <v>295</v>
      </c>
      <c r="E1675">
        <v>1209.3814666666699</v>
      </c>
      <c r="F1675">
        <v>157</v>
      </c>
      <c r="G1675">
        <v>7.7030666666666701</v>
      </c>
      <c r="H1675">
        <v>0.91421666666666701</v>
      </c>
      <c r="I1675">
        <v>61.214008818852001</v>
      </c>
    </row>
    <row r="1676" spans="1:9" x14ac:dyDescent="0.35">
      <c r="A1676" s="417" t="s">
        <v>846</v>
      </c>
      <c r="B1676" s="417" t="s">
        <v>691</v>
      </c>
      <c r="C1676" s="83">
        <v>46186</v>
      </c>
      <c r="D1676" s="417" t="s">
        <v>303</v>
      </c>
      <c r="E1676">
        <v>1216.2655999999999</v>
      </c>
      <c r="F1676">
        <v>140</v>
      </c>
      <c r="G1676">
        <v>8.6876114285714294</v>
      </c>
      <c r="H1676">
        <v>1.34988333333333</v>
      </c>
      <c r="I1676">
        <v>37.745967679973504</v>
      </c>
    </row>
    <row r="1677" spans="1:9" x14ac:dyDescent="0.35">
      <c r="A1677" s="417" t="s">
        <v>846</v>
      </c>
      <c r="B1677" s="417" t="s">
        <v>691</v>
      </c>
      <c r="C1677" s="83">
        <v>46186</v>
      </c>
      <c r="D1677" s="417" t="s">
        <v>305</v>
      </c>
      <c r="E1677">
        <v>1319.4504666666701</v>
      </c>
      <c r="F1677">
        <v>114</v>
      </c>
      <c r="G1677">
        <v>11.574126900584799</v>
      </c>
      <c r="H1677">
        <v>3.3323166666666699</v>
      </c>
      <c r="I1677">
        <v>48.999168550718998</v>
      </c>
    </row>
    <row r="1678" spans="1:9" x14ac:dyDescent="0.35">
      <c r="A1678" s="417" t="s">
        <v>846</v>
      </c>
      <c r="B1678" s="417" t="s">
        <v>691</v>
      </c>
      <c r="C1678" s="83">
        <v>46186</v>
      </c>
      <c r="D1678" s="417" t="s">
        <v>299</v>
      </c>
      <c r="E1678">
        <v>1347.85535</v>
      </c>
      <c r="F1678">
        <v>109</v>
      </c>
      <c r="G1678">
        <v>12.365645412844</v>
      </c>
      <c r="H1678">
        <v>0.95823333333333305</v>
      </c>
      <c r="I1678">
        <v>47.358909778779598</v>
      </c>
    </row>
    <row r="1679" spans="1:9" x14ac:dyDescent="0.35">
      <c r="A1679" s="417" t="s">
        <v>846</v>
      </c>
      <c r="B1679" s="417" t="s">
        <v>691</v>
      </c>
      <c r="C1679" s="83">
        <v>46186</v>
      </c>
      <c r="D1679" s="417" t="s">
        <v>301</v>
      </c>
      <c r="E1679">
        <v>1249.0324333333299</v>
      </c>
      <c r="F1679">
        <v>89</v>
      </c>
      <c r="G1679">
        <v>14.0340722846442</v>
      </c>
      <c r="H1679">
        <v>1.79095</v>
      </c>
      <c r="I1679">
        <v>45.848688011921404</v>
      </c>
    </row>
    <row r="1680" spans="1:9" x14ac:dyDescent="0.35">
      <c r="A1680" s="417" t="s">
        <v>846</v>
      </c>
      <c r="B1680" s="417" t="s">
        <v>691</v>
      </c>
      <c r="C1680" s="83">
        <v>46186</v>
      </c>
      <c r="D1680" s="417" t="s">
        <v>309</v>
      </c>
      <c r="E1680">
        <v>1315.80116666667</v>
      </c>
      <c r="F1680">
        <v>66</v>
      </c>
      <c r="G1680">
        <v>19.936381313131299</v>
      </c>
      <c r="H1680">
        <v>0</v>
      </c>
      <c r="I1680">
        <v>50.0333579504304</v>
      </c>
    </row>
    <row r="1681" spans="1:9" x14ac:dyDescent="0.35">
      <c r="A1681" s="417" t="s">
        <v>846</v>
      </c>
      <c r="B1681" s="417" t="s">
        <v>691</v>
      </c>
      <c r="C1681" s="83">
        <v>46186</v>
      </c>
      <c r="D1681" s="417" t="s">
        <v>342</v>
      </c>
      <c r="E1681">
        <v>1385.25955</v>
      </c>
      <c r="F1681">
        <v>37</v>
      </c>
      <c r="G1681">
        <v>37.439447297297299</v>
      </c>
      <c r="H1681">
        <v>54.740450000000003</v>
      </c>
      <c r="I1681">
        <v>57.698412698412497</v>
      </c>
    </row>
    <row r="1682" spans="1:9" x14ac:dyDescent="0.35">
      <c r="A1682" s="417" t="s">
        <v>846</v>
      </c>
      <c r="B1682" s="417" t="s">
        <v>691</v>
      </c>
      <c r="C1682" s="83">
        <v>46186</v>
      </c>
      <c r="D1682" s="417" t="s">
        <v>317</v>
      </c>
      <c r="E1682">
        <v>985.49884999999995</v>
      </c>
      <c r="F1682">
        <v>5</v>
      </c>
      <c r="G1682">
        <v>197.09977000000001</v>
      </c>
      <c r="H1682">
        <v>4.4148666666666703</v>
      </c>
      <c r="I1682">
        <v>15.2549376214488</v>
      </c>
    </row>
    <row r="1683" spans="1:9" x14ac:dyDescent="0.35">
      <c r="A1683" s="417" t="s">
        <v>846</v>
      </c>
      <c r="B1683" s="417" t="s">
        <v>691</v>
      </c>
      <c r="C1683" s="83">
        <v>46186</v>
      </c>
      <c r="D1683" s="417" t="s">
        <v>313</v>
      </c>
      <c r="E1683">
        <v>1019.14356666667</v>
      </c>
      <c r="F1683">
        <v>2</v>
      </c>
      <c r="G1683">
        <v>509.57178333333297</v>
      </c>
      <c r="H1683">
        <v>0</v>
      </c>
      <c r="I1683">
        <v>34.496595422350097</v>
      </c>
    </row>
    <row r="1684" spans="1:9" x14ac:dyDescent="0.35">
      <c r="A1684" s="417" t="s">
        <v>846</v>
      </c>
      <c r="B1684" s="417" t="s">
        <v>691</v>
      </c>
      <c r="C1684" s="83">
        <v>46186</v>
      </c>
      <c r="D1684" s="417" t="s">
        <v>314</v>
      </c>
      <c r="E1684">
        <v>1050.6220333333299</v>
      </c>
      <c r="F1684">
        <v>1</v>
      </c>
      <c r="G1684">
        <v>1050.6220333333299</v>
      </c>
      <c r="H1684">
        <v>0</v>
      </c>
      <c r="I1684">
        <v>21.577693290968199</v>
      </c>
    </row>
    <row r="1685" spans="1:9" x14ac:dyDescent="0.35">
      <c r="A1685" s="417" t="s">
        <v>846</v>
      </c>
      <c r="B1685" s="417" t="s">
        <v>691</v>
      </c>
      <c r="C1685" s="83">
        <v>46186</v>
      </c>
      <c r="D1685" s="417" t="s">
        <v>310</v>
      </c>
      <c r="E1685">
        <v>844.36398333333295</v>
      </c>
      <c r="F1685">
        <v>1</v>
      </c>
      <c r="G1685">
        <v>844.36398333333295</v>
      </c>
      <c r="H1685">
        <v>0</v>
      </c>
      <c r="I1685">
        <v>32.675481835548801</v>
      </c>
    </row>
    <row r="1686" spans="1:9" x14ac:dyDescent="0.35">
      <c r="A1686" s="417" t="s">
        <v>846</v>
      </c>
      <c r="B1686" s="417" t="s">
        <v>691</v>
      </c>
      <c r="C1686" s="83">
        <v>46186</v>
      </c>
      <c r="D1686" s="417" t="s">
        <v>504</v>
      </c>
      <c r="E1686">
        <v>1440</v>
      </c>
      <c r="F1686">
        <v>1</v>
      </c>
      <c r="G1686">
        <v>1440</v>
      </c>
      <c r="H1686">
        <v>0</v>
      </c>
      <c r="I1686">
        <v>23.960648148148099</v>
      </c>
    </row>
    <row r="1687" spans="1:9" x14ac:dyDescent="0.35">
      <c r="A1687" s="417" t="s">
        <v>846</v>
      </c>
      <c r="B1687" s="417" t="s">
        <v>676</v>
      </c>
      <c r="C1687" s="83">
        <v>46185</v>
      </c>
      <c r="D1687" s="417" t="s">
        <v>677</v>
      </c>
      <c r="E1687">
        <v>1098.65998333333</v>
      </c>
      <c r="F1687">
        <v>148</v>
      </c>
      <c r="G1687">
        <v>7.4233782657657699</v>
      </c>
      <c r="H1687">
        <v>83.815383333333301</v>
      </c>
      <c r="I1687">
        <v>4.2463888888888901</v>
      </c>
    </row>
    <row r="1688" spans="1:9" x14ac:dyDescent="0.35">
      <c r="A1688" s="417" t="s">
        <v>846</v>
      </c>
      <c r="B1688" s="417" t="s">
        <v>676</v>
      </c>
      <c r="C1688" s="83">
        <v>46185</v>
      </c>
      <c r="D1688" s="417" t="s">
        <v>678</v>
      </c>
      <c r="E1688">
        <v>1102.6722</v>
      </c>
      <c r="F1688">
        <v>27</v>
      </c>
      <c r="G1688">
        <v>40.8397111111111</v>
      </c>
      <c r="H1688">
        <v>10.815849999999999</v>
      </c>
      <c r="I1688">
        <v>74.800231607971099</v>
      </c>
    </row>
    <row r="1689" spans="1:9" x14ac:dyDescent="0.35">
      <c r="A1689" s="417" t="s">
        <v>846</v>
      </c>
      <c r="B1689" s="417" t="s">
        <v>676</v>
      </c>
      <c r="C1689" s="83">
        <v>46185</v>
      </c>
      <c r="D1689" s="417" t="s">
        <v>679</v>
      </c>
      <c r="E1689">
        <v>1142.79316666667</v>
      </c>
      <c r="F1689">
        <v>12</v>
      </c>
      <c r="G1689">
        <v>95.232763888888897</v>
      </c>
      <c r="H1689">
        <v>7.5031166666666698</v>
      </c>
      <c r="I1689">
        <v>79.186299523299795</v>
      </c>
    </row>
    <row r="1690" spans="1:9" x14ac:dyDescent="0.35">
      <c r="A1690" s="417" t="s">
        <v>846</v>
      </c>
      <c r="B1690" s="417" t="s">
        <v>691</v>
      </c>
      <c r="C1690" s="83">
        <v>46185</v>
      </c>
      <c r="D1690" s="417" t="s">
        <v>295</v>
      </c>
      <c r="E1690">
        <v>1364.3679833333299</v>
      </c>
      <c r="F1690">
        <v>188</v>
      </c>
      <c r="G1690">
        <v>7.2572765070922003</v>
      </c>
      <c r="H1690">
        <v>2.1390333333333298</v>
      </c>
      <c r="I1690">
        <v>72.990891660906001</v>
      </c>
    </row>
    <row r="1691" spans="1:9" x14ac:dyDescent="0.35">
      <c r="A1691" s="417" t="s">
        <v>846</v>
      </c>
      <c r="B1691" s="417" t="s">
        <v>691</v>
      </c>
      <c r="C1691" s="83">
        <v>46185</v>
      </c>
      <c r="D1691" s="417" t="s">
        <v>303</v>
      </c>
      <c r="E1691">
        <v>1358.0491666666701</v>
      </c>
      <c r="F1691">
        <v>152</v>
      </c>
      <c r="G1691">
        <v>8.9345339912280703</v>
      </c>
      <c r="H1691">
        <v>1.056</v>
      </c>
      <c r="I1691">
        <v>50.473309583986698</v>
      </c>
    </row>
    <row r="1692" spans="1:9" x14ac:dyDescent="0.35">
      <c r="A1692" s="417" t="s">
        <v>846</v>
      </c>
      <c r="B1692" s="417" t="s">
        <v>691</v>
      </c>
      <c r="C1692" s="83">
        <v>46185</v>
      </c>
      <c r="D1692" s="417" t="s">
        <v>342</v>
      </c>
      <c r="E1692">
        <v>1246.8492000000001</v>
      </c>
      <c r="F1692">
        <v>79</v>
      </c>
      <c r="G1692">
        <v>15.782901265822799</v>
      </c>
      <c r="H1692">
        <v>153.58705</v>
      </c>
      <c r="I1692">
        <v>51.567460317460203</v>
      </c>
    </row>
    <row r="1693" spans="1:9" x14ac:dyDescent="0.35">
      <c r="A1693" s="417" t="s">
        <v>846</v>
      </c>
      <c r="B1693" s="417" t="s">
        <v>691</v>
      </c>
      <c r="C1693" s="83">
        <v>46185</v>
      </c>
      <c r="D1693" s="417" t="s">
        <v>299</v>
      </c>
      <c r="E1693">
        <v>1399.5152333333299</v>
      </c>
      <c r="F1693">
        <v>78</v>
      </c>
      <c r="G1693">
        <v>17.942502991453001</v>
      </c>
      <c r="H1693">
        <v>0.16693333333333299</v>
      </c>
      <c r="I1693">
        <v>52.437418729970197</v>
      </c>
    </row>
    <row r="1694" spans="1:9" x14ac:dyDescent="0.35">
      <c r="A1694" s="417" t="s">
        <v>846</v>
      </c>
      <c r="B1694" s="417" t="s">
        <v>691</v>
      </c>
      <c r="C1694" s="83">
        <v>46185</v>
      </c>
      <c r="D1694" s="417" t="s">
        <v>305</v>
      </c>
      <c r="E1694">
        <v>1328.8329333333299</v>
      </c>
      <c r="F1694">
        <v>77</v>
      </c>
      <c r="G1694">
        <v>17.257570562770599</v>
      </c>
      <c r="H1694">
        <v>3.9586333333333301</v>
      </c>
      <c r="I1694">
        <v>46.613669630466902</v>
      </c>
    </row>
    <row r="1695" spans="1:9" x14ac:dyDescent="0.35">
      <c r="A1695" s="417" t="s">
        <v>846</v>
      </c>
      <c r="B1695" s="417" t="s">
        <v>691</v>
      </c>
      <c r="C1695" s="83">
        <v>46185</v>
      </c>
      <c r="D1695" s="417" t="s">
        <v>301</v>
      </c>
      <c r="E1695">
        <v>1400.77843333333</v>
      </c>
      <c r="F1695">
        <v>74</v>
      </c>
      <c r="G1695">
        <v>18.929438288288299</v>
      </c>
      <c r="H1695">
        <v>1.35683333333333</v>
      </c>
      <c r="I1695">
        <v>60.570949777123602</v>
      </c>
    </row>
    <row r="1696" spans="1:9" x14ac:dyDescent="0.35">
      <c r="A1696" s="417" t="s">
        <v>846</v>
      </c>
      <c r="B1696" s="417" t="s">
        <v>691</v>
      </c>
      <c r="C1696" s="83">
        <v>46185</v>
      </c>
      <c r="D1696" s="417" t="s">
        <v>309</v>
      </c>
      <c r="E1696">
        <v>1334.5526833333299</v>
      </c>
      <c r="F1696">
        <v>73</v>
      </c>
      <c r="G1696">
        <v>18.281543607305899</v>
      </c>
      <c r="H1696">
        <v>0</v>
      </c>
      <c r="I1696">
        <v>49.913920987602502</v>
      </c>
    </row>
    <row r="1697" spans="1:9" x14ac:dyDescent="0.35">
      <c r="A1697" s="417" t="s">
        <v>846</v>
      </c>
      <c r="B1697" s="417" t="s">
        <v>691</v>
      </c>
      <c r="C1697" s="83">
        <v>46185</v>
      </c>
      <c r="D1697" s="417" t="s">
        <v>310</v>
      </c>
      <c r="E1697">
        <v>52.676933333333302</v>
      </c>
      <c r="F1697">
        <v>1</v>
      </c>
      <c r="G1697">
        <v>52.676933333333302</v>
      </c>
      <c r="H1697">
        <v>0</v>
      </c>
      <c r="I1697">
        <v>0</v>
      </c>
    </row>
    <row r="1698" spans="1:9" x14ac:dyDescent="0.35">
      <c r="A1698" s="417" t="s">
        <v>846</v>
      </c>
      <c r="B1698" s="417" t="s">
        <v>691</v>
      </c>
      <c r="C1698" s="83">
        <v>46185</v>
      </c>
      <c r="D1698" s="417" t="s">
        <v>504</v>
      </c>
      <c r="E1698">
        <v>1440</v>
      </c>
      <c r="F1698">
        <v>1</v>
      </c>
      <c r="G1698">
        <v>1440</v>
      </c>
      <c r="H1698">
        <v>0</v>
      </c>
      <c r="I1698">
        <v>25.387345679012299</v>
      </c>
    </row>
    <row r="1699" spans="1:9" x14ac:dyDescent="0.35">
      <c r="A1699" s="417" t="s">
        <v>846</v>
      </c>
      <c r="B1699" s="417" t="s">
        <v>676</v>
      </c>
      <c r="C1699" s="83">
        <v>46184</v>
      </c>
      <c r="D1699" s="417" t="s">
        <v>677</v>
      </c>
      <c r="E1699">
        <v>1369.1716166666699</v>
      </c>
      <c r="F1699">
        <v>151</v>
      </c>
      <c r="G1699">
        <v>9.0673616997792497</v>
      </c>
      <c r="H1699">
        <v>70.828383333333306</v>
      </c>
      <c r="I1699">
        <v>1.48694444444442</v>
      </c>
    </row>
    <row r="1700" spans="1:9" x14ac:dyDescent="0.35">
      <c r="A1700" s="417" t="s">
        <v>846</v>
      </c>
      <c r="B1700" s="417" t="s">
        <v>676</v>
      </c>
      <c r="C1700" s="83">
        <v>46184</v>
      </c>
      <c r="D1700" s="417" t="s">
        <v>678</v>
      </c>
      <c r="E1700">
        <v>1316.1592166666701</v>
      </c>
      <c r="F1700">
        <v>34</v>
      </c>
      <c r="G1700">
        <v>38.710565196078399</v>
      </c>
      <c r="H1700">
        <v>30.1542666666667</v>
      </c>
      <c r="I1700">
        <v>109.46391604039999</v>
      </c>
    </row>
    <row r="1701" spans="1:9" x14ac:dyDescent="0.35">
      <c r="A1701" s="417" t="s">
        <v>846</v>
      </c>
      <c r="B1701" s="417" t="s">
        <v>676</v>
      </c>
      <c r="C1701" s="83">
        <v>46184</v>
      </c>
      <c r="D1701" s="417" t="s">
        <v>679</v>
      </c>
      <c r="E1701">
        <v>1335.3241499999999</v>
      </c>
      <c r="F1701">
        <v>23</v>
      </c>
      <c r="G1701">
        <v>58.057571739130402</v>
      </c>
      <c r="H1701">
        <v>14.509266666666701</v>
      </c>
      <c r="I1701">
        <v>103.417157018368</v>
      </c>
    </row>
    <row r="1702" spans="1:9" x14ac:dyDescent="0.35">
      <c r="A1702" s="417" t="s">
        <v>846</v>
      </c>
      <c r="B1702" s="417" t="s">
        <v>680</v>
      </c>
      <c r="C1702" s="83">
        <v>46184</v>
      </c>
      <c r="D1702" s="417" t="s">
        <v>683</v>
      </c>
      <c r="E1702">
        <v>296.01249999999999</v>
      </c>
      <c r="F1702">
        <v>1</v>
      </c>
      <c r="G1702">
        <v>296.01249999999999</v>
      </c>
      <c r="H1702">
        <v>0</v>
      </c>
      <c r="I1702">
        <v>0</v>
      </c>
    </row>
    <row r="1703" spans="1:9" x14ac:dyDescent="0.35">
      <c r="A1703" s="417" t="s">
        <v>846</v>
      </c>
      <c r="B1703" s="417" t="s">
        <v>680</v>
      </c>
      <c r="C1703" s="83">
        <v>46184</v>
      </c>
      <c r="D1703" s="417" t="s">
        <v>681</v>
      </c>
      <c r="E1703">
        <v>157.33346666666699</v>
      </c>
      <c r="F1703">
        <v>1</v>
      </c>
      <c r="G1703">
        <v>157.33346666666699</v>
      </c>
      <c r="H1703">
        <v>0</v>
      </c>
      <c r="I1703">
        <v>0</v>
      </c>
    </row>
    <row r="1704" spans="1:9" x14ac:dyDescent="0.35">
      <c r="A1704" s="417" t="s">
        <v>846</v>
      </c>
      <c r="B1704" s="417" t="s">
        <v>691</v>
      </c>
      <c r="C1704" s="83">
        <v>46184</v>
      </c>
      <c r="D1704" s="417" t="s">
        <v>295</v>
      </c>
      <c r="E1704">
        <v>774.34021666666695</v>
      </c>
      <c r="F1704">
        <v>150</v>
      </c>
      <c r="G1704">
        <v>5.1622681111111097</v>
      </c>
      <c r="H1704">
        <v>0.96450000000000002</v>
      </c>
      <c r="I1704">
        <v>50.317612565560403</v>
      </c>
    </row>
    <row r="1705" spans="1:9" x14ac:dyDescent="0.35">
      <c r="A1705" s="417" t="s">
        <v>846</v>
      </c>
      <c r="B1705" s="417" t="s">
        <v>691</v>
      </c>
      <c r="C1705" s="83">
        <v>46184</v>
      </c>
      <c r="D1705" s="417" t="s">
        <v>303</v>
      </c>
      <c r="E1705">
        <v>1309.2225166666699</v>
      </c>
      <c r="F1705">
        <v>74</v>
      </c>
      <c r="G1705">
        <v>17.692196171171201</v>
      </c>
      <c r="H1705">
        <v>0.43131666666666701</v>
      </c>
      <c r="I1705">
        <v>25.835783565870798</v>
      </c>
    </row>
    <row r="1706" spans="1:9" x14ac:dyDescent="0.35">
      <c r="A1706" s="417" t="s">
        <v>846</v>
      </c>
      <c r="B1706" s="417" t="s">
        <v>691</v>
      </c>
      <c r="C1706" s="83">
        <v>46184</v>
      </c>
      <c r="D1706" s="417" t="s">
        <v>342</v>
      </c>
      <c r="E1706">
        <v>621.97696666666695</v>
      </c>
      <c r="F1706">
        <v>73</v>
      </c>
      <c r="G1706">
        <v>8.5202324200913306</v>
      </c>
      <c r="H1706">
        <v>160.84909999999999</v>
      </c>
      <c r="I1706">
        <v>29.4708994708995</v>
      </c>
    </row>
    <row r="1707" spans="1:9" x14ac:dyDescent="0.35">
      <c r="A1707" s="417" t="s">
        <v>846</v>
      </c>
      <c r="B1707" s="417" t="s">
        <v>691</v>
      </c>
      <c r="C1707" s="83">
        <v>46184</v>
      </c>
      <c r="D1707" s="417" t="s">
        <v>299</v>
      </c>
      <c r="E1707">
        <v>785.929483333333</v>
      </c>
      <c r="F1707">
        <v>48</v>
      </c>
      <c r="G1707">
        <v>16.373530902777802</v>
      </c>
      <c r="H1707">
        <v>2.7611666666666701</v>
      </c>
      <c r="I1707">
        <v>39.612211895918001</v>
      </c>
    </row>
    <row r="1708" spans="1:9" x14ac:dyDescent="0.35">
      <c r="A1708" s="417" t="s">
        <v>846</v>
      </c>
      <c r="B1708" s="417" t="s">
        <v>691</v>
      </c>
      <c r="C1708" s="83">
        <v>46184</v>
      </c>
      <c r="D1708" s="417" t="s">
        <v>301</v>
      </c>
      <c r="E1708">
        <v>1042.2039833333299</v>
      </c>
      <c r="F1708">
        <v>42</v>
      </c>
      <c r="G1708">
        <v>24.814380555555601</v>
      </c>
      <c r="H1708">
        <v>1.7450333333333301</v>
      </c>
      <c r="I1708">
        <v>33.085158269211398</v>
      </c>
    </row>
    <row r="1709" spans="1:9" x14ac:dyDescent="0.35">
      <c r="A1709" s="417" t="s">
        <v>846</v>
      </c>
      <c r="B1709" s="417" t="s">
        <v>691</v>
      </c>
      <c r="C1709" s="83">
        <v>46184</v>
      </c>
      <c r="D1709" s="417" t="s">
        <v>309</v>
      </c>
      <c r="E1709">
        <v>1392.08598333333</v>
      </c>
      <c r="F1709">
        <v>36</v>
      </c>
      <c r="G1709">
        <v>38.6690550925926</v>
      </c>
      <c r="H1709">
        <v>0</v>
      </c>
      <c r="I1709">
        <v>26.876346978450801</v>
      </c>
    </row>
    <row r="1710" spans="1:9" x14ac:dyDescent="0.35">
      <c r="A1710" s="417" t="s">
        <v>846</v>
      </c>
      <c r="B1710" s="417" t="s">
        <v>691</v>
      </c>
      <c r="C1710" s="83">
        <v>46184</v>
      </c>
      <c r="D1710" s="417" t="s">
        <v>305</v>
      </c>
      <c r="E1710">
        <v>1030.1732500000001</v>
      </c>
      <c r="F1710">
        <v>33</v>
      </c>
      <c r="G1710">
        <v>31.217371212121201</v>
      </c>
      <c r="H1710">
        <v>0.48103333333333298</v>
      </c>
      <c r="I1710">
        <v>38.895692444230903</v>
      </c>
    </row>
    <row r="1711" spans="1:9" x14ac:dyDescent="0.35">
      <c r="A1711" s="417" t="s">
        <v>846</v>
      </c>
      <c r="B1711" s="417" t="s">
        <v>691</v>
      </c>
      <c r="C1711" s="83">
        <v>46184</v>
      </c>
      <c r="D1711" s="417" t="s">
        <v>504</v>
      </c>
      <c r="E1711">
        <v>1440</v>
      </c>
      <c r="F1711">
        <v>1</v>
      </c>
      <c r="G1711">
        <v>1440</v>
      </c>
      <c r="H1711">
        <v>0</v>
      </c>
      <c r="I1711">
        <v>19.102623456790099</v>
      </c>
    </row>
    <row r="1712" spans="1:9" x14ac:dyDescent="0.35">
      <c r="A1712" s="417" t="s">
        <v>846</v>
      </c>
      <c r="B1712" s="417" t="s">
        <v>676</v>
      </c>
      <c r="C1712" s="83">
        <v>46183</v>
      </c>
      <c r="D1712" s="417" t="s">
        <v>677</v>
      </c>
      <c r="E1712">
        <v>1297.02055</v>
      </c>
      <c r="F1712">
        <v>163</v>
      </c>
      <c r="G1712">
        <v>7.95718128834356</v>
      </c>
      <c r="H1712">
        <v>86.646299999999997</v>
      </c>
      <c r="I1712">
        <v>6.3930555555555104</v>
      </c>
    </row>
    <row r="1713" spans="1:9" x14ac:dyDescent="0.35">
      <c r="A1713" s="417" t="s">
        <v>846</v>
      </c>
      <c r="B1713" s="417" t="s">
        <v>676</v>
      </c>
      <c r="C1713" s="83">
        <v>46183</v>
      </c>
      <c r="D1713" s="417" t="s">
        <v>678</v>
      </c>
      <c r="E1713">
        <v>1314.17241666667</v>
      </c>
      <c r="F1713">
        <v>25</v>
      </c>
      <c r="G1713">
        <v>52.5668966666667</v>
      </c>
      <c r="H1713">
        <v>9.8355666666666703</v>
      </c>
      <c r="I1713">
        <v>85.873814051297103</v>
      </c>
    </row>
    <row r="1714" spans="1:9" x14ac:dyDescent="0.35">
      <c r="A1714" s="417" t="s">
        <v>846</v>
      </c>
      <c r="B1714" s="417" t="s">
        <v>676</v>
      </c>
      <c r="C1714" s="83">
        <v>46183</v>
      </c>
      <c r="D1714" s="417" t="s">
        <v>679</v>
      </c>
      <c r="E1714">
        <v>1283.32756666667</v>
      </c>
      <c r="F1714">
        <v>19</v>
      </c>
      <c r="G1714">
        <v>67.543556140350802</v>
      </c>
      <c r="H1714">
        <v>15.828483333333301</v>
      </c>
      <c r="I1714">
        <v>69.507943454861703</v>
      </c>
    </row>
    <row r="1715" spans="1:9" x14ac:dyDescent="0.35">
      <c r="A1715" s="417" t="s">
        <v>846</v>
      </c>
      <c r="B1715" s="417" t="s">
        <v>680</v>
      </c>
      <c r="C1715" s="83">
        <v>46183</v>
      </c>
      <c r="D1715" s="417" t="s">
        <v>681</v>
      </c>
      <c r="E1715">
        <v>427.38135</v>
      </c>
      <c r="F1715">
        <v>1</v>
      </c>
      <c r="G1715">
        <v>427.38135</v>
      </c>
      <c r="H1715">
        <v>0</v>
      </c>
      <c r="I1715">
        <v>0</v>
      </c>
    </row>
    <row r="1716" spans="1:9" x14ac:dyDescent="0.35">
      <c r="A1716" s="417" t="s">
        <v>846</v>
      </c>
      <c r="B1716" s="417" t="s">
        <v>680</v>
      </c>
      <c r="C1716" s="83">
        <v>46183</v>
      </c>
      <c r="D1716" s="417" t="s">
        <v>683</v>
      </c>
      <c r="E1716">
        <v>427.3811</v>
      </c>
      <c r="F1716">
        <v>1</v>
      </c>
      <c r="G1716">
        <v>427.3811</v>
      </c>
      <c r="H1716">
        <v>0</v>
      </c>
      <c r="I1716">
        <v>0</v>
      </c>
    </row>
    <row r="1717" spans="1:9" x14ac:dyDescent="0.35">
      <c r="A1717" s="417" t="s">
        <v>846</v>
      </c>
      <c r="B1717" s="417" t="s">
        <v>691</v>
      </c>
      <c r="C1717" s="83">
        <v>46183</v>
      </c>
      <c r="D1717" s="417" t="s">
        <v>295</v>
      </c>
      <c r="E1717">
        <v>1328.88265</v>
      </c>
      <c r="F1717">
        <v>302</v>
      </c>
      <c r="G1717">
        <v>4.40027367549669</v>
      </c>
      <c r="H1717">
        <v>1.5346833333333301</v>
      </c>
      <c r="I1717">
        <v>62.791857242291897</v>
      </c>
    </row>
    <row r="1718" spans="1:9" x14ac:dyDescent="0.35">
      <c r="A1718" s="417" t="s">
        <v>846</v>
      </c>
      <c r="B1718" s="417" t="s">
        <v>691</v>
      </c>
      <c r="C1718" s="83">
        <v>46183</v>
      </c>
      <c r="D1718" s="417" t="s">
        <v>301</v>
      </c>
      <c r="E1718">
        <v>1240.7338833333299</v>
      </c>
      <c r="F1718">
        <v>129</v>
      </c>
      <c r="G1718">
        <v>9.6180921188630499</v>
      </c>
      <c r="H1718">
        <v>2.50173333333333</v>
      </c>
      <c r="I1718">
        <v>58.368890785190302</v>
      </c>
    </row>
    <row r="1719" spans="1:9" x14ac:dyDescent="0.35">
      <c r="A1719" s="417" t="s">
        <v>846</v>
      </c>
      <c r="B1719" s="417" t="s">
        <v>691</v>
      </c>
      <c r="C1719" s="83">
        <v>46183</v>
      </c>
      <c r="D1719" s="417" t="s">
        <v>303</v>
      </c>
      <c r="E1719">
        <v>1308.4220499999999</v>
      </c>
      <c r="F1719">
        <v>116</v>
      </c>
      <c r="G1719">
        <v>11.279500431034499</v>
      </c>
      <c r="H1719">
        <v>0.763066666666667</v>
      </c>
      <c r="I1719">
        <v>52.1862799506671</v>
      </c>
    </row>
    <row r="1720" spans="1:9" x14ac:dyDescent="0.35">
      <c r="A1720" s="417" t="s">
        <v>846</v>
      </c>
      <c r="B1720" s="417" t="s">
        <v>691</v>
      </c>
      <c r="C1720" s="83">
        <v>46183</v>
      </c>
      <c r="D1720" s="417" t="s">
        <v>299</v>
      </c>
      <c r="E1720">
        <v>1382.90591666667</v>
      </c>
      <c r="F1720">
        <v>97</v>
      </c>
      <c r="G1720">
        <v>14.2567620274914</v>
      </c>
      <c r="H1720">
        <v>1.1107</v>
      </c>
      <c r="I1720">
        <v>48.379815397820401</v>
      </c>
    </row>
    <row r="1721" spans="1:9" x14ac:dyDescent="0.35">
      <c r="A1721" s="417" t="s">
        <v>846</v>
      </c>
      <c r="B1721" s="417" t="s">
        <v>691</v>
      </c>
      <c r="C1721" s="83">
        <v>46183</v>
      </c>
      <c r="D1721" s="417" t="s">
        <v>305</v>
      </c>
      <c r="E1721">
        <v>1203.8513499999999</v>
      </c>
      <c r="F1721">
        <v>95</v>
      </c>
      <c r="G1721">
        <v>12.6721194736842</v>
      </c>
      <c r="H1721">
        <v>1.0039</v>
      </c>
      <c r="I1721">
        <v>58.469457533737</v>
      </c>
    </row>
    <row r="1722" spans="1:9" x14ac:dyDescent="0.35">
      <c r="A1722" s="417" t="s">
        <v>846</v>
      </c>
      <c r="B1722" s="417" t="s">
        <v>691</v>
      </c>
      <c r="C1722" s="83">
        <v>46183</v>
      </c>
      <c r="D1722" s="417" t="s">
        <v>309</v>
      </c>
      <c r="E1722">
        <v>1358.3937166666699</v>
      </c>
      <c r="F1722">
        <v>89</v>
      </c>
      <c r="G1722">
        <v>15.2628507490637</v>
      </c>
      <c r="H1722">
        <v>3.41868333333333</v>
      </c>
      <c r="I1722">
        <v>55.518709686213697</v>
      </c>
    </row>
    <row r="1723" spans="1:9" x14ac:dyDescent="0.35">
      <c r="A1723" s="417" t="s">
        <v>846</v>
      </c>
      <c r="B1723" s="417" t="s">
        <v>691</v>
      </c>
      <c r="C1723" s="83">
        <v>46183</v>
      </c>
      <c r="D1723" s="417" t="s">
        <v>342</v>
      </c>
      <c r="E1723">
        <v>1118.0588333333301</v>
      </c>
      <c r="F1723">
        <v>84</v>
      </c>
      <c r="G1723">
        <v>13.310224206349201</v>
      </c>
      <c r="H1723">
        <v>162.398216666667</v>
      </c>
      <c r="I1723">
        <v>61.889946905354101</v>
      </c>
    </row>
    <row r="1724" spans="1:9" x14ac:dyDescent="0.35">
      <c r="A1724" s="417" t="s">
        <v>846</v>
      </c>
      <c r="B1724" s="417" t="s">
        <v>691</v>
      </c>
      <c r="C1724" s="83">
        <v>46183</v>
      </c>
      <c r="D1724" s="417" t="s">
        <v>310</v>
      </c>
      <c r="E1724">
        <v>136.31295</v>
      </c>
      <c r="F1724">
        <v>1</v>
      </c>
      <c r="G1724">
        <v>136.31295</v>
      </c>
      <c r="H1724">
        <v>0</v>
      </c>
      <c r="I1724">
        <v>0</v>
      </c>
    </row>
    <row r="1725" spans="1:9" x14ac:dyDescent="0.35">
      <c r="A1725" s="417" t="s">
        <v>846</v>
      </c>
      <c r="B1725" s="417" t="s">
        <v>691</v>
      </c>
      <c r="C1725" s="83">
        <v>46183</v>
      </c>
      <c r="D1725" s="417" t="s">
        <v>504</v>
      </c>
      <c r="E1725">
        <v>1440</v>
      </c>
      <c r="F1725">
        <v>1</v>
      </c>
      <c r="G1725">
        <v>1440</v>
      </c>
      <c r="H1725">
        <v>0</v>
      </c>
      <c r="I1725">
        <v>28.067283950617298</v>
      </c>
    </row>
    <row r="1726" spans="1:9" x14ac:dyDescent="0.35">
      <c r="A1726" s="417" t="s">
        <v>846</v>
      </c>
      <c r="B1726" s="417" t="s">
        <v>676</v>
      </c>
      <c r="C1726" s="83">
        <v>46182</v>
      </c>
      <c r="D1726" s="417" t="s">
        <v>677</v>
      </c>
      <c r="E1726">
        <v>1198.13433333333</v>
      </c>
      <c r="F1726">
        <v>241</v>
      </c>
      <c r="G1726">
        <v>4.9715117565698499</v>
      </c>
      <c r="H1726">
        <v>159.524116666667</v>
      </c>
      <c r="I1726">
        <v>4.0830555555555303</v>
      </c>
    </row>
    <row r="1727" spans="1:9" x14ac:dyDescent="0.35">
      <c r="A1727" s="417" t="s">
        <v>846</v>
      </c>
      <c r="B1727" s="417" t="s">
        <v>676</v>
      </c>
      <c r="C1727" s="83">
        <v>46182</v>
      </c>
      <c r="D1727" s="417" t="s">
        <v>679</v>
      </c>
      <c r="E1727">
        <v>934.47455000000002</v>
      </c>
      <c r="F1727">
        <v>19</v>
      </c>
      <c r="G1727">
        <v>49.182871052631597</v>
      </c>
      <c r="H1727">
        <v>23.1696666666667</v>
      </c>
      <c r="I1727">
        <v>41.018494345914398</v>
      </c>
    </row>
    <row r="1728" spans="1:9" x14ac:dyDescent="0.35">
      <c r="A1728" s="417" t="s">
        <v>846</v>
      </c>
      <c r="B1728" s="417" t="s">
        <v>676</v>
      </c>
      <c r="C1728" s="83">
        <v>46182</v>
      </c>
      <c r="D1728" s="417" t="s">
        <v>678</v>
      </c>
      <c r="E1728">
        <v>1052.65028333333</v>
      </c>
      <c r="F1728">
        <v>12</v>
      </c>
      <c r="G1728">
        <v>87.720856944444407</v>
      </c>
      <c r="H1728">
        <v>6.6580666666666701</v>
      </c>
      <c r="I1728">
        <v>43.325031508947298</v>
      </c>
    </row>
    <row r="1729" spans="1:9" x14ac:dyDescent="0.35">
      <c r="A1729" s="417" t="s">
        <v>846</v>
      </c>
      <c r="B1729" s="417" t="s">
        <v>680</v>
      </c>
      <c r="C1729" s="83">
        <v>46182</v>
      </c>
      <c r="D1729" s="417" t="s">
        <v>683</v>
      </c>
      <c r="E1729">
        <v>480</v>
      </c>
      <c r="F1729">
        <v>1</v>
      </c>
      <c r="G1729">
        <v>480</v>
      </c>
      <c r="H1729">
        <v>0</v>
      </c>
      <c r="I1729">
        <v>14.257196969697</v>
      </c>
    </row>
    <row r="1730" spans="1:9" x14ac:dyDescent="0.35">
      <c r="A1730" s="417" t="s">
        <v>846</v>
      </c>
      <c r="B1730" s="417" t="s">
        <v>691</v>
      </c>
      <c r="C1730" s="83">
        <v>46182</v>
      </c>
      <c r="D1730" s="417" t="s">
        <v>295</v>
      </c>
      <c r="E1730">
        <v>1279.4601666666699</v>
      </c>
      <c r="F1730">
        <v>312</v>
      </c>
      <c r="G1730">
        <v>4.10083386752137</v>
      </c>
      <c r="H1730">
        <v>2.7102499999999998</v>
      </c>
      <c r="I1730">
        <v>73.968187392943094</v>
      </c>
    </row>
    <row r="1731" spans="1:9" x14ac:dyDescent="0.35">
      <c r="A1731" s="417" t="s">
        <v>846</v>
      </c>
      <c r="B1731" s="417" t="s">
        <v>691</v>
      </c>
      <c r="C1731" s="83">
        <v>46182</v>
      </c>
      <c r="D1731" s="417" t="s">
        <v>303</v>
      </c>
      <c r="E1731">
        <v>1345.4780000000001</v>
      </c>
      <c r="F1731">
        <v>198</v>
      </c>
      <c r="G1731">
        <v>6.7953434343434402</v>
      </c>
      <c r="H1731">
        <v>2.0539000000000001</v>
      </c>
      <c r="I1731">
        <v>62.3047566220555</v>
      </c>
    </row>
    <row r="1732" spans="1:9" x14ac:dyDescent="0.35">
      <c r="A1732" s="417" t="s">
        <v>846</v>
      </c>
      <c r="B1732" s="417" t="s">
        <v>691</v>
      </c>
      <c r="C1732" s="83">
        <v>46182</v>
      </c>
      <c r="D1732" s="417" t="s">
        <v>301</v>
      </c>
      <c r="E1732">
        <v>1375.5829000000001</v>
      </c>
      <c r="F1732">
        <v>139</v>
      </c>
      <c r="G1732">
        <v>9.8962798561151093</v>
      </c>
      <c r="H1732">
        <v>1.15493333333333</v>
      </c>
      <c r="I1732">
        <v>62.605746817695298</v>
      </c>
    </row>
    <row r="1733" spans="1:9" x14ac:dyDescent="0.35">
      <c r="A1733" s="417" t="s">
        <v>846</v>
      </c>
      <c r="B1733" s="417" t="s">
        <v>691</v>
      </c>
      <c r="C1733" s="83">
        <v>46182</v>
      </c>
      <c r="D1733" s="417" t="s">
        <v>299</v>
      </c>
      <c r="E1733">
        <v>1358.28056666667</v>
      </c>
      <c r="F1733">
        <v>125</v>
      </c>
      <c r="G1733">
        <v>10.866244533333299</v>
      </c>
      <c r="H1733">
        <v>0.82294999999999996</v>
      </c>
      <c r="I1733">
        <v>55.008450699203401</v>
      </c>
    </row>
    <row r="1734" spans="1:9" x14ac:dyDescent="0.35">
      <c r="A1734" s="417" t="s">
        <v>846</v>
      </c>
      <c r="B1734" s="417" t="s">
        <v>691</v>
      </c>
      <c r="C1734" s="83">
        <v>46182</v>
      </c>
      <c r="D1734" s="417" t="s">
        <v>342</v>
      </c>
      <c r="E1734">
        <v>1113.7384833333299</v>
      </c>
      <c r="F1734">
        <v>112</v>
      </c>
      <c r="G1734">
        <v>9.9440936011904792</v>
      </c>
      <c r="H1734">
        <v>235.12115</v>
      </c>
      <c r="I1734">
        <v>52.886904761904603</v>
      </c>
    </row>
    <row r="1735" spans="1:9" x14ac:dyDescent="0.35">
      <c r="A1735" s="417" t="s">
        <v>846</v>
      </c>
      <c r="B1735" s="417" t="s">
        <v>691</v>
      </c>
      <c r="C1735" s="83">
        <v>46182</v>
      </c>
      <c r="D1735" s="417" t="s">
        <v>305</v>
      </c>
      <c r="E1735">
        <v>1327.9113</v>
      </c>
      <c r="F1735">
        <v>93</v>
      </c>
      <c r="G1735">
        <v>14.278616129032301</v>
      </c>
      <c r="H1735">
        <v>2.06935</v>
      </c>
      <c r="I1735">
        <v>55.557193248820703</v>
      </c>
    </row>
    <row r="1736" spans="1:9" x14ac:dyDescent="0.35">
      <c r="A1736" s="417" t="s">
        <v>846</v>
      </c>
      <c r="B1736" s="417" t="s">
        <v>691</v>
      </c>
      <c r="C1736" s="83">
        <v>46182</v>
      </c>
      <c r="D1736" s="417" t="s">
        <v>309</v>
      </c>
      <c r="E1736">
        <v>1350.56453333333</v>
      </c>
      <c r="F1736">
        <v>88</v>
      </c>
      <c r="G1736">
        <v>15.3473242424242</v>
      </c>
      <c r="H1736">
        <v>0</v>
      </c>
      <c r="I1736">
        <v>59.962330579188396</v>
      </c>
    </row>
    <row r="1737" spans="1:9" x14ac:dyDescent="0.35">
      <c r="A1737" s="417" t="s">
        <v>846</v>
      </c>
      <c r="B1737" s="417" t="s">
        <v>691</v>
      </c>
      <c r="C1737" s="83">
        <v>46182</v>
      </c>
      <c r="D1737" s="417" t="s">
        <v>310</v>
      </c>
      <c r="E1737">
        <v>392.56883333333298</v>
      </c>
      <c r="F1737">
        <v>1</v>
      </c>
      <c r="G1737">
        <v>392.56883333333298</v>
      </c>
      <c r="H1737">
        <v>0</v>
      </c>
      <c r="I1737">
        <v>0</v>
      </c>
    </row>
    <row r="1738" spans="1:9" x14ac:dyDescent="0.35">
      <c r="A1738" s="417" t="s">
        <v>846</v>
      </c>
      <c r="B1738" s="417" t="s">
        <v>691</v>
      </c>
      <c r="C1738" s="83">
        <v>46182</v>
      </c>
      <c r="D1738" s="417" t="s">
        <v>504</v>
      </c>
      <c r="E1738">
        <v>1440</v>
      </c>
      <c r="F1738">
        <v>1</v>
      </c>
      <c r="G1738">
        <v>1440</v>
      </c>
      <c r="H1738">
        <v>0</v>
      </c>
      <c r="I1738">
        <v>31.289660493827199</v>
      </c>
    </row>
    <row r="1739" spans="1:9" x14ac:dyDescent="0.35">
      <c r="A1739" s="417" t="s">
        <v>846</v>
      </c>
      <c r="B1739" s="417" t="s">
        <v>676</v>
      </c>
      <c r="C1739" s="83">
        <v>46181</v>
      </c>
      <c r="D1739" s="417" t="s">
        <v>677</v>
      </c>
      <c r="E1739">
        <v>1262.05285</v>
      </c>
      <c r="F1739">
        <v>436</v>
      </c>
      <c r="G1739">
        <v>2.89461662844037</v>
      </c>
      <c r="H1739">
        <v>139.9427</v>
      </c>
      <c r="I1739">
        <v>7.5791666666666702</v>
      </c>
    </row>
    <row r="1740" spans="1:9" x14ac:dyDescent="0.35">
      <c r="A1740" s="417" t="s">
        <v>846</v>
      </c>
      <c r="B1740" s="417" t="s">
        <v>676</v>
      </c>
      <c r="C1740" s="83">
        <v>46181</v>
      </c>
      <c r="D1740" s="417" t="s">
        <v>678</v>
      </c>
      <c r="E1740">
        <v>1288.3157166666699</v>
      </c>
      <c r="F1740">
        <v>19</v>
      </c>
      <c r="G1740">
        <v>67.806090350877199</v>
      </c>
      <c r="H1740">
        <v>7.6492666666666702</v>
      </c>
      <c r="I1740">
        <v>88.2809739581038</v>
      </c>
    </row>
    <row r="1741" spans="1:9" x14ac:dyDescent="0.35">
      <c r="A1741" s="417" t="s">
        <v>846</v>
      </c>
      <c r="B1741" s="417" t="s">
        <v>676</v>
      </c>
      <c r="C1741" s="83">
        <v>46181</v>
      </c>
      <c r="D1741" s="417" t="s">
        <v>679</v>
      </c>
      <c r="E1741">
        <v>1405.1519166666701</v>
      </c>
      <c r="F1741">
        <v>9</v>
      </c>
      <c r="G1741">
        <v>156.12799074074101</v>
      </c>
      <c r="H1741">
        <v>11.509133333333301</v>
      </c>
      <c r="I1741">
        <v>90.922007537841594</v>
      </c>
    </row>
    <row r="1742" spans="1:9" x14ac:dyDescent="0.35">
      <c r="A1742" s="417" t="s">
        <v>846</v>
      </c>
      <c r="B1742" s="417" t="s">
        <v>691</v>
      </c>
      <c r="C1742" s="83">
        <v>46181</v>
      </c>
      <c r="D1742" s="417" t="s">
        <v>295</v>
      </c>
      <c r="E1742">
        <v>1319.7547999999999</v>
      </c>
      <c r="F1742">
        <v>234</v>
      </c>
      <c r="G1742">
        <v>5.63997777777778</v>
      </c>
      <c r="H1742">
        <v>2.7116333333333298</v>
      </c>
      <c r="I1742">
        <v>76.2980946123498</v>
      </c>
    </row>
    <row r="1743" spans="1:9" x14ac:dyDescent="0.35">
      <c r="A1743" s="417" t="s">
        <v>846</v>
      </c>
      <c r="B1743" s="417" t="s">
        <v>691</v>
      </c>
      <c r="C1743" s="83">
        <v>46181</v>
      </c>
      <c r="D1743" s="417" t="s">
        <v>303</v>
      </c>
      <c r="E1743">
        <v>1236.38623333333</v>
      </c>
      <c r="F1743">
        <v>173</v>
      </c>
      <c r="G1743">
        <v>7.1467412331406601</v>
      </c>
      <c r="H1743">
        <v>1.1687666666666701</v>
      </c>
      <c r="I1743">
        <v>53.541347468952402</v>
      </c>
    </row>
    <row r="1744" spans="1:9" x14ac:dyDescent="0.35">
      <c r="A1744" s="417" t="s">
        <v>846</v>
      </c>
      <c r="B1744" s="417" t="s">
        <v>691</v>
      </c>
      <c r="C1744" s="83">
        <v>46181</v>
      </c>
      <c r="D1744" s="417" t="s">
        <v>301</v>
      </c>
      <c r="E1744">
        <v>1364.96423333333</v>
      </c>
      <c r="F1744">
        <v>160</v>
      </c>
      <c r="G1744">
        <v>8.5310264583333293</v>
      </c>
      <c r="H1744">
        <v>1.3688833333333299</v>
      </c>
      <c r="I1744">
        <v>59.744518424351703</v>
      </c>
    </row>
    <row r="1745" spans="1:9" x14ac:dyDescent="0.35">
      <c r="A1745" s="417" t="s">
        <v>846</v>
      </c>
      <c r="B1745" s="417" t="s">
        <v>691</v>
      </c>
      <c r="C1745" s="83">
        <v>46181</v>
      </c>
      <c r="D1745" s="417" t="s">
        <v>299</v>
      </c>
      <c r="E1745">
        <v>1394.1229166666701</v>
      </c>
      <c r="F1745">
        <v>102</v>
      </c>
      <c r="G1745">
        <v>13.6678717320261</v>
      </c>
      <c r="H1745">
        <v>0.4743</v>
      </c>
      <c r="I1745">
        <v>53.951102083195401</v>
      </c>
    </row>
    <row r="1746" spans="1:9" x14ac:dyDescent="0.35">
      <c r="A1746" s="417" t="s">
        <v>846</v>
      </c>
      <c r="B1746" s="417" t="s">
        <v>691</v>
      </c>
      <c r="C1746" s="83">
        <v>46181</v>
      </c>
      <c r="D1746" s="417" t="s">
        <v>309</v>
      </c>
      <c r="E1746">
        <v>1361.7580166666701</v>
      </c>
      <c r="F1746">
        <v>93</v>
      </c>
      <c r="G1746">
        <v>14.642559318996399</v>
      </c>
      <c r="H1746">
        <v>0</v>
      </c>
      <c r="I1746">
        <v>59.539640651203896</v>
      </c>
    </row>
    <row r="1747" spans="1:9" x14ac:dyDescent="0.35">
      <c r="A1747" s="417" t="s">
        <v>846</v>
      </c>
      <c r="B1747" s="417" t="s">
        <v>691</v>
      </c>
      <c r="C1747" s="83">
        <v>46181</v>
      </c>
      <c r="D1747" s="417" t="s">
        <v>305</v>
      </c>
      <c r="E1747">
        <v>1374.73401666667</v>
      </c>
      <c r="F1747">
        <v>91</v>
      </c>
      <c r="G1747">
        <v>15.1069672161172</v>
      </c>
      <c r="H1747">
        <v>3.7864166666666699</v>
      </c>
      <c r="I1747">
        <v>63.0911298656778</v>
      </c>
    </row>
    <row r="1748" spans="1:9" x14ac:dyDescent="0.35">
      <c r="A1748" s="417" t="s">
        <v>846</v>
      </c>
      <c r="B1748" s="417" t="s">
        <v>691</v>
      </c>
      <c r="C1748" s="83">
        <v>46181</v>
      </c>
      <c r="D1748" s="417" t="s">
        <v>342</v>
      </c>
      <c r="E1748">
        <v>1341.8831666666699</v>
      </c>
      <c r="F1748">
        <v>47</v>
      </c>
      <c r="G1748">
        <v>28.550705673758898</v>
      </c>
      <c r="H1748">
        <v>98.116833333333304</v>
      </c>
      <c r="I1748">
        <v>64.771825396825193</v>
      </c>
    </row>
    <row r="1749" spans="1:9" x14ac:dyDescent="0.35">
      <c r="A1749" s="417" t="s">
        <v>846</v>
      </c>
      <c r="B1749" s="417" t="s">
        <v>691</v>
      </c>
      <c r="C1749" s="83">
        <v>46181</v>
      </c>
      <c r="D1749" s="417" t="s">
        <v>504</v>
      </c>
      <c r="E1749">
        <v>1440</v>
      </c>
      <c r="F1749">
        <v>1</v>
      </c>
      <c r="G1749">
        <v>1440</v>
      </c>
      <c r="H1749">
        <v>0</v>
      </c>
      <c r="I1749">
        <v>16.764660493827201</v>
      </c>
    </row>
    <row r="1750" spans="1:9" x14ac:dyDescent="0.35">
      <c r="A1750" s="417" t="s">
        <v>846</v>
      </c>
      <c r="B1750" s="417" t="s">
        <v>676</v>
      </c>
      <c r="C1750" s="83">
        <v>46180</v>
      </c>
      <c r="D1750" s="417" t="s">
        <v>677</v>
      </c>
      <c r="E1750">
        <v>1335.2994166666699</v>
      </c>
      <c r="F1750">
        <v>371</v>
      </c>
      <c r="G1750">
        <v>3.59918980233603</v>
      </c>
      <c r="H1750">
        <v>104.700583333333</v>
      </c>
      <c r="I1750">
        <v>9.1213888888889105</v>
      </c>
    </row>
    <row r="1751" spans="1:9" x14ac:dyDescent="0.35">
      <c r="A1751" s="417" t="s">
        <v>846</v>
      </c>
      <c r="B1751" s="417" t="s">
        <v>676</v>
      </c>
      <c r="C1751" s="83">
        <v>46180</v>
      </c>
      <c r="D1751" s="417" t="s">
        <v>678</v>
      </c>
      <c r="E1751">
        <v>1311.8616</v>
      </c>
      <c r="F1751">
        <v>21</v>
      </c>
      <c r="G1751">
        <v>62.4696</v>
      </c>
      <c r="H1751">
        <v>12.999033333333299</v>
      </c>
      <c r="I1751">
        <v>97.750000190063005</v>
      </c>
    </row>
    <row r="1752" spans="1:9" x14ac:dyDescent="0.35">
      <c r="A1752" s="417" t="s">
        <v>846</v>
      </c>
      <c r="B1752" s="417" t="s">
        <v>676</v>
      </c>
      <c r="C1752" s="83">
        <v>46180</v>
      </c>
      <c r="D1752" s="417" t="s">
        <v>679</v>
      </c>
      <c r="E1752">
        <v>1392.3200833333301</v>
      </c>
      <c r="F1752">
        <v>14</v>
      </c>
      <c r="G1752">
        <v>99.451434523809496</v>
      </c>
      <c r="H1752">
        <v>7.4908999999999999</v>
      </c>
      <c r="I1752">
        <v>92.462483536021196</v>
      </c>
    </row>
    <row r="1753" spans="1:9" x14ac:dyDescent="0.35">
      <c r="A1753" s="417" t="s">
        <v>846</v>
      </c>
      <c r="B1753" s="417" t="s">
        <v>680</v>
      </c>
      <c r="C1753" s="83">
        <v>46180</v>
      </c>
      <c r="D1753" s="417" t="s">
        <v>681</v>
      </c>
      <c r="E1753">
        <v>812.93084999999996</v>
      </c>
      <c r="F1753">
        <v>30</v>
      </c>
      <c r="G1753">
        <v>27.097695000000002</v>
      </c>
      <c r="H1753">
        <v>2.1567666666666701</v>
      </c>
      <c r="I1753">
        <v>46.265329106945103</v>
      </c>
    </row>
    <row r="1754" spans="1:9" x14ac:dyDescent="0.35">
      <c r="A1754" s="417" t="s">
        <v>846</v>
      </c>
      <c r="B1754" s="417" t="s">
        <v>680</v>
      </c>
      <c r="C1754" s="83">
        <v>46180</v>
      </c>
      <c r="D1754" s="417" t="s">
        <v>683</v>
      </c>
      <c r="E1754">
        <v>802.50631666666698</v>
      </c>
      <c r="F1754">
        <v>11</v>
      </c>
      <c r="G1754">
        <v>72.955119696969703</v>
      </c>
      <c r="H1754">
        <v>0.50036666666666696</v>
      </c>
      <c r="I1754">
        <v>39.127108352321699</v>
      </c>
    </row>
    <row r="1755" spans="1:9" x14ac:dyDescent="0.35">
      <c r="A1755" s="417" t="s">
        <v>846</v>
      </c>
      <c r="B1755" s="417" t="s">
        <v>680</v>
      </c>
      <c r="C1755" s="83">
        <v>46180</v>
      </c>
      <c r="D1755" s="417" t="s">
        <v>687</v>
      </c>
      <c r="E1755">
        <v>828.82478333333302</v>
      </c>
      <c r="F1755">
        <v>11</v>
      </c>
      <c r="G1755">
        <v>75.347707575757596</v>
      </c>
      <c r="H1755">
        <v>8.6618499999999994</v>
      </c>
      <c r="I1755">
        <v>25.4319391416863</v>
      </c>
    </row>
    <row r="1756" spans="1:9" x14ac:dyDescent="0.35">
      <c r="A1756" s="417" t="s">
        <v>846</v>
      </c>
      <c r="B1756" s="417" t="s">
        <v>680</v>
      </c>
      <c r="C1756" s="83">
        <v>46180</v>
      </c>
      <c r="D1756" s="417" t="s">
        <v>689</v>
      </c>
      <c r="E1756">
        <v>817.83738333333304</v>
      </c>
      <c r="F1756">
        <v>10</v>
      </c>
      <c r="G1756">
        <v>81.783738333333304</v>
      </c>
      <c r="H1756">
        <v>0</v>
      </c>
      <c r="I1756">
        <v>48.211332953691603</v>
      </c>
    </row>
    <row r="1757" spans="1:9" x14ac:dyDescent="0.35">
      <c r="A1757" s="417" t="s">
        <v>846</v>
      </c>
      <c r="B1757" s="417" t="s">
        <v>680</v>
      </c>
      <c r="C1757" s="83">
        <v>46180</v>
      </c>
      <c r="D1757" s="417" t="s">
        <v>685</v>
      </c>
      <c r="E1757">
        <v>820.47860000000003</v>
      </c>
      <c r="F1757">
        <v>10</v>
      </c>
      <c r="G1757">
        <v>82.04786</v>
      </c>
      <c r="H1757">
        <v>6.3397500000000004</v>
      </c>
      <c r="I1757">
        <v>46.501564357567098</v>
      </c>
    </row>
    <row r="1758" spans="1:9" x14ac:dyDescent="0.35">
      <c r="A1758" s="417" t="s">
        <v>846</v>
      </c>
      <c r="B1758" s="417" t="s">
        <v>680</v>
      </c>
      <c r="C1758" s="83">
        <v>46180</v>
      </c>
      <c r="D1758" s="417" t="s">
        <v>684</v>
      </c>
      <c r="E1758">
        <v>826.82328333333305</v>
      </c>
      <c r="F1758">
        <v>10</v>
      </c>
      <c r="G1758">
        <v>82.682328333333302</v>
      </c>
      <c r="H1758">
        <v>4.6748500000000002</v>
      </c>
      <c r="I1758">
        <v>40.823906151142097</v>
      </c>
    </row>
    <row r="1759" spans="1:9" x14ac:dyDescent="0.35">
      <c r="A1759" s="417" t="s">
        <v>846</v>
      </c>
      <c r="B1759" s="417" t="s">
        <v>680</v>
      </c>
      <c r="C1759" s="83">
        <v>46180</v>
      </c>
      <c r="D1759" s="417" t="s">
        <v>690</v>
      </c>
      <c r="E1759">
        <v>825.82531666666705</v>
      </c>
      <c r="F1759">
        <v>8</v>
      </c>
      <c r="G1759">
        <v>103.228164583333</v>
      </c>
      <c r="H1759">
        <v>6.0000999999999998</v>
      </c>
      <c r="I1759">
        <v>37.547482564067202</v>
      </c>
    </row>
    <row r="1760" spans="1:9" x14ac:dyDescent="0.35">
      <c r="A1760" s="417" t="s">
        <v>846</v>
      </c>
      <c r="B1760" s="417" t="s">
        <v>680</v>
      </c>
      <c r="C1760" s="83">
        <v>46180</v>
      </c>
      <c r="D1760" s="417" t="s">
        <v>682</v>
      </c>
      <c r="E1760">
        <v>836.17555000000004</v>
      </c>
      <c r="F1760">
        <v>6</v>
      </c>
      <c r="G1760">
        <v>139.36259166666699</v>
      </c>
      <c r="H1760">
        <v>3.8244500000000001</v>
      </c>
      <c r="I1760">
        <v>40.3116883116883</v>
      </c>
    </row>
    <row r="1761" spans="1:9" x14ac:dyDescent="0.35">
      <c r="A1761" s="417" t="s">
        <v>846</v>
      </c>
      <c r="B1761" s="417" t="s">
        <v>680</v>
      </c>
      <c r="C1761" s="83">
        <v>46180</v>
      </c>
      <c r="D1761" s="417" t="s">
        <v>688</v>
      </c>
      <c r="E1761">
        <v>821.65008333333299</v>
      </c>
      <c r="F1761">
        <v>1</v>
      </c>
      <c r="G1761">
        <v>821.65008333333299</v>
      </c>
      <c r="H1761">
        <v>0</v>
      </c>
      <c r="I1761">
        <v>46.0625191854555</v>
      </c>
    </row>
    <row r="1762" spans="1:9" x14ac:dyDescent="0.35">
      <c r="A1762" s="417" t="s">
        <v>846</v>
      </c>
      <c r="B1762" s="417" t="s">
        <v>680</v>
      </c>
      <c r="C1762" s="83">
        <v>46180</v>
      </c>
      <c r="D1762" s="417" t="s">
        <v>686</v>
      </c>
      <c r="E1762">
        <v>840</v>
      </c>
      <c r="F1762">
        <v>1</v>
      </c>
      <c r="G1762">
        <v>840</v>
      </c>
      <c r="H1762">
        <v>0</v>
      </c>
      <c r="I1762">
        <v>21.419913419913399</v>
      </c>
    </row>
    <row r="1763" spans="1:9" x14ac:dyDescent="0.35">
      <c r="A1763" s="417" t="s">
        <v>846</v>
      </c>
      <c r="B1763" s="417" t="s">
        <v>691</v>
      </c>
      <c r="C1763" s="83">
        <v>46180</v>
      </c>
      <c r="D1763" s="417" t="s">
        <v>295</v>
      </c>
      <c r="E1763">
        <v>1298.3257166666699</v>
      </c>
      <c r="F1763">
        <v>368</v>
      </c>
      <c r="G1763">
        <v>3.52805901268116</v>
      </c>
      <c r="H1763">
        <v>2.7280333333333302</v>
      </c>
      <c r="I1763">
        <v>74.823556302737501</v>
      </c>
    </row>
    <row r="1764" spans="1:9" x14ac:dyDescent="0.35">
      <c r="A1764" s="417" t="s">
        <v>846</v>
      </c>
      <c r="B1764" s="417" t="s">
        <v>691</v>
      </c>
      <c r="C1764" s="83">
        <v>46180</v>
      </c>
      <c r="D1764" s="417" t="s">
        <v>303</v>
      </c>
      <c r="E1764">
        <v>1335.59566666667</v>
      </c>
      <c r="F1764">
        <v>186</v>
      </c>
      <c r="G1764">
        <v>7.1806218637992796</v>
      </c>
      <c r="H1764">
        <v>1.51786666666667</v>
      </c>
      <c r="I1764">
        <v>72.046006679652393</v>
      </c>
    </row>
    <row r="1765" spans="1:9" x14ac:dyDescent="0.35">
      <c r="A1765" s="417" t="s">
        <v>846</v>
      </c>
      <c r="B1765" s="417" t="s">
        <v>691</v>
      </c>
      <c r="C1765" s="83">
        <v>46180</v>
      </c>
      <c r="D1765" s="417" t="s">
        <v>309</v>
      </c>
      <c r="E1765">
        <v>1283.51111666667</v>
      </c>
      <c r="F1765">
        <v>168</v>
      </c>
      <c r="G1765">
        <v>7.6399471230158698</v>
      </c>
      <c r="H1765">
        <v>0.55354999999999999</v>
      </c>
      <c r="I1765">
        <v>53.393877554025302</v>
      </c>
    </row>
    <row r="1766" spans="1:9" x14ac:dyDescent="0.35">
      <c r="A1766" s="417" t="s">
        <v>846</v>
      </c>
      <c r="B1766" s="417" t="s">
        <v>691</v>
      </c>
      <c r="C1766" s="83">
        <v>46180</v>
      </c>
      <c r="D1766" s="417" t="s">
        <v>301</v>
      </c>
      <c r="E1766">
        <v>1334.0455999999999</v>
      </c>
      <c r="F1766">
        <v>130</v>
      </c>
      <c r="G1766">
        <v>10.261889230769199</v>
      </c>
      <c r="H1766">
        <v>0.70709999999999995</v>
      </c>
      <c r="I1766">
        <v>73.829284497965205</v>
      </c>
    </row>
    <row r="1767" spans="1:9" x14ac:dyDescent="0.35">
      <c r="A1767" s="417" t="s">
        <v>846</v>
      </c>
      <c r="B1767" s="417" t="s">
        <v>691</v>
      </c>
      <c r="C1767" s="83">
        <v>46180</v>
      </c>
      <c r="D1767" s="417" t="s">
        <v>305</v>
      </c>
      <c r="E1767">
        <v>1330.42106666667</v>
      </c>
      <c r="F1767">
        <v>100</v>
      </c>
      <c r="G1767">
        <v>13.3042106666667</v>
      </c>
      <c r="H1767">
        <v>0.51373333333333304</v>
      </c>
      <c r="I1767">
        <v>56.486743800967197</v>
      </c>
    </row>
    <row r="1768" spans="1:9" x14ac:dyDescent="0.35">
      <c r="A1768" s="417" t="s">
        <v>846</v>
      </c>
      <c r="B1768" s="417" t="s">
        <v>691</v>
      </c>
      <c r="C1768" s="83">
        <v>46180</v>
      </c>
      <c r="D1768" s="417" t="s">
        <v>299</v>
      </c>
      <c r="E1768">
        <v>1279.30923333333</v>
      </c>
      <c r="F1768">
        <v>96</v>
      </c>
      <c r="G1768">
        <v>13.326137847222199</v>
      </c>
      <c r="H1768">
        <v>0.50716666666666699</v>
      </c>
      <c r="I1768">
        <v>65.900814800170394</v>
      </c>
    </row>
    <row r="1769" spans="1:9" x14ac:dyDescent="0.35">
      <c r="A1769" s="417" t="s">
        <v>846</v>
      </c>
      <c r="B1769" s="417" t="s">
        <v>691</v>
      </c>
      <c r="C1769" s="83">
        <v>46180</v>
      </c>
      <c r="D1769" s="417" t="s">
        <v>342</v>
      </c>
      <c r="E1769">
        <v>1209.4401499999999</v>
      </c>
      <c r="F1769">
        <v>75</v>
      </c>
      <c r="G1769">
        <v>16.125868666666701</v>
      </c>
      <c r="H1769">
        <v>163.24355</v>
      </c>
      <c r="I1769">
        <v>46.084910630093503</v>
      </c>
    </row>
    <row r="1770" spans="1:9" x14ac:dyDescent="0.35">
      <c r="A1770" s="417" t="s">
        <v>846</v>
      </c>
      <c r="B1770" s="417" t="s">
        <v>691</v>
      </c>
      <c r="C1770" s="83">
        <v>46180</v>
      </c>
      <c r="D1770" s="417" t="s">
        <v>310</v>
      </c>
      <c r="E1770">
        <v>430.92829999999998</v>
      </c>
      <c r="F1770">
        <v>1</v>
      </c>
      <c r="G1770">
        <v>430.92829999999998</v>
      </c>
      <c r="H1770">
        <v>0</v>
      </c>
      <c r="I1770">
        <v>0</v>
      </c>
    </row>
    <row r="1771" spans="1:9" x14ac:dyDescent="0.35">
      <c r="A1771" s="417" t="s">
        <v>846</v>
      </c>
      <c r="B1771" s="417" t="s">
        <v>691</v>
      </c>
      <c r="C1771" s="83">
        <v>46180</v>
      </c>
      <c r="D1771" s="417" t="s">
        <v>504</v>
      </c>
      <c r="E1771">
        <v>1440</v>
      </c>
      <c r="F1771">
        <v>1</v>
      </c>
      <c r="G1771">
        <v>1440</v>
      </c>
      <c r="H1771">
        <v>0</v>
      </c>
      <c r="I1771">
        <v>34.267129629629601</v>
      </c>
    </row>
    <row r="1772" spans="1:9" x14ac:dyDescent="0.35">
      <c r="A1772" s="417" t="s">
        <v>846</v>
      </c>
      <c r="B1772" s="417" t="s">
        <v>676</v>
      </c>
      <c r="C1772" s="83">
        <v>46179</v>
      </c>
      <c r="D1772" s="417" t="s">
        <v>677</v>
      </c>
      <c r="E1772">
        <v>1251.463</v>
      </c>
      <c r="F1772">
        <v>285</v>
      </c>
      <c r="G1772">
        <v>4.3910982456140397</v>
      </c>
      <c r="H1772">
        <v>133.53143333333301</v>
      </c>
      <c r="I1772">
        <v>26.107777777777699</v>
      </c>
    </row>
    <row r="1773" spans="1:9" x14ac:dyDescent="0.35">
      <c r="A1773" s="417" t="s">
        <v>846</v>
      </c>
      <c r="B1773" s="417" t="s">
        <v>676</v>
      </c>
      <c r="C1773" s="83">
        <v>46179</v>
      </c>
      <c r="D1773" s="417" t="s">
        <v>678</v>
      </c>
      <c r="E1773">
        <v>1277.9475666666699</v>
      </c>
      <c r="F1773">
        <v>32</v>
      </c>
      <c r="G1773">
        <v>39.935861458333299</v>
      </c>
      <c r="H1773">
        <v>22.8283666666667</v>
      </c>
      <c r="I1773">
        <v>88.882077000297102</v>
      </c>
    </row>
    <row r="1774" spans="1:9" x14ac:dyDescent="0.35">
      <c r="A1774" s="417" t="s">
        <v>846</v>
      </c>
      <c r="B1774" s="417" t="s">
        <v>676</v>
      </c>
      <c r="C1774" s="83">
        <v>46179</v>
      </c>
      <c r="D1774" s="417" t="s">
        <v>679</v>
      </c>
      <c r="E1774">
        <v>1277.50953333333</v>
      </c>
      <c r="F1774">
        <v>22</v>
      </c>
      <c r="G1774">
        <v>58.068615151515203</v>
      </c>
      <c r="H1774">
        <v>10.9982666666667</v>
      </c>
      <c r="I1774">
        <v>82.982061259158797</v>
      </c>
    </row>
    <row r="1775" spans="1:9" x14ac:dyDescent="0.35">
      <c r="A1775" s="417" t="s">
        <v>846</v>
      </c>
      <c r="B1775" s="417" t="s">
        <v>680</v>
      </c>
      <c r="C1775" s="83">
        <v>46179</v>
      </c>
      <c r="D1775" s="417" t="s">
        <v>683</v>
      </c>
      <c r="E1775">
        <v>1400.1813</v>
      </c>
      <c r="F1775">
        <v>31</v>
      </c>
      <c r="G1775">
        <v>45.167138709677403</v>
      </c>
      <c r="H1775">
        <v>7.1797166666666703</v>
      </c>
      <c r="I1775">
        <v>75.422600570425701</v>
      </c>
    </row>
    <row r="1776" spans="1:9" x14ac:dyDescent="0.35">
      <c r="A1776" s="417" t="s">
        <v>846</v>
      </c>
      <c r="B1776" s="417" t="s">
        <v>680</v>
      </c>
      <c r="C1776" s="83">
        <v>46179</v>
      </c>
      <c r="D1776" s="417" t="s">
        <v>682</v>
      </c>
      <c r="E1776">
        <v>1407.4958666666701</v>
      </c>
      <c r="F1776">
        <v>29</v>
      </c>
      <c r="G1776">
        <v>48.534340229884997</v>
      </c>
      <c r="H1776">
        <v>32.5041333333333</v>
      </c>
      <c r="I1776">
        <v>69.252525252525302</v>
      </c>
    </row>
    <row r="1777" spans="1:9" x14ac:dyDescent="0.35">
      <c r="A1777" s="417" t="s">
        <v>846</v>
      </c>
      <c r="B1777" s="417" t="s">
        <v>680</v>
      </c>
      <c r="C1777" s="83">
        <v>46179</v>
      </c>
      <c r="D1777" s="417" t="s">
        <v>689</v>
      </c>
      <c r="E1777">
        <v>1406.96908333333</v>
      </c>
      <c r="F1777">
        <v>25</v>
      </c>
      <c r="G1777">
        <v>56.278763333333302</v>
      </c>
      <c r="H1777">
        <v>2.6681666666666701</v>
      </c>
      <c r="I1777">
        <v>90.756427032062902</v>
      </c>
    </row>
    <row r="1778" spans="1:9" x14ac:dyDescent="0.35">
      <c r="A1778" s="417" t="s">
        <v>846</v>
      </c>
      <c r="B1778" s="417" t="s">
        <v>680</v>
      </c>
      <c r="C1778" s="83">
        <v>46179</v>
      </c>
      <c r="D1778" s="417" t="s">
        <v>681</v>
      </c>
      <c r="E1778">
        <v>1415.9661333333299</v>
      </c>
      <c r="F1778">
        <v>25</v>
      </c>
      <c r="G1778">
        <v>56.638645333333301</v>
      </c>
      <c r="H1778">
        <v>1.3345499999999999</v>
      </c>
      <c r="I1778">
        <v>78.721925548125597</v>
      </c>
    </row>
    <row r="1779" spans="1:9" x14ac:dyDescent="0.35">
      <c r="A1779" s="417" t="s">
        <v>846</v>
      </c>
      <c r="B1779" s="417" t="s">
        <v>680</v>
      </c>
      <c r="C1779" s="83">
        <v>46179</v>
      </c>
      <c r="D1779" s="417" t="s">
        <v>688</v>
      </c>
      <c r="E1779">
        <v>1354.29775</v>
      </c>
      <c r="F1779">
        <v>22</v>
      </c>
      <c r="G1779">
        <v>61.558988636363601</v>
      </c>
      <c r="H1779">
        <v>31.311399999999999</v>
      </c>
      <c r="I1779">
        <v>80.266574960172207</v>
      </c>
    </row>
    <row r="1780" spans="1:9" x14ac:dyDescent="0.35">
      <c r="A1780" s="417" t="s">
        <v>846</v>
      </c>
      <c r="B1780" s="417" t="s">
        <v>680</v>
      </c>
      <c r="C1780" s="83">
        <v>46179</v>
      </c>
      <c r="D1780" s="417" t="s">
        <v>685</v>
      </c>
      <c r="E1780">
        <v>1367.6205333333301</v>
      </c>
      <c r="F1780">
        <v>22</v>
      </c>
      <c r="G1780">
        <v>62.1645696969697</v>
      </c>
      <c r="H1780">
        <v>26.3355833333333</v>
      </c>
      <c r="I1780">
        <v>91.996464910166793</v>
      </c>
    </row>
    <row r="1781" spans="1:9" x14ac:dyDescent="0.35">
      <c r="A1781" s="417" t="s">
        <v>846</v>
      </c>
      <c r="B1781" s="417" t="s">
        <v>680</v>
      </c>
      <c r="C1781" s="83">
        <v>46179</v>
      </c>
      <c r="D1781" s="417" t="s">
        <v>690</v>
      </c>
      <c r="E1781">
        <v>1406.5017499999999</v>
      </c>
      <c r="F1781">
        <v>20</v>
      </c>
      <c r="G1781">
        <v>70.325087499999995</v>
      </c>
      <c r="H1781">
        <v>19.666616666666702</v>
      </c>
      <c r="I1781">
        <v>73.683551511811899</v>
      </c>
    </row>
    <row r="1782" spans="1:9" x14ac:dyDescent="0.35">
      <c r="A1782" s="417" t="s">
        <v>846</v>
      </c>
      <c r="B1782" s="417" t="s">
        <v>680</v>
      </c>
      <c r="C1782" s="83">
        <v>46179</v>
      </c>
      <c r="D1782" s="417" t="s">
        <v>684</v>
      </c>
      <c r="E1782">
        <v>1426.99233333333</v>
      </c>
      <c r="F1782">
        <v>19</v>
      </c>
      <c r="G1782">
        <v>75.104859649122801</v>
      </c>
      <c r="H1782">
        <v>11.50005</v>
      </c>
      <c r="I1782">
        <v>69.616319568193404</v>
      </c>
    </row>
    <row r="1783" spans="1:9" x14ac:dyDescent="0.35">
      <c r="A1783" s="417" t="s">
        <v>846</v>
      </c>
      <c r="B1783" s="417" t="s">
        <v>680</v>
      </c>
      <c r="C1783" s="83">
        <v>46179</v>
      </c>
      <c r="D1783" s="417" t="s">
        <v>687</v>
      </c>
      <c r="E1783">
        <v>1422.8087</v>
      </c>
      <c r="F1783">
        <v>9</v>
      </c>
      <c r="G1783">
        <v>158.089855555556</v>
      </c>
      <c r="H1783">
        <v>11.17615</v>
      </c>
      <c r="I1783">
        <v>34.421816685415898</v>
      </c>
    </row>
    <row r="1784" spans="1:9" x14ac:dyDescent="0.35">
      <c r="A1784" s="417" t="s">
        <v>846</v>
      </c>
      <c r="B1784" s="417" t="s">
        <v>680</v>
      </c>
      <c r="C1784" s="83">
        <v>46179</v>
      </c>
      <c r="D1784" s="417" t="s">
        <v>686</v>
      </c>
      <c r="E1784">
        <v>1440</v>
      </c>
      <c r="F1784">
        <v>1</v>
      </c>
      <c r="G1784">
        <v>1440</v>
      </c>
      <c r="H1784">
        <v>0</v>
      </c>
      <c r="I1784">
        <v>63.313131313131301</v>
      </c>
    </row>
    <row r="1785" spans="1:9" x14ac:dyDescent="0.35">
      <c r="A1785" s="417" t="s">
        <v>846</v>
      </c>
      <c r="B1785" s="417" t="s">
        <v>691</v>
      </c>
      <c r="C1785" s="83">
        <v>46179</v>
      </c>
      <c r="D1785" s="417" t="s">
        <v>295</v>
      </c>
      <c r="E1785">
        <v>1267.2706000000001</v>
      </c>
      <c r="F1785">
        <v>309</v>
      </c>
      <c r="G1785">
        <v>4.1011993527508102</v>
      </c>
      <c r="H1785">
        <v>1.86811666666667</v>
      </c>
      <c r="I1785">
        <v>45.734544881833799</v>
      </c>
    </row>
    <row r="1786" spans="1:9" x14ac:dyDescent="0.35">
      <c r="A1786" s="417" t="s">
        <v>846</v>
      </c>
      <c r="B1786" s="417" t="s">
        <v>691</v>
      </c>
      <c r="C1786" s="83">
        <v>46179</v>
      </c>
      <c r="D1786" s="417" t="s">
        <v>303</v>
      </c>
      <c r="E1786">
        <v>1303.3143500000001</v>
      </c>
      <c r="F1786">
        <v>253</v>
      </c>
      <c r="G1786">
        <v>5.1514401185770797</v>
      </c>
      <c r="H1786">
        <v>2.0947833333333299</v>
      </c>
      <c r="I1786">
        <v>47.9993882695845</v>
      </c>
    </row>
    <row r="1787" spans="1:9" x14ac:dyDescent="0.35">
      <c r="A1787" s="417" t="s">
        <v>846</v>
      </c>
      <c r="B1787" s="417" t="s">
        <v>691</v>
      </c>
      <c r="C1787" s="83">
        <v>46179</v>
      </c>
      <c r="D1787" s="417" t="s">
        <v>301</v>
      </c>
      <c r="E1787">
        <v>1159.13185</v>
      </c>
      <c r="F1787">
        <v>125</v>
      </c>
      <c r="G1787">
        <v>9.2730548000000006</v>
      </c>
      <c r="H1787">
        <v>8.2491333333333294</v>
      </c>
      <c r="I1787">
        <v>44.4551439299048</v>
      </c>
    </row>
    <row r="1788" spans="1:9" x14ac:dyDescent="0.35">
      <c r="A1788" s="417" t="s">
        <v>846</v>
      </c>
      <c r="B1788" s="417" t="s">
        <v>691</v>
      </c>
      <c r="C1788" s="83">
        <v>46179</v>
      </c>
      <c r="D1788" s="417" t="s">
        <v>299</v>
      </c>
      <c r="E1788">
        <v>1316.59396666667</v>
      </c>
      <c r="F1788">
        <v>110</v>
      </c>
      <c r="G1788">
        <v>11.969036060606101</v>
      </c>
      <c r="H1788">
        <v>0.99686666666666701</v>
      </c>
      <c r="I1788">
        <v>41.726931993182099</v>
      </c>
    </row>
    <row r="1789" spans="1:9" x14ac:dyDescent="0.35">
      <c r="A1789" s="417" t="s">
        <v>846</v>
      </c>
      <c r="B1789" s="417" t="s">
        <v>691</v>
      </c>
      <c r="C1789" s="83">
        <v>46179</v>
      </c>
      <c r="D1789" s="417" t="s">
        <v>342</v>
      </c>
      <c r="E1789">
        <v>1217.3603000000001</v>
      </c>
      <c r="F1789">
        <v>99</v>
      </c>
      <c r="G1789">
        <v>12.296568686868699</v>
      </c>
      <c r="H1789">
        <v>193.33916666666701</v>
      </c>
      <c r="I1789">
        <v>51.795634920634797</v>
      </c>
    </row>
    <row r="1790" spans="1:9" x14ac:dyDescent="0.35">
      <c r="A1790" s="417" t="s">
        <v>846</v>
      </c>
      <c r="B1790" s="417" t="s">
        <v>691</v>
      </c>
      <c r="C1790" s="83">
        <v>46179</v>
      </c>
      <c r="D1790" s="417" t="s">
        <v>309</v>
      </c>
      <c r="E1790">
        <v>1318.8549</v>
      </c>
      <c r="F1790">
        <v>92</v>
      </c>
      <c r="G1790">
        <v>14.3353793478261</v>
      </c>
      <c r="H1790">
        <v>0</v>
      </c>
      <c r="I1790">
        <v>52.872137974669897</v>
      </c>
    </row>
    <row r="1791" spans="1:9" x14ac:dyDescent="0.35">
      <c r="A1791" s="417" t="s">
        <v>846</v>
      </c>
      <c r="B1791" s="417" t="s">
        <v>691</v>
      </c>
      <c r="C1791" s="83">
        <v>46179</v>
      </c>
      <c r="D1791" s="417" t="s">
        <v>305</v>
      </c>
      <c r="E1791">
        <v>1361.03923333333</v>
      </c>
      <c r="F1791">
        <v>59</v>
      </c>
      <c r="G1791">
        <v>23.0684615819209</v>
      </c>
      <c r="H1791">
        <v>1.2640833333333299</v>
      </c>
      <c r="I1791">
        <v>51.493233919356598</v>
      </c>
    </row>
    <row r="1792" spans="1:9" x14ac:dyDescent="0.35">
      <c r="A1792" s="417" t="s">
        <v>846</v>
      </c>
      <c r="B1792" s="417" t="s">
        <v>691</v>
      </c>
      <c r="C1792" s="83">
        <v>46179</v>
      </c>
      <c r="D1792" s="417" t="s">
        <v>504</v>
      </c>
      <c r="E1792">
        <v>1440</v>
      </c>
      <c r="F1792">
        <v>1</v>
      </c>
      <c r="G1792">
        <v>1440</v>
      </c>
      <c r="H1792">
        <v>0</v>
      </c>
      <c r="I1792">
        <v>29.9405864197531</v>
      </c>
    </row>
    <row r="1793" spans="1:9" x14ac:dyDescent="0.35">
      <c r="A1793" s="417" t="s">
        <v>846</v>
      </c>
      <c r="B1793" s="417" t="s">
        <v>676</v>
      </c>
      <c r="C1793" s="83">
        <v>46178</v>
      </c>
      <c r="D1793" s="417" t="s">
        <v>677</v>
      </c>
      <c r="E1793">
        <v>1318.51808333333</v>
      </c>
      <c r="F1793">
        <v>324</v>
      </c>
      <c r="G1793">
        <v>4.0695002572016499</v>
      </c>
      <c r="H1793">
        <v>121.481916666667</v>
      </c>
      <c r="I1793">
        <v>46.881111111111103</v>
      </c>
    </row>
    <row r="1794" spans="1:9" x14ac:dyDescent="0.35">
      <c r="A1794" s="417" t="s">
        <v>846</v>
      </c>
      <c r="B1794" s="417" t="s">
        <v>676</v>
      </c>
      <c r="C1794" s="83">
        <v>46178</v>
      </c>
      <c r="D1794" s="417" t="s">
        <v>678</v>
      </c>
      <c r="E1794">
        <v>1370.79821666667</v>
      </c>
      <c r="F1794">
        <v>36</v>
      </c>
      <c r="G1794">
        <v>38.077728240740697</v>
      </c>
      <c r="H1794">
        <v>19.335550000000001</v>
      </c>
      <c r="I1794">
        <v>109.975028062647</v>
      </c>
    </row>
    <row r="1795" spans="1:9" x14ac:dyDescent="0.35">
      <c r="A1795" s="417" t="s">
        <v>846</v>
      </c>
      <c r="B1795" s="417" t="s">
        <v>676</v>
      </c>
      <c r="C1795" s="83">
        <v>46178</v>
      </c>
      <c r="D1795" s="417" t="s">
        <v>679</v>
      </c>
      <c r="E1795">
        <v>1382.8099833333299</v>
      </c>
      <c r="F1795">
        <v>19</v>
      </c>
      <c r="G1795">
        <v>72.779472807017498</v>
      </c>
      <c r="H1795">
        <v>14.178283333333299</v>
      </c>
      <c r="I1795">
        <v>103.897317390974</v>
      </c>
    </row>
    <row r="1796" spans="1:9" x14ac:dyDescent="0.35">
      <c r="A1796" s="417" t="s">
        <v>846</v>
      </c>
      <c r="B1796" s="417" t="s">
        <v>680</v>
      </c>
      <c r="C1796" s="83">
        <v>46178</v>
      </c>
      <c r="D1796" s="417" t="s">
        <v>689</v>
      </c>
      <c r="E1796">
        <v>1359.74845</v>
      </c>
      <c r="F1796">
        <v>56</v>
      </c>
      <c r="G1796">
        <v>24.281222321428601</v>
      </c>
      <c r="H1796">
        <v>5.0081499999999997</v>
      </c>
      <c r="I1796">
        <v>81.756222654449303</v>
      </c>
    </row>
    <row r="1797" spans="1:9" x14ac:dyDescent="0.35">
      <c r="A1797" s="417" t="s">
        <v>846</v>
      </c>
      <c r="B1797" s="417" t="s">
        <v>680</v>
      </c>
      <c r="C1797" s="83">
        <v>46178</v>
      </c>
      <c r="D1797" s="417" t="s">
        <v>684</v>
      </c>
      <c r="E1797">
        <v>1382.13061666667</v>
      </c>
      <c r="F1797">
        <v>37</v>
      </c>
      <c r="G1797">
        <v>37.354881531531497</v>
      </c>
      <c r="H1797">
        <v>26.830466666666702</v>
      </c>
      <c r="I1797">
        <v>59.585794896410597</v>
      </c>
    </row>
    <row r="1798" spans="1:9" x14ac:dyDescent="0.35">
      <c r="A1798" s="417" t="s">
        <v>846</v>
      </c>
      <c r="B1798" s="417" t="s">
        <v>680</v>
      </c>
      <c r="C1798" s="83">
        <v>46178</v>
      </c>
      <c r="D1798" s="417" t="s">
        <v>681</v>
      </c>
      <c r="E1798">
        <v>1384.0027</v>
      </c>
      <c r="F1798">
        <v>35</v>
      </c>
      <c r="G1798">
        <v>39.542934285714303</v>
      </c>
      <c r="H1798">
        <v>1.0005999999999999</v>
      </c>
      <c r="I1798">
        <v>67.893866803644002</v>
      </c>
    </row>
    <row r="1799" spans="1:9" x14ac:dyDescent="0.35">
      <c r="A1799" s="417" t="s">
        <v>846</v>
      </c>
      <c r="B1799" s="417" t="s">
        <v>680</v>
      </c>
      <c r="C1799" s="83">
        <v>46178</v>
      </c>
      <c r="D1799" s="417" t="s">
        <v>690</v>
      </c>
      <c r="E1799">
        <v>1185.49316666667</v>
      </c>
      <c r="F1799">
        <v>29</v>
      </c>
      <c r="G1799">
        <v>40.8790747126437</v>
      </c>
      <c r="H1799">
        <v>30.498366666666701</v>
      </c>
      <c r="I1799">
        <v>46.520596135425698</v>
      </c>
    </row>
    <row r="1800" spans="1:9" x14ac:dyDescent="0.35">
      <c r="A1800" s="417" t="s">
        <v>846</v>
      </c>
      <c r="B1800" s="417" t="s">
        <v>680</v>
      </c>
      <c r="C1800" s="83">
        <v>46178</v>
      </c>
      <c r="D1800" s="417" t="s">
        <v>683</v>
      </c>
      <c r="E1800">
        <v>1388.34958333333</v>
      </c>
      <c r="F1800">
        <v>28</v>
      </c>
      <c r="G1800">
        <v>49.583913690476201</v>
      </c>
      <c r="H1800">
        <v>4.6698333333333304</v>
      </c>
      <c r="I1800">
        <v>46.479750374630598</v>
      </c>
    </row>
    <row r="1801" spans="1:9" x14ac:dyDescent="0.35">
      <c r="A1801" s="417" t="s">
        <v>846</v>
      </c>
      <c r="B1801" s="417" t="s">
        <v>680</v>
      </c>
      <c r="C1801" s="83">
        <v>46178</v>
      </c>
      <c r="D1801" s="417" t="s">
        <v>682</v>
      </c>
      <c r="E1801">
        <v>1410.16265</v>
      </c>
      <c r="F1801">
        <v>25</v>
      </c>
      <c r="G1801">
        <v>56.406506</v>
      </c>
      <c r="H1801">
        <v>29.837350000000001</v>
      </c>
      <c r="I1801">
        <v>57.651515151515198</v>
      </c>
    </row>
    <row r="1802" spans="1:9" x14ac:dyDescent="0.35">
      <c r="A1802" s="417" t="s">
        <v>846</v>
      </c>
      <c r="B1802" s="417" t="s">
        <v>680</v>
      </c>
      <c r="C1802" s="83">
        <v>46178</v>
      </c>
      <c r="D1802" s="417" t="s">
        <v>685</v>
      </c>
      <c r="E1802">
        <v>1404.99305</v>
      </c>
      <c r="F1802">
        <v>18</v>
      </c>
      <c r="G1802">
        <v>78.055169444444402</v>
      </c>
      <c r="H1802">
        <v>9.4981166666666699</v>
      </c>
      <c r="I1802">
        <v>76.1586629545574</v>
      </c>
    </row>
    <row r="1803" spans="1:9" x14ac:dyDescent="0.35">
      <c r="A1803" s="417" t="s">
        <v>846</v>
      </c>
      <c r="B1803" s="417" t="s">
        <v>680</v>
      </c>
      <c r="C1803" s="83">
        <v>46178</v>
      </c>
      <c r="D1803" s="417" t="s">
        <v>687</v>
      </c>
      <c r="E1803">
        <v>1426.3175333333299</v>
      </c>
      <c r="F1803">
        <v>9</v>
      </c>
      <c r="G1803">
        <v>158.479725925926</v>
      </c>
      <c r="H1803">
        <v>7.3417000000000003</v>
      </c>
      <c r="I1803">
        <v>34.773827017390602</v>
      </c>
    </row>
    <row r="1804" spans="1:9" x14ac:dyDescent="0.35">
      <c r="A1804" s="417" t="s">
        <v>846</v>
      </c>
      <c r="B1804" s="417" t="s">
        <v>680</v>
      </c>
      <c r="C1804" s="83">
        <v>46178</v>
      </c>
      <c r="D1804" s="417" t="s">
        <v>688</v>
      </c>
      <c r="E1804">
        <v>1418.1496999999999</v>
      </c>
      <c r="F1804">
        <v>7</v>
      </c>
      <c r="G1804">
        <v>202.59281428571401</v>
      </c>
      <c r="H1804">
        <v>7.0002666666666702</v>
      </c>
      <c r="I1804">
        <v>64.707703733014299</v>
      </c>
    </row>
    <row r="1805" spans="1:9" x14ac:dyDescent="0.35">
      <c r="A1805" s="417" t="s">
        <v>846</v>
      </c>
      <c r="B1805" s="417" t="s">
        <v>680</v>
      </c>
      <c r="C1805" s="83">
        <v>46178</v>
      </c>
      <c r="D1805" s="417" t="s">
        <v>686</v>
      </c>
      <c r="E1805">
        <v>1440</v>
      </c>
      <c r="F1805">
        <v>1</v>
      </c>
      <c r="G1805">
        <v>1440</v>
      </c>
      <c r="H1805">
        <v>0</v>
      </c>
      <c r="I1805">
        <v>56.412500000000001</v>
      </c>
    </row>
    <row r="1806" spans="1:9" x14ac:dyDescent="0.35">
      <c r="A1806" s="417" t="s">
        <v>846</v>
      </c>
      <c r="B1806" s="417" t="s">
        <v>691</v>
      </c>
      <c r="C1806" s="83">
        <v>46178</v>
      </c>
      <c r="D1806" s="417" t="s">
        <v>303</v>
      </c>
      <c r="E1806">
        <v>528.4819</v>
      </c>
      <c r="F1806">
        <v>53</v>
      </c>
      <c r="G1806">
        <v>9.9713566037735895</v>
      </c>
      <c r="H1806">
        <v>0.43004999999999999</v>
      </c>
      <c r="I1806">
        <v>27.9768111973633</v>
      </c>
    </row>
    <row r="1807" spans="1:9" x14ac:dyDescent="0.35">
      <c r="A1807" s="417" t="s">
        <v>846</v>
      </c>
      <c r="B1807" s="417" t="s">
        <v>691</v>
      </c>
      <c r="C1807" s="83">
        <v>46178</v>
      </c>
      <c r="D1807" s="417" t="s">
        <v>295</v>
      </c>
      <c r="E1807">
        <v>556.251933333333</v>
      </c>
      <c r="F1807">
        <v>42</v>
      </c>
      <c r="G1807">
        <v>13.244093650793699</v>
      </c>
      <c r="H1807">
        <v>0.24488333333333301</v>
      </c>
      <c r="I1807">
        <v>30.782152749254401</v>
      </c>
    </row>
    <row r="1808" spans="1:9" x14ac:dyDescent="0.35">
      <c r="A1808" s="417" t="s">
        <v>846</v>
      </c>
      <c r="B1808" s="417" t="s">
        <v>691</v>
      </c>
      <c r="C1808" s="83">
        <v>46178</v>
      </c>
      <c r="D1808" s="417" t="s">
        <v>299</v>
      </c>
      <c r="E1808">
        <v>383.81111666666698</v>
      </c>
      <c r="F1808">
        <v>40</v>
      </c>
      <c r="G1808">
        <v>9.5952779166666708</v>
      </c>
      <c r="H1808">
        <v>0.21943333333333301</v>
      </c>
      <c r="I1808">
        <v>9.2728065774835304</v>
      </c>
    </row>
    <row r="1809" spans="1:9" x14ac:dyDescent="0.35">
      <c r="A1809" s="417" t="s">
        <v>846</v>
      </c>
      <c r="B1809" s="417" t="s">
        <v>691</v>
      </c>
      <c r="C1809" s="83">
        <v>46178</v>
      </c>
      <c r="D1809" s="417" t="s">
        <v>301</v>
      </c>
      <c r="E1809">
        <v>444.58473333333302</v>
      </c>
      <c r="F1809">
        <v>40</v>
      </c>
      <c r="G1809">
        <v>11.114618333333301</v>
      </c>
      <c r="H1809">
        <v>0.15111666666666701</v>
      </c>
      <c r="I1809">
        <v>6.1079479605237301</v>
      </c>
    </row>
    <row r="1810" spans="1:9" x14ac:dyDescent="0.35">
      <c r="A1810" s="417" t="s">
        <v>846</v>
      </c>
      <c r="B1810" s="417" t="s">
        <v>691</v>
      </c>
      <c r="C1810" s="83">
        <v>46178</v>
      </c>
      <c r="D1810" s="417" t="s">
        <v>342</v>
      </c>
      <c r="E1810">
        <v>470.46408333333301</v>
      </c>
      <c r="F1810">
        <v>28</v>
      </c>
      <c r="G1810">
        <v>16.8022886904762</v>
      </c>
      <c r="H1810">
        <v>69.880449999999996</v>
      </c>
      <c r="I1810">
        <v>22.738095238095202</v>
      </c>
    </row>
    <row r="1811" spans="1:9" x14ac:dyDescent="0.35">
      <c r="A1811" s="417" t="s">
        <v>846</v>
      </c>
      <c r="B1811" s="417" t="s">
        <v>691</v>
      </c>
      <c r="C1811" s="83">
        <v>46178</v>
      </c>
      <c r="D1811" s="417" t="s">
        <v>309</v>
      </c>
      <c r="E1811">
        <v>571.588666666667</v>
      </c>
      <c r="F1811">
        <v>25</v>
      </c>
      <c r="G1811">
        <v>22.8635466666667</v>
      </c>
      <c r="H1811">
        <v>0</v>
      </c>
      <c r="I1811">
        <v>24.1461368153359</v>
      </c>
    </row>
    <row r="1812" spans="1:9" x14ac:dyDescent="0.35">
      <c r="A1812" s="417" t="s">
        <v>846</v>
      </c>
      <c r="B1812" s="417" t="s">
        <v>691</v>
      </c>
      <c r="C1812" s="83">
        <v>46178</v>
      </c>
      <c r="D1812" s="417" t="s">
        <v>305</v>
      </c>
      <c r="E1812">
        <v>553.36998333333304</v>
      </c>
      <c r="F1812">
        <v>20</v>
      </c>
      <c r="G1812">
        <v>27.668499166666699</v>
      </c>
      <c r="H1812">
        <v>1.0549833333333301</v>
      </c>
      <c r="I1812">
        <v>26.305128264294499</v>
      </c>
    </row>
    <row r="1813" spans="1:9" x14ac:dyDescent="0.35">
      <c r="A1813" s="417" t="s">
        <v>846</v>
      </c>
      <c r="B1813" s="417" t="s">
        <v>691</v>
      </c>
      <c r="C1813" s="83">
        <v>46178</v>
      </c>
      <c r="D1813" s="417" t="s">
        <v>504</v>
      </c>
      <c r="E1813">
        <v>600</v>
      </c>
      <c r="F1813">
        <v>1</v>
      </c>
      <c r="G1813">
        <v>600</v>
      </c>
      <c r="H1813">
        <v>0</v>
      </c>
      <c r="I1813">
        <v>7937.84296296296</v>
      </c>
    </row>
    <row r="1814" spans="1:9" x14ac:dyDescent="0.35">
      <c r="A1814" s="417" t="s">
        <v>846</v>
      </c>
      <c r="B1814" s="417" t="s">
        <v>676</v>
      </c>
      <c r="C1814" s="83">
        <v>46177</v>
      </c>
      <c r="D1814" s="417" t="s">
        <v>677</v>
      </c>
      <c r="E1814">
        <v>1285.4712</v>
      </c>
      <c r="F1814">
        <v>382</v>
      </c>
      <c r="G1814">
        <v>3.3651078534031398</v>
      </c>
      <c r="H1814">
        <v>140.75478333333299</v>
      </c>
      <c r="I1814">
        <v>36.500833333333297</v>
      </c>
    </row>
    <row r="1815" spans="1:9" x14ac:dyDescent="0.35">
      <c r="A1815" s="417" t="s">
        <v>846</v>
      </c>
      <c r="B1815" s="417" t="s">
        <v>676</v>
      </c>
      <c r="C1815" s="83">
        <v>46177</v>
      </c>
      <c r="D1815" s="417" t="s">
        <v>678</v>
      </c>
      <c r="E1815">
        <v>1350.2643499999999</v>
      </c>
      <c r="F1815">
        <v>36</v>
      </c>
      <c r="G1815">
        <v>37.507343055555502</v>
      </c>
      <c r="H1815">
        <v>27.664999999999999</v>
      </c>
      <c r="I1815">
        <v>90.533427324606095</v>
      </c>
    </row>
    <row r="1816" spans="1:9" x14ac:dyDescent="0.35">
      <c r="A1816" s="417" t="s">
        <v>846</v>
      </c>
      <c r="B1816" s="417" t="s">
        <v>676</v>
      </c>
      <c r="C1816" s="83">
        <v>46177</v>
      </c>
      <c r="D1816" s="417" t="s">
        <v>679</v>
      </c>
      <c r="E1816">
        <v>1088.3378166666701</v>
      </c>
      <c r="F1816">
        <v>23</v>
      </c>
      <c r="G1816">
        <v>47.319035507246397</v>
      </c>
      <c r="H1816">
        <v>35.293149999999997</v>
      </c>
      <c r="I1816">
        <v>83.938030569571495</v>
      </c>
    </row>
    <row r="1817" spans="1:9" x14ac:dyDescent="0.35">
      <c r="A1817" s="417" t="s">
        <v>846</v>
      </c>
      <c r="B1817" s="417" t="s">
        <v>680</v>
      </c>
      <c r="C1817" s="83">
        <v>46177</v>
      </c>
      <c r="D1817" s="417" t="s">
        <v>690</v>
      </c>
      <c r="E1817">
        <v>1363.0018333333301</v>
      </c>
      <c r="F1817">
        <v>52</v>
      </c>
      <c r="G1817">
        <v>26.211573717948699</v>
      </c>
      <c r="H1817">
        <v>28.418600000000001</v>
      </c>
      <c r="I1817">
        <v>56.431111073208797</v>
      </c>
    </row>
    <row r="1818" spans="1:9" x14ac:dyDescent="0.35">
      <c r="A1818" s="417" t="s">
        <v>846</v>
      </c>
      <c r="B1818" s="417" t="s">
        <v>680</v>
      </c>
      <c r="C1818" s="83">
        <v>46177</v>
      </c>
      <c r="D1818" s="417" t="s">
        <v>689</v>
      </c>
      <c r="E1818">
        <v>1388.0073333333301</v>
      </c>
      <c r="F1818">
        <v>29</v>
      </c>
      <c r="G1818">
        <v>47.862321839080501</v>
      </c>
      <c r="H1818">
        <v>1.9609666666666701</v>
      </c>
      <c r="I1818">
        <v>91.567150965423707</v>
      </c>
    </row>
    <row r="1819" spans="1:9" x14ac:dyDescent="0.35">
      <c r="A1819" s="417" t="s">
        <v>846</v>
      </c>
      <c r="B1819" s="417" t="s">
        <v>680</v>
      </c>
      <c r="C1819" s="83">
        <v>46177</v>
      </c>
      <c r="D1819" s="417" t="s">
        <v>683</v>
      </c>
      <c r="E1819">
        <v>1366.5600666666701</v>
      </c>
      <c r="F1819">
        <v>26</v>
      </c>
      <c r="G1819">
        <v>52.560002564102597</v>
      </c>
      <c r="H1819">
        <v>5.0457666666666698</v>
      </c>
      <c r="I1819">
        <v>83.345272332007795</v>
      </c>
    </row>
    <row r="1820" spans="1:9" x14ac:dyDescent="0.35">
      <c r="A1820" s="417" t="s">
        <v>846</v>
      </c>
      <c r="B1820" s="417" t="s">
        <v>680</v>
      </c>
      <c r="C1820" s="83">
        <v>46177</v>
      </c>
      <c r="D1820" s="417" t="s">
        <v>687</v>
      </c>
      <c r="E1820">
        <v>1383.73563333333</v>
      </c>
      <c r="F1820">
        <v>20</v>
      </c>
      <c r="G1820">
        <v>69.186781666666704</v>
      </c>
      <c r="H1820">
        <v>35.1024666666667</v>
      </c>
      <c r="I1820">
        <v>29.980722873154999</v>
      </c>
    </row>
    <row r="1821" spans="1:9" x14ac:dyDescent="0.35">
      <c r="A1821" s="417" t="s">
        <v>846</v>
      </c>
      <c r="B1821" s="417" t="s">
        <v>680</v>
      </c>
      <c r="C1821" s="83">
        <v>46177</v>
      </c>
      <c r="D1821" s="417" t="s">
        <v>681</v>
      </c>
      <c r="E1821">
        <v>1385.4782499999999</v>
      </c>
      <c r="F1821">
        <v>17</v>
      </c>
      <c r="G1821">
        <v>81.498720588235301</v>
      </c>
      <c r="H1821">
        <v>1.84585</v>
      </c>
      <c r="I1821">
        <v>74.668790318600301</v>
      </c>
    </row>
    <row r="1822" spans="1:9" x14ac:dyDescent="0.35">
      <c r="A1822" s="417" t="s">
        <v>846</v>
      </c>
      <c r="B1822" s="417" t="s">
        <v>680</v>
      </c>
      <c r="C1822" s="83">
        <v>46177</v>
      </c>
      <c r="D1822" s="417" t="s">
        <v>688</v>
      </c>
      <c r="E1822">
        <v>1385.34375</v>
      </c>
      <c r="F1822">
        <v>16</v>
      </c>
      <c r="G1822">
        <v>86.583984375</v>
      </c>
      <c r="H1822">
        <v>11.1275</v>
      </c>
      <c r="I1822">
        <v>69.612730733036798</v>
      </c>
    </row>
    <row r="1823" spans="1:9" x14ac:dyDescent="0.35">
      <c r="A1823" s="417" t="s">
        <v>846</v>
      </c>
      <c r="B1823" s="417" t="s">
        <v>680</v>
      </c>
      <c r="C1823" s="83">
        <v>46177</v>
      </c>
      <c r="D1823" s="417" t="s">
        <v>684</v>
      </c>
      <c r="E1823">
        <v>1412.60995</v>
      </c>
      <c r="F1823">
        <v>15</v>
      </c>
      <c r="G1823">
        <v>94.173996666666696</v>
      </c>
      <c r="H1823">
        <v>10.566183333333299</v>
      </c>
      <c r="I1823">
        <v>98.4060424217964</v>
      </c>
    </row>
    <row r="1824" spans="1:9" x14ac:dyDescent="0.35">
      <c r="A1824" s="417" t="s">
        <v>846</v>
      </c>
      <c r="B1824" s="417" t="s">
        <v>680</v>
      </c>
      <c r="C1824" s="83">
        <v>46177</v>
      </c>
      <c r="D1824" s="417" t="s">
        <v>682</v>
      </c>
      <c r="E1824">
        <v>1413.85081666667</v>
      </c>
      <c r="F1824">
        <v>15</v>
      </c>
      <c r="G1824">
        <v>94.256721111111105</v>
      </c>
      <c r="H1824">
        <v>19.166899999999998</v>
      </c>
      <c r="I1824">
        <v>75.252525252525302</v>
      </c>
    </row>
    <row r="1825" spans="1:9" x14ac:dyDescent="0.35">
      <c r="A1825" s="417" t="s">
        <v>846</v>
      </c>
      <c r="B1825" s="417" t="s">
        <v>680</v>
      </c>
      <c r="C1825" s="83">
        <v>46177</v>
      </c>
      <c r="D1825" s="417" t="s">
        <v>685</v>
      </c>
      <c r="E1825">
        <v>1333.9512999999999</v>
      </c>
      <c r="F1825">
        <v>10</v>
      </c>
      <c r="G1825">
        <v>133.39512999999999</v>
      </c>
      <c r="H1825">
        <v>1.7841166666666699</v>
      </c>
      <c r="I1825">
        <v>87.334464951823705</v>
      </c>
    </row>
    <row r="1826" spans="1:9" x14ac:dyDescent="0.35">
      <c r="A1826" s="417" t="s">
        <v>846</v>
      </c>
      <c r="B1826" s="417" t="s">
        <v>680</v>
      </c>
      <c r="C1826" s="83">
        <v>46177</v>
      </c>
      <c r="D1826" s="417" t="s">
        <v>686</v>
      </c>
      <c r="E1826">
        <v>1433.683</v>
      </c>
      <c r="F1826">
        <v>1</v>
      </c>
      <c r="G1826">
        <v>1433.683</v>
      </c>
      <c r="H1826">
        <v>0</v>
      </c>
      <c r="I1826">
        <v>25.737373737373701</v>
      </c>
    </row>
    <row r="1827" spans="1:9" x14ac:dyDescent="0.35">
      <c r="A1827" s="417" t="s">
        <v>846</v>
      </c>
      <c r="B1827" s="417" t="s">
        <v>691</v>
      </c>
      <c r="C1827" s="83">
        <v>46177</v>
      </c>
      <c r="D1827" s="417" t="s">
        <v>313</v>
      </c>
      <c r="E1827">
        <v>330</v>
      </c>
      <c r="F1827">
        <v>1</v>
      </c>
      <c r="G1827">
        <v>330</v>
      </c>
      <c r="H1827">
        <v>0</v>
      </c>
      <c r="I1827">
        <v>0</v>
      </c>
    </row>
    <row r="1828" spans="1:9" x14ac:dyDescent="0.35">
      <c r="A1828" s="417" t="s">
        <v>846</v>
      </c>
      <c r="B1828" s="417" t="s">
        <v>691</v>
      </c>
      <c r="C1828" s="83">
        <v>46177</v>
      </c>
      <c r="D1828" s="417" t="s">
        <v>299</v>
      </c>
      <c r="E1828">
        <v>330</v>
      </c>
      <c r="F1828">
        <v>1</v>
      </c>
      <c r="G1828">
        <v>330</v>
      </c>
      <c r="H1828">
        <v>0</v>
      </c>
      <c r="I1828">
        <v>0</v>
      </c>
    </row>
    <row r="1829" spans="1:9" x14ac:dyDescent="0.35">
      <c r="A1829" s="417" t="s">
        <v>846</v>
      </c>
      <c r="B1829" s="417" t="s">
        <v>691</v>
      </c>
      <c r="C1829" s="83">
        <v>46177</v>
      </c>
      <c r="D1829" s="417" t="s">
        <v>317</v>
      </c>
      <c r="E1829">
        <v>330</v>
      </c>
      <c r="F1829">
        <v>1</v>
      </c>
      <c r="G1829">
        <v>330</v>
      </c>
      <c r="H1829">
        <v>0</v>
      </c>
      <c r="I1829">
        <v>0</v>
      </c>
    </row>
    <row r="1830" spans="1:9" x14ac:dyDescent="0.35">
      <c r="A1830" s="417" t="s">
        <v>846</v>
      </c>
      <c r="B1830" s="417" t="s">
        <v>691</v>
      </c>
      <c r="C1830" s="83">
        <v>46177</v>
      </c>
      <c r="D1830" s="417" t="s">
        <v>314</v>
      </c>
      <c r="E1830">
        <v>330</v>
      </c>
      <c r="F1830">
        <v>1</v>
      </c>
      <c r="G1830">
        <v>330</v>
      </c>
      <c r="H1830">
        <v>0</v>
      </c>
      <c r="I1830">
        <v>0</v>
      </c>
    </row>
    <row r="1831" spans="1:9" x14ac:dyDescent="0.35">
      <c r="A1831" s="417" t="s">
        <v>846</v>
      </c>
      <c r="B1831" s="417" t="s">
        <v>691</v>
      </c>
      <c r="C1831" s="83">
        <v>46177</v>
      </c>
      <c r="D1831" s="417" t="s">
        <v>309</v>
      </c>
      <c r="E1831">
        <v>330</v>
      </c>
      <c r="F1831">
        <v>1</v>
      </c>
      <c r="G1831">
        <v>330</v>
      </c>
      <c r="H1831">
        <v>0</v>
      </c>
      <c r="I1831">
        <v>0</v>
      </c>
    </row>
    <row r="1832" spans="1:9" x14ac:dyDescent="0.35">
      <c r="A1832" s="417" t="s">
        <v>846</v>
      </c>
      <c r="B1832" s="417" t="s">
        <v>691</v>
      </c>
      <c r="C1832" s="83">
        <v>46177</v>
      </c>
      <c r="D1832" s="417" t="s">
        <v>301</v>
      </c>
      <c r="E1832">
        <v>330</v>
      </c>
      <c r="F1832">
        <v>1</v>
      </c>
      <c r="G1832">
        <v>330</v>
      </c>
      <c r="H1832">
        <v>0</v>
      </c>
      <c r="I1832">
        <v>0</v>
      </c>
    </row>
    <row r="1833" spans="1:9" x14ac:dyDescent="0.35">
      <c r="A1833" s="417" t="s">
        <v>846</v>
      </c>
      <c r="B1833" s="417" t="s">
        <v>691</v>
      </c>
      <c r="C1833" s="83">
        <v>46177</v>
      </c>
      <c r="D1833" s="417" t="s">
        <v>295</v>
      </c>
      <c r="E1833">
        <v>330</v>
      </c>
      <c r="F1833">
        <v>1</v>
      </c>
      <c r="G1833">
        <v>330</v>
      </c>
      <c r="H1833">
        <v>0</v>
      </c>
      <c r="I1833">
        <v>0</v>
      </c>
    </row>
    <row r="1834" spans="1:9" x14ac:dyDescent="0.35">
      <c r="A1834" s="417" t="s">
        <v>846</v>
      </c>
      <c r="B1834" s="417" t="s">
        <v>691</v>
      </c>
      <c r="C1834" s="83">
        <v>46177</v>
      </c>
      <c r="D1834" s="417" t="s">
        <v>305</v>
      </c>
      <c r="E1834">
        <v>330</v>
      </c>
      <c r="F1834">
        <v>1</v>
      </c>
      <c r="G1834">
        <v>330</v>
      </c>
      <c r="H1834">
        <v>0</v>
      </c>
      <c r="I1834">
        <v>0</v>
      </c>
    </row>
    <row r="1835" spans="1:9" x14ac:dyDescent="0.35">
      <c r="A1835" s="417" t="s">
        <v>846</v>
      </c>
      <c r="B1835" s="417" t="s">
        <v>676</v>
      </c>
      <c r="C1835" s="83">
        <v>46176</v>
      </c>
      <c r="D1835" s="417" t="s">
        <v>677</v>
      </c>
      <c r="E1835">
        <v>1202.57776666667</v>
      </c>
      <c r="F1835">
        <v>415</v>
      </c>
      <c r="G1835">
        <v>2.8977777510040199</v>
      </c>
      <c r="H1835">
        <v>212.543833333333</v>
      </c>
      <c r="I1835">
        <v>14.845277777777699</v>
      </c>
    </row>
    <row r="1836" spans="1:9" x14ac:dyDescent="0.35">
      <c r="A1836" s="417" t="s">
        <v>846</v>
      </c>
      <c r="B1836" s="417" t="s">
        <v>676</v>
      </c>
      <c r="C1836" s="83">
        <v>46176</v>
      </c>
      <c r="D1836" s="417" t="s">
        <v>678</v>
      </c>
      <c r="E1836">
        <v>1302.2833166666701</v>
      </c>
      <c r="F1836">
        <v>34</v>
      </c>
      <c r="G1836">
        <v>38.302450490196101</v>
      </c>
      <c r="H1836">
        <v>22.003266666666701</v>
      </c>
      <c r="I1836">
        <v>106.697197151246</v>
      </c>
    </row>
    <row r="1837" spans="1:9" x14ac:dyDescent="0.35">
      <c r="A1837" s="417" t="s">
        <v>846</v>
      </c>
      <c r="B1837" s="417" t="s">
        <v>676</v>
      </c>
      <c r="C1837" s="83">
        <v>46176</v>
      </c>
      <c r="D1837" s="417" t="s">
        <v>679</v>
      </c>
      <c r="E1837">
        <v>1336.16581666667</v>
      </c>
      <c r="F1837">
        <v>10</v>
      </c>
      <c r="G1837">
        <v>133.616581666667</v>
      </c>
      <c r="H1837">
        <v>4.02328333333333</v>
      </c>
      <c r="I1837">
        <v>97.022129190574702</v>
      </c>
    </row>
    <row r="1838" spans="1:9" x14ac:dyDescent="0.35">
      <c r="A1838" s="417" t="s">
        <v>846</v>
      </c>
      <c r="B1838" s="417" t="s">
        <v>680</v>
      </c>
      <c r="C1838" s="83">
        <v>46176</v>
      </c>
      <c r="D1838" s="417" t="s">
        <v>682</v>
      </c>
      <c r="E1838">
        <v>1417.49113333333</v>
      </c>
      <c r="F1838">
        <v>30</v>
      </c>
      <c r="G1838">
        <v>47.249704444444397</v>
      </c>
      <c r="H1838">
        <v>22.508866666666702</v>
      </c>
      <c r="I1838">
        <v>85.848484848484802</v>
      </c>
    </row>
    <row r="1839" spans="1:9" x14ac:dyDescent="0.35">
      <c r="A1839" s="417" t="s">
        <v>846</v>
      </c>
      <c r="B1839" s="417" t="s">
        <v>680</v>
      </c>
      <c r="C1839" s="83">
        <v>46176</v>
      </c>
      <c r="D1839" s="417" t="s">
        <v>690</v>
      </c>
      <c r="E1839">
        <v>1412.13985</v>
      </c>
      <c r="F1839">
        <v>25</v>
      </c>
      <c r="G1839">
        <v>56.485593999999999</v>
      </c>
      <c r="H1839">
        <v>3.1451333333333298</v>
      </c>
      <c r="I1839">
        <v>72.537440845394698</v>
      </c>
    </row>
    <row r="1840" spans="1:9" x14ac:dyDescent="0.35">
      <c r="A1840" s="417" t="s">
        <v>846</v>
      </c>
      <c r="B1840" s="417" t="s">
        <v>680</v>
      </c>
      <c r="C1840" s="83">
        <v>46176</v>
      </c>
      <c r="D1840" s="417" t="s">
        <v>687</v>
      </c>
      <c r="E1840">
        <v>1362.6827166666701</v>
      </c>
      <c r="F1840">
        <v>20</v>
      </c>
      <c r="G1840">
        <v>68.134135833333303</v>
      </c>
      <c r="H1840">
        <v>22.9421</v>
      </c>
      <c r="I1840">
        <v>33.587043451603201</v>
      </c>
    </row>
    <row r="1841" spans="1:9" x14ac:dyDescent="0.35">
      <c r="A1841" s="417" t="s">
        <v>846</v>
      </c>
      <c r="B1841" s="417" t="s">
        <v>680</v>
      </c>
      <c r="C1841" s="83">
        <v>46176</v>
      </c>
      <c r="D1841" s="417" t="s">
        <v>689</v>
      </c>
      <c r="E1841">
        <v>1424.2173166666701</v>
      </c>
      <c r="F1841">
        <v>20</v>
      </c>
      <c r="G1841">
        <v>71.210865833333301</v>
      </c>
      <c r="H1841">
        <v>1.6792166666666699</v>
      </c>
      <c r="I1841">
        <v>100.04976275147</v>
      </c>
    </row>
    <row r="1842" spans="1:9" x14ac:dyDescent="0.35">
      <c r="A1842" s="417" t="s">
        <v>846</v>
      </c>
      <c r="B1842" s="417" t="s">
        <v>680</v>
      </c>
      <c r="C1842" s="83">
        <v>46176</v>
      </c>
      <c r="D1842" s="417" t="s">
        <v>683</v>
      </c>
      <c r="E1842">
        <v>1412.88018333333</v>
      </c>
      <c r="F1842">
        <v>19</v>
      </c>
      <c r="G1842">
        <v>74.362114912280703</v>
      </c>
      <c r="H1842">
        <v>1.4520666666666699</v>
      </c>
      <c r="I1842">
        <v>73.737307815886794</v>
      </c>
    </row>
    <row r="1843" spans="1:9" x14ac:dyDescent="0.35">
      <c r="A1843" s="417" t="s">
        <v>846</v>
      </c>
      <c r="B1843" s="417" t="s">
        <v>680</v>
      </c>
      <c r="C1843" s="83">
        <v>46176</v>
      </c>
      <c r="D1843" s="417" t="s">
        <v>688</v>
      </c>
      <c r="E1843">
        <v>1400.7555666666699</v>
      </c>
      <c r="F1843">
        <v>18</v>
      </c>
      <c r="G1843">
        <v>77.819753703703697</v>
      </c>
      <c r="H1843">
        <v>17.0157666666667</v>
      </c>
      <c r="I1843">
        <v>83.708936945932706</v>
      </c>
    </row>
    <row r="1844" spans="1:9" x14ac:dyDescent="0.35">
      <c r="A1844" s="417" t="s">
        <v>846</v>
      </c>
      <c r="B1844" s="417" t="s">
        <v>680</v>
      </c>
      <c r="C1844" s="83">
        <v>46176</v>
      </c>
      <c r="D1844" s="417" t="s">
        <v>684</v>
      </c>
      <c r="E1844">
        <v>1427.5762666666701</v>
      </c>
      <c r="F1844">
        <v>16</v>
      </c>
      <c r="G1844">
        <v>89.223516666666697</v>
      </c>
      <c r="H1844">
        <v>5.8799333333333301</v>
      </c>
      <c r="I1844">
        <v>90.962147029922804</v>
      </c>
    </row>
    <row r="1845" spans="1:9" x14ac:dyDescent="0.35">
      <c r="A1845" s="417" t="s">
        <v>846</v>
      </c>
      <c r="B1845" s="417" t="s">
        <v>680</v>
      </c>
      <c r="C1845" s="83">
        <v>46176</v>
      </c>
      <c r="D1845" s="417" t="s">
        <v>681</v>
      </c>
      <c r="E1845">
        <v>1416.4727666666699</v>
      </c>
      <c r="F1845">
        <v>15</v>
      </c>
      <c r="G1845">
        <v>94.431517777777799</v>
      </c>
      <c r="H1845">
        <v>0.50341666666666696</v>
      </c>
      <c r="I1845">
        <v>83.455462767211799</v>
      </c>
    </row>
    <row r="1846" spans="1:9" x14ac:dyDescent="0.35">
      <c r="A1846" s="417" t="s">
        <v>846</v>
      </c>
      <c r="B1846" s="417" t="s">
        <v>680</v>
      </c>
      <c r="C1846" s="83">
        <v>46176</v>
      </c>
      <c r="D1846" s="417" t="s">
        <v>685</v>
      </c>
      <c r="E1846">
        <v>1408.4582666666699</v>
      </c>
      <c r="F1846">
        <v>9</v>
      </c>
      <c r="G1846">
        <v>156.49536296296299</v>
      </c>
      <c r="H1846">
        <v>3.1857833333333301</v>
      </c>
      <c r="I1846">
        <v>99.731382907297998</v>
      </c>
    </row>
    <row r="1847" spans="1:9" x14ac:dyDescent="0.35">
      <c r="A1847" s="417" t="s">
        <v>846</v>
      </c>
      <c r="B1847" s="417" t="s">
        <v>680</v>
      </c>
      <c r="C1847" s="83">
        <v>46176</v>
      </c>
      <c r="D1847" s="417" t="s">
        <v>686</v>
      </c>
      <c r="E1847">
        <v>1440</v>
      </c>
      <c r="F1847">
        <v>1</v>
      </c>
      <c r="G1847">
        <v>1440</v>
      </c>
      <c r="H1847">
        <v>0</v>
      </c>
      <c r="I1847">
        <v>30.747474747474701</v>
      </c>
    </row>
    <row r="1848" spans="1:9" x14ac:dyDescent="0.35">
      <c r="A1848" s="417" t="s">
        <v>846</v>
      </c>
      <c r="B1848" s="417" t="s">
        <v>691</v>
      </c>
      <c r="C1848" s="83">
        <v>46176</v>
      </c>
      <c r="D1848" s="417" t="s">
        <v>313</v>
      </c>
      <c r="E1848">
        <v>1440</v>
      </c>
      <c r="F1848">
        <v>1</v>
      </c>
      <c r="G1848">
        <v>1440</v>
      </c>
      <c r="H1848">
        <v>0</v>
      </c>
      <c r="I1848">
        <v>0</v>
      </c>
    </row>
    <row r="1849" spans="1:9" x14ac:dyDescent="0.35">
      <c r="A1849" s="417" t="s">
        <v>846</v>
      </c>
      <c r="B1849" s="417" t="s">
        <v>691</v>
      </c>
      <c r="C1849" s="83">
        <v>46176</v>
      </c>
      <c r="D1849" s="417" t="s">
        <v>299</v>
      </c>
      <c r="E1849">
        <v>1440</v>
      </c>
      <c r="F1849">
        <v>1</v>
      </c>
      <c r="G1849">
        <v>1440</v>
      </c>
      <c r="H1849">
        <v>0</v>
      </c>
      <c r="I1849">
        <v>0</v>
      </c>
    </row>
    <row r="1850" spans="1:9" x14ac:dyDescent="0.35">
      <c r="A1850" s="417" t="s">
        <v>846</v>
      </c>
      <c r="B1850" s="417" t="s">
        <v>691</v>
      </c>
      <c r="C1850" s="83">
        <v>46176</v>
      </c>
      <c r="D1850" s="417" t="s">
        <v>317</v>
      </c>
      <c r="E1850">
        <v>1440</v>
      </c>
      <c r="F1850">
        <v>1</v>
      </c>
      <c r="G1850">
        <v>1440</v>
      </c>
      <c r="H1850">
        <v>0</v>
      </c>
      <c r="I1850">
        <v>0</v>
      </c>
    </row>
    <row r="1851" spans="1:9" x14ac:dyDescent="0.35">
      <c r="A1851" s="417" t="s">
        <v>846</v>
      </c>
      <c r="B1851" s="417" t="s">
        <v>691</v>
      </c>
      <c r="C1851" s="83">
        <v>46176</v>
      </c>
      <c r="D1851" s="417" t="s">
        <v>305</v>
      </c>
      <c r="E1851">
        <v>1440</v>
      </c>
      <c r="F1851">
        <v>1</v>
      </c>
      <c r="G1851">
        <v>1440</v>
      </c>
      <c r="H1851">
        <v>0</v>
      </c>
      <c r="I1851">
        <v>0</v>
      </c>
    </row>
    <row r="1852" spans="1:9" x14ac:dyDescent="0.35">
      <c r="A1852" s="417" t="s">
        <v>846</v>
      </c>
      <c r="B1852" s="417" t="s">
        <v>691</v>
      </c>
      <c r="C1852" s="83">
        <v>46176</v>
      </c>
      <c r="D1852" s="417" t="s">
        <v>314</v>
      </c>
      <c r="E1852">
        <v>1440</v>
      </c>
      <c r="F1852">
        <v>1</v>
      </c>
      <c r="G1852">
        <v>1440</v>
      </c>
      <c r="H1852">
        <v>0</v>
      </c>
      <c r="I1852">
        <v>0</v>
      </c>
    </row>
    <row r="1853" spans="1:9" x14ac:dyDescent="0.35">
      <c r="A1853" s="417" t="s">
        <v>846</v>
      </c>
      <c r="B1853" s="417" t="s">
        <v>691</v>
      </c>
      <c r="C1853" s="83">
        <v>46176</v>
      </c>
      <c r="D1853" s="417" t="s">
        <v>295</v>
      </c>
      <c r="E1853">
        <v>1440</v>
      </c>
      <c r="F1853">
        <v>1</v>
      </c>
      <c r="G1853">
        <v>1440</v>
      </c>
      <c r="H1853">
        <v>0</v>
      </c>
      <c r="I1853">
        <v>0</v>
      </c>
    </row>
    <row r="1854" spans="1:9" x14ac:dyDescent="0.35">
      <c r="A1854" s="417" t="s">
        <v>846</v>
      </c>
      <c r="B1854" s="417" t="s">
        <v>691</v>
      </c>
      <c r="C1854" s="83">
        <v>46176</v>
      </c>
      <c r="D1854" s="417" t="s">
        <v>301</v>
      </c>
      <c r="E1854">
        <v>1440</v>
      </c>
      <c r="F1854">
        <v>1</v>
      </c>
      <c r="G1854">
        <v>1440</v>
      </c>
      <c r="H1854">
        <v>0</v>
      </c>
      <c r="I1854">
        <v>0</v>
      </c>
    </row>
    <row r="1855" spans="1:9" x14ac:dyDescent="0.35">
      <c r="A1855" s="417" t="s">
        <v>846</v>
      </c>
      <c r="B1855" s="417" t="s">
        <v>691</v>
      </c>
      <c r="C1855" s="83">
        <v>46176</v>
      </c>
      <c r="D1855" s="417" t="s">
        <v>309</v>
      </c>
      <c r="E1855">
        <v>1440</v>
      </c>
      <c r="F1855">
        <v>1</v>
      </c>
      <c r="G1855">
        <v>1440</v>
      </c>
      <c r="H1855">
        <v>0</v>
      </c>
      <c r="I1855">
        <v>0</v>
      </c>
    </row>
    <row r="1856" spans="1:9" x14ac:dyDescent="0.35">
      <c r="A1856" s="417" t="s">
        <v>846</v>
      </c>
      <c r="B1856" s="417" t="s">
        <v>676</v>
      </c>
      <c r="C1856" s="83">
        <v>46175</v>
      </c>
      <c r="D1856" s="417" t="s">
        <v>677</v>
      </c>
      <c r="E1856">
        <v>1232.5821333333299</v>
      </c>
      <c r="F1856">
        <v>340</v>
      </c>
      <c r="G1856">
        <v>3.62524156862745</v>
      </c>
      <c r="H1856">
        <v>174.47108333333301</v>
      </c>
      <c r="I1856">
        <v>18.608888888888899</v>
      </c>
    </row>
    <row r="1857" spans="1:9" x14ac:dyDescent="0.35">
      <c r="A1857" s="417" t="s">
        <v>846</v>
      </c>
      <c r="B1857" s="417" t="s">
        <v>676</v>
      </c>
      <c r="C1857" s="83">
        <v>46175</v>
      </c>
      <c r="D1857" s="417" t="s">
        <v>678</v>
      </c>
      <c r="E1857">
        <v>1340.1156333333299</v>
      </c>
      <c r="F1857">
        <v>58</v>
      </c>
      <c r="G1857">
        <v>23.105441954023</v>
      </c>
      <c r="H1857">
        <v>41.1064333333333</v>
      </c>
      <c r="I1857">
        <v>96.874745335748102</v>
      </c>
    </row>
    <row r="1858" spans="1:9" x14ac:dyDescent="0.35">
      <c r="A1858" s="417" t="s">
        <v>846</v>
      </c>
      <c r="B1858" s="417" t="s">
        <v>676</v>
      </c>
      <c r="C1858" s="83">
        <v>46175</v>
      </c>
      <c r="D1858" s="417" t="s">
        <v>679</v>
      </c>
      <c r="E1858">
        <v>1259.78898333333</v>
      </c>
      <c r="F1858">
        <v>19</v>
      </c>
      <c r="G1858">
        <v>66.304683333333301</v>
      </c>
      <c r="H1858">
        <v>27.5977833333333</v>
      </c>
      <c r="I1858">
        <v>88.004374132269902</v>
      </c>
    </row>
    <row r="1859" spans="1:9" x14ac:dyDescent="0.35">
      <c r="A1859" s="417" t="s">
        <v>846</v>
      </c>
      <c r="B1859" s="417" t="s">
        <v>680</v>
      </c>
      <c r="C1859" s="83">
        <v>46175</v>
      </c>
      <c r="D1859" s="417" t="s">
        <v>681</v>
      </c>
      <c r="E1859">
        <v>1360.41941666667</v>
      </c>
      <c r="F1859">
        <v>83</v>
      </c>
      <c r="G1859">
        <v>16.390595381526101</v>
      </c>
      <c r="H1859">
        <v>1.9273499999999999</v>
      </c>
      <c r="I1859">
        <v>68.961664655382705</v>
      </c>
    </row>
    <row r="1860" spans="1:9" x14ac:dyDescent="0.35">
      <c r="A1860" s="417" t="s">
        <v>846</v>
      </c>
      <c r="B1860" s="417" t="s">
        <v>680</v>
      </c>
      <c r="C1860" s="83">
        <v>46175</v>
      </c>
      <c r="D1860" s="417" t="s">
        <v>689</v>
      </c>
      <c r="E1860">
        <v>1327.9772166666701</v>
      </c>
      <c r="F1860">
        <v>56</v>
      </c>
      <c r="G1860">
        <v>23.713878869047601</v>
      </c>
      <c r="H1860">
        <v>2.7280833333333301</v>
      </c>
      <c r="I1860">
        <v>78.932315625043003</v>
      </c>
    </row>
    <row r="1861" spans="1:9" x14ac:dyDescent="0.35">
      <c r="A1861" s="417" t="s">
        <v>846</v>
      </c>
      <c r="B1861" s="417" t="s">
        <v>680</v>
      </c>
      <c r="C1861" s="83">
        <v>46175</v>
      </c>
      <c r="D1861" s="417" t="s">
        <v>687</v>
      </c>
      <c r="E1861">
        <v>1264.21671666667</v>
      </c>
      <c r="F1861">
        <v>47</v>
      </c>
      <c r="G1861">
        <v>26.898228014184401</v>
      </c>
      <c r="H1861">
        <v>53.112400000000001</v>
      </c>
      <c r="I1861">
        <v>28.237890489348001</v>
      </c>
    </row>
    <row r="1862" spans="1:9" x14ac:dyDescent="0.35">
      <c r="A1862" s="417" t="s">
        <v>846</v>
      </c>
      <c r="B1862" s="417" t="s">
        <v>680</v>
      </c>
      <c r="C1862" s="83">
        <v>46175</v>
      </c>
      <c r="D1862" s="417" t="s">
        <v>683</v>
      </c>
      <c r="E1862">
        <v>1285.3976666666699</v>
      </c>
      <c r="F1862">
        <v>38</v>
      </c>
      <c r="G1862">
        <v>33.826254385964901</v>
      </c>
      <c r="H1862">
        <v>1.0580333333333301</v>
      </c>
      <c r="I1862">
        <v>55.353969434780097</v>
      </c>
    </row>
    <row r="1863" spans="1:9" x14ac:dyDescent="0.35">
      <c r="A1863" s="417" t="s">
        <v>846</v>
      </c>
      <c r="B1863" s="417" t="s">
        <v>680</v>
      </c>
      <c r="C1863" s="83">
        <v>46175</v>
      </c>
      <c r="D1863" s="417" t="s">
        <v>684</v>
      </c>
      <c r="E1863">
        <v>1381.7936999999999</v>
      </c>
      <c r="F1863">
        <v>32</v>
      </c>
      <c r="G1863">
        <v>43.181053124999998</v>
      </c>
      <c r="H1863">
        <v>23.794283333333301</v>
      </c>
      <c r="I1863">
        <v>63.632584830488597</v>
      </c>
    </row>
    <row r="1864" spans="1:9" x14ac:dyDescent="0.35">
      <c r="A1864" s="417" t="s">
        <v>846</v>
      </c>
      <c r="B1864" s="417" t="s">
        <v>680</v>
      </c>
      <c r="C1864" s="83">
        <v>46175</v>
      </c>
      <c r="D1864" s="417" t="s">
        <v>690</v>
      </c>
      <c r="E1864">
        <v>1118.5963666666701</v>
      </c>
      <c r="F1864">
        <v>23</v>
      </c>
      <c r="G1864">
        <v>48.634624637681199</v>
      </c>
      <c r="H1864">
        <v>7.3148</v>
      </c>
      <c r="I1864">
        <v>54.816781543465702</v>
      </c>
    </row>
    <row r="1865" spans="1:9" x14ac:dyDescent="0.35">
      <c r="A1865" s="417" t="s">
        <v>846</v>
      </c>
      <c r="B1865" s="417" t="s">
        <v>680</v>
      </c>
      <c r="C1865" s="83">
        <v>46175</v>
      </c>
      <c r="D1865" s="417" t="s">
        <v>688</v>
      </c>
      <c r="E1865">
        <v>1312.43233333333</v>
      </c>
      <c r="F1865">
        <v>14</v>
      </c>
      <c r="G1865">
        <v>93.745166666666705</v>
      </c>
      <c r="H1865">
        <v>4.4937666666666702</v>
      </c>
      <c r="I1865">
        <v>64.823559917020106</v>
      </c>
    </row>
    <row r="1866" spans="1:9" x14ac:dyDescent="0.35">
      <c r="A1866" s="417" t="s">
        <v>846</v>
      </c>
      <c r="B1866" s="417" t="s">
        <v>680</v>
      </c>
      <c r="C1866" s="83">
        <v>46175</v>
      </c>
      <c r="D1866" s="417" t="s">
        <v>682</v>
      </c>
      <c r="E1866">
        <v>1324.42313333333</v>
      </c>
      <c r="F1866">
        <v>13</v>
      </c>
      <c r="G1866">
        <v>101.87870256410299</v>
      </c>
      <c r="H1866">
        <v>10.66215</v>
      </c>
      <c r="I1866">
        <v>57.069094114025901</v>
      </c>
    </row>
    <row r="1867" spans="1:9" x14ac:dyDescent="0.35">
      <c r="A1867" s="417" t="s">
        <v>846</v>
      </c>
      <c r="B1867" s="417" t="s">
        <v>680</v>
      </c>
      <c r="C1867" s="83">
        <v>46175</v>
      </c>
      <c r="D1867" s="417" t="s">
        <v>685</v>
      </c>
      <c r="E1867">
        <v>1285.3078166666701</v>
      </c>
      <c r="F1867">
        <v>9</v>
      </c>
      <c r="G1867">
        <v>142.81197962963</v>
      </c>
      <c r="H1867">
        <v>8.6849833333333297</v>
      </c>
      <c r="I1867">
        <v>75.293086132270702</v>
      </c>
    </row>
    <row r="1868" spans="1:9" x14ac:dyDescent="0.35">
      <c r="A1868" s="417" t="s">
        <v>846</v>
      </c>
      <c r="B1868" s="417" t="s">
        <v>680</v>
      </c>
      <c r="C1868" s="83">
        <v>46175</v>
      </c>
      <c r="D1868" s="417" t="s">
        <v>686</v>
      </c>
      <c r="E1868">
        <v>1362.31443333333</v>
      </c>
      <c r="F1868">
        <v>1</v>
      </c>
      <c r="G1868">
        <v>1362.31443333333</v>
      </c>
      <c r="H1868">
        <v>0</v>
      </c>
      <c r="I1868">
        <v>17.749138499858599</v>
      </c>
    </row>
    <row r="1869" spans="1:9" x14ac:dyDescent="0.35">
      <c r="A1869" s="417" t="s">
        <v>846</v>
      </c>
      <c r="B1869" s="417" t="s">
        <v>691</v>
      </c>
      <c r="C1869" s="83">
        <v>46175</v>
      </c>
      <c r="D1869" s="417" t="s">
        <v>317</v>
      </c>
      <c r="E1869">
        <v>1080</v>
      </c>
      <c r="F1869">
        <v>1</v>
      </c>
      <c r="G1869">
        <v>1080</v>
      </c>
      <c r="H1869">
        <v>0</v>
      </c>
      <c r="I1869">
        <v>15.162037037037001</v>
      </c>
    </row>
    <row r="1870" spans="1:9" x14ac:dyDescent="0.35">
      <c r="A1870" s="417" t="s">
        <v>846</v>
      </c>
      <c r="B1870" s="417" t="s">
        <v>691</v>
      </c>
      <c r="C1870" s="83">
        <v>46175</v>
      </c>
      <c r="D1870" s="417" t="s">
        <v>309</v>
      </c>
      <c r="E1870">
        <v>1080</v>
      </c>
      <c r="F1870">
        <v>1</v>
      </c>
      <c r="G1870">
        <v>1080</v>
      </c>
      <c r="H1870">
        <v>0</v>
      </c>
      <c r="I1870">
        <v>8.6816872427983593</v>
      </c>
    </row>
    <row r="1871" spans="1:9" x14ac:dyDescent="0.35">
      <c r="A1871" s="417" t="s">
        <v>846</v>
      </c>
      <c r="B1871" s="417" t="s">
        <v>691</v>
      </c>
      <c r="C1871" s="83">
        <v>46175</v>
      </c>
      <c r="D1871" s="417" t="s">
        <v>305</v>
      </c>
      <c r="E1871">
        <v>725.81168333333301</v>
      </c>
      <c r="F1871">
        <v>1</v>
      </c>
      <c r="G1871">
        <v>725.81168333333301</v>
      </c>
      <c r="H1871">
        <v>0</v>
      </c>
      <c r="I1871">
        <v>0</v>
      </c>
    </row>
    <row r="1872" spans="1:9" x14ac:dyDescent="0.35">
      <c r="A1872" s="417" t="s">
        <v>846</v>
      </c>
      <c r="B1872" s="417" t="s">
        <v>691</v>
      </c>
      <c r="C1872" s="83">
        <v>46175</v>
      </c>
      <c r="D1872" s="417" t="s">
        <v>310</v>
      </c>
      <c r="E1872">
        <v>125.81201666666701</v>
      </c>
      <c r="F1872">
        <v>1</v>
      </c>
      <c r="G1872">
        <v>125.81201666666701</v>
      </c>
      <c r="H1872">
        <v>0</v>
      </c>
      <c r="I1872">
        <v>0</v>
      </c>
    </row>
    <row r="1873" spans="1:9" x14ac:dyDescent="0.35">
      <c r="A1873" s="417" t="s">
        <v>846</v>
      </c>
      <c r="B1873" s="417" t="s">
        <v>691</v>
      </c>
      <c r="C1873" s="83">
        <v>46175</v>
      </c>
      <c r="D1873" s="417" t="s">
        <v>313</v>
      </c>
      <c r="E1873">
        <v>1080</v>
      </c>
      <c r="F1873">
        <v>1</v>
      </c>
      <c r="G1873">
        <v>1080</v>
      </c>
      <c r="H1873">
        <v>0</v>
      </c>
      <c r="I1873">
        <v>15.6527777777778</v>
      </c>
    </row>
    <row r="1874" spans="1:9" x14ac:dyDescent="0.35">
      <c r="A1874" s="417" t="s">
        <v>846</v>
      </c>
      <c r="B1874" s="417" t="s">
        <v>691</v>
      </c>
      <c r="C1874" s="83">
        <v>46175</v>
      </c>
      <c r="D1874" s="417" t="s">
        <v>301</v>
      </c>
      <c r="E1874">
        <v>725.81168333333301</v>
      </c>
      <c r="F1874">
        <v>1</v>
      </c>
      <c r="G1874">
        <v>725.81168333333301</v>
      </c>
      <c r="H1874">
        <v>0</v>
      </c>
      <c r="I1874">
        <v>0</v>
      </c>
    </row>
    <row r="1875" spans="1:9" x14ac:dyDescent="0.35">
      <c r="A1875" s="417" t="s">
        <v>846</v>
      </c>
      <c r="B1875" s="417" t="s">
        <v>691</v>
      </c>
      <c r="C1875" s="83">
        <v>46175</v>
      </c>
      <c r="D1875" s="417" t="s">
        <v>299</v>
      </c>
      <c r="E1875">
        <v>1080</v>
      </c>
      <c r="F1875">
        <v>1</v>
      </c>
      <c r="G1875">
        <v>1080</v>
      </c>
      <c r="H1875">
        <v>0</v>
      </c>
      <c r="I1875">
        <v>20.843827160493799</v>
      </c>
    </row>
    <row r="1876" spans="1:9" x14ac:dyDescent="0.35">
      <c r="A1876" s="417" t="s">
        <v>846</v>
      </c>
      <c r="B1876" s="417" t="s">
        <v>691</v>
      </c>
      <c r="C1876" s="83">
        <v>46175</v>
      </c>
      <c r="D1876" s="417" t="s">
        <v>303</v>
      </c>
      <c r="E1876">
        <v>125.81201666666701</v>
      </c>
      <c r="F1876">
        <v>1</v>
      </c>
      <c r="G1876">
        <v>125.81201666666701</v>
      </c>
      <c r="H1876">
        <v>0</v>
      </c>
      <c r="I1876">
        <v>0</v>
      </c>
    </row>
    <row r="1877" spans="1:9" x14ac:dyDescent="0.35">
      <c r="A1877" s="417" t="s">
        <v>846</v>
      </c>
      <c r="B1877" s="417" t="s">
        <v>691</v>
      </c>
      <c r="C1877" s="83">
        <v>46175</v>
      </c>
      <c r="D1877" s="417" t="s">
        <v>295</v>
      </c>
      <c r="E1877">
        <v>1080</v>
      </c>
      <c r="F1877">
        <v>1</v>
      </c>
      <c r="G1877">
        <v>1080</v>
      </c>
      <c r="H1877">
        <v>0</v>
      </c>
      <c r="I1877">
        <v>24.732253086419799</v>
      </c>
    </row>
    <row r="1878" spans="1:9" x14ac:dyDescent="0.35">
      <c r="A1878" s="417" t="s">
        <v>846</v>
      </c>
      <c r="B1878" s="417" t="s">
        <v>691</v>
      </c>
      <c r="C1878" s="83">
        <v>46175</v>
      </c>
      <c r="D1878" s="417" t="s">
        <v>314</v>
      </c>
      <c r="E1878">
        <v>1080</v>
      </c>
      <c r="F1878">
        <v>1</v>
      </c>
      <c r="G1878">
        <v>1080</v>
      </c>
      <c r="H1878">
        <v>0</v>
      </c>
      <c r="I1878">
        <v>15.412037037037001</v>
      </c>
    </row>
    <row r="1879" spans="1:9" x14ac:dyDescent="0.35">
      <c r="A1879" s="417" t="s">
        <v>846</v>
      </c>
      <c r="B1879" s="417" t="s">
        <v>676</v>
      </c>
      <c r="C1879" s="83">
        <v>46174</v>
      </c>
      <c r="D1879" s="417" t="s">
        <v>677</v>
      </c>
      <c r="E1879">
        <v>1186.5776499999999</v>
      </c>
      <c r="F1879">
        <v>531</v>
      </c>
      <c r="G1879">
        <v>2.2346095103578199</v>
      </c>
      <c r="H1879">
        <v>253.42234999999999</v>
      </c>
      <c r="I1879">
        <v>13.574444444444399</v>
      </c>
    </row>
    <row r="1880" spans="1:9" x14ac:dyDescent="0.35">
      <c r="A1880" s="417" t="s">
        <v>846</v>
      </c>
      <c r="B1880" s="417" t="s">
        <v>676</v>
      </c>
      <c r="C1880" s="83">
        <v>46174</v>
      </c>
      <c r="D1880" s="417" t="s">
        <v>678</v>
      </c>
      <c r="E1880">
        <v>1374.385</v>
      </c>
      <c r="F1880">
        <v>34</v>
      </c>
      <c r="G1880">
        <v>40.423088235294102</v>
      </c>
      <c r="H1880">
        <v>21.56305</v>
      </c>
      <c r="I1880">
        <v>106.68472464525701</v>
      </c>
    </row>
    <row r="1881" spans="1:9" x14ac:dyDescent="0.35">
      <c r="A1881" s="417" t="s">
        <v>846</v>
      </c>
      <c r="B1881" s="417" t="s">
        <v>676</v>
      </c>
      <c r="C1881" s="83">
        <v>46174</v>
      </c>
      <c r="D1881" s="417" t="s">
        <v>679</v>
      </c>
      <c r="E1881">
        <v>1321.32385</v>
      </c>
      <c r="F1881">
        <v>24</v>
      </c>
      <c r="G1881">
        <v>55.055160416666702</v>
      </c>
      <c r="H1881">
        <v>22.6420833333333</v>
      </c>
      <c r="I1881">
        <v>92.647933685223904</v>
      </c>
    </row>
    <row r="1882" spans="1:9" x14ac:dyDescent="0.35">
      <c r="A1882" s="417" t="s">
        <v>846</v>
      </c>
      <c r="B1882" s="417" t="s">
        <v>680</v>
      </c>
      <c r="C1882" s="83">
        <v>46174</v>
      </c>
      <c r="D1882" s="417" t="s">
        <v>681</v>
      </c>
      <c r="E1882">
        <v>1361.95661666667</v>
      </c>
      <c r="F1882">
        <v>39</v>
      </c>
      <c r="G1882">
        <v>34.921964529914497</v>
      </c>
      <c r="H1882">
        <v>1.94546666666667</v>
      </c>
      <c r="I1882">
        <v>81.566188533983507</v>
      </c>
    </row>
    <row r="1883" spans="1:9" x14ac:dyDescent="0.35">
      <c r="A1883" s="417" t="s">
        <v>846</v>
      </c>
      <c r="B1883" s="417" t="s">
        <v>680</v>
      </c>
      <c r="C1883" s="83">
        <v>46174</v>
      </c>
      <c r="D1883" s="417" t="s">
        <v>690</v>
      </c>
      <c r="E1883">
        <v>1348.4111</v>
      </c>
      <c r="F1883">
        <v>37</v>
      </c>
      <c r="G1883">
        <v>36.443543243243198</v>
      </c>
      <c r="H1883">
        <v>18.388366666666698</v>
      </c>
      <c r="I1883">
        <v>60.054162191925698</v>
      </c>
    </row>
    <row r="1884" spans="1:9" x14ac:dyDescent="0.35">
      <c r="A1884" s="417" t="s">
        <v>846</v>
      </c>
      <c r="B1884" s="417" t="s">
        <v>680</v>
      </c>
      <c r="C1884" s="83">
        <v>46174</v>
      </c>
      <c r="D1884" s="417" t="s">
        <v>684</v>
      </c>
      <c r="E1884">
        <v>1386.75976666667</v>
      </c>
      <c r="F1884">
        <v>29</v>
      </c>
      <c r="G1884">
        <v>47.819302298850602</v>
      </c>
      <c r="H1884">
        <v>12.551500000000001</v>
      </c>
      <c r="I1884">
        <v>75.371154128511193</v>
      </c>
    </row>
    <row r="1885" spans="1:9" x14ac:dyDescent="0.35">
      <c r="A1885" s="417" t="s">
        <v>846</v>
      </c>
      <c r="B1885" s="417" t="s">
        <v>680</v>
      </c>
      <c r="C1885" s="83">
        <v>46174</v>
      </c>
      <c r="D1885" s="417" t="s">
        <v>683</v>
      </c>
      <c r="E1885">
        <v>1381.9218000000001</v>
      </c>
      <c r="F1885">
        <v>27</v>
      </c>
      <c r="G1885">
        <v>51.182288888888898</v>
      </c>
      <c r="H1885">
        <v>2.3528833333333301</v>
      </c>
      <c r="I1885">
        <v>65.462387088523499</v>
      </c>
    </row>
    <row r="1886" spans="1:9" x14ac:dyDescent="0.35">
      <c r="A1886" s="417" t="s">
        <v>846</v>
      </c>
      <c r="B1886" s="417" t="s">
        <v>680</v>
      </c>
      <c r="C1886" s="83">
        <v>46174</v>
      </c>
      <c r="D1886" s="417" t="s">
        <v>689</v>
      </c>
      <c r="E1886">
        <v>1380.7541166666699</v>
      </c>
      <c r="F1886">
        <v>19</v>
      </c>
      <c r="G1886">
        <v>72.671269298245605</v>
      </c>
      <c r="H1886">
        <v>1.0005500000000001</v>
      </c>
      <c r="I1886">
        <v>83.335077371276398</v>
      </c>
    </row>
    <row r="1887" spans="1:9" x14ac:dyDescent="0.35">
      <c r="A1887" s="417" t="s">
        <v>846</v>
      </c>
      <c r="B1887" s="417" t="s">
        <v>680</v>
      </c>
      <c r="C1887" s="83">
        <v>46174</v>
      </c>
      <c r="D1887" s="417" t="s">
        <v>685</v>
      </c>
      <c r="E1887">
        <v>1415.1478</v>
      </c>
      <c r="F1887">
        <v>18</v>
      </c>
      <c r="G1887">
        <v>78.619322222222195</v>
      </c>
      <c r="H1887">
        <v>16.079183333333301</v>
      </c>
      <c r="I1887">
        <v>81.571182719268194</v>
      </c>
    </row>
    <row r="1888" spans="1:9" x14ac:dyDescent="0.35">
      <c r="A1888" s="417" t="s">
        <v>846</v>
      </c>
      <c r="B1888" s="417" t="s">
        <v>680</v>
      </c>
      <c r="C1888" s="83">
        <v>46174</v>
      </c>
      <c r="D1888" s="417" t="s">
        <v>687</v>
      </c>
      <c r="E1888">
        <v>1412.62298333333</v>
      </c>
      <c r="F1888">
        <v>11</v>
      </c>
      <c r="G1888">
        <v>128.42027121212101</v>
      </c>
      <c r="H1888">
        <v>10.4911666666667</v>
      </c>
      <c r="I1888">
        <v>37.754224725101203</v>
      </c>
    </row>
    <row r="1889" spans="1:9" x14ac:dyDescent="0.35">
      <c r="A1889" s="417" t="s">
        <v>846</v>
      </c>
      <c r="B1889" s="417" t="s">
        <v>680</v>
      </c>
      <c r="C1889" s="83">
        <v>46174</v>
      </c>
      <c r="D1889" s="417" t="s">
        <v>682</v>
      </c>
      <c r="E1889">
        <v>1434.4885833333301</v>
      </c>
      <c r="F1889">
        <v>8</v>
      </c>
      <c r="G1889">
        <v>179.311072916667</v>
      </c>
      <c r="H1889">
        <v>5.51141666666667</v>
      </c>
      <c r="I1889">
        <v>74.588293650793602</v>
      </c>
    </row>
    <row r="1890" spans="1:9" x14ac:dyDescent="0.35">
      <c r="A1890" s="417" t="s">
        <v>846</v>
      </c>
      <c r="B1890" s="417" t="s">
        <v>680</v>
      </c>
      <c r="C1890" s="83">
        <v>46174</v>
      </c>
      <c r="D1890" s="417" t="s">
        <v>688</v>
      </c>
      <c r="E1890">
        <v>1413.5033000000001</v>
      </c>
      <c r="F1890">
        <v>8</v>
      </c>
      <c r="G1890">
        <v>176.68791250000001</v>
      </c>
      <c r="H1890">
        <v>2.5637833333333302</v>
      </c>
      <c r="I1890">
        <v>77.060542994319903</v>
      </c>
    </row>
    <row r="1891" spans="1:9" x14ac:dyDescent="0.35">
      <c r="A1891" s="417" t="s">
        <v>846</v>
      </c>
      <c r="B1891" s="417" t="s">
        <v>680</v>
      </c>
      <c r="C1891" s="83">
        <v>46174</v>
      </c>
      <c r="D1891" s="417" t="s">
        <v>686</v>
      </c>
      <c r="E1891">
        <v>1440</v>
      </c>
      <c r="F1891">
        <v>1</v>
      </c>
      <c r="G1891">
        <v>1440</v>
      </c>
      <c r="H1891">
        <v>0</v>
      </c>
      <c r="I1891">
        <v>34.171626984127002</v>
      </c>
    </row>
    <row r="1892" spans="1:9" x14ac:dyDescent="0.35">
      <c r="A1892" s="417" t="s">
        <v>846</v>
      </c>
      <c r="B1892" s="417" t="s">
        <v>691</v>
      </c>
      <c r="C1892" s="83">
        <v>46174</v>
      </c>
      <c r="D1892" s="417" t="s">
        <v>295</v>
      </c>
      <c r="E1892">
        <v>312.49349999999998</v>
      </c>
      <c r="F1892">
        <v>51</v>
      </c>
      <c r="G1892">
        <v>6.1273235294117603</v>
      </c>
      <c r="H1892">
        <v>0.12625</v>
      </c>
      <c r="I1892">
        <v>61.514604342850099</v>
      </c>
    </row>
    <row r="1893" spans="1:9" x14ac:dyDescent="0.35">
      <c r="A1893" s="417" t="s">
        <v>846</v>
      </c>
      <c r="B1893" s="417" t="s">
        <v>691</v>
      </c>
      <c r="C1893" s="83">
        <v>46174</v>
      </c>
      <c r="D1893" s="417" t="s">
        <v>299</v>
      </c>
      <c r="E1893">
        <v>317.30056666666701</v>
      </c>
      <c r="F1893">
        <v>34</v>
      </c>
      <c r="G1893">
        <v>9.3323696078431393</v>
      </c>
      <c r="H1893">
        <v>0.18563333333333301</v>
      </c>
      <c r="I1893">
        <v>64.9385399477232</v>
      </c>
    </row>
    <row r="1894" spans="1:9" x14ac:dyDescent="0.35">
      <c r="A1894" s="417" t="s">
        <v>846</v>
      </c>
      <c r="B1894" s="417" t="s">
        <v>691</v>
      </c>
      <c r="C1894" s="83">
        <v>46174</v>
      </c>
      <c r="D1894" s="417" t="s">
        <v>309</v>
      </c>
      <c r="E1894">
        <v>787.36670000000004</v>
      </c>
      <c r="F1894">
        <v>29</v>
      </c>
      <c r="G1894">
        <v>27.150575862069001</v>
      </c>
      <c r="H1894">
        <v>0</v>
      </c>
      <c r="I1894">
        <v>28.735915471112101</v>
      </c>
    </row>
    <row r="1895" spans="1:9" x14ac:dyDescent="0.35">
      <c r="A1895" s="417" t="s">
        <v>846</v>
      </c>
      <c r="B1895" s="417" t="s">
        <v>691</v>
      </c>
      <c r="C1895" s="83">
        <v>46174</v>
      </c>
      <c r="D1895" s="417" t="s">
        <v>303</v>
      </c>
      <c r="E1895">
        <v>299.53003333333299</v>
      </c>
      <c r="F1895">
        <v>28</v>
      </c>
      <c r="G1895">
        <v>10.697501190476199</v>
      </c>
      <c r="H1895">
        <v>0.21004999999999999</v>
      </c>
      <c r="I1895">
        <v>12.3385229043962</v>
      </c>
    </row>
    <row r="1896" spans="1:9" x14ac:dyDescent="0.35">
      <c r="A1896" s="417" t="s">
        <v>846</v>
      </c>
      <c r="B1896" s="417" t="s">
        <v>691</v>
      </c>
      <c r="C1896" s="83">
        <v>46174</v>
      </c>
      <c r="D1896" s="417" t="s">
        <v>305</v>
      </c>
      <c r="E1896">
        <v>355.85218333333302</v>
      </c>
      <c r="F1896">
        <v>23</v>
      </c>
      <c r="G1896">
        <v>15.471834057971</v>
      </c>
      <c r="H1896">
        <v>0.83878333333333299</v>
      </c>
      <c r="I1896">
        <v>56.217592023424999</v>
      </c>
    </row>
    <row r="1897" spans="1:9" x14ac:dyDescent="0.35">
      <c r="A1897" s="417" t="s">
        <v>846</v>
      </c>
      <c r="B1897" s="417" t="s">
        <v>691</v>
      </c>
      <c r="C1897" s="83">
        <v>46174</v>
      </c>
      <c r="D1897" s="417" t="s">
        <v>301</v>
      </c>
      <c r="E1897">
        <v>365.03736666666703</v>
      </c>
      <c r="F1897">
        <v>21</v>
      </c>
      <c r="G1897">
        <v>17.382731746031698</v>
      </c>
      <c r="H1897">
        <v>0.151966666666667</v>
      </c>
      <c r="I1897">
        <v>46.206495978233598</v>
      </c>
    </row>
    <row r="1898" spans="1:9" x14ac:dyDescent="0.35">
      <c r="A1898" s="417" t="s">
        <v>846</v>
      </c>
      <c r="B1898" s="417" t="s">
        <v>691</v>
      </c>
      <c r="C1898" s="83">
        <v>46174</v>
      </c>
      <c r="D1898" s="417" t="s">
        <v>310</v>
      </c>
      <c r="E1898">
        <v>285.44310000000002</v>
      </c>
      <c r="F1898">
        <v>4</v>
      </c>
      <c r="G1898">
        <v>71.360775000000004</v>
      </c>
      <c r="H1898">
        <v>0.115966666666667</v>
      </c>
      <c r="I1898">
        <v>72.209147816995198</v>
      </c>
    </row>
    <row r="1899" spans="1:9" x14ac:dyDescent="0.35">
      <c r="A1899" s="417" t="s">
        <v>846</v>
      </c>
      <c r="B1899" s="417" t="s">
        <v>691</v>
      </c>
      <c r="C1899" s="83">
        <v>46174</v>
      </c>
      <c r="D1899" s="417" t="s">
        <v>313</v>
      </c>
      <c r="E1899">
        <v>335.1712</v>
      </c>
      <c r="F1899">
        <v>4</v>
      </c>
      <c r="G1899">
        <v>83.7928</v>
      </c>
      <c r="H1899">
        <v>0</v>
      </c>
      <c r="I1899">
        <v>61.036784554260599</v>
      </c>
    </row>
    <row r="1900" spans="1:9" x14ac:dyDescent="0.35">
      <c r="A1900" s="417" t="s">
        <v>846</v>
      </c>
      <c r="B1900" s="417" t="s">
        <v>691</v>
      </c>
      <c r="C1900" s="83">
        <v>46174</v>
      </c>
      <c r="D1900" s="417" t="s">
        <v>314</v>
      </c>
      <c r="E1900">
        <v>360</v>
      </c>
      <c r="F1900">
        <v>1</v>
      </c>
      <c r="G1900">
        <v>360</v>
      </c>
      <c r="H1900">
        <v>0</v>
      </c>
      <c r="I1900">
        <v>49.1111111111111</v>
      </c>
    </row>
    <row r="1901" spans="1:9" x14ac:dyDescent="0.35">
      <c r="A1901" s="417" t="s">
        <v>846</v>
      </c>
      <c r="B1901" s="417" t="s">
        <v>691</v>
      </c>
      <c r="C1901" s="83">
        <v>46174</v>
      </c>
      <c r="D1901" s="417" t="s">
        <v>317</v>
      </c>
      <c r="E1901">
        <v>360</v>
      </c>
      <c r="F1901">
        <v>1</v>
      </c>
      <c r="G1901">
        <v>360</v>
      </c>
      <c r="H1901">
        <v>0</v>
      </c>
      <c r="I1901">
        <v>48.3194444444444</v>
      </c>
    </row>
    <row r="1902" spans="1:9" x14ac:dyDescent="0.35">
      <c r="A1902" s="417" t="s">
        <v>846</v>
      </c>
      <c r="B1902" s="417" t="s">
        <v>691</v>
      </c>
      <c r="C1902" s="83">
        <v>46174</v>
      </c>
      <c r="D1902" s="417" t="s">
        <v>504</v>
      </c>
      <c r="E1902">
        <v>840</v>
      </c>
      <c r="F1902">
        <v>1</v>
      </c>
      <c r="G1902">
        <v>840</v>
      </c>
      <c r="H1902">
        <v>0</v>
      </c>
      <c r="I1902">
        <v>23.791798941798898</v>
      </c>
    </row>
    <row r="1903" spans="1:9" x14ac:dyDescent="0.35">
      <c r="A1903" s="417" t="s">
        <v>846</v>
      </c>
      <c r="B1903" s="417" t="s">
        <v>676</v>
      </c>
      <c r="C1903" s="83">
        <v>46173</v>
      </c>
      <c r="D1903" s="417" t="s">
        <v>677</v>
      </c>
      <c r="E1903">
        <v>1180.46198333333</v>
      </c>
      <c r="F1903">
        <v>416</v>
      </c>
      <c r="G1903">
        <v>2.83764899839744</v>
      </c>
      <c r="H1903">
        <v>194.03558333333299</v>
      </c>
      <c r="I1903">
        <v>34.123611111111103</v>
      </c>
    </row>
    <row r="1904" spans="1:9" x14ac:dyDescent="0.35">
      <c r="A1904" s="417" t="s">
        <v>846</v>
      </c>
      <c r="B1904" s="417" t="s">
        <v>676</v>
      </c>
      <c r="C1904" s="83">
        <v>46173</v>
      </c>
      <c r="D1904" s="417" t="s">
        <v>678</v>
      </c>
      <c r="E1904">
        <v>1377.81183333333</v>
      </c>
      <c r="F1904">
        <v>30</v>
      </c>
      <c r="G1904">
        <v>45.927061111111101</v>
      </c>
      <c r="H1904">
        <v>18.496549999999999</v>
      </c>
      <c r="I1904">
        <v>111.234023840221</v>
      </c>
    </row>
    <row r="1905" spans="1:9" x14ac:dyDescent="0.35">
      <c r="A1905" s="417" t="s">
        <v>846</v>
      </c>
      <c r="B1905" s="417" t="s">
        <v>676</v>
      </c>
      <c r="C1905" s="83">
        <v>46173</v>
      </c>
      <c r="D1905" s="417" t="s">
        <v>679</v>
      </c>
      <c r="E1905">
        <v>1374.98235</v>
      </c>
      <c r="F1905">
        <v>26</v>
      </c>
      <c r="G1905">
        <v>52.883936538461498</v>
      </c>
      <c r="H1905">
        <v>25.5167</v>
      </c>
      <c r="I1905">
        <v>101.75587052344</v>
      </c>
    </row>
    <row r="1906" spans="1:9" x14ac:dyDescent="0.35">
      <c r="A1906" s="417" t="s">
        <v>846</v>
      </c>
      <c r="B1906" s="417" t="s">
        <v>680</v>
      </c>
      <c r="C1906" s="83">
        <v>46173</v>
      </c>
      <c r="D1906" s="417" t="s">
        <v>681</v>
      </c>
      <c r="E1906">
        <v>1390.5495000000001</v>
      </c>
      <c r="F1906">
        <v>86</v>
      </c>
      <c r="G1906">
        <v>16.169180232558102</v>
      </c>
      <c r="H1906">
        <v>8.9804666666666702</v>
      </c>
      <c r="I1906">
        <v>92.684575867001399</v>
      </c>
    </row>
    <row r="1907" spans="1:9" x14ac:dyDescent="0.35">
      <c r="A1907" s="417" t="s">
        <v>846</v>
      </c>
      <c r="B1907" s="417" t="s">
        <v>680</v>
      </c>
      <c r="C1907" s="83">
        <v>46173</v>
      </c>
      <c r="D1907" s="417" t="s">
        <v>683</v>
      </c>
      <c r="E1907">
        <v>1393.3468166666701</v>
      </c>
      <c r="F1907">
        <v>28</v>
      </c>
      <c r="G1907">
        <v>49.762386309523798</v>
      </c>
      <c r="H1907">
        <v>2.81883333333333</v>
      </c>
      <c r="I1907">
        <v>70.116734349124798</v>
      </c>
    </row>
    <row r="1908" spans="1:9" x14ac:dyDescent="0.35">
      <c r="A1908" s="417" t="s">
        <v>846</v>
      </c>
      <c r="B1908" s="417" t="s">
        <v>680</v>
      </c>
      <c r="C1908" s="83">
        <v>46173</v>
      </c>
      <c r="D1908" s="417" t="s">
        <v>689</v>
      </c>
      <c r="E1908">
        <v>1421.4757500000001</v>
      </c>
      <c r="F1908">
        <v>21</v>
      </c>
      <c r="G1908">
        <v>67.689321428571404</v>
      </c>
      <c r="H1908">
        <v>2.00661666666667</v>
      </c>
      <c r="I1908">
        <v>91.018126747054097</v>
      </c>
    </row>
    <row r="1909" spans="1:9" x14ac:dyDescent="0.35">
      <c r="A1909" s="417" t="s">
        <v>846</v>
      </c>
      <c r="B1909" s="417" t="s">
        <v>680</v>
      </c>
      <c r="C1909" s="83">
        <v>46173</v>
      </c>
      <c r="D1909" s="417" t="s">
        <v>690</v>
      </c>
      <c r="E1909">
        <v>1299.8071833333299</v>
      </c>
      <c r="F1909">
        <v>18</v>
      </c>
      <c r="G1909">
        <v>72.211510185185205</v>
      </c>
      <c r="H1909">
        <v>17.357466666666699</v>
      </c>
      <c r="I1909">
        <v>69.868575531713105</v>
      </c>
    </row>
    <row r="1910" spans="1:9" x14ac:dyDescent="0.35">
      <c r="A1910" s="417" t="s">
        <v>846</v>
      </c>
      <c r="B1910" s="417" t="s">
        <v>680</v>
      </c>
      <c r="C1910" s="83">
        <v>46173</v>
      </c>
      <c r="D1910" s="417" t="s">
        <v>684</v>
      </c>
      <c r="E1910">
        <v>1428.01921666667</v>
      </c>
      <c r="F1910">
        <v>14</v>
      </c>
      <c r="G1910">
        <v>102.001372619048</v>
      </c>
      <c r="H1910">
        <v>7.1647999999999996</v>
      </c>
      <c r="I1910">
        <v>84.748827501489103</v>
      </c>
    </row>
    <row r="1911" spans="1:9" x14ac:dyDescent="0.35">
      <c r="A1911" s="417" t="s">
        <v>846</v>
      </c>
      <c r="B1911" s="417" t="s">
        <v>680</v>
      </c>
      <c r="C1911" s="83">
        <v>46173</v>
      </c>
      <c r="D1911" s="417" t="s">
        <v>687</v>
      </c>
      <c r="E1911">
        <v>1423.4982833333299</v>
      </c>
      <c r="F1911">
        <v>11</v>
      </c>
      <c r="G1911">
        <v>129.40893484848499</v>
      </c>
      <c r="H1911">
        <v>10.169750000000001</v>
      </c>
      <c r="I1911">
        <v>38.164030300192202</v>
      </c>
    </row>
    <row r="1912" spans="1:9" x14ac:dyDescent="0.35">
      <c r="A1912" s="417" t="s">
        <v>846</v>
      </c>
      <c r="B1912" s="417" t="s">
        <v>680</v>
      </c>
      <c r="C1912" s="83">
        <v>46173</v>
      </c>
      <c r="D1912" s="417" t="s">
        <v>688</v>
      </c>
      <c r="E1912">
        <v>1426.1730500000001</v>
      </c>
      <c r="F1912">
        <v>11</v>
      </c>
      <c r="G1912">
        <v>129.65209545454499</v>
      </c>
      <c r="H1912">
        <v>6.6573166666666701</v>
      </c>
      <c r="I1912">
        <v>91.280224860712906</v>
      </c>
    </row>
    <row r="1913" spans="1:9" x14ac:dyDescent="0.35">
      <c r="A1913" s="417" t="s">
        <v>846</v>
      </c>
      <c r="B1913" s="417" t="s">
        <v>680</v>
      </c>
      <c r="C1913" s="83">
        <v>46173</v>
      </c>
      <c r="D1913" s="417" t="s">
        <v>682</v>
      </c>
      <c r="E1913">
        <v>1430.1802666666699</v>
      </c>
      <c r="F1913">
        <v>10</v>
      </c>
      <c r="G1913">
        <v>143.018026666667</v>
      </c>
      <c r="H1913">
        <v>9.8197333333333301</v>
      </c>
      <c r="I1913">
        <v>84.042658730158706</v>
      </c>
    </row>
    <row r="1914" spans="1:9" x14ac:dyDescent="0.35">
      <c r="A1914" s="417" t="s">
        <v>846</v>
      </c>
      <c r="B1914" s="417" t="s">
        <v>680</v>
      </c>
      <c r="C1914" s="83">
        <v>46173</v>
      </c>
      <c r="D1914" s="417" t="s">
        <v>685</v>
      </c>
      <c r="E1914">
        <v>1381.35285</v>
      </c>
      <c r="F1914">
        <v>10</v>
      </c>
      <c r="G1914">
        <v>138.13528500000001</v>
      </c>
      <c r="H1914">
        <v>6.1755666666666702</v>
      </c>
      <c r="I1914">
        <v>88.785092960761304</v>
      </c>
    </row>
    <row r="1915" spans="1:9" x14ac:dyDescent="0.35">
      <c r="A1915" s="417" t="s">
        <v>846</v>
      </c>
      <c r="B1915" s="417" t="s">
        <v>680</v>
      </c>
      <c r="C1915" s="83">
        <v>46173</v>
      </c>
      <c r="D1915" s="417" t="s">
        <v>686</v>
      </c>
      <c r="E1915">
        <v>1440</v>
      </c>
      <c r="F1915">
        <v>1</v>
      </c>
      <c r="G1915">
        <v>1440</v>
      </c>
      <c r="H1915">
        <v>0</v>
      </c>
      <c r="I1915">
        <v>35.317460317460302</v>
      </c>
    </row>
    <row r="1916" spans="1:9" x14ac:dyDescent="0.35">
      <c r="A1916" s="417" t="s">
        <v>846</v>
      </c>
      <c r="B1916" s="417" t="s">
        <v>691</v>
      </c>
      <c r="C1916" s="83">
        <v>46173</v>
      </c>
      <c r="D1916" s="417" t="s">
        <v>295</v>
      </c>
      <c r="E1916">
        <v>1305.69775</v>
      </c>
      <c r="F1916">
        <v>166</v>
      </c>
      <c r="G1916">
        <v>7.8656490963855399</v>
      </c>
      <c r="H1916">
        <v>0.61456666666666704</v>
      </c>
      <c r="I1916">
        <v>81.307920000412906</v>
      </c>
    </row>
    <row r="1917" spans="1:9" x14ac:dyDescent="0.35">
      <c r="A1917" s="417" t="s">
        <v>846</v>
      </c>
      <c r="B1917" s="417" t="s">
        <v>691</v>
      </c>
      <c r="C1917" s="83">
        <v>46173</v>
      </c>
      <c r="D1917" s="417" t="s">
        <v>309</v>
      </c>
      <c r="E1917">
        <v>1313.4626166666701</v>
      </c>
      <c r="F1917">
        <v>122</v>
      </c>
      <c r="G1917">
        <v>10.766087021857899</v>
      </c>
      <c r="H1917">
        <v>0</v>
      </c>
      <c r="I1917">
        <v>75.403573220220196</v>
      </c>
    </row>
    <row r="1918" spans="1:9" x14ac:dyDescent="0.35">
      <c r="A1918" s="417" t="s">
        <v>846</v>
      </c>
      <c r="B1918" s="417" t="s">
        <v>691</v>
      </c>
      <c r="C1918" s="83">
        <v>46173</v>
      </c>
      <c r="D1918" s="417" t="s">
        <v>305</v>
      </c>
      <c r="E1918">
        <v>1316.8517833333301</v>
      </c>
      <c r="F1918">
        <v>120</v>
      </c>
      <c r="G1918">
        <v>10.9737648611111</v>
      </c>
      <c r="H1918">
        <v>8.2902000000000005</v>
      </c>
      <c r="I1918">
        <v>70.666087957555206</v>
      </c>
    </row>
    <row r="1919" spans="1:9" x14ac:dyDescent="0.35">
      <c r="A1919" s="417" t="s">
        <v>846</v>
      </c>
      <c r="B1919" s="417" t="s">
        <v>691</v>
      </c>
      <c r="C1919" s="83">
        <v>46173</v>
      </c>
      <c r="D1919" s="417" t="s">
        <v>303</v>
      </c>
      <c r="E1919">
        <v>1385.20761666667</v>
      </c>
      <c r="F1919">
        <v>85</v>
      </c>
      <c r="G1919">
        <v>16.296560196078399</v>
      </c>
      <c r="H1919">
        <v>0.40538333333333298</v>
      </c>
      <c r="I1919">
        <v>61.535727174220398</v>
      </c>
    </row>
    <row r="1920" spans="1:9" x14ac:dyDescent="0.35">
      <c r="A1920" s="417" t="s">
        <v>846</v>
      </c>
      <c r="B1920" s="417" t="s">
        <v>691</v>
      </c>
      <c r="C1920" s="83">
        <v>46173</v>
      </c>
      <c r="D1920" s="417" t="s">
        <v>299</v>
      </c>
      <c r="E1920">
        <v>1387.24316666667</v>
      </c>
      <c r="F1920">
        <v>64</v>
      </c>
      <c r="G1920">
        <v>21.675674479166702</v>
      </c>
      <c r="H1920">
        <v>1.6899999999999998E-2</v>
      </c>
      <c r="I1920">
        <v>82.577046104639606</v>
      </c>
    </row>
    <row r="1921" spans="1:9" x14ac:dyDescent="0.35">
      <c r="A1921" s="417" t="s">
        <v>846</v>
      </c>
      <c r="B1921" s="417" t="s">
        <v>691</v>
      </c>
      <c r="C1921" s="83">
        <v>46173</v>
      </c>
      <c r="D1921" s="417" t="s">
        <v>301</v>
      </c>
      <c r="E1921">
        <v>1373.6567500000001</v>
      </c>
      <c r="F1921">
        <v>48</v>
      </c>
      <c r="G1921">
        <v>28.617848958333301</v>
      </c>
      <c r="H1921">
        <v>0</v>
      </c>
      <c r="I1921">
        <v>64.315467946744405</v>
      </c>
    </row>
    <row r="1922" spans="1:9" x14ac:dyDescent="0.35">
      <c r="A1922" s="417" t="s">
        <v>846</v>
      </c>
      <c r="B1922" s="417" t="s">
        <v>691</v>
      </c>
      <c r="C1922" s="83">
        <v>46173</v>
      </c>
      <c r="D1922" s="417" t="s">
        <v>313</v>
      </c>
      <c r="E1922">
        <v>1367.8726666666701</v>
      </c>
      <c r="F1922">
        <v>10</v>
      </c>
      <c r="G1922">
        <v>136.78726666666699</v>
      </c>
      <c r="H1922">
        <v>2.19173333333333</v>
      </c>
      <c r="I1922">
        <v>80.566826534545299</v>
      </c>
    </row>
    <row r="1923" spans="1:9" x14ac:dyDescent="0.35">
      <c r="A1923" s="417" t="s">
        <v>846</v>
      </c>
      <c r="B1923" s="417" t="s">
        <v>691</v>
      </c>
      <c r="C1923" s="83">
        <v>46173</v>
      </c>
      <c r="D1923" s="417" t="s">
        <v>310</v>
      </c>
      <c r="E1923">
        <v>1391.71705</v>
      </c>
      <c r="F1923">
        <v>7</v>
      </c>
      <c r="G1923">
        <v>198.81672142857099</v>
      </c>
      <c r="H1923">
        <v>5.8900000000000001E-2</v>
      </c>
      <c r="I1923">
        <v>79.563041241456006</v>
      </c>
    </row>
    <row r="1924" spans="1:9" x14ac:dyDescent="0.35">
      <c r="A1924" s="417" t="s">
        <v>846</v>
      </c>
      <c r="B1924" s="417" t="s">
        <v>691</v>
      </c>
      <c r="C1924" s="83">
        <v>46173</v>
      </c>
      <c r="D1924" s="417" t="s">
        <v>314</v>
      </c>
      <c r="E1924">
        <v>1319.6130333333299</v>
      </c>
      <c r="F1924">
        <v>7</v>
      </c>
      <c r="G1924">
        <v>188.51614761904801</v>
      </c>
      <c r="H1924">
        <v>8.1644500000000004</v>
      </c>
      <c r="I1924">
        <v>62.189613303321103</v>
      </c>
    </row>
    <row r="1925" spans="1:9" x14ac:dyDescent="0.35">
      <c r="A1925" s="417" t="s">
        <v>846</v>
      </c>
      <c r="B1925" s="417" t="s">
        <v>691</v>
      </c>
      <c r="C1925" s="83">
        <v>46173</v>
      </c>
      <c r="D1925" s="417" t="s">
        <v>317</v>
      </c>
      <c r="E1925">
        <v>1100.51583333333</v>
      </c>
      <c r="F1925">
        <v>6</v>
      </c>
      <c r="G1925">
        <v>183.41930555555601</v>
      </c>
      <c r="H1925">
        <v>3.6914833333333301</v>
      </c>
      <c r="I1925">
        <v>57.729195448940402</v>
      </c>
    </row>
    <row r="1926" spans="1:9" x14ac:dyDescent="0.35">
      <c r="A1926" s="417" t="s">
        <v>846</v>
      </c>
      <c r="B1926" s="417" t="s">
        <v>691</v>
      </c>
      <c r="C1926" s="83">
        <v>46173</v>
      </c>
      <c r="D1926" s="417" t="s">
        <v>504</v>
      </c>
      <c r="E1926">
        <v>1440</v>
      </c>
      <c r="F1926">
        <v>1</v>
      </c>
      <c r="G1926">
        <v>1440</v>
      </c>
      <c r="H1926">
        <v>0</v>
      </c>
      <c r="I1926">
        <v>65.634259259259196</v>
      </c>
    </row>
    <row r="1927" spans="1:9" x14ac:dyDescent="0.35">
      <c r="A1927" s="417" t="s">
        <v>846</v>
      </c>
      <c r="B1927" s="417" t="s">
        <v>676</v>
      </c>
      <c r="C1927" s="83">
        <v>46172</v>
      </c>
      <c r="D1927" s="417" t="s">
        <v>677</v>
      </c>
      <c r="E1927">
        <v>1258.1323</v>
      </c>
      <c r="F1927">
        <v>383</v>
      </c>
      <c r="G1927">
        <v>3.2849407310704999</v>
      </c>
      <c r="H1927">
        <v>181.86770000000001</v>
      </c>
      <c r="I1927">
        <v>43.32</v>
      </c>
    </row>
    <row r="1928" spans="1:9" x14ac:dyDescent="0.35">
      <c r="A1928" s="417" t="s">
        <v>846</v>
      </c>
      <c r="B1928" s="417" t="s">
        <v>676</v>
      </c>
      <c r="C1928" s="83">
        <v>46172</v>
      </c>
      <c r="D1928" s="417" t="s">
        <v>678</v>
      </c>
      <c r="E1928">
        <v>1395.65443333333</v>
      </c>
      <c r="F1928">
        <v>23</v>
      </c>
      <c r="G1928">
        <v>60.680627536231903</v>
      </c>
      <c r="H1928">
        <v>11.16675</v>
      </c>
      <c r="I1928">
        <v>104.057053164219</v>
      </c>
    </row>
    <row r="1929" spans="1:9" x14ac:dyDescent="0.35">
      <c r="A1929" s="417" t="s">
        <v>846</v>
      </c>
      <c r="B1929" s="417" t="s">
        <v>676</v>
      </c>
      <c r="C1929" s="83">
        <v>46172</v>
      </c>
      <c r="D1929" s="417" t="s">
        <v>679</v>
      </c>
      <c r="E1929">
        <v>1389.8370333333301</v>
      </c>
      <c r="F1929">
        <v>18</v>
      </c>
      <c r="G1929">
        <v>77.213168518518501</v>
      </c>
      <c r="H1929">
        <v>12.841483333333301</v>
      </c>
      <c r="I1929">
        <v>101.350854794941</v>
      </c>
    </row>
    <row r="1930" spans="1:9" x14ac:dyDescent="0.35">
      <c r="A1930" s="417" t="s">
        <v>846</v>
      </c>
      <c r="B1930" s="417" t="s">
        <v>680</v>
      </c>
      <c r="C1930" s="83">
        <v>46172</v>
      </c>
      <c r="D1930" s="417" t="s">
        <v>681</v>
      </c>
      <c r="E1930">
        <v>1376.7185999999999</v>
      </c>
      <c r="F1930">
        <v>59</v>
      </c>
      <c r="G1930">
        <v>23.334213559321999</v>
      </c>
      <c r="H1930">
        <v>0.99261666666666704</v>
      </c>
      <c r="I1930">
        <v>76.236777487878996</v>
      </c>
    </row>
    <row r="1931" spans="1:9" x14ac:dyDescent="0.35">
      <c r="A1931" s="417" t="s">
        <v>846</v>
      </c>
      <c r="B1931" s="417" t="s">
        <v>680</v>
      </c>
      <c r="C1931" s="83">
        <v>46172</v>
      </c>
      <c r="D1931" s="417" t="s">
        <v>689</v>
      </c>
      <c r="E1931">
        <v>1396.4964500000001</v>
      </c>
      <c r="F1931">
        <v>46</v>
      </c>
      <c r="G1931">
        <v>30.358618478260901</v>
      </c>
      <c r="H1931">
        <v>1.3326166666666699</v>
      </c>
      <c r="I1931">
        <v>72.420999169747702</v>
      </c>
    </row>
    <row r="1932" spans="1:9" x14ac:dyDescent="0.35">
      <c r="A1932" s="417" t="s">
        <v>846</v>
      </c>
      <c r="B1932" s="417" t="s">
        <v>680</v>
      </c>
      <c r="C1932" s="83">
        <v>46172</v>
      </c>
      <c r="D1932" s="417" t="s">
        <v>683</v>
      </c>
      <c r="E1932">
        <v>1418.83868333333</v>
      </c>
      <c r="F1932">
        <v>20</v>
      </c>
      <c r="G1932">
        <v>70.941934166666698</v>
      </c>
      <c r="H1932">
        <v>0.66739999999999999</v>
      </c>
      <c r="I1932">
        <v>63.323988272236001</v>
      </c>
    </row>
    <row r="1933" spans="1:9" x14ac:dyDescent="0.35">
      <c r="A1933" s="417" t="s">
        <v>846</v>
      </c>
      <c r="B1933" s="417" t="s">
        <v>680</v>
      </c>
      <c r="C1933" s="83">
        <v>46172</v>
      </c>
      <c r="D1933" s="417" t="s">
        <v>690</v>
      </c>
      <c r="E1933">
        <v>1413.82071666667</v>
      </c>
      <c r="F1933">
        <v>18</v>
      </c>
      <c r="G1933">
        <v>78.545595370370407</v>
      </c>
      <c r="H1933">
        <v>18.662583333333298</v>
      </c>
      <c r="I1933">
        <v>61.341228426347499</v>
      </c>
    </row>
    <row r="1934" spans="1:9" x14ac:dyDescent="0.35">
      <c r="A1934" s="417" t="s">
        <v>846</v>
      </c>
      <c r="B1934" s="417" t="s">
        <v>680</v>
      </c>
      <c r="C1934" s="83">
        <v>46172</v>
      </c>
      <c r="D1934" s="417" t="s">
        <v>687</v>
      </c>
      <c r="E1934">
        <v>1400.0192666666701</v>
      </c>
      <c r="F1934">
        <v>16</v>
      </c>
      <c r="G1934">
        <v>87.501204166666597</v>
      </c>
      <c r="H1934">
        <v>18.485966666666702</v>
      </c>
      <c r="I1934">
        <v>30.8997671996474</v>
      </c>
    </row>
    <row r="1935" spans="1:9" x14ac:dyDescent="0.35">
      <c r="A1935" s="417" t="s">
        <v>846</v>
      </c>
      <c r="B1935" s="417" t="s">
        <v>680</v>
      </c>
      <c r="C1935" s="83">
        <v>46172</v>
      </c>
      <c r="D1935" s="417" t="s">
        <v>684</v>
      </c>
      <c r="E1935">
        <v>1403.16413333333</v>
      </c>
      <c r="F1935">
        <v>14</v>
      </c>
      <c r="G1935">
        <v>100.22600952381001</v>
      </c>
      <c r="H1935">
        <v>6.9779</v>
      </c>
      <c r="I1935">
        <v>70.683301753155504</v>
      </c>
    </row>
    <row r="1936" spans="1:9" x14ac:dyDescent="0.35">
      <c r="A1936" s="417" t="s">
        <v>846</v>
      </c>
      <c r="B1936" s="417" t="s">
        <v>680</v>
      </c>
      <c r="C1936" s="83">
        <v>46172</v>
      </c>
      <c r="D1936" s="417" t="s">
        <v>682</v>
      </c>
      <c r="E1936">
        <v>1434.1781166666699</v>
      </c>
      <c r="F1936">
        <v>8</v>
      </c>
      <c r="G1936">
        <v>179.272264583333</v>
      </c>
      <c r="H1936">
        <v>5.8218833333333304</v>
      </c>
      <c r="I1936">
        <v>70.372023809523796</v>
      </c>
    </row>
    <row r="1937" spans="1:9" x14ac:dyDescent="0.35">
      <c r="A1937" s="417" t="s">
        <v>846</v>
      </c>
      <c r="B1937" s="417" t="s">
        <v>680</v>
      </c>
      <c r="C1937" s="83">
        <v>46172</v>
      </c>
      <c r="D1937" s="417" t="s">
        <v>685</v>
      </c>
      <c r="E1937">
        <v>1294.50236666667</v>
      </c>
      <c r="F1937">
        <v>7</v>
      </c>
      <c r="G1937">
        <v>184.92890952381001</v>
      </c>
      <c r="H1937">
        <v>9.9826166666666705</v>
      </c>
      <c r="I1937">
        <v>75.645616997766794</v>
      </c>
    </row>
    <row r="1938" spans="1:9" x14ac:dyDescent="0.35">
      <c r="A1938" s="417" t="s">
        <v>846</v>
      </c>
      <c r="B1938" s="417" t="s">
        <v>680</v>
      </c>
      <c r="C1938" s="83">
        <v>46172</v>
      </c>
      <c r="D1938" s="417" t="s">
        <v>688</v>
      </c>
      <c r="E1938">
        <v>1436.16088333333</v>
      </c>
      <c r="F1938">
        <v>5</v>
      </c>
      <c r="G1938">
        <v>287.23217666666699</v>
      </c>
      <c r="H1938">
        <v>1.3319000000000001</v>
      </c>
      <c r="I1938">
        <v>73.745460972174996</v>
      </c>
    </row>
    <row r="1939" spans="1:9" x14ac:dyDescent="0.35">
      <c r="A1939" s="417" t="s">
        <v>846</v>
      </c>
      <c r="B1939" s="417" t="s">
        <v>680</v>
      </c>
      <c r="C1939" s="83">
        <v>46172</v>
      </c>
      <c r="D1939" s="417" t="s">
        <v>686</v>
      </c>
      <c r="E1939">
        <v>1440</v>
      </c>
      <c r="F1939">
        <v>1</v>
      </c>
      <c r="G1939">
        <v>1440</v>
      </c>
      <c r="H1939">
        <v>0</v>
      </c>
      <c r="I1939">
        <v>26.314484126984102</v>
      </c>
    </row>
    <row r="1940" spans="1:9" x14ac:dyDescent="0.35">
      <c r="A1940" s="417" t="s">
        <v>846</v>
      </c>
      <c r="B1940" s="417" t="s">
        <v>691</v>
      </c>
      <c r="C1940" s="83">
        <v>46172</v>
      </c>
      <c r="D1940" s="417" t="s">
        <v>295</v>
      </c>
      <c r="E1940">
        <v>1260.99035</v>
      </c>
      <c r="F1940">
        <v>322</v>
      </c>
      <c r="G1940">
        <v>3.9161190993788799</v>
      </c>
      <c r="H1940">
        <v>1.1752</v>
      </c>
      <c r="I1940">
        <v>64.692618819244501</v>
      </c>
    </row>
    <row r="1941" spans="1:9" x14ac:dyDescent="0.35">
      <c r="A1941" s="417" t="s">
        <v>846</v>
      </c>
      <c r="B1941" s="417" t="s">
        <v>691</v>
      </c>
      <c r="C1941" s="83">
        <v>46172</v>
      </c>
      <c r="D1941" s="417" t="s">
        <v>305</v>
      </c>
      <c r="E1941">
        <v>1290.2987166666701</v>
      </c>
      <c r="F1941">
        <v>155</v>
      </c>
      <c r="G1941">
        <v>8.3245078494623694</v>
      </c>
      <c r="H1941">
        <v>7.3209666666666697</v>
      </c>
      <c r="I1941">
        <v>61.648183086396102</v>
      </c>
    </row>
    <row r="1942" spans="1:9" x14ac:dyDescent="0.35">
      <c r="A1942" s="417" t="s">
        <v>846</v>
      </c>
      <c r="B1942" s="417" t="s">
        <v>691</v>
      </c>
      <c r="C1942" s="83">
        <v>46172</v>
      </c>
      <c r="D1942" s="417" t="s">
        <v>299</v>
      </c>
      <c r="E1942">
        <v>1343.74941666667</v>
      </c>
      <c r="F1942">
        <v>146</v>
      </c>
      <c r="G1942">
        <v>9.2037631278538807</v>
      </c>
      <c r="H1942">
        <v>0.28743333333333299</v>
      </c>
      <c r="I1942">
        <v>87.936094417181593</v>
      </c>
    </row>
    <row r="1943" spans="1:9" x14ac:dyDescent="0.35">
      <c r="A1943" s="417" t="s">
        <v>846</v>
      </c>
      <c r="B1943" s="417" t="s">
        <v>691</v>
      </c>
      <c r="C1943" s="83">
        <v>46172</v>
      </c>
      <c r="D1943" s="417" t="s">
        <v>309</v>
      </c>
      <c r="E1943">
        <v>1275.4369666666701</v>
      </c>
      <c r="F1943">
        <v>144</v>
      </c>
      <c r="G1943">
        <v>8.8572011574074097</v>
      </c>
      <c r="H1943">
        <v>0</v>
      </c>
      <c r="I1943">
        <v>64.162651472071204</v>
      </c>
    </row>
    <row r="1944" spans="1:9" x14ac:dyDescent="0.35">
      <c r="A1944" s="417" t="s">
        <v>846</v>
      </c>
      <c r="B1944" s="417" t="s">
        <v>691</v>
      </c>
      <c r="C1944" s="83">
        <v>46172</v>
      </c>
      <c r="D1944" s="417" t="s">
        <v>303</v>
      </c>
      <c r="E1944">
        <v>1348.49945</v>
      </c>
      <c r="F1944">
        <v>77</v>
      </c>
      <c r="G1944">
        <v>17.5129798701299</v>
      </c>
      <c r="H1944">
        <v>0.51796666666666702</v>
      </c>
      <c r="I1944">
        <v>62.434460481316997</v>
      </c>
    </row>
    <row r="1945" spans="1:9" x14ac:dyDescent="0.35">
      <c r="A1945" s="417" t="s">
        <v>846</v>
      </c>
      <c r="B1945" s="417" t="s">
        <v>691</v>
      </c>
      <c r="C1945" s="83">
        <v>46172</v>
      </c>
      <c r="D1945" s="417" t="s">
        <v>301</v>
      </c>
      <c r="E1945">
        <v>1252.9881166666701</v>
      </c>
      <c r="F1945">
        <v>76</v>
      </c>
      <c r="G1945">
        <v>16.486685745614</v>
      </c>
      <c r="H1945">
        <v>0.28284999999999999</v>
      </c>
      <c r="I1945">
        <v>52.800380578950403</v>
      </c>
    </row>
    <row r="1946" spans="1:9" x14ac:dyDescent="0.35">
      <c r="A1946" s="417" t="s">
        <v>846</v>
      </c>
      <c r="B1946" s="417" t="s">
        <v>691</v>
      </c>
      <c r="C1946" s="83">
        <v>46172</v>
      </c>
      <c r="D1946" s="417" t="s">
        <v>342</v>
      </c>
      <c r="E1946">
        <v>1226.4675500000001</v>
      </c>
      <c r="F1946">
        <v>37</v>
      </c>
      <c r="G1946">
        <v>33.147771621621601</v>
      </c>
      <c r="H1946">
        <v>59.060549999999999</v>
      </c>
      <c r="I1946">
        <v>50.790043290043101</v>
      </c>
    </row>
    <row r="1947" spans="1:9" x14ac:dyDescent="0.35">
      <c r="A1947" s="417" t="s">
        <v>846</v>
      </c>
      <c r="B1947" s="417" t="s">
        <v>691</v>
      </c>
      <c r="C1947" s="83">
        <v>46172</v>
      </c>
      <c r="D1947" s="417" t="s">
        <v>314</v>
      </c>
      <c r="E1947">
        <v>1343.5775166666699</v>
      </c>
      <c r="F1947">
        <v>7</v>
      </c>
      <c r="G1947">
        <v>191.93964523809501</v>
      </c>
      <c r="H1947">
        <v>4.9711333333333299</v>
      </c>
      <c r="I1947">
        <v>46.8702236715053</v>
      </c>
    </row>
    <row r="1948" spans="1:9" x14ac:dyDescent="0.35">
      <c r="A1948" s="417" t="s">
        <v>846</v>
      </c>
      <c r="B1948" s="417" t="s">
        <v>691</v>
      </c>
      <c r="C1948" s="83">
        <v>46172</v>
      </c>
      <c r="D1948" s="417" t="s">
        <v>310</v>
      </c>
      <c r="E1948">
        <v>1358.87343333333</v>
      </c>
      <c r="F1948">
        <v>5</v>
      </c>
      <c r="G1948">
        <v>271.77468666666698</v>
      </c>
      <c r="H1948">
        <v>0</v>
      </c>
      <c r="I1948">
        <v>63.815526431935098</v>
      </c>
    </row>
    <row r="1949" spans="1:9" x14ac:dyDescent="0.35">
      <c r="A1949" s="417" t="s">
        <v>846</v>
      </c>
      <c r="B1949" s="417" t="s">
        <v>691</v>
      </c>
      <c r="C1949" s="83">
        <v>46172</v>
      </c>
      <c r="D1949" s="417" t="s">
        <v>313</v>
      </c>
      <c r="E1949">
        <v>1388.00358333333</v>
      </c>
      <c r="F1949">
        <v>5</v>
      </c>
      <c r="G1949">
        <v>277.60071666666698</v>
      </c>
      <c r="H1949">
        <v>6.7716666666666703E-2</v>
      </c>
      <c r="I1949">
        <v>66.024256393475994</v>
      </c>
    </row>
    <row r="1950" spans="1:9" x14ac:dyDescent="0.35">
      <c r="A1950" s="417" t="s">
        <v>846</v>
      </c>
      <c r="B1950" s="417" t="s">
        <v>691</v>
      </c>
      <c r="C1950" s="83">
        <v>46172</v>
      </c>
      <c r="D1950" s="417" t="s">
        <v>317</v>
      </c>
      <c r="E1950">
        <v>1426.8022333333299</v>
      </c>
      <c r="F1950">
        <v>2</v>
      </c>
      <c r="G1950">
        <v>713.40111666666701</v>
      </c>
      <c r="H1950">
        <v>2.5627166666666699</v>
      </c>
      <c r="I1950">
        <v>58.270632703005603</v>
      </c>
    </row>
    <row r="1951" spans="1:9" x14ac:dyDescent="0.35">
      <c r="A1951" s="417" t="s">
        <v>846</v>
      </c>
      <c r="B1951" s="417" t="s">
        <v>691</v>
      </c>
      <c r="C1951" s="83">
        <v>46172</v>
      </c>
      <c r="D1951" s="417" t="s">
        <v>504</v>
      </c>
      <c r="E1951">
        <v>1440</v>
      </c>
      <c r="F1951">
        <v>1</v>
      </c>
      <c r="G1951">
        <v>1440</v>
      </c>
      <c r="H1951">
        <v>0</v>
      </c>
      <c r="I1951">
        <v>38.285185185185199</v>
      </c>
    </row>
    <row r="1952" spans="1:9" x14ac:dyDescent="0.35">
      <c r="A1952" s="417" t="s">
        <v>846</v>
      </c>
      <c r="B1952" s="417" t="s">
        <v>676</v>
      </c>
      <c r="C1952" s="83">
        <v>46171</v>
      </c>
      <c r="D1952" s="417" t="s">
        <v>677</v>
      </c>
      <c r="E1952">
        <v>1003.44116666667</v>
      </c>
      <c r="F1952">
        <v>477</v>
      </c>
      <c r="G1952">
        <v>2.1036502445842098</v>
      </c>
      <c r="H1952">
        <v>287.44586666666697</v>
      </c>
      <c r="I1952">
        <v>25.702222222222201</v>
      </c>
    </row>
    <row r="1953" spans="1:9" x14ac:dyDescent="0.35">
      <c r="A1953" s="417" t="s">
        <v>846</v>
      </c>
      <c r="B1953" s="417" t="s">
        <v>676</v>
      </c>
      <c r="C1953" s="83">
        <v>46171</v>
      </c>
      <c r="D1953" s="417" t="s">
        <v>679</v>
      </c>
      <c r="E1953">
        <v>1215.5893166666699</v>
      </c>
      <c r="F1953">
        <v>62</v>
      </c>
      <c r="G1953">
        <v>19.6062793010753</v>
      </c>
      <c r="H1953">
        <v>80.487833333333299</v>
      </c>
      <c r="I1953">
        <v>72.869964490461996</v>
      </c>
    </row>
    <row r="1954" spans="1:9" x14ac:dyDescent="0.35">
      <c r="A1954" s="417" t="s">
        <v>846</v>
      </c>
      <c r="B1954" s="417" t="s">
        <v>676</v>
      </c>
      <c r="C1954" s="83">
        <v>46171</v>
      </c>
      <c r="D1954" s="417" t="s">
        <v>678</v>
      </c>
      <c r="E1954">
        <v>1302.88161666667</v>
      </c>
      <c r="F1954">
        <v>32</v>
      </c>
      <c r="G1954">
        <v>40.715050520833302</v>
      </c>
      <c r="H1954">
        <v>17.995483333333301</v>
      </c>
      <c r="I1954">
        <v>87.169477445707898</v>
      </c>
    </row>
    <row r="1955" spans="1:9" x14ac:dyDescent="0.35">
      <c r="A1955" s="417" t="s">
        <v>846</v>
      </c>
      <c r="B1955" s="417" t="s">
        <v>680</v>
      </c>
      <c r="C1955" s="83">
        <v>46171</v>
      </c>
      <c r="D1955" s="417" t="s">
        <v>681</v>
      </c>
      <c r="E1955">
        <v>1399.11466666667</v>
      </c>
      <c r="F1955">
        <v>38</v>
      </c>
      <c r="G1955">
        <v>36.818807017543897</v>
      </c>
      <c r="H1955">
        <v>3.8344833333333299</v>
      </c>
      <c r="I1955">
        <v>70.327056691535503</v>
      </c>
    </row>
    <row r="1956" spans="1:9" x14ac:dyDescent="0.35">
      <c r="A1956" s="417" t="s">
        <v>846</v>
      </c>
      <c r="B1956" s="417" t="s">
        <v>680</v>
      </c>
      <c r="C1956" s="83">
        <v>46171</v>
      </c>
      <c r="D1956" s="417" t="s">
        <v>683</v>
      </c>
      <c r="E1956">
        <v>1378.4943499999999</v>
      </c>
      <c r="F1956">
        <v>31</v>
      </c>
      <c r="G1956">
        <v>44.467559677419402</v>
      </c>
      <c r="H1956">
        <v>1.6667333333333301</v>
      </c>
      <c r="I1956">
        <v>70.868232089336402</v>
      </c>
    </row>
    <row r="1957" spans="1:9" x14ac:dyDescent="0.35">
      <c r="A1957" s="417" t="s">
        <v>846</v>
      </c>
      <c r="B1957" s="417" t="s">
        <v>680</v>
      </c>
      <c r="C1957" s="83">
        <v>46171</v>
      </c>
      <c r="D1957" s="417" t="s">
        <v>690</v>
      </c>
      <c r="E1957">
        <v>1398.7916166666701</v>
      </c>
      <c r="F1957">
        <v>26</v>
      </c>
      <c r="G1957">
        <v>53.799677564102602</v>
      </c>
      <c r="H1957">
        <v>6.3185000000000002</v>
      </c>
      <c r="I1957">
        <v>68.888917921633706</v>
      </c>
    </row>
    <row r="1958" spans="1:9" x14ac:dyDescent="0.35">
      <c r="A1958" s="417" t="s">
        <v>846</v>
      </c>
      <c r="B1958" s="417" t="s">
        <v>680</v>
      </c>
      <c r="C1958" s="83">
        <v>46171</v>
      </c>
      <c r="D1958" s="417" t="s">
        <v>689</v>
      </c>
      <c r="E1958">
        <v>1408.67816666667</v>
      </c>
      <c r="F1958">
        <v>20</v>
      </c>
      <c r="G1958">
        <v>70.433908333333306</v>
      </c>
      <c r="H1958">
        <v>0.16664999999999999</v>
      </c>
      <c r="I1958">
        <v>75.038557093476896</v>
      </c>
    </row>
    <row r="1959" spans="1:9" x14ac:dyDescent="0.35">
      <c r="A1959" s="417" t="s">
        <v>846</v>
      </c>
      <c r="B1959" s="417" t="s">
        <v>680</v>
      </c>
      <c r="C1959" s="83">
        <v>46171</v>
      </c>
      <c r="D1959" s="417" t="s">
        <v>684</v>
      </c>
      <c r="E1959">
        <v>1419.65431666667</v>
      </c>
      <c r="F1959">
        <v>16</v>
      </c>
      <c r="G1959">
        <v>88.728394791666702</v>
      </c>
      <c r="H1959">
        <v>10.6682666666667</v>
      </c>
      <c r="I1959">
        <v>77.367390542129499</v>
      </c>
    </row>
    <row r="1960" spans="1:9" x14ac:dyDescent="0.35">
      <c r="A1960" s="417" t="s">
        <v>846</v>
      </c>
      <c r="B1960" s="417" t="s">
        <v>680</v>
      </c>
      <c r="C1960" s="83">
        <v>46171</v>
      </c>
      <c r="D1960" s="417" t="s">
        <v>687</v>
      </c>
      <c r="E1960">
        <v>1402.3349000000001</v>
      </c>
      <c r="F1960">
        <v>16</v>
      </c>
      <c r="G1960">
        <v>87.645931250000004</v>
      </c>
      <c r="H1960">
        <v>29.000250000000001</v>
      </c>
      <c r="I1960">
        <v>38.053695944372301</v>
      </c>
    </row>
    <row r="1961" spans="1:9" x14ac:dyDescent="0.35">
      <c r="A1961" s="417" t="s">
        <v>846</v>
      </c>
      <c r="B1961" s="417" t="s">
        <v>680</v>
      </c>
      <c r="C1961" s="83">
        <v>46171</v>
      </c>
      <c r="D1961" s="417" t="s">
        <v>682</v>
      </c>
      <c r="E1961">
        <v>1426.5143166666701</v>
      </c>
      <c r="F1961">
        <v>15</v>
      </c>
      <c r="G1961">
        <v>95.100954444444497</v>
      </c>
      <c r="H1961">
        <v>13.4856833333333</v>
      </c>
      <c r="I1961">
        <v>76.165674603174594</v>
      </c>
    </row>
    <row r="1962" spans="1:9" x14ac:dyDescent="0.35">
      <c r="A1962" s="417" t="s">
        <v>846</v>
      </c>
      <c r="B1962" s="417" t="s">
        <v>680</v>
      </c>
      <c r="C1962" s="83">
        <v>46171</v>
      </c>
      <c r="D1962" s="417" t="s">
        <v>685</v>
      </c>
      <c r="E1962">
        <v>1307.64151666667</v>
      </c>
      <c r="F1962">
        <v>14</v>
      </c>
      <c r="G1962">
        <v>93.402965476190502</v>
      </c>
      <c r="H1962">
        <v>1.9928333333333299</v>
      </c>
      <c r="I1962">
        <v>71.877392040363702</v>
      </c>
    </row>
    <row r="1963" spans="1:9" x14ac:dyDescent="0.35">
      <c r="A1963" s="417" t="s">
        <v>846</v>
      </c>
      <c r="B1963" s="417" t="s">
        <v>680</v>
      </c>
      <c r="C1963" s="83">
        <v>46171</v>
      </c>
      <c r="D1963" s="417" t="s">
        <v>688</v>
      </c>
      <c r="E1963">
        <v>1398.0086166666699</v>
      </c>
      <c r="F1963">
        <v>6</v>
      </c>
      <c r="G1963">
        <v>233.00143611111099</v>
      </c>
      <c r="H1963">
        <v>0.66690000000000005</v>
      </c>
      <c r="I1963">
        <v>68.401429468622098</v>
      </c>
    </row>
    <row r="1964" spans="1:9" x14ac:dyDescent="0.35">
      <c r="A1964" s="417" t="s">
        <v>846</v>
      </c>
      <c r="B1964" s="417" t="s">
        <v>680</v>
      </c>
      <c r="C1964" s="83">
        <v>46171</v>
      </c>
      <c r="D1964" s="417" t="s">
        <v>686</v>
      </c>
      <c r="E1964">
        <v>1440</v>
      </c>
      <c r="F1964">
        <v>1</v>
      </c>
      <c r="G1964">
        <v>1440</v>
      </c>
      <c r="H1964">
        <v>0</v>
      </c>
      <c r="I1964">
        <v>30.6845238095238</v>
      </c>
    </row>
    <row r="1965" spans="1:9" x14ac:dyDescent="0.35">
      <c r="A1965" s="417" t="s">
        <v>846</v>
      </c>
      <c r="B1965" s="417" t="s">
        <v>691</v>
      </c>
      <c r="C1965" s="83">
        <v>46171</v>
      </c>
      <c r="D1965" s="417" t="s">
        <v>342</v>
      </c>
      <c r="E1965">
        <v>1042.4477999999999</v>
      </c>
      <c r="F1965">
        <v>148</v>
      </c>
      <c r="G1965">
        <v>7.0435662162162203</v>
      </c>
      <c r="H1965">
        <v>285.07621666666699</v>
      </c>
      <c r="I1965">
        <v>44.945107697062603</v>
      </c>
    </row>
    <row r="1966" spans="1:9" x14ac:dyDescent="0.35">
      <c r="A1966" s="417" t="s">
        <v>846</v>
      </c>
      <c r="B1966" s="417" t="s">
        <v>691</v>
      </c>
      <c r="C1966" s="83">
        <v>46171</v>
      </c>
      <c r="D1966" s="417" t="s">
        <v>295</v>
      </c>
      <c r="E1966">
        <v>1338.7444499999999</v>
      </c>
      <c r="F1966">
        <v>130</v>
      </c>
      <c r="G1966">
        <v>10.298034230769201</v>
      </c>
      <c r="H1966">
        <v>1.3753833333333301</v>
      </c>
      <c r="I1966">
        <v>82.948991868547296</v>
      </c>
    </row>
    <row r="1967" spans="1:9" x14ac:dyDescent="0.35">
      <c r="A1967" s="417" t="s">
        <v>846</v>
      </c>
      <c r="B1967" s="417" t="s">
        <v>691</v>
      </c>
      <c r="C1967" s="83">
        <v>46171</v>
      </c>
      <c r="D1967" s="417" t="s">
        <v>309</v>
      </c>
      <c r="E1967">
        <v>1283.5496166666701</v>
      </c>
      <c r="F1967">
        <v>128</v>
      </c>
      <c r="G1967">
        <v>10.0277313802083</v>
      </c>
      <c r="H1967">
        <v>0</v>
      </c>
      <c r="I1967">
        <v>51.631282881988398</v>
      </c>
    </row>
    <row r="1968" spans="1:9" x14ac:dyDescent="0.35">
      <c r="A1968" s="417" t="s">
        <v>846</v>
      </c>
      <c r="B1968" s="417" t="s">
        <v>691</v>
      </c>
      <c r="C1968" s="83">
        <v>46171</v>
      </c>
      <c r="D1968" s="417" t="s">
        <v>305</v>
      </c>
      <c r="E1968">
        <v>1346.8311000000001</v>
      </c>
      <c r="F1968">
        <v>85</v>
      </c>
      <c r="G1968">
        <v>15.845071764705899</v>
      </c>
      <c r="H1968">
        <v>2.8725166666666699</v>
      </c>
      <c r="I1968">
        <v>58.370335534893101</v>
      </c>
    </row>
    <row r="1969" spans="1:9" x14ac:dyDescent="0.35">
      <c r="A1969" s="417" t="s">
        <v>846</v>
      </c>
      <c r="B1969" s="417" t="s">
        <v>691</v>
      </c>
      <c r="C1969" s="83">
        <v>46171</v>
      </c>
      <c r="D1969" s="417" t="s">
        <v>299</v>
      </c>
      <c r="E1969">
        <v>1388.9390166666701</v>
      </c>
      <c r="F1969">
        <v>84</v>
      </c>
      <c r="G1969">
        <v>16.534988293650802</v>
      </c>
      <c r="H1969">
        <v>0.26005</v>
      </c>
      <c r="I1969">
        <v>79.235528147768605</v>
      </c>
    </row>
    <row r="1970" spans="1:9" x14ac:dyDescent="0.35">
      <c r="A1970" s="417" t="s">
        <v>846</v>
      </c>
      <c r="B1970" s="417" t="s">
        <v>691</v>
      </c>
      <c r="C1970" s="83">
        <v>46171</v>
      </c>
      <c r="D1970" s="417" t="s">
        <v>303</v>
      </c>
      <c r="E1970">
        <v>1360.5889</v>
      </c>
      <c r="F1970">
        <v>64</v>
      </c>
      <c r="G1970">
        <v>21.259201562499999</v>
      </c>
      <c r="H1970">
        <v>0.27041666666666703</v>
      </c>
      <c r="I1970">
        <v>63.488634119014201</v>
      </c>
    </row>
    <row r="1971" spans="1:9" x14ac:dyDescent="0.35">
      <c r="A1971" s="417" t="s">
        <v>846</v>
      </c>
      <c r="B1971" s="417" t="s">
        <v>691</v>
      </c>
      <c r="C1971" s="83">
        <v>46171</v>
      </c>
      <c r="D1971" s="417" t="s">
        <v>301</v>
      </c>
      <c r="E1971">
        <v>1378.2536833333299</v>
      </c>
      <c r="F1971">
        <v>59</v>
      </c>
      <c r="G1971">
        <v>23.360231920903999</v>
      </c>
      <c r="H1971">
        <v>0.28421666666666701</v>
      </c>
      <c r="I1971">
        <v>62.436638821548598</v>
      </c>
    </row>
    <row r="1972" spans="1:9" x14ac:dyDescent="0.35">
      <c r="A1972" s="417" t="s">
        <v>846</v>
      </c>
      <c r="B1972" s="417" t="s">
        <v>691</v>
      </c>
      <c r="C1972" s="83">
        <v>46171</v>
      </c>
      <c r="D1972" s="417" t="s">
        <v>314</v>
      </c>
      <c r="E1972">
        <v>1264.86905</v>
      </c>
      <c r="F1972">
        <v>16</v>
      </c>
      <c r="G1972">
        <v>79.054315625000001</v>
      </c>
      <c r="H1972">
        <v>3.3109666666666699</v>
      </c>
      <c r="I1972">
        <v>57.458763934272397</v>
      </c>
    </row>
    <row r="1973" spans="1:9" x14ac:dyDescent="0.35">
      <c r="A1973" s="417" t="s">
        <v>846</v>
      </c>
      <c r="B1973" s="417" t="s">
        <v>691</v>
      </c>
      <c r="C1973" s="83">
        <v>46171</v>
      </c>
      <c r="D1973" s="417" t="s">
        <v>310</v>
      </c>
      <c r="E1973">
        <v>1378.16515</v>
      </c>
      <c r="F1973">
        <v>4</v>
      </c>
      <c r="G1973">
        <v>344.54128750000001</v>
      </c>
      <c r="H1973">
        <v>0</v>
      </c>
      <c r="I1973">
        <v>79.729719037863106</v>
      </c>
    </row>
    <row r="1974" spans="1:9" x14ac:dyDescent="0.35">
      <c r="A1974" s="417" t="s">
        <v>846</v>
      </c>
      <c r="B1974" s="417" t="s">
        <v>691</v>
      </c>
      <c r="C1974" s="83">
        <v>46171</v>
      </c>
      <c r="D1974" s="417" t="s">
        <v>317</v>
      </c>
      <c r="E1974">
        <v>1425.76898333333</v>
      </c>
      <c r="F1974">
        <v>3</v>
      </c>
      <c r="G1974">
        <v>475.25632777777798</v>
      </c>
      <c r="H1974">
        <v>14.231016666666701</v>
      </c>
      <c r="I1974">
        <v>58.8055555555555</v>
      </c>
    </row>
    <row r="1975" spans="1:9" x14ac:dyDescent="0.35">
      <c r="A1975" s="417" t="s">
        <v>846</v>
      </c>
      <c r="B1975" s="417" t="s">
        <v>691</v>
      </c>
      <c r="C1975" s="83">
        <v>46171</v>
      </c>
      <c r="D1975" s="417" t="s">
        <v>313</v>
      </c>
      <c r="E1975">
        <v>1341.2162166666701</v>
      </c>
      <c r="F1975">
        <v>3</v>
      </c>
      <c r="G1975">
        <v>447.072072222222</v>
      </c>
      <c r="H1975">
        <v>0</v>
      </c>
      <c r="I1975">
        <v>74.823561904865301</v>
      </c>
    </row>
    <row r="1976" spans="1:9" x14ac:dyDescent="0.35">
      <c r="A1976" s="417" t="s">
        <v>846</v>
      </c>
      <c r="B1976" s="417" t="s">
        <v>691</v>
      </c>
      <c r="C1976" s="83">
        <v>46171</v>
      </c>
      <c r="D1976" s="417" t="s">
        <v>504</v>
      </c>
      <c r="E1976">
        <v>1440</v>
      </c>
      <c r="F1976">
        <v>1</v>
      </c>
      <c r="G1976">
        <v>1440</v>
      </c>
      <c r="H1976">
        <v>0</v>
      </c>
      <c r="I1976">
        <v>37.537500000000001</v>
      </c>
    </row>
    <row r="1977" spans="1:9" x14ac:dyDescent="0.35">
      <c r="A1977" s="417" t="s">
        <v>846</v>
      </c>
      <c r="B1977" s="417" t="s">
        <v>676</v>
      </c>
      <c r="C1977" s="83">
        <v>46170</v>
      </c>
      <c r="D1977" s="417" t="s">
        <v>677</v>
      </c>
      <c r="E1977">
        <v>1150.89488333333</v>
      </c>
      <c r="F1977">
        <v>164</v>
      </c>
      <c r="G1977">
        <v>7.0176517276422796</v>
      </c>
      <c r="H1977">
        <v>108.84676666666699</v>
      </c>
      <c r="I1977">
        <v>20.371666666666702</v>
      </c>
    </row>
    <row r="1978" spans="1:9" x14ac:dyDescent="0.35">
      <c r="A1978" s="417" t="s">
        <v>846</v>
      </c>
      <c r="B1978" s="417" t="s">
        <v>676</v>
      </c>
      <c r="C1978" s="83">
        <v>46170</v>
      </c>
      <c r="D1978" s="417" t="s">
        <v>679</v>
      </c>
      <c r="E1978">
        <v>1015.75071666667</v>
      </c>
      <c r="F1978">
        <v>22</v>
      </c>
      <c r="G1978">
        <v>46.170487121212098</v>
      </c>
      <c r="H1978">
        <v>18.501300000000001</v>
      </c>
      <c r="I1978">
        <v>71.844164021489405</v>
      </c>
    </row>
    <row r="1979" spans="1:9" x14ac:dyDescent="0.35">
      <c r="A1979" s="417" t="s">
        <v>846</v>
      </c>
      <c r="B1979" s="417" t="s">
        <v>676</v>
      </c>
      <c r="C1979" s="83">
        <v>46170</v>
      </c>
      <c r="D1979" s="417" t="s">
        <v>678</v>
      </c>
      <c r="E1979">
        <v>1134.92133333333</v>
      </c>
      <c r="F1979">
        <v>20</v>
      </c>
      <c r="G1979">
        <v>56.7460666666667</v>
      </c>
      <c r="H1979">
        <v>12.82945</v>
      </c>
      <c r="I1979">
        <v>87.916665649963207</v>
      </c>
    </row>
    <row r="1980" spans="1:9" x14ac:dyDescent="0.35">
      <c r="A1980" s="417" t="s">
        <v>846</v>
      </c>
      <c r="B1980" s="417" t="s">
        <v>680</v>
      </c>
      <c r="C1980" s="83">
        <v>46170</v>
      </c>
      <c r="D1980" s="417" t="s">
        <v>681</v>
      </c>
      <c r="E1980">
        <v>1380.6095499999999</v>
      </c>
      <c r="F1980">
        <v>58</v>
      </c>
      <c r="G1980">
        <v>23.8036129310345</v>
      </c>
      <c r="H1980">
        <v>3.4998666666666698</v>
      </c>
      <c r="I1980">
        <v>87.2204145443621</v>
      </c>
    </row>
    <row r="1981" spans="1:9" x14ac:dyDescent="0.35">
      <c r="A1981" s="417" t="s">
        <v>846</v>
      </c>
      <c r="B1981" s="417" t="s">
        <v>680</v>
      </c>
      <c r="C1981" s="83">
        <v>46170</v>
      </c>
      <c r="D1981" s="417" t="s">
        <v>682</v>
      </c>
      <c r="E1981">
        <v>1395.9437</v>
      </c>
      <c r="F1981">
        <v>38</v>
      </c>
      <c r="G1981">
        <v>36.735360526315802</v>
      </c>
      <c r="H1981">
        <v>44.0563</v>
      </c>
      <c r="I1981">
        <v>79.613095238095198</v>
      </c>
    </row>
    <row r="1982" spans="1:9" x14ac:dyDescent="0.35">
      <c r="A1982" s="417" t="s">
        <v>846</v>
      </c>
      <c r="B1982" s="417" t="s">
        <v>680</v>
      </c>
      <c r="C1982" s="83">
        <v>46170</v>
      </c>
      <c r="D1982" s="417" t="s">
        <v>690</v>
      </c>
      <c r="E1982">
        <v>1346.1632666666701</v>
      </c>
      <c r="F1982">
        <v>36</v>
      </c>
      <c r="G1982">
        <v>37.393424074074098</v>
      </c>
      <c r="H1982">
        <v>33.530900000000003</v>
      </c>
      <c r="I1982">
        <v>71.5272559401823</v>
      </c>
    </row>
    <row r="1983" spans="1:9" x14ac:dyDescent="0.35">
      <c r="A1983" s="417" t="s">
        <v>846</v>
      </c>
      <c r="B1983" s="417" t="s">
        <v>680</v>
      </c>
      <c r="C1983" s="83">
        <v>46170</v>
      </c>
      <c r="D1983" s="417" t="s">
        <v>689</v>
      </c>
      <c r="E1983">
        <v>1367.52956666667</v>
      </c>
      <c r="F1983">
        <v>23</v>
      </c>
      <c r="G1983">
        <v>59.457807246376802</v>
      </c>
      <c r="H1983">
        <v>1.1674166666666701</v>
      </c>
      <c r="I1983">
        <v>90.492097915197505</v>
      </c>
    </row>
    <row r="1984" spans="1:9" x14ac:dyDescent="0.35">
      <c r="A1984" s="417" t="s">
        <v>846</v>
      </c>
      <c r="B1984" s="417" t="s">
        <v>680</v>
      </c>
      <c r="C1984" s="83">
        <v>46170</v>
      </c>
      <c r="D1984" s="417" t="s">
        <v>684</v>
      </c>
      <c r="E1984">
        <v>1414.66791666667</v>
      </c>
      <c r="F1984">
        <v>22</v>
      </c>
      <c r="G1984">
        <v>64.303087121212101</v>
      </c>
      <c r="H1984">
        <v>7.9954166666666699</v>
      </c>
      <c r="I1984">
        <v>81.070180542972096</v>
      </c>
    </row>
    <row r="1985" spans="1:9" x14ac:dyDescent="0.35">
      <c r="A1985" s="417" t="s">
        <v>846</v>
      </c>
      <c r="B1985" s="417" t="s">
        <v>680</v>
      </c>
      <c r="C1985" s="83">
        <v>46170</v>
      </c>
      <c r="D1985" s="417" t="s">
        <v>683</v>
      </c>
      <c r="E1985">
        <v>1416.38296666667</v>
      </c>
      <c r="F1985">
        <v>20</v>
      </c>
      <c r="G1985">
        <v>70.819148333333303</v>
      </c>
      <c r="H1985">
        <v>0</v>
      </c>
      <c r="I1985">
        <v>71.317801262122799</v>
      </c>
    </row>
    <row r="1986" spans="1:9" x14ac:dyDescent="0.35">
      <c r="A1986" s="417" t="s">
        <v>846</v>
      </c>
      <c r="B1986" s="417" t="s">
        <v>680</v>
      </c>
      <c r="C1986" s="83">
        <v>46170</v>
      </c>
      <c r="D1986" s="417" t="s">
        <v>687</v>
      </c>
      <c r="E1986">
        <v>1385.79093333333</v>
      </c>
      <c r="F1986">
        <v>20</v>
      </c>
      <c r="G1986">
        <v>69.289546666666695</v>
      </c>
      <c r="H1986">
        <v>20.0004666666667</v>
      </c>
      <c r="I1986">
        <v>40.0968857419793</v>
      </c>
    </row>
    <row r="1987" spans="1:9" x14ac:dyDescent="0.35">
      <c r="A1987" s="417" t="s">
        <v>846</v>
      </c>
      <c r="B1987" s="417" t="s">
        <v>680</v>
      </c>
      <c r="C1987" s="83">
        <v>46170</v>
      </c>
      <c r="D1987" s="417" t="s">
        <v>688</v>
      </c>
      <c r="E1987">
        <v>1412.99485</v>
      </c>
      <c r="F1987">
        <v>19</v>
      </c>
      <c r="G1987">
        <v>74.36815</v>
      </c>
      <c r="H1987">
        <v>4.49433333333333</v>
      </c>
      <c r="I1987">
        <v>85.774044035948705</v>
      </c>
    </row>
    <row r="1988" spans="1:9" x14ac:dyDescent="0.35">
      <c r="A1988" s="417" t="s">
        <v>846</v>
      </c>
      <c r="B1988" s="417" t="s">
        <v>680</v>
      </c>
      <c r="C1988" s="83">
        <v>46170</v>
      </c>
      <c r="D1988" s="417" t="s">
        <v>685</v>
      </c>
      <c r="E1988">
        <v>1421.3644833333301</v>
      </c>
      <c r="F1988">
        <v>14</v>
      </c>
      <c r="G1988">
        <v>101.52603452381</v>
      </c>
      <c r="H1988">
        <v>6.8314500000000002</v>
      </c>
      <c r="I1988">
        <v>85.467563050232499</v>
      </c>
    </row>
    <row r="1989" spans="1:9" x14ac:dyDescent="0.35">
      <c r="A1989" s="417" t="s">
        <v>846</v>
      </c>
      <c r="B1989" s="417" t="s">
        <v>680</v>
      </c>
      <c r="C1989" s="83">
        <v>46170</v>
      </c>
      <c r="D1989" s="417" t="s">
        <v>686</v>
      </c>
      <c r="E1989">
        <v>1440</v>
      </c>
      <c r="F1989">
        <v>1</v>
      </c>
      <c r="G1989">
        <v>1440</v>
      </c>
      <c r="H1989">
        <v>0</v>
      </c>
      <c r="I1989">
        <v>31.6418650793651</v>
      </c>
    </row>
    <row r="1990" spans="1:9" x14ac:dyDescent="0.35">
      <c r="A1990" s="417" t="s">
        <v>846</v>
      </c>
      <c r="B1990" s="417" t="s">
        <v>691</v>
      </c>
      <c r="C1990" s="83">
        <v>46170</v>
      </c>
      <c r="D1990" s="417" t="s">
        <v>295</v>
      </c>
      <c r="E1990">
        <v>1277.3951500000001</v>
      </c>
      <c r="F1990">
        <v>177</v>
      </c>
      <c r="G1990">
        <v>7.2169217514124302</v>
      </c>
      <c r="H1990">
        <v>0.82471666666666699</v>
      </c>
      <c r="I1990">
        <v>78.810715116597294</v>
      </c>
    </row>
    <row r="1991" spans="1:9" x14ac:dyDescent="0.35">
      <c r="A1991" s="417" t="s">
        <v>846</v>
      </c>
      <c r="B1991" s="417" t="s">
        <v>691</v>
      </c>
      <c r="C1991" s="83">
        <v>46170</v>
      </c>
      <c r="D1991" s="417" t="s">
        <v>342</v>
      </c>
      <c r="E1991">
        <v>1075.76563333333</v>
      </c>
      <c r="F1991">
        <v>149</v>
      </c>
      <c r="G1991">
        <v>7.2199035794183404</v>
      </c>
      <c r="H1991">
        <v>245.245383333333</v>
      </c>
      <c r="I1991">
        <v>32.718253968253997</v>
      </c>
    </row>
    <row r="1992" spans="1:9" x14ac:dyDescent="0.35">
      <c r="A1992" s="417" t="s">
        <v>846</v>
      </c>
      <c r="B1992" s="417" t="s">
        <v>691</v>
      </c>
      <c r="C1992" s="83">
        <v>46170</v>
      </c>
      <c r="D1992" s="417" t="s">
        <v>309</v>
      </c>
      <c r="E1992">
        <v>1312.47516666667</v>
      </c>
      <c r="F1992">
        <v>117</v>
      </c>
      <c r="G1992">
        <v>11.217736467236501</v>
      </c>
      <c r="H1992">
        <v>0.27565000000000001</v>
      </c>
      <c r="I1992">
        <v>50.9781397217848</v>
      </c>
    </row>
    <row r="1993" spans="1:9" x14ac:dyDescent="0.35">
      <c r="A1993" s="417" t="s">
        <v>846</v>
      </c>
      <c r="B1993" s="417" t="s">
        <v>691</v>
      </c>
      <c r="C1993" s="83">
        <v>46170</v>
      </c>
      <c r="D1993" s="417" t="s">
        <v>299</v>
      </c>
      <c r="E1993">
        <v>1386.81835</v>
      </c>
      <c r="F1993">
        <v>68</v>
      </c>
      <c r="G1993">
        <v>20.394387500000001</v>
      </c>
      <c r="H1993">
        <v>2.4540833333333301</v>
      </c>
      <c r="I1993">
        <v>71.510480783824306</v>
      </c>
    </row>
    <row r="1994" spans="1:9" x14ac:dyDescent="0.35">
      <c r="A1994" s="417" t="s">
        <v>846</v>
      </c>
      <c r="B1994" s="417" t="s">
        <v>691</v>
      </c>
      <c r="C1994" s="83">
        <v>46170</v>
      </c>
      <c r="D1994" s="417" t="s">
        <v>303</v>
      </c>
      <c r="E1994">
        <v>1344.01068333333</v>
      </c>
      <c r="F1994">
        <v>66</v>
      </c>
      <c r="G1994">
        <v>20.363798232323202</v>
      </c>
      <c r="H1994">
        <v>0.42011666666666703</v>
      </c>
      <c r="I1994">
        <v>66.442857522058404</v>
      </c>
    </row>
    <row r="1995" spans="1:9" x14ac:dyDescent="0.35">
      <c r="A1995" s="417" t="s">
        <v>846</v>
      </c>
      <c r="B1995" s="417" t="s">
        <v>691</v>
      </c>
      <c r="C1995" s="83">
        <v>46170</v>
      </c>
      <c r="D1995" s="417" t="s">
        <v>305</v>
      </c>
      <c r="E1995">
        <v>1278.4329166666701</v>
      </c>
      <c r="F1995">
        <v>65</v>
      </c>
      <c r="G1995">
        <v>19.668198717948702</v>
      </c>
      <c r="H1995">
        <v>0.38126666666666698</v>
      </c>
      <c r="I1995">
        <v>35.755007240018102</v>
      </c>
    </row>
    <row r="1996" spans="1:9" x14ac:dyDescent="0.35">
      <c r="A1996" s="417" t="s">
        <v>846</v>
      </c>
      <c r="B1996" s="417" t="s">
        <v>691</v>
      </c>
      <c r="C1996" s="83">
        <v>46170</v>
      </c>
      <c r="D1996" s="417" t="s">
        <v>301</v>
      </c>
      <c r="E1996">
        <v>1370.81958333333</v>
      </c>
      <c r="F1996">
        <v>58</v>
      </c>
      <c r="G1996">
        <v>23.634820402298899</v>
      </c>
      <c r="H1996">
        <v>1.46281666666667</v>
      </c>
      <c r="I1996">
        <v>64.354607120264006</v>
      </c>
    </row>
    <row r="1997" spans="1:9" x14ac:dyDescent="0.35">
      <c r="A1997" s="417" t="s">
        <v>846</v>
      </c>
      <c r="B1997" s="417" t="s">
        <v>691</v>
      </c>
      <c r="C1997" s="83">
        <v>46170</v>
      </c>
      <c r="D1997" s="417" t="s">
        <v>317</v>
      </c>
      <c r="E1997">
        <v>1324.5695166666701</v>
      </c>
      <c r="F1997">
        <v>6</v>
      </c>
      <c r="G1997">
        <v>220.761586111111</v>
      </c>
      <c r="H1997">
        <v>5.6259333333333297</v>
      </c>
      <c r="I1997">
        <v>56.745256274749501</v>
      </c>
    </row>
    <row r="1998" spans="1:9" x14ac:dyDescent="0.35">
      <c r="A1998" s="417" t="s">
        <v>846</v>
      </c>
      <c r="B1998" s="417" t="s">
        <v>691</v>
      </c>
      <c r="C1998" s="83">
        <v>46170</v>
      </c>
      <c r="D1998" s="417" t="s">
        <v>313</v>
      </c>
      <c r="E1998">
        <v>1418.17918333333</v>
      </c>
      <c r="F1998">
        <v>6</v>
      </c>
      <c r="G1998">
        <v>236.363197222222</v>
      </c>
      <c r="H1998">
        <v>0</v>
      </c>
      <c r="I1998">
        <v>69.277817173631703</v>
      </c>
    </row>
    <row r="1999" spans="1:9" x14ac:dyDescent="0.35">
      <c r="A1999" s="417" t="s">
        <v>846</v>
      </c>
      <c r="B1999" s="417" t="s">
        <v>691</v>
      </c>
      <c r="C1999" s="83">
        <v>46170</v>
      </c>
      <c r="D1999" s="417" t="s">
        <v>310</v>
      </c>
      <c r="E1999">
        <v>1343.9510499999999</v>
      </c>
      <c r="F1999">
        <v>5</v>
      </c>
      <c r="G1999">
        <v>268.79021</v>
      </c>
      <c r="H1999">
        <v>2.6512500000000001</v>
      </c>
      <c r="I1999">
        <v>72.381368041384704</v>
      </c>
    </row>
    <row r="2000" spans="1:9" x14ac:dyDescent="0.35">
      <c r="A2000" s="417" t="s">
        <v>846</v>
      </c>
      <c r="B2000" s="417" t="s">
        <v>691</v>
      </c>
      <c r="C2000" s="83">
        <v>46170</v>
      </c>
      <c r="D2000" s="417" t="s">
        <v>314</v>
      </c>
      <c r="E2000">
        <v>1357.3976500000001</v>
      </c>
      <c r="F2000">
        <v>4</v>
      </c>
      <c r="G2000">
        <v>339.34941250000003</v>
      </c>
      <c r="H2000">
        <v>2.6875666666666702</v>
      </c>
      <c r="I2000">
        <v>61.331807995696202</v>
      </c>
    </row>
    <row r="2001" spans="1:9" x14ac:dyDescent="0.35">
      <c r="A2001" s="417" t="s">
        <v>846</v>
      </c>
      <c r="B2001" s="417" t="s">
        <v>691</v>
      </c>
      <c r="C2001" s="83">
        <v>46170</v>
      </c>
      <c r="D2001" s="417" t="s">
        <v>504</v>
      </c>
      <c r="E2001">
        <v>1440</v>
      </c>
      <c r="F2001">
        <v>1</v>
      </c>
      <c r="G2001">
        <v>1440</v>
      </c>
      <c r="H2001">
        <v>0</v>
      </c>
      <c r="I2001">
        <v>38.139197530864202</v>
      </c>
    </row>
    <row r="2002" spans="1:9" x14ac:dyDescent="0.35">
      <c r="A2002" s="417" t="s">
        <v>846</v>
      </c>
      <c r="B2002" s="417" t="s">
        <v>676</v>
      </c>
      <c r="C2002" s="83">
        <v>46169</v>
      </c>
      <c r="D2002" s="417" t="s">
        <v>677</v>
      </c>
      <c r="E2002">
        <v>1333.4667999999999</v>
      </c>
      <c r="F2002">
        <v>150</v>
      </c>
      <c r="G2002">
        <v>8.88977866666667</v>
      </c>
      <c r="H2002">
        <v>89.198499999999996</v>
      </c>
      <c r="I2002">
        <v>17.322777777777802</v>
      </c>
    </row>
    <row r="2003" spans="1:9" x14ac:dyDescent="0.35">
      <c r="A2003" s="417" t="s">
        <v>846</v>
      </c>
      <c r="B2003" s="417" t="s">
        <v>676</v>
      </c>
      <c r="C2003" s="83">
        <v>46169</v>
      </c>
      <c r="D2003" s="417" t="s">
        <v>678</v>
      </c>
      <c r="E2003">
        <v>1311.3115166666701</v>
      </c>
      <c r="F2003">
        <v>35</v>
      </c>
      <c r="G2003">
        <v>37.466043333333303</v>
      </c>
      <c r="H2003">
        <v>29.6874</v>
      </c>
      <c r="I2003">
        <v>97.830656239671896</v>
      </c>
    </row>
    <row r="2004" spans="1:9" x14ac:dyDescent="0.35">
      <c r="A2004" s="417" t="s">
        <v>846</v>
      </c>
      <c r="B2004" s="417" t="s">
        <v>676</v>
      </c>
      <c r="C2004" s="83">
        <v>46169</v>
      </c>
      <c r="D2004" s="417" t="s">
        <v>679</v>
      </c>
      <c r="E2004">
        <v>1383.66005</v>
      </c>
      <c r="F2004">
        <v>35</v>
      </c>
      <c r="G2004">
        <v>39.5331442857143</v>
      </c>
      <c r="H2004">
        <v>16.500033333333299</v>
      </c>
      <c r="I2004">
        <v>94.845821498625099</v>
      </c>
    </row>
    <row r="2005" spans="1:9" x14ac:dyDescent="0.35">
      <c r="A2005" s="417" t="s">
        <v>846</v>
      </c>
      <c r="B2005" s="417" t="s">
        <v>680</v>
      </c>
      <c r="C2005" s="83">
        <v>46169</v>
      </c>
      <c r="D2005" s="417" t="s">
        <v>681</v>
      </c>
      <c r="E2005">
        <v>1393.02011666667</v>
      </c>
      <c r="F2005">
        <v>59</v>
      </c>
      <c r="G2005">
        <v>23.610510451977401</v>
      </c>
      <c r="H2005">
        <v>0.50008333333333299</v>
      </c>
      <c r="I2005">
        <v>82.327648142243405</v>
      </c>
    </row>
    <row r="2006" spans="1:9" x14ac:dyDescent="0.35">
      <c r="A2006" s="417" t="s">
        <v>846</v>
      </c>
      <c r="B2006" s="417" t="s">
        <v>680</v>
      </c>
      <c r="C2006" s="83">
        <v>46169</v>
      </c>
      <c r="D2006" s="417" t="s">
        <v>683</v>
      </c>
      <c r="E2006">
        <v>1410.31668333333</v>
      </c>
      <c r="F2006">
        <v>29</v>
      </c>
      <c r="G2006">
        <v>48.631609770114999</v>
      </c>
      <c r="H2006">
        <v>2.01711666666667</v>
      </c>
      <c r="I2006">
        <v>69.7143975291483</v>
      </c>
    </row>
    <row r="2007" spans="1:9" x14ac:dyDescent="0.35">
      <c r="A2007" s="417" t="s">
        <v>846</v>
      </c>
      <c r="B2007" s="417" t="s">
        <v>680</v>
      </c>
      <c r="C2007" s="83">
        <v>46169</v>
      </c>
      <c r="D2007" s="417" t="s">
        <v>684</v>
      </c>
      <c r="E2007">
        <v>1421.68558333333</v>
      </c>
      <c r="F2007">
        <v>27</v>
      </c>
      <c r="G2007">
        <v>52.655021604938298</v>
      </c>
      <c r="H2007">
        <v>10.3191166666667</v>
      </c>
      <c r="I2007">
        <v>76.369031031712296</v>
      </c>
    </row>
    <row r="2008" spans="1:9" x14ac:dyDescent="0.35">
      <c r="A2008" s="417" t="s">
        <v>846</v>
      </c>
      <c r="B2008" s="417" t="s">
        <v>680</v>
      </c>
      <c r="C2008" s="83">
        <v>46169</v>
      </c>
      <c r="D2008" s="417" t="s">
        <v>689</v>
      </c>
      <c r="E2008">
        <v>1415.8244999999999</v>
      </c>
      <c r="F2008">
        <v>26</v>
      </c>
      <c r="G2008">
        <v>54.454788461538499</v>
      </c>
      <c r="H2008">
        <v>0</v>
      </c>
      <c r="I2008">
        <v>83.963010995536706</v>
      </c>
    </row>
    <row r="2009" spans="1:9" x14ac:dyDescent="0.35">
      <c r="A2009" s="417" t="s">
        <v>846</v>
      </c>
      <c r="B2009" s="417" t="s">
        <v>680</v>
      </c>
      <c r="C2009" s="83">
        <v>46169</v>
      </c>
      <c r="D2009" s="417" t="s">
        <v>690</v>
      </c>
      <c r="E2009">
        <v>1384.65501666667</v>
      </c>
      <c r="F2009">
        <v>23</v>
      </c>
      <c r="G2009">
        <v>60.2023920289855</v>
      </c>
      <c r="H2009">
        <v>15.669416666666701</v>
      </c>
      <c r="I2009">
        <v>69.289179448121601</v>
      </c>
    </row>
    <row r="2010" spans="1:9" x14ac:dyDescent="0.35">
      <c r="A2010" s="417" t="s">
        <v>846</v>
      </c>
      <c r="B2010" s="417" t="s">
        <v>680</v>
      </c>
      <c r="C2010" s="83">
        <v>46169</v>
      </c>
      <c r="D2010" s="417" t="s">
        <v>682</v>
      </c>
      <c r="E2010">
        <v>1426.98495</v>
      </c>
      <c r="F2010">
        <v>18</v>
      </c>
      <c r="G2010">
        <v>79.276941666666701</v>
      </c>
      <c r="H2010">
        <v>13.01505</v>
      </c>
      <c r="I2010">
        <v>74.608134920634896</v>
      </c>
    </row>
    <row r="2011" spans="1:9" x14ac:dyDescent="0.35">
      <c r="A2011" s="417" t="s">
        <v>846</v>
      </c>
      <c r="B2011" s="417" t="s">
        <v>680</v>
      </c>
      <c r="C2011" s="83">
        <v>46169</v>
      </c>
      <c r="D2011" s="417" t="s">
        <v>685</v>
      </c>
      <c r="E2011">
        <v>1381.5500833333299</v>
      </c>
      <c r="F2011">
        <v>17</v>
      </c>
      <c r="G2011">
        <v>81.267651960784306</v>
      </c>
      <c r="H2011">
        <v>9.1463833333333309</v>
      </c>
      <c r="I2011">
        <v>83.177992204092604</v>
      </c>
    </row>
    <row r="2012" spans="1:9" x14ac:dyDescent="0.35">
      <c r="A2012" s="417" t="s">
        <v>846</v>
      </c>
      <c r="B2012" s="417" t="s">
        <v>680</v>
      </c>
      <c r="C2012" s="83">
        <v>46169</v>
      </c>
      <c r="D2012" s="417" t="s">
        <v>688</v>
      </c>
      <c r="E2012">
        <v>1417.04215</v>
      </c>
      <c r="F2012">
        <v>11</v>
      </c>
      <c r="G2012">
        <v>128.82201363636401</v>
      </c>
      <c r="H2012">
        <v>6.8262999999999998</v>
      </c>
      <c r="I2012">
        <v>81.625357270408301</v>
      </c>
    </row>
    <row r="2013" spans="1:9" x14ac:dyDescent="0.35">
      <c r="A2013" s="417" t="s">
        <v>846</v>
      </c>
      <c r="B2013" s="417" t="s">
        <v>680</v>
      </c>
      <c r="C2013" s="83">
        <v>46169</v>
      </c>
      <c r="D2013" s="417" t="s">
        <v>687</v>
      </c>
      <c r="E2013">
        <v>1416.15073333333</v>
      </c>
      <c r="F2013">
        <v>11</v>
      </c>
      <c r="G2013">
        <v>128.740975757576</v>
      </c>
      <c r="H2013">
        <v>18.174800000000001</v>
      </c>
      <c r="I2013">
        <v>39.106465591564302</v>
      </c>
    </row>
    <row r="2014" spans="1:9" x14ac:dyDescent="0.35">
      <c r="A2014" s="417" t="s">
        <v>846</v>
      </c>
      <c r="B2014" s="417" t="s">
        <v>680</v>
      </c>
      <c r="C2014" s="83">
        <v>46169</v>
      </c>
      <c r="D2014" s="417" t="s">
        <v>686</v>
      </c>
      <c r="E2014">
        <v>1440</v>
      </c>
      <c r="F2014">
        <v>1</v>
      </c>
      <c r="G2014">
        <v>1440</v>
      </c>
      <c r="H2014">
        <v>0</v>
      </c>
      <c r="I2014">
        <v>36.259920634920597</v>
      </c>
    </row>
    <row r="2015" spans="1:9" x14ac:dyDescent="0.35">
      <c r="A2015" s="417" t="s">
        <v>846</v>
      </c>
      <c r="B2015" s="417" t="s">
        <v>691</v>
      </c>
      <c r="C2015" s="83">
        <v>46169</v>
      </c>
      <c r="D2015" s="417" t="s">
        <v>295</v>
      </c>
      <c r="E2015">
        <v>1327.9076833333299</v>
      </c>
      <c r="F2015">
        <v>143</v>
      </c>
      <c r="G2015">
        <v>9.2860677156177207</v>
      </c>
      <c r="H2015">
        <v>0.98724999999999996</v>
      </c>
      <c r="I2015">
        <v>73.3977085596309</v>
      </c>
    </row>
    <row r="2016" spans="1:9" x14ac:dyDescent="0.35">
      <c r="A2016" s="417" t="s">
        <v>846</v>
      </c>
      <c r="B2016" s="417" t="s">
        <v>691</v>
      </c>
      <c r="C2016" s="83">
        <v>46169</v>
      </c>
      <c r="D2016" s="417" t="s">
        <v>305</v>
      </c>
      <c r="E2016">
        <v>1113.2090166666701</v>
      </c>
      <c r="F2016">
        <v>113</v>
      </c>
      <c r="G2016">
        <v>9.8514072271386404</v>
      </c>
      <c r="H2016">
        <v>9.0849666666666593</v>
      </c>
      <c r="I2016">
        <v>41.871409228574599</v>
      </c>
    </row>
    <row r="2017" spans="1:9" x14ac:dyDescent="0.35">
      <c r="A2017" s="417" t="s">
        <v>846</v>
      </c>
      <c r="B2017" s="417" t="s">
        <v>691</v>
      </c>
      <c r="C2017" s="83">
        <v>46169</v>
      </c>
      <c r="D2017" s="417" t="s">
        <v>301</v>
      </c>
      <c r="E2017">
        <v>1376.3250166666701</v>
      </c>
      <c r="F2017">
        <v>101</v>
      </c>
      <c r="G2017">
        <v>13.626980363036299</v>
      </c>
      <c r="H2017">
        <v>5.4373166666666704</v>
      </c>
      <c r="I2017">
        <v>64.372439502310201</v>
      </c>
    </row>
    <row r="2018" spans="1:9" x14ac:dyDescent="0.35">
      <c r="A2018" s="417" t="s">
        <v>846</v>
      </c>
      <c r="B2018" s="417" t="s">
        <v>691</v>
      </c>
      <c r="C2018" s="83">
        <v>46169</v>
      </c>
      <c r="D2018" s="417" t="s">
        <v>342</v>
      </c>
      <c r="E2018">
        <v>1175.03733333333</v>
      </c>
      <c r="F2018">
        <v>99</v>
      </c>
      <c r="G2018">
        <v>11.869063973064</v>
      </c>
      <c r="H2018">
        <v>211.85351666666699</v>
      </c>
      <c r="I2018">
        <v>43.545637950204302</v>
      </c>
    </row>
    <row r="2019" spans="1:9" x14ac:dyDescent="0.35">
      <c r="A2019" s="417" t="s">
        <v>846</v>
      </c>
      <c r="B2019" s="417" t="s">
        <v>691</v>
      </c>
      <c r="C2019" s="83">
        <v>46169</v>
      </c>
      <c r="D2019" s="417" t="s">
        <v>299</v>
      </c>
      <c r="E2019">
        <v>1359.6479666666701</v>
      </c>
      <c r="F2019">
        <v>96</v>
      </c>
      <c r="G2019">
        <v>14.162999652777801</v>
      </c>
      <c r="H2019">
        <v>0.19418333333333301</v>
      </c>
      <c r="I2019">
        <v>83.343102733764894</v>
      </c>
    </row>
    <row r="2020" spans="1:9" x14ac:dyDescent="0.35">
      <c r="A2020" s="417" t="s">
        <v>846</v>
      </c>
      <c r="B2020" s="417" t="s">
        <v>691</v>
      </c>
      <c r="C2020" s="83">
        <v>46169</v>
      </c>
      <c r="D2020" s="417" t="s">
        <v>309</v>
      </c>
      <c r="E2020">
        <v>1329.96943333333</v>
      </c>
      <c r="F2020">
        <v>72</v>
      </c>
      <c r="G2020">
        <v>18.471797685185201</v>
      </c>
      <c r="H2020">
        <v>0</v>
      </c>
      <c r="I2020">
        <v>56.771495353669202</v>
      </c>
    </row>
    <row r="2021" spans="1:9" x14ac:dyDescent="0.35">
      <c r="A2021" s="417" t="s">
        <v>846</v>
      </c>
      <c r="B2021" s="417" t="s">
        <v>691</v>
      </c>
      <c r="C2021" s="83">
        <v>46169</v>
      </c>
      <c r="D2021" s="417" t="s">
        <v>303</v>
      </c>
      <c r="E2021">
        <v>1367.4655</v>
      </c>
      <c r="F2021">
        <v>67</v>
      </c>
      <c r="G2021">
        <v>20.4099328358209</v>
      </c>
      <c r="H2021">
        <v>0.37135000000000001</v>
      </c>
      <c r="I2021">
        <v>55.9638190056246</v>
      </c>
    </row>
    <row r="2022" spans="1:9" x14ac:dyDescent="0.35">
      <c r="A2022" s="417" t="s">
        <v>846</v>
      </c>
      <c r="B2022" s="417" t="s">
        <v>691</v>
      </c>
      <c r="C2022" s="83">
        <v>46169</v>
      </c>
      <c r="D2022" s="417" t="s">
        <v>314</v>
      </c>
      <c r="E2022">
        <v>1414.6371999999999</v>
      </c>
      <c r="F2022">
        <v>13</v>
      </c>
      <c r="G2022">
        <v>108.818246153846</v>
      </c>
      <c r="H2022">
        <v>0.29554999999999998</v>
      </c>
      <c r="I2022">
        <v>61.122489742844898</v>
      </c>
    </row>
    <row r="2023" spans="1:9" x14ac:dyDescent="0.35">
      <c r="A2023" s="417" t="s">
        <v>846</v>
      </c>
      <c r="B2023" s="417" t="s">
        <v>691</v>
      </c>
      <c r="C2023" s="83">
        <v>46169</v>
      </c>
      <c r="D2023" s="417" t="s">
        <v>310</v>
      </c>
      <c r="E2023">
        <v>1323.5326</v>
      </c>
      <c r="F2023">
        <v>10</v>
      </c>
      <c r="G2023">
        <v>132.35326000000001</v>
      </c>
      <c r="H2023">
        <v>0</v>
      </c>
      <c r="I2023">
        <v>70.122400642832801</v>
      </c>
    </row>
    <row r="2024" spans="1:9" x14ac:dyDescent="0.35">
      <c r="A2024" s="417" t="s">
        <v>846</v>
      </c>
      <c r="B2024" s="417" t="s">
        <v>691</v>
      </c>
      <c r="C2024" s="83">
        <v>46169</v>
      </c>
      <c r="D2024" s="417" t="s">
        <v>313</v>
      </c>
      <c r="E2024">
        <v>1218.6741</v>
      </c>
      <c r="F2024">
        <v>9</v>
      </c>
      <c r="G2024">
        <v>135.40823333333299</v>
      </c>
      <c r="H2024">
        <v>0</v>
      </c>
      <c r="I2024">
        <v>67.984789440670099</v>
      </c>
    </row>
    <row r="2025" spans="1:9" x14ac:dyDescent="0.35">
      <c r="A2025" s="417" t="s">
        <v>846</v>
      </c>
      <c r="B2025" s="417" t="s">
        <v>691</v>
      </c>
      <c r="C2025" s="83">
        <v>46169</v>
      </c>
      <c r="D2025" s="417" t="s">
        <v>317</v>
      </c>
      <c r="E2025">
        <v>1430.2346333333301</v>
      </c>
      <c r="F2025">
        <v>3</v>
      </c>
      <c r="G2025">
        <v>476.74487777777802</v>
      </c>
      <c r="H2025">
        <v>0.83613333333333295</v>
      </c>
      <c r="I2025">
        <v>49.117067888769398</v>
      </c>
    </row>
    <row r="2026" spans="1:9" x14ac:dyDescent="0.35">
      <c r="A2026" s="417" t="s">
        <v>846</v>
      </c>
      <c r="B2026" s="417" t="s">
        <v>691</v>
      </c>
      <c r="C2026" s="83">
        <v>46169</v>
      </c>
      <c r="D2026" s="417" t="s">
        <v>504</v>
      </c>
      <c r="E2026">
        <v>1440</v>
      </c>
      <c r="F2026">
        <v>1</v>
      </c>
      <c r="G2026">
        <v>1440</v>
      </c>
      <c r="H2026">
        <v>0</v>
      </c>
      <c r="I2026">
        <v>37.081481481481497</v>
      </c>
    </row>
    <row r="2027" spans="1:9" x14ac:dyDescent="0.35">
      <c r="A2027" s="417" t="s">
        <v>846</v>
      </c>
      <c r="B2027" s="417" t="s">
        <v>676</v>
      </c>
      <c r="C2027" s="83">
        <v>46168</v>
      </c>
      <c r="D2027" s="417" t="s">
        <v>677</v>
      </c>
      <c r="E2027">
        <v>1118.5432000000001</v>
      </c>
      <c r="F2027">
        <v>339</v>
      </c>
      <c r="G2027">
        <v>3.2995374631268501</v>
      </c>
      <c r="H2027">
        <v>169.11054999999999</v>
      </c>
      <c r="I2027">
        <v>26.823333333333299</v>
      </c>
    </row>
    <row r="2028" spans="1:9" x14ac:dyDescent="0.35">
      <c r="A2028" s="417" t="s">
        <v>846</v>
      </c>
      <c r="B2028" s="417" t="s">
        <v>676</v>
      </c>
      <c r="C2028" s="83">
        <v>46168</v>
      </c>
      <c r="D2028" s="417" t="s">
        <v>679</v>
      </c>
      <c r="E2028">
        <v>1138.8068166666701</v>
      </c>
      <c r="F2028">
        <v>49</v>
      </c>
      <c r="G2028">
        <v>23.240955442176901</v>
      </c>
      <c r="H2028">
        <v>41.003266666666697</v>
      </c>
      <c r="I2028">
        <v>69.886514270456502</v>
      </c>
    </row>
    <row r="2029" spans="1:9" x14ac:dyDescent="0.35">
      <c r="A2029" s="417" t="s">
        <v>846</v>
      </c>
      <c r="B2029" s="417" t="s">
        <v>676</v>
      </c>
      <c r="C2029" s="83">
        <v>46168</v>
      </c>
      <c r="D2029" s="417" t="s">
        <v>678</v>
      </c>
      <c r="E2029">
        <v>1189.96595</v>
      </c>
      <c r="F2029">
        <v>42</v>
      </c>
      <c r="G2029">
        <v>28.332522619047602</v>
      </c>
      <c r="H2029">
        <v>56.187750000000001</v>
      </c>
      <c r="I2029">
        <v>58.305730834094398</v>
      </c>
    </row>
    <row r="2030" spans="1:9" x14ac:dyDescent="0.35">
      <c r="A2030" s="417" t="s">
        <v>846</v>
      </c>
      <c r="B2030" s="417" t="s">
        <v>680</v>
      </c>
      <c r="C2030" s="83">
        <v>46168</v>
      </c>
      <c r="D2030" s="417" t="s">
        <v>681</v>
      </c>
      <c r="E2030">
        <v>1366.65041666667</v>
      </c>
      <c r="F2030">
        <v>110</v>
      </c>
      <c r="G2030">
        <v>12.4240946969697</v>
      </c>
      <c r="H2030">
        <v>5.1576833333333303</v>
      </c>
      <c r="I2030">
        <v>74.080513322893495</v>
      </c>
    </row>
    <row r="2031" spans="1:9" x14ac:dyDescent="0.35">
      <c r="A2031" s="417" t="s">
        <v>846</v>
      </c>
      <c r="B2031" s="417" t="s">
        <v>680</v>
      </c>
      <c r="C2031" s="83">
        <v>46168</v>
      </c>
      <c r="D2031" s="417" t="s">
        <v>688</v>
      </c>
      <c r="E2031">
        <v>1404.4336166666701</v>
      </c>
      <c r="F2031">
        <v>56</v>
      </c>
      <c r="G2031">
        <v>25.079171726190499</v>
      </c>
      <c r="H2031">
        <v>15.676766666666699</v>
      </c>
      <c r="I2031">
        <v>72.692952161829794</v>
      </c>
    </row>
    <row r="2032" spans="1:9" x14ac:dyDescent="0.35">
      <c r="A2032" s="417" t="s">
        <v>846</v>
      </c>
      <c r="B2032" s="417" t="s">
        <v>680</v>
      </c>
      <c r="C2032" s="83">
        <v>46168</v>
      </c>
      <c r="D2032" s="417" t="s">
        <v>689</v>
      </c>
      <c r="E2032">
        <v>1400.6903</v>
      </c>
      <c r="F2032">
        <v>52</v>
      </c>
      <c r="G2032">
        <v>26.936351923076899</v>
      </c>
      <c r="H2032">
        <v>0.6603</v>
      </c>
      <c r="I2032">
        <v>73.904997405724799</v>
      </c>
    </row>
    <row r="2033" spans="1:9" x14ac:dyDescent="0.35">
      <c r="A2033" s="417" t="s">
        <v>846</v>
      </c>
      <c r="B2033" s="417" t="s">
        <v>680</v>
      </c>
      <c r="C2033" s="83">
        <v>46168</v>
      </c>
      <c r="D2033" s="417" t="s">
        <v>682</v>
      </c>
      <c r="E2033">
        <v>1402.0165999999999</v>
      </c>
      <c r="F2033">
        <v>40</v>
      </c>
      <c r="G2033">
        <v>35.050415000000001</v>
      </c>
      <c r="H2033">
        <v>37.983400000000003</v>
      </c>
      <c r="I2033">
        <v>68.978174603174594</v>
      </c>
    </row>
    <row r="2034" spans="1:9" x14ac:dyDescent="0.35">
      <c r="A2034" s="417" t="s">
        <v>846</v>
      </c>
      <c r="B2034" s="417" t="s">
        <v>680</v>
      </c>
      <c r="C2034" s="83">
        <v>46168</v>
      </c>
      <c r="D2034" s="417" t="s">
        <v>683</v>
      </c>
      <c r="E2034">
        <v>1395.9843166666701</v>
      </c>
      <c r="F2034">
        <v>38</v>
      </c>
      <c r="G2034">
        <v>36.736429385964897</v>
      </c>
      <c r="H2034">
        <v>2.1754500000000001</v>
      </c>
      <c r="I2034">
        <v>68.610065278296005</v>
      </c>
    </row>
    <row r="2035" spans="1:9" x14ac:dyDescent="0.35">
      <c r="A2035" s="417" t="s">
        <v>846</v>
      </c>
      <c r="B2035" s="417" t="s">
        <v>680</v>
      </c>
      <c r="C2035" s="83">
        <v>46168</v>
      </c>
      <c r="D2035" s="417" t="s">
        <v>690</v>
      </c>
      <c r="E2035">
        <v>1398.53293333333</v>
      </c>
      <c r="F2035">
        <v>38</v>
      </c>
      <c r="G2035">
        <v>36.803498245614001</v>
      </c>
      <c r="H2035">
        <v>16.186233333333298</v>
      </c>
      <c r="I2035">
        <v>66.729909966120402</v>
      </c>
    </row>
    <row r="2036" spans="1:9" x14ac:dyDescent="0.35">
      <c r="A2036" s="417" t="s">
        <v>846</v>
      </c>
      <c r="B2036" s="417" t="s">
        <v>680</v>
      </c>
      <c r="C2036" s="83">
        <v>46168</v>
      </c>
      <c r="D2036" s="417" t="s">
        <v>684</v>
      </c>
      <c r="E2036">
        <v>1418.82913333333</v>
      </c>
      <c r="F2036">
        <v>27</v>
      </c>
      <c r="G2036">
        <v>52.5492271604938</v>
      </c>
      <c r="H2036">
        <v>13.6635666666667</v>
      </c>
      <c r="I2036">
        <v>71.556263919774594</v>
      </c>
    </row>
    <row r="2037" spans="1:9" x14ac:dyDescent="0.35">
      <c r="A2037" s="417" t="s">
        <v>846</v>
      </c>
      <c r="B2037" s="417" t="s">
        <v>680</v>
      </c>
      <c r="C2037" s="83">
        <v>46168</v>
      </c>
      <c r="D2037" s="417" t="s">
        <v>687</v>
      </c>
      <c r="E2037">
        <v>1412.63781666667</v>
      </c>
      <c r="F2037">
        <v>15</v>
      </c>
      <c r="G2037">
        <v>94.175854444444397</v>
      </c>
      <c r="H2037">
        <v>19.0138</v>
      </c>
      <c r="I2037">
        <v>39.9311254581363</v>
      </c>
    </row>
    <row r="2038" spans="1:9" x14ac:dyDescent="0.35">
      <c r="A2038" s="417" t="s">
        <v>846</v>
      </c>
      <c r="B2038" s="417" t="s">
        <v>680</v>
      </c>
      <c r="C2038" s="83">
        <v>46168</v>
      </c>
      <c r="D2038" s="417" t="s">
        <v>685</v>
      </c>
      <c r="E2038">
        <v>1416.84373333333</v>
      </c>
      <c r="F2038">
        <v>11</v>
      </c>
      <c r="G2038">
        <v>128.80397575757601</v>
      </c>
      <c r="H2038">
        <v>4.6626500000000002</v>
      </c>
      <c r="I2038">
        <v>66.740026819592202</v>
      </c>
    </row>
    <row r="2039" spans="1:9" x14ac:dyDescent="0.35">
      <c r="A2039" s="417" t="s">
        <v>846</v>
      </c>
      <c r="B2039" s="417" t="s">
        <v>680</v>
      </c>
      <c r="C2039" s="83">
        <v>46168</v>
      </c>
      <c r="D2039" s="417" t="s">
        <v>686</v>
      </c>
      <c r="E2039">
        <v>1440</v>
      </c>
      <c r="F2039">
        <v>1</v>
      </c>
      <c r="G2039">
        <v>1440</v>
      </c>
      <c r="H2039">
        <v>0</v>
      </c>
      <c r="I2039">
        <v>32.475198412698397</v>
      </c>
    </row>
    <row r="2040" spans="1:9" x14ac:dyDescent="0.35">
      <c r="A2040" s="417" t="s">
        <v>846</v>
      </c>
      <c r="B2040" s="417" t="s">
        <v>691</v>
      </c>
      <c r="C2040" s="83">
        <v>46168</v>
      </c>
      <c r="D2040" s="417" t="s">
        <v>305</v>
      </c>
      <c r="E2040">
        <v>1311.26381666667</v>
      </c>
      <c r="F2040">
        <v>162</v>
      </c>
      <c r="G2040">
        <v>8.0942210905349796</v>
      </c>
      <c r="H2040">
        <v>4.3440166666666702</v>
      </c>
      <c r="I2040">
        <v>56.867093898163198</v>
      </c>
    </row>
    <row r="2041" spans="1:9" x14ac:dyDescent="0.35">
      <c r="A2041" s="417" t="s">
        <v>846</v>
      </c>
      <c r="B2041" s="417" t="s">
        <v>691</v>
      </c>
      <c r="C2041" s="83">
        <v>46168</v>
      </c>
      <c r="D2041" s="417" t="s">
        <v>299</v>
      </c>
      <c r="E2041">
        <v>1333.65006666667</v>
      </c>
      <c r="F2041">
        <v>152</v>
      </c>
      <c r="G2041">
        <v>8.7740135964912298</v>
      </c>
      <c r="H2041">
        <v>0.78061666666666696</v>
      </c>
      <c r="I2041">
        <v>82.073347661448096</v>
      </c>
    </row>
    <row r="2042" spans="1:9" x14ac:dyDescent="0.35">
      <c r="A2042" s="417" t="s">
        <v>846</v>
      </c>
      <c r="B2042" s="417" t="s">
        <v>691</v>
      </c>
      <c r="C2042" s="83">
        <v>46168</v>
      </c>
      <c r="D2042" s="417" t="s">
        <v>295</v>
      </c>
      <c r="E2042">
        <v>1363.9491333333301</v>
      </c>
      <c r="F2042">
        <v>118</v>
      </c>
      <c r="G2042">
        <v>11.558890960452</v>
      </c>
      <c r="H2042">
        <v>3.2257333333333298</v>
      </c>
      <c r="I2042">
        <v>80.455697027888505</v>
      </c>
    </row>
    <row r="2043" spans="1:9" x14ac:dyDescent="0.35">
      <c r="A2043" s="417" t="s">
        <v>846</v>
      </c>
      <c r="B2043" s="417" t="s">
        <v>691</v>
      </c>
      <c r="C2043" s="83">
        <v>46168</v>
      </c>
      <c r="D2043" s="417" t="s">
        <v>309</v>
      </c>
      <c r="E2043">
        <v>1351.6878833333301</v>
      </c>
      <c r="F2043">
        <v>88</v>
      </c>
      <c r="G2043">
        <v>15.3600895833333</v>
      </c>
      <c r="H2043">
        <v>0</v>
      </c>
      <c r="I2043">
        <v>53.820324841620902</v>
      </c>
    </row>
    <row r="2044" spans="1:9" x14ac:dyDescent="0.35">
      <c r="A2044" s="417" t="s">
        <v>846</v>
      </c>
      <c r="B2044" s="417" t="s">
        <v>691</v>
      </c>
      <c r="C2044" s="83">
        <v>46168</v>
      </c>
      <c r="D2044" s="417" t="s">
        <v>342</v>
      </c>
      <c r="E2044">
        <v>1190.6775500000001</v>
      </c>
      <c r="F2044">
        <v>87</v>
      </c>
      <c r="G2044">
        <v>13.6859488505747</v>
      </c>
      <c r="H2044">
        <v>200.96615</v>
      </c>
      <c r="I2044">
        <v>55.343528812410099</v>
      </c>
    </row>
    <row r="2045" spans="1:9" x14ac:dyDescent="0.35">
      <c r="A2045" s="417" t="s">
        <v>846</v>
      </c>
      <c r="B2045" s="417" t="s">
        <v>691</v>
      </c>
      <c r="C2045" s="83">
        <v>46168</v>
      </c>
      <c r="D2045" s="417" t="s">
        <v>301</v>
      </c>
      <c r="E2045">
        <v>1337.69213333333</v>
      </c>
      <c r="F2045">
        <v>81</v>
      </c>
      <c r="G2045">
        <v>16.514717695473198</v>
      </c>
      <c r="H2045">
        <v>0.42888333333333301</v>
      </c>
      <c r="I2045">
        <v>62.695498663284397</v>
      </c>
    </row>
    <row r="2046" spans="1:9" x14ac:dyDescent="0.35">
      <c r="A2046" s="417" t="s">
        <v>846</v>
      </c>
      <c r="B2046" s="417" t="s">
        <v>691</v>
      </c>
      <c r="C2046" s="83">
        <v>46168</v>
      </c>
      <c r="D2046" s="417" t="s">
        <v>303</v>
      </c>
      <c r="E2046">
        <v>1393.03643333333</v>
      </c>
      <c r="F2046">
        <v>48</v>
      </c>
      <c r="G2046">
        <v>29.0215923611111</v>
      </c>
      <c r="H2046">
        <v>0.23749999999999999</v>
      </c>
      <c r="I2046">
        <v>51.625895838798797</v>
      </c>
    </row>
    <row r="2047" spans="1:9" x14ac:dyDescent="0.35">
      <c r="A2047" s="417" t="s">
        <v>846</v>
      </c>
      <c r="B2047" s="417" t="s">
        <v>691</v>
      </c>
      <c r="C2047" s="83">
        <v>46168</v>
      </c>
      <c r="D2047" s="417" t="s">
        <v>310</v>
      </c>
      <c r="E2047">
        <v>1394.4631999999999</v>
      </c>
      <c r="F2047">
        <v>11</v>
      </c>
      <c r="G2047">
        <v>126.769381818182</v>
      </c>
      <c r="H2047">
        <v>1.3812500000000001</v>
      </c>
      <c r="I2047">
        <v>79.195561794073896</v>
      </c>
    </row>
    <row r="2048" spans="1:9" x14ac:dyDescent="0.35">
      <c r="A2048" s="417" t="s">
        <v>846</v>
      </c>
      <c r="B2048" s="417" t="s">
        <v>691</v>
      </c>
      <c r="C2048" s="83">
        <v>46168</v>
      </c>
      <c r="D2048" s="417" t="s">
        <v>313</v>
      </c>
      <c r="E2048">
        <v>1419.76301666667</v>
      </c>
      <c r="F2048">
        <v>5</v>
      </c>
      <c r="G2048">
        <v>283.952603333333</v>
      </c>
      <c r="H2048">
        <v>0</v>
      </c>
      <c r="I2048">
        <v>76.780809462102894</v>
      </c>
    </row>
    <row r="2049" spans="1:9" x14ac:dyDescent="0.35">
      <c r="A2049" s="417" t="s">
        <v>846</v>
      </c>
      <c r="B2049" s="417" t="s">
        <v>691</v>
      </c>
      <c r="C2049" s="83">
        <v>46168</v>
      </c>
      <c r="D2049" s="417" t="s">
        <v>314</v>
      </c>
      <c r="E2049">
        <v>1428.7595166666699</v>
      </c>
      <c r="F2049">
        <v>5</v>
      </c>
      <c r="G2049">
        <v>285.75190333333302</v>
      </c>
      <c r="H2049">
        <v>6.6916666666666694E-2</v>
      </c>
      <c r="I2049">
        <v>58.1371773569862</v>
      </c>
    </row>
    <row r="2050" spans="1:9" x14ac:dyDescent="0.35">
      <c r="A2050" s="417" t="s">
        <v>846</v>
      </c>
      <c r="B2050" s="417" t="s">
        <v>691</v>
      </c>
      <c r="C2050" s="83">
        <v>46168</v>
      </c>
      <c r="D2050" s="417" t="s">
        <v>317</v>
      </c>
      <c r="E2050">
        <v>1322.8275000000001</v>
      </c>
      <c r="F2050">
        <v>3</v>
      </c>
      <c r="G2050">
        <v>440.9425</v>
      </c>
      <c r="H2050">
        <v>0.37204999999999999</v>
      </c>
      <c r="I2050">
        <v>38.081935562931498</v>
      </c>
    </row>
    <row r="2051" spans="1:9" x14ac:dyDescent="0.35">
      <c r="A2051" s="417" t="s">
        <v>846</v>
      </c>
      <c r="B2051" s="417" t="s">
        <v>691</v>
      </c>
      <c r="C2051" s="83">
        <v>46168</v>
      </c>
      <c r="D2051" s="417" t="s">
        <v>504</v>
      </c>
      <c r="E2051">
        <v>1440</v>
      </c>
      <c r="F2051">
        <v>1</v>
      </c>
      <c r="G2051">
        <v>1440</v>
      </c>
      <c r="H2051">
        <v>0</v>
      </c>
      <c r="I2051">
        <v>19.036111111111101</v>
      </c>
    </row>
    <row r="2052" spans="1:9" x14ac:dyDescent="0.35">
      <c r="A2052" s="417" t="s">
        <v>846</v>
      </c>
      <c r="B2052" s="417" t="s">
        <v>676</v>
      </c>
      <c r="C2052" s="83">
        <v>46167</v>
      </c>
      <c r="D2052" s="417" t="s">
        <v>677</v>
      </c>
      <c r="E2052">
        <v>1155.06185</v>
      </c>
      <c r="F2052">
        <v>179</v>
      </c>
      <c r="G2052">
        <v>6.4528594972066999</v>
      </c>
      <c r="H2052">
        <v>142.757383333333</v>
      </c>
      <c r="I2052">
        <v>21.334722222222201</v>
      </c>
    </row>
    <row r="2053" spans="1:9" x14ac:dyDescent="0.35">
      <c r="A2053" s="417" t="s">
        <v>846</v>
      </c>
      <c r="B2053" s="417" t="s">
        <v>676</v>
      </c>
      <c r="C2053" s="83">
        <v>46167</v>
      </c>
      <c r="D2053" s="417" t="s">
        <v>678</v>
      </c>
      <c r="E2053">
        <v>1174.9655</v>
      </c>
      <c r="F2053">
        <v>50</v>
      </c>
      <c r="G2053">
        <v>23.499310000000001</v>
      </c>
      <c r="H2053">
        <v>79.490233333333407</v>
      </c>
      <c r="I2053">
        <v>82.912104002691507</v>
      </c>
    </row>
    <row r="2054" spans="1:9" x14ac:dyDescent="0.35">
      <c r="A2054" s="417" t="s">
        <v>846</v>
      </c>
      <c r="B2054" s="417" t="s">
        <v>676</v>
      </c>
      <c r="C2054" s="83">
        <v>46167</v>
      </c>
      <c r="D2054" s="417" t="s">
        <v>679</v>
      </c>
      <c r="E2054">
        <v>1279.68538333333</v>
      </c>
      <c r="F2054">
        <v>26</v>
      </c>
      <c r="G2054">
        <v>49.218668589743601</v>
      </c>
      <c r="H2054">
        <v>34.483266666666701</v>
      </c>
      <c r="I2054">
        <v>83.723239238299996</v>
      </c>
    </row>
    <row r="2055" spans="1:9" x14ac:dyDescent="0.35">
      <c r="A2055" s="417" t="s">
        <v>846</v>
      </c>
      <c r="B2055" s="417" t="s">
        <v>680</v>
      </c>
      <c r="C2055" s="83">
        <v>46167</v>
      </c>
      <c r="D2055" s="417" t="s">
        <v>683</v>
      </c>
      <c r="E2055">
        <v>1369.69493333333</v>
      </c>
      <c r="F2055">
        <v>56</v>
      </c>
      <c r="G2055">
        <v>24.4588380952381</v>
      </c>
      <c r="H2055">
        <v>4.16845</v>
      </c>
      <c r="I2055">
        <v>66.951786553970905</v>
      </c>
    </row>
    <row r="2056" spans="1:9" x14ac:dyDescent="0.35">
      <c r="A2056" s="417" t="s">
        <v>846</v>
      </c>
      <c r="B2056" s="417" t="s">
        <v>680</v>
      </c>
      <c r="C2056" s="83">
        <v>46167</v>
      </c>
      <c r="D2056" s="417" t="s">
        <v>682</v>
      </c>
      <c r="E2056">
        <v>1380.8271500000001</v>
      </c>
      <c r="F2056">
        <v>52</v>
      </c>
      <c r="G2056">
        <v>26.5543682692308</v>
      </c>
      <c r="H2056">
        <v>59.172849999999997</v>
      </c>
      <c r="I2056">
        <v>76.7708333333333</v>
      </c>
    </row>
    <row r="2057" spans="1:9" x14ac:dyDescent="0.35">
      <c r="A2057" s="417" t="s">
        <v>846</v>
      </c>
      <c r="B2057" s="417" t="s">
        <v>680</v>
      </c>
      <c r="C2057" s="83">
        <v>46167</v>
      </c>
      <c r="D2057" s="417" t="s">
        <v>681</v>
      </c>
      <c r="E2057">
        <v>1378.0148833333301</v>
      </c>
      <c r="F2057">
        <v>50</v>
      </c>
      <c r="G2057">
        <v>27.560297666666699</v>
      </c>
      <c r="H2057">
        <v>5.4988666666666699</v>
      </c>
      <c r="I2057">
        <v>83.023192793883993</v>
      </c>
    </row>
    <row r="2058" spans="1:9" x14ac:dyDescent="0.35">
      <c r="A2058" s="417" t="s">
        <v>846</v>
      </c>
      <c r="B2058" s="417" t="s">
        <v>680</v>
      </c>
      <c r="C2058" s="83">
        <v>46167</v>
      </c>
      <c r="D2058" s="417" t="s">
        <v>688</v>
      </c>
      <c r="E2058">
        <v>1383.2007333333299</v>
      </c>
      <c r="F2058">
        <v>46</v>
      </c>
      <c r="G2058">
        <v>30.069581159420299</v>
      </c>
      <c r="H2058">
        <v>14.830716666666699</v>
      </c>
      <c r="I2058">
        <v>78.966835406794502</v>
      </c>
    </row>
    <row r="2059" spans="1:9" x14ac:dyDescent="0.35">
      <c r="A2059" s="417" t="s">
        <v>846</v>
      </c>
      <c r="B2059" s="417" t="s">
        <v>680</v>
      </c>
      <c r="C2059" s="83">
        <v>46167</v>
      </c>
      <c r="D2059" s="417" t="s">
        <v>690</v>
      </c>
      <c r="E2059">
        <v>1369.10613333333</v>
      </c>
      <c r="F2059">
        <v>44</v>
      </c>
      <c r="G2059">
        <v>31.116048484848498</v>
      </c>
      <c r="H2059">
        <v>20.344449999999998</v>
      </c>
      <c r="I2059">
        <v>64.259793859431099</v>
      </c>
    </row>
    <row r="2060" spans="1:9" x14ac:dyDescent="0.35">
      <c r="A2060" s="417" t="s">
        <v>846</v>
      </c>
      <c r="B2060" s="417" t="s">
        <v>680</v>
      </c>
      <c r="C2060" s="83">
        <v>46167</v>
      </c>
      <c r="D2060" s="417" t="s">
        <v>689</v>
      </c>
      <c r="E2060">
        <v>1395.1928499999999</v>
      </c>
      <c r="F2060">
        <v>28</v>
      </c>
      <c r="G2060">
        <v>49.828316071428603</v>
      </c>
      <c r="H2060">
        <v>1.49176666666667</v>
      </c>
      <c r="I2060">
        <v>89.544657423839794</v>
      </c>
    </row>
    <row r="2061" spans="1:9" x14ac:dyDescent="0.35">
      <c r="A2061" s="417" t="s">
        <v>846</v>
      </c>
      <c r="B2061" s="417" t="s">
        <v>680</v>
      </c>
      <c r="C2061" s="83">
        <v>46167</v>
      </c>
      <c r="D2061" s="417" t="s">
        <v>684</v>
      </c>
      <c r="E2061">
        <v>1418.8416999999999</v>
      </c>
      <c r="F2061">
        <v>28</v>
      </c>
      <c r="G2061">
        <v>50.672917857142899</v>
      </c>
      <c r="H2061">
        <v>15.006</v>
      </c>
      <c r="I2061">
        <v>78.662113796726402</v>
      </c>
    </row>
    <row r="2062" spans="1:9" x14ac:dyDescent="0.35">
      <c r="A2062" s="417" t="s">
        <v>846</v>
      </c>
      <c r="B2062" s="417" t="s">
        <v>680</v>
      </c>
      <c r="C2062" s="83">
        <v>46167</v>
      </c>
      <c r="D2062" s="417" t="s">
        <v>687</v>
      </c>
      <c r="E2062">
        <v>1404.15521666667</v>
      </c>
      <c r="F2062">
        <v>18</v>
      </c>
      <c r="G2062">
        <v>78.008623148148104</v>
      </c>
      <c r="H2062">
        <v>26.508783333333302</v>
      </c>
      <c r="I2062">
        <v>40.474231863684601</v>
      </c>
    </row>
    <row r="2063" spans="1:9" x14ac:dyDescent="0.35">
      <c r="A2063" s="417" t="s">
        <v>846</v>
      </c>
      <c r="B2063" s="417" t="s">
        <v>680</v>
      </c>
      <c r="C2063" s="83">
        <v>46167</v>
      </c>
      <c r="D2063" s="417" t="s">
        <v>685</v>
      </c>
      <c r="E2063">
        <v>1417.3253666666701</v>
      </c>
      <c r="F2063">
        <v>15</v>
      </c>
      <c r="G2063">
        <v>94.488357777777793</v>
      </c>
      <c r="H2063">
        <v>11.168466666666699</v>
      </c>
      <c r="I2063">
        <v>85.040095388729398</v>
      </c>
    </row>
    <row r="2064" spans="1:9" x14ac:dyDescent="0.35">
      <c r="A2064" s="417" t="s">
        <v>846</v>
      </c>
      <c r="B2064" s="417" t="s">
        <v>680</v>
      </c>
      <c r="C2064" s="83">
        <v>46167</v>
      </c>
      <c r="D2064" s="417" t="s">
        <v>686</v>
      </c>
      <c r="E2064">
        <v>1440</v>
      </c>
      <c r="F2064">
        <v>1</v>
      </c>
      <c r="G2064">
        <v>1440</v>
      </c>
      <c r="H2064">
        <v>0</v>
      </c>
      <c r="I2064">
        <v>27.658730158730101</v>
      </c>
    </row>
    <row r="2065" spans="1:9" x14ac:dyDescent="0.35">
      <c r="A2065" s="417" t="s">
        <v>846</v>
      </c>
      <c r="B2065" s="417" t="s">
        <v>691</v>
      </c>
      <c r="C2065" s="83">
        <v>46167</v>
      </c>
      <c r="D2065" s="417" t="s">
        <v>305</v>
      </c>
      <c r="E2065">
        <v>1297.89365</v>
      </c>
      <c r="F2065">
        <v>181</v>
      </c>
      <c r="G2065">
        <v>7.1706831491712704</v>
      </c>
      <c r="H2065">
        <v>5.8656666666666704</v>
      </c>
      <c r="I2065">
        <v>55.352903380444701</v>
      </c>
    </row>
    <row r="2066" spans="1:9" x14ac:dyDescent="0.35">
      <c r="A2066" s="417" t="s">
        <v>846</v>
      </c>
      <c r="B2066" s="417" t="s">
        <v>691</v>
      </c>
      <c r="C2066" s="83">
        <v>46167</v>
      </c>
      <c r="D2066" s="417" t="s">
        <v>299</v>
      </c>
      <c r="E2066">
        <v>1364.6680833333301</v>
      </c>
      <c r="F2066">
        <v>114</v>
      </c>
      <c r="G2066">
        <v>11.9707726608187</v>
      </c>
      <c r="H2066">
        <v>1.13445</v>
      </c>
      <c r="I2066">
        <v>80.457401699066395</v>
      </c>
    </row>
    <row r="2067" spans="1:9" x14ac:dyDescent="0.35">
      <c r="A2067" s="417" t="s">
        <v>846</v>
      </c>
      <c r="B2067" s="417" t="s">
        <v>691</v>
      </c>
      <c r="C2067" s="83">
        <v>46167</v>
      </c>
      <c r="D2067" s="417" t="s">
        <v>295</v>
      </c>
      <c r="E2067">
        <v>1347.84901666667</v>
      </c>
      <c r="F2067">
        <v>89</v>
      </c>
      <c r="G2067">
        <v>15.144370973782801</v>
      </c>
      <c r="H2067">
        <v>0.4224</v>
      </c>
      <c r="I2067">
        <v>68.346241214509803</v>
      </c>
    </row>
    <row r="2068" spans="1:9" x14ac:dyDescent="0.35">
      <c r="A2068" s="417" t="s">
        <v>846</v>
      </c>
      <c r="B2068" s="417" t="s">
        <v>691</v>
      </c>
      <c r="C2068" s="83">
        <v>46167</v>
      </c>
      <c r="D2068" s="417" t="s">
        <v>309</v>
      </c>
      <c r="E2068">
        <v>1361.0370499999999</v>
      </c>
      <c r="F2068">
        <v>89</v>
      </c>
      <c r="G2068">
        <v>15.2925511235955</v>
      </c>
      <c r="H2068">
        <v>0</v>
      </c>
      <c r="I2068">
        <v>56.487616805988203</v>
      </c>
    </row>
    <row r="2069" spans="1:9" x14ac:dyDescent="0.35">
      <c r="A2069" s="417" t="s">
        <v>846</v>
      </c>
      <c r="B2069" s="417" t="s">
        <v>691</v>
      </c>
      <c r="C2069" s="83">
        <v>46167</v>
      </c>
      <c r="D2069" s="417" t="s">
        <v>342</v>
      </c>
      <c r="E2069">
        <v>1317.68996666667</v>
      </c>
      <c r="F2069">
        <v>64</v>
      </c>
      <c r="G2069">
        <v>20.588905729166701</v>
      </c>
      <c r="H2069">
        <v>122.310033333333</v>
      </c>
      <c r="I2069">
        <v>61.071428571428498</v>
      </c>
    </row>
    <row r="2070" spans="1:9" x14ac:dyDescent="0.35">
      <c r="A2070" s="417" t="s">
        <v>846</v>
      </c>
      <c r="B2070" s="417" t="s">
        <v>691</v>
      </c>
      <c r="C2070" s="83">
        <v>46167</v>
      </c>
      <c r="D2070" s="417" t="s">
        <v>301</v>
      </c>
      <c r="E2070">
        <v>1289.3139333333299</v>
      </c>
      <c r="F2070">
        <v>62</v>
      </c>
      <c r="G2070">
        <v>20.795386021505401</v>
      </c>
      <c r="H2070">
        <v>3.1322666666666699</v>
      </c>
      <c r="I2070">
        <v>59.310852841821998</v>
      </c>
    </row>
    <row r="2071" spans="1:9" x14ac:dyDescent="0.35">
      <c r="A2071" s="417" t="s">
        <v>846</v>
      </c>
      <c r="B2071" s="417" t="s">
        <v>691</v>
      </c>
      <c r="C2071" s="83">
        <v>46167</v>
      </c>
      <c r="D2071" s="417" t="s">
        <v>310</v>
      </c>
      <c r="E2071">
        <v>1378.21493333333</v>
      </c>
      <c r="F2071">
        <v>40</v>
      </c>
      <c r="G2071">
        <v>34.455373333333299</v>
      </c>
      <c r="H2071">
        <v>1.1411833333333301</v>
      </c>
      <c r="I2071">
        <v>66.327770884550503</v>
      </c>
    </row>
    <row r="2072" spans="1:9" x14ac:dyDescent="0.35">
      <c r="A2072" s="417" t="s">
        <v>846</v>
      </c>
      <c r="B2072" s="417" t="s">
        <v>691</v>
      </c>
      <c r="C2072" s="83">
        <v>46167</v>
      </c>
      <c r="D2072" s="417" t="s">
        <v>303</v>
      </c>
      <c r="E2072">
        <v>1380.23978333333</v>
      </c>
      <c r="F2072">
        <v>40</v>
      </c>
      <c r="G2072">
        <v>34.505994583333297</v>
      </c>
      <c r="H2072">
        <v>0.22031666666666699</v>
      </c>
      <c r="I2072">
        <v>44.795788775423503</v>
      </c>
    </row>
    <row r="2073" spans="1:9" x14ac:dyDescent="0.35">
      <c r="A2073" s="417" t="s">
        <v>846</v>
      </c>
      <c r="B2073" s="417" t="s">
        <v>691</v>
      </c>
      <c r="C2073" s="83">
        <v>46167</v>
      </c>
      <c r="D2073" s="417" t="s">
        <v>314</v>
      </c>
      <c r="E2073">
        <v>1417.55935</v>
      </c>
      <c r="F2073">
        <v>13</v>
      </c>
      <c r="G2073">
        <v>109.04302692307699</v>
      </c>
      <c r="H2073">
        <v>2.1124833333333299</v>
      </c>
      <c r="I2073">
        <v>53.0926351999559</v>
      </c>
    </row>
    <row r="2074" spans="1:9" x14ac:dyDescent="0.35">
      <c r="A2074" s="417" t="s">
        <v>846</v>
      </c>
      <c r="B2074" s="417" t="s">
        <v>691</v>
      </c>
      <c r="C2074" s="83">
        <v>46167</v>
      </c>
      <c r="D2074" s="417" t="s">
        <v>313</v>
      </c>
      <c r="E2074">
        <v>1330.95716666667</v>
      </c>
      <c r="F2074">
        <v>8</v>
      </c>
      <c r="G2074">
        <v>166.36964583333301</v>
      </c>
      <c r="H2074">
        <v>8.3585166666666701</v>
      </c>
      <c r="I2074">
        <v>68.0193053432467</v>
      </c>
    </row>
    <row r="2075" spans="1:9" x14ac:dyDescent="0.35">
      <c r="A2075" s="417" t="s">
        <v>846</v>
      </c>
      <c r="B2075" s="417" t="s">
        <v>691</v>
      </c>
      <c r="C2075" s="83">
        <v>46167</v>
      </c>
      <c r="D2075" s="417" t="s">
        <v>317</v>
      </c>
      <c r="E2075">
        <v>1022.18541666667</v>
      </c>
      <c r="F2075">
        <v>7</v>
      </c>
      <c r="G2075">
        <v>146.02648809523799</v>
      </c>
      <c r="H2075">
        <v>4.8891166666666699</v>
      </c>
      <c r="I2075">
        <v>39.524805518057399</v>
      </c>
    </row>
    <row r="2076" spans="1:9" x14ac:dyDescent="0.35">
      <c r="A2076" s="417" t="s">
        <v>846</v>
      </c>
      <c r="B2076" s="417" t="s">
        <v>691</v>
      </c>
      <c r="C2076" s="83">
        <v>46167</v>
      </c>
      <c r="D2076" s="417" t="s">
        <v>504</v>
      </c>
      <c r="E2076">
        <v>1440</v>
      </c>
      <c r="F2076">
        <v>1</v>
      </c>
      <c r="G2076">
        <v>1440</v>
      </c>
      <c r="H2076">
        <v>0</v>
      </c>
      <c r="I2076">
        <v>26.267438271604899</v>
      </c>
    </row>
    <row r="2077" spans="1:9" x14ac:dyDescent="0.35">
      <c r="A2077" s="417" t="s">
        <v>846</v>
      </c>
      <c r="B2077" s="417" t="s">
        <v>676</v>
      </c>
      <c r="C2077" s="83">
        <v>46166</v>
      </c>
      <c r="D2077" s="417" t="s">
        <v>677</v>
      </c>
      <c r="E2077">
        <v>806.10680000000002</v>
      </c>
      <c r="F2077">
        <v>157</v>
      </c>
      <c r="G2077">
        <v>5.1344382165605102</v>
      </c>
      <c r="H2077">
        <v>96.339666666666702</v>
      </c>
      <c r="I2077">
        <v>6.2044444444444498</v>
      </c>
    </row>
    <row r="2078" spans="1:9" x14ac:dyDescent="0.35">
      <c r="A2078" s="417" t="s">
        <v>846</v>
      </c>
      <c r="B2078" s="417" t="s">
        <v>676</v>
      </c>
      <c r="C2078" s="83">
        <v>46166</v>
      </c>
      <c r="D2078" s="417" t="s">
        <v>678</v>
      </c>
      <c r="E2078">
        <v>723.30139999999994</v>
      </c>
      <c r="F2078">
        <v>36</v>
      </c>
      <c r="G2078">
        <v>20.091705555555599</v>
      </c>
      <c r="H2078">
        <v>29.467166666666699</v>
      </c>
      <c r="I2078">
        <v>65.141076163234004</v>
      </c>
    </row>
    <row r="2079" spans="1:9" x14ac:dyDescent="0.35">
      <c r="A2079" s="417" t="s">
        <v>846</v>
      </c>
      <c r="B2079" s="417" t="s">
        <v>676</v>
      </c>
      <c r="C2079" s="83">
        <v>46166</v>
      </c>
      <c r="D2079" s="417" t="s">
        <v>679</v>
      </c>
      <c r="E2079">
        <v>829.12196666666705</v>
      </c>
      <c r="F2079">
        <v>12</v>
      </c>
      <c r="G2079">
        <v>69.093497222222197</v>
      </c>
      <c r="H2079">
        <v>11.3332</v>
      </c>
      <c r="I2079">
        <v>73.592662388693796</v>
      </c>
    </row>
    <row r="2080" spans="1:9" x14ac:dyDescent="0.35">
      <c r="A2080" s="417" t="s">
        <v>846</v>
      </c>
      <c r="B2080" s="417" t="s">
        <v>680</v>
      </c>
      <c r="C2080" s="83">
        <v>46166</v>
      </c>
      <c r="D2080" s="417" t="s">
        <v>681</v>
      </c>
      <c r="E2080">
        <v>1192.64536666667</v>
      </c>
      <c r="F2080">
        <v>57</v>
      </c>
      <c r="G2080">
        <v>20.923602923976599</v>
      </c>
      <c r="H2080">
        <v>4.6674499999999997</v>
      </c>
      <c r="I2080">
        <v>56.479837925786597</v>
      </c>
    </row>
    <row r="2081" spans="1:9" x14ac:dyDescent="0.35">
      <c r="A2081" s="417" t="s">
        <v>846</v>
      </c>
      <c r="B2081" s="417" t="s">
        <v>680</v>
      </c>
      <c r="C2081" s="83">
        <v>46166</v>
      </c>
      <c r="D2081" s="417" t="s">
        <v>684</v>
      </c>
      <c r="E2081">
        <v>1307.9938500000001</v>
      </c>
      <c r="F2081">
        <v>50</v>
      </c>
      <c r="G2081">
        <v>26.159877000000002</v>
      </c>
      <c r="H2081">
        <v>19.515899999999998</v>
      </c>
      <c r="I2081">
        <v>46.220641145783503</v>
      </c>
    </row>
    <row r="2082" spans="1:9" x14ac:dyDescent="0.35">
      <c r="A2082" s="417" t="s">
        <v>846</v>
      </c>
      <c r="B2082" s="417" t="s">
        <v>680</v>
      </c>
      <c r="C2082" s="83">
        <v>46166</v>
      </c>
      <c r="D2082" s="417" t="s">
        <v>689</v>
      </c>
      <c r="E2082">
        <v>1101.5176833333301</v>
      </c>
      <c r="F2082">
        <v>49</v>
      </c>
      <c r="G2082">
        <v>22.479952721088399</v>
      </c>
      <c r="H2082">
        <v>4.5006333333333304</v>
      </c>
      <c r="I2082">
        <v>62.3307490793431</v>
      </c>
    </row>
    <row r="2083" spans="1:9" x14ac:dyDescent="0.35">
      <c r="A2083" s="417" t="s">
        <v>846</v>
      </c>
      <c r="B2083" s="417" t="s">
        <v>680</v>
      </c>
      <c r="C2083" s="83">
        <v>46166</v>
      </c>
      <c r="D2083" s="417" t="s">
        <v>688</v>
      </c>
      <c r="E2083">
        <v>1311.6875333333301</v>
      </c>
      <c r="F2083">
        <v>45</v>
      </c>
      <c r="G2083">
        <v>29.1486118518519</v>
      </c>
      <c r="H2083">
        <v>10.135999999999999</v>
      </c>
      <c r="I2083">
        <v>47.968573885858</v>
      </c>
    </row>
    <row r="2084" spans="1:9" x14ac:dyDescent="0.35">
      <c r="A2084" s="417" t="s">
        <v>846</v>
      </c>
      <c r="B2084" s="417" t="s">
        <v>680</v>
      </c>
      <c r="C2084" s="83">
        <v>46166</v>
      </c>
      <c r="D2084" s="417" t="s">
        <v>683</v>
      </c>
      <c r="E2084">
        <v>1206.99886666667</v>
      </c>
      <c r="F2084">
        <v>34</v>
      </c>
      <c r="G2084">
        <v>35.499966666666701</v>
      </c>
      <c r="H2084">
        <v>0.17335</v>
      </c>
      <c r="I2084">
        <v>46.525953127389599</v>
      </c>
    </row>
    <row r="2085" spans="1:9" x14ac:dyDescent="0.35">
      <c r="A2085" s="417" t="s">
        <v>846</v>
      </c>
      <c r="B2085" s="417" t="s">
        <v>680</v>
      </c>
      <c r="C2085" s="83">
        <v>46166</v>
      </c>
      <c r="D2085" s="417" t="s">
        <v>687</v>
      </c>
      <c r="E2085">
        <v>1120.96425</v>
      </c>
      <c r="F2085">
        <v>28</v>
      </c>
      <c r="G2085">
        <v>40.034437500000003</v>
      </c>
      <c r="H2085">
        <v>29.010400000000001</v>
      </c>
      <c r="I2085">
        <v>25.731159258937801</v>
      </c>
    </row>
    <row r="2086" spans="1:9" x14ac:dyDescent="0.35">
      <c r="A2086" s="417" t="s">
        <v>846</v>
      </c>
      <c r="B2086" s="417" t="s">
        <v>680</v>
      </c>
      <c r="C2086" s="83">
        <v>46166</v>
      </c>
      <c r="D2086" s="417" t="s">
        <v>690</v>
      </c>
      <c r="E2086">
        <v>1319.5115000000001</v>
      </c>
      <c r="F2086">
        <v>27</v>
      </c>
      <c r="G2086">
        <v>48.870796296296298</v>
      </c>
      <c r="H2086">
        <v>35.659199999999998</v>
      </c>
      <c r="I2086">
        <v>35.904247044417602</v>
      </c>
    </row>
    <row r="2087" spans="1:9" x14ac:dyDescent="0.35">
      <c r="A2087" s="417" t="s">
        <v>846</v>
      </c>
      <c r="B2087" s="417" t="s">
        <v>680</v>
      </c>
      <c r="C2087" s="83">
        <v>46166</v>
      </c>
      <c r="D2087" s="417" t="s">
        <v>682</v>
      </c>
      <c r="E2087">
        <v>1328.3391666666701</v>
      </c>
      <c r="F2087">
        <v>25</v>
      </c>
      <c r="G2087">
        <v>53.133566666666702</v>
      </c>
      <c r="H2087">
        <v>24.493083333333299</v>
      </c>
      <c r="I2087">
        <v>44.590764065494902</v>
      </c>
    </row>
    <row r="2088" spans="1:9" x14ac:dyDescent="0.35">
      <c r="A2088" s="417" t="s">
        <v>846</v>
      </c>
      <c r="B2088" s="417" t="s">
        <v>680</v>
      </c>
      <c r="C2088" s="83">
        <v>46166</v>
      </c>
      <c r="D2088" s="417" t="s">
        <v>685</v>
      </c>
      <c r="E2088">
        <v>969.15004999999996</v>
      </c>
      <c r="F2088">
        <v>21</v>
      </c>
      <c r="G2088">
        <v>46.150002380952401</v>
      </c>
      <c r="H2088">
        <v>8.0098166666666692</v>
      </c>
      <c r="I2088">
        <v>64.159235851214106</v>
      </c>
    </row>
    <row r="2089" spans="1:9" x14ac:dyDescent="0.35">
      <c r="A2089" s="417" t="s">
        <v>846</v>
      </c>
      <c r="B2089" s="417" t="s">
        <v>680</v>
      </c>
      <c r="C2089" s="83">
        <v>46166</v>
      </c>
      <c r="D2089" s="417" t="s">
        <v>686</v>
      </c>
      <c r="E2089">
        <v>991.49856666666699</v>
      </c>
      <c r="F2089">
        <v>1</v>
      </c>
      <c r="G2089">
        <v>991.49856666666699</v>
      </c>
      <c r="H2089">
        <v>0</v>
      </c>
      <c r="I2089">
        <v>24.146825396825399</v>
      </c>
    </row>
    <row r="2090" spans="1:9" x14ac:dyDescent="0.35">
      <c r="A2090" s="417" t="s">
        <v>846</v>
      </c>
      <c r="B2090" s="417" t="s">
        <v>691</v>
      </c>
      <c r="C2090" s="83">
        <v>46166</v>
      </c>
      <c r="D2090" s="417" t="s">
        <v>309</v>
      </c>
      <c r="E2090">
        <v>1272.58488333333</v>
      </c>
      <c r="F2090">
        <v>113</v>
      </c>
      <c r="G2090">
        <v>11.2618131268437</v>
      </c>
      <c r="H2090">
        <v>0</v>
      </c>
      <c r="I2090">
        <v>56.582971266667897</v>
      </c>
    </row>
    <row r="2091" spans="1:9" x14ac:dyDescent="0.35">
      <c r="A2091" s="417" t="s">
        <v>846</v>
      </c>
      <c r="B2091" s="417" t="s">
        <v>691</v>
      </c>
      <c r="C2091" s="83">
        <v>46166</v>
      </c>
      <c r="D2091" s="417" t="s">
        <v>299</v>
      </c>
      <c r="E2091">
        <v>1364.91635</v>
      </c>
      <c r="F2091">
        <v>104</v>
      </c>
      <c r="G2091">
        <v>13.124195673076899</v>
      </c>
      <c r="H2091">
        <v>0.46851666666666703</v>
      </c>
      <c r="I2091">
        <v>69.966687116475399</v>
      </c>
    </row>
    <row r="2092" spans="1:9" x14ac:dyDescent="0.35">
      <c r="A2092" s="417" t="s">
        <v>846</v>
      </c>
      <c r="B2092" s="417" t="s">
        <v>691</v>
      </c>
      <c r="C2092" s="83">
        <v>46166</v>
      </c>
      <c r="D2092" s="417" t="s">
        <v>305</v>
      </c>
      <c r="E2092">
        <v>1278.9393333333301</v>
      </c>
      <c r="F2092">
        <v>82</v>
      </c>
      <c r="G2092">
        <v>15.5968211382114</v>
      </c>
      <c r="H2092">
        <v>2.72505</v>
      </c>
      <c r="I2092">
        <v>63.025616956439599</v>
      </c>
    </row>
    <row r="2093" spans="1:9" x14ac:dyDescent="0.35">
      <c r="A2093" s="417" t="s">
        <v>846</v>
      </c>
      <c r="B2093" s="417" t="s">
        <v>691</v>
      </c>
      <c r="C2093" s="83">
        <v>46166</v>
      </c>
      <c r="D2093" s="417" t="s">
        <v>295</v>
      </c>
      <c r="E2093">
        <v>1377.2383500000001</v>
      </c>
      <c r="F2093">
        <v>73</v>
      </c>
      <c r="G2093">
        <v>18.866278767123301</v>
      </c>
      <c r="H2093">
        <v>0.202133333333333</v>
      </c>
      <c r="I2093">
        <v>72.332909378933905</v>
      </c>
    </row>
    <row r="2094" spans="1:9" x14ac:dyDescent="0.35">
      <c r="A2094" s="417" t="s">
        <v>846</v>
      </c>
      <c r="B2094" s="417" t="s">
        <v>691</v>
      </c>
      <c r="C2094" s="83">
        <v>46166</v>
      </c>
      <c r="D2094" s="417" t="s">
        <v>303</v>
      </c>
      <c r="E2094">
        <v>1377.4992</v>
      </c>
      <c r="F2094">
        <v>66</v>
      </c>
      <c r="G2094">
        <v>20.871200000000002</v>
      </c>
      <c r="H2094">
        <v>0.32750000000000001</v>
      </c>
      <c r="I2094">
        <v>56.3322464206463</v>
      </c>
    </row>
    <row r="2095" spans="1:9" x14ac:dyDescent="0.35">
      <c r="A2095" s="417" t="s">
        <v>846</v>
      </c>
      <c r="B2095" s="417" t="s">
        <v>691</v>
      </c>
      <c r="C2095" s="83">
        <v>46166</v>
      </c>
      <c r="D2095" s="417" t="s">
        <v>301</v>
      </c>
      <c r="E2095">
        <v>1297.2193833333299</v>
      </c>
      <c r="F2095">
        <v>51</v>
      </c>
      <c r="G2095">
        <v>25.435674183006501</v>
      </c>
      <c r="H2095">
        <v>0.11648333333333299</v>
      </c>
      <c r="I2095">
        <v>62.324233569086203</v>
      </c>
    </row>
    <row r="2096" spans="1:9" x14ac:dyDescent="0.35">
      <c r="A2096" s="417" t="s">
        <v>846</v>
      </c>
      <c r="B2096" s="417" t="s">
        <v>691</v>
      </c>
      <c r="C2096" s="83">
        <v>46166</v>
      </c>
      <c r="D2096" s="417" t="s">
        <v>310</v>
      </c>
      <c r="E2096">
        <v>1363.9781499999999</v>
      </c>
      <c r="F2096">
        <v>50</v>
      </c>
      <c r="G2096">
        <v>27.279563</v>
      </c>
      <c r="H2096">
        <v>2.4472499999999999</v>
      </c>
      <c r="I2096">
        <v>67.208401884943797</v>
      </c>
    </row>
    <row r="2097" spans="1:9" x14ac:dyDescent="0.35">
      <c r="A2097" s="417" t="s">
        <v>846</v>
      </c>
      <c r="B2097" s="417" t="s">
        <v>691</v>
      </c>
      <c r="C2097" s="83">
        <v>46166</v>
      </c>
      <c r="D2097" s="417" t="s">
        <v>342</v>
      </c>
      <c r="E2097">
        <v>565.053</v>
      </c>
      <c r="F2097">
        <v>24</v>
      </c>
      <c r="G2097">
        <v>23.543875</v>
      </c>
      <c r="H2097">
        <v>34.947000000000003</v>
      </c>
      <c r="I2097">
        <v>42.6666666666666</v>
      </c>
    </row>
    <row r="2098" spans="1:9" x14ac:dyDescent="0.35">
      <c r="A2098" s="417" t="s">
        <v>846</v>
      </c>
      <c r="B2098" s="417" t="s">
        <v>691</v>
      </c>
      <c r="C2098" s="83">
        <v>46166</v>
      </c>
      <c r="D2098" s="417" t="s">
        <v>313</v>
      </c>
      <c r="E2098">
        <v>1122.98381666667</v>
      </c>
      <c r="F2098">
        <v>14</v>
      </c>
      <c r="G2098">
        <v>80.213129761904796</v>
      </c>
      <c r="H2098">
        <v>5.9499166666666703</v>
      </c>
      <c r="I2098">
        <v>52.696446819493502</v>
      </c>
    </row>
    <row r="2099" spans="1:9" x14ac:dyDescent="0.35">
      <c r="A2099" s="417" t="s">
        <v>846</v>
      </c>
      <c r="B2099" s="417" t="s">
        <v>691</v>
      </c>
      <c r="C2099" s="83">
        <v>46166</v>
      </c>
      <c r="D2099" s="417" t="s">
        <v>314</v>
      </c>
      <c r="E2099">
        <v>1414.04393333333</v>
      </c>
      <c r="F2099">
        <v>11</v>
      </c>
      <c r="G2099">
        <v>128.549448484848</v>
      </c>
      <c r="H2099">
        <v>0.21783333333333299</v>
      </c>
      <c r="I2099">
        <v>53.049450448617797</v>
      </c>
    </row>
    <row r="2100" spans="1:9" x14ac:dyDescent="0.35">
      <c r="A2100" s="417" t="s">
        <v>846</v>
      </c>
      <c r="B2100" s="417" t="s">
        <v>691</v>
      </c>
      <c r="C2100" s="83">
        <v>46166</v>
      </c>
      <c r="D2100" s="417" t="s">
        <v>317</v>
      </c>
      <c r="E2100">
        <v>1435.9049500000001</v>
      </c>
      <c r="F2100">
        <v>1</v>
      </c>
      <c r="G2100">
        <v>1435.9049500000001</v>
      </c>
      <c r="H2100">
        <v>0</v>
      </c>
      <c r="I2100">
        <v>53.311328162772902</v>
      </c>
    </row>
    <row r="2101" spans="1:9" x14ac:dyDescent="0.35">
      <c r="A2101" s="417" t="s">
        <v>846</v>
      </c>
      <c r="B2101" s="417" t="s">
        <v>691</v>
      </c>
      <c r="C2101" s="83">
        <v>46166</v>
      </c>
      <c r="D2101" s="417" t="s">
        <v>504</v>
      </c>
      <c r="E2101">
        <v>1440</v>
      </c>
      <c r="F2101">
        <v>1</v>
      </c>
      <c r="G2101">
        <v>1440</v>
      </c>
      <c r="H2101">
        <v>0</v>
      </c>
      <c r="I2101">
        <v>47.271759259259298</v>
      </c>
    </row>
    <row r="2102" spans="1:9" x14ac:dyDescent="0.35">
      <c r="A2102" s="417" t="s">
        <v>846</v>
      </c>
      <c r="B2102" s="417" t="s">
        <v>676</v>
      </c>
      <c r="C2102" s="83">
        <v>46165</v>
      </c>
      <c r="D2102" s="417" t="s">
        <v>677</v>
      </c>
      <c r="E2102">
        <v>1128.92378333333</v>
      </c>
      <c r="F2102">
        <v>200</v>
      </c>
      <c r="G2102">
        <v>5.6446189166666603</v>
      </c>
      <c r="H2102">
        <v>135.72696666666701</v>
      </c>
      <c r="I2102">
        <v>5.3425000000000002</v>
      </c>
    </row>
    <row r="2103" spans="1:9" x14ac:dyDescent="0.35">
      <c r="A2103" s="417" t="s">
        <v>846</v>
      </c>
      <c r="B2103" s="417" t="s">
        <v>676</v>
      </c>
      <c r="C2103" s="83">
        <v>46165</v>
      </c>
      <c r="D2103" s="417" t="s">
        <v>678</v>
      </c>
      <c r="E2103">
        <v>1148.9956833333299</v>
      </c>
      <c r="F2103">
        <v>47</v>
      </c>
      <c r="G2103">
        <v>24.446716666666699</v>
      </c>
      <c r="H2103">
        <v>58.836183333333302</v>
      </c>
      <c r="I2103">
        <v>70.637119781800706</v>
      </c>
    </row>
    <row r="2104" spans="1:9" x14ac:dyDescent="0.35">
      <c r="A2104" s="417" t="s">
        <v>846</v>
      </c>
      <c r="B2104" s="417" t="s">
        <v>676</v>
      </c>
      <c r="C2104" s="83">
        <v>46165</v>
      </c>
      <c r="D2104" s="417" t="s">
        <v>679</v>
      </c>
      <c r="E2104">
        <v>1254.6487666666701</v>
      </c>
      <c r="F2104">
        <v>28</v>
      </c>
      <c r="G2104">
        <v>44.808884523809503</v>
      </c>
      <c r="H2104">
        <v>15.1657166666667</v>
      </c>
      <c r="I2104">
        <v>59.182499992480899</v>
      </c>
    </row>
    <row r="2105" spans="1:9" x14ac:dyDescent="0.35">
      <c r="A2105" s="417" t="s">
        <v>846</v>
      </c>
      <c r="B2105" s="417" t="s">
        <v>680</v>
      </c>
      <c r="C2105" s="83">
        <v>46165</v>
      </c>
      <c r="D2105" s="417" t="s">
        <v>681</v>
      </c>
      <c r="E2105">
        <v>1216.1043833333299</v>
      </c>
      <c r="F2105">
        <v>300</v>
      </c>
      <c r="G2105">
        <v>4.0536812777777804</v>
      </c>
      <c r="H2105">
        <v>1.0061</v>
      </c>
      <c r="I2105">
        <v>22.664963079385601</v>
      </c>
    </row>
    <row r="2106" spans="1:9" x14ac:dyDescent="0.35">
      <c r="A2106" s="417" t="s">
        <v>846</v>
      </c>
      <c r="B2106" s="417" t="s">
        <v>680</v>
      </c>
      <c r="C2106" s="83">
        <v>46165</v>
      </c>
      <c r="D2106" s="417" t="s">
        <v>684</v>
      </c>
      <c r="E2106">
        <v>1378.41895</v>
      </c>
      <c r="F2106">
        <v>166</v>
      </c>
      <c r="G2106">
        <v>8.3037286144578299</v>
      </c>
      <c r="H2106">
        <v>39.774183333333298</v>
      </c>
      <c r="I2106">
        <v>21.541232645651899</v>
      </c>
    </row>
    <row r="2107" spans="1:9" x14ac:dyDescent="0.35">
      <c r="A2107" s="417" t="s">
        <v>846</v>
      </c>
      <c r="B2107" s="417" t="s">
        <v>680</v>
      </c>
      <c r="C2107" s="83">
        <v>46165</v>
      </c>
      <c r="D2107" s="417" t="s">
        <v>689</v>
      </c>
      <c r="E2107">
        <v>1320.2490499999999</v>
      </c>
      <c r="F2107">
        <v>63</v>
      </c>
      <c r="G2107">
        <v>20.9563341269841</v>
      </c>
      <c r="H2107">
        <v>0.50004999999999999</v>
      </c>
      <c r="I2107">
        <v>14.650855700202399</v>
      </c>
    </row>
    <row r="2108" spans="1:9" x14ac:dyDescent="0.35">
      <c r="A2108" s="417" t="s">
        <v>846</v>
      </c>
      <c r="B2108" s="417" t="s">
        <v>680</v>
      </c>
      <c r="C2108" s="83">
        <v>46165</v>
      </c>
      <c r="D2108" s="417" t="s">
        <v>683</v>
      </c>
      <c r="E2108">
        <v>1311.4985666666701</v>
      </c>
      <c r="F2108">
        <v>51</v>
      </c>
      <c r="G2108">
        <v>25.715658169934599</v>
      </c>
      <c r="H2108">
        <v>5.1571999999999996</v>
      </c>
      <c r="I2108">
        <v>10.1104728198305</v>
      </c>
    </row>
    <row r="2109" spans="1:9" x14ac:dyDescent="0.35">
      <c r="A2109" s="417" t="s">
        <v>846</v>
      </c>
      <c r="B2109" s="417" t="s">
        <v>680</v>
      </c>
      <c r="C2109" s="83">
        <v>46165</v>
      </c>
      <c r="D2109" s="417" t="s">
        <v>682</v>
      </c>
      <c r="E2109">
        <v>1003.49393333333</v>
      </c>
      <c r="F2109">
        <v>43</v>
      </c>
      <c r="G2109">
        <v>23.337068217054298</v>
      </c>
      <c r="H2109">
        <v>58.006250000000001</v>
      </c>
      <c r="I2109">
        <v>7.50841750841749</v>
      </c>
    </row>
    <row r="2110" spans="1:9" x14ac:dyDescent="0.35">
      <c r="A2110" s="417" t="s">
        <v>846</v>
      </c>
      <c r="B2110" s="417" t="s">
        <v>680</v>
      </c>
      <c r="C2110" s="83">
        <v>46165</v>
      </c>
      <c r="D2110" s="417" t="s">
        <v>687</v>
      </c>
      <c r="E2110">
        <v>1405.69873333333</v>
      </c>
      <c r="F2110">
        <v>15</v>
      </c>
      <c r="G2110">
        <v>93.713248888888899</v>
      </c>
      <c r="H2110">
        <v>11.3205166666667</v>
      </c>
      <c r="I2110">
        <v>16.248448026633099</v>
      </c>
    </row>
    <row r="2111" spans="1:9" x14ac:dyDescent="0.35">
      <c r="A2111" s="417" t="s">
        <v>846</v>
      </c>
      <c r="B2111" s="417" t="s">
        <v>680</v>
      </c>
      <c r="C2111" s="83">
        <v>46165</v>
      </c>
      <c r="D2111" s="417" t="s">
        <v>685</v>
      </c>
      <c r="E2111">
        <v>888.99548333333303</v>
      </c>
      <c r="F2111">
        <v>14</v>
      </c>
      <c r="G2111">
        <v>63.499677380952399</v>
      </c>
      <c r="H2111">
        <v>4.0014166666666702</v>
      </c>
      <c r="I2111">
        <v>0.81911874803610396</v>
      </c>
    </row>
    <row r="2112" spans="1:9" x14ac:dyDescent="0.35">
      <c r="A2112" s="417" t="s">
        <v>846</v>
      </c>
      <c r="B2112" s="417" t="s">
        <v>680</v>
      </c>
      <c r="C2112" s="83">
        <v>46165</v>
      </c>
      <c r="D2112" s="417" t="s">
        <v>688</v>
      </c>
      <c r="E2112">
        <v>765.12895000000003</v>
      </c>
      <c r="F2112">
        <v>5</v>
      </c>
      <c r="G2112">
        <v>153.02579</v>
      </c>
      <c r="H2112">
        <v>3.4988000000000001</v>
      </c>
      <c r="I2112">
        <v>3.0371128966599401</v>
      </c>
    </row>
    <row r="2113" spans="1:9" x14ac:dyDescent="0.35">
      <c r="A2113" s="417" t="s">
        <v>846</v>
      </c>
      <c r="B2113" s="417" t="s">
        <v>680</v>
      </c>
      <c r="C2113" s="83">
        <v>46165</v>
      </c>
      <c r="D2113" s="417" t="s">
        <v>690</v>
      </c>
      <c r="E2113">
        <v>812.30283333333296</v>
      </c>
      <c r="F2113">
        <v>3</v>
      </c>
      <c r="G2113">
        <v>270.76761111111102</v>
      </c>
      <c r="H2113">
        <v>0</v>
      </c>
      <c r="I2113">
        <v>1.6432569950134199</v>
      </c>
    </row>
    <row r="2114" spans="1:9" x14ac:dyDescent="0.35">
      <c r="A2114" s="417" t="s">
        <v>846</v>
      </c>
      <c r="B2114" s="417" t="s">
        <v>680</v>
      </c>
      <c r="C2114" s="83">
        <v>46165</v>
      </c>
      <c r="D2114" s="417" t="s">
        <v>686</v>
      </c>
      <c r="E2114">
        <v>960</v>
      </c>
      <c r="F2114">
        <v>1</v>
      </c>
      <c r="G2114">
        <v>960</v>
      </c>
      <c r="H2114">
        <v>0</v>
      </c>
      <c r="I2114">
        <v>0.60606060606060397</v>
      </c>
    </row>
    <row r="2115" spans="1:9" x14ac:dyDescent="0.35">
      <c r="A2115" s="417" t="s">
        <v>846</v>
      </c>
      <c r="B2115" s="417" t="s">
        <v>691</v>
      </c>
      <c r="C2115" s="83">
        <v>46165</v>
      </c>
      <c r="D2115" s="417" t="s">
        <v>301</v>
      </c>
      <c r="E2115">
        <v>1004.28173333333</v>
      </c>
      <c r="F2115">
        <v>85</v>
      </c>
      <c r="G2115">
        <v>11.8150792156863</v>
      </c>
      <c r="H2115">
        <v>5.7579500000000001</v>
      </c>
      <c r="I2115">
        <v>46.722271002745799</v>
      </c>
    </row>
    <row r="2116" spans="1:9" x14ac:dyDescent="0.35">
      <c r="A2116" s="417" t="s">
        <v>846</v>
      </c>
      <c r="B2116" s="417" t="s">
        <v>691</v>
      </c>
      <c r="C2116" s="83">
        <v>46165</v>
      </c>
      <c r="D2116" s="417" t="s">
        <v>299</v>
      </c>
      <c r="E2116">
        <v>974.32286666666596</v>
      </c>
      <c r="F2116">
        <v>84</v>
      </c>
      <c r="G2116">
        <v>11.5990817460317</v>
      </c>
      <c r="H2116">
        <v>0.22793333333333299</v>
      </c>
      <c r="I2116">
        <v>65.497857905589697</v>
      </c>
    </row>
    <row r="2117" spans="1:9" x14ac:dyDescent="0.35">
      <c r="A2117" s="417" t="s">
        <v>846</v>
      </c>
      <c r="B2117" s="417" t="s">
        <v>691</v>
      </c>
      <c r="C2117" s="83">
        <v>46165</v>
      </c>
      <c r="D2117" s="417" t="s">
        <v>309</v>
      </c>
      <c r="E2117">
        <v>1329.1238166666701</v>
      </c>
      <c r="F2117">
        <v>82</v>
      </c>
      <c r="G2117">
        <v>16.208827032520301</v>
      </c>
      <c r="H2117">
        <v>0.40101666666666702</v>
      </c>
      <c r="I2117">
        <v>58.402698997868001</v>
      </c>
    </row>
    <row r="2118" spans="1:9" x14ac:dyDescent="0.35">
      <c r="A2118" s="417" t="s">
        <v>846</v>
      </c>
      <c r="B2118" s="417" t="s">
        <v>691</v>
      </c>
      <c r="C2118" s="83">
        <v>46165</v>
      </c>
      <c r="D2118" s="417" t="s">
        <v>295</v>
      </c>
      <c r="E2118">
        <v>1340.6346333333299</v>
      </c>
      <c r="F2118">
        <v>67</v>
      </c>
      <c r="G2118">
        <v>20.009472139303501</v>
      </c>
      <c r="H2118">
        <v>0.54728333333333301</v>
      </c>
      <c r="I2118">
        <v>51.088000098462203</v>
      </c>
    </row>
    <row r="2119" spans="1:9" x14ac:dyDescent="0.35">
      <c r="A2119" s="417" t="s">
        <v>846</v>
      </c>
      <c r="B2119" s="417" t="s">
        <v>691</v>
      </c>
      <c r="C2119" s="83">
        <v>46165</v>
      </c>
      <c r="D2119" s="417" t="s">
        <v>305</v>
      </c>
      <c r="E2119">
        <v>1078.96675</v>
      </c>
      <c r="F2119">
        <v>40</v>
      </c>
      <c r="G2119">
        <v>26.97416875</v>
      </c>
      <c r="H2119">
        <v>4.0884999999999998</v>
      </c>
      <c r="I2119">
        <v>71.123925711219997</v>
      </c>
    </row>
    <row r="2120" spans="1:9" x14ac:dyDescent="0.35">
      <c r="A2120" s="417" t="s">
        <v>846</v>
      </c>
      <c r="B2120" s="417" t="s">
        <v>691</v>
      </c>
      <c r="C2120" s="83">
        <v>46165</v>
      </c>
      <c r="D2120" s="417" t="s">
        <v>303</v>
      </c>
      <c r="E2120">
        <v>1392.37658333333</v>
      </c>
      <c r="F2120">
        <v>27</v>
      </c>
      <c r="G2120">
        <v>51.5695030864198</v>
      </c>
      <c r="H2120">
        <v>0.16171666666666701</v>
      </c>
      <c r="I2120">
        <v>38.380746727927999</v>
      </c>
    </row>
    <row r="2121" spans="1:9" x14ac:dyDescent="0.35">
      <c r="A2121" s="417" t="s">
        <v>846</v>
      </c>
      <c r="B2121" s="417" t="s">
        <v>691</v>
      </c>
      <c r="C2121" s="83">
        <v>46165</v>
      </c>
      <c r="D2121" s="417" t="s">
        <v>313</v>
      </c>
      <c r="E2121">
        <v>1330.93075</v>
      </c>
      <c r="F2121">
        <v>13</v>
      </c>
      <c r="G2121">
        <v>102.379288461538</v>
      </c>
      <c r="H2121">
        <v>0</v>
      </c>
      <c r="I2121">
        <v>29.9968012819233</v>
      </c>
    </row>
    <row r="2122" spans="1:9" x14ac:dyDescent="0.35">
      <c r="A2122" s="417" t="s">
        <v>846</v>
      </c>
      <c r="B2122" s="417" t="s">
        <v>691</v>
      </c>
      <c r="C2122" s="83">
        <v>46165</v>
      </c>
      <c r="D2122" s="417" t="s">
        <v>310</v>
      </c>
      <c r="E2122">
        <v>1004.5912</v>
      </c>
      <c r="F2122">
        <v>10</v>
      </c>
      <c r="G2122">
        <v>100.45912</v>
      </c>
      <c r="H2122">
        <v>3.6695166666666701</v>
      </c>
      <c r="I2122">
        <v>53.751207286428297</v>
      </c>
    </row>
    <row r="2123" spans="1:9" x14ac:dyDescent="0.35">
      <c r="A2123" s="417" t="s">
        <v>846</v>
      </c>
      <c r="B2123" s="417" t="s">
        <v>691</v>
      </c>
      <c r="C2123" s="83">
        <v>46165</v>
      </c>
      <c r="D2123" s="417" t="s">
        <v>314</v>
      </c>
      <c r="E2123">
        <v>1434.2372333333301</v>
      </c>
      <c r="F2123">
        <v>5</v>
      </c>
      <c r="G2123">
        <v>286.847446666667</v>
      </c>
      <c r="H2123">
        <v>1.2664500000000001</v>
      </c>
      <c r="I2123">
        <v>23.687701785093001</v>
      </c>
    </row>
    <row r="2124" spans="1:9" x14ac:dyDescent="0.35">
      <c r="A2124" s="417" t="s">
        <v>846</v>
      </c>
      <c r="B2124" s="417" t="s">
        <v>691</v>
      </c>
      <c r="C2124" s="83">
        <v>46165</v>
      </c>
      <c r="D2124" s="417" t="s">
        <v>317</v>
      </c>
      <c r="E2124">
        <v>1439.0631000000001</v>
      </c>
      <c r="F2124">
        <v>2</v>
      </c>
      <c r="G2124">
        <v>719.53155000000004</v>
      </c>
      <c r="H2124">
        <v>0.78905000000000003</v>
      </c>
      <c r="I2124">
        <v>26.4124340822077</v>
      </c>
    </row>
    <row r="2125" spans="1:9" x14ac:dyDescent="0.35">
      <c r="A2125" s="417" t="s">
        <v>846</v>
      </c>
      <c r="B2125" s="417" t="s">
        <v>691</v>
      </c>
      <c r="C2125" s="83">
        <v>46165</v>
      </c>
      <c r="D2125" s="417" t="s">
        <v>504</v>
      </c>
      <c r="E2125">
        <v>1440</v>
      </c>
      <c r="F2125">
        <v>1</v>
      </c>
      <c r="G2125">
        <v>1440</v>
      </c>
      <c r="H2125">
        <v>0</v>
      </c>
      <c r="I2125">
        <v>41.032407407407398</v>
      </c>
    </row>
    <row r="2126" spans="1:9" x14ac:dyDescent="0.35">
      <c r="A2126" s="417" t="s">
        <v>846</v>
      </c>
      <c r="B2126" s="417" t="s">
        <v>676</v>
      </c>
      <c r="C2126" s="83">
        <v>46164</v>
      </c>
      <c r="D2126" s="417" t="s">
        <v>677</v>
      </c>
      <c r="E2126">
        <v>1335.5051000000001</v>
      </c>
      <c r="F2126">
        <v>214</v>
      </c>
      <c r="G2126">
        <v>6.2406780373831801</v>
      </c>
      <c r="H2126">
        <v>104.4949</v>
      </c>
      <c r="I2126">
        <v>1.0305555555555299</v>
      </c>
    </row>
    <row r="2127" spans="1:9" x14ac:dyDescent="0.35">
      <c r="A2127" s="417" t="s">
        <v>846</v>
      </c>
      <c r="B2127" s="417" t="s">
        <v>676</v>
      </c>
      <c r="C2127" s="83">
        <v>46164</v>
      </c>
      <c r="D2127" s="417" t="s">
        <v>678</v>
      </c>
      <c r="E2127">
        <v>1324.6380833333301</v>
      </c>
      <c r="F2127">
        <v>39</v>
      </c>
      <c r="G2127">
        <v>33.965079059829101</v>
      </c>
      <c r="H2127">
        <v>25.967849999999999</v>
      </c>
      <c r="I2127">
        <v>103.49882919049701</v>
      </c>
    </row>
    <row r="2128" spans="1:9" x14ac:dyDescent="0.35">
      <c r="A2128" s="417" t="s">
        <v>846</v>
      </c>
      <c r="B2128" s="417" t="s">
        <v>676</v>
      </c>
      <c r="C2128" s="83">
        <v>46164</v>
      </c>
      <c r="D2128" s="417" t="s">
        <v>679</v>
      </c>
      <c r="E2128">
        <v>1382.00506666667</v>
      </c>
      <c r="F2128">
        <v>29</v>
      </c>
      <c r="G2128">
        <v>47.655347126436801</v>
      </c>
      <c r="H2128">
        <v>17.5047</v>
      </c>
      <c r="I2128">
        <v>102.54114458603399</v>
      </c>
    </row>
    <row r="2129" spans="1:9" x14ac:dyDescent="0.35">
      <c r="A2129" s="417" t="s">
        <v>846</v>
      </c>
      <c r="B2129" s="417" t="s">
        <v>680</v>
      </c>
      <c r="C2129" s="83">
        <v>46164</v>
      </c>
      <c r="D2129" s="417" t="s">
        <v>681</v>
      </c>
      <c r="E2129">
        <v>1239.3492166666699</v>
      </c>
      <c r="F2129">
        <v>255</v>
      </c>
      <c r="G2129">
        <v>4.8601930065359502</v>
      </c>
      <c r="H2129">
        <v>3.3409833333333299</v>
      </c>
      <c r="I2129">
        <v>21.974245279004901</v>
      </c>
    </row>
    <row r="2130" spans="1:9" x14ac:dyDescent="0.35">
      <c r="A2130" s="417" t="s">
        <v>846</v>
      </c>
      <c r="B2130" s="417" t="s">
        <v>680</v>
      </c>
      <c r="C2130" s="83">
        <v>46164</v>
      </c>
      <c r="D2130" s="417" t="s">
        <v>684</v>
      </c>
      <c r="E2130">
        <v>1306.1105500000001</v>
      </c>
      <c r="F2130">
        <v>211</v>
      </c>
      <c r="G2130">
        <v>6.1900973933649199</v>
      </c>
      <c r="H2130">
        <v>40.969450000000002</v>
      </c>
      <c r="I2130">
        <v>18.599107418241001</v>
      </c>
    </row>
    <row r="2131" spans="1:9" x14ac:dyDescent="0.35">
      <c r="A2131" s="417" t="s">
        <v>846</v>
      </c>
      <c r="B2131" s="417" t="s">
        <v>680</v>
      </c>
      <c r="C2131" s="83">
        <v>46164</v>
      </c>
      <c r="D2131" s="417" t="s">
        <v>689</v>
      </c>
      <c r="E2131">
        <v>1412.2114166666699</v>
      </c>
      <c r="F2131">
        <v>38</v>
      </c>
      <c r="G2131">
        <v>37.163458333333303</v>
      </c>
      <c r="H2131">
        <v>0.1668</v>
      </c>
      <c r="I2131">
        <v>15.6826155527153</v>
      </c>
    </row>
    <row r="2132" spans="1:9" x14ac:dyDescent="0.35">
      <c r="A2132" s="417" t="s">
        <v>846</v>
      </c>
      <c r="B2132" s="417" t="s">
        <v>680</v>
      </c>
      <c r="C2132" s="83">
        <v>46164</v>
      </c>
      <c r="D2132" s="417" t="s">
        <v>683</v>
      </c>
      <c r="E2132">
        <v>1384.7609666666699</v>
      </c>
      <c r="F2132">
        <v>32</v>
      </c>
      <c r="G2132">
        <v>43.273780208333299</v>
      </c>
      <c r="H2132">
        <v>0</v>
      </c>
      <c r="I2132">
        <v>5.6289251104770202</v>
      </c>
    </row>
    <row r="2133" spans="1:9" x14ac:dyDescent="0.35">
      <c r="A2133" s="417" t="s">
        <v>846</v>
      </c>
      <c r="B2133" s="417" t="s">
        <v>680</v>
      </c>
      <c r="C2133" s="83">
        <v>46164</v>
      </c>
      <c r="D2133" s="417" t="s">
        <v>687</v>
      </c>
      <c r="E2133">
        <v>1406.53025</v>
      </c>
      <c r="F2133">
        <v>18</v>
      </c>
      <c r="G2133">
        <v>78.140569444444495</v>
      </c>
      <c r="H2133">
        <v>16.156116666666701</v>
      </c>
      <c r="I2133">
        <v>17.517947763102999</v>
      </c>
    </row>
    <row r="2134" spans="1:9" x14ac:dyDescent="0.35">
      <c r="A2134" s="417" t="s">
        <v>846</v>
      </c>
      <c r="B2134" s="417" t="s">
        <v>680</v>
      </c>
      <c r="C2134" s="83">
        <v>46164</v>
      </c>
      <c r="D2134" s="417" t="s">
        <v>688</v>
      </c>
      <c r="E2134">
        <v>475.01001666666701</v>
      </c>
      <c r="F2134">
        <v>2</v>
      </c>
      <c r="G2134">
        <v>237.505008333333</v>
      </c>
      <c r="H2134">
        <v>0</v>
      </c>
      <c r="I2134">
        <v>0.22853887230216599</v>
      </c>
    </row>
    <row r="2135" spans="1:9" x14ac:dyDescent="0.35">
      <c r="A2135" s="417" t="s">
        <v>846</v>
      </c>
      <c r="B2135" s="417" t="s">
        <v>680</v>
      </c>
      <c r="C2135" s="83">
        <v>46164</v>
      </c>
      <c r="D2135" s="417" t="s">
        <v>690</v>
      </c>
      <c r="E2135">
        <v>476.49815000000001</v>
      </c>
      <c r="F2135">
        <v>1</v>
      </c>
      <c r="G2135">
        <v>476.49815000000001</v>
      </c>
      <c r="H2135">
        <v>0</v>
      </c>
      <c r="I2135">
        <v>0</v>
      </c>
    </row>
    <row r="2136" spans="1:9" x14ac:dyDescent="0.35">
      <c r="A2136" s="417" t="s">
        <v>846</v>
      </c>
      <c r="B2136" s="417" t="s">
        <v>691</v>
      </c>
      <c r="C2136" s="83">
        <v>46164</v>
      </c>
      <c r="D2136" s="417" t="s">
        <v>299</v>
      </c>
      <c r="E2136">
        <v>1325.0653</v>
      </c>
      <c r="F2136">
        <v>157</v>
      </c>
      <c r="G2136">
        <v>8.4399063694267493</v>
      </c>
      <c r="H2136">
        <v>1.3648499999999999</v>
      </c>
      <c r="I2136">
        <v>81.663477089694993</v>
      </c>
    </row>
    <row r="2137" spans="1:9" x14ac:dyDescent="0.35">
      <c r="A2137" s="417" t="s">
        <v>846</v>
      </c>
      <c r="B2137" s="417" t="s">
        <v>691</v>
      </c>
      <c r="C2137" s="83">
        <v>46164</v>
      </c>
      <c r="D2137" s="417" t="s">
        <v>309</v>
      </c>
      <c r="E2137">
        <v>1314.3125500000001</v>
      </c>
      <c r="F2137">
        <v>114</v>
      </c>
      <c r="G2137">
        <v>11.5290574561404</v>
      </c>
      <c r="H2137">
        <v>0</v>
      </c>
      <c r="I2137">
        <v>80.0883608259673</v>
      </c>
    </row>
    <row r="2138" spans="1:9" x14ac:dyDescent="0.35">
      <c r="A2138" s="417" t="s">
        <v>846</v>
      </c>
      <c r="B2138" s="417" t="s">
        <v>691</v>
      </c>
      <c r="C2138" s="83">
        <v>46164</v>
      </c>
      <c r="D2138" s="417" t="s">
        <v>301</v>
      </c>
      <c r="E2138">
        <v>1355.1153833333301</v>
      </c>
      <c r="F2138">
        <v>111</v>
      </c>
      <c r="G2138">
        <v>12.208246696696699</v>
      </c>
      <c r="H2138">
        <v>5.51675</v>
      </c>
      <c r="I2138">
        <v>64.118035606687897</v>
      </c>
    </row>
    <row r="2139" spans="1:9" x14ac:dyDescent="0.35">
      <c r="A2139" s="417" t="s">
        <v>846</v>
      </c>
      <c r="B2139" s="417" t="s">
        <v>691</v>
      </c>
      <c r="C2139" s="83">
        <v>46164</v>
      </c>
      <c r="D2139" s="417" t="s">
        <v>305</v>
      </c>
      <c r="E2139">
        <v>1290.2620666666701</v>
      </c>
      <c r="F2139">
        <v>110</v>
      </c>
      <c r="G2139">
        <v>11.7296551515152</v>
      </c>
      <c r="H2139">
        <v>2.58036666666667</v>
      </c>
      <c r="I2139">
        <v>78.212144793002295</v>
      </c>
    </row>
    <row r="2140" spans="1:9" x14ac:dyDescent="0.35">
      <c r="A2140" s="417" t="s">
        <v>846</v>
      </c>
      <c r="B2140" s="417" t="s">
        <v>691</v>
      </c>
      <c r="C2140" s="83">
        <v>46164</v>
      </c>
      <c r="D2140" s="417" t="s">
        <v>295</v>
      </c>
      <c r="E2140">
        <v>1381.2942166666701</v>
      </c>
      <c r="F2140">
        <v>71</v>
      </c>
      <c r="G2140">
        <v>19.454848122065702</v>
      </c>
      <c r="H2140">
        <v>0.5736</v>
      </c>
      <c r="I2140">
        <v>82.702794068643001</v>
      </c>
    </row>
    <row r="2141" spans="1:9" x14ac:dyDescent="0.35">
      <c r="A2141" s="417" t="s">
        <v>846</v>
      </c>
      <c r="B2141" s="417" t="s">
        <v>691</v>
      </c>
      <c r="C2141" s="83">
        <v>46164</v>
      </c>
      <c r="D2141" s="417" t="s">
        <v>303</v>
      </c>
      <c r="E2141">
        <v>1382.50743333333</v>
      </c>
      <c r="F2141">
        <v>41</v>
      </c>
      <c r="G2141">
        <v>33.719693495934997</v>
      </c>
      <c r="H2141">
        <v>0.27493333333333297</v>
      </c>
      <c r="I2141">
        <v>65.268749438917695</v>
      </c>
    </row>
    <row r="2142" spans="1:9" x14ac:dyDescent="0.35">
      <c r="A2142" s="417" t="s">
        <v>846</v>
      </c>
      <c r="B2142" s="417" t="s">
        <v>691</v>
      </c>
      <c r="C2142" s="83">
        <v>46164</v>
      </c>
      <c r="D2142" s="417" t="s">
        <v>310</v>
      </c>
      <c r="E2142">
        <v>1347.6213499999999</v>
      </c>
      <c r="F2142">
        <v>11</v>
      </c>
      <c r="G2142">
        <v>122.511031818182</v>
      </c>
      <c r="H2142">
        <v>2.8627166666666701</v>
      </c>
      <c r="I2142">
        <v>48.529446899312497</v>
      </c>
    </row>
    <row r="2143" spans="1:9" x14ac:dyDescent="0.35">
      <c r="A2143" s="417" t="s">
        <v>846</v>
      </c>
      <c r="B2143" s="417" t="s">
        <v>691</v>
      </c>
      <c r="C2143" s="83">
        <v>46164</v>
      </c>
      <c r="D2143" s="417" t="s">
        <v>313</v>
      </c>
      <c r="E2143">
        <v>1425.6458666666699</v>
      </c>
      <c r="F2143">
        <v>7</v>
      </c>
      <c r="G2143">
        <v>203.66369523809499</v>
      </c>
      <c r="H2143">
        <v>0</v>
      </c>
      <c r="I2143">
        <v>48.099401539660299</v>
      </c>
    </row>
    <row r="2144" spans="1:9" x14ac:dyDescent="0.35">
      <c r="A2144" s="417" t="s">
        <v>846</v>
      </c>
      <c r="B2144" s="417" t="s">
        <v>691</v>
      </c>
      <c r="C2144" s="83">
        <v>46164</v>
      </c>
      <c r="D2144" s="417" t="s">
        <v>314</v>
      </c>
      <c r="E2144">
        <v>1421.4022833333299</v>
      </c>
      <c r="F2144">
        <v>7</v>
      </c>
      <c r="G2144">
        <v>203.05746904761901</v>
      </c>
      <c r="H2144">
        <v>0.48859999999999998</v>
      </c>
      <c r="I2144">
        <v>37.397386393818103</v>
      </c>
    </row>
    <row r="2145" spans="1:9" x14ac:dyDescent="0.35">
      <c r="A2145" s="417" t="s">
        <v>846</v>
      </c>
      <c r="B2145" s="417" t="s">
        <v>691</v>
      </c>
      <c r="C2145" s="83">
        <v>46164</v>
      </c>
      <c r="D2145" s="417" t="s">
        <v>317</v>
      </c>
      <c r="E2145">
        <v>1438.3234500000001</v>
      </c>
      <c r="F2145">
        <v>1</v>
      </c>
      <c r="G2145">
        <v>1438.3234500000001</v>
      </c>
      <c r="H2145">
        <v>0</v>
      </c>
      <c r="I2145">
        <v>36.525164072100701</v>
      </c>
    </row>
    <row r="2146" spans="1:9" x14ac:dyDescent="0.35">
      <c r="A2146" s="417" t="s">
        <v>846</v>
      </c>
      <c r="B2146" s="417" t="s">
        <v>691</v>
      </c>
      <c r="C2146" s="83">
        <v>46164</v>
      </c>
      <c r="D2146" s="417" t="s">
        <v>504</v>
      </c>
      <c r="E2146">
        <v>1440</v>
      </c>
      <c r="F2146">
        <v>1</v>
      </c>
      <c r="G2146">
        <v>1440</v>
      </c>
      <c r="H2146">
        <v>0</v>
      </c>
      <c r="I2146">
        <v>58.309567901234601</v>
      </c>
    </row>
    <row r="2147" spans="1:9" x14ac:dyDescent="0.35">
      <c r="A2147" s="417" t="s">
        <v>846</v>
      </c>
      <c r="B2147" s="417" t="s">
        <v>676</v>
      </c>
      <c r="C2147" s="83">
        <v>46163</v>
      </c>
      <c r="D2147" s="417" t="s">
        <v>677</v>
      </c>
      <c r="E2147">
        <v>1223.5601666666701</v>
      </c>
      <c r="F2147">
        <v>272</v>
      </c>
      <c r="G2147">
        <v>4.4983829656862797</v>
      </c>
      <c r="H2147">
        <v>133.76763333333301</v>
      </c>
      <c r="I2147">
        <v>32.093333333333298</v>
      </c>
    </row>
    <row r="2148" spans="1:9" x14ac:dyDescent="0.35">
      <c r="A2148" s="417" t="s">
        <v>846</v>
      </c>
      <c r="B2148" s="417" t="s">
        <v>676</v>
      </c>
      <c r="C2148" s="83">
        <v>46163</v>
      </c>
      <c r="D2148" s="417" t="s">
        <v>678</v>
      </c>
      <c r="E2148">
        <v>1088.3690166666699</v>
      </c>
      <c r="F2148">
        <v>38</v>
      </c>
      <c r="G2148">
        <v>28.641289912280701</v>
      </c>
      <c r="H2148">
        <v>41.818466666666701</v>
      </c>
      <c r="I2148">
        <v>65.9281322238173</v>
      </c>
    </row>
    <row r="2149" spans="1:9" x14ac:dyDescent="0.35">
      <c r="A2149" s="417" t="s">
        <v>846</v>
      </c>
      <c r="B2149" s="417" t="s">
        <v>676</v>
      </c>
      <c r="C2149" s="83">
        <v>46163</v>
      </c>
      <c r="D2149" s="417" t="s">
        <v>679</v>
      </c>
      <c r="E2149">
        <v>1141.4789000000001</v>
      </c>
      <c r="F2149">
        <v>37</v>
      </c>
      <c r="G2149">
        <v>30.850781081081099</v>
      </c>
      <c r="H2149">
        <v>42.337899999999998</v>
      </c>
      <c r="I2149">
        <v>65.443249773883593</v>
      </c>
    </row>
    <row r="2150" spans="1:9" x14ac:dyDescent="0.35">
      <c r="A2150" s="417" t="s">
        <v>846</v>
      </c>
      <c r="B2150" s="417" t="s">
        <v>680</v>
      </c>
      <c r="C2150" s="83">
        <v>46163</v>
      </c>
      <c r="D2150" s="417" t="s">
        <v>684</v>
      </c>
      <c r="E2150">
        <v>1322.1665333333301</v>
      </c>
      <c r="F2150">
        <v>293</v>
      </c>
      <c r="G2150">
        <v>4.5125137656427698</v>
      </c>
      <c r="H2150">
        <v>28.38485</v>
      </c>
      <c r="I2150">
        <v>11.445905291117301</v>
      </c>
    </row>
    <row r="2151" spans="1:9" x14ac:dyDescent="0.35">
      <c r="A2151" s="417" t="s">
        <v>846</v>
      </c>
      <c r="B2151" s="417" t="s">
        <v>680</v>
      </c>
      <c r="C2151" s="83">
        <v>46163</v>
      </c>
      <c r="D2151" s="417" t="s">
        <v>681</v>
      </c>
      <c r="E2151">
        <v>1308.2828999999999</v>
      </c>
      <c r="F2151">
        <v>281</v>
      </c>
      <c r="G2151">
        <v>4.6558110320284696</v>
      </c>
      <c r="H2151">
        <v>6.8282499999999997</v>
      </c>
      <c r="I2151">
        <v>16.938276602832801</v>
      </c>
    </row>
    <row r="2152" spans="1:9" x14ac:dyDescent="0.35">
      <c r="A2152" s="417" t="s">
        <v>846</v>
      </c>
      <c r="B2152" s="417" t="s">
        <v>680</v>
      </c>
      <c r="C2152" s="83">
        <v>46163</v>
      </c>
      <c r="D2152" s="417" t="s">
        <v>683</v>
      </c>
      <c r="E2152">
        <v>1247.9294</v>
      </c>
      <c r="F2152">
        <v>102</v>
      </c>
      <c r="G2152">
        <v>12.2346019607843</v>
      </c>
      <c r="H2152">
        <v>19.490400000000001</v>
      </c>
      <c r="I2152">
        <v>10.962271466418301</v>
      </c>
    </row>
    <row r="2153" spans="1:9" x14ac:dyDescent="0.35">
      <c r="A2153" s="417" t="s">
        <v>846</v>
      </c>
      <c r="B2153" s="417" t="s">
        <v>680</v>
      </c>
      <c r="C2153" s="83">
        <v>46163</v>
      </c>
      <c r="D2153" s="417" t="s">
        <v>689</v>
      </c>
      <c r="E2153">
        <v>1394.5717999999999</v>
      </c>
      <c r="F2153">
        <v>77</v>
      </c>
      <c r="G2153">
        <v>18.1113220779221</v>
      </c>
      <c r="H2153">
        <v>0</v>
      </c>
      <c r="I2153">
        <v>13.3502581220345</v>
      </c>
    </row>
    <row r="2154" spans="1:9" x14ac:dyDescent="0.35">
      <c r="A2154" s="417" t="s">
        <v>846</v>
      </c>
      <c r="B2154" s="417" t="s">
        <v>680</v>
      </c>
      <c r="C2154" s="83">
        <v>46163</v>
      </c>
      <c r="D2154" s="417" t="s">
        <v>687</v>
      </c>
      <c r="E2154">
        <v>1404.9712</v>
      </c>
      <c r="F2154">
        <v>30</v>
      </c>
      <c r="G2154">
        <v>46.832373333333301</v>
      </c>
      <c r="H2154">
        <v>25.01615</v>
      </c>
      <c r="I2154">
        <v>12.1193697654356</v>
      </c>
    </row>
    <row r="2155" spans="1:9" x14ac:dyDescent="0.35">
      <c r="A2155" s="417" t="s">
        <v>846</v>
      </c>
      <c r="B2155" s="417" t="s">
        <v>691</v>
      </c>
      <c r="C2155" s="83">
        <v>46163</v>
      </c>
      <c r="D2155" s="417" t="s">
        <v>301</v>
      </c>
      <c r="E2155">
        <v>1321.29576666667</v>
      </c>
      <c r="F2155">
        <v>110</v>
      </c>
      <c r="G2155">
        <v>12.0117796969697</v>
      </c>
      <c r="H2155">
        <v>1.2799833333333299</v>
      </c>
      <c r="I2155">
        <v>54.009162133833399</v>
      </c>
    </row>
    <row r="2156" spans="1:9" x14ac:dyDescent="0.35">
      <c r="A2156" s="417" t="s">
        <v>846</v>
      </c>
      <c r="B2156" s="417" t="s">
        <v>691</v>
      </c>
      <c r="C2156" s="83">
        <v>46163</v>
      </c>
      <c r="D2156" s="417" t="s">
        <v>309</v>
      </c>
      <c r="E2156">
        <v>1310.5109833333299</v>
      </c>
      <c r="F2156">
        <v>103</v>
      </c>
      <c r="G2156">
        <v>12.723407605178</v>
      </c>
      <c r="H2156">
        <v>0</v>
      </c>
      <c r="I2156">
        <v>60.470662121431701</v>
      </c>
    </row>
    <row r="2157" spans="1:9" x14ac:dyDescent="0.35">
      <c r="A2157" s="417" t="s">
        <v>846</v>
      </c>
      <c r="B2157" s="417" t="s">
        <v>691</v>
      </c>
      <c r="C2157" s="83">
        <v>46163</v>
      </c>
      <c r="D2157" s="417" t="s">
        <v>299</v>
      </c>
      <c r="E2157">
        <v>1365.8010833333301</v>
      </c>
      <c r="F2157">
        <v>96</v>
      </c>
      <c r="G2157">
        <v>14.227094618055601</v>
      </c>
      <c r="H2157">
        <v>0.4153</v>
      </c>
      <c r="I2157">
        <v>73.438538515034793</v>
      </c>
    </row>
    <row r="2158" spans="1:9" x14ac:dyDescent="0.35">
      <c r="A2158" s="417" t="s">
        <v>846</v>
      </c>
      <c r="B2158" s="417" t="s">
        <v>691</v>
      </c>
      <c r="C2158" s="83">
        <v>46163</v>
      </c>
      <c r="D2158" s="417" t="s">
        <v>295</v>
      </c>
      <c r="E2158">
        <v>1314.8168000000001</v>
      </c>
      <c r="F2158">
        <v>90</v>
      </c>
      <c r="G2158">
        <v>14.6090755555556</v>
      </c>
      <c r="H2158">
        <v>0.31883333333333302</v>
      </c>
      <c r="I2158">
        <v>70.438613784328894</v>
      </c>
    </row>
    <row r="2159" spans="1:9" x14ac:dyDescent="0.35">
      <c r="A2159" s="417" t="s">
        <v>846</v>
      </c>
      <c r="B2159" s="417" t="s">
        <v>691</v>
      </c>
      <c r="C2159" s="83">
        <v>46163</v>
      </c>
      <c r="D2159" s="417" t="s">
        <v>305</v>
      </c>
      <c r="E2159">
        <v>1312.4227166666701</v>
      </c>
      <c r="F2159">
        <v>86</v>
      </c>
      <c r="G2159">
        <v>15.260729263565899</v>
      </c>
      <c r="H2159">
        <v>2.2389999999999999</v>
      </c>
      <c r="I2159">
        <v>66.188790468418105</v>
      </c>
    </row>
    <row r="2160" spans="1:9" x14ac:dyDescent="0.35">
      <c r="A2160" s="417" t="s">
        <v>846</v>
      </c>
      <c r="B2160" s="417" t="s">
        <v>691</v>
      </c>
      <c r="C2160" s="83">
        <v>46163</v>
      </c>
      <c r="D2160" s="417" t="s">
        <v>303</v>
      </c>
      <c r="E2160">
        <v>1368.6341666666699</v>
      </c>
      <c r="F2160">
        <v>69</v>
      </c>
      <c r="G2160">
        <v>19.835277777777801</v>
      </c>
      <c r="H2160">
        <v>0.34746666666666698</v>
      </c>
      <c r="I2160">
        <v>55.087677429051197</v>
      </c>
    </row>
    <row r="2161" spans="1:9" x14ac:dyDescent="0.35">
      <c r="A2161" s="417" t="s">
        <v>846</v>
      </c>
      <c r="B2161" s="417" t="s">
        <v>691</v>
      </c>
      <c r="C2161" s="83">
        <v>46163</v>
      </c>
      <c r="D2161" s="417" t="s">
        <v>310</v>
      </c>
      <c r="E2161">
        <v>1303.07506666667</v>
      </c>
      <c r="F2161">
        <v>31</v>
      </c>
      <c r="G2161">
        <v>42.034679569892504</v>
      </c>
      <c r="H2161">
        <v>0.3886</v>
      </c>
      <c r="I2161">
        <v>36.898554752670996</v>
      </c>
    </row>
    <row r="2162" spans="1:9" x14ac:dyDescent="0.35">
      <c r="A2162" s="417" t="s">
        <v>846</v>
      </c>
      <c r="B2162" s="417" t="s">
        <v>691</v>
      </c>
      <c r="C2162" s="83">
        <v>46163</v>
      </c>
      <c r="D2162" s="417" t="s">
        <v>313</v>
      </c>
      <c r="E2162">
        <v>1382.0112666666701</v>
      </c>
      <c r="F2162">
        <v>18</v>
      </c>
      <c r="G2162">
        <v>76.778403703703702</v>
      </c>
      <c r="H2162">
        <v>0</v>
      </c>
      <c r="I2162">
        <v>44.347051947267097</v>
      </c>
    </row>
    <row r="2163" spans="1:9" x14ac:dyDescent="0.35">
      <c r="A2163" s="417" t="s">
        <v>846</v>
      </c>
      <c r="B2163" s="417" t="s">
        <v>691</v>
      </c>
      <c r="C2163" s="83">
        <v>46163</v>
      </c>
      <c r="D2163" s="417" t="s">
        <v>314</v>
      </c>
      <c r="E2163">
        <v>1407.32678333333</v>
      </c>
      <c r="F2163">
        <v>12</v>
      </c>
      <c r="G2163">
        <v>117.277231944444</v>
      </c>
      <c r="H2163">
        <v>0.58713333333333295</v>
      </c>
      <c r="I2163">
        <v>30.8650411877768</v>
      </c>
    </row>
    <row r="2164" spans="1:9" x14ac:dyDescent="0.35">
      <c r="A2164" s="417" t="s">
        <v>846</v>
      </c>
      <c r="B2164" s="417" t="s">
        <v>691</v>
      </c>
      <c r="C2164" s="83">
        <v>46163</v>
      </c>
      <c r="D2164" s="417" t="s">
        <v>317</v>
      </c>
      <c r="E2164">
        <v>1430.2924499999999</v>
      </c>
      <c r="F2164">
        <v>3</v>
      </c>
      <c r="G2164">
        <v>476.76414999999997</v>
      </c>
      <c r="H2164">
        <v>6.9713500000000002</v>
      </c>
      <c r="I2164">
        <v>32.133975683517498</v>
      </c>
    </row>
    <row r="2165" spans="1:9" x14ac:dyDescent="0.35">
      <c r="A2165" s="417" t="s">
        <v>846</v>
      </c>
      <c r="B2165" s="417" t="s">
        <v>691</v>
      </c>
      <c r="C2165" s="83">
        <v>46163</v>
      </c>
      <c r="D2165" s="417" t="s">
        <v>504</v>
      </c>
      <c r="E2165">
        <v>1440</v>
      </c>
      <c r="F2165">
        <v>1</v>
      </c>
      <c r="G2165">
        <v>1440</v>
      </c>
      <c r="H2165">
        <v>0</v>
      </c>
      <c r="I2165">
        <v>38.008950617284</v>
      </c>
    </row>
    <row r="2166" spans="1:9" x14ac:dyDescent="0.35">
      <c r="A2166" s="417" t="s">
        <v>846</v>
      </c>
      <c r="B2166" s="417" t="s">
        <v>676</v>
      </c>
      <c r="C2166" s="83">
        <v>46162</v>
      </c>
      <c r="D2166" s="417" t="s">
        <v>677</v>
      </c>
      <c r="E2166">
        <v>1311.67683333333</v>
      </c>
      <c r="F2166">
        <v>227</v>
      </c>
      <c r="G2166">
        <v>5.7783120411160098</v>
      </c>
      <c r="H2166">
        <v>110.49268333333301</v>
      </c>
      <c r="I2166">
        <v>49.757222222222197</v>
      </c>
    </row>
    <row r="2167" spans="1:9" x14ac:dyDescent="0.35">
      <c r="A2167" s="417" t="s">
        <v>846</v>
      </c>
      <c r="B2167" s="417" t="s">
        <v>676</v>
      </c>
      <c r="C2167" s="83">
        <v>46162</v>
      </c>
      <c r="D2167" s="417" t="s">
        <v>678</v>
      </c>
      <c r="E2167">
        <v>1389.0155833333299</v>
      </c>
      <c r="F2167">
        <v>52</v>
      </c>
      <c r="G2167">
        <v>26.711838141025599</v>
      </c>
      <c r="H2167">
        <v>25.795283333333298</v>
      </c>
      <c r="I2167">
        <v>88.606189670675903</v>
      </c>
    </row>
    <row r="2168" spans="1:9" x14ac:dyDescent="0.35">
      <c r="A2168" s="417" t="s">
        <v>846</v>
      </c>
      <c r="B2168" s="417" t="s">
        <v>676</v>
      </c>
      <c r="C2168" s="83">
        <v>46162</v>
      </c>
      <c r="D2168" s="417" t="s">
        <v>679</v>
      </c>
      <c r="E2168">
        <v>1366.4707000000001</v>
      </c>
      <c r="F2168">
        <v>18</v>
      </c>
      <c r="G2168">
        <v>75.915038888888901</v>
      </c>
      <c r="H2168">
        <v>19.682400000000001</v>
      </c>
      <c r="I2168">
        <v>99.833849522105496</v>
      </c>
    </row>
    <row r="2169" spans="1:9" x14ac:dyDescent="0.35">
      <c r="A2169" s="417" t="s">
        <v>846</v>
      </c>
      <c r="B2169" s="417" t="s">
        <v>680</v>
      </c>
      <c r="C2169" s="83">
        <v>46162</v>
      </c>
      <c r="D2169" s="417" t="s">
        <v>681</v>
      </c>
      <c r="E2169">
        <v>1154.2912166666699</v>
      </c>
      <c r="F2169">
        <v>134</v>
      </c>
      <c r="G2169">
        <v>8.6141135572139298</v>
      </c>
      <c r="H2169">
        <v>0.166616666666667</v>
      </c>
      <c r="I2169">
        <v>39.264593789814398</v>
      </c>
    </row>
    <row r="2170" spans="1:9" x14ac:dyDescent="0.35">
      <c r="A2170" s="417" t="s">
        <v>846</v>
      </c>
      <c r="B2170" s="417" t="s">
        <v>680</v>
      </c>
      <c r="C2170" s="83">
        <v>46162</v>
      </c>
      <c r="D2170" s="417" t="s">
        <v>684</v>
      </c>
      <c r="E2170">
        <v>1323.58655</v>
      </c>
      <c r="F2170">
        <v>113</v>
      </c>
      <c r="G2170">
        <v>11.7131553097345</v>
      </c>
      <c r="H2170">
        <v>31.097650000000002</v>
      </c>
      <c r="I2170">
        <v>9.5865651616214702</v>
      </c>
    </row>
    <row r="2171" spans="1:9" x14ac:dyDescent="0.35">
      <c r="A2171" s="417" t="s">
        <v>846</v>
      </c>
      <c r="B2171" s="417" t="s">
        <v>680</v>
      </c>
      <c r="C2171" s="83">
        <v>46162</v>
      </c>
      <c r="D2171" s="417" t="s">
        <v>689</v>
      </c>
      <c r="E2171">
        <v>1346.1097500000001</v>
      </c>
      <c r="F2171">
        <v>111</v>
      </c>
      <c r="G2171">
        <v>12.1271148648649</v>
      </c>
      <c r="H2171">
        <v>4.0079500000000001</v>
      </c>
      <c r="I2171">
        <v>17.807851994949001</v>
      </c>
    </row>
    <row r="2172" spans="1:9" x14ac:dyDescent="0.35">
      <c r="A2172" s="417" t="s">
        <v>846</v>
      </c>
      <c r="B2172" s="417" t="s">
        <v>680</v>
      </c>
      <c r="C2172" s="83">
        <v>46162</v>
      </c>
      <c r="D2172" s="417" t="s">
        <v>687</v>
      </c>
      <c r="E2172">
        <v>1280.21483333333</v>
      </c>
      <c r="F2172">
        <v>68</v>
      </c>
      <c r="G2172">
        <v>18.8266887254902</v>
      </c>
      <c r="H2172">
        <v>36.783333333333303</v>
      </c>
      <c r="I2172">
        <v>6.4049236671471403</v>
      </c>
    </row>
    <row r="2173" spans="1:9" x14ac:dyDescent="0.35">
      <c r="A2173" s="417" t="s">
        <v>846</v>
      </c>
      <c r="B2173" s="417" t="s">
        <v>680</v>
      </c>
      <c r="C2173" s="83">
        <v>46162</v>
      </c>
      <c r="D2173" s="417" t="s">
        <v>683</v>
      </c>
      <c r="E2173">
        <v>1088.93605</v>
      </c>
      <c r="F2173">
        <v>35</v>
      </c>
      <c r="G2173">
        <v>31.112458571428601</v>
      </c>
      <c r="H2173">
        <v>4.1559333333333299</v>
      </c>
      <c r="I2173">
        <v>27.227544390495002</v>
      </c>
    </row>
    <row r="2174" spans="1:9" x14ac:dyDescent="0.35">
      <c r="A2174" s="417" t="s">
        <v>846</v>
      </c>
      <c r="B2174" s="417" t="s">
        <v>680</v>
      </c>
      <c r="C2174" s="83">
        <v>46162</v>
      </c>
      <c r="D2174" s="417" t="s">
        <v>690</v>
      </c>
      <c r="E2174">
        <v>825.48940000000005</v>
      </c>
      <c r="F2174">
        <v>7</v>
      </c>
      <c r="G2174">
        <v>117.927057142857</v>
      </c>
      <c r="H2174">
        <v>1.8324833333333299</v>
      </c>
      <c r="I2174">
        <v>13.3453567627491</v>
      </c>
    </row>
    <row r="2175" spans="1:9" x14ac:dyDescent="0.35">
      <c r="A2175" s="417" t="s">
        <v>846</v>
      </c>
      <c r="B2175" s="417" t="s">
        <v>680</v>
      </c>
      <c r="C2175" s="83">
        <v>46162</v>
      </c>
      <c r="D2175" s="417" t="s">
        <v>682</v>
      </c>
      <c r="E2175">
        <v>836.16645000000005</v>
      </c>
      <c r="F2175">
        <v>5</v>
      </c>
      <c r="G2175">
        <v>167.23329000000001</v>
      </c>
      <c r="H2175">
        <v>3.8335499999999998</v>
      </c>
      <c r="I2175">
        <v>10.909090909090899</v>
      </c>
    </row>
    <row r="2176" spans="1:9" x14ac:dyDescent="0.35">
      <c r="A2176" s="417" t="s">
        <v>846</v>
      </c>
      <c r="B2176" s="417" t="s">
        <v>680</v>
      </c>
      <c r="C2176" s="83">
        <v>46162</v>
      </c>
      <c r="D2176" s="417" t="s">
        <v>685</v>
      </c>
      <c r="E2176">
        <v>828.68076666666695</v>
      </c>
      <c r="F2176">
        <v>3</v>
      </c>
      <c r="G2176">
        <v>276.22692222222202</v>
      </c>
      <c r="H2176">
        <v>1.16753333333333</v>
      </c>
      <c r="I2176">
        <v>23.0193438057238</v>
      </c>
    </row>
    <row r="2177" spans="1:9" x14ac:dyDescent="0.35">
      <c r="A2177" s="417" t="s">
        <v>846</v>
      </c>
      <c r="B2177" s="417" t="s">
        <v>680</v>
      </c>
      <c r="C2177" s="83">
        <v>46162</v>
      </c>
      <c r="D2177" s="417" t="s">
        <v>688</v>
      </c>
      <c r="E2177">
        <v>837.33226666666701</v>
      </c>
      <c r="F2177">
        <v>2</v>
      </c>
      <c r="G2177">
        <v>418.66613333333299</v>
      </c>
      <c r="H2177">
        <v>0</v>
      </c>
      <c r="I2177">
        <v>34.101355202665701</v>
      </c>
    </row>
    <row r="2178" spans="1:9" x14ac:dyDescent="0.35">
      <c r="A2178" s="417" t="s">
        <v>846</v>
      </c>
      <c r="B2178" s="417" t="s">
        <v>680</v>
      </c>
      <c r="C2178" s="83">
        <v>46162</v>
      </c>
      <c r="D2178" s="417" t="s">
        <v>686</v>
      </c>
      <c r="E2178">
        <v>840</v>
      </c>
      <c r="F2178">
        <v>1</v>
      </c>
      <c r="G2178">
        <v>840</v>
      </c>
      <c r="H2178">
        <v>0</v>
      </c>
      <c r="I2178">
        <v>1.75757575757575</v>
      </c>
    </row>
    <row r="2179" spans="1:9" x14ac:dyDescent="0.35">
      <c r="A2179" s="417" t="s">
        <v>846</v>
      </c>
      <c r="B2179" s="417" t="s">
        <v>691</v>
      </c>
      <c r="C2179" s="83">
        <v>46162</v>
      </c>
      <c r="D2179" s="417" t="s">
        <v>301</v>
      </c>
      <c r="E2179">
        <v>1356.3159333333299</v>
      </c>
      <c r="F2179">
        <v>115</v>
      </c>
      <c r="G2179">
        <v>11.7940515942029</v>
      </c>
      <c r="H2179">
        <v>2.00665</v>
      </c>
      <c r="I2179">
        <v>58.4360692157492</v>
      </c>
    </row>
    <row r="2180" spans="1:9" x14ac:dyDescent="0.35">
      <c r="A2180" s="417" t="s">
        <v>846</v>
      </c>
      <c r="B2180" s="417" t="s">
        <v>691</v>
      </c>
      <c r="C2180" s="83">
        <v>46162</v>
      </c>
      <c r="D2180" s="417" t="s">
        <v>309</v>
      </c>
      <c r="E2180">
        <v>1282.87265</v>
      </c>
      <c r="F2180">
        <v>83</v>
      </c>
      <c r="G2180">
        <v>15.4562969879518</v>
      </c>
      <c r="H2180">
        <v>0</v>
      </c>
      <c r="I2180">
        <v>63.992704388419703</v>
      </c>
    </row>
    <row r="2181" spans="1:9" x14ac:dyDescent="0.35">
      <c r="A2181" s="417" t="s">
        <v>846</v>
      </c>
      <c r="B2181" s="417" t="s">
        <v>691</v>
      </c>
      <c r="C2181" s="83">
        <v>46162</v>
      </c>
      <c r="D2181" s="417" t="s">
        <v>299</v>
      </c>
      <c r="E2181">
        <v>1372.7063333333299</v>
      </c>
      <c r="F2181">
        <v>70</v>
      </c>
      <c r="G2181">
        <v>19.6100904761905</v>
      </c>
      <c r="H2181">
        <v>0.18593333333333301</v>
      </c>
      <c r="I2181">
        <v>78.926808259156999</v>
      </c>
    </row>
    <row r="2182" spans="1:9" x14ac:dyDescent="0.35">
      <c r="A2182" s="417" t="s">
        <v>846</v>
      </c>
      <c r="B2182" s="417" t="s">
        <v>691</v>
      </c>
      <c r="C2182" s="83">
        <v>46162</v>
      </c>
      <c r="D2182" s="417" t="s">
        <v>303</v>
      </c>
      <c r="E2182">
        <v>1369.89378333333</v>
      </c>
      <c r="F2182">
        <v>57</v>
      </c>
      <c r="G2182">
        <v>24.0332242690058</v>
      </c>
      <c r="H2182">
        <v>0.186283333333333</v>
      </c>
      <c r="I2182">
        <v>58.280019174378602</v>
      </c>
    </row>
    <row r="2183" spans="1:9" x14ac:dyDescent="0.35">
      <c r="A2183" s="417" t="s">
        <v>846</v>
      </c>
      <c r="B2183" s="417" t="s">
        <v>691</v>
      </c>
      <c r="C2183" s="83">
        <v>46162</v>
      </c>
      <c r="D2183" s="417" t="s">
        <v>305</v>
      </c>
      <c r="E2183">
        <v>1343.6306833333299</v>
      </c>
      <c r="F2183">
        <v>56</v>
      </c>
      <c r="G2183">
        <v>23.993405059523798</v>
      </c>
      <c r="H2183">
        <v>9.2519500000000008</v>
      </c>
      <c r="I2183">
        <v>73.767960448658997</v>
      </c>
    </row>
    <row r="2184" spans="1:9" x14ac:dyDescent="0.35">
      <c r="A2184" s="417" t="s">
        <v>846</v>
      </c>
      <c r="B2184" s="417" t="s">
        <v>691</v>
      </c>
      <c r="C2184" s="83">
        <v>46162</v>
      </c>
      <c r="D2184" s="417" t="s">
        <v>295</v>
      </c>
      <c r="E2184">
        <v>1384.0581999999999</v>
      </c>
      <c r="F2184">
        <v>55</v>
      </c>
      <c r="G2184">
        <v>25.164694545454601</v>
      </c>
      <c r="H2184">
        <v>0.68156666666666699</v>
      </c>
      <c r="I2184">
        <v>83.643210717726006</v>
      </c>
    </row>
    <row r="2185" spans="1:9" x14ac:dyDescent="0.35">
      <c r="A2185" s="417" t="s">
        <v>846</v>
      </c>
      <c r="B2185" s="417" t="s">
        <v>691</v>
      </c>
      <c r="C2185" s="83">
        <v>46162</v>
      </c>
      <c r="D2185" s="417" t="s">
        <v>314</v>
      </c>
      <c r="E2185">
        <v>1345.7951</v>
      </c>
      <c r="F2185">
        <v>19</v>
      </c>
      <c r="G2185">
        <v>70.831321052631594</v>
      </c>
      <c r="H2185">
        <v>0.44903333333333301</v>
      </c>
      <c r="I2185">
        <v>30.456256441899399</v>
      </c>
    </row>
    <row r="2186" spans="1:9" x14ac:dyDescent="0.35">
      <c r="A2186" s="417" t="s">
        <v>846</v>
      </c>
      <c r="B2186" s="417" t="s">
        <v>691</v>
      </c>
      <c r="C2186" s="83">
        <v>46162</v>
      </c>
      <c r="D2186" s="417" t="s">
        <v>310</v>
      </c>
      <c r="E2186">
        <v>1403.3712333333301</v>
      </c>
      <c r="F2186">
        <v>4</v>
      </c>
      <c r="G2186">
        <v>350.84280833333298</v>
      </c>
      <c r="H2186">
        <v>2.1655333333333302</v>
      </c>
      <c r="I2186">
        <v>49.734313624816203</v>
      </c>
    </row>
    <row r="2187" spans="1:9" x14ac:dyDescent="0.35">
      <c r="A2187" s="417" t="s">
        <v>846</v>
      </c>
      <c r="B2187" s="417" t="s">
        <v>691</v>
      </c>
      <c r="C2187" s="83">
        <v>46162</v>
      </c>
      <c r="D2187" s="417" t="s">
        <v>313</v>
      </c>
      <c r="E2187">
        <v>1388.6091166666699</v>
      </c>
      <c r="F2187">
        <v>2</v>
      </c>
      <c r="G2187">
        <v>694.30455833333303</v>
      </c>
      <c r="H2187">
        <v>0</v>
      </c>
      <c r="I2187">
        <v>48.155583452943603</v>
      </c>
    </row>
    <row r="2188" spans="1:9" x14ac:dyDescent="0.35">
      <c r="A2188" s="417" t="s">
        <v>846</v>
      </c>
      <c r="B2188" s="417" t="s">
        <v>691</v>
      </c>
      <c r="C2188" s="83">
        <v>46162</v>
      </c>
      <c r="D2188" s="417" t="s">
        <v>317</v>
      </c>
      <c r="E2188">
        <v>1434.0096166666699</v>
      </c>
      <c r="F2188">
        <v>1</v>
      </c>
      <c r="G2188">
        <v>1434.0096166666699</v>
      </c>
      <c r="H2188">
        <v>0</v>
      </c>
      <c r="I2188">
        <v>31.990719913465899</v>
      </c>
    </row>
    <row r="2189" spans="1:9" x14ac:dyDescent="0.35">
      <c r="A2189" s="417" t="s">
        <v>846</v>
      </c>
      <c r="B2189" s="417" t="s">
        <v>691</v>
      </c>
      <c r="C2189" s="83">
        <v>46162</v>
      </c>
      <c r="D2189" s="417" t="s">
        <v>504</v>
      </c>
      <c r="E2189">
        <v>1440</v>
      </c>
      <c r="F2189">
        <v>1</v>
      </c>
      <c r="G2189">
        <v>1440</v>
      </c>
      <c r="H2189">
        <v>0</v>
      </c>
      <c r="I2189">
        <v>49.974074074074103</v>
      </c>
    </row>
    <row r="2190" spans="1:9" x14ac:dyDescent="0.35">
      <c r="A2190" s="417" t="s">
        <v>846</v>
      </c>
      <c r="B2190" s="417" t="s">
        <v>676</v>
      </c>
      <c r="C2190" s="83">
        <v>46161</v>
      </c>
      <c r="D2190" s="417" t="s">
        <v>677</v>
      </c>
      <c r="E2190">
        <v>1225.5897500000001</v>
      </c>
      <c r="F2190">
        <v>410</v>
      </c>
      <c r="G2190">
        <v>2.98924329268293</v>
      </c>
      <c r="H2190">
        <v>188.40831666666699</v>
      </c>
      <c r="I2190">
        <v>40.495277777777702</v>
      </c>
    </row>
    <row r="2191" spans="1:9" x14ac:dyDescent="0.35">
      <c r="A2191" s="417" t="s">
        <v>846</v>
      </c>
      <c r="B2191" s="417" t="s">
        <v>676</v>
      </c>
      <c r="C2191" s="83">
        <v>46161</v>
      </c>
      <c r="D2191" s="417" t="s">
        <v>679</v>
      </c>
      <c r="E2191">
        <v>1353.8910166666701</v>
      </c>
      <c r="F2191">
        <v>39</v>
      </c>
      <c r="G2191">
        <v>34.715154273504297</v>
      </c>
      <c r="H2191">
        <v>24.178366666666701</v>
      </c>
      <c r="I2191">
        <v>97.161290729882595</v>
      </c>
    </row>
    <row r="2192" spans="1:9" x14ac:dyDescent="0.35">
      <c r="A2192" s="417" t="s">
        <v>846</v>
      </c>
      <c r="B2192" s="417" t="s">
        <v>676</v>
      </c>
      <c r="C2192" s="83">
        <v>46161</v>
      </c>
      <c r="D2192" s="417" t="s">
        <v>678</v>
      </c>
      <c r="E2192">
        <v>1278.8315500000001</v>
      </c>
      <c r="F2192">
        <v>29</v>
      </c>
      <c r="G2192">
        <v>44.097639655172401</v>
      </c>
      <c r="H2192">
        <v>18.338750000000001</v>
      </c>
      <c r="I2192">
        <v>89.801924712254802</v>
      </c>
    </row>
    <row r="2193" spans="1:9" x14ac:dyDescent="0.35">
      <c r="A2193" s="417" t="s">
        <v>846</v>
      </c>
      <c r="B2193" s="417" t="s">
        <v>680</v>
      </c>
      <c r="C2193" s="83">
        <v>46161</v>
      </c>
      <c r="D2193" s="417" t="s">
        <v>684</v>
      </c>
      <c r="E2193">
        <v>1397.8385000000001</v>
      </c>
      <c r="F2193">
        <v>41</v>
      </c>
      <c r="G2193">
        <v>34.093621951219497</v>
      </c>
      <c r="H2193">
        <v>28.995049999999999</v>
      </c>
      <c r="I2193">
        <v>58.718974206321597</v>
      </c>
    </row>
    <row r="2194" spans="1:9" x14ac:dyDescent="0.35">
      <c r="A2194" s="417" t="s">
        <v>846</v>
      </c>
      <c r="B2194" s="417" t="s">
        <v>680</v>
      </c>
      <c r="C2194" s="83">
        <v>46161</v>
      </c>
      <c r="D2194" s="417" t="s">
        <v>681</v>
      </c>
      <c r="E2194">
        <v>1412.8068000000001</v>
      </c>
      <c r="F2194">
        <v>38</v>
      </c>
      <c r="G2194">
        <v>37.179126315789503</v>
      </c>
      <c r="H2194">
        <v>1.00901666666667</v>
      </c>
      <c r="I2194">
        <v>81.331852500657604</v>
      </c>
    </row>
    <row r="2195" spans="1:9" x14ac:dyDescent="0.35">
      <c r="A2195" s="417" t="s">
        <v>846</v>
      </c>
      <c r="B2195" s="417" t="s">
        <v>680</v>
      </c>
      <c r="C2195" s="83">
        <v>46161</v>
      </c>
      <c r="D2195" s="417" t="s">
        <v>689</v>
      </c>
      <c r="E2195">
        <v>1408.12916666667</v>
      </c>
      <c r="F2195">
        <v>37</v>
      </c>
      <c r="G2195">
        <v>38.057545045045003</v>
      </c>
      <c r="H2195">
        <v>0.67473333333333296</v>
      </c>
      <c r="I2195">
        <v>83.453203784305103</v>
      </c>
    </row>
    <row r="2196" spans="1:9" x14ac:dyDescent="0.35">
      <c r="A2196" s="417" t="s">
        <v>846</v>
      </c>
      <c r="B2196" s="417" t="s">
        <v>680</v>
      </c>
      <c r="C2196" s="83">
        <v>46161</v>
      </c>
      <c r="D2196" s="417" t="s">
        <v>688</v>
      </c>
      <c r="E2196">
        <v>1403.4795999999999</v>
      </c>
      <c r="F2196">
        <v>34</v>
      </c>
      <c r="G2196">
        <v>41.2788117647059</v>
      </c>
      <c r="H2196">
        <v>7.1536</v>
      </c>
      <c r="I2196">
        <v>79.851781251060999</v>
      </c>
    </row>
    <row r="2197" spans="1:9" x14ac:dyDescent="0.35">
      <c r="A2197" s="417" t="s">
        <v>846</v>
      </c>
      <c r="B2197" s="417" t="s">
        <v>680</v>
      </c>
      <c r="C2197" s="83">
        <v>46161</v>
      </c>
      <c r="D2197" s="417" t="s">
        <v>685</v>
      </c>
      <c r="E2197">
        <v>1385.3403000000001</v>
      </c>
      <c r="F2197">
        <v>30</v>
      </c>
      <c r="G2197">
        <v>46.17801</v>
      </c>
      <c r="H2197">
        <v>18.291333333333299</v>
      </c>
      <c r="I2197">
        <v>83.210483776457906</v>
      </c>
    </row>
    <row r="2198" spans="1:9" x14ac:dyDescent="0.35">
      <c r="A2198" s="417" t="s">
        <v>846</v>
      </c>
      <c r="B2198" s="417" t="s">
        <v>680</v>
      </c>
      <c r="C2198" s="83">
        <v>46161</v>
      </c>
      <c r="D2198" s="417" t="s">
        <v>690</v>
      </c>
      <c r="E2198">
        <v>1383.57081666667</v>
      </c>
      <c r="F2198">
        <v>29</v>
      </c>
      <c r="G2198">
        <v>47.709338505747098</v>
      </c>
      <c r="H2198">
        <v>14.837733333333301</v>
      </c>
      <c r="I2198">
        <v>67.651665824479707</v>
      </c>
    </row>
    <row r="2199" spans="1:9" x14ac:dyDescent="0.35">
      <c r="A2199" s="417" t="s">
        <v>846</v>
      </c>
      <c r="B2199" s="417" t="s">
        <v>680</v>
      </c>
      <c r="C2199" s="83">
        <v>46161</v>
      </c>
      <c r="D2199" s="417" t="s">
        <v>683</v>
      </c>
      <c r="E2199">
        <v>1400.54786666667</v>
      </c>
      <c r="F2199">
        <v>16</v>
      </c>
      <c r="G2199">
        <v>87.534241666666702</v>
      </c>
      <c r="H2199">
        <v>1.50135</v>
      </c>
      <c r="I2199">
        <v>69.986511841986498</v>
      </c>
    </row>
    <row r="2200" spans="1:9" x14ac:dyDescent="0.35">
      <c r="A2200" s="417" t="s">
        <v>846</v>
      </c>
      <c r="B2200" s="417" t="s">
        <v>680</v>
      </c>
      <c r="C2200" s="83">
        <v>46161</v>
      </c>
      <c r="D2200" s="417" t="s">
        <v>687</v>
      </c>
      <c r="E2200">
        <v>1394.9989499999999</v>
      </c>
      <c r="F2200">
        <v>15</v>
      </c>
      <c r="G2200">
        <v>92.999930000000006</v>
      </c>
      <c r="H2200">
        <v>22.660333333333298</v>
      </c>
      <c r="I2200">
        <v>27.007515131160101</v>
      </c>
    </row>
    <row r="2201" spans="1:9" x14ac:dyDescent="0.35">
      <c r="A2201" s="417" t="s">
        <v>846</v>
      </c>
      <c r="B2201" s="417" t="s">
        <v>680</v>
      </c>
      <c r="C2201" s="83">
        <v>46161</v>
      </c>
      <c r="D2201" s="417" t="s">
        <v>682</v>
      </c>
      <c r="E2201">
        <v>1430.09925</v>
      </c>
      <c r="F2201">
        <v>8</v>
      </c>
      <c r="G2201">
        <v>178.76240625</v>
      </c>
      <c r="H2201">
        <v>9.9007500000000004</v>
      </c>
      <c r="I2201">
        <v>57.792929292929301</v>
      </c>
    </row>
    <row r="2202" spans="1:9" x14ac:dyDescent="0.35">
      <c r="A2202" s="417" t="s">
        <v>846</v>
      </c>
      <c r="B2202" s="417" t="s">
        <v>680</v>
      </c>
      <c r="C2202" s="83">
        <v>46161</v>
      </c>
      <c r="D2202" s="417" t="s">
        <v>686</v>
      </c>
      <c r="E2202">
        <v>1440</v>
      </c>
      <c r="F2202">
        <v>1</v>
      </c>
      <c r="G2202">
        <v>1440</v>
      </c>
      <c r="H2202">
        <v>0</v>
      </c>
      <c r="I2202">
        <v>21.439393939393899</v>
      </c>
    </row>
    <row r="2203" spans="1:9" x14ac:dyDescent="0.35">
      <c r="A2203" s="417" t="s">
        <v>846</v>
      </c>
      <c r="B2203" s="417" t="s">
        <v>691</v>
      </c>
      <c r="C2203" s="83">
        <v>46161</v>
      </c>
      <c r="D2203" s="417" t="s">
        <v>305</v>
      </c>
      <c r="E2203">
        <v>1317.08073333333</v>
      </c>
      <c r="F2203">
        <v>97</v>
      </c>
      <c r="G2203">
        <v>13.5781518900344</v>
      </c>
      <c r="H2203">
        <v>5.5664333333333298</v>
      </c>
      <c r="I2203">
        <v>72.789644283410297</v>
      </c>
    </row>
    <row r="2204" spans="1:9" x14ac:dyDescent="0.35">
      <c r="A2204" s="417" t="s">
        <v>846</v>
      </c>
      <c r="B2204" s="417" t="s">
        <v>691</v>
      </c>
      <c r="C2204" s="83">
        <v>46161</v>
      </c>
      <c r="D2204" s="417" t="s">
        <v>309</v>
      </c>
      <c r="E2204">
        <v>1320.9503833333299</v>
      </c>
      <c r="F2204">
        <v>77</v>
      </c>
      <c r="G2204">
        <v>17.155199783549801</v>
      </c>
      <c r="H2204">
        <v>0</v>
      </c>
      <c r="I2204">
        <v>64.5274448583489</v>
      </c>
    </row>
    <row r="2205" spans="1:9" x14ac:dyDescent="0.35">
      <c r="A2205" s="417" t="s">
        <v>846</v>
      </c>
      <c r="B2205" s="417" t="s">
        <v>691</v>
      </c>
      <c r="C2205" s="83">
        <v>46161</v>
      </c>
      <c r="D2205" s="417" t="s">
        <v>301</v>
      </c>
      <c r="E2205">
        <v>1335.05831666667</v>
      </c>
      <c r="F2205">
        <v>73</v>
      </c>
      <c r="G2205">
        <v>18.2884700913242</v>
      </c>
      <c r="H2205">
        <v>1.9698833333333301</v>
      </c>
      <c r="I2205">
        <v>56.227241576807899</v>
      </c>
    </row>
    <row r="2206" spans="1:9" x14ac:dyDescent="0.35">
      <c r="A2206" s="417" t="s">
        <v>846</v>
      </c>
      <c r="B2206" s="417" t="s">
        <v>691</v>
      </c>
      <c r="C2206" s="83">
        <v>46161</v>
      </c>
      <c r="D2206" s="417" t="s">
        <v>299</v>
      </c>
      <c r="E2206">
        <v>1344.90926666667</v>
      </c>
      <c r="F2206">
        <v>67</v>
      </c>
      <c r="G2206">
        <v>20.073272636815901</v>
      </c>
      <c r="H2206">
        <v>0.86771666666666702</v>
      </c>
      <c r="I2206">
        <v>86.037295508648398</v>
      </c>
    </row>
    <row r="2207" spans="1:9" x14ac:dyDescent="0.35">
      <c r="A2207" s="417" t="s">
        <v>846</v>
      </c>
      <c r="B2207" s="417" t="s">
        <v>691</v>
      </c>
      <c r="C2207" s="83">
        <v>46161</v>
      </c>
      <c r="D2207" s="417" t="s">
        <v>295</v>
      </c>
      <c r="E2207">
        <v>1359.5515499999999</v>
      </c>
      <c r="F2207">
        <v>50</v>
      </c>
      <c r="G2207">
        <v>27.191030999999999</v>
      </c>
      <c r="H2207">
        <v>0.27681666666666699</v>
      </c>
      <c r="I2207">
        <v>72.4494958868342</v>
      </c>
    </row>
    <row r="2208" spans="1:9" x14ac:dyDescent="0.35">
      <c r="A2208" s="417" t="s">
        <v>846</v>
      </c>
      <c r="B2208" s="417" t="s">
        <v>691</v>
      </c>
      <c r="C2208" s="83">
        <v>46161</v>
      </c>
      <c r="D2208" s="417" t="s">
        <v>303</v>
      </c>
      <c r="E2208">
        <v>1364.5029666666701</v>
      </c>
      <c r="F2208">
        <v>43</v>
      </c>
      <c r="G2208">
        <v>31.732627131782898</v>
      </c>
      <c r="H2208">
        <v>0.30254999999999999</v>
      </c>
      <c r="I2208">
        <v>47.919540797312997</v>
      </c>
    </row>
    <row r="2209" spans="1:9" x14ac:dyDescent="0.35">
      <c r="A2209" s="417" t="s">
        <v>846</v>
      </c>
      <c r="B2209" s="417" t="s">
        <v>691</v>
      </c>
      <c r="C2209" s="83">
        <v>46161</v>
      </c>
      <c r="D2209" s="417" t="s">
        <v>310</v>
      </c>
      <c r="E2209">
        <v>1325.21446666667</v>
      </c>
      <c r="F2209">
        <v>13</v>
      </c>
      <c r="G2209">
        <v>101.939574358974</v>
      </c>
      <c r="H2209">
        <v>2.73301666666667</v>
      </c>
      <c r="I2209">
        <v>44.876780554272102</v>
      </c>
    </row>
    <row r="2210" spans="1:9" x14ac:dyDescent="0.35">
      <c r="A2210" s="417" t="s">
        <v>846</v>
      </c>
      <c r="B2210" s="417" t="s">
        <v>691</v>
      </c>
      <c r="C2210" s="83">
        <v>46161</v>
      </c>
      <c r="D2210" s="417" t="s">
        <v>313</v>
      </c>
      <c r="E2210">
        <v>1265.1039000000001</v>
      </c>
      <c r="F2210">
        <v>6</v>
      </c>
      <c r="G2210">
        <v>210.85065</v>
      </c>
      <c r="H2210">
        <v>0</v>
      </c>
      <c r="I2210">
        <v>36.948620295670501</v>
      </c>
    </row>
    <row r="2211" spans="1:9" x14ac:dyDescent="0.35">
      <c r="A2211" s="417" t="s">
        <v>846</v>
      </c>
      <c r="B2211" s="417" t="s">
        <v>691</v>
      </c>
      <c r="C2211" s="83">
        <v>46161</v>
      </c>
      <c r="D2211" s="417" t="s">
        <v>314</v>
      </c>
      <c r="E2211">
        <v>1384.1204166666701</v>
      </c>
      <c r="F2211">
        <v>4</v>
      </c>
      <c r="G2211">
        <v>346.030104166667</v>
      </c>
      <c r="H2211">
        <v>1.25461666666667</v>
      </c>
      <c r="I2211">
        <v>33.0876303146322</v>
      </c>
    </row>
    <row r="2212" spans="1:9" x14ac:dyDescent="0.35">
      <c r="A2212" s="417" t="s">
        <v>846</v>
      </c>
      <c r="B2212" s="417" t="s">
        <v>691</v>
      </c>
      <c r="C2212" s="83">
        <v>46161</v>
      </c>
      <c r="D2212" s="417" t="s">
        <v>317</v>
      </c>
      <c r="E2212">
        <v>1381.6998000000001</v>
      </c>
      <c r="F2212">
        <v>2</v>
      </c>
      <c r="G2212">
        <v>690.84990000000005</v>
      </c>
      <c r="H2212">
        <v>7.5588833333333296</v>
      </c>
      <c r="I2212">
        <v>26.535734807535999</v>
      </c>
    </row>
    <row r="2213" spans="1:9" x14ac:dyDescent="0.35">
      <c r="A2213" s="417" t="s">
        <v>846</v>
      </c>
      <c r="B2213" s="417" t="s">
        <v>691</v>
      </c>
      <c r="C2213" s="83">
        <v>46161</v>
      </c>
      <c r="D2213" s="417" t="s">
        <v>504</v>
      </c>
      <c r="E2213">
        <v>1440</v>
      </c>
      <c r="F2213">
        <v>1</v>
      </c>
      <c r="G2213">
        <v>1440</v>
      </c>
      <c r="H2213">
        <v>0</v>
      </c>
      <c r="I2213">
        <v>39.408796296296302</v>
      </c>
    </row>
    <row r="2214" spans="1:9" x14ac:dyDescent="0.35">
      <c r="A2214" s="417" t="s">
        <v>846</v>
      </c>
      <c r="B2214" s="417" t="s">
        <v>676</v>
      </c>
      <c r="C2214" s="83">
        <v>46160</v>
      </c>
      <c r="D2214" s="417" t="s">
        <v>677</v>
      </c>
      <c r="E2214">
        <v>1108.1498666666701</v>
      </c>
      <c r="F2214">
        <v>584</v>
      </c>
      <c r="G2214">
        <v>1.8975168949771699</v>
      </c>
      <c r="H2214">
        <v>286.17570000000001</v>
      </c>
      <c r="I2214">
        <v>27.3119444444444</v>
      </c>
    </row>
    <row r="2215" spans="1:9" x14ac:dyDescent="0.35">
      <c r="A2215" s="417" t="s">
        <v>846</v>
      </c>
      <c r="B2215" s="417" t="s">
        <v>676</v>
      </c>
      <c r="C2215" s="83">
        <v>46160</v>
      </c>
      <c r="D2215" s="417" t="s">
        <v>678</v>
      </c>
      <c r="E2215">
        <v>1275.3912666666699</v>
      </c>
      <c r="F2215">
        <v>41</v>
      </c>
      <c r="G2215">
        <v>31.107104065040598</v>
      </c>
      <c r="H2215">
        <v>51.977516666666702</v>
      </c>
      <c r="I2215">
        <v>67.456178201956803</v>
      </c>
    </row>
    <row r="2216" spans="1:9" x14ac:dyDescent="0.35">
      <c r="A2216" s="417" t="s">
        <v>846</v>
      </c>
      <c r="B2216" s="417" t="s">
        <v>676</v>
      </c>
      <c r="C2216" s="83">
        <v>46160</v>
      </c>
      <c r="D2216" s="417" t="s">
        <v>679</v>
      </c>
      <c r="E2216">
        <v>1291.11983333333</v>
      </c>
      <c r="F2216">
        <v>38</v>
      </c>
      <c r="G2216">
        <v>33.976837719298203</v>
      </c>
      <c r="H2216">
        <v>38.697899999999997</v>
      </c>
      <c r="I2216">
        <v>64.200283668048996</v>
      </c>
    </row>
    <row r="2217" spans="1:9" x14ac:dyDescent="0.35">
      <c r="A2217" s="417" t="s">
        <v>846</v>
      </c>
      <c r="B2217" s="417" t="s">
        <v>680</v>
      </c>
      <c r="C2217" s="83">
        <v>46160</v>
      </c>
      <c r="D2217" s="417" t="s">
        <v>689</v>
      </c>
      <c r="E2217">
        <v>1394.71075</v>
      </c>
      <c r="F2217">
        <v>46</v>
      </c>
      <c r="G2217">
        <v>30.319798913043499</v>
      </c>
      <c r="H2217">
        <v>4.9922833333333303</v>
      </c>
      <c r="I2217">
        <v>95.204858330996103</v>
      </c>
    </row>
    <row r="2218" spans="1:9" x14ac:dyDescent="0.35">
      <c r="A2218" s="417" t="s">
        <v>846</v>
      </c>
      <c r="B2218" s="417" t="s">
        <v>680</v>
      </c>
      <c r="C2218" s="83">
        <v>46160</v>
      </c>
      <c r="D2218" s="417" t="s">
        <v>685</v>
      </c>
      <c r="E2218">
        <v>1366.1673499999999</v>
      </c>
      <c r="F2218">
        <v>34</v>
      </c>
      <c r="G2218">
        <v>40.1813926470588</v>
      </c>
      <c r="H2218">
        <v>27.860016666666699</v>
      </c>
      <c r="I2218">
        <v>96.124869634975497</v>
      </c>
    </row>
    <row r="2219" spans="1:9" x14ac:dyDescent="0.35">
      <c r="A2219" s="417" t="s">
        <v>846</v>
      </c>
      <c r="B2219" s="417" t="s">
        <v>680</v>
      </c>
      <c r="C2219" s="83">
        <v>46160</v>
      </c>
      <c r="D2219" s="417" t="s">
        <v>690</v>
      </c>
      <c r="E2219">
        <v>1395.6523500000001</v>
      </c>
      <c r="F2219">
        <v>33</v>
      </c>
      <c r="G2219">
        <v>42.292495454545502</v>
      </c>
      <c r="H2219">
        <v>14.19045</v>
      </c>
      <c r="I2219">
        <v>79.6513283330235</v>
      </c>
    </row>
    <row r="2220" spans="1:9" x14ac:dyDescent="0.35">
      <c r="A2220" s="417" t="s">
        <v>846</v>
      </c>
      <c r="B2220" s="417" t="s">
        <v>680</v>
      </c>
      <c r="C2220" s="83">
        <v>46160</v>
      </c>
      <c r="D2220" s="417" t="s">
        <v>681</v>
      </c>
      <c r="E2220">
        <v>1414.3137833333301</v>
      </c>
      <c r="F2220">
        <v>25</v>
      </c>
      <c r="G2220">
        <v>56.572551333333301</v>
      </c>
      <c r="H2220">
        <v>3.6615000000000002</v>
      </c>
      <c r="I2220">
        <v>84.979541835093102</v>
      </c>
    </row>
    <row r="2221" spans="1:9" x14ac:dyDescent="0.35">
      <c r="A2221" s="417" t="s">
        <v>846</v>
      </c>
      <c r="B2221" s="417" t="s">
        <v>680</v>
      </c>
      <c r="C2221" s="83">
        <v>46160</v>
      </c>
      <c r="D2221" s="417" t="s">
        <v>688</v>
      </c>
      <c r="E2221">
        <v>1398.2094999999999</v>
      </c>
      <c r="F2221">
        <v>25</v>
      </c>
      <c r="G2221">
        <v>55.928379999999997</v>
      </c>
      <c r="H2221">
        <v>6.1717666666666702</v>
      </c>
      <c r="I2221">
        <v>82.688026770699096</v>
      </c>
    </row>
    <row r="2222" spans="1:9" x14ac:dyDescent="0.35">
      <c r="A2222" s="417" t="s">
        <v>846</v>
      </c>
      <c r="B2222" s="417" t="s">
        <v>680</v>
      </c>
      <c r="C2222" s="83">
        <v>46160</v>
      </c>
      <c r="D2222" s="417" t="s">
        <v>682</v>
      </c>
      <c r="E2222">
        <v>1421.9943333333299</v>
      </c>
      <c r="F2222">
        <v>22</v>
      </c>
      <c r="G2222">
        <v>64.636106060606096</v>
      </c>
      <c r="H2222">
        <v>18.005666666666698</v>
      </c>
      <c r="I2222">
        <v>71.065656565656596</v>
      </c>
    </row>
    <row r="2223" spans="1:9" x14ac:dyDescent="0.35">
      <c r="A2223" s="417" t="s">
        <v>846</v>
      </c>
      <c r="B2223" s="417" t="s">
        <v>680</v>
      </c>
      <c r="C2223" s="83">
        <v>46160</v>
      </c>
      <c r="D2223" s="417" t="s">
        <v>684</v>
      </c>
      <c r="E2223">
        <v>1409.97023333333</v>
      </c>
      <c r="F2223">
        <v>22</v>
      </c>
      <c r="G2223">
        <v>64.0895560606061</v>
      </c>
      <c r="H2223">
        <v>20.345300000000002</v>
      </c>
      <c r="I2223">
        <v>71.994887560656807</v>
      </c>
    </row>
    <row r="2224" spans="1:9" x14ac:dyDescent="0.35">
      <c r="A2224" s="417" t="s">
        <v>846</v>
      </c>
      <c r="B2224" s="417" t="s">
        <v>680</v>
      </c>
      <c r="C2224" s="83">
        <v>46160</v>
      </c>
      <c r="D2224" s="417" t="s">
        <v>687</v>
      </c>
      <c r="E2224">
        <v>1396.9937</v>
      </c>
      <c r="F2224">
        <v>20</v>
      </c>
      <c r="G2224">
        <v>69.849684999999994</v>
      </c>
      <c r="H2224">
        <v>16.337883333333298</v>
      </c>
      <c r="I2224">
        <v>30.016117783679299</v>
      </c>
    </row>
    <row r="2225" spans="1:9" x14ac:dyDescent="0.35">
      <c r="A2225" s="417" t="s">
        <v>846</v>
      </c>
      <c r="B2225" s="417" t="s">
        <v>680</v>
      </c>
      <c r="C2225" s="83">
        <v>46160</v>
      </c>
      <c r="D2225" s="417" t="s">
        <v>683</v>
      </c>
      <c r="E2225">
        <v>1408.80618333333</v>
      </c>
      <c r="F2225">
        <v>16</v>
      </c>
      <c r="G2225">
        <v>88.050386458333307</v>
      </c>
      <c r="H2225">
        <v>0.84075</v>
      </c>
      <c r="I2225">
        <v>80.781578755609601</v>
      </c>
    </row>
    <row r="2226" spans="1:9" x14ac:dyDescent="0.35">
      <c r="A2226" s="417" t="s">
        <v>846</v>
      </c>
      <c r="B2226" s="417" t="s">
        <v>680</v>
      </c>
      <c r="C2226" s="83">
        <v>46160</v>
      </c>
      <c r="D2226" s="417" t="s">
        <v>686</v>
      </c>
      <c r="E2226">
        <v>1440</v>
      </c>
      <c r="F2226">
        <v>1</v>
      </c>
      <c r="G2226">
        <v>1440</v>
      </c>
      <c r="H2226">
        <v>0</v>
      </c>
      <c r="I2226">
        <v>24.237373737373801</v>
      </c>
    </row>
    <row r="2227" spans="1:9" x14ac:dyDescent="0.35">
      <c r="A2227" s="417" t="s">
        <v>846</v>
      </c>
      <c r="B2227" s="417" t="s">
        <v>691</v>
      </c>
      <c r="C2227" s="83">
        <v>46160</v>
      </c>
      <c r="D2227" s="417" t="s">
        <v>299</v>
      </c>
      <c r="E2227">
        <v>1346.1463333333299</v>
      </c>
      <c r="F2227">
        <v>131</v>
      </c>
      <c r="G2227">
        <v>10.2759262086514</v>
      </c>
      <c r="H2227">
        <v>2.31595</v>
      </c>
      <c r="I2227">
        <v>78.396537726328205</v>
      </c>
    </row>
    <row r="2228" spans="1:9" x14ac:dyDescent="0.35">
      <c r="A2228" s="417" t="s">
        <v>846</v>
      </c>
      <c r="B2228" s="417" t="s">
        <v>691</v>
      </c>
      <c r="C2228" s="83">
        <v>46160</v>
      </c>
      <c r="D2228" s="417" t="s">
        <v>305</v>
      </c>
      <c r="E2228">
        <v>1322.22718333333</v>
      </c>
      <c r="F2228">
        <v>121</v>
      </c>
      <c r="G2228">
        <v>10.9274973829201</v>
      </c>
      <c r="H2228">
        <v>6.4082166666666698</v>
      </c>
      <c r="I2228">
        <v>60.185043811918</v>
      </c>
    </row>
    <row r="2229" spans="1:9" x14ac:dyDescent="0.35">
      <c r="A2229" s="417" t="s">
        <v>846</v>
      </c>
      <c r="B2229" s="417" t="s">
        <v>691</v>
      </c>
      <c r="C2229" s="83">
        <v>46160</v>
      </c>
      <c r="D2229" s="417" t="s">
        <v>309</v>
      </c>
      <c r="E2229">
        <v>1284.96816666667</v>
      </c>
      <c r="F2229">
        <v>96</v>
      </c>
      <c r="G2229">
        <v>13.385085069444401</v>
      </c>
      <c r="H2229">
        <v>0</v>
      </c>
      <c r="I2229">
        <v>54.340681362789702</v>
      </c>
    </row>
    <row r="2230" spans="1:9" x14ac:dyDescent="0.35">
      <c r="A2230" s="417" t="s">
        <v>846</v>
      </c>
      <c r="B2230" s="417" t="s">
        <v>691</v>
      </c>
      <c r="C2230" s="83">
        <v>46160</v>
      </c>
      <c r="D2230" s="417" t="s">
        <v>301</v>
      </c>
      <c r="E2230">
        <v>1373.24683333333</v>
      </c>
      <c r="F2230">
        <v>87</v>
      </c>
      <c r="G2230">
        <v>15.7844463601533</v>
      </c>
      <c r="H2230">
        <v>0.28484999999999999</v>
      </c>
      <c r="I2230">
        <v>67.364378587601493</v>
      </c>
    </row>
    <row r="2231" spans="1:9" x14ac:dyDescent="0.35">
      <c r="A2231" s="417" t="s">
        <v>846</v>
      </c>
      <c r="B2231" s="417" t="s">
        <v>691</v>
      </c>
      <c r="C2231" s="83">
        <v>46160</v>
      </c>
      <c r="D2231" s="417" t="s">
        <v>295</v>
      </c>
      <c r="E2231">
        <v>1377.5706333333301</v>
      </c>
      <c r="F2231">
        <v>56</v>
      </c>
      <c r="G2231">
        <v>24.599475595238101</v>
      </c>
      <c r="H2231">
        <v>0.82364999999999999</v>
      </c>
      <c r="I2231">
        <v>79.021041419888505</v>
      </c>
    </row>
    <row r="2232" spans="1:9" x14ac:dyDescent="0.35">
      <c r="A2232" s="417" t="s">
        <v>846</v>
      </c>
      <c r="B2232" s="417" t="s">
        <v>691</v>
      </c>
      <c r="C2232" s="83">
        <v>46160</v>
      </c>
      <c r="D2232" s="417" t="s">
        <v>303</v>
      </c>
      <c r="E2232">
        <v>1373.7268166666699</v>
      </c>
      <c r="F2232">
        <v>52</v>
      </c>
      <c r="G2232">
        <v>26.4178233974359</v>
      </c>
      <c r="H2232">
        <v>0.17649999999999999</v>
      </c>
      <c r="I2232">
        <v>63.686925171577698</v>
      </c>
    </row>
    <row r="2233" spans="1:9" x14ac:dyDescent="0.35">
      <c r="A2233" s="417" t="s">
        <v>846</v>
      </c>
      <c r="B2233" s="417" t="s">
        <v>691</v>
      </c>
      <c r="C2233" s="83">
        <v>46160</v>
      </c>
      <c r="D2233" s="417" t="s">
        <v>310</v>
      </c>
      <c r="E2233">
        <v>1356.8244833333299</v>
      </c>
      <c r="F2233">
        <v>27</v>
      </c>
      <c r="G2233">
        <v>50.252758641975298</v>
      </c>
      <c r="H2233">
        <v>1.23633333333333</v>
      </c>
      <c r="I2233">
        <v>48.508475248394603</v>
      </c>
    </row>
    <row r="2234" spans="1:9" x14ac:dyDescent="0.35">
      <c r="A2234" s="417" t="s">
        <v>846</v>
      </c>
      <c r="B2234" s="417" t="s">
        <v>691</v>
      </c>
      <c r="C2234" s="83">
        <v>46160</v>
      </c>
      <c r="D2234" s="417" t="s">
        <v>342</v>
      </c>
      <c r="E2234">
        <v>800.07746666666696</v>
      </c>
      <c r="F2234">
        <v>21</v>
      </c>
      <c r="G2234">
        <v>38.098926984126997</v>
      </c>
      <c r="H2234">
        <v>39.922533333333298</v>
      </c>
      <c r="I2234">
        <v>60.561224489795798</v>
      </c>
    </row>
    <row r="2235" spans="1:9" x14ac:dyDescent="0.35">
      <c r="A2235" s="417" t="s">
        <v>846</v>
      </c>
      <c r="B2235" s="417" t="s">
        <v>691</v>
      </c>
      <c r="C2235" s="83">
        <v>46160</v>
      </c>
      <c r="D2235" s="417" t="s">
        <v>314</v>
      </c>
      <c r="E2235">
        <v>1370.83396666667</v>
      </c>
      <c r="F2235">
        <v>7</v>
      </c>
      <c r="G2235">
        <v>195.83342380952399</v>
      </c>
      <c r="H2235">
        <v>0.15145</v>
      </c>
      <c r="I2235">
        <v>40.516181907575898</v>
      </c>
    </row>
    <row r="2236" spans="1:9" x14ac:dyDescent="0.35">
      <c r="A2236" s="417" t="s">
        <v>846</v>
      </c>
      <c r="B2236" s="417" t="s">
        <v>691</v>
      </c>
      <c r="C2236" s="83">
        <v>46160</v>
      </c>
      <c r="D2236" s="417" t="s">
        <v>313</v>
      </c>
      <c r="E2236">
        <v>1403.45558333333</v>
      </c>
      <c r="F2236">
        <v>5</v>
      </c>
      <c r="G2236">
        <v>280.69111666666703</v>
      </c>
      <c r="H2236">
        <v>0</v>
      </c>
      <c r="I2236">
        <v>48.325439590270598</v>
      </c>
    </row>
    <row r="2237" spans="1:9" x14ac:dyDescent="0.35">
      <c r="A2237" s="417" t="s">
        <v>846</v>
      </c>
      <c r="B2237" s="417" t="s">
        <v>691</v>
      </c>
      <c r="C2237" s="83">
        <v>46160</v>
      </c>
      <c r="D2237" s="417" t="s">
        <v>317</v>
      </c>
      <c r="E2237">
        <v>1424.5188333333299</v>
      </c>
      <c r="F2237">
        <v>2</v>
      </c>
      <c r="G2237">
        <v>712.25941666666699</v>
      </c>
      <c r="H2237">
        <v>2.5183333333333301E-2</v>
      </c>
      <c r="I2237">
        <v>37.2470063256849</v>
      </c>
    </row>
    <row r="2238" spans="1:9" x14ac:dyDescent="0.35">
      <c r="A2238" s="417" t="s">
        <v>846</v>
      </c>
      <c r="B2238" s="417" t="s">
        <v>691</v>
      </c>
      <c r="C2238" s="83">
        <v>46160</v>
      </c>
      <c r="D2238" s="417" t="s">
        <v>504</v>
      </c>
      <c r="E2238">
        <v>1440</v>
      </c>
      <c r="F2238">
        <v>1</v>
      </c>
      <c r="G2238">
        <v>1440</v>
      </c>
      <c r="H2238">
        <v>0</v>
      </c>
      <c r="I2238">
        <v>29.3547839506173</v>
      </c>
    </row>
    <row r="2239" spans="1:9" x14ac:dyDescent="0.35">
      <c r="A2239" s="417" t="s">
        <v>846</v>
      </c>
      <c r="B2239" s="417" t="s">
        <v>676</v>
      </c>
      <c r="C2239" s="83">
        <v>46159</v>
      </c>
      <c r="D2239" s="417" t="s">
        <v>677</v>
      </c>
      <c r="E2239">
        <v>1269.9542833333301</v>
      </c>
      <c r="F2239">
        <v>378</v>
      </c>
      <c r="G2239">
        <v>3.3596674162257498</v>
      </c>
      <c r="H2239">
        <v>170.045716666667</v>
      </c>
      <c r="I2239">
        <v>38.446388888888897</v>
      </c>
    </row>
    <row r="2240" spans="1:9" x14ac:dyDescent="0.35">
      <c r="A2240" s="417" t="s">
        <v>846</v>
      </c>
      <c r="B2240" s="417" t="s">
        <v>676</v>
      </c>
      <c r="C2240" s="83">
        <v>46159</v>
      </c>
      <c r="D2240" s="417" t="s">
        <v>678</v>
      </c>
      <c r="E2240">
        <v>1386.9582333333301</v>
      </c>
      <c r="F2240">
        <v>26</v>
      </c>
      <c r="G2240">
        <v>53.344547435897397</v>
      </c>
      <c r="H2240">
        <v>17.3617833333333</v>
      </c>
      <c r="I2240">
        <v>81.637849853335297</v>
      </c>
    </row>
    <row r="2241" spans="1:9" x14ac:dyDescent="0.35">
      <c r="A2241" s="417" t="s">
        <v>846</v>
      </c>
      <c r="B2241" s="417" t="s">
        <v>676</v>
      </c>
      <c r="C2241" s="83">
        <v>46159</v>
      </c>
      <c r="D2241" s="417" t="s">
        <v>679</v>
      </c>
      <c r="E2241">
        <v>1360.2954666666701</v>
      </c>
      <c r="F2241">
        <v>23</v>
      </c>
      <c r="G2241">
        <v>59.143281159420297</v>
      </c>
      <c r="H2241">
        <v>21.692783333333299</v>
      </c>
      <c r="I2241">
        <v>76.752220336653906</v>
      </c>
    </row>
    <row r="2242" spans="1:9" x14ac:dyDescent="0.35">
      <c r="A2242" s="417" t="s">
        <v>846</v>
      </c>
      <c r="B2242" s="417" t="s">
        <v>680</v>
      </c>
      <c r="C2242" s="83">
        <v>46159</v>
      </c>
      <c r="D2242" s="417" t="s">
        <v>689</v>
      </c>
      <c r="E2242">
        <v>1386.5217</v>
      </c>
      <c r="F2242">
        <v>89</v>
      </c>
      <c r="G2242">
        <v>15.578895505618</v>
      </c>
      <c r="H2242">
        <v>0.50043333333333295</v>
      </c>
      <c r="I2242">
        <v>90.358740767627495</v>
      </c>
    </row>
    <row r="2243" spans="1:9" x14ac:dyDescent="0.35">
      <c r="A2243" s="417" t="s">
        <v>846</v>
      </c>
      <c r="B2243" s="417" t="s">
        <v>680</v>
      </c>
      <c r="C2243" s="83">
        <v>46159</v>
      </c>
      <c r="D2243" s="417" t="s">
        <v>681</v>
      </c>
      <c r="E2243">
        <v>1410.3625833333299</v>
      </c>
      <c r="F2243">
        <v>52</v>
      </c>
      <c r="G2243">
        <v>27.122357371794902</v>
      </c>
      <c r="H2243">
        <v>2.1748166666666702</v>
      </c>
      <c r="I2243">
        <v>83.839825700200606</v>
      </c>
    </row>
    <row r="2244" spans="1:9" x14ac:dyDescent="0.35">
      <c r="A2244" s="417" t="s">
        <v>846</v>
      </c>
      <c r="B2244" s="417" t="s">
        <v>680</v>
      </c>
      <c r="C2244" s="83">
        <v>46159</v>
      </c>
      <c r="D2244" s="417" t="s">
        <v>684</v>
      </c>
      <c r="E2244">
        <v>1359.1673499999999</v>
      </c>
      <c r="F2244">
        <v>49</v>
      </c>
      <c r="G2244">
        <v>27.738109183673501</v>
      </c>
      <c r="H2244">
        <v>30.164149999999999</v>
      </c>
      <c r="I2244">
        <v>69.088422581433903</v>
      </c>
    </row>
    <row r="2245" spans="1:9" x14ac:dyDescent="0.35">
      <c r="A2245" s="417" t="s">
        <v>846</v>
      </c>
      <c r="B2245" s="417" t="s">
        <v>680</v>
      </c>
      <c r="C2245" s="83">
        <v>46159</v>
      </c>
      <c r="D2245" s="417" t="s">
        <v>690</v>
      </c>
      <c r="E2245">
        <v>1309.01931666667</v>
      </c>
      <c r="F2245">
        <v>44</v>
      </c>
      <c r="G2245">
        <v>29.7504390151515</v>
      </c>
      <c r="H2245">
        <v>48.502266666666699</v>
      </c>
      <c r="I2245">
        <v>69.179904178034406</v>
      </c>
    </row>
    <row r="2246" spans="1:9" x14ac:dyDescent="0.35">
      <c r="A2246" s="417" t="s">
        <v>846</v>
      </c>
      <c r="B2246" s="417" t="s">
        <v>680</v>
      </c>
      <c r="C2246" s="83">
        <v>46159</v>
      </c>
      <c r="D2246" s="417" t="s">
        <v>682</v>
      </c>
      <c r="E2246">
        <v>1406.67311666667</v>
      </c>
      <c r="F2246">
        <v>35</v>
      </c>
      <c r="G2246">
        <v>40.190660476190502</v>
      </c>
      <c r="H2246">
        <v>33.326883333333299</v>
      </c>
      <c r="I2246">
        <v>66.530303030303003</v>
      </c>
    </row>
    <row r="2247" spans="1:9" x14ac:dyDescent="0.35">
      <c r="A2247" s="417" t="s">
        <v>846</v>
      </c>
      <c r="B2247" s="417" t="s">
        <v>680</v>
      </c>
      <c r="C2247" s="83">
        <v>46159</v>
      </c>
      <c r="D2247" s="417" t="s">
        <v>685</v>
      </c>
      <c r="E2247">
        <v>1364.70548333333</v>
      </c>
      <c r="F2247">
        <v>31</v>
      </c>
      <c r="G2247">
        <v>44.022757526881698</v>
      </c>
      <c r="H2247">
        <v>22.8325833333333</v>
      </c>
      <c r="I2247">
        <v>91.497742254754499</v>
      </c>
    </row>
    <row r="2248" spans="1:9" x14ac:dyDescent="0.35">
      <c r="A2248" s="417" t="s">
        <v>846</v>
      </c>
      <c r="B2248" s="417" t="s">
        <v>680</v>
      </c>
      <c r="C2248" s="83">
        <v>46159</v>
      </c>
      <c r="D2248" s="417" t="s">
        <v>688</v>
      </c>
      <c r="E2248">
        <v>1367.3197333333301</v>
      </c>
      <c r="F2248">
        <v>28</v>
      </c>
      <c r="G2248">
        <v>48.832847619047598</v>
      </c>
      <c r="H2248">
        <v>8.1856500000000008</v>
      </c>
      <c r="I2248">
        <v>83.070210085357999</v>
      </c>
    </row>
    <row r="2249" spans="1:9" x14ac:dyDescent="0.35">
      <c r="A2249" s="417" t="s">
        <v>846</v>
      </c>
      <c r="B2249" s="417" t="s">
        <v>680</v>
      </c>
      <c r="C2249" s="83">
        <v>46159</v>
      </c>
      <c r="D2249" s="417" t="s">
        <v>683</v>
      </c>
      <c r="E2249">
        <v>1404.998</v>
      </c>
      <c r="F2249">
        <v>26</v>
      </c>
      <c r="G2249">
        <v>54.038384615384601</v>
      </c>
      <c r="H2249">
        <v>2.35788333333333</v>
      </c>
      <c r="I2249">
        <v>69.796730025428801</v>
      </c>
    </row>
    <row r="2250" spans="1:9" x14ac:dyDescent="0.35">
      <c r="A2250" s="417" t="s">
        <v>846</v>
      </c>
      <c r="B2250" s="417" t="s">
        <v>680</v>
      </c>
      <c r="C2250" s="83">
        <v>46159</v>
      </c>
      <c r="D2250" s="417" t="s">
        <v>687</v>
      </c>
      <c r="E2250">
        <v>1408.8242166666701</v>
      </c>
      <c r="F2250">
        <v>16</v>
      </c>
      <c r="G2250">
        <v>88.051513541666694</v>
      </c>
      <c r="H2250">
        <v>20.181366666666701</v>
      </c>
      <c r="I2250">
        <v>39.555415143345797</v>
      </c>
    </row>
    <row r="2251" spans="1:9" x14ac:dyDescent="0.35">
      <c r="A2251" s="417" t="s">
        <v>846</v>
      </c>
      <c r="B2251" s="417" t="s">
        <v>680</v>
      </c>
      <c r="C2251" s="83">
        <v>46159</v>
      </c>
      <c r="D2251" s="417" t="s">
        <v>686</v>
      </c>
      <c r="E2251">
        <v>1440</v>
      </c>
      <c r="F2251">
        <v>1</v>
      </c>
      <c r="G2251">
        <v>1440</v>
      </c>
      <c r="H2251">
        <v>0</v>
      </c>
      <c r="I2251">
        <v>75.863636363636402</v>
      </c>
    </row>
    <row r="2252" spans="1:9" x14ac:dyDescent="0.35">
      <c r="A2252" s="417" t="s">
        <v>846</v>
      </c>
      <c r="B2252" s="417" t="s">
        <v>691</v>
      </c>
      <c r="C2252" s="83">
        <v>46159</v>
      </c>
      <c r="D2252" s="417" t="s">
        <v>299</v>
      </c>
      <c r="E2252">
        <v>1364.17106666667</v>
      </c>
      <c r="F2252">
        <v>132</v>
      </c>
      <c r="G2252">
        <v>10.3346292929293</v>
      </c>
      <c r="H2252">
        <v>1.8955</v>
      </c>
      <c r="I2252">
        <v>80.012130321706493</v>
      </c>
    </row>
    <row r="2253" spans="1:9" x14ac:dyDescent="0.35">
      <c r="A2253" s="417" t="s">
        <v>846</v>
      </c>
      <c r="B2253" s="417" t="s">
        <v>691</v>
      </c>
      <c r="C2253" s="83">
        <v>46159</v>
      </c>
      <c r="D2253" s="417" t="s">
        <v>305</v>
      </c>
      <c r="E2253">
        <v>1282.91951666667</v>
      </c>
      <c r="F2253">
        <v>126</v>
      </c>
      <c r="G2253">
        <v>10.1819009259259</v>
      </c>
      <c r="H2253">
        <v>2.9074499999999999</v>
      </c>
      <c r="I2253">
        <v>82.274399816393895</v>
      </c>
    </row>
    <row r="2254" spans="1:9" x14ac:dyDescent="0.35">
      <c r="A2254" s="417" t="s">
        <v>846</v>
      </c>
      <c r="B2254" s="417" t="s">
        <v>691</v>
      </c>
      <c r="C2254" s="83">
        <v>46159</v>
      </c>
      <c r="D2254" s="417" t="s">
        <v>301</v>
      </c>
      <c r="E2254">
        <v>1360.4634000000001</v>
      </c>
      <c r="F2254">
        <v>90</v>
      </c>
      <c r="G2254">
        <v>15.11626</v>
      </c>
      <c r="H2254">
        <v>1.9445666666666701</v>
      </c>
      <c r="I2254">
        <v>66.860469440859106</v>
      </c>
    </row>
    <row r="2255" spans="1:9" x14ac:dyDescent="0.35">
      <c r="A2255" s="417" t="s">
        <v>846</v>
      </c>
      <c r="B2255" s="417" t="s">
        <v>691</v>
      </c>
      <c r="C2255" s="83">
        <v>46159</v>
      </c>
      <c r="D2255" s="417" t="s">
        <v>295</v>
      </c>
      <c r="E2255">
        <v>1366.3883333333299</v>
      </c>
      <c r="F2255">
        <v>76</v>
      </c>
      <c r="G2255">
        <v>17.978793859649102</v>
      </c>
      <c r="H2255">
        <v>0.219283333333333</v>
      </c>
      <c r="I2255">
        <v>84.881639100460802</v>
      </c>
    </row>
    <row r="2256" spans="1:9" x14ac:dyDescent="0.35">
      <c r="A2256" s="417" t="s">
        <v>846</v>
      </c>
      <c r="B2256" s="417" t="s">
        <v>691</v>
      </c>
      <c r="C2256" s="83">
        <v>46159</v>
      </c>
      <c r="D2256" s="417" t="s">
        <v>303</v>
      </c>
      <c r="E2256">
        <v>1388.6003333333299</v>
      </c>
      <c r="F2256">
        <v>70</v>
      </c>
      <c r="G2256">
        <v>19.837147619047599</v>
      </c>
      <c r="H2256">
        <v>0.84483333333333299</v>
      </c>
      <c r="I2256">
        <v>60.467661889469099</v>
      </c>
    </row>
    <row r="2257" spans="1:9" x14ac:dyDescent="0.35">
      <c r="A2257" s="417" t="s">
        <v>846</v>
      </c>
      <c r="B2257" s="417" t="s">
        <v>691</v>
      </c>
      <c r="C2257" s="83">
        <v>46159</v>
      </c>
      <c r="D2257" s="417" t="s">
        <v>342</v>
      </c>
      <c r="E2257">
        <v>1319.72086666667</v>
      </c>
      <c r="F2257">
        <v>59</v>
      </c>
      <c r="G2257">
        <v>22.3681502824859</v>
      </c>
      <c r="H2257">
        <v>120.27913333333299</v>
      </c>
      <c r="I2257">
        <v>66.636904761904603</v>
      </c>
    </row>
    <row r="2258" spans="1:9" x14ac:dyDescent="0.35">
      <c r="A2258" s="417" t="s">
        <v>846</v>
      </c>
      <c r="B2258" s="417" t="s">
        <v>691</v>
      </c>
      <c r="C2258" s="83">
        <v>46159</v>
      </c>
      <c r="D2258" s="417" t="s">
        <v>309</v>
      </c>
      <c r="E2258">
        <v>1353.7559166666699</v>
      </c>
      <c r="F2258">
        <v>50</v>
      </c>
      <c r="G2258">
        <v>27.0751183333333</v>
      </c>
      <c r="H2258">
        <v>0</v>
      </c>
      <c r="I2258">
        <v>58.873306326824498</v>
      </c>
    </row>
    <row r="2259" spans="1:9" x14ac:dyDescent="0.35">
      <c r="A2259" s="417" t="s">
        <v>846</v>
      </c>
      <c r="B2259" s="417" t="s">
        <v>691</v>
      </c>
      <c r="C2259" s="83">
        <v>46159</v>
      </c>
      <c r="D2259" s="417" t="s">
        <v>313</v>
      </c>
      <c r="E2259">
        <v>1356.8518833333301</v>
      </c>
      <c r="F2259">
        <v>30</v>
      </c>
      <c r="G2259">
        <v>45.228396111111103</v>
      </c>
      <c r="H2259">
        <v>0</v>
      </c>
      <c r="I2259">
        <v>47.295689015569401</v>
      </c>
    </row>
    <row r="2260" spans="1:9" x14ac:dyDescent="0.35">
      <c r="A2260" s="417" t="s">
        <v>846</v>
      </c>
      <c r="B2260" s="417" t="s">
        <v>691</v>
      </c>
      <c r="C2260" s="83">
        <v>46159</v>
      </c>
      <c r="D2260" s="417" t="s">
        <v>310</v>
      </c>
      <c r="E2260">
        <v>1347.4999166666701</v>
      </c>
      <c r="F2260">
        <v>18</v>
      </c>
      <c r="G2260">
        <v>74.861106481481499</v>
      </c>
      <c r="H2260">
        <v>0.47315000000000002</v>
      </c>
      <c r="I2260">
        <v>51.423200133577097</v>
      </c>
    </row>
    <row r="2261" spans="1:9" x14ac:dyDescent="0.35">
      <c r="A2261" s="417" t="s">
        <v>846</v>
      </c>
      <c r="B2261" s="417" t="s">
        <v>691</v>
      </c>
      <c r="C2261" s="83">
        <v>46159</v>
      </c>
      <c r="D2261" s="417" t="s">
        <v>314</v>
      </c>
      <c r="E2261">
        <v>1392.0696333333301</v>
      </c>
      <c r="F2261">
        <v>5</v>
      </c>
      <c r="G2261">
        <v>278.41392666666701</v>
      </c>
      <c r="H2261">
        <v>0.28646666666666698</v>
      </c>
      <c r="I2261">
        <v>41.349313098547498</v>
      </c>
    </row>
    <row r="2262" spans="1:9" x14ac:dyDescent="0.35">
      <c r="A2262" s="417" t="s">
        <v>846</v>
      </c>
      <c r="B2262" s="417" t="s">
        <v>691</v>
      </c>
      <c r="C2262" s="83">
        <v>46159</v>
      </c>
      <c r="D2262" s="417" t="s">
        <v>317</v>
      </c>
      <c r="E2262">
        <v>1431.61105</v>
      </c>
      <c r="F2262">
        <v>2</v>
      </c>
      <c r="G2262">
        <v>715.80552499999999</v>
      </c>
      <c r="H2262">
        <v>1.2570333333333299</v>
      </c>
      <c r="I2262">
        <v>31.234557123978099</v>
      </c>
    </row>
    <row r="2263" spans="1:9" x14ac:dyDescent="0.35">
      <c r="A2263" s="417" t="s">
        <v>846</v>
      </c>
      <c r="B2263" s="417" t="s">
        <v>691</v>
      </c>
      <c r="C2263" s="83">
        <v>46159</v>
      </c>
      <c r="D2263" s="417" t="s">
        <v>504</v>
      </c>
      <c r="E2263">
        <v>1440</v>
      </c>
      <c r="F2263">
        <v>1</v>
      </c>
      <c r="G2263">
        <v>1440</v>
      </c>
      <c r="H2263">
        <v>0</v>
      </c>
      <c r="I2263">
        <v>30.0435185185185</v>
      </c>
    </row>
    <row r="2264" spans="1:9" x14ac:dyDescent="0.35">
      <c r="A2264" s="417" t="s">
        <v>846</v>
      </c>
      <c r="B2264" s="417" t="s">
        <v>676</v>
      </c>
      <c r="C2264" s="83">
        <v>46158</v>
      </c>
      <c r="D2264" s="417" t="s">
        <v>677</v>
      </c>
      <c r="E2264">
        <v>1011.00573333333</v>
      </c>
      <c r="F2264">
        <v>258</v>
      </c>
      <c r="G2264">
        <v>3.9186268733850098</v>
      </c>
      <c r="H2264">
        <v>199.47329999999999</v>
      </c>
      <c r="I2264">
        <v>24.557500000000001</v>
      </c>
    </row>
    <row r="2265" spans="1:9" x14ac:dyDescent="0.35">
      <c r="A2265" s="417" t="s">
        <v>846</v>
      </c>
      <c r="B2265" s="417" t="s">
        <v>676</v>
      </c>
      <c r="C2265" s="83">
        <v>46158</v>
      </c>
      <c r="D2265" s="417" t="s">
        <v>678</v>
      </c>
      <c r="E2265">
        <v>1095.2653166666701</v>
      </c>
      <c r="F2265">
        <v>57</v>
      </c>
      <c r="G2265">
        <v>19.215180994152</v>
      </c>
      <c r="H2265">
        <v>54.009416666666702</v>
      </c>
      <c r="I2265">
        <v>43.049142589727801</v>
      </c>
    </row>
    <row r="2266" spans="1:9" x14ac:dyDescent="0.35">
      <c r="A2266" s="417" t="s">
        <v>846</v>
      </c>
      <c r="B2266" s="417" t="s">
        <v>676</v>
      </c>
      <c r="C2266" s="83">
        <v>46158</v>
      </c>
      <c r="D2266" s="417" t="s">
        <v>679</v>
      </c>
      <c r="E2266">
        <v>1035.93241666667</v>
      </c>
      <c r="F2266">
        <v>30</v>
      </c>
      <c r="G2266">
        <v>34.531080555555597</v>
      </c>
      <c r="H2266">
        <v>35.528700000000001</v>
      </c>
      <c r="I2266">
        <v>35.862243997748401</v>
      </c>
    </row>
    <row r="2267" spans="1:9" x14ac:dyDescent="0.35">
      <c r="A2267" s="417" t="s">
        <v>846</v>
      </c>
      <c r="B2267" s="417" t="s">
        <v>680</v>
      </c>
      <c r="C2267" s="83">
        <v>46158</v>
      </c>
      <c r="D2267" s="417" t="s">
        <v>689</v>
      </c>
      <c r="E2267">
        <v>1299.2376999999999</v>
      </c>
      <c r="F2267">
        <v>89</v>
      </c>
      <c r="G2267">
        <v>14.598176404494399</v>
      </c>
      <c r="H2267">
        <v>0</v>
      </c>
      <c r="I2267">
        <v>90.571296739765003</v>
      </c>
    </row>
    <row r="2268" spans="1:9" x14ac:dyDescent="0.35">
      <c r="A2268" s="417" t="s">
        <v>846</v>
      </c>
      <c r="B2268" s="417" t="s">
        <v>680</v>
      </c>
      <c r="C2268" s="83">
        <v>46158</v>
      </c>
      <c r="D2268" s="417" t="s">
        <v>684</v>
      </c>
      <c r="E2268">
        <v>1395.28721666667</v>
      </c>
      <c r="F2268">
        <v>50</v>
      </c>
      <c r="G2268">
        <v>27.905744333333299</v>
      </c>
      <c r="H2268">
        <v>22.332616666666699</v>
      </c>
      <c r="I2268">
        <v>67.081357113654093</v>
      </c>
    </row>
    <row r="2269" spans="1:9" x14ac:dyDescent="0.35">
      <c r="A2269" s="417" t="s">
        <v>846</v>
      </c>
      <c r="B2269" s="417" t="s">
        <v>680</v>
      </c>
      <c r="C2269" s="83">
        <v>46158</v>
      </c>
      <c r="D2269" s="417" t="s">
        <v>683</v>
      </c>
      <c r="E2269">
        <v>1337.9255166666701</v>
      </c>
      <c r="F2269">
        <v>41</v>
      </c>
      <c r="G2269">
        <v>32.632329674796701</v>
      </c>
      <c r="H2269">
        <v>3.1822499999999998</v>
      </c>
      <c r="I2269">
        <v>76.235437376046505</v>
      </c>
    </row>
    <row r="2270" spans="1:9" x14ac:dyDescent="0.35">
      <c r="A2270" s="417" t="s">
        <v>846</v>
      </c>
      <c r="B2270" s="417" t="s">
        <v>680</v>
      </c>
      <c r="C2270" s="83">
        <v>46158</v>
      </c>
      <c r="D2270" s="417" t="s">
        <v>685</v>
      </c>
      <c r="E2270">
        <v>1369.4992833333299</v>
      </c>
      <c r="F2270">
        <v>40</v>
      </c>
      <c r="G2270">
        <v>34.237482083333298</v>
      </c>
      <c r="H2270">
        <v>35.387366666666701</v>
      </c>
      <c r="I2270">
        <v>85.498888190086006</v>
      </c>
    </row>
    <row r="2271" spans="1:9" x14ac:dyDescent="0.35">
      <c r="A2271" s="417" t="s">
        <v>846</v>
      </c>
      <c r="B2271" s="417" t="s">
        <v>680</v>
      </c>
      <c r="C2271" s="83">
        <v>46158</v>
      </c>
      <c r="D2271" s="417" t="s">
        <v>687</v>
      </c>
      <c r="E2271">
        <v>1366.46783333333</v>
      </c>
      <c r="F2271">
        <v>26</v>
      </c>
      <c r="G2271">
        <v>52.556455128205101</v>
      </c>
      <c r="H2271">
        <v>21.531949999999998</v>
      </c>
      <c r="I2271">
        <v>36.3712396309135</v>
      </c>
    </row>
    <row r="2272" spans="1:9" x14ac:dyDescent="0.35">
      <c r="A2272" s="417" t="s">
        <v>846</v>
      </c>
      <c r="B2272" s="417" t="s">
        <v>680</v>
      </c>
      <c r="C2272" s="83">
        <v>46158</v>
      </c>
      <c r="D2272" s="417" t="s">
        <v>682</v>
      </c>
      <c r="E2272">
        <v>1405.2601</v>
      </c>
      <c r="F2272">
        <v>26</v>
      </c>
      <c r="G2272">
        <v>54.048465384615398</v>
      </c>
      <c r="H2272">
        <v>34.739899999999999</v>
      </c>
      <c r="I2272">
        <v>65.820202020202004</v>
      </c>
    </row>
    <row r="2273" spans="1:9" x14ac:dyDescent="0.35">
      <c r="A2273" s="417" t="s">
        <v>846</v>
      </c>
      <c r="B2273" s="417" t="s">
        <v>680</v>
      </c>
      <c r="C2273" s="83">
        <v>46158</v>
      </c>
      <c r="D2273" s="417" t="s">
        <v>681</v>
      </c>
      <c r="E2273">
        <v>1401.6215</v>
      </c>
      <c r="F2273">
        <v>24</v>
      </c>
      <c r="G2273">
        <v>58.400895833333401</v>
      </c>
      <c r="H2273">
        <v>1.33433333333333</v>
      </c>
      <c r="I2273">
        <v>87.458259419731803</v>
      </c>
    </row>
    <row r="2274" spans="1:9" x14ac:dyDescent="0.35">
      <c r="A2274" s="417" t="s">
        <v>846</v>
      </c>
      <c r="B2274" s="417" t="s">
        <v>680</v>
      </c>
      <c r="C2274" s="83">
        <v>46158</v>
      </c>
      <c r="D2274" s="417" t="s">
        <v>688</v>
      </c>
      <c r="E2274">
        <v>1374.5650000000001</v>
      </c>
      <c r="F2274">
        <v>21</v>
      </c>
      <c r="G2274">
        <v>65.455476190476205</v>
      </c>
      <c r="H2274">
        <v>7.1667166666666704</v>
      </c>
      <c r="I2274">
        <v>86.292768959558302</v>
      </c>
    </row>
    <row r="2275" spans="1:9" x14ac:dyDescent="0.35">
      <c r="A2275" s="417" t="s">
        <v>846</v>
      </c>
      <c r="B2275" s="417" t="s">
        <v>680</v>
      </c>
      <c r="C2275" s="83">
        <v>46158</v>
      </c>
      <c r="D2275" s="417" t="s">
        <v>690</v>
      </c>
      <c r="E2275">
        <v>1421.7302833333299</v>
      </c>
      <c r="F2275">
        <v>11</v>
      </c>
      <c r="G2275">
        <v>129.24820757575799</v>
      </c>
      <c r="H2275">
        <v>4.4998333333333296</v>
      </c>
      <c r="I2275">
        <v>70.945486299944804</v>
      </c>
    </row>
    <row r="2276" spans="1:9" x14ac:dyDescent="0.35">
      <c r="A2276" s="417" t="s">
        <v>846</v>
      </c>
      <c r="B2276" s="417" t="s">
        <v>680</v>
      </c>
      <c r="C2276" s="83">
        <v>46158</v>
      </c>
      <c r="D2276" s="417" t="s">
        <v>686</v>
      </c>
      <c r="E2276">
        <v>1440</v>
      </c>
      <c r="F2276">
        <v>1</v>
      </c>
      <c r="G2276">
        <v>1440</v>
      </c>
      <c r="H2276">
        <v>0</v>
      </c>
      <c r="I2276">
        <v>88.651515151515198</v>
      </c>
    </row>
    <row r="2277" spans="1:9" x14ac:dyDescent="0.35">
      <c r="A2277" s="417" t="s">
        <v>846</v>
      </c>
      <c r="B2277" s="417" t="s">
        <v>691</v>
      </c>
      <c r="C2277" s="83">
        <v>46158</v>
      </c>
      <c r="D2277" s="417" t="s">
        <v>309</v>
      </c>
      <c r="E2277">
        <v>1203.14251666667</v>
      </c>
      <c r="F2277">
        <v>164</v>
      </c>
      <c r="G2277">
        <v>7.3362348577235696</v>
      </c>
      <c r="H2277">
        <v>8.4383333333333296E-2</v>
      </c>
      <c r="I2277">
        <v>47.384388447357203</v>
      </c>
    </row>
    <row r="2278" spans="1:9" x14ac:dyDescent="0.35">
      <c r="A2278" s="417" t="s">
        <v>846</v>
      </c>
      <c r="B2278" s="417" t="s">
        <v>691</v>
      </c>
      <c r="C2278" s="83">
        <v>46158</v>
      </c>
      <c r="D2278" s="417" t="s">
        <v>342</v>
      </c>
      <c r="E2278">
        <v>1174.1694833333299</v>
      </c>
      <c r="F2278">
        <v>106</v>
      </c>
      <c r="G2278">
        <v>11.077070597484299</v>
      </c>
      <c r="H2278">
        <v>232.41218333333299</v>
      </c>
      <c r="I2278">
        <v>53.836156812053503</v>
      </c>
    </row>
    <row r="2279" spans="1:9" x14ac:dyDescent="0.35">
      <c r="A2279" s="417" t="s">
        <v>846</v>
      </c>
      <c r="B2279" s="417" t="s">
        <v>691</v>
      </c>
      <c r="C2279" s="83">
        <v>46158</v>
      </c>
      <c r="D2279" s="417" t="s">
        <v>305</v>
      </c>
      <c r="E2279">
        <v>1346.62891666667</v>
      </c>
      <c r="F2279">
        <v>106</v>
      </c>
      <c r="G2279">
        <v>12.7040463836478</v>
      </c>
      <c r="H2279">
        <v>2.1617333333333302</v>
      </c>
      <c r="I2279">
        <v>58.274151025191699</v>
      </c>
    </row>
    <row r="2280" spans="1:9" x14ac:dyDescent="0.35">
      <c r="A2280" s="417" t="s">
        <v>846</v>
      </c>
      <c r="B2280" s="417" t="s">
        <v>691</v>
      </c>
      <c r="C2280" s="83">
        <v>46158</v>
      </c>
      <c r="D2280" s="417" t="s">
        <v>299</v>
      </c>
      <c r="E2280">
        <v>1311.4634166666699</v>
      </c>
      <c r="F2280">
        <v>103</v>
      </c>
      <c r="G2280">
        <v>12.7326545307443</v>
      </c>
      <c r="H2280">
        <v>0.34283333333333299</v>
      </c>
      <c r="I2280">
        <v>63.311763776131599</v>
      </c>
    </row>
    <row r="2281" spans="1:9" x14ac:dyDescent="0.35">
      <c r="A2281" s="417" t="s">
        <v>846</v>
      </c>
      <c r="B2281" s="417" t="s">
        <v>691</v>
      </c>
      <c r="C2281" s="83">
        <v>46158</v>
      </c>
      <c r="D2281" s="417" t="s">
        <v>301</v>
      </c>
      <c r="E2281">
        <v>1378.40365</v>
      </c>
      <c r="F2281">
        <v>77</v>
      </c>
      <c r="G2281">
        <v>17.901346103896099</v>
      </c>
      <c r="H2281">
        <v>0.36961666666666698</v>
      </c>
      <c r="I2281">
        <v>49.696711804604099</v>
      </c>
    </row>
    <row r="2282" spans="1:9" x14ac:dyDescent="0.35">
      <c r="A2282" s="417" t="s">
        <v>846</v>
      </c>
      <c r="B2282" s="417" t="s">
        <v>691</v>
      </c>
      <c r="C2282" s="83">
        <v>46158</v>
      </c>
      <c r="D2282" s="417" t="s">
        <v>295</v>
      </c>
      <c r="E2282">
        <v>1331.1578</v>
      </c>
      <c r="F2282">
        <v>72</v>
      </c>
      <c r="G2282">
        <v>18.4883027777778</v>
      </c>
      <c r="H2282">
        <v>0.81061666666666699</v>
      </c>
      <c r="I2282">
        <v>64.544285144419504</v>
      </c>
    </row>
    <row r="2283" spans="1:9" x14ac:dyDescent="0.35">
      <c r="A2283" s="417" t="s">
        <v>846</v>
      </c>
      <c r="B2283" s="417" t="s">
        <v>691</v>
      </c>
      <c r="C2283" s="83">
        <v>46158</v>
      </c>
      <c r="D2283" s="417" t="s">
        <v>303</v>
      </c>
      <c r="E2283">
        <v>1364.6747666666699</v>
      </c>
      <c r="F2283">
        <v>71</v>
      </c>
      <c r="G2283">
        <v>19.220771361502301</v>
      </c>
      <c r="H2283">
        <v>0.16841666666666699</v>
      </c>
      <c r="I2283">
        <v>51.951083422811799</v>
      </c>
    </row>
    <row r="2284" spans="1:9" x14ac:dyDescent="0.35">
      <c r="A2284" s="417" t="s">
        <v>846</v>
      </c>
      <c r="B2284" s="417" t="s">
        <v>691</v>
      </c>
      <c r="C2284" s="83">
        <v>46158</v>
      </c>
      <c r="D2284" s="417" t="s">
        <v>313</v>
      </c>
      <c r="E2284">
        <v>1368.915</v>
      </c>
      <c r="F2284">
        <v>36</v>
      </c>
      <c r="G2284">
        <v>38.0254166666667</v>
      </c>
      <c r="H2284">
        <v>6.6510833333333297</v>
      </c>
      <c r="I2284">
        <v>35.172308130080097</v>
      </c>
    </row>
    <row r="2285" spans="1:9" x14ac:dyDescent="0.35">
      <c r="A2285" s="417" t="s">
        <v>846</v>
      </c>
      <c r="B2285" s="417" t="s">
        <v>691</v>
      </c>
      <c r="C2285" s="83">
        <v>46158</v>
      </c>
      <c r="D2285" s="417" t="s">
        <v>310</v>
      </c>
      <c r="E2285">
        <v>1237.23303333333</v>
      </c>
      <c r="F2285">
        <v>14</v>
      </c>
      <c r="G2285">
        <v>88.373788095238098</v>
      </c>
      <c r="H2285">
        <v>3.8922333333333299</v>
      </c>
      <c r="I2285">
        <v>36.606757585891103</v>
      </c>
    </row>
    <row r="2286" spans="1:9" x14ac:dyDescent="0.35">
      <c r="A2286" s="417" t="s">
        <v>846</v>
      </c>
      <c r="B2286" s="417" t="s">
        <v>691</v>
      </c>
      <c r="C2286" s="83">
        <v>46158</v>
      </c>
      <c r="D2286" s="417" t="s">
        <v>314</v>
      </c>
      <c r="E2286">
        <v>1376.5476000000001</v>
      </c>
      <c r="F2286">
        <v>7</v>
      </c>
      <c r="G2286">
        <v>196.649657142857</v>
      </c>
      <c r="H2286">
        <v>7.8431333333333297</v>
      </c>
      <c r="I2286">
        <v>29.944523452246202</v>
      </c>
    </row>
    <row r="2287" spans="1:9" x14ac:dyDescent="0.35">
      <c r="A2287" s="417" t="s">
        <v>846</v>
      </c>
      <c r="B2287" s="417" t="s">
        <v>691</v>
      </c>
      <c r="C2287" s="83">
        <v>46158</v>
      </c>
      <c r="D2287" s="417" t="s">
        <v>317</v>
      </c>
      <c r="E2287">
        <v>1419.0094833333301</v>
      </c>
      <c r="F2287">
        <v>3</v>
      </c>
      <c r="G2287">
        <v>473.00316111111101</v>
      </c>
      <c r="H2287">
        <v>0.29594999999999999</v>
      </c>
      <c r="I2287">
        <v>27.622666044421699</v>
      </c>
    </row>
    <row r="2288" spans="1:9" x14ac:dyDescent="0.35">
      <c r="A2288" s="417" t="s">
        <v>846</v>
      </c>
      <c r="B2288" s="417" t="s">
        <v>691</v>
      </c>
      <c r="C2288" s="83">
        <v>46158</v>
      </c>
      <c r="D2288" s="417" t="s">
        <v>504</v>
      </c>
      <c r="E2288">
        <v>1440</v>
      </c>
      <c r="F2288">
        <v>1</v>
      </c>
      <c r="G2288">
        <v>1440</v>
      </c>
      <c r="H2288">
        <v>0</v>
      </c>
      <c r="I2288">
        <v>30.983796296296301</v>
      </c>
    </row>
    <row r="2289" spans="1:9" x14ac:dyDescent="0.35">
      <c r="A2289" s="417" t="s">
        <v>846</v>
      </c>
      <c r="B2289" s="417" t="s">
        <v>676</v>
      </c>
      <c r="C2289" s="83">
        <v>46157</v>
      </c>
      <c r="D2289" s="417" t="s">
        <v>677</v>
      </c>
      <c r="E2289">
        <v>1217.95886666667</v>
      </c>
      <c r="F2289">
        <v>381</v>
      </c>
      <c r="G2289">
        <v>3.1967424321959701</v>
      </c>
      <c r="H2289">
        <v>187.36943333333301</v>
      </c>
      <c r="I2289">
        <v>35.9455555555556</v>
      </c>
    </row>
    <row r="2290" spans="1:9" x14ac:dyDescent="0.35">
      <c r="A2290" s="417" t="s">
        <v>846</v>
      </c>
      <c r="B2290" s="417" t="s">
        <v>676</v>
      </c>
      <c r="C2290" s="83">
        <v>46157</v>
      </c>
      <c r="D2290" s="417" t="s">
        <v>679</v>
      </c>
      <c r="E2290">
        <v>1285.492</v>
      </c>
      <c r="F2290">
        <v>21</v>
      </c>
      <c r="G2290">
        <v>61.213904761904701</v>
      </c>
      <c r="H2290">
        <v>26.671283333333299</v>
      </c>
      <c r="I2290">
        <v>1.43068943946368</v>
      </c>
    </row>
    <row r="2291" spans="1:9" x14ac:dyDescent="0.35">
      <c r="A2291" s="417" t="s">
        <v>846</v>
      </c>
      <c r="B2291" s="417" t="s">
        <v>676</v>
      </c>
      <c r="C2291" s="83">
        <v>46157</v>
      </c>
      <c r="D2291" s="417" t="s">
        <v>678</v>
      </c>
      <c r="E2291">
        <v>1395.8692333333299</v>
      </c>
      <c r="F2291">
        <v>12</v>
      </c>
      <c r="G2291">
        <v>116.322436111111</v>
      </c>
      <c r="H2291">
        <v>6.8353999999999999</v>
      </c>
      <c r="I2291">
        <v>80.802708310723204</v>
      </c>
    </row>
    <row r="2292" spans="1:9" x14ac:dyDescent="0.35">
      <c r="A2292" s="417" t="s">
        <v>846</v>
      </c>
      <c r="B2292" s="417" t="s">
        <v>680</v>
      </c>
      <c r="C2292" s="83">
        <v>46157</v>
      </c>
      <c r="D2292" s="417" t="s">
        <v>689</v>
      </c>
      <c r="E2292">
        <v>1392.9895833333301</v>
      </c>
      <c r="F2292">
        <v>81</v>
      </c>
      <c r="G2292">
        <v>17.197402263374499</v>
      </c>
      <c r="H2292">
        <v>0.67486666666666695</v>
      </c>
      <c r="I2292">
        <v>78.610208077242405</v>
      </c>
    </row>
    <row r="2293" spans="1:9" x14ac:dyDescent="0.35">
      <c r="A2293" s="417" t="s">
        <v>846</v>
      </c>
      <c r="B2293" s="417" t="s">
        <v>680</v>
      </c>
      <c r="C2293" s="83">
        <v>46157</v>
      </c>
      <c r="D2293" s="417" t="s">
        <v>685</v>
      </c>
      <c r="E2293">
        <v>1344.9608166666701</v>
      </c>
      <c r="F2293">
        <v>43</v>
      </c>
      <c r="G2293">
        <v>31.278158527131801</v>
      </c>
      <c r="H2293">
        <v>41.008800000000001</v>
      </c>
      <c r="I2293">
        <v>79.992025645615399</v>
      </c>
    </row>
    <row r="2294" spans="1:9" x14ac:dyDescent="0.35">
      <c r="A2294" s="417" t="s">
        <v>846</v>
      </c>
      <c r="B2294" s="417" t="s">
        <v>680</v>
      </c>
      <c r="C2294" s="83">
        <v>46157</v>
      </c>
      <c r="D2294" s="417" t="s">
        <v>681</v>
      </c>
      <c r="E2294">
        <v>1411.6903833333299</v>
      </c>
      <c r="F2294">
        <v>37</v>
      </c>
      <c r="G2294">
        <v>38.153794144144101</v>
      </c>
      <c r="H2294">
        <v>5.1668333333333303</v>
      </c>
      <c r="I2294">
        <v>75.351246083498495</v>
      </c>
    </row>
    <row r="2295" spans="1:9" x14ac:dyDescent="0.35">
      <c r="A2295" s="417" t="s">
        <v>846</v>
      </c>
      <c r="B2295" s="417" t="s">
        <v>680</v>
      </c>
      <c r="C2295" s="83">
        <v>46157</v>
      </c>
      <c r="D2295" s="417" t="s">
        <v>683</v>
      </c>
      <c r="E2295">
        <v>1369.1569666666701</v>
      </c>
      <c r="F2295">
        <v>33</v>
      </c>
      <c r="G2295">
        <v>41.489605050505098</v>
      </c>
      <c r="H2295">
        <v>13.159216666666699</v>
      </c>
      <c r="I2295">
        <v>75.242512809913094</v>
      </c>
    </row>
    <row r="2296" spans="1:9" x14ac:dyDescent="0.35">
      <c r="A2296" s="417" t="s">
        <v>846</v>
      </c>
      <c r="B2296" s="417" t="s">
        <v>680</v>
      </c>
      <c r="C2296" s="83">
        <v>46157</v>
      </c>
      <c r="D2296" s="417" t="s">
        <v>684</v>
      </c>
      <c r="E2296">
        <v>1403.1681166666699</v>
      </c>
      <c r="F2296">
        <v>29</v>
      </c>
      <c r="G2296">
        <v>48.385107471264398</v>
      </c>
      <c r="H2296">
        <v>24.013716666666699</v>
      </c>
      <c r="I2296">
        <v>58.936077891124</v>
      </c>
    </row>
    <row r="2297" spans="1:9" x14ac:dyDescent="0.35">
      <c r="A2297" s="417" t="s">
        <v>846</v>
      </c>
      <c r="B2297" s="417" t="s">
        <v>680</v>
      </c>
      <c r="C2297" s="83">
        <v>46157</v>
      </c>
      <c r="D2297" s="417" t="s">
        <v>682</v>
      </c>
      <c r="E2297">
        <v>1424.6858500000001</v>
      </c>
      <c r="F2297">
        <v>16</v>
      </c>
      <c r="G2297">
        <v>89.042865625000005</v>
      </c>
      <c r="H2297">
        <v>15.31415</v>
      </c>
      <c r="I2297">
        <v>58.429292929292899</v>
      </c>
    </row>
    <row r="2298" spans="1:9" x14ac:dyDescent="0.35">
      <c r="A2298" s="417" t="s">
        <v>846</v>
      </c>
      <c r="B2298" s="417" t="s">
        <v>680</v>
      </c>
      <c r="C2298" s="83">
        <v>46157</v>
      </c>
      <c r="D2298" s="417" t="s">
        <v>688</v>
      </c>
      <c r="E2298">
        <v>1355.8037666666701</v>
      </c>
      <c r="F2298">
        <v>16</v>
      </c>
      <c r="G2298">
        <v>84.737735416666695</v>
      </c>
      <c r="H2298">
        <v>10.533250000000001</v>
      </c>
      <c r="I2298">
        <v>74.200126131858596</v>
      </c>
    </row>
    <row r="2299" spans="1:9" x14ac:dyDescent="0.35">
      <c r="A2299" s="417" t="s">
        <v>846</v>
      </c>
      <c r="B2299" s="417" t="s">
        <v>680</v>
      </c>
      <c r="C2299" s="83">
        <v>46157</v>
      </c>
      <c r="D2299" s="417" t="s">
        <v>687</v>
      </c>
      <c r="E2299">
        <v>1420.3330166666699</v>
      </c>
      <c r="F2299">
        <v>10</v>
      </c>
      <c r="G2299">
        <v>142.033301666667</v>
      </c>
      <c r="H2299">
        <v>18.166716666666701</v>
      </c>
      <c r="I2299">
        <v>28.3863925975133</v>
      </c>
    </row>
    <row r="2300" spans="1:9" x14ac:dyDescent="0.35">
      <c r="A2300" s="417" t="s">
        <v>846</v>
      </c>
      <c r="B2300" s="417" t="s">
        <v>680</v>
      </c>
      <c r="C2300" s="83">
        <v>46157</v>
      </c>
      <c r="D2300" s="417" t="s">
        <v>690</v>
      </c>
      <c r="E2300">
        <v>1435.35496666667</v>
      </c>
      <c r="F2300">
        <v>7</v>
      </c>
      <c r="G2300">
        <v>205.05070952381001</v>
      </c>
      <c r="H2300">
        <v>1.3266166666666701</v>
      </c>
      <c r="I2300">
        <v>72.342767933852102</v>
      </c>
    </row>
    <row r="2301" spans="1:9" x14ac:dyDescent="0.35">
      <c r="A2301" s="417" t="s">
        <v>846</v>
      </c>
      <c r="B2301" s="417" t="s">
        <v>680</v>
      </c>
      <c r="C2301" s="83">
        <v>46157</v>
      </c>
      <c r="D2301" s="417" t="s">
        <v>686</v>
      </c>
      <c r="E2301">
        <v>1440</v>
      </c>
      <c r="F2301">
        <v>1</v>
      </c>
      <c r="G2301">
        <v>1440</v>
      </c>
      <c r="H2301">
        <v>0</v>
      </c>
      <c r="I2301">
        <v>73.7222222222222</v>
      </c>
    </row>
    <row r="2302" spans="1:9" x14ac:dyDescent="0.35">
      <c r="A2302" s="417" t="s">
        <v>846</v>
      </c>
      <c r="B2302" s="417" t="s">
        <v>691</v>
      </c>
      <c r="C2302" s="83">
        <v>46157</v>
      </c>
      <c r="D2302" s="417" t="s">
        <v>305</v>
      </c>
      <c r="E2302">
        <v>1327.91016666667</v>
      </c>
      <c r="F2302">
        <v>141</v>
      </c>
      <c r="G2302">
        <v>9.4178026004728093</v>
      </c>
      <c r="H2302">
        <v>3.2784666666666702</v>
      </c>
      <c r="I2302">
        <v>60.832865524865902</v>
      </c>
    </row>
    <row r="2303" spans="1:9" x14ac:dyDescent="0.35">
      <c r="A2303" s="417" t="s">
        <v>846</v>
      </c>
      <c r="B2303" s="417" t="s">
        <v>691</v>
      </c>
      <c r="C2303" s="83">
        <v>46157</v>
      </c>
      <c r="D2303" s="417" t="s">
        <v>299</v>
      </c>
      <c r="E2303">
        <v>1368.3152833333299</v>
      </c>
      <c r="F2303">
        <v>108</v>
      </c>
      <c r="G2303">
        <v>12.669585956790099</v>
      </c>
      <c r="H2303">
        <v>0.25338333333333302</v>
      </c>
      <c r="I2303">
        <v>77.540241867788595</v>
      </c>
    </row>
    <row r="2304" spans="1:9" x14ac:dyDescent="0.35">
      <c r="A2304" s="417" t="s">
        <v>846</v>
      </c>
      <c r="B2304" s="417" t="s">
        <v>691</v>
      </c>
      <c r="C2304" s="83">
        <v>46157</v>
      </c>
      <c r="D2304" s="417" t="s">
        <v>295</v>
      </c>
      <c r="E2304">
        <v>1362.5243499999999</v>
      </c>
      <c r="F2304">
        <v>79</v>
      </c>
      <c r="G2304">
        <v>17.2471436708861</v>
      </c>
      <c r="H2304">
        <v>0.143883333333333</v>
      </c>
      <c r="I2304">
        <v>76.436485785949699</v>
      </c>
    </row>
    <row r="2305" spans="1:9" x14ac:dyDescent="0.35">
      <c r="A2305" s="417" t="s">
        <v>846</v>
      </c>
      <c r="B2305" s="417" t="s">
        <v>691</v>
      </c>
      <c r="C2305" s="83">
        <v>46157</v>
      </c>
      <c r="D2305" s="417" t="s">
        <v>301</v>
      </c>
      <c r="E2305">
        <v>1328.18163333333</v>
      </c>
      <c r="F2305">
        <v>74</v>
      </c>
      <c r="G2305">
        <v>17.9484004504504</v>
      </c>
      <c r="H2305">
        <v>1.7357166666666699</v>
      </c>
      <c r="I2305">
        <v>59.510608434984903</v>
      </c>
    </row>
    <row r="2306" spans="1:9" x14ac:dyDescent="0.35">
      <c r="A2306" s="417" t="s">
        <v>846</v>
      </c>
      <c r="B2306" s="417" t="s">
        <v>691</v>
      </c>
      <c r="C2306" s="83">
        <v>46157</v>
      </c>
      <c r="D2306" s="417" t="s">
        <v>303</v>
      </c>
      <c r="E2306">
        <v>1372.1101166666699</v>
      </c>
      <c r="F2306">
        <v>73</v>
      </c>
      <c r="G2306">
        <v>18.796028995433801</v>
      </c>
      <c r="H2306">
        <v>0.36971666666666703</v>
      </c>
      <c r="I2306">
        <v>54.293041653744801</v>
      </c>
    </row>
    <row r="2307" spans="1:9" x14ac:dyDescent="0.35">
      <c r="A2307" s="417" t="s">
        <v>846</v>
      </c>
      <c r="B2307" s="417" t="s">
        <v>691</v>
      </c>
      <c r="C2307" s="83">
        <v>46157</v>
      </c>
      <c r="D2307" s="417" t="s">
        <v>309</v>
      </c>
      <c r="E2307">
        <v>1364.23708333333</v>
      </c>
      <c r="F2307">
        <v>54</v>
      </c>
      <c r="G2307">
        <v>25.263649691358001</v>
      </c>
      <c r="H2307">
        <v>0</v>
      </c>
      <c r="I2307">
        <v>64.8559099473473</v>
      </c>
    </row>
    <row r="2308" spans="1:9" x14ac:dyDescent="0.35">
      <c r="A2308" s="417" t="s">
        <v>846</v>
      </c>
      <c r="B2308" s="417" t="s">
        <v>691</v>
      </c>
      <c r="C2308" s="83">
        <v>46157</v>
      </c>
      <c r="D2308" s="417" t="s">
        <v>342</v>
      </c>
      <c r="E2308">
        <v>1379.93208333333</v>
      </c>
      <c r="F2308">
        <v>41</v>
      </c>
      <c r="G2308">
        <v>33.656880081300798</v>
      </c>
      <c r="H2308">
        <v>60.067916666666697</v>
      </c>
      <c r="I2308">
        <v>72.113095238095198</v>
      </c>
    </row>
    <row r="2309" spans="1:9" x14ac:dyDescent="0.35">
      <c r="A2309" s="417" t="s">
        <v>846</v>
      </c>
      <c r="B2309" s="417" t="s">
        <v>691</v>
      </c>
      <c r="C2309" s="83">
        <v>46157</v>
      </c>
      <c r="D2309" s="417" t="s">
        <v>310</v>
      </c>
      <c r="E2309">
        <v>1324.1894666666699</v>
      </c>
      <c r="F2309">
        <v>20</v>
      </c>
      <c r="G2309">
        <v>66.209473333333307</v>
      </c>
      <c r="H2309">
        <v>3.9944333333333302</v>
      </c>
      <c r="I2309">
        <v>64.365213263493303</v>
      </c>
    </row>
    <row r="2310" spans="1:9" x14ac:dyDescent="0.35">
      <c r="A2310" s="417" t="s">
        <v>846</v>
      </c>
      <c r="B2310" s="417" t="s">
        <v>691</v>
      </c>
      <c r="C2310" s="83">
        <v>46157</v>
      </c>
      <c r="D2310" s="417" t="s">
        <v>314</v>
      </c>
      <c r="E2310">
        <v>1390.8845833333301</v>
      </c>
      <c r="F2310">
        <v>6</v>
      </c>
      <c r="G2310">
        <v>231.81409722222199</v>
      </c>
      <c r="H2310">
        <v>0.14374999999999999</v>
      </c>
      <c r="I2310">
        <v>47.921767856429099</v>
      </c>
    </row>
    <row r="2311" spans="1:9" x14ac:dyDescent="0.35">
      <c r="A2311" s="417" t="s">
        <v>846</v>
      </c>
      <c r="B2311" s="417" t="s">
        <v>691</v>
      </c>
      <c r="C2311" s="83">
        <v>46157</v>
      </c>
      <c r="D2311" s="417" t="s">
        <v>313</v>
      </c>
      <c r="E2311">
        <v>1432.2084</v>
      </c>
      <c r="F2311">
        <v>4</v>
      </c>
      <c r="G2311">
        <v>358.0521</v>
      </c>
      <c r="H2311">
        <v>0</v>
      </c>
      <c r="I2311">
        <v>65.885612528841506</v>
      </c>
    </row>
    <row r="2312" spans="1:9" x14ac:dyDescent="0.35">
      <c r="A2312" s="417" t="s">
        <v>846</v>
      </c>
      <c r="B2312" s="417" t="s">
        <v>691</v>
      </c>
      <c r="C2312" s="83">
        <v>46157</v>
      </c>
      <c r="D2312" s="417" t="s">
        <v>317</v>
      </c>
      <c r="E2312">
        <v>1438.46663333333</v>
      </c>
      <c r="F2312">
        <v>1</v>
      </c>
      <c r="G2312">
        <v>1438.46663333333</v>
      </c>
      <c r="H2312">
        <v>0</v>
      </c>
      <c r="I2312">
        <v>45.343422286310002</v>
      </c>
    </row>
    <row r="2313" spans="1:9" x14ac:dyDescent="0.35">
      <c r="A2313" s="417" t="s">
        <v>846</v>
      </c>
      <c r="B2313" s="417" t="s">
        <v>691</v>
      </c>
      <c r="C2313" s="83">
        <v>46157</v>
      </c>
      <c r="D2313" s="417" t="s">
        <v>504</v>
      </c>
      <c r="E2313">
        <v>1440</v>
      </c>
      <c r="F2313">
        <v>1</v>
      </c>
      <c r="G2313">
        <v>1440</v>
      </c>
      <c r="H2313">
        <v>0</v>
      </c>
      <c r="I2313">
        <v>28.858641975308601</v>
      </c>
    </row>
    <row r="2314" spans="1:9" x14ac:dyDescent="0.35">
      <c r="A2314" s="417" t="s">
        <v>846</v>
      </c>
      <c r="B2314" s="417" t="s">
        <v>676</v>
      </c>
      <c r="C2314" s="83">
        <v>46156</v>
      </c>
      <c r="D2314" s="417" t="s">
        <v>677</v>
      </c>
      <c r="E2314">
        <v>1205.0142000000001</v>
      </c>
      <c r="F2314">
        <v>355</v>
      </c>
      <c r="G2314">
        <v>3.3944061971831001</v>
      </c>
      <c r="H2314">
        <v>142.14586666666699</v>
      </c>
      <c r="I2314">
        <v>38.111944444444397</v>
      </c>
    </row>
    <row r="2315" spans="1:9" x14ac:dyDescent="0.35">
      <c r="A2315" s="417" t="s">
        <v>846</v>
      </c>
      <c r="B2315" s="417" t="s">
        <v>676</v>
      </c>
      <c r="C2315" s="83">
        <v>46156</v>
      </c>
      <c r="D2315" s="417" t="s">
        <v>678</v>
      </c>
      <c r="E2315">
        <v>1401.16873333333</v>
      </c>
      <c r="F2315">
        <v>17</v>
      </c>
      <c r="G2315">
        <v>82.421690196078501</v>
      </c>
      <c r="H2315">
        <v>11.011200000000001</v>
      </c>
      <c r="I2315">
        <v>98.061394348283997</v>
      </c>
    </row>
    <row r="2316" spans="1:9" x14ac:dyDescent="0.35">
      <c r="A2316" s="417" t="s">
        <v>846</v>
      </c>
      <c r="B2316" s="417" t="s">
        <v>676</v>
      </c>
      <c r="C2316" s="83">
        <v>46156</v>
      </c>
      <c r="D2316" s="417" t="s">
        <v>679</v>
      </c>
      <c r="E2316">
        <v>1379.63018333333</v>
      </c>
      <c r="F2316">
        <v>8</v>
      </c>
      <c r="G2316">
        <v>172.45377291666699</v>
      </c>
      <c r="H2316">
        <v>2.8354666666666701</v>
      </c>
      <c r="I2316">
        <v>0.218932504157823</v>
      </c>
    </row>
    <row r="2317" spans="1:9" x14ac:dyDescent="0.35">
      <c r="A2317" s="417" t="s">
        <v>846</v>
      </c>
      <c r="B2317" s="417" t="s">
        <v>680</v>
      </c>
      <c r="C2317" s="83">
        <v>46156</v>
      </c>
      <c r="D2317" s="417" t="s">
        <v>689</v>
      </c>
      <c r="E2317">
        <v>1070.7230530316699</v>
      </c>
      <c r="F2317">
        <v>76</v>
      </c>
      <c r="G2317">
        <v>14.0884612241009</v>
      </c>
      <c r="H2317">
        <v>0.17335</v>
      </c>
      <c r="I2317">
        <v>76.482524133656796</v>
      </c>
    </row>
    <row r="2318" spans="1:9" x14ac:dyDescent="0.35">
      <c r="A2318" s="417" t="s">
        <v>846</v>
      </c>
      <c r="B2318" s="417" t="s">
        <v>680</v>
      </c>
      <c r="C2318" s="83">
        <v>46156</v>
      </c>
      <c r="D2318" s="417" t="s">
        <v>683</v>
      </c>
      <c r="E2318">
        <v>1391.1527333333299</v>
      </c>
      <c r="F2318">
        <v>48</v>
      </c>
      <c r="G2318">
        <v>28.9823486111111</v>
      </c>
      <c r="H2318">
        <v>2.00531666666667</v>
      </c>
      <c r="I2318">
        <v>72.472010811501093</v>
      </c>
    </row>
    <row r="2319" spans="1:9" x14ac:dyDescent="0.35">
      <c r="A2319" s="417" t="s">
        <v>846</v>
      </c>
      <c r="B2319" s="417" t="s">
        <v>680</v>
      </c>
      <c r="C2319" s="83">
        <v>46156</v>
      </c>
      <c r="D2319" s="417" t="s">
        <v>685</v>
      </c>
      <c r="E2319">
        <v>1328.02236666667</v>
      </c>
      <c r="F2319">
        <v>45</v>
      </c>
      <c r="G2319">
        <v>29.511608148148099</v>
      </c>
      <c r="H2319">
        <v>31.012799999999999</v>
      </c>
      <c r="I2319">
        <v>84.453254393346</v>
      </c>
    </row>
    <row r="2320" spans="1:9" x14ac:dyDescent="0.35">
      <c r="A2320" s="417" t="s">
        <v>846</v>
      </c>
      <c r="B2320" s="417" t="s">
        <v>680</v>
      </c>
      <c r="C2320" s="83">
        <v>46156</v>
      </c>
      <c r="D2320" s="417" t="s">
        <v>688</v>
      </c>
      <c r="E2320">
        <v>1382.01088333333</v>
      </c>
      <c r="F2320">
        <v>41</v>
      </c>
      <c r="G2320">
        <v>33.707582520325197</v>
      </c>
      <c r="H2320">
        <v>5.4930166666666702</v>
      </c>
      <c r="I2320">
        <v>74.940181457471397</v>
      </c>
    </row>
    <row r="2321" spans="1:9" x14ac:dyDescent="0.35">
      <c r="A2321" s="417" t="s">
        <v>846</v>
      </c>
      <c r="B2321" s="417" t="s">
        <v>680</v>
      </c>
      <c r="C2321" s="83">
        <v>46156</v>
      </c>
      <c r="D2321" s="417" t="s">
        <v>684</v>
      </c>
      <c r="E2321">
        <v>1401.6411166666701</v>
      </c>
      <c r="F2321">
        <v>33</v>
      </c>
      <c r="G2321">
        <v>42.473973232323203</v>
      </c>
      <c r="H2321">
        <v>18.6754833333333</v>
      </c>
      <c r="I2321">
        <v>74.912603519173302</v>
      </c>
    </row>
    <row r="2322" spans="1:9" x14ac:dyDescent="0.35">
      <c r="A2322" s="417" t="s">
        <v>846</v>
      </c>
      <c r="B2322" s="417" t="s">
        <v>680</v>
      </c>
      <c r="C2322" s="83">
        <v>46156</v>
      </c>
      <c r="D2322" s="417" t="s">
        <v>681</v>
      </c>
      <c r="E2322">
        <v>1396.1774</v>
      </c>
      <c r="F2322">
        <v>32</v>
      </c>
      <c r="G2322">
        <v>43.630543750000001</v>
      </c>
      <c r="H2322">
        <v>0</v>
      </c>
      <c r="I2322">
        <v>77.379812723064106</v>
      </c>
    </row>
    <row r="2323" spans="1:9" x14ac:dyDescent="0.35">
      <c r="A2323" s="417" t="s">
        <v>846</v>
      </c>
      <c r="B2323" s="417" t="s">
        <v>680</v>
      </c>
      <c r="C2323" s="83">
        <v>46156</v>
      </c>
      <c r="D2323" s="417" t="s">
        <v>682</v>
      </c>
      <c r="E2323">
        <v>1393.9794666666701</v>
      </c>
      <c r="F2323">
        <v>30</v>
      </c>
      <c r="G2323">
        <v>46.465982222222202</v>
      </c>
      <c r="H2323">
        <v>46.020533333333297</v>
      </c>
      <c r="I2323">
        <v>73.590909090909093</v>
      </c>
    </row>
    <row r="2324" spans="1:9" x14ac:dyDescent="0.35">
      <c r="A2324" s="417" t="s">
        <v>846</v>
      </c>
      <c r="B2324" s="417" t="s">
        <v>680</v>
      </c>
      <c r="C2324" s="83">
        <v>46156</v>
      </c>
      <c r="D2324" s="417" t="s">
        <v>687</v>
      </c>
      <c r="E2324">
        <v>1423.0148666666701</v>
      </c>
      <c r="F2324">
        <v>17</v>
      </c>
      <c r="G2324">
        <v>83.706756862745095</v>
      </c>
      <c r="H2324">
        <v>11.49475</v>
      </c>
      <c r="I2324">
        <v>39.643829420677299</v>
      </c>
    </row>
    <row r="2325" spans="1:9" x14ac:dyDescent="0.35">
      <c r="A2325" s="417" t="s">
        <v>846</v>
      </c>
      <c r="B2325" s="417" t="s">
        <v>680</v>
      </c>
      <c r="C2325" s="83">
        <v>46156</v>
      </c>
      <c r="D2325" s="417" t="s">
        <v>690</v>
      </c>
      <c r="E2325">
        <v>1422.3510166666699</v>
      </c>
      <c r="F2325">
        <v>9</v>
      </c>
      <c r="G2325">
        <v>158.03900185185199</v>
      </c>
      <c r="H2325">
        <v>4.9874000000000001</v>
      </c>
      <c r="I2325">
        <v>70.7052994711933</v>
      </c>
    </row>
    <row r="2326" spans="1:9" x14ac:dyDescent="0.35">
      <c r="A2326" s="417" t="s">
        <v>846</v>
      </c>
      <c r="B2326" s="417" t="s">
        <v>680</v>
      </c>
      <c r="C2326" s="83">
        <v>46156</v>
      </c>
      <c r="D2326" s="417" t="s">
        <v>686</v>
      </c>
      <c r="E2326">
        <v>1440</v>
      </c>
      <c r="F2326">
        <v>1</v>
      </c>
      <c r="G2326">
        <v>1440</v>
      </c>
      <c r="H2326">
        <v>0</v>
      </c>
      <c r="I2326">
        <v>102.732323232323</v>
      </c>
    </row>
    <row r="2327" spans="1:9" x14ac:dyDescent="0.35">
      <c r="A2327" s="417" t="s">
        <v>846</v>
      </c>
      <c r="B2327" s="417" t="s">
        <v>691</v>
      </c>
      <c r="C2327" s="83">
        <v>46156</v>
      </c>
      <c r="D2327" s="417" t="s">
        <v>305</v>
      </c>
      <c r="E2327">
        <v>1312.9356333333301</v>
      </c>
      <c r="F2327">
        <v>148</v>
      </c>
      <c r="G2327">
        <v>8.8711867117117098</v>
      </c>
      <c r="H2327">
        <v>3.1758500000000001</v>
      </c>
      <c r="I2327">
        <v>58.7367247352649</v>
      </c>
    </row>
    <row r="2328" spans="1:9" x14ac:dyDescent="0.35">
      <c r="A2328" s="417" t="s">
        <v>846</v>
      </c>
      <c r="B2328" s="417" t="s">
        <v>691</v>
      </c>
      <c r="C2328" s="83">
        <v>46156</v>
      </c>
      <c r="D2328" s="417" t="s">
        <v>299</v>
      </c>
      <c r="E2328">
        <v>1357.5862500000001</v>
      </c>
      <c r="F2328">
        <v>116</v>
      </c>
      <c r="G2328">
        <v>11.703329741379299</v>
      </c>
      <c r="H2328">
        <v>3.5297000000000001</v>
      </c>
      <c r="I2328">
        <v>76.4132902601079</v>
      </c>
    </row>
    <row r="2329" spans="1:9" x14ac:dyDescent="0.35">
      <c r="A2329" s="417" t="s">
        <v>846</v>
      </c>
      <c r="B2329" s="417" t="s">
        <v>691</v>
      </c>
      <c r="C2329" s="83">
        <v>46156</v>
      </c>
      <c r="D2329" s="417" t="s">
        <v>301</v>
      </c>
      <c r="E2329">
        <v>1365.8705500000001</v>
      </c>
      <c r="F2329">
        <v>98</v>
      </c>
      <c r="G2329">
        <v>13.937454591836699</v>
      </c>
      <c r="H2329">
        <v>3.5549666666666702</v>
      </c>
      <c r="I2329">
        <v>61.720801737759999</v>
      </c>
    </row>
    <row r="2330" spans="1:9" x14ac:dyDescent="0.35">
      <c r="A2330" s="417" t="s">
        <v>846</v>
      </c>
      <c r="B2330" s="417" t="s">
        <v>691</v>
      </c>
      <c r="C2330" s="83">
        <v>46156</v>
      </c>
      <c r="D2330" s="417" t="s">
        <v>309</v>
      </c>
      <c r="E2330">
        <v>1308.8107500000001</v>
      </c>
      <c r="F2330">
        <v>91</v>
      </c>
      <c r="G2330">
        <v>14.3825357142857</v>
      </c>
      <c r="H2330">
        <v>1.349</v>
      </c>
      <c r="I2330">
        <v>54.114706671961997</v>
      </c>
    </row>
    <row r="2331" spans="1:9" x14ac:dyDescent="0.35">
      <c r="A2331" s="417" t="s">
        <v>846</v>
      </c>
      <c r="B2331" s="417" t="s">
        <v>691</v>
      </c>
      <c r="C2331" s="83">
        <v>46156</v>
      </c>
      <c r="D2331" s="417" t="s">
        <v>295</v>
      </c>
      <c r="E2331">
        <v>1356.8866</v>
      </c>
      <c r="F2331">
        <v>81</v>
      </c>
      <c r="G2331">
        <v>16.751686419753099</v>
      </c>
      <c r="H2331">
        <v>0.1099</v>
      </c>
      <c r="I2331">
        <v>86.645182569238202</v>
      </c>
    </row>
    <row r="2332" spans="1:9" x14ac:dyDescent="0.35">
      <c r="A2332" s="417" t="s">
        <v>846</v>
      </c>
      <c r="B2332" s="417" t="s">
        <v>691</v>
      </c>
      <c r="C2332" s="83">
        <v>46156</v>
      </c>
      <c r="D2332" s="417" t="s">
        <v>342</v>
      </c>
      <c r="E2332">
        <v>1319.62701666667</v>
      </c>
      <c r="F2332">
        <v>70</v>
      </c>
      <c r="G2332">
        <v>18.851814523809502</v>
      </c>
      <c r="H2332">
        <v>120.372983333333</v>
      </c>
      <c r="I2332">
        <v>63.501984126983999</v>
      </c>
    </row>
    <row r="2333" spans="1:9" x14ac:dyDescent="0.35">
      <c r="A2333" s="417" t="s">
        <v>846</v>
      </c>
      <c r="B2333" s="417" t="s">
        <v>691</v>
      </c>
      <c r="C2333" s="83">
        <v>46156</v>
      </c>
      <c r="D2333" s="417" t="s">
        <v>303</v>
      </c>
      <c r="E2333">
        <v>1388.0755999999999</v>
      </c>
      <c r="F2333">
        <v>67</v>
      </c>
      <c r="G2333">
        <v>20.717546268656701</v>
      </c>
      <c r="H2333">
        <v>0.244983333333333</v>
      </c>
      <c r="I2333">
        <v>60.819020024705097</v>
      </c>
    </row>
    <row r="2334" spans="1:9" x14ac:dyDescent="0.35">
      <c r="A2334" s="417" t="s">
        <v>846</v>
      </c>
      <c r="B2334" s="417" t="s">
        <v>691</v>
      </c>
      <c r="C2334" s="83">
        <v>46156</v>
      </c>
      <c r="D2334" s="417" t="s">
        <v>310</v>
      </c>
      <c r="E2334">
        <v>1426.9159</v>
      </c>
      <c r="F2334">
        <v>6</v>
      </c>
      <c r="G2334">
        <v>237.81931666666699</v>
      </c>
      <c r="H2334">
        <v>0.10725</v>
      </c>
      <c r="I2334">
        <v>83.584840898875697</v>
      </c>
    </row>
    <row r="2335" spans="1:9" x14ac:dyDescent="0.35">
      <c r="A2335" s="417" t="s">
        <v>846</v>
      </c>
      <c r="B2335" s="417" t="s">
        <v>691</v>
      </c>
      <c r="C2335" s="83">
        <v>46156</v>
      </c>
      <c r="D2335" s="417" t="s">
        <v>314</v>
      </c>
      <c r="E2335">
        <v>1431.74896666667</v>
      </c>
      <c r="F2335">
        <v>4</v>
      </c>
      <c r="G2335">
        <v>357.93724166666698</v>
      </c>
      <c r="H2335">
        <v>1.3145</v>
      </c>
      <c r="I2335">
        <v>55.126976709197898</v>
      </c>
    </row>
    <row r="2336" spans="1:9" x14ac:dyDescent="0.35">
      <c r="A2336" s="417" t="s">
        <v>846</v>
      </c>
      <c r="B2336" s="417" t="s">
        <v>691</v>
      </c>
      <c r="C2336" s="83">
        <v>46156</v>
      </c>
      <c r="D2336" s="417" t="s">
        <v>313</v>
      </c>
      <c r="E2336">
        <v>1432.16006666667</v>
      </c>
      <c r="F2336">
        <v>3</v>
      </c>
      <c r="G2336">
        <v>477.38668888888901</v>
      </c>
      <c r="H2336">
        <v>0</v>
      </c>
      <c r="I2336">
        <v>69.756530698985202</v>
      </c>
    </row>
    <row r="2337" spans="1:9" x14ac:dyDescent="0.35">
      <c r="A2337" s="417" t="s">
        <v>846</v>
      </c>
      <c r="B2337" s="417" t="s">
        <v>691</v>
      </c>
      <c r="C2337" s="83">
        <v>46156</v>
      </c>
      <c r="D2337" s="417" t="s">
        <v>317</v>
      </c>
      <c r="E2337">
        <v>1440</v>
      </c>
      <c r="F2337">
        <v>1</v>
      </c>
      <c r="G2337">
        <v>1440</v>
      </c>
      <c r="H2337">
        <v>0</v>
      </c>
      <c r="I2337">
        <v>58.4097222222222</v>
      </c>
    </row>
    <row r="2338" spans="1:9" x14ac:dyDescent="0.35">
      <c r="A2338" s="417" t="s">
        <v>846</v>
      </c>
      <c r="B2338" s="417" t="s">
        <v>691</v>
      </c>
      <c r="C2338" s="83">
        <v>46156</v>
      </c>
      <c r="D2338" s="417" t="s">
        <v>504</v>
      </c>
      <c r="E2338">
        <v>1440</v>
      </c>
      <c r="F2338">
        <v>1</v>
      </c>
      <c r="G2338">
        <v>1440</v>
      </c>
      <c r="H2338">
        <v>0</v>
      </c>
      <c r="I2338">
        <v>31.9387345679012</v>
      </c>
    </row>
    <row r="2339" spans="1:9" x14ac:dyDescent="0.35">
      <c r="A2339" s="417" t="s">
        <v>846</v>
      </c>
      <c r="B2339" s="417" t="s">
        <v>676</v>
      </c>
      <c r="C2339" s="83">
        <v>46155</v>
      </c>
      <c r="D2339" s="417" t="s">
        <v>677</v>
      </c>
      <c r="E2339">
        <v>1230.8841666666699</v>
      </c>
      <c r="F2339">
        <v>511</v>
      </c>
      <c r="G2339">
        <v>2.4087752772341799</v>
      </c>
      <c r="H2339">
        <v>209.115833333333</v>
      </c>
      <c r="I2339">
        <v>29.678333333333299</v>
      </c>
    </row>
    <row r="2340" spans="1:9" x14ac:dyDescent="0.35">
      <c r="A2340" s="417" t="s">
        <v>846</v>
      </c>
      <c r="B2340" s="417" t="s">
        <v>676</v>
      </c>
      <c r="C2340" s="83">
        <v>46155</v>
      </c>
      <c r="D2340" s="417" t="s">
        <v>679</v>
      </c>
      <c r="E2340">
        <v>1319.39333333333</v>
      </c>
      <c r="F2340">
        <v>27</v>
      </c>
      <c r="G2340">
        <v>48.866419753086397</v>
      </c>
      <c r="H2340">
        <v>17.63355</v>
      </c>
      <c r="I2340">
        <v>0.43349418204246298</v>
      </c>
    </row>
    <row r="2341" spans="1:9" x14ac:dyDescent="0.35">
      <c r="A2341" s="417" t="s">
        <v>846</v>
      </c>
      <c r="B2341" s="417" t="s">
        <v>676</v>
      </c>
      <c r="C2341" s="83">
        <v>46155</v>
      </c>
      <c r="D2341" s="417" t="s">
        <v>678</v>
      </c>
      <c r="E2341">
        <v>1384.3786333333301</v>
      </c>
      <c r="F2341">
        <v>16</v>
      </c>
      <c r="G2341">
        <v>86.5236645833333</v>
      </c>
      <c r="H2341">
        <v>15.13965</v>
      </c>
      <c r="I2341">
        <v>77.291832926750999</v>
      </c>
    </row>
    <row r="2342" spans="1:9" x14ac:dyDescent="0.35">
      <c r="A2342" s="417" t="s">
        <v>846</v>
      </c>
      <c r="B2342" s="417" t="s">
        <v>680</v>
      </c>
      <c r="C2342" s="83">
        <v>46155</v>
      </c>
      <c r="D2342" s="417" t="s">
        <v>689</v>
      </c>
      <c r="E2342">
        <v>1354.3478833333299</v>
      </c>
      <c r="F2342">
        <v>74</v>
      </c>
      <c r="G2342">
        <v>18.301998423423399</v>
      </c>
      <c r="H2342">
        <v>1.8313999999999999</v>
      </c>
      <c r="I2342">
        <v>78.296846513904796</v>
      </c>
    </row>
    <row r="2343" spans="1:9" x14ac:dyDescent="0.35">
      <c r="A2343" s="417" t="s">
        <v>846</v>
      </c>
      <c r="B2343" s="417" t="s">
        <v>680</v>
      </c>
      <c r="C2343" s="83">
        <v>46155</v>
      </c>
      <c r="D2343" s="417" t="s">
        <v>688</v>
      </c>
      <c r="E2343">
        <v>1376.3344</v>
      </c>
      <c r="F2343">
        <v>37</v>
      </c>
      <c r="G2343">
        <v>37.198227027027002</v>
      </c>
      <c r="H2343">
        <v>7.3212666666666699</v>
      </c>
      <c r="I2343">
        <v>84.529700927419896</v>
      </c>
    </row>
    <row r="2344" spans="1:9" x14ac:dyDescent="0.35">
      <c r="A2344" s="417" t="s">
        <v>846</v>
      </c>
      <c r="B2344" s="417" t="s">
        <v>680</v>
      </c>
      <c r="C2344" s="83">
        <v>46155</v>
      </c>
      <c r="D2344" s="417" t="s">
        <v>683</v>
      </c>
      <c r="E2344">
        <v>1388.7983999999999</v>
      </c>
      <c r="F2344">
        <v>35</v>
      </c>
      <c r="G2344">
        <v>39.679954285714302</v>
      </c>
      <c r="H2344">
        <v>2.8337833333333302</v>
      </c>
      <c r="I2344">
        <v>66.679427565415594</v>
      </c>
    </row>
    <row r="2345" spans="1:9" x14ac:dyDescent="0.35">
      <c r="A2345" s="417" t="s">
        <v>846</v>
      </c>
      <c r="B2345" s="417" t="s">
        <v>680</v>
      </c>
      <c r="C2345" s="83">
        <v>46155</v>
      </c>
      <c r="D2345" s="417" t="s">
        <v>684</v>
      </c>
      <c r="E2345">
        <v>1419.6681166666699</v>
      </c>
      <c r="F2345">
        <v>32</v>
      </c>
      <c r="G2345">
        <v>44.364628645833299</v>
      </c>
      <c r="H2345">
        <v>11.6651166666667</v>
      </c>
      <c r="I2345">
        <v>86.701843145647601</v>
      </c>
    </row>
    <row r="2346" spans="1:9" x14ac:dyDescent="0.35">
      <c r="A2346" s="417" t="s">
        <v>846</v>
      </c>
      <c r="B2346" s="417" t="s">
        <v>680</v>
      </c>
      <c r="C2346" s="83">
        <v>46155</v>
      </c>
      <c r="D2346" s="417" t="s">
        <v>681</v>
      </c>
      <c r="E2346">
        <v>1412.6533833333301</v>
      </c>
      <c r="F2346">
        <v>30</v>
      </c>
      <c r="G2346">
        <v>47.088446111111097</v>
      </c>
      <c r="H2346">
        <v>2.3281999999999998</v>
      </c>
      <c r="I2346">
        <v>84.713418321272201</v>
      </c>
    </row>
    <row r="2347" spans="1:9" x14ac:dyDescent="0.35">
      <c r="A2347" s="417" t="s">
        <v>846</v>
      </c>
      <c r="B2347" s="417" t="s">
        <v>680</v>
      </c>
      <c r="C2347" s="83">
        <v>46155</v>
      </c>
      <c r="D2347" s="417" t="s">
        <v>685</v>
      </c>
      <c r="E2347">
        <v>1370.6529499999999</v>
      </c>
      <c r="F2347">
        <v>26</v>
      </c>
      <c r="G2347">
        <v>52.717421153846203</v>
      </c>
      <c r="H2347">
        <v>24.3338</v>
      </c>
      <c r="I2347">
        <v>71.1952229992404</v>
      </c>
    </row>
    <row r="2348" spans="1:9" x14ac:dyDescent="0.35">
      <c r="A2348" s="417" t="s">
        <v>846</v>
      </c>
      <c r="B2348" s="417" t="s">
        <v>680</v>
      </c>
      <c r="C2348" s="83">
        <v>46155</v>
      </c>
      <c r="D2348" s="417" t="s">
        <v>682</v>
      </c>
      <c r="E2348">
        <v>1425.26168333333</v>
      </c>
      <c r="F2348">
        <v>18</v>
      </c>
      <c r="G2348">
        <v>79.181204629629605</v>
      </c>
      <c r="H2348">
        <v>14.7383166666667</v>
      </c>
      <c r="I2348">
        <v>86.136363636363598</v>
      </c>
    </row>
    <row r="2349" spans="1:9" x14ac:dyDescent="0.35">
      <c r="A2349" s="417" t="s">
        <v>846</v>
      </c>
      <c r="B2349" s="417" t="s">
        <v>680</v>
      </c>
      <c r="C2349" s="83">
        <v>46155</v>
      </c>
      <c r="D2349" s="417" t="s">
        <v>687</v>
      </c>
      <c r="E2349">
        <v>1396.31105</v>
      </c>
      <c r="F2349">
        <v>14</v>
      </c>
      <c r="G2349">
        <v>99.736503571428599</v>
      </c>
      <c r="H2349">
        <v>14.8455166666667</v>
      </c>
      <c r="I2349">
        <v>41.706859806443703</v>
      </c>
    </row>
    <row r="2350" spans="1:9" x14ac:dyDescent="0.35">
      <c r="A2350" s="417" t="s">
        <v>846</v>
      </c>
      <c r="B2350" s="417" t="s">
        <v>680</v>
      </c>
      <c r="C2350" s="83">
        <v>46155</v>
      </c>
      <c r="D2350" s="417" t="s">
        <v>690</v>
      </c>
      <c r="E2350">
        <v>1432.32293333333</v>
      </c>
      <c r="F2350">
        <v>3</v>
      </c>
      <c r="G2350">
        <v>477.44097777777802</v>
      </c>
      <c r="H2350">
        <v>0</v>
      </c>
      <c r="I2350">
        <v>63.063080304718902</v>
      </c>
    </row>
    <row r="2351" spans="1:9" x14ac:dyDescent="0.35">
      <c r="A2351" s="417" t="s">
        <v>846</v>
      </c>
      <c r="B2351" s="417" t="s">
        <v>680</v>
      </c>
      <c r="C2351" s="83">
        <v>46155</v>
      </c>
      <c r="D2351" s="417" t="s">
        <v>686</v>
      </c>
      <c r="E2351">
        <v>1440</v>
      </c>
      <c r="F2351">
        <v>1</v>
      </c>
      <c r="G2351">
        <v>1440</v>
      </c>
      <c r="H2351">
        <v>0</v>
      </c>
      <c r="I2351">
        <v>104.67676767676799</v>
      </c>
    </row>
    <row r="2352" spans="1:9" x14ac:dyDescent="0.35">
      <c r="A2352" s="417" t="s">
        <v>846</v>
      </c>
      <c r="B2352" s="417" t="s">
        <v>691</v>
      </c>
      <c r="C2352" s="83">
        <v>46155</v>
      </c>
      <c r="D2352" s="417" t="s">
        <v>305</v>
      </c>
      <c r="E2352">
        <v>1325.0953500000001</v>
      </c>
      <c r="F2352">
        <v>133</v>
      </c>
      <c r="G2352">
        <v>9.9631229323308297</v>
      </c>
      <c r="H2352">
        <v>4.8865166666666697</v>
      </c>
      <c r="I2352">
        <v>53.511113430149202</v>
      </c>
    </row>
    <row r="2353" spans="1:9" x14ac:dyDescent="0.35">
      <c r="A2353" s="417" t="s">
        <v>846</v>
      </c>
      <c r="B2353" s="417" t="s">
        <v>691</v>
      </c>
      <c r="C2353" s="83">
        <v>46155</v>
      </c>
      <c r="D2353" s="417" t="s">
        <v>295</v>
      </c>
      <c r="E2353">
        <v>1348.49718333333</v>
      </c>
      <c r="F2353">
        <v>87</v>
      </c>
      <c r="G2353">
        <v>15.4999676245211</v>
      </c>
      <c r="H2353">
        <v>0.55715000000000003</v>
      </c>
      <c r="I2353">
        <v>74.313294639159096</v>
      </c>
    </row>
    <row r="2354" spans="1:9" x14ac:dyDescent="0.35">
      <c r="A2354" s="417" t="s">
        <v>846</v>
      </c>
      <c r="B2354" s="417" t="s">
        <v>691</v>
      </c>
      <c r="C2354" s="83">
        <v>46155</v>
      </c>
      <c r="D2354" s="417" t="s">
        <v>299</v>
      </c>
      <c r="E2354">
        <v>1394.55263333333</v>
      </c>
      <c r="F2354">
        <v>70</v>
      </c>
      <c r="G2354">
        <v>19.922180476190501</v>
      </c>
      <c r="H2354">
        <v>0.38746666666666701</v>
      </c>
      <c r="I2354">
        <v>109.51565464606099</v>
      </c>
    </row>
    <row r="2355" spans="1:9" x14ac:dyDescent="0.35">
      <c r="A2355" s="417" t="s">
        <v>846</v>
      </c>
      <c r="B2355" s="417" t="s">
        <v>691</v>
      </c>
      <c r="C2355" s="83">
        <v>46155</v>
      </c>
      <c r="D2355" s="417" t="s">
        <v>309</v>
      </c>
      <c r="E2355">
        <v>1351.6262999999999</v>
      </c>
      <c r="F2355">
        <v>68</v>
      </c>
      <c r="G2355">
        <v>19.876857352941201</v>
      </c>
      <c r="H2355">
        <v>0</v>
      </c>
      <c r="I2355">
        <v>48.811155328662998</v>
      </c>
    </row>
    <row r="2356" spans="1:9" x14ac:dyDescent="0.35">
      <c r="A2356" s="417" t="s">
        <v>846</v>
      </c>
      <c r="B2356" s="417" t="s">
        <v>691</v>
      </c>
      <c r="C2356" s="83">
        <v>46155</v>
      </c>
      <c r="D2356" s="417" t="s">
        <v>342</v>
      </c>
      <c r="E2356">
        <v>1313.87546666667</v>
      </c>
      <c r="F2356">
        <v>67</v>
      </c>
      <c r="G2356">
        <v>19.610081592039801</v>
      </c>
      <c r="H2356">
        <v>110.42886666666701</v>
      </c>
      <c r="I2356">
        <v>55.378123689078897</v>
      </c>
    </row>
    <row r="2357" spans="1:9" x14ac:dyDescent="0.35">
      <c r="A2357" s="417" t="s">
        <v>846</v>
      </c>
      <c r="B2357" s="417" t="s">
        <v>691</v>
      </c>
      <c r="C2357" s="83">
        <v>46155</v>
      </c>
      <c r="D2357" s="417" t="s">
        <v>301</v>
      </c>
      <c r="E2357">
        <v>1367.9741166666699</v>
      </c>
      <c r="F2357">
        <v>65</v>
      </c>
      <c r="G2357">
        <v>21.0457556410256</v>
      </c>
      <c r="H2357">
        <v>0.46993333333333298</v>
      </c>
      <c r="I2357">
        <v>67.973236998647707</v>
      </c>
    </row>
    <row r="2358" spans="1:9" x14ac:dyDescent="0.35">
      <c r="A2358" s="417" t="s">
        <v>846</v>
      </c>
      <c r="B2358" s="417" t="s">
        <v>691</v>
      </c>
      <c r="C2358" s="83">
        <v>46155</v>
      </c>
      <c r="D2358" s="417" t="s">
        <v>303</v>
      </c>
      <c r="E2358">
        <v>1369.38531666667</v>
      </c>
      <c r="F2358">
        <v>61</v>
      </c>
      <c r="G2358">
        <v>22.4489396174863</v>
      </c>
      <c r="H2358">
        <v>0.27786666666666698</v>
      </c>
      <c r="I2358">
        <v>55.590633479182003</v>
      </c>
    </row>
    <row r="2359" spans="1:9" x14ac:dyDescent="0.35">
      <c r="A2359" s="417" t="s">
        <v>846</v>
      </c>
      <c r="B2359" s="417" t="s">
        <v>691</v>
      </c>
      <c r="C2359" s="83">
        <v>46155</v>
      </c>
      <c r="D2359" s="417" t="s">
        <v>310</v>
      </c>
      <c r="E2359">
        <v>1215.1205833333299</v>
      </c>
      <c r="F2359">
        <v>37</v>
      </c>
      <c r="G2359">
        <v>32.841096846846902</v>
      </c>
      <c r="H2359">
        <v>0.79884999999999995</v>
      </c>
      <c r="I2359">
        <v>70.129868447528807</v>
      </c>
    </row>
    <row r="2360" spans="1:9" x14ac:dyDescent="0.35">
      <c r="A2360" s="417" t="s">
        <v>846</v>
      </c>
      <c r="B2360" s="417" t="s">
        <v>691</v>
      </c>
      <c r="C2360" s="83">
        <v>46155</v>
      </c>
      <c r="D2360" s="417" t="s">
        <v>313</v>
      </c>
      <c r="E2360">
        <v>1332.4699000000001</v>
      </c>
      <c r="F2360">
        <v>13</v>
      </c>
      <c r="G2360">
        <v>102.497684615385</v>
      </c>
      <c r="H2360">
        <v>28.924333333333301</v>
      </c>
      <c r="I2360">
        <v>67.922080140434204</v>
      </c>
    </row>
    <row r="2361" spans="1:9" x14ac:dyDescent="0.35">
      <c r="A2361" s="417" t="s">
        <v>846</v>
      </c>
      <c r="B2361" s="417" t="s">
        <v>691</v>
      </c>
      <c r="C2361" s="83">
        <v>46155</v>
      </c>
      <c r="D2361" s="417" t="s">
        <v>317</v>
      </c>
      <c r="E2361">
        <v>1428.9094</v>
      </c>
      <c r="F2361">
        <v>8</v>
      </c>
      <c r="G2361">
        <v>178.613675</v>
      </c>
      <c r="H2361">
        <v>6.0791000000000004</v>
      </c>
      <c r="I2361">
        <v>39.557808302993401</v>
      </c>
    </row>
    <row r="2362" spans="1:9" x14ac:dyDescent="0.35">
      <c r="A2362" s="417" t="s">
        <v>846</v>
      </c>
      <c r="B2362" s="417" t="s">
        <v>691</v>
      </c>
      <c r="C2362" s="83">
        <v>46155</v>
      </c>
      <c r="D2362" s="417" t="s">
        <v>314</v>
      </c>
      <c r="E2362">
        <v>1420.1805833333301</v>
      </c>
      <c r="F2362">
        <v>6</v>
      </c>
      <c r="G2362">
        <v>236.696763888889</v>
      </c>
      <c r="H2362">
        <v>0.104216666666667</v>
      </c>
      <c r="I2362">
        <v>65.344697902619302</v>
      </c>
    </row>
    <row r="2363" spans="1:9" x14ac:dyDescent="0.35">
      <c r="A2363" s="417" t="s">
        <v>846</v>
      </c>
      <c r="B2363" s="417" t="s">
        <v>691</v>
      </c>
      <c r="C2363" s="83">
        <v>46155</v>
      </c>
      <c r="D2363" s="417" t="s">
        <v>504</v>
      </c>
      <c r="E2363">
        <v>1440</v>
      </c>
      <c r="F2363">
        <v>1</v>
      </c>
      <c r="G2363">
        <v>1440</v>
      </c>
      <c r="H2363">
        <v>0</v>
      </c>
      <c r="I2363">
        <v>26.688580246913599</v>
      </c>
    </row>
    <row r="2364" spans="1:9" x14ac:dyDescent="0.35">
      <c r="A2364" s="417" t="s">
        <v>846</v>
      </c>
      <c r="B2364" s="417" t="s">
        <v>676</v>
      </c>
      <c r="C2364" s="83">
        <v>46154</v>
      </c>
      <c r="D2364" s="417" t="s">
        <v>677</v>
      </c>
      <c r="E2364">
        <v>1254.18325</v>
      </c>
      <c r="F2364">
        <v>468</v>
      </c>
      <c r="G2364">
        <v>2.6798787393162402</v>
      </c>
      <c r="H2364">
        <v>172.48076666666699</v>
      </c>
      <c r="I2364">
        <v>37.211111111111101</v>
      </c>
    </row>
    <row r="2365" spans="1:9" x14ac:dyDescent="0.35">
      <c r="A2365" s="417" t="s">
        <v>846</v>
      </c>
      <c r="B2365" s="417" t="s">
        <v>676</v>
      </c>
      <c r="C2365" s="83">
        <v>46154</v>
      </c>
      <c r="D2365" s="417" t="s">
        <v>679</v>
      </c>
      <c r="E2365">
        <v>1305.5010500000001</v>
      </c>
      <c r="F2365">
        <v>23</v>
      </c>
      <c r="G2365">
        <v>56.7609152173913</v>
      </c>
      <c r="H2365">
        <v>18.510950000000001</v>
      </c>
      <c r="I2365">
        <v>0.44662957945411302</v>
      </c>
    </row>
    <row r="2366" spans="1:9" x14ac:dyDescent="0.35">
      <c r="A2366" s="417" t="s">
        <v>846</v>
      </c>
      <c r="B2366" s="417" t="s">
        <v>676</v>
      </c>
      <c r="C2366" s="83">
        <v>46154</v>
      </c>
      <c r="D2366" s="417" t="s">
        <v>678</v>
      </c>
      <c r="E2366">
        <v>1360.1209166666699</v>
      </c>
      <c r="F2366">
        <v>19</v>
      </c>
      <c r="G2366">
        <v>71.585311403508797</v>
      </c>
      <c r="H2366">
        <v>8.3232166666666707</v>
      </c>
      <c r="I2366">
        <v>77.646574976486704</v>
      </c>
    </row>
    <row r="2367" spans="1:9" x14ac:dyDescent="0.35">
      <c r="A2367" s="417" t="s">
        <v>846</v>
      </c>
      <c r="B2367" s="417" t="s">
        <v>680</v>
      </c>
      <c r="C2367" s="83">
        <v>46154</v>
      </c>
      <c r="D2367" s="417" t="s">
        <v>689</v>
      </c>
      <c r="E2367">
        <v>1395.3472666666701</v>
      </c>
      <c r="F2367">
        <v>71</v>
      </c>
      <c r="G2367">
        <v>19.652778403755899</v>
      </c>
      <c r="H2367">
        <v>1.4984</v>
      </c>
      <c r="I2367">
        <v>84.761622695168001</v>
      </c>
    </row>
    <row r="2368" spans="1:9" x14ac:dyDescent="0.35">
      <c r="A2368" s="417" t="s">
        <v>846</v>
      </c>
      <c r="B2368" s="417" t="s">
        <v>680</v>
      </c>
      <c r="C2368" s="83">
        <v>46154</v>
      </c>
      <c r="D2368" s="417" t="s">
        <v>681</v>
      </c>
      <c r="E2368">
        <v>1401.2736833333299</v>
      </c>
      <c r="F2368">
        <v>53</v>
      </c>
      <c r="G2368">
        <v>26.439126100628901</v>
      </c>
      <c r="H2368">
        <v>1.01423333333333</v>
      </c>
      <c r="I2368">
        <v>76.051321159887706</v>
      </c>
    </row>
    <row r="2369" spans="1:9" x14ac:dyDescent="0.35">
      <c r="A2369" s="417" t="s">
        <v>846</v>
      </c>
      <c r="B2369" s="417" t="s">
        <v>680</v>
      </c>
      <c r="C2369" s="83">
        <v>46154</v>
      </c>
      <c r="D2369" s="417" t="s">
        <v>682</v>
      </c>
      <c r="E2369">
        <v>1133.5118333333301</v>
      </c>
      <c r="F2369">
        <v>36</v>
      </c>
      <c r="G2369">
        <v>31.486439814814801</v>
      </c>
      <c r="H2369">
        <v>43.132199999999997</v>
      </c>
      <c r="I2369">
        <v>57.085858585858603</v>
      </c>
    </row>
    <row r="2370" spans="1:9" x14ac:dyDescent="0.35">
      <c r="A2370" s="417" t="s">
        <v>846</v>
      </c>
      <c r="B2370" s="417" t="s">
        <v>680</v>
      </c>
      <c r="C2370" s="83">
        <v>46154</v>
      </c>
      <c r="D2370" s="417" t="s">
        <v>684</v>
      </c>
      <c r="E2370">
        <v>1381.5146666666701</v>
      </c>
      <c r="F2370">
        <v>31</v>
      </c>
      <c r="G2370">
        <v>44.5649892473118</v>
      </c>
      <c r="H2370">
        <v>28.152850000000001</v>
      </c>
      <c r="I2370">
        <v>61.981571295907898</v>
      </c>
    </row>
    <row r="2371" spans="1:9" x14ac:dyDescent="0.35">
      <c r="A2371" s="417" t="s">
        <v>846</v>
      </c>
      <c r="B2371" s="417" t="s">
        <v>680</v>
      </c>
      <c r="C2371" s="83">
        <v>46154</v>
      </c>
      <c r="D2371" s="417" t="s">
        <v>683</v>
      </c>
      <c r="E2371">
        <v>1391.9946333333301</v>
      </c>
      <c r="F2371">
        <v>27</v>
      </c>
      <c r="G2371">
        <v>51.555356790123497</v>
      </c>
      <c r="H2371">
        <v>2.3196666666666701</v>
      </c>
      <c r="I2371">
        <v>58.820723822353798</v>
      </c>
    </row>
    <row r="2372" spans="1:9" x14ac:dyDescent="0.35">
      <c r="A2372" s="417" t="s">
        <v>846</v>
      </c>
      <c r="B2372" s="417" t="s">
        <v>680</v>
      </c>
      <c r="C2372" s="83">
        <v>46154</v>
      </c>
      <c r="D2372" s="417" t="s">
        <v>688</v>
      </c>
      <c r="E2372">
        <v>1379.81463333333</v>
      </c>
      <c r="F2372">
        <v>22</v>
      </c>
      <c r="G2372">
        <v>62.718846969696997</v>
      </c>
      <c r="H2372">
        <v>6.5075666666666701</v>
      </c>
      <c r="I2372">
        <v>76.566403236551295</v>
      </c>
    </row>
    <row r="2373" spans="1:9" x14ac:dyDescent="0.35">
      <c r="A2373" s="417" t="s">
        <v>846</v>
      </c>
      <c r="B2373" s="417" t="s">
        <v>680</v>
      </c>
      <c r="C2373" s="83">
        <v>46154</v>
      </c>
      <c r="D2373" s="417" t="s">
        <v>685</v>
      </c>
      <c r="E2373">
        <v>1365.18513333333</v>
      </c>
      <c r="F2373">
        <v>21</v>
      </c>
      <c r="G2373">
        <v>65.008815873015905</v>
      </c>
      <c r="H2373">
        <v>13.168799999999999</v>
      </c>
      <c r="I2373">
        <v>82.368352537163602</v>
      </c>
    </row>
    <row r="2374" spans="1:9" x14ac:dyDescent="0.35">
      <c r="A2374" s="417" t="s">
        <v>846</v>
      </c>
      <c r="B2374" s="417" t="s">
        <v>680</v>
      </c>
      <c r="C2374" s="83">
        <v>46154</v>
      </c>
      <c r="D2374" s="417" t="s">
        <v>687</v>
      </c>
      <c r="E2374">
        <v>1403.2910999999999</v>
      </c>
      <c r="F2374">
        <v>20</v>
      </c>
      <c r="G2374">
        <v>70.164555000000007</v>
      </c>
      <c r="H2374">
        <v>19.5334166666667</v>
      </c>
      <c r="I2374">
        <v>42.092969575207299</v>
      </c>
    </row>
    <row r="2375" spans="1:9" x14ac:dyDescent="0.35">
      <c r="A2375" s="417" t="s">
        <v>846</v>
      </c>
      <c r="B2375" s="417" t="s">
        <v>680</v>
      </c>
      <c r="C2375" s="83">
        <v>46154</v>
      </c>
      <c r="D2375" s="417" t="s">
        <v>690</v>
      </c>
      <c r="E2375">
        <v>1402.3149166666699</v>
      </c>
      <c r="F2375">
        <v>8</v>
      </c>
      <c r="G2375">
        <v>175.289364583333</v>
      </c>
      <c r="H2375">
        <v>1.16598333333333</v>
      </c>
      <c r="I2375">
        <v>51.7494748248888</v>
      </c>
    </row>
    <row r="2376" spans="1:9" x14ac:dyDescent="0.35">
      <c r="A2376" s="417" t="s">
        <v>846</v>
      </c>
      <c r="B2376" s="417" t="s">
        <v>680</v>
      </c>
      <c r="C2376" s="83">
        <v>46154</v>
      </c>
      <c r="D2376" s="417" t="s">
        <v>686</v>
      </c>
      <c r="E2376">
        <v>1440</v>
      </c>
      <c r="F2376">
        <v>1</v>
      </c>
      <c r="G2376">
        <v>1440</v>
      </c>
      <c r="H2376">
        <v>0</v>
      </c>
      <c r="I2376">
        <v>100.883838383838</v>
      </c>
    </row>
    <row r="2377" spans="1:9" x14ac:dyDescent="0.35">
      <c r="A2377" s="417" t="s">
        <v>846</v>
      </c>
      <c r="B2377" s="417" t="s">
        <v>691</v>
      </c>
      <c r="C2377" s="83">
        <v>46154</v>
      </c>
      <c r="D2377" s="417" t="s">
        <v>295</v>
      </c>
      <c r="E2377">
        <v>1345.20875</v>
      </c>
      <c r="F2377">
        <v>140</v>
      </c>
      <c r="G2377">
        <v>9.6086339285714306</v>
      </c>
      <c r="H2377">
        <v>0.57320000000000004</v>
      </c>
      <c r="I2377">
        <v>73.780019010184503</v>
      </c>
    </row>
    <row r="2378" spans="1:9" x14ac:dyDescent="0.35">
      <c r="A2378" s="417" t="s">
        <v>846</v>
      </c>
      <c r="B2378" s="417" t="s">
        <v>691</v>
      </c>
      <c r="C2378" s="83">
        <v>46154</v>
      </c>
      <c r="D2378" s="417" t="s">
        <v>305</v>
      </c>
      <c r="E2378">
        <v>1268.3811166666701</v>
      </c>
      <c r="F2378">
        <v>130</v>
      </c>
      <c r="G2378">
        <v>9.7567778205128199</v>
      </c>
      <c r="H2378">
        <v>15.7421333333333</v>
      </c>
      <c r="I2378">
        <v>54.959193215795203</v>
      </c>
    </row>
    <row r="2379" spans="1:9" x14ac:dyDescent="0.35">
      <c r="A2379" s="417" t="s">
        <v>846</v>
      </c>
      <c r="B2379" s="417" t="s">
        <v>691</v>
      </c>
      <c r="C2379" s="83">
        <v>46154</v>
      </c>
      <c r="D2379" s="417" t="s">
        <v>309</v>
      </c>
      <c r="E2379">
        <v>1220.92603333333</v>
      </c>
      <c r="F2379">
        <v>104</v>
      </c>
      <c r="G2379">
        <v>11.739673397435901</v>
      </c>
      <c r="H2379">
        <v>0</v>
      </c>
      <c r="I2379">
        <v>42.232494053556799</v>
      </c>
    </row>
    <row r="2380" spans="1:9" x14ac:dyDescent="0.35">
      <c r="A2380" s="417" t="s">
        <v>846</v>
      </c>
      <c r="B2380" s="417" t="s">
        <v>691</v>
      </c>
      <c r="C2380" s="83">
        <v>46154</v>
      </c>
      <c r="D2380" s="417" t="s">
        <v>299</v>
      </c>
      <c r="E2380">
        <v>1341.49796666667</v>
      </c>
      <c r="F2380">
        <v>104</v>
      </c>
      <c r="G2380">
        <v>12.8990189102564</v>
      </c>
      <c r="H2380">
        <v>2.4774166666666702</v>
      </c>
      <c r="I2380">
        <v>75.221532037521996</v>
      </c>
    </row>
    <row r="2381" spans="1:9" x14ac:dyDescent="0.35">
      <c r="A2381" s="417" t="s">
        <v>846</v>
      </c>
      <c r="B2381" s="417" t="s">
        <v>691</v>
      </c>
      <c r="C2381" s="83">
        <v>46154</v>
      </c>
      <c r="D2381" s="417" t="s">
        <v>303</v>
      </c>
      <c r="E2381">
        <v>1368.25665</v>
      </c>
      <c r="F2381">
        <v>87</v>
      </c>
      <c r="G2381">
        <v>15.7270879310345</v>
      </c>
      <c r="H2381">
        <v>0.41044999999999998</v>
      </c>
      <c r="I2381">
        <v>43.187521585807197</v>
      </c>
    </row>
    <row r="2382" spans="1:9" x14ac:dyDescent="0.35">
      <c r="A2382" s="417" t="s">
        <v>846</v>
      </c>
      <c r="B2382" s="417" t="s">
        <v>691</v>
      </c>
      <c r="C2382" s="83">
        <v>46154</v>
      </c>
      <c r="D2382" s="417" t="s">
        <v>301</v>
      </c>
      <c r="E2382">
        <v>1357.14278333333</v>
      </c>
      <c r="F2382">
        <v>75</v>
      </c>
      <c r="G2382">
        <v>18.0952371111111</v>
      </c>
      <c r="H2382">
        <v>0.20080000000000001</v>
      </c>
      <c r="I2382">
        <v>61.456020277480697</v>
      </c>
    </row>
    <row r="2383" spans="1:9" x14ac:dyDescent="0.35">
      <c r="A2383" s="417" t="s">
        <v>846</v>
      </c>
      <c r="B2383" s="417" t="s">
        <v>691</v>
      </c>
      <c r="C2383" s="83">
        <v>46154</v>
      </c>
      <c r="D2383" s="417" t="s">
        <v>342</v>
      </c>
      <c r="E2383">
        <v>1304.9342833333301</v>
      </c>
      <c r="F2383">
        <v>63</v>
      </c>
      <c r="G2383">
        <v>20.7132425925926</v>
      </c>
      <c r="H2383">
        <v>106.517716666667</v>
      </c>
      <c r="I2383">
        <v>50.188492063491999</v>
      </c>
    </row>
    <row r="2384" spans="1:9" x14ac:dyDescent="0.35">
      <c r="A2384" s="417" t="s">
        <v>846</v>
      </c>
      <c r="B2384" s="417" t="s">
        <v>691</v>
      </c>
      <c r="C2384" s="83">
        <v>46154</v>
      </c>
      <c r="D2384" s="417" t="s">
        <v>310</v>
      </c>
      <c r="E2384">
        <v>1376.02586666667</v>
      </c>
      <c r="F2384">
        <v>10</v>
      </c>
      <c r="G2384">
        <v>137.60258666666701</v>
      </c>
      <c r="H2384">
        <v>0.31218333333333298</v>
      </c>
      <c r="I2384">
        <v>70.467382799558706</v>
      </c>
    </row>
    <row r="2385" spans="1:9" x14ac:dyDescent="0.35">
      <c r="A2385" s="417" t="s">
        <v>846</v>
      </c>
      <c r="B2385" s="417" t="s">
        <v>691</v>
      </c>
      <c r="C2385" s="83">
        <v>46154</v>
      </c>
      <c r="D2385" s="417" t="s">
        <v>317</v>
      </c>
      <c r="E2385">
        <v>1437.0981833333301</v>
      </c>
      <c r="F2385">
        <v>1</v>
      </c>
      <c r="G2385">
        <v>1437.0981833333301</v>
      </c>
      <c r="H2385">
        <v>0</v>
      </c>
      <c r="I2385">
        <v>38.0071456727539</v>
      </c>
    </row>
    <row r="2386" spans="1:9" x14ac:dyDescent="0.35">
      <c r="A2386" s="417" t="s">
        <v>846</v>
      </c>
      <c r="B2386" s="417" t="s">
        <v>691</v>
      </c>
      <c r="C2386" s="83">
        <v>46154</v>
      </c>
      <c r="D2386" s="417" t="s">
        <v>504</v>
      </c>
      <c r="E2386">
        <v>1440</v>
      </c>
      <c r="F2386">
        <v>1</v>
      </c>
      <c r="G2386">
        <v>1440</v>
      </c>
      <c r="H2386">
        <v>0</v>
      </c>
      <c r="I2386">
        <v>24.2777777777778</v>
      </c>
    </row>
    <row r="2387" spans="1:9" x14ac:dyDescent="0.35">
      <c r="A2387" s="417" t="s">
        <v>846</v>
      </c>
      <c r="B2387" s="417" t="s">
        <v>691</v>
      </c>
      <c r="C2387" s="83">
        <v>46154</v>
      </c>
      <c r="D2387" s="417" t="s">
        <v>314</v>
      </c>
      <c r="E2387">
        <v>1436.1612666666699</v>
      </c>
      <c r="F2387">
        <v>1</v>
      </c>
      <c r="G2387">
        <v>1436.1612666666699</v>
      </c>
      <c r="H2387">
        <v>0</v>
      </c>
      <c r="I2387">
        <v>59.035849223803503</v>
      </c>
    </row>
    <row r="2388" spans="1:9" x14ac:dyDescent="0.35">
      <c r="A2388" s="417" t="s">
        <v>846</v>
      </c>
      <c r="B2388" s="417" t="s">
        <v>691</v>
      </c>
      <c r="C2388" s="83">
        <v>46154</v>
      </c>
      <c r="D2388" s="417" t="s">
        <v>313</v>
      </c>
      <c r="E2388">
        <v>1424.1413833333299</v>
      </c>
      <c r="F2388">
        <v>1</v>
      </c>
      <c r="G2388">
        <v>1424.1413833333299</v>
      </c>
      <c r="H2388">
        <v>0</v>
      </c>
      <c r="I2388">
        <v>70.165084147836794</v>
      </c>
    </row>
    <row r="2389" spans="1:9" x14ac:dyDescent="0.35">
      <c r="A2389" s="417" t="s">
        <v>846</v>
      </c>
      <c r="B2389" s="417" t="s">
        <v>676</v>
      </c>
      <c r="C2389" s="83">
        <v>46153</v>
      </c>
      <c r="D2389" s="417" t="s">
        <v>677</v>
      </c>
      <c r="E2389">
        <v>1143.9540500000001</v>
      </c>
      <c r="F2389">
        <v>649</v>
      </c>
      <c r="G2389">
        <v>1.7626410631741101</v>
      </c>
      <c r="H2389">
        <v>281.70863333333301</v>
      </c>
      <c r="I2389">
        <v>30.5208333333333</v>
      </c>
    </row>
    <row r="2390" spans="1:9" x14ac:dyDescent="0.35">
      <c r="A2390" s="417" t="s">
        <v>846</v>
      </c>
      <c r="B2390" s="417" t="s">
        <v>676</v>
      </c>
      <c r="C2390" s="83">
        <v>46153</v>
      </c>
      <c r="D2390" s="417" t="s">
        <v>678</v>
      </c>
      <c r="E2390">
        <v>1274.5769666666699</v>
      </c>
      <c r="F2390">
        <v>43</v>
      </c>
      <c r="G2390">
        <v>29.641324806201499</v>
      </c>
      <c r="H2390">
        <v>24.923749999999998</v>
      </c>
      <c r="I2390">
        <v>58.323857925750097</v>
      </c>
    </row>
    <row r="2391" spans="1:9" x14ac:dyDescent="0.35">
      <c r="A2391" s="417" t="s">
        <v>846</v>
      </c>
      <c r="B2391" s="417" t="s">
        <v>676</v>
      </c>
      <c r="C2391" s="83">
        <v>46153</v>
      </c>
      <c r="D2391" s="417" t="s">
        <v>679</v>
      </c>
      <c r="E2391">
        <v>1332.52888333333</v>
      </c>
      <c r="F2391">
        <v>17</v>
      </c>
      <c r="G2391">
        <v>78.384051960784205</v>
      </c>
      <c r="H2391">
        <v>22.3591333333333</v>
      </c>
      <c r="I2391">
        <v>39.105814907384598</v>
      </c>
    </row>
    <row r="2392" spans="1:9" x14ac:dyDescent="0.35">
      <c r="A2392" s="417" t="s">
        <v>846</v>
      </c>
      <c r="B2392" s="417" t="s">
        <v>680</v>
      </c>
      <c r="C2392" s="83">
        <v>46153</v>
      </c>
      <c r="D2392" s="417" t="s">
        <v>689</v>
      </c>
      <c r="E2392">
        <v>1281.7719</v>
      </c>
      <c r="F2392">
        <v>66</v>
      </c>
      <c r="G2392">
        <v>19.420786363636399</v>
      </c>
      <c r="H2392">
        <v>1.5145999999999999</v>
      </c>
      <c r="I2392">
        <v>73.924318742378503</v>
      </c>
    </row>
    <row r="2393" spans="1:9" x14ac:dyDescent="0.35">
      <c r="A2393" s="417" t="s">
        <v>846</v>
      </c>
      <c r="B2393" s="417" t="s">
        <v>680</v>
      </c>
      <c r="C2393" s="83">
        <v>46153</v>
      </c>
      <c r="D2393" s="417" t="s">
        <v>682</v>
      </c>
      <c r="E2393">
        <v>1377.63108333333</v>
      </c>
      <c r="F2393">
        <v>61</v>
      </c>
      <c r="G2393">
        <v>22.584116120218599</v>
      </c>
      <c r="H2393">
        <v>62.065066666666603</v>
      </c>
      <c r="I2393">
        <v>58.056496914043301</v>
      </c>
    </row>
    <row r="2394" spans="1:9" x14ac:dyDescent="0.35">
      <c r="A2394" s="417" t="s">
        <v>846</v>
      </c>
      <c r="B2394" s="417" t="s">
        <v>680</v>
      </c>
      <c r="C2394" s="83">
        <v>46153</v>
      </c>
      <c r="D2394" s="417" t="s">
        <v>681</v>
      </c>
      <c r="E2394">
        <v>1375.3140000000001</v>
      </c>
      <c r="F2394">
        <v>54</v>
      </c>
      <c r="G2394">
        <v>25.468777777777799</v>
      </c>
      <c r="H2394">
        <v>1.76355</v>
      </c>
      <c r="I2394">
        <v>69.823000012671301</v>
      </c>
    </row>
    <row r="2395" spans="1:9" x14ac:dyDescent="0.35">
      <c r="A2395" s="417" t="s">
        <v>846</v>
      </c>
      <c r="B2395" s="417" t="s">
        <v>680</v>
      </c>
      <c r="C2395" s="83">
        <v>46153</v>
      </c>
      <c r="D2395" s="417" t="s">
        <v>687</v>
      </c>
      <c r="E2395">
        <v>1346.8223499999999</v>
      </c>
      <c r="F2395">
        <v>46</v>
      </c>
      <c r="G2395">
        <v>29.278746739130401</v>
      </c>
      <c r="H2395">
        <v>60.485866666666702</v>
      </c>
      <c r="I2395">
        <v>30.504669682402401</v>
      </c>
    </row>
    <row r="2396" spans="1:9" x14ac:dyDescent="0.35">
      <c r="A2396" s="417" t="s">
        <v>846</v>
      </c>
      <c r="B2396" s="417" t="s">
        <v>680</v>
      </c>
      <c r="C2396" s="83">
        <v>46153</v>
      </c>
      <c r="D2396" s="417" t="s">
        <v>684</v>
      </c>
      <c r="E2396">
        <v>1387.6206999999999</v>
      </c>
      <c r="F2396">
        <v>36</v>
      </c>
      <c r="G2396">
        <v>38.545019444444399</v>
      </c>
      <c r="H2396">
        <v>27.253050000000002</v>
      </c>
      <c r="I2396">
        <v>58.980280075867199</v>
      </c>
    </row>
    <row r="2397" spans="1:9" x14ac:dyDescent="0.35">
      <c r="A2397" s="417" t="s">
        <v>846</v>
      </c>
      <c r="B2397" s="417" t="s">
        <v>680</v>
      </c>
      <c r="C2397" s="83">
        <v>46153</v>
      </c>
      <c r="D2397" s="417" t="s">
        <v>683</v>
      </c>
      <c r="E2397">
        <v>1373.83185</v>
      </c>
      <c r="F2397">
        <v>33</v>
      </c>
      <c r="G2397">
        <v>41.6312681818182</v>
      </c>
      <c r="H2397">
        <v>17.003066666666701</v>
      </c>
      <c r="I2397">
        <v>64.842017103586599</v>
      </c>
    </row>
    <row r="2398" spans="1:9" x14ac:dyDescent="0.35">
      <c r="A2398" s="417" t="s">
        <v>846</v>
      </c>
      <c r="B2398" s="417" t="s">
        <v>680</v>
      </c>
      <c r="C2398" s="83">
        <v>46153</v>
      </c>
      <c r="D2398" s="417" t="s">
        <v>685</v>
      </c>
      <c r="E2398">
        <v>1394.3891000000001</v>
      </c>
      <c r="F2398">
        <v>19</v>
      </c>
      <c r="G2398">
        <v>73.388900000000007</v>
      </c>
      <c r="H2398">
        <v>10.4966166666667</v>
      </c>
      <c r="I2398">
        <v>69.066673642594196</v>
      </c>
    </row>
    <row r="2399" spans="1:9" x14ac:dyDescent="0.35">
      <c r="A2399" s="417" t="s">
        <v>846</v>
      </c>
      <c r="B2399" s="417" t="s">
        <v>680</v>
      </c>
      <c r="C2399" s="83">
        <v>46153</v>
      </c>
      <c r="D2399" s="417" t="s">
        <v>688</v>
      </c>
      <c r="E2399">
        <v>1353.3307666666699</v>
      </c>
      <c r="F2399">
        <v>17</v>
      </c>
      <c r="G2399">
        <v>79.607692156862797</v>
      </c>
      <c r="H2399">
        <v>3.9863166666666698</v>
      </c>
      <c r="I2399">
        <v>68.888440560662104</v>
      </c>
    </row>
    <row r="2400" spans="1:9" x14ac:dyDescent="0.35">
      <c r="A2400" s="417" t="s">
        <v>846</v>
      </c>
      <c r="B2400" s="417" t="s">
        <v>680</v>
      </c>
      <c r="C2400" s="83">
        <v>46153</v>
      </c>
      <c r="D2400" s="417" t="s">
        <v>690</v>
      </c>
      <c r="E2400">
        <v>1411.4713666666701</v>
      </c>
      <c r="F2400">
        <v>6</v>
      </c>
      <c r="G2400">
        <v>235.24522777777801</v>
      </c>
      <c r="H2400">
        <v>4.3347666666666704</v>
      </c>
      <c r="I2400">
        <v>62.569294848755703</v>
      </c>
    </row>
    <row r="2401" spans="1:9" x14ac:dyDescent="0.35">
      <c r="A2401" s="417" t="s">
        <v>846</v>
      </c>
      <c r="B2401" s="417" t="s">
        <v>680</v>
      </c>
      <c r="C2401" s="83">
        <v>46153</v>
      </c>
      <c r="D2401" s="417" t="s">
        <v>686</v>
      </c>
      <c r="E2401">
        <v>1440</v>
      </c>
      <c r="F2401">
        <v>1</v>
      </c>
      <c r="G2401">
        <v>1440</v>
      </c>
      <c r="H2401">
        <v>0</v>
      </c>
      <c r="I2401">
        <v>47.354322706404702</v>
      </c>
    </row>
    <row r="2402" spans="1:9" x14ac:dyDescent="0.35">
      <c r="A2402" s="417" t="s">
        <v>846</v>
      </c>
      <c r="B2402" s="417" t="s">
        <v>691</v>
      </c>
      <c r="C2402" s="83">
        <v>46153</v>
      </c>
      <c r="D2402" s="417" t="s">
        <v>299</v>
      </c>
      <c r="E2402">
        <v>815.65176666666696</v>
      </c>
      <c r="F2402">
        <v>71</v>
      </c>
      <c r="G2402">
        <v>11.488053051643201</v>
      </c>
      <c r="H2402">
        <v>0.15235000000000001</v>
      </c>
      <c r="I2402">
        <v>49.636839757590501</v>
      </c>
    </row>
    <row r="2403" spans="1:9" x14ac:dyDescent="0.35">
      <c r="A2403" s="417" t="s">
        <v>846</v>
      </c>
      <c r="B2403" s="417" t="s">
        <v>691</v>
      </c>
      <c r="C2403" s="83">
        <v>46153</v>
      </c>
      <c r="D2403" s="417" t="s">
        <v>295</v>
      </c>
      <c r="E2403">
        <v>684.45725000000004</v>
      </c>
      <c r="F2403">
        <v>69</v>
      </c>
      <c r="G2403">
        <v>9.9196702898550804</v>
      </c>
      <c r="H2403">
        <v>0.512116666666667</v>
      </c>
      <c r="I2403">
        <v>55.808985089868102</v>
      </c>
    </row>
    <row r="2404" spans="1:9" x14ac:dyDescent="0.35">
      <c r="A2404" s="417" t="s">
        <v>846</v>
      </c>
      <c r="B2404" s="417" t="s">
        <v>691</v>
      </c>
      <c r="C2404" s="83">
        <v>46153</v>
      </c>
      <c r="D2404" s="417" t="s">
        <v>305</v>
      </c>
      <c r="E2404">
        <v>689.13886666666701</v>
      </c>
      <c r="F2404">
        <v>59</v>
      </c>
      <c r="G2404">
        <v>11.6803197740113</v>
      </c>
      <c r="H2404">
        <v>1.50573333333333</v>
      </c>
      <c r="I2404">
        <v>38.819341354605299</v>
      </c>
    </row>
    <row r="2405" spans="1:9" x14ac:dyDescent="0.35">
      <c r="A2405" s="417" t="s">
        <v>846</v>
      </c>
      <c r="B2405" s="417" t="s">
        <v>691</v>
      </c>
      <c r="C2405" s="83">
        <v>46153</v>
      </c>
      <c r="D2405" s="417" t="s">
        <v>301</v>
      </c>
      <c r="E2405">
        <v>920.56349999999998</v>
      </c>
      <c r="F2405">
        <v>52</v>
      </c>
      <c r="G2405">
        <v>17.703144230769201</v>
      </c>
      <c r="H2405">
        <v>0.63833333333333298</v>
      </c>
      <c r="I2405">
        <v>37.7047780583014</v>
      </c>
    </row>
    <row r="2406" spans="1:9" x14ac:dyDescent="0.35">
      <c r="A2406" s="417" t="s">
        <v>846</v>
      </c>
      <c r="B2406" s="417" t="s">
        <v>691</v>
      </c>
      <c r="C2406" s="83">
        <v>46153</v>
      </c>
      <c r="D2406" s="417" t="s">
        <v>303</v>
      </c>
      <c r="E2406">
        <v>948.44425000000001</v>
      </c>
      <c r="F2406">
        <v>23</v>
      </c>
      <c r="G2406">
        <v>41.236706521739102</v>
      </c>
      <c r="H2406">
        <v>0.14303333333333301</v>
      </c>
      <c r="I2406">
        <v>28.660513599021101</v>
      </c>
    </row>
    <row r="2407" spans="1:9" x14ac:dyDescent="0.35">
      <c r="A2407" s="417" t="s">
        <v>846</v>
      </c>
      <c r="B2407" s="417" t="s">
        <v>691</v>
      </c>
      <c r="C2407" s="83">
        <v>46153</v>
      </c>
      <c r="D2407" s="417" t="s">
        <v>309</v>
      </c>
      <c r="E2407">
        <v>428.74149999999997</v>
      </c>
      <c r="F2407">
        <v>20</v>
      </c>
      <c r="G2407">
        <v>21.437075</v>
      </c>
      <c r="H2407">
        <v>0</v>
      </c>
      <c r="I2407">
        <v>33.423063207848898</v>
      </c>
    </row>
    <row r="2408" spans="1:9" x14ac:dyDescent="0.35">
      <c r="A2408" s="417" t="s">
        <v>846</v>
      </c>
      <c r="B2408" s="417" t="s">
        <v>691</v>
      </c>
      <c r="C2408" s="83">
        <v>46153</v>
      </c>
      <c r="D2408" s="417" t="s">
        <v>342</v>
      </c>
      <c r="E2408">
        <v>701.718433333333</v>
      </c>
      <c r="F2408">
        <v>20</v>
      </c>
      <c r="G2408">
        <v>35.0859216666667</v>
      </c>
      <c r="H2408">
        <v>29.05565</v>
      </c>
      <c r="I2408">
        <v>26.324404761904699</v>
      </c>
    </row>
    <row r="2409" spans="1:9" x14ac:dyDescent="0.35">
      <c r="A2409" s="417" t="s">
        <v>846</v>
      </c>
      <c r="B2409" s="417" t="s">
        <v>691</v>
      </c>
      <c r="C2409" s="83">
        <v>46153</v>
      </c>
      <c r="D2409" s="417" t="s">
        <v>310</v>
      </c>
      <c r="E2409">
        <v>942.78533333333303</v>
      </c>
      <c r="F2409">
        <v>8</v>
      </c>
      <c r="G2409">
        <v>117.848166666667</v>
      </c>
      <c r="H2409">
        <v>0.1434</v>
      </c>
      <c r="I2409">
        <v>40.346809962773598</v>
      </c>
    </row>
    <row r="2410" spans="1:9" x14ac:dyDescent="0.35">
      <c r="A2410" s="417" t="s">
        <v>846</v>
      </c>
      <c r="B2410" s="417" t="s">
        <v>691</v>
      </c>
      <c r="C2410" s="83">
        <v>46153</v>
      </c>
      <c r="D2410" s="417" t="s">
        <v>314</v>
      </c>
      <c r="E2410">
        <v>955.72884999999997</v>
      </c>
      <c r="F2410">
        <v>2</v>
      </c>
      <c r="G2410">
        <v>477.86442499999998</v>
      </c>
      <c r="H2410">
        <v>2.5366666666666701E-2</v>
      </c>
      <c r="I2410">
        <v>35.810320729604797</v>
      </c>
    </row>
    <row r="2411" spans="1:9" x14ac:dyDescent="0.35">
      <c r="A2411" s="417" t="s">
        <v>846</v>
      </c>
      <c r="B2411" s="417" t="s">
        <v>691</v>
      </c>
      <c r="C2411" s="83">
        <v>46153</v>
      </c>
      <c r="D2411" s="417" t="s">
        <v>313</v>
      </c>
      <c r="E2411">
        <v>823.94193333333305</v>
      </c>
      <c r="F2411">
        <v>2</v>
      </c>
      <c r="G2411">
        <v>411.97096666666698</v>
      </c>
      <c r="H2411">
        <v>0</v>
      </c>
      <c r="I2411">
        <v>48.169298576564799</v>
      </c>
    </row>
    <row r="2412" spans="1:9" x14ac:dyDescent="0.35">
      <c r="A2412" s="417" t="s">
        <v>846</v>
      </c>
      <c r="B2412" s="417" t="s">
        <v>691</v>
      </c>
      <c r="C2412" s="83">
        <v>46153</v>
      </c>
      <c r="D2412" s="417" t="s">
        <v>317</v>
      </c>
      <c r="E2412">
        <v>958.56198333333305</v>
      </c>
      <c r="F2412">
        <v>2</v>
      </c>
      <c r="G2412">
        <v>479.28099166666698</v>
      </c>
      <c r="H2412">
        <v>0.28794999999999998</v>
      </c>
      <c r="I2412">
        <v>22.521772437244099</v>
      </c>
    </row>
    <row r="2413" spans="1:9" x14ac:dyDescent="0.35">
      <c r="A2413" s="417" t="s">
        <v>846</v>
      </c>
      <c r="B2413" s="417" t="s">
        <v>691</v>
      </c>
      <c r="C2413" s="83">
        <v>46153</v>
      </c>
      <c r="D2413" s="417" t="s">
        <v>504</v>
      </c>
      <c r="E2413">
        <v>960</v>
      </c>
      <c r="F2413">
        <v>1</v>
      </c>
      <c r="G2413">
        <v>960</v>
      </c>
      <c r="H2413">
        <v>0</v>
      </c>
      <c r="I2413">
        <v>16.942361111111101</v>
      </c>
    </row>
    <row r="2414" spans="1:9" x14ac:dyDescent="0.35">
      <c r="A2414" s="417" t="s">
        <v>846</v>
      </c>
      <c r="B2414" s="417" t="s">
        <v>676</v>
      </c>
      <c r="C2414" s="83">
        <v>46152</v>
      </c>
      <c r="D2414" s="417" t="s">
        <v>677</v>
      </c>
      <c r="E2414">
        <v>1075.64918333333</v>
      </c>
      <c r="F2414">
        <v>541</v>
      </c>
      <c r="G2414">
        <v>1.98826096734442</v>
      </c>
      <c r="H2414">
        <v>280.5102</v>
      </c>
      <c r="I2414">
        <v>36.316944444444403</v>
      </c>
    </row>
    <row r="2415" spans="1:9" x14ac:dyDescent="0.35">
      <c r="A2415" s="417" t="s">
        <v>846</v>
      </c>
      <c r="B2415" s="417" t="s">
        <v>676</v>
      </c>
      <c r="C2415" s="83">
        <v>46152</v>
      </c>
      <c r="D2415" s="417" t="s">
        <v>678</v>
      </c>
      <c r="E2415">
        <v>1152.93773333333</v>
      </c>
      <c r="F2415">
        <v>46</v>
      </c>
      <c r="G2415">
        <v>25.063863768115901</v>
      </c>
      <c r="H2415">
        <v>43.516316666666697</v>
      </c>
      <c r="I2415">
        <v>40.1174199476513</v>
      </c>
    </row>
    <row r="2416" spans="1:9" x14ac:dyDescent="0.35">
      <c r="A2416" s="417" t="s">
        <v>846</v>
      </c>
      <c r="B2416" s="417" t="s">
        <v>676</v>
      </c>
      <c r="C2416" s="83">
        <v>46152</v>
      </c>
      <c r="D2416" s="417" t="s">
        <v>679</v>
      </c>
      <c r="E2416">
        <v>1247.5225333333301</v>
      </c>
      <c r="F2416">
        <v>37</v>
      </c>
      <c r="G2416">
        <v>33.7168252252252</v>
      </c>
      <c r="H2416">
        <v>42.012050000000002</v>
      </c>
      <c r="I2416">
        <v>62.696479151032101</v>
      </c>
    </row>
    <row r="2417" spans="1:9" x14ac:dyDescent="0.35">
      <c r="A2417" s="417" t="s">
        <v>846</v>
      </c>
      <c r="B2417" s="417" t="s">
        <v>680</v>
      </c>
      <c r="C2417" s="83">
        <v>46152</v>
      </c>
      <c r="D2417" s="417" t="s">
        <v>689</v>
      </c>
      <c r="E2417">
        <v>1397.65773333333</v>
      </c>
      <c r="F2417">
        <v>50</v>
      </c>
      <c r="G2417">
        <v>27.953154666666698</v>
      </c>
      <c r="H2417">
        <v>0</v>
      </c>
      <c r="I2417">
        <v>65.923990719725197</v>
      </c>
    </row>
    <row r="2418" spans="1:9" x14ac:dyDescent="0.35">
      <c r="A2418" s="417" t="s">
        <v>846</v>
      </c>
      <c r="B2418" s="417" t="s">
        <v>680</v>
      </c>
      <c r="C2418" s="83">
        <v>46152</v>
      </c>
      <c r="D2418" s="417" t="s">
        <v>682</v>
      </c>
      <c r="E2418">
        <v>1350.8243833333299</v>
      </c>
      <c r="F2418">
        <v>31</v>
      </c>
      <c r="G2418">
        <v>43.574980107526898</v>
      </c>
      <c r="H2418">
        <v>27.169716666666702</v>
      </c>
      <c r="I2418">
        <v>95.719246031745996</v>
      </c>
    </row>
    <row r="2419" spans="1:9" x14ac:dyDescent="0.35">
      <c r="A2419" s="417" t="s">
        <v>846</v>
      </c>
      <c r="B2419" s="417" t="s">
        <v>680</v>
      </c>
      <c r="C2419" s="83">
        <v>46152</v>
      </c>
      <c r="D2419" s="417" t="s">
        <v>683</v>
      </c>
      <c r="E2419">
        <v>1406.84463333333</v>
      </c>
      <c r="F2419">
        <v>25</v>
      </c>
      <c r="G2419">
        <v>56.273785333333301</v>
      </c>
      <c r="H2419">
        <v>2.66618333333333</v>
      </c>
      <c r="I2419">
        <v>54.804475932149103</v>
      </c>
    </row>
    <row r="2420" spans="1:9" x14ac:dyDescent="0.35">
      <c r="A2420" s="417" t="s">
        <v>846</v>
      </c>
      <c r="B2420" s="417" t="s">
        <v>680</v>
      </c>
      <c r="C2420" s="83">
        <v>46152</v>
      </c>
      <c r="D2420" s="417" t="s">
        <v>684</v>
      </c>
      <c r="E2420">
        <v>1415.67313333333</v>
      </c>
      <c r="F2420">
        <v>21</v>
      </c>
      <c r="G2420">
        <v>67.413006349206398</v>
      </c>
      <c r="H2420">
        <v>16.48255</v>
      </c>
      <c r="I2420">
        <v>72.247459819168398</v>
      </c>
    </row>
    <row r="2421" spans="1:9" x14ac:dyDescent="0.35">
      <c r="A2421" s="417" t="s">
        <v>846</v>
      </c>
      <c r="B2421" s="417" t="s">
        <v>680</v>
      </c>
      <c r="C2421" s="83">
        <v>46152</v>
      </c>
      <c r="D2421" s="417" t="s">
        <v>687</v>
      </c>
      <c r="E2421">
        <v>1391.04485</v>
      </c>
      <c r="F2421">
        <v>18</v>
      </c>
      <c r="G2421">
        <v>77.2802694444445</v>
      </c>
      <c r="H2421">
        <v>32.311300000000003</v>
      </c>
      <c r="I2421">
        <v>27.680404566400401</v>
      </c>
    </row>
    <row r="2422" spans="1:9" x14ac:dyDescent="0.35">
      <c r="A2422" s="417" t="s">
        <v>846</v>
      </c>
      <c r="B2422" s="417" t="s">
        <v>680</v>
      </c>
      <c r="C2422" s="83">
        <v>46152</v>
      </c>
      <c r="D2422" s="417" t="s">
        <v>688</v>
      </c>
      <c r="E2422">
        <v>1393.6703500000001</v>
      </c>
      <c r="F2422">
        <v>15</v>
      </c>
      <c r="G2422">
        <v>92.911356666666606</v>
      </c>
      <c r="H2422">
        <v>6.1506666666666696</v>
      </c>
      <c r="I2422">
        <v>88.933728389540605</v>
      </c>
    </row>
    <row r="2423" spans="1:9" x14ac:dyDescent="0.35">
      <c r="A2423" s="417" t="s">
        <v>846</v>
      </c>
      <c r="B2423" s="417" t="s">
        <v>680</v>
      </c>
      <c r="C2423" s="83">
        <v>46152</v>
      </c>
      <c r="D2423" s="417" t="s">
        <v>681</v>
      </c>
      <c r="E2423">
        <v>1421.3056999999999</v>
      </c>
      <c r="F2423">
        <v>11</v>
      </c>
      <c r="G2423">
        <v>129.209609090909</v>
      </c>
      <c r="H2423">
        <v>0.499466666666667</v>
      </c>
      <c r="I2423">
        <v>65.542683807899607</v>
      </c>
    </row>
    <row r="2424" spans="1:9" x14ac:dyDescent="0.35">
      <c r="A2424" s="417" t="s">
        <v>846</v>
      </c>
      <c r="B2424" s="417" t="s">
        <v>680</v>
      </c>
      <c r="C2424" s="83">
        <v>46152</v>
      </c>
      <c r="D2424" s="417" t="s">
        <v>685</v>
      </c>
      <c r="E2424">
        <v>1346.81643333333</v>
      </c>
      <c r="F2424">
        <v>7</v>
      </c>
      <c r="G2424">
        <v>192.40234761904799</v>
      </c>
      <c r="H2424">
        <v>1.8357000000000001</v>
      </c>
      <c r="I2424">
        <v>87.689056393642602</v>
      </c>
    </row>
    <row r="2425" spans="1:9" x14ac:dyDescent="0.35">
      <c r="A2425" s="417" t="s">
        <v>846</v>
      </c>
      <c r="B2425" s="417" t="s">
        <v>680</v>
      </c>
      <c r="C2425" s="83">
        <v>46152</v>
      </c>
      <c r="D2425" s="417" t="s">
        <v>690</v>
      </c>
      <c r="E2425">
        <v>1421.8370833333299</v>
      </c>
      <c r="F2425">
        <v>3</v>
      </c>
      <c r="G2425">
        <v>473.94569444444397</v>
      </c>
      <c r="H2425">
        <v>0.67363333333333297</v>
      </c>
      <c r="I2425">
        <v>72.570555277225296</v>
      </c>
    </row>
    <row r="2426" spans="1:9" x14ac:dyDescent="0.35">
      <c r="A2426" s="417" t="s">
        <v>846</v>
      </c>
      <c r="B2426" s="417" t="s">
        <v>680</v>
      </c>
      <c r="C2426" s="83">
        <v>46152</v>
      </c>
      <c r="D2426" s="417" t="s">
        <v>686</v>
      </c>
      <c r="E2426">
        <v>1440</v>
      </c>
      <c r="F2426">
        <v>1</v>
      </c>
      <c r="G2426">
        <v>1440</v>
      </c>
      <c r="H2426">
        <v>0</v>
      </c>
      <c r="I2426">
        <v>29.945436507936499</v>
      </c>
    </row>
    <row r="2427" spans="1:9" x14ac:dyDescent="0.35">
      <c r="A2427" s="417" t="s">
        <v>846</v>
      </c>
      <c r="B2427" s="417" t="s">
        <v>691</v>
      </c>
      <c r="C2427" s="83">
        <v>46152</v>
      </c>
      <c r="D2427" s="417" t="s">
        <v>299</v>
      </c>
      <c r="E2427">
        <v>1379.03303333333</v>
      </c>
      <c r="F2427">
        <v>106</v>
      </c>
      <c r="G2427">
        <v>13.009745597484301</v>
      </c>
      <c r="H2427">
        <v>0.42106666666666698</v>
      </c>
      <c r="I2427">
        <v>66.690650863780206</v>
      </c>
    </row>
    <row r="2428" spans="1:9" x14ac:dyDescent="0.35">
      <c r="A2428" s="417" t="s">
        <v>846</v>
      </c>
      <c r="B2428" s="417" t="s">
        <v>691</v>
      </c>
      <c r="C2428" s="83">
        <v>46152</v>
      </c>
      <c r="D2428" s="417" t="s">
        <v>309</v>
      </c>
      <c r="E2428">
        <v>1340.3136666666701</v>
      </c>
      <c r="F2428">
        <v>94</v>
      </c>
      <c r="G2428">
        <v>14.258656028368801</v>
      </c>
      <c r="H2428">
        <v>0</v>
      </c>
      <c r="I2428">
        <v>51.9237261135873</v>
      </c>
    </row>
    <row r="2429" spans="1:9" x14ac:dyDescent="0.35">
      <c r="A2429" s="417" t="s">
        <v>846</v>
      </c>
      <c r="B2429" s="417" t="s">
        <v>691</v>
      </c>
      <c r="C2429" s="83">
        <v>46152</v>
      </c>
      <c r="D2429" s="417" t="s">
        <v>305</v>
      </c>
      <c r="E2429">
        <v>1341.51403333333</v>
      </c>
      <c r="F2429">
        <v>86</v>
      </c>
      <c r="G2429">
        <v>15.599000387596901</v>
      </c>
      <c r="H2429">
        <v>2.8361999999999998</v>
      </c>
      <c r="I2429">
        <v>46.1959306708249</v>
      </c>
    </row>
    <row r="2430" spans="1:9" x14ac:dyDescent="0.35">
      <c r="A2430" s="417" t="s">
        <v>846</v>
      </c>
      <c r="B2430" s="417" t="s">
        <v>691</v>
      </c>
      <c r="C2430" s="83">
        <v>46152</v>
      </c>
      <c r="D2430" s="417" t="s">
        <v>295</v>
      </c>
      <c r="E2430">
        <v>1384.3271500000001</v>
      </c>
      <c r="F2430">
        <v>72</v>
      </c>
      <c r="G2430">
        <v>19.2267659722222</v>
      </c>
      <c r="H2430">
        <v>0.143866666666667</v>
      </c>
      <c r="I2430">
        <v>69.451661540846402</v>
      </c>
    </row>
    <row r="2431" spans="1:9" x14ac:dyDescent="0.35">
      <c r="A2431" s="417" t="s">
        <v>846</v>
      </c>
      <c r="B2431" s="417" t="s">
        <v>691</v>
      </c>
      <c r="C2431" s="83">
        <v>46152</v>
      </c>
      <c r="D2431" s="417" t="s">
        <v>301</v>
      </c>
      <c r="E2431">
        <v>1395.11421666667</v>
      </c>
      <c r="F2431">
        <v>60</v>
      </c>
      <c r="G2431">
        <v>23.2519036111111</v>
      </c>
      <c r="H2431">
        <v>0.79335</v>
      </c>
      <c r="I2431">
        <v>57.326189308157304</v>
      </c>
    </row>
    <row r="2432" spans="1:9" x14ac:dyDescent="0.35">
      <c r="A2432" s="417" t="s">
        <v>846</v>
      </c>
      <c r="B2432" s="417" t="s">
        <v>691</v>
      </c>
      <c r="C2432" s="83">
        <v>46152</v>
      </c>
      <c r="D2432" s="417" t="s">
        <v>303</v>
      </c>
      <c r="E2432">
        <v>1382.8651833333299</v>
      </c>
      <c r="F2432">
        <v>50</v>
      </c>
      <c r="G2432">
        <v>27.657303666666699</v>
      </c>
      <c r="H2432">
        <v>3.1193499999999998</v>
      </c>
      <c r="I2432">
        <v>41.069089235241698</v>
      </c>
    </row>
    <row r="2433" spans="1:9" x14ac:dyDescent="0.35">
      <c r="A2433" s="417" t="s">
        <v>846</v>
      </c>
      <c r="B2433" s="417" t="s">
        <v>691</v>
      </c>
      <c r="C2433" s="83">
        <v>46152</v>
      </c>
      <c r="D2433" s="417" t="s">
        <v>342</v>
      </c>
      <c r="E2433">
        <v>1362.8533333333301</v>
      </c>
      <c r="F2433">
        <v>42</v>
      </c>
      <c r="G2433">
        <v>32.448888888888902</v>
      </c>
      <c r="H2433">
        <v>77.146666666666704</v>
      </c>
      <c r="I2433">
        <v>49.960317460317498</v>
      </c>
    </row>
    <row r="2434" spans="1:9" x14ac:dyDescent="0.35">
      <c r="A2434" s="417" t="s">
        <v>846</v>
      </c>
      <c r="B2434" s="417" t="s">
        <v>691</v>
      </c>
      <c r="C2434" s="83">
        <v>46152</v>
      </c>
      <c r="D2434" s="417" t="s">
        <v>314</v>
      </c>
      <c r="E2434">
        <v>1409.7871333333301</v>
      </c>
      <c r="F2434">
        <v>10</v>
      </c>
      <c r="G2434">
        <v>140.97871333333299</v>
      </c>
      <c r="H2434">
        <v>3.3701833333333302</v>
      </c>
      <c r="I2434">
        <v>56.4452173357991</v>
      </c>
    </row>
    <row r="2435" spans="1:9" x14ac:dyDescent="0.35">
      <c r="A2435" s="417" t="s">
        <v>846</v>
      </c>
      <c r="B2435" s="417" t="s">
        <v>691</v>
      </c>
      <c r="C2435" s="83">
        <v>46152</v>
      </c>
      <c r="D2435" s="417" t="s">
        <v>313</v>
      </c>
      <c r="E2435">
        <v>1419.61163333333</v>
      </c>
      <c r="F2435">
        <v>6</v>
      </c>
      <c r="G2435">
        <v>236.60193888888901</v>
      </c>
      <c r="H2435">
        <v>0</v>
      </c>
      <c r="I2435">
        <v>63.977972470348497</v>
      </c>
    </row>
    <row r="2436" spans="1:9" x14ac:dyDescent="0.35">
      <c r="A2436" s="417" t="s">
        <v>846</v>
      </c>
      <c r="B2436" s="417" t="s">
        <v>691</v>
      </c>
      <c r="C2436" s="83">
        <v>46152</v>
      </c>
      <c r="D2436" s="417" t="s">
        <v>310</v>
      </c>
      <c r="E2436">
        <v>1424.25935</v>
      </c>
      <c r="F2436">
        <v>6</v>
      </c>
      <c r="G2436">
        <v>237.37655833333301</v>
      </c>
      <c r="H2436">
        <v>7.6300000000000007E-2</v>
      </c>
      <c r="I2436">
        <v>68.304985399328899</v>
      </c>
    </row>
    <row r="2437" spans="1:9" x14ac:dyDescent="0.35">
      <c r="A2437" s="417" t="s">
        <v>846</v>
      </c>
      <c r="B2437" s="417" t="s">
        <v>691</v>
      </c>
      <c r="C2437" s="83">
        <v>46152</v>
      </c>
      <c r="D2437" s="417" t="s">
        <v>317</v>
      </c>
      <c r="E2437">
        <v>1439.8486</v>
      </c>
      <c r="F2437">
        <v>2</v>
      </c>
      <c r="G2437">
        <v>719.92430000000002</v>
      </c>
      <c r="H2437">
        <v>0.15140000000000001</v>
      </c>
      <c r="I2437">
        <v>37.487396875000002</v>
      </c>
    </row>
    <row r="2438" spans="1:9" x14ac:dyDescent="0.35">
      <c r="A2438" s="417" t="s">
        <v>846</v>
      </c>
      <c r="B2438" s="417" t="s">
        <v>691</v>
      </c>
      <c r="C2438" s="83">
        <v>46152</v>
      </c>
      <c r="D2438" s="417" t="s">
        <v>504</v>
      </c>
      <c r="E2438">
        <v>1440</v>
      </c>
      <c r="F2438">
        <v>1</v>
      </c>
      <c r="G2438">
        <v>1440</v>
      </c>
      <c r="H2438">
        <v>0</v>
      </c>
      <c r="I2438">
        <v>20.806481481481502</v>
      </c>
    </row>
    <row r="2439" spans="1:9" x14ac:dyDescent="0.35">
      <c r="A2439" s="417" t="s">
        <v>846</v>
      </c>
      <c r="B2439" s="417" t="s">
        <v>676</v>
      </c>
      <c r="C2439" s="83">
        <v>46151</v>
      </c>
      <c r="D2439" s="417" t="s">
        <v>677</v>
      </c>
      <c r="E2439">
        <v>1249.6557666666699</v>
      </c>
      <c r="F2439">
        <v>276</v>
      </c>
      <c r="G2439">
        <v>4.5277382850241503</v>
      </c>
      <c r="H2439">
        <v>177.17353333333301</v>
      </c>
      <c r="I2439">
        <v>50.765833333333298</v>
      </c>
    </row>
    <row r="2440" spans="1:9" x14ac:dyDescent="0.35">
      <c r="A2440" s="417" t="s">
        <v>846</v>
      </c>
      <c r="B2440" s="417" t="s">
        <v>676</v>
      </c>
      <c r="C2440" s="83">
        <v>46151</v>
      </c>
      <c r="D2440" s="417" t="s">
        <v>678</v>
      </c>
      <c r="E2440">
        <v>1383.33193333333</v>
      </c>
      <c r="F2440">
        <v>26</v>
      </c>
      <c r="G2440">
        <v>53.2050743589744</v>
      </c>
      <c r="H2440">
        <v>16.155833333333302</v>
      </c>
      <c r="I2440">
        <v>102.287663202868</v>
      </c>
    </row>
    <row r="2441" spans="1:9" x14ac:dyDescent="0.35">
      <c r="A2441" s="417" t="s">
        <v>846</v>
      </c>
      <c r="B2441" s="417" t="s">
        <v>676</v>
      </c>
      <c r="C2441" s="83">
        <v>46151</v>
      </c>
      <c r="D2441" s="417" t="s">
        <v>679</v>
      </c>
      <c r="E2441">
        <v>1393.4666666666701</v>
      </c>
      <c r="F2441">
        <v>16</v>
      </c>
      <c r="G2441">
        <v>87.091666666666697</v>
      </c>
      <c r="H2441">
        <v>10.5284666666667</v>
      </c>
      <c r="I2441">
        <v>100.45927509625299</v>
      </c>
    </row>
    <row r="2442" spans="1:9" x14ac:dyDescent="0.35">
      <c r="A2442" s="417" t="s">
        <v>846</v>
      </c>
      <c r="B2442" s="417" t="s">
        <v>680</v>
      </c>
      <c r="C2442" s="83">
        <v>46151</v>
      </c>
      <c r="D2442" s="417" t="s">
        <v>684</v>
      </c>
      <c r="E2442">
        <v>1393.95445</v>
      </c>
      <c r="F2442">
        <v>59</v>
      </c>
      <c r="G2442">
        <v>23.626346610169499</v>
      </c>
      <c r="H2442">
        <v>33.041366666666697</v>
      </c>
      <c r="I2442">
        <v>60.771282348472099</v>
      </c>
    </row>
    <row r="2443" spans="1:9" x14ac:dyDescent="0.35">
      <c r="A2443" s="417" t="s">
        <v>846</v>
      </c>
      <c r="B2443" s="417" t="s">
        <v>680</v>
      </c>
      <c r="C2443" s="83">
        <v>46151</v>
      </c>
      <c r="D2443" s="417" t="s">
        <v>682</v>
      </c>
      <c r="E2443">
        <v>1381.6698833333301</v>
      </c>
      <c r="F2443">
        <v>59</v>
      </c>
      <c r="G2443">
        <v>23.418133615819201</v>
      </c>
      <c r="H2443">
        <v>58.330116666666697</v>
      </c>
      <c r="I2443">
        <v>71.488095238095198</v>
      </c>
    </row>
    <row r="2444" spans="1:9" x14ac:dyDescent="0.35">
      <c r="A2444" s="417" t="s">
        <v>846</v>
      </c>
      <c r="B2444" s="417" t="s">
        <v>680</v>
      </c>
      <c r="C2444" s="83">
        <v>46151</v>
      </c>
      <c r="D2444" s="417" t="s">
        <v>689</v>
      </c>
      <c r="E2444">
        <v>1407.13973333333</v>
      </c>
      <c r="F2444">
        <v>47</v>
      </c>
      <c r="G2444">
        <v>29.939143262411399</v>
      </c>
      <c r="H2444">
        <v>2.8351999999999999</v>
      </c>
      <c r="I2444">
        <v>73.709487148182006</v>
      </c>
    </row>
    <row r="2445" spans="1:9" x14ac:dyDescent="0.35">
      <c r="A2445" s="417" t="s">
        <v>846</v>
      </c>
      <c r="B2445" s="417" t="s">
        <v>680</v>
      </c>
      <c r="C2445" s="83">
        <v>46151</v>
      </c>
      <c r="D2445" s="417" t="s">
        <v>681</v>
      </c>
      <c r="E2445">
        <v>1395.5034000000001</v>
      </c>
      <c r="F2445">
        <v>40</v>
      </c>
      <c r="G2445">
        <v>34.887585000000001</v>
      </c>
      <c r="H2445">
        <v>1.5015833333333299</v>
      </c>
      <c r="I2445">
        <v>63.173650850046002</v>
      </c>
    </row>
    <row r="2446" spans="1:9" x14ac:dyDescent="0.35">
      <c r="A2446" s="417" t="s">
        <v>846</v>
      </c>
      <c r="B2446" s="417" t="s">
        <v>680</v>
      </c>
      <c r="C2446" s="83">
        <v>46151</v>
      </c>
      <c r="D2446" s="417" t="s">
        <v>683</v>
      </c>
      <c r="E2446">
        <v>1404.8773000000001</v>
      </c>
      <c r="F2446">
        <v>32</v>
      </c>
      <c r="G2446">
        <v>43.902415625000003</v>
      </c>
      <c r="H2446">
        <v>4.6614666666666702</v>
      </c>
      <c r="I2446">
        <v>66.672930477588196</v>
      </c>
    </row>
    <row r="2447" spans="1:9" x14ac:dyDescent="0.35">
      <c r="A2447" s="417" t="s">
        <v>846</v>
      </c>
      <c r="B2447" s="417" t="s">
        <v>680</v>
      </c>
      <c r="C2447" s="83">
        <v>46151</v>
      </c>
      <c r="D2447" s="417" t="s">
        <v>685</v>
      </c>
      <c r="E2447">
        <v>1378.29115</v>
      </c>
      <c r="F2447">
        <v>30</v>
      </c>
      <c r="G2447">
        <v>45.943038333333298</v>
      </c>
      <c r="H2447">
        <v>10.8386</v>
      </c>
      <c r="I2447">
        <v>92.356763829475597</v>
      </c>
    </row>
    <row r="2448" spans="1:9" x14ac:dyDescent="0.35">
      <c r="A2448" s="417" t="s">
        <v>846</v>
      </c>
      <c r="B2448" s="417" t="s">
        <v>680</v>
      </c>
      <c r="C2448" s="83">
        <v>46151</v>
      </c>
      <c r="D2448" s="417" t="s">
        <v>687</v>
      </c>
      <c r="E2448">
        <v>1414.8290666666701</v>
      </c>
      <c r="F2448">
        <v>16</v>
      </c>
      <c r="G2448">
        <v>88.426816666666696</v>
      </c>
      <c r="H2448">
        <v>12.9940833333333</v>
      </c>
      <c r="I2448">
        <v>26.4768313948634</v>
      </c>
    </row>
    <row r="2449" spans="1:9" x14ac:dyDescent="0.35">
      <c r="A2449" s="417" t="s">
        <v>846</v>
      </c>
      <c r="B2449" s="417" t="s">
        <v>680</v>
      </c>
      <c r="C2449" s="83">
        <v>46151</v>
      </c>
      <c r="D2449" s="417" t="s">
        <v>688</v>
      </c>
      <c r="E2449">
        <v>1401.31495</v>
      </c>
      <c r="F2449">
        <v>14</v>
      </c>
      <c r="G2449">
        <v>100.093925</v>
      </c>
      <c r="H2449">
        <v>7.8312666666666697</v>
      </c>
      <c r="I2449">
        <v>85.436928185411304</v>
      </c>
    </row>
    <row r="2450" spans="1:9" x14ac:dyDescent="0.35">
      <c r="A2450" s="417" t="s">
        <v>846</v>
      </c>
      <c r="B2450" s="417" t="s">
        <v>680</v>
      </c>
      <c r="C2450" s="83">
        <v>46151</v>
      </c>
      <c r="D2450" s="417" t="s">
        <v>690</v>
      </c>
      <c r="E2450">
        <v>1396.3166000000001</v>
      </c>
      <c r="F2450">
        <v>14</v>
      </c>
      <c r="G2450">
        <v>99.736900000000006</v>
      </c>
      <c r="H2450">
        <v>4.1762166666666696</v>
      </c>
      <c r="I2450">
        <v>71.837965311057005</v>
      </c>
    </row>
    <row r="2451" spans="1:9" x14ac:dyDescent="0.35">
      <c r="A2451" s="417" t="s">
        <v>846</v>
      </c>
      <c r="B2451" s="417" t="s">
        <v>680</v>
      </c>
      <c r="C2451" s="83">
        <v>46151</v>
      </c>
      <c r="D2451" s="417" t="s">
        <v>686</v>
      </c>
      <c r="E2451">
        <v>1440</v>
      </c>
      <c r="F2451">
        <v>1</v>
      </c>
      <c r="G2451">
        <v>1440</v>
      </c>
      <c r="H2451">
        <v>0</v>
      </c>
      <c r="I2451">
        <v>11.7361111111111</v>
      </c>
    </row>
    <row r="2452" spans="1:9" x14ac:dyDescent="0.35">
      <c r="A2452" s="417" t="s">
        <v>846</v>
      </c>
      <c r="B2452" s="417" t="s">
        <v>691</v>
      </c>
      <c r="C2452" s="83">
        <v>46151</v>
      </c>
      <c r="D2452" s="417" t="s">
        <v>295</v>
      </c>
      <c r="E2452">
        <v>1276.5896666666699</v>
      </c>
      <c r="F2452">
        <v>91</v>
      </c>
      <c r="G2452">
        <v>14.028457875457899</v>
      </c>
      <c r="H2452">
        <v>0.48060000000000003</v>
      </c>
      <c r="I2452">
        <v>65.797271588865101</v>
      </c>
    </row>
    <row r="2453" spans="1:9" x14ac:dyDescent="0.35">
      <c r="A2453" s="417" t="s">
        <v>846</v>
      </c>
      <c r="B2453" s="417" t="s">
        <v>691</v>
      </c>
      <c r="C2453" s="83">
        <v>46151</v>
      </c>
      <c r="D2453" s="417" t="s">
        <v>305</v>
      </c>
      <c r="E2453">
        <v>1354.5245333333301</v>
      </c>
      <c r="F2453">
        <v>90</v>
      </c>
      <c r="G2453">
        <v>15.0502725925926</v>
      </c>
      <c r="H2453">
        <v>1.19976666666667</v>
      </c>
      <c r="I2453">
        <v>46.583835831797202</v>
      </c>
    </row>
    <row r="2454" spans="1:9" x14ac:dyDescent="0.35">
      <c r="A2454" s="417" t="s">
        <v>846</v>
      </c>
      <c r="B2454" s="417" t="s">
        <v>691</v>
      </c>
      <c r="C2454" s="83">
        <v>46151</v>
      </c>
      <c r="D2454" s="417" t="s">
        <v>299</v>
      </c>
      <c r="E2454">
        <v>1372.66466666667</v>
      </c>
      <c r="F2454">
        <v>89</v>
      </c>
      <c r="G2454">
        <v>15.423198501872699</v>
      </c>
      <c r="H2454">
        <v>0.13275000000000001</v>
      </c>
      <c r="I2454">
        <v>65.298120371250207</v>
      </c>
    </row>
    <row r="2455" spans="1:9" x14ac:dyDescent="0.35">
      <c r="A2455" s="417" t="s">
        <v>846</v>
      </c>
      <c r="B2455" s="417" t="s">
        <v>691</v>
      </c>
      <c r="C2455" s="83">
        <v>46151</v>
      </c>
      <c r="D2455" s="417" t="s">
        <v>309</v>
      </c>
      <c r="E2455">
        <v>1356.8046666666701</v>
      </c>
      <c r="F2455">
        <v>79</v>
      </c>
      <c r="G2455">
        <v>17.1747426160338</v>
      </c>
      <c r="H2455">
        <v>0</v>
      </c>
      <c r="I2455">
        <v>47.721462577313602</v>
      </c>
    </row>
    <row r="2456" spans="1:9" x14ac:dyDescent="0.35">
      <c r="A2456" s="417" t="s">
        <v>846</v>
      </c>
      <c r="B2456" s="417" t="s">
        <v>691</v>
      </c>
      <c r="C2456" s="83">
        <v>46151</v>
      </c>
      <c r="D2456" s="417" t="s">
        <v>301</v>
      </c>
      <c r="E2456">
        <v>1393.9063333333299</v>
      </c>
      <c r="F2456">
        <v>69</v>
      </c>
      <c r="G2456">
        <v>20.201541062801901</v>
      </c>
      <c r="H2456">
        <v>0.437466666666667</v>
      </c>
      <c r="I2456">
        <v>55.569266088055002</v>
      </c>
    </row>
    <row r="2457" spans="1:9" x14ac:dyDescent="0.35">
      <c r="A2457" s="417" t="s">
        <v>846</v>
      </c>
      <c r="B2457" s="417" t="s">
        <v>691</v>
      </c>
      <c r="C2457" s="83">
        <v>46151</v>
      </c>
      <c r="D2457" s="417" t="s">
        <v>342</v>
      </c>
      <c r="E2457">
        <v>1357.53988333333</v>
      </c>
      <c r="F2457">
        <v>51</v>
      </c>
      <c r="G2457">
        <v>26.6184290849673</v>
      </c>
      <c r="H2457">
        <v>82.460116666666707</v>
      </c>
      <c r="I2457">
        <v>49.732142857142797</v>
      </c>
    </row>
    <row r="2458" spans="1:9" x14ac:dyDescent="0.35">
      <c r="A2458" s="417" t="s">
        <v>846</v>
      </c>
      <c r="B2458" s="417" t="s">
        <v>691</v>
      </c>
      <c r="C2458" s="83">
        <v>46151</v>
      </c>
      <c r="D2458" s="417" t="s">
        <v>303</v>
      </c>
      <c r="E2458">
        <v>1400.40871666667</v>
      </c>
      <c r="F2458">
        <v>43</v>
      </c>
      <c r="G2458">
        <v>32.567644573643399</v>
      </c>
      <c r="H2458">
        <v>3.37166666666667E-2</v>
      </c>
      <c r="I2458">
        <v>42.5167245124671</v>
      </c>
    </row>
    <row r="2459" spans="1:9" x14ac:dyDescent="0.35">
      <c r="A2459" s="417" t="s">
        <v>846</v>
      </c>
      <c r="B2459" s="417" t="s">
        <v>691</v>
      </c>
      <c r="C2459" s="83">
        <v>46151</v>
      </c>
      <c r="D2459" s="417" t="s">
        <v>314</v>
      </c>
      <c r="E2459">
        <v>1283.7272333333301</v>
      </c>
      <c r="F2459">
        <v>8</v>
      </c>
      <c r="G2459">
        <v>160.465904166667</v>
      </c>
      <c r="H2459">
        <v>0.31045</v>
      </c>
      <c r="I2459">
        <v>38.880715144609802</v>
      </c>
    </row>
    <row r="2460" spans="1:9" x14ac:dyDescent="0.35">
      <c r="A2460" s="417" t="s">
        <v>846</v>
      </c>
      <c r="B2460" s="417" t="s">
        <v>691</v>
      </c>
      <c r="C2460" s="83">
        <v>46151</v>
      </c>
      <c r="D2460" s="417" t="s">
        <v>313</v>
      </c>
      <c r="E2460">
        <v>1429.1753000000001</v>
      </c>
      <c r="F2460">
        <v>4</v>
      </c>
      <c r="G2460">
        <v>357.29382500000003</v>
      </c>
      <c r="H2460">
        <v>0</v>
      </c>
      <c r="I2460">
        <v>60.063144523519298</v>
      </c>
    </row>
    <row r="2461" spans="1:9" x14ac:dyDescent="0.35">
      <c r="A2461" s="417" t="s">
        <v>846</v>
      </c>
      <c r="B2461" s="417" t="s">
        <v>691</v>
      </c>
      <c r="C2461" s="83">
        <v>46151</v>
      </c>
      <c r="D2461" s="417" t="s">
        <v>310</v>
      </c>
      <c r="E2461">
        <v>1348.8098500000001</v>
      </c>
      <c r="F2461">
        <v>3</v>
      </c>
      <c r="G2461">
        <v>449.60328333333302</v>
      </c>
      <c r="H2461">
        <v>0.37933333333333302</v>
      </c>
      <c r="I2461">
        <v>63.817283075188399</v>
      </c>
    </row>
    <row r="2462" spans="1:9" x14ac:dyDescent="0.35">
      <c r="A2462" s="417" t="s">
        <v>846</v>
      </c>
      <c r="B2462" s="417" t="s">
        <v>691</v>
      </c>
      <c r="C2462" s="83">
        <v>46151</v>
      </c>
      <c r="D2462" s="417" t="s">
        <v>317</v>
      </c>
      <c r="E2462">
        <v>1428.20246666667</v>
      </c>
      <c r="F2462">
        <v>2</v>
      </c>
      <c r="G2462">
        <v>714.10123333333297</v>
      </c>
      <c r="H2462">
        <v>0.31736666666666702</v>
      </c>
      <c r="I2462">
        <v>37.051042110137601</v>
      </c>
    </row>
    <row r="2463" spans="1:9" x14ac:dyDescent="0.35">
      <c r="A2463" s="417" t="s">
        <v>846</v>
      </c>
      <c r="B2463" s="417" t="s">
        <v>691</v>
      </c>
      <c r="C2463" s="83">
        <v>46151</v>
      </c>
      <c r="D2463" s="417" t="s">
        <v>504</v>
      </c>
      <c r="E2463">
        <v>1440</v>
      </c>
      <c r="F2463">
        <v>1</v>
      </c>
      <c r="G2463">
        <v>1440</v>
      </c>
      <c r="H2463">
        <v>0</v>
      </c>
      <c r="I2463">
        <v>26.020061728395099</v>
      </c>
    </row>
    <row r="2464" spans="1:9" x14ac:dyDescent="0.35">
      <c r="A2464" s="417" t="s">
        <v>846</v>
      </c>
      <c r="B2464" s="417" t="s">
        <v>676</v>
      </c>
      <c r="C2464" s="83">
        <v>46150</v>
      </c>
      <c r="D2464" s="417" t="s">
        <v>677</v>
      </c>
      <c r="E2464">
        <v>1311.59916666667</v>
      </c>
      <c r="F2464">
        <v>165</v>
      </c>
      <c r="G2464">
        <v>7.9490858585858604</v>
      </c>
      <c r="H2464">
        <v>128.400833333333</v>
      </c>
      <c r="I2464">
        <v>42.301666666666598</v>
      </c>
    </row>
    <row r="2465" spans="1:9" x14ac:dyDescent="0.35">
      <c r="A2465" s="417" t="s">
        <v>846</v>
      </c>
      <c r="B2465" s="417" t="s">
        <v>676</v>
      </c>
      <c r="C2465" s="83">
        <v>46150</v>
      </c>
      <c r="D2465" s="417" t="s">
        <v>679</v>
      </c>
      <c r="E2465">
        <v>1387.4958999999999</v>
      </c>
      <c r="F2465">
        <v>30</v>
      </c>
      <c r="G2465">
        <v>46.249863333333302</v>
      </c>
      <c r="H2465">
        <v>19.64575</v>
      </c>
      <c r="I2465">
        <v>101.63653389124001</v>
      </c>
    </row>
    <row r="2466" spans="1:9" x14ac:dyDescent="0.35">
      <c r="A2466" s="417" t="s">
        <v>846</v>
      </c>
      <c r="B2466" s="417" t="s">
        <v>676</v>
      </c>
      <c r="C2466" s="83">
        <v>46150</v>
      </c>
      <c r="D2466" s="417" t="s">
        <v>678</v>
      </c>
      <c r="E2466">
        <v>1394.4840666666701</v>
      </c>
      <c r="F2466">
        <v>21</v>
      </c>
      <c r="G2466">
        <v>66.404003174603204</v>
      </c>
      <c r="H2466">
        <v>8.3283000000000005</v>
      </c>
      <c r="I2466">
        <v>109.508586928862</v>
      </c>
    </row>
    <row r="2467" spans="1:9" x14ac:dyDescent="0.35">
      <c r="A2467" s="417" t="s">
        <v>846</v>
      </c>
      <c r="B2467" s="417" t="s">
        <v>680</v>
      </c>
      <c r="C2467" s="83">
        <v>46150</v>
      </c>
      <c r="D2467" s="417" t="s">
        <v>681</v>
      </c>
      <c r="E2467">
        <v>1029.29105</v>
      </c>
      <c r="F2467">
        <v>83</v>
      </c>
      <c r="G2467">
        <v>12.401096987951799</v>
      </c>
      <c r="H2467">
        <v>1.1753</v>
      </c>
      <c r="I2467">
        <v>37.416285057167698</v>
      </c>
    </row>
    <row r="2468" spans="1:9" x14ac:dyDescent="0.35">
      <c r="A2468" s="417" t="s">
        <v>846</v>
      </c>
      <c r="B2468" s="417" t="s">
        <v>680</v>
      </c>
      <c r="C2468" s="83">
        <v>46150</v>
      </c>
      <c r="D2468" s="417" t="s">
        <v>684</v>
      </c>
      <c r="E2468">
        <v>939.18439999999998</v>
      </c>
      <c r="F2468">
        <v>28</v>
      </c>
      <c r="G2468">
        <v>33.542299999999997</v>
      </c>
      <c r="H2468">
        <v>11.811299999999999</v>
      </c>
      <c r="I2468">
        <v>44.573008517540202</v>
      </c>
    </row>
    <row r="2469" spans="1:9" x14ac:dyDescent="0.35">
      <c r="A2469" s="417" t="s">
        <v>846</v>
      </c>
      <c r="B2469" s="417" t="s">
        <v>680</v>
      </c>
      <c r="C2469" s="83">
        <v>46150</v>
      </c>
      <c r="D2469" s="417" t="s">
        <v>683</v>
      </c>
      <c r="E2469">
        <v>857.35461666666697</v>
      </c>
      <c r="F2469">
        <v>21</v>
      </c>
      <c r="G2469">
        <v>40.826410317460301</v>
      </c>
      <c r="H2469">
        <v>1.0002500000000001</v>
      </c>
      <c r="I2469">
        <v>39.177625547005803</v>
      </c>
    </row>
    <row r="2470" spans="1:9" x14ac:dyDescent="0.35">
      <c r="A2470" s="417" t="s">
        <v>846</v>
      </c>
      <c r="B2470" s="417" t="s">
        <v>680</v>
      </c>
      <c r="C2470" s="83">
        <v>46150</v>
      </c>
      <c r="D2470" s="417" t="s">
        <v>682</v>
      </c>
      <c r="E2470">
        <v>938.18499999999995</v>
      </c>
      <c r="F2470">
        <v>20</v>
      </c>
      <c r="G2470">
        <v>46.90925</v>
      </c>
      <c r="H2470">
        <v>21.815000000000001</v>
      </c>
      <c r="I2470">
        <v>42.03125</v>
      </c>
    </row>
    <row r="2471" spans="1:9" x14ac:dyDescent="0.35">
      <c r="A2471" s="417" t="s">
        <v>846</v>
      </c>
      <c r="B2471" s="417" t="s">
        <v>680</v>
      </c>
      <c r="C2471" s="83">
        <v>46150</v>
      </c>
      <c r="D2471" s="417" t="s">
        <v>689</v>
      </c>
      <c r="E2471">
        <v>859.51083333333304</v>
      </c>
      <c r="F2471">
        <v>17</v>
      </c>
      <c r="G2471">
        <v>50.5594607843137</v>
      </c>
      <c r="H2471">
        <v>0.33306666666666701</v>
      </c>
      <c r="I2471">
        <v>47.937379153003199</v>
      </c>
    </row>
    <row r="2472" spans="1:9" x14ac:dyDescent="0.35">
      <c r="A2472" s="417" t="s">
        <v>846</v>
      </c>
      <c r="B2472" s="417" t="s">
        <v>680</v>
      </c>
      <c r="C2472" s="83">
        <v>46150</v>
      </c>
      <c r="D2472" s="417" t="s">
        <v>690</v>
      </c>
      <c r="E2472">
        <v>916.66719999999998</v>
      </c>
      <c r="F2472">
        <v>12</v>
      </c>
      <c r="G2472">
        <v>76.388933333333298</v>
      </c>
      <c r="H2472">
        <v>4.4880000000000004</v>
      </c>
      <c r="I2472">
        <v>35.242212175876197</v>
      </c>
    </row>
    <row r="2473" spans="1:9" x14ac:dyDescent="0.35">
      <c r="A2473" s="417" t="s">
        <v>846</v>
      </c>
      <c r="B2473" s="417" t="s">
        <v>680</v>
      </c>
      <c r="C2473" s="83">
        <v>46150</v>
      </c>
      <c r="D2473" s="417" t="s">
        <v>685</v>
      </c>
      <c r="E2473">
        <v>945.35315000000003</v>
      </c>
      <c r="F2473">
        <v>10</v>
      </c>
      <c r="G2473">
        <v>94.535314999999997</v>
      </c>
      <c r="H2473">
        <v>2.4865833333333298</v>
      </c>
      <c r="I2473">
        <v>43.381831174404503</v>
      </c>
    </row>
    <row r="2474" spans="1:9" x14ac:dyDescent="0.35">
      <c r="A2474" s="417" t="s">
        <v>846</v>
      </c>
      <c r="B2474" s="417" t="s">
        <v>680</v>
      </c>
      <c r="C2474" s="83">
        <v>46150</v>
      </c>
      <c r="D2474" s="417" t="s">
        <v>688</v>
      </c>
      <c r="E2474">
        <v>933.80803333333301</v>
      </c>
      <c r="F2474">
        <v>9</v>
      </c>
      <c r="G2474">
        <v>103.756448148148</v>
      </c>
      <c r="H2474">
        <v>8.1675333333333295</v>
      </c>
      <c r="I2474">
        <v>39.924925113359997</v>
      </c>
    </row>
    <row r="2475" spans="1:9" x14ac:dyDescent="0.35">
      <c r="A2475" s="417" t="s">
        <v>846</v>
      </c>
      <c r="B2475" s="417" t="s">
        <v>680</v>
      </c>
      <c r="C2475" s="83">
        <v>46150</v>
      </c>
      <c r="D2475" s="417" t="s">
        <v>687</v>
      </c>
      <c r="E2475">
        <v>1344.8323333333301</v>
      </c>
      <c r="F2475">
        <v>8</v>
      </c>
      <c r="G2475">
        <v>168.104041666667</v>
      </c>
      <c r="H2475">
        <v>8.3345666666666691</v>
      </c>
      <c r="I2475">
        <v>21.599829705540799</v>
      </c>
    </row>
    <row r="2476" spans="1:9" x14ac:dyDescent="0.35">
      <c r="A2476" s="417" t="s">
        <v>846</v>
      </c>
      <c r="B2476" s="417" t="s">
        <v>680</v>
      </c>
      <c r="C2476" s="83">
        <v>46150</v>
      </c>
      <c r="D2476" s="417" t="s">
        <v>686</v>
      </c>
      <c r="E2476">
        <v>960</v>
      </c>
      <c r="F2476">
        <v>1</v>
      </c>
      <c r="G2476">
        <v>960</v>
      </c>
      <c r="H2476">
        <v>0</v>
      </c>
      <c r="I2476">
        <v>23.980654761904798</v>
      </c>
    </row>
    <row r="2477" spans="1:9" x14ac:dyDescent="0.35">
      <c r="A2477" s="417" t="s">
        <v>846</v>
      </c>
      <c r="B2477" s="417" t="s">
        <v>691</v>
      </c>
      <c r="C2477" s="83">
        <v>46150</v>
      </c>
      <c r="D2477" s="417" t="s">
        <v>305</v>
      </c>
      <c r="E2477">
        <v>1231.20086666667</v>
      </c>
      <c r="F2477">
        <v>114</v>
      </c>
      <c r="G2477">
        <v>10.8000076023392</v>
      </c>
      <c r="H2477">
        <v>14.083449999999999</v>
      </c>
      <c r="I2477">
        <v>69.626579780122199</v>
      </c>
    </row>
    <row r="2478" spans="1:9" x14ac:dyDescent="0.35">
      <c r="A2478" s="417" t="s">
        <v>846</v>
      </c>
      <c r="B2478" s="417" t="s">
        <v>691</v>
      </c>
      <c r="C2478" s="83">
        <v>46150</v>
      </c>
      <c r="D2478" s="417" t="s">
        <v>309</v>
      </c>
      <c r="E2478">
        <v>1332.9820999999999</v>
      </c>
      <c r="F2478">
        <v>84</v>
      </c>
      <c r="G2478">
        <v>15.8688345238095</v>
      </c>
      <c r="H2478">
        <v>0</v>
      </c>
      <c r="I2478">
        <v>65.938321585076807</v>
      </c>
    </row>
    <row r="2479" spans="1:9" x14ac:dyDescent="0.35">
      <c r="A2479" s="417" t="s">
        <v>846</v>
      </c>
      <c r="B2479" s="417" t="s">
        <v>691</v>
      </c>
      <c r="C2479" s="83">
        <v>46150</v>
      </c>
      <c r="D2479" s="417" t="s">
        <v>295</v>
      </c>
      <c r="E2479">
        <v>1364.71761666667</v>
      </c>
      <c r="F2479">
        <v>76</v>
      </c>
      <c r="G2479">
        <v>17.956810745614</v>
      </c>
      <c r="H2479">
        <v>1.38353333333333</v>
      </c>
      <c r="I2479">
        <v>84.844494920758194</v>
      </c>
    </row>
    <row r="2480" spans="1:9" x14ac:dyDescent="0.35">
      <c r="A2480" s="417" t="s">
        <v>846</v>
      </c>
      <c r="B2480" s="417" t="s">
        <v>691</v>
      </c>
      <c r="C2480" s="83">
        <v>46150</v>
      </c>
      <c r="D2480" s="417" t="s">
        <v>299</v>
      </c>
      <c r="E2480">
        <v>1385.38691666667</v>
      </c>
      <c r="F2480">
        <v>76</v>
      </c>
      <c r="G2480">
        <v>18.2287752192982</v>
      </c>
      <c r="H2480">
        <v>1.389</v>
      </c>
      <c r="I2480">
        <v>85.140537496120501</v>
      </c>
    </row>
    <row r="2481" spans="1:9" x14ac:dyDescent="0.35">
      <c r="A2481" s="417" t="s">
        <v>846</v>
      </c>
      <c r="B2481" s="417" t="s">
        <v>691</v>
      </c>
      <c r="C2481" s="83">
        <v>46150</v>
      </c>
      <c r="D2481" s="417" t="s">
        <v>303</v>
      </c>
      <c r="E2481">
        <v>1385.35995</v>
      </c>
      <c r="F2481">
        <v>70</v>
      </c>
      <c r="G2481">
        <v>19.790856428571399</v>
      </c>
      <c r="H2481">
        <v>0.31218333333333298</v>
      </c>
      <c r="I2481">
        <v>55.448975766767703</v>
      </c>
    </row>
    <row r="2482" spans="1:9" x14ac:dyDescent="0.35">
      <c r="A2482" s="417" t="s">
        <v>846</v>
      </c>
      <c r="B2482" s="417" t="s">
        <v>691</v>
      </c>
      <c r="C2482" s="83">
        <v>46150</v>
      </c>
      <c r="D2482" s="417" t="s">
        <v>301</v>
      </c>
      <c r="E2482">
        <v>1381.13343333333</v>
      </c>
      <c r="F2482">
        <v>57</v>
      </c>
      <c r="G2482">
        <v>24.230411111111099</v>
      </c>
      <c r="H2482">
        <v>0.95608333333333295</v>
      </c>
      <c r="I2482">
        <v>77.143375328460394</v>
      </c>
    </row>
    <row r="2483" spans="1:9" x14ac:dyDescent="0.35">
      <c r="A2483" s="417" t="s">
        <v>846</v>
      </c>
      <c r="B2483" s="417" t="s">
        <v>691</v>
      </c>
      <c r="C2483" s="83">
        <v>46150</v>
      </c>
      <c r="D2483" s="417" t="s">
        <v>342</v>
      </c>
      <c r="E2483">
        <v>490.11655000000002</v>
      </c>
      <c r="F2483">
        <v>55</v>
      </c>
      <c r="G2483">
        <v>8.9112100000000005</v>
      </c>
      <c r="H2483">
        <v>98.836600000000004</v>
      </c>
      <c r="I2483">
        <v>40.738095238095198</v>
      </c>
    </row>
    <row r="2484" spans="1:9" x14ac:dyDescent="0.35">
      <c r="A2484" s="417" t="s">
        <v>846</v>
      </c>
      <c r="B2484" s="417" t="s">
        <v>691</v>
      </c>
      <c r="C2484" s="83">
        <v>46150</v>
      </c>
      <c r="D2484" s="417" t="s">
        <v>314</v>
      </c>
      <c r="E2484">
        <v>1233.9041</v>
      </c>
      <c r="F2484">
        <v>14</v>
      </c>
      <c r="G2484">
        <v>88.136007142857096</v>
      </c>
      <c r="H2484">
        <v>6.6073666666666702</v>
      </c>
      <c r="I2484">
        <v>75.089877426205305</v>
      </c>
    </row>
    <row r="2485" spans="1:9" x14ac:dyDescent="0.35">
      <c r="A2485" s="417" t="s">
        <v>846</v>
      </c>
      <c r="B2485" s="417" t="s">
        <v>691</v>
      </c>
      <c r="C2485" s="83">
        <v>46150</v>
      </c>
      <c r="D2485" s="417" t="s">
        <v>310</v>
      </c>
      <c r="E2485">
        <v>1428.03833333333</v>
      </c>
      <c r="F2485">
        <v>6</v>
      </c>
      <c r="G2485">
        <v>238.00638888888901</v>
      </c>
      <c r="H2485">
        <v>0.32240000000000002</v>
      </c>
      <c r="I2485">
        <v>82.900757207077604</v>
      </c>
    </row>
    <row r="2486" spans="1:9" x14ac:dyDescent="0.35">
      <c r="A2486" s="417" t="s">
        <v>846</v>
      </c>
      <c r="B2486" s="417" t="s">
        <v>691</v>
      </c>
      <c r="C2486" s="83">
        <v>46150</v>
      </c>
      <c r="D2486" s="417" t="s">
        <v>317</v>
      </c>
      <c r="E2486">
        <v>1404.8177333333299</v>
      </c>
      <c r="F2486">
        <v>3</v>
      </c>
      <c r="G2486">
        <v>468.272577777778</v>
      </c>
      <c r="H2486">
        <v>1.02908333333333</v>
      </c>
      <c r="I2486">
        <v>51.4836781233479</v>
      </c>
    </row>
    <row r="2487" spans="1:9" x14ac:dyDescent="0.35">
      <c r="A2487" s="417" t="s">
        <v>846</v>
      </c>
      <c r="B2487" s="417" t="s">
        <v>691</v>
      </c>
      <c r="C2487" s="83">
        <v>46150</v>
      </c>
      <c r="D2487" s="417" t="s">
        <v>313</v>
      </c>
      <c r="E2487">
        <v>1385.6883</v>
      </c>
      <c r="F2487">
        <v>2</v>
      </c>
      <c r="G2487">
        <v>692.84415000000001</v>
      </c>
      <c r="H2487">
        <v>0</v>
      </c>
      <c r="I2487">
        <v>81.145024981420804</v>
      </c>
    </row>
    <row r="2488" spans="1:9" x14ac:dyDescent="0.35">
      <c r="A2488" s="417" t="s">
        <v>846</v>
      </c>
      <c r="B2488" s="417" t="s">
        <v>691</v>
      </c>
      <c r="C2488" s="83">
        <v>46150</v>
      </c>
      <c r="D2488" s="417" t="s">
        <v>504</v>
      </c>
      <c r="E2488">
        <v>1440</v>
      </c>
      <c r="F2488">
        <v>1</v>
      </c>
      <c r="G2488">
        <v>1440</v>
      </c>
      <c r="H2488">
        <v>0</v>
      </c>
      <c r="I2488">
        <v>43.443981481481501</v>
      </c>
    </row>
    <row r="2489" spans="1:9" x14ac:dyDescent="0.35">
      <c r="A2489" s="417" t="s">
        <v>846</v>
      </c>
      <c r="B2489" s="417" t="s">
        <v>676</v>
      </c>
      <c r="C2489" s="83">
        <v>46149</v>
      </c>
      <c r="D2489" s="417" t="s">
        <v>677</v>
      </c>
      <c r="E2489">
        <v>1196.2988499999999</v>
      </c>
      <c r="F2489">
        <v>250</v>
      </c>
      <c r="G2489">
        <v>4.7851954000000001</v>
      </c>
      <c r="H2489">
        <v>157.692833333333</v>
      </c>
      <c r="I2489">
        <v>38.260555555555499</v>
      </c>
    </row>
    <row r="2490" spans="1:9" x14ac:dyDescent="0.35">
      <c r="A2490" s="417" t="s">
        <v>846</v>
      </c>
      <c r="B2490" s="417" t="s">
        <v>676</v>
      </c>
      <c r="C2490" s="83">
        <v>46149</v>
      </c>
      <c r="D2490" s="417" t="s">
        <v>678</v>
      </c>
      <c r="E2490">
        <v>1382.6420166666701</v>
      </c>
      <c r="F2490">
        <v>32</v>
      </c>
      <c r="G2490">
        <v>43.207563020833298</v>
      </c>
      <c r="H2490">
        <v>20.350566666666701</v>
      </c>
      <c r="I2490">
        <v>107.646328137515</v>
      </c>
    </row>
    <row r="2491" spans="1:9" x14ac:dyDescent="0.35">
      <c r="A2491" s="417" t="s">
        <v>846</v>
      </c>
      <c r="B2491" s="417" t="s">
        <v>676</v>
      </c>
      <c r="C2491" s="83">
        <v>46149</v>
      </c>
      <c r="D2491" s="417" t="s">
        <v>679</v>
      </c>
      <c r="E2491">
        <v>1388.6579833333301</v>
      </c>
      <c r="F2491">
        <v>24</v>
      </c>
      <c r="G2491">
        <v>57.860749305555601</v>
      </c>
      <c r="H2491">
        <v>16.339733333333299</v>
      </c>
      <c r="I2491">
        <v>101.272287951405</v>
      </c>
    </row>
    <row r="2492" spans="1:9" x14ac:dyDescent="0.35">
      <c r="A2492" s="417" t="s">
        <v>846</v>
      </c>
      <c r="B2492" s="417" t="s">
        <v>680</v>
      </c>
      <c r="C2492" s="83">
        <v>46149</v>
      </c>
      <c r="D2492" s="417" t="s">
        <v>682</v>
      </c>
      <c r="E2492">
        <v>1279.4953333333301</v>
      </c>
      <c r="F2492">
        <v>127</v>
      </c>
      <c r="G2492">
        <v>10.074766404199501</v>
      </c>
      <c r="H2492">
        <v>106.49736666666701</v>
      </c>
      <c r="I2492">
        <v>59.280753968253997</v>
      </c>
    </row>
    <row r="2493" spans="1:9" x14ac:dyDescent="0.35">
      <c r="A2493" s="417" t="s">
        <v>846</v>
      </c>
      <c r="B2493" s="417" t="s">
        <v>680</v>
      </c>
      <c r="C2493" s="83">
        <v>46149</v>
      </c>
      <c r="D2493" s="417" t="s">
        <v>681</v>
      </c>
      <c r="E2493">
        <v>1390.97438333333</v>
      </c>
      <c r="F2493">
        <v>98</v>
      </c>
      <c r="G2493">
        <v>14.1936161564626</v>
      </c>
      <c r="H2493">
        <v>1.00121666666667</v>
      </c>
      <c r="I2493">
        <v>88.930896201572594</v>
      </c>
    </row>
    <row r="2494" spans="1:9" x14ac:dyDescent="0.35">
      <c r="A2494" s="417" t="s">
        <v>846</v>
      </c>
      <c r="B2494" s="417" t="s">
        <v>680</v>
      </c>
      <c r="C2494" s="83">
        <v>46149</v>
      </c>
      <c r="D2494" s="417" t="s">
        <v>689</v>
      </c>
      <c r="E2494">
        <v>1396.8190500000001</v>
      </c>
      <c r="F2494">
        <v>39</v>
      </c>
      <c r="G2494">
        <v>35.815873076923097</v>
      </c>
      <c r="H2494">
        <v>5.1591833333333303</v>
      </c>
      <c r="I2494">
        <v>86.788197538256199</v>
      </c>
    </row>
    <row r="2495" spans="1:9" x14ac:dyDescent="0.35">
      <c r="A2495" s="417" t="s">
        <v>846</v>
      </c>
      <c r="B2495" s="417" t="s">
        <v>680</v>
      </c>
      <c r="C2495" s="83">
        <v>46149</v>
      </c>
      <c r="D2495" s="417" t="s">
        <v>684</v>
      </c>
      <c r="E2495">
        <v>1375.6849</v>
      </c>
      <c r="F2495">
        <v>33</v>
      </c>
      <c r="G2495">
        <v>41.687421212121201</v>
      </c>
      <c r="H2495">
        <v>13.1527833333333</v>
      </c>
      <c r="I2495">
        <v>64.897849447459706</v>
      </c>
    </row>
    <row r="2496" spans="1:9" x14ac:dyDescent="0.35">
      <c r="A2496" s="417" t="s">
        <v>846</v>
      </c>
      <c r="B2496" s="417" t="s">
        <v>680</v>
      </c>
      <c r="C2496" s="83">
        <v>46149</v>
      </c>
      <c r="D2496" s="417" t="s">
        <v>683</v>
      </c>
      <c r="E2496">
        <v>1391.2797499999999</v>
      </c>
      <c r="F2496">
        <v>30</v>
      </c>
      <c r="G2496">
        <v>46.3759916666667</v>
      </c>
      <c r="H2496">
        <v>0.33376666666666699</v>
      </c>
      <c r="I2496">
        <v>75.727782284240803</v>
      </c>
    </row>
    <row r="2497" spans="1:9" x14ac:dyDescent="0.35">
      <c r="A2497" s="417" t="s">
        <v>846</v>
      </c>
      <c r="B2497" s="417" t="s">
        <v>680</v>
      </c>
      <c r="C2497" s="83">
        <v>46149</v>
      </c>
      <c r="D2497" s="417" t="s">
        <v>690</v>
      </c>
      <c r="E2497">
        <v>1413.8338166666699</v>
      </c>
      <c r="F2497">
        <v>28</v>
      </c>
      <c r="G2497">
        <v>50.494064880952401</v>
      </c>
      <c r="H2497">
        <v>7.5017833333333304</v>
      </c>
      <c r="I2497">
        <v>72.548996891846897</v>
      </c>
    </row>
    <row r="2498" spans="1:9" x14ac:dyDescent="0.35">
      <c r="A2498" s="417" t="s">
        <v>846</v>
      </c>
      <c r="B2498" s="417" t="s">
        <v>680</v>
      </c>
      <c r="C2498" s="83">
        <v>46149</v>
      </c>
      <c r="D2498" s="417" t="s">
        <v>685</v>
      </c>
      <c r="E2498">
        <v>1386.6594333333301</v>
      </c>
      <c r="F2498">
        <v>26</v>
      </c>
      <c r="G2498">
        <v>53.333055128205103</v>
      </c>
      <c r="H2498">
        <v>12.002466666666701</v>
      </c>
      <c r="I2498">
        <v>85.348746498173497</v>
      </c>
    </row>
    <row r="2499" spans="1:9" x14ac:dyDescent="0.35">
      <c r="A2499" s="417" t="s">
        <v>846</v>
      </c>
      <c r="B2499" s="417" t="s">
        <v>680</v>
      </c>
      <c r="C2499" s="83">
        <v>46149</v>
      </c>
      <c r="D2499" s="417" t="s">
        <v>688</v>
      </c>
      <c r="E2499">
        <v>1396.9832833333301</v>
      </c>
      <c r="F2499">
        <v>24</v>
      </c>
      <c r="G2499">
        <v>58.207636805555502</v>
      </c>
      <c r="H2499">
        <v>6.6649000000000003</v>
      </c>
      <c r="I2499">
        <v>88.339542722348398</v>
      </c>
    </row>
    <row r="2500" spans="1:9" x14ac:dyDescent="0.35">
      <c r="A2500" s="417" t="s">
        <v>846</v>
      </c>
      <c r="B2500" s="417" t="s">
        <v>680</v>
      </c>
      <c r="C2500" s="83">
        <v>46149</v>
      </c>
      <c r="D2500" s="417" t="s">
        <v>687</v>
      </c>
      <c r="E2500">
        <v>1423.66076666667</v>
      </c>
      <c r="F2500">
        <v>6</v>
      </c>
      <c r="G2500">
        <v>237.27679444444399</v>
      </c>
      <c r="H2500">
        <v>4.1780499999999998</v>
      </c>
      <c r="I2500">
        <v>42.972778399065902</v>
      </c>
    </row>
    <row r="2501" spans="1:9" x14ac:dyDescent="0.35">
      <c r="A2501" s="417" t="s">
        <v>846</v>
      </c>
      <c r="B2501" s="417" t="s">
        <v>680</v>
      </c>
      <c r="C2501" s="83">
        <v>46149</v>
      </c>
      <c r="D2501" s="417" t="s">
        <v>686</v>
      </c>
      <c r="E2501">
        <v>1440</v>
      </c>
      <c r="F2501">
        <v>1</v>
      </c>
      <c r="G2501">
        <v>1440</v>
      </c>
      <c r="H2501">
        <v>0</v>
      </c>
      <c r="I2501">
        <v>39.856150793650798</v>
      </c>
    </row>
    <row r="2502" spans="1:9" x14ac:dyDescent="0.35">
      <c r="A2502" s="417" t="s">
        <v>846</v>
      </c>
      <c r="B2502" s="417" t="s">
        <v>691</v>
      </c>
      <c r="C2502" s="83">
        <v>46149</v>
      </c>
      <c r="D2502" s="417" t="s">
        <v>305</v>
      </c>
      <c r="E2502">
        <v>1281.3910000000001</v>
      </c>
      <c r="F2502">
        <v>106</v>
      </c>
      <c r="G2502">
        <v>12.088594339622601</v>
      </c>
      <c r="H2502">
        <v>3.4250500000000001</v>
      </c>
      <c r="I2502">
        <v>82.439414862712297</v>
      </c>
    </row>
    <row r="2503" spans="1:9" x14ac:dyDescent="0.35">
      <c r="A2503" s="417" t="s">
        <v>846</v>
      </c>
      <c r="B2503" s="417" t="s">
        <v>691</v>
      </c>
      <c r="C2503" s="83">
        <v>46149</v>
      </c>
      <c r="D2503" s="417" t="s">
        <v>295</v>
      </c>
      <c r="E2503">
        <v>1375.4706166666699</v>
      </c>
      <c r="F2503">
        <v>80</v>
      </c>
      <c r="G2503">
        <v>17.193382708333299</v>
      </c>
      <c r="H2503">
        <v>0.61211666666666698</v>
      </c>
      <c r="I2503">
        <v>84.173037518701605</v>
      </c>
    </row>
    <row r="2504" spans="1:9" x14ac:dyDescent="0.35">
      <c r="A2504" s="417" t="s">
        <v>846</v>
      </c>
      <c r="B2504" s="417" t="s">
        <v>691</v>
      </c>
      <c r="C2504" s="83">
        <v>46149</v>
      </c>
      <c r="D2504" s="417" t="s">
        <v>309</v>
      </c>
      <c r="E2504">
        <v>1312.6449333333301</v>
      </c>
      <c r="F2504">
        <v>74</v>
      </c>
      <c r="G2504">
        <v>17.738445045045001</v>
      </c>
      <c r="H2504">
        <v>0</v>
      </c>
      <c r="I2504">
        <v>70.429162649878805</v>
      </c>
    </row>
    <row r="2505" spans="1:9" x14ac:dyDescent="0.35">
      <c r="A2505" s="417" t="s">
        <v>846</v>
      </c>
      <c r="B2505" s="417" t="s">
        <v>691</v>
      </c>
      <c r="C2505" s="83">
        <v>46149</v>
      </c>
      <c r="D2505" s="417" t="s">
        <v>299</v>
      </c>
      <c r="E2505">
        <v>1384.8319166666699</v>
      </c>
      <c r="F2505">
        <v>70</v>
      </c>
      <c r="G2505">
        <v>19.7833130952381</v>
      </c>
      <c r="H2505">
        <v>0.30381666666666701</v>
      </c>
      <c r="I2505">
        <v>83.533507777773295</v>
      </c>
    </row>
    <row r="2506" spans="1:9" x14ac:dyDescent="0.35">
      <c r="A2506" s="417" t="s">
        <v>846</v>
      </c>
      <c r="B2506" s="417" t="s">
        <v>691</v>
      </c>
      <c r="C2506" s="83">
        <v>46149</v>
      </c>
      <c r="D2506" s="417" t="s">
        <v>301</v>
      </c>
      <c r="E2506">
        <v>1385.4556</v>
      </c>
      <c r="F2506">
        <v>59</v>
      </c>
      <c r="G2506">
        <v>23.482298305084701</v>
      </c>
      <c r="H2506">
        <v>2.6191666666666702</v>
      </c>
      <c r="I2506">
        <v>69.462820735893104</v>
      </c>
    </row>
    <row r="2507" spans="1:9" x14ac:dyDescent="0.35">
      <c r="A2507" s="417" t="s">
        <v>846</v>
      </c>
      <c r="B2507" s="417" t="s">
        <v>691</v>
      </c>
      <c r="C2507" s="83">
        <v>46149</v>
      </c>
      <c r="D2507" s="417" t="s">
        <v>303</v>
      </c>
      <c r="E2507">
        <v>1380.15411666667</v>
      </c>
      <c r="F2507">
        <v>43</v>
      </c>
      <c r="G2507">
        <v>32.096607364341097</v>
      </c>
      <c r="H2507">
        <v>0.119216666666667</v>
      </c>
      <c r="I2507">
        <v>50.554792668413903</v>
      </c>
    </row>
    <row r="2508" spans="1:9" x14ac:dyDescent="0.35">
      <c r="A2508" s="417" t="s">
        <v>846</v>
      </c>
      <c r="B2508" s="417" t="s">
        <v>691</v>
      </c>
      <c r="C2508" s="83">
        <v>46149</v>
      </c>
      <c r="D2508" s="417" t="s">
        <v>314</v>
      </c>
      <c r="E2508">
        <v>1255.5288333333301</v>
      </c>
      <c r="F2508">
        <v>18</v>
      </c>
      <c r="G2508">
        <v>69.751601851851802</v>
      </c>
      <c r="H2508">
        <v>0.3513</v>
      </c>
      <c r="I2508">
        <v>59.504503402608002</v>
      </c>
    </row>
    <row r="2509" spans="1:9" x14ac:dyDescent="0.35">
      <c r="A2509" s="417" t="s">
        <v>846</v>
      </c>
      <c r="B2509" s="417" t="s">
        <v>691</v>
      </c>
      <c r="C2509" s="83">
        <v>46149</v>
      </c>
      <c r="D2509" s="417" t="s">
        <v>310</v>
      </c>
      <c r="E2509">
        <v>1289.5912000000001</v>
      </c>
      <c r="F2509">
        <v>4</v>
      </c>
      <c r="G2509">
        <v>322.39780000000002</v>
      </c>
      <c r="H2509">
        <v>0</v>
      </c>
      <c r="I2509">
        <v>84.390633748970401</v>
      </c>
    </row>
    <row r="2510" spans="1:9" x14ac:dyDescent="0.35">
      <c r="A2510" s="417" t="s">
        <v>846</v>
      </c>
      <c r="B2510" s="417" t="s">
        <v>691</v>
      </c>
      <c r="C2510" s="83">
        <v>46149</v>
      </c>
      <c r="D2510" s="417" t="s">
        <v>313</v>
      </c>
      <c r="E2510">
        <v>1426.1528000000001</v>
      </c>
      <c r="F2510">
        <v>3</v>
      </c>
      <c r="G2510">
        <v>475.38426666666697</v>
      </c>
      <c r="H2510">
        <v>0</v>
      </c>
      <c r="I2510">
        <v>80.9437570188487</v>
      </c>
    </row>
    <row r="2511" spans="1:9" x14ac:dyDescent="0.35">
      <c r="A2511" s="417" t="s">
        <v>846</v>
      </c>
      <c r="B2511" s="417" t="s">
        <v>691</v>
      </c>
      <c r="C2511" s="83">
        <v>46149</v>
      </c>
      <c r="D2511" s="417" t="s">
        <v>317</v>
      </c>
      <c r="E2511">
        <v>1437.87196666667</v>
      </c>
      <c r="F2511">
        <v>2</v>
      </c>
      <c r="G2511">
        <v>718.93598333333296</v>
      </c>
      <c r="H2511">
        <v>0.57145000000000001</v>
      </c>
      <c r="I2511">
        <v>46.821445473379498</v>
      </c>
    </row>
    <row r="2512" spans="1:9" x14ac:dyDescent="0.35">
      <c r="A2512" s="417" t="s">
        <v>846</v>
      </c>
      <c r="B2512" s="417" t="s">
        <v>691</v>
      </c>
      <c r="C2512" s="83">
        <v>46149</v>
      </c>
      <c r="D2512" s="417" t="s">
        <v>504</v>
      </c>
      <c r="E2512">
        <v>1440</v>
      </c>
      <c r="F2512">
        <v>1</v>
      </c>
      <c r="G2512">
        <v>1440</v>
      </c>
      <c r="H2512">
        <v>0</v>
      </c>
      <c r="I2512">
        <v>48.271141975308602</v>
      </c>
    </row>
    <row r="2513" spans="1:9" x14ac:dyDescent="0.35">
      <c r="A2513" s="417" t="s">
        <v>846</v>
      </c>
      <c r="B2513" s="417" t="s">
        <v>676</v>
      </c>
      <c r="C2513" s="83">
        <v>46148</v>
      </c>
      <c r="D2513" s="417" t="s">
        <v>677</v>
      </c>
      <c r="E2513">
        <v>1256.2989833333299</v>
      </c>
      <c r="F2513">
        <v>316</v>
      </c>
      <c r="G2513">
        <v>3.97562969409283</v>
      </c>
      <c r="H2513">
        <v>152.367083333333</v>
      </c>
      <c r="I2513">
        <v>43.520555555555497</v>
      </c>
    </row>
    <row r="2514" spans="1:9" x14ac:dyDescent="0.35">
      <c r="A2514" s="417" t="s">
        <v>846</v>
      </c>
      <c r="B2514" s="417" t="s">
        <v>676</v>
      </c>
      <c r="C2514" s="83">
        <v>46148</v>
      </c>
      <c r="D2514" s="417" t="s">
        <v>678</v>
      </c>
      <c r="E2514">
        <v>1222.60598333333</v>
      </c>
      <c r="F2514">
        <v>75</v>
      </c>
      <c r="G2514">
        <v>16.301413111111099</v>
      </c>
      <c r="H2514">
        <v>66.522316666666697</v>
      </c>
      <c r="I2514">
        <v>91.630021690403098</v>
      </c>
    </row>
    <row r="2515" spans="1:9" x14ac:dyDescent="0.35">
      <c r="A2515" s="417" t="s">
        <v>846</v>
      </c>
      <c r="B2515" s="417" t="s">
        <v>676</v>
      </c>
      <c r="C2515" s="83">
        <v>46148</v>
      </c>
      <c r="D2515" s="417" t="s">
        <v>679</v>
      </c>
      <c r="E2515">
        <v>1371.84711666667</v>
      </c>
      <c r="F2515">
        <v>28</v>
      </c>
      <c r="G2515">
        <v>48.994539880952402</v>
      </c>
      <c r="H2515">
        <v>15.983933333333299</v>
      </c>
      <c r="I2515">
        <v>100.71975259524601</v>
      </c>
    </row>
    <row r="2516" spans="1:9" x14ac:dyDescent="0.35">
      <c r="A2516" s="417" t="s">
        <v>846</v>
      </c>
      <c r="B2516" s="417" t="s">
        <v>680</v>
      </c>
      <c r="C2516" s="83">
        <v>46148</v>
      </c>
      <c r="D2516" s="417" t="s">
        <v>681</v>
      </c>
      <c r="E2516">
        <v>1379.8462500000001</v>
      </c>
      <c r="F2516">
        <v>131</v>
      </c>
      <c r="G2516">
        <v>10.533177480916001</v>
      </c>
      <c r="H2516">
        <v>1.8338333333333301</v>
      </c>
      <c r="I2516">
        <v>90.349352858445499</v>
      </c>
    </row>
    <row r="2517" spans="1:9" x14ac:dyDescent="0.35">
      <c r="A2517" s="417" t="s">
        <v>846</v>
      </c>
      <c r="B2517" s="417" t="s">
        <v>680</v>
      </c>
      <c r="C2517" s="83">
        <v>46148</v>
      </c>
      <c r="D2517" s="417" t="s">
        <v>682</v>
      </c>
      <c r="E2517">
        <v>1379.367</v>
      </c>
      <c r="F2517">
        <v>71</v>
      </c>
      <c r="G2517">
        <v>19.427704225352102</v>
      </c>
      <c r="H2517">
        <v>60.633000000000003</v>
      </c>
      <c r="I2517">
        <v>71.746031746031704</v>
      </c>
    </row>
    <row r="2518" spans="1:9" x14ac:dyDescent="0.35">
      <c r="A2518" s="417" t="s">
        <v>846</v>
      </c>
      <c r="B2518" s="417" t="s">
        <v>680</v>
      </c>
      <c r="C2518" s="83">
        <v>46148</v>
      </c>
      <c r="D2518" s="417" t="s">
        <v>683</v>
      </c>
      <c r="E2518">
        <v>1379.47268333333</v>
      </c>
      <c r="F2518">
        <v>56</v>
      </c>
      <c r="G2518">
        <v>24.6334407738095</v>
      </c>
      <c r="H2518">
        <v>2.0098500000000001</v>
      </c>
      <c r="I2518">
        <v>74.4633057472129</v>
      </c>
    </row>
    <row r="2519" spans="1:9" x14ac:dyDescent="0.35">
      <c r="A2519" s="417" t="s">
        <v>846</v>
      </c>
      <c r="B2519" s="417" t="s">
        <v>680</v>
      </c>
      <c r="C2519" s="83">
        <v>46148</v>
      </c>
      <c r="D2519" s="417" t="s">
        <v>689</v>
      </c>
      <c r="E2519">
        <v>1414.8234500000001</v>
      </c>
      <c r="F2519">
        <v>24</v>
      </c>
      <c r="G2519">
        <v>58.950977083333299</v>
      </c>
      <c r="H2519">
        <v>0</v>
      </c>
      <c r="I2519">
        <v>89.562362537195398</v>
      </c>
    </row>
    <row r="2520" spans="1:9" x14ac:dyDescent="0.35">
      <c r="A2520" s="417" t="s">
        <v>846</v>
      </c>
      <c r="B2520" s="417" t="s">
        <v>680</v>
      </c>
      <c r="C2520" s="83">
        <v>46148</v>
      </c>
      <c r="D2520" s="417" t="s">
        <v>685</v>
      </c>
      <c r="E2520">
        <v>1426.1583499999999</v>
      </c>
      <c r="F2520">
        <v>19</v>
      </c>
      <c r="G2520">
        <v>75.060965789473698</v>
      </c>
      <c r="H2520">
        <v>8.4984666666666708</v>
      </c>
      <c r="I2520">
        <v>87.488935403225398</v>
      </c>
    </row>
    <row r="2521" spans="1:9" x14ac:dyDescent="0.35">
      <c r="A2521" s="417" t="s">
        <v>846</v>
      </c>
      <c r="B2521" s="417" t="s">
        <v>680</v>
      </c>
      <c r="C2521" s="83">
        <v>46148</v>
      </c>
      <c r="D2521" s="417" t="s">
        <v>684</v>
      </c>
      <c r="E2521">
        <v>1423.1874166666701</v>
      </c>
      <c r="F2521">
        <v>18</v>
      </c>
      <c r="G2521">
        <v>79.0659675925926</v>
      </c>
      <c r="H2521">
        <v>8.1562999999999999</v>
      </c>
      <c r="I2521">
        <v>75.110876232653396</v>
      </c>
    </row>
    <row r="2522" spans="1:9" x14ac:dyDescent="0.35">
      <c r="A2522" s="417" t="s">
        <v>846</v>
      </c>
      <c r="B2522" s="417" t="s">
        <v>680</v>
      </c>
      <c r="C2522" s="83">
        <v>46148</v>
      </c>
      <c r="D2522" s="417" t="s">
        <v>690</v>
      </c>
      <c r="E2522">
        <v>1410.4951000000001</v>
      </c>
      <c r="F2522">
        <v>15</v>
      </c>
      <c r="G2522">
        <v>94.033006666666694</v>
      </c>
      <c r="H2522">
        <v>3.32565</v>
      </c>
      <c r="I2522">
        <v>72.837700400281093</v>
      </c>
    </row>
    <row r="2523" spans="1:9" x14ac:dyDescent="0.35">
      <c r="A2523" s="417" t="s">
        <v>846</v>
      </c>
      <c r="B2523" s="417" t="s">
        <v>680</v>
      </c>
      <c r="C2523" s="83">
        <v>46148</v>
      </c>
      <c r="D2523" s="417" t="s">
        <v>688</v>
      </c>
      <c r="E2523">
        <v>1430.9827499999999</v>
      </c>
      <c r="F2523">
        <v>10</v>
      </c>
      <c r="G2523">
        <v>143.098275</v>
      </c>
      <c r="H2523">
        <v>4.1749666666666698</v>
      </c>
      <c r="I2523">
        <v>89.633979384403403</v>
      </c>
    </row>
    <row r="2524" spans="1:9" x14ac:dyDescent="0.35">
      <c r="A2524" s="417" t="s">
        <v>846</v>
      </c>
      <c r="B2524" s="417" t="s">
        <v>680</v>
      </c>
      <c r="C2524" s="83">
        <v>46148</v>
      </c>
      <c r="D2524" s="417" t="s">
        <v>687</v>
      </c>
      <c r="E2524">
        <v>1424.8388333333301</v>
      </c>
      <c r="F2524">
        <v>8</v>
      </c>
      <c r="G2524">
        <v>178.104854166667</v>
      </c>
      <c r="H2524">
        <v>13.501433333333299</v>
      </c>
      <c r="I2524">
        <v>34.670325251543296</v>
      </c>
    </row>
    <row r="2525" spans="1:9" x14ac:dyDescent="0.35">
      <c r="A2525" s="417" t="s">
        <v>846</v>
      </c>
      <c r="B2525" s="417" t="s">
        <v>680</v>
      </c>
      <c r="C2525" s="83">
        <v>46148</v>
      </c>
      <c r="D2525" s="417" t="s">
        <v>686</v>
      </c>
      <c r="E2525">
        <v>1440</v>
      </c>
      <c r="F2525">
        <v>1</v>
      </c>
      <c r="G2525">
        <v>1440</v>
      </c>
      <c r="H2525">
        <v>0</v>
      </c>
      <c r="I2525">
        <v>25.496031746031701</v>
      </c>
    </row>
    <row r="2526" spans="1:9" x14ac:dyDescent="0.35">
      <c r="A2526" s="417" t="s">
        <v>846</v>
      </c>
      <c r="B2526" s="417" t="s">
        <v>691</v>
      </c>
      <c r="C2526" s="83">
        <v>46148</v>
      </c>
      <c r="D2526" s="417" t="s">
        <v>301</v>
      </c>
      <c r="E2526">
        <v>1334.43345</v>
      </c>
      <c r="F2526">
        <v>111</v>
      </c>
      <c r="G2526">
        <v>12.021922972973</v>
      </c>
      <c r="H2526">
        <v>4.6883666666666697</v>
      </c>
      <c r="I2526">
        <v>71.794119558778306</v>
      </c>
    </row>
    <row r="2527" spans="1:9" x14ac:dyDescent="0.35">
      <c r="A2527" s="417" t="s">
        <v>846</v>
      </c>
      <c r="B2527" s="417" t="s">
        <v>691</v>
      </c>
      <c r="C2527" s="83">
        <v>46148</v>
      </c>
      <c r="D2527" s="417" t="s">
        <v>295</v>
      </c>
      <c r="E2527">
        <v>1362.1656333333301</v>
      </c>
      <c r="F2527">
        <v>103</v>
      </c>
      <c r="G2527">
        <v>13.224909061488701</v>
      </c>
      <c r="H2527">
        <v>0.27124999999999999</v>
      </c>
      <c r="I2527">
        <v>89.216096778296404</v>
      </c>
    </row>
    <row r="2528" spans="1:9" x14ac:dyDescent="0.35">
      <c r="A2528" s="417" t="s">
        <v>846</v>
      </c>
      <c r="B2528" s="417" t="s">
        <v>691</v>
      </c>
      <c r="C2528" s="83">
        <v>46148</v>
      </c>
      <c r="D2528" s="417" t="s">
        <v>299</v>
      </c>
      <c r="E2528">
        <v>1361.50841666667</v>
      </c>
      <c r="F2528">
        <v>92</v>
      </c>
      <c r="G2528">
        <v>14.799004528985501</v>
      </c>
      <c r="H2528">
        <v>0.57089999999999996</v>
      </c>
      <c r="I2528">
        <v>91.852138035803804</v>
      </c>
    </row>
    <row r="2529" spans="1:9" x14ac:dyDescent="0.35">
      <c r="A2529" s="417" t="s">
        <v>846</v>
      </c>
      <c r="B2529" s="417" t="s">
        <v>691</v>
      </c>
      <c r="C2529" s="83">
        <v>46148</v>
      </c>
      <c r="D2529" s="417" t="s">
        <v>305</v>
      </c>
      <c r="E2529">
        <v>1319.0296499999999</v>
      </c>
      <c r="F2529">
        <v>91</v>
      </c>
      <c r="G2529">
        <v>14.4948313186813</v>
      </c>
      <c r="H2529">
        <v>1.7455000000000001</v>
      </c>
      <c r="I2529">
        <v>81.330494011342296</v>
      </c>
    </row>
    <row r="2530" spans="1:9" x14ac:dyDescent="0.35">
      <c r="A2530" s="417" t="s">
        <v>846</v>
      </c>
      <c r="B2530" s="417" t="s">
        <v>691</v>
      </c>
      <c r="C2530" s="83">
        <v>46148</v>
      </c>
      <c r="D2530" s="417" t="s">
        <v>309</v>
      </c>
      <c r="E2530">
        <v>1271.2219</v>
      </c>
      <c r="F2530">
        <v>61</v>
      </c>
      <c r="G2530">
        <v>20.8397032786885</v>
      </c>
      <c r="H2530">
        <v>0</v>
      </c>
      <c r="I2530">
        <v>71.551591595094706</v>
      </c>
    </row>
    <row r="2531" spans="1:9" x14ac:dyDescent="0.35">
      <c r="A2531" s="417" t="s">
        <v>846</v>
      </c>
      <c r="B2531" s="417" t="s">
        <v>691</v>
      </c>
      <c r="C2531" s="83">
        <v>46148</v>
      </c>
      <c r="D2531" s="417" t="s">
        <v>303</v>
      </c>
      <c r="E2531">
        <v>1371.6795833333299</v>
      </c>
      <c r="F2531">
        <v>56</v>
      </c>
      <c r="G2531">
        <v>24.494278273809499</v>
      </c>
      <c r="H2531">
        <v>0.15126666666666699</v>
      </c>
      <c r="I2531">
        <v>56.111928633763902</v>
      </c>
    </row>
    <row r="2532" spans="1:9" x14ac:dyDescent="0.35">
      <c r="A2532" s="417" t="s">
        <v>846</v>
      </c>
      <c r="B2532" s="417" t="s">
        <v>691</v>
      </c>
      <c r="C2532" s="83">
        <v>46148</v>
      </c>
      <c r="D2532" s="417" t="s">
        <v>313</v>
      </c>
      <c r="E2532">
        <v>1404.3471</v>
      </c>
      <c r="F2532">
        <v>10</v>
      </c>
      <c r="G2532">
        <v>140.43471</v>
      </c>
      <c r="H2532">
        <v>0</v>
      </c>
      <c r="I2532">
        <v>81.876445727531305</v>
      </c>
    </row>
    <row r="2533" spans="1:9" x14ac:dyDescent="0.35">
      <c r="A2533" s="417" t="s">
        <v>846</v>
      </c>
      <c r="B2533" s="417" t="s">
        <v>691</v>
      </c>
      <c r="C2533" s="83">
        <v>46148</v>
      </c>
      <c r="D2533" s="417" t="s">
        <v>314</v>
      </c>
      <c r="E2533">
        <v>1424.4585500000001</v>
      </c>
      <c r="F2533">
        <v>10</v>
      </c>
      <c r="G2533">
        <v>142.44585499999999</v>
      </c>
      <c r="H2533">
        <v>0.194833333333333</v>
      </c>
      <c r="I2533">
        <v>69.623360972567994</v>
      </c>
    </row>
    <row r="2534" spans="1:9" x14ac:dyDescent="0.35">
      <c r="A2534" s="417" t="s">
        <v>846</v>
      </c>
      <c r="B2534" s="417" t="s">
        <v>691</v>
      </c>
      <c r="C2534" s="83">
        <v>46148</v>
      </c>
      <c r="D2534" s="417" t="s">
        <v>317</v>
      </c>
      <c r="E2534">
        <v>1436.55913333333</v>
      </c>
      <c r="F2534">
        <v>5</v>
      </c>
      <c r="G2534">
        <v>287.311826666667</v>
      </c>
      <c r="H2534">
        <v>3.4408666666666701</v>
      </c>
      <c r="I2534">
        <v>52.2604166666666</v>
      </c>
    </row>
    <row r="2535" spans="1:9" x14ac:dyDescent="0.35">
      <c r="A2535" s="417" t="s">
        <v>846</v>
      </c>
      <c r="B2535" s="417" t="s">
        <v>691</v>
      </c>
      <c r="C2535" s="83">
        <v>46148</v>
      </c>
      <c r="D2535" s="417" t="s">
        <v>310</v>
      </c>
      <c r="E2535">
        <v>1395.4718333333301</v>
      </c>
      <c r="F2535">
        <v>5</v>
      </c>
      <c r="G2535">
        <v>279.09436666666699</v>
      </c>
      <c r="H2535">
        <v>0.12545000000000001</v>
      </c>
      <c r="I2535">
        <v>86.097081416654902</v>
      </c>
    </row>
    <row r="2536" spans="1:9" x14ac:dyDescent="0.35">
      <c r="A2536" s="417" t="s">
        <v>846</v>
      </c>
      <c r="B2536" s="417" t="s">
        <v>691</v>
      </c>
      <c r="C2536" s="83">
        <v>46148</v>
      </c>
      <c r="D2536" s="417" t="s">
        <v>504</v>
      </c>
      <c r="E2536">
        <v>1440</v>
      </c>
      <c r="F2536">
        <v>1</v>
      </c>
      <c r="G2536">
        <v>1440</v>
      </c>
      <c r="H2536">
        <v>0</v>
      </c>
      <c r="I2536">
        <v>54.414969135802501</v>
      </c>
    </row>
    <row r="2537" spans="1:9" x14ac:dyDescent="0.35">
      <c r="A2537" s="417" t="s">
        <v>846</v>
      </c>
      <c r="B2537" s="417" t="s">
        <v>676</v>
      </c>
      <c r="C2537" s="83">
        <v>46147</v>
      </c>
      <c r="D2537" s="417" t="s">
        <v>677</v>
      </c>
      <c r="E2537">
        <v>1316.02653333333</v>
      </c>
      <c r="F2537">
        <v>251</v>
      </c>
      <c r="G2537">
        <v>5.2431335989375896</v>
      </c>
      <c r="H2537">
        <v>123.97346666666699</v>
      </c>
      <c r="I2537">
        <v>44.558611111110999</v>
      </c>
    </row>
    <row r="2538" spans="1:9" x14ac:dyDescent="0.35">
      <c r="A2538" s="417" t="s">
        <v>846</v>
      </c>
      <c r="B2538" s="417" t="s">
        <v>676</v>
      </c>
      <c r="C2538" s="83">
        <v>46147</v>
      </c>
      <c r="D2538" s="417" t="s">
        <v>678</v>
      </c>
      <c r="E2538">
        <v>1374.49665</v>
      </c>
      <c r="F2538">
        <v>27</v>
      </c>
      <c r="G2538">
        <v>50.907283333333297</v>
      </c>
      <c r="H2538">
        <v>20.311599999999999</v>
      </c>
      <c r="I2538">
        <v>91.475895223112801</v>
      </c>
    </row>
    <row r="2539" spans="1:9" x14ac:dyDescent="0.35">
      <c r="A2539" s="417" t="s">
        <v>846</v>
      </c>
      <c r="B2539" s="417" t="s">
        <v>676</v>
      </c>
      <c r="C2539" s="83">
        <v>46147</v>
      </c>
      <c r="D2539" s="417" t="s">
        <v>679</v>
      </c>
      <c r="E2539">
        <v>1379.8240000000001</v>
      </c>
      <c r="F2539">
        <v>18</v>
      </c>
      <c r="G2539">
        <v>76.656888888888901</v>
      </c>
      <c r="H2539">
        <v>11.673783333333301</v>
      </c>
      <c r="I2539">
        <v>91.539731402374898</v>
      </c>
    </row>
    <row r="2540" spans="1:9" x14ac:dyDescent="0.35">
      <c r="A2540" s="417" t="s">
        <v>846</v>
      </c>
      <c r="B2540" s="417" t="s">
        <v>680</v>
      </c>
      <c r="C2540" s="83">
        <v>46147</v>
      </c>
      <c r="D2540" s="417" t="s">
        <v>681</v>
      </c>
      <c r="E2540">
        <v>1384.3279833333299</v>
      </c>
      <c r="F2540">
        <v>80</v>
      </c>
      <c r="G2540">
        <v>17.304099791666701</v>
      </c>
      <c r="H2540">
        <v>2.6740166666666698</v>
      </c>
      <c r="I2540">
        <v>81.661614260297497</v>
      </c>
    </row>
    <row r="2541" spans="1:9" x14ac:dyDescent="0.35">
      <c r="A2541" s="417" t="s">
        <v>846</v>
      </c>
      <c r="B2541" s="417" t="s">
        <v>680</v>
      </c>
      <c r="C2541" s="83">
        <v>46147</v>
      </c>
      <c r="D2541" s="417" t="s">
        <v>688</v>
      </c>
      <c r="E2541">
        <v>1407.32128333333</v>
      </c>
      <c r="F2541">
        <v>49</v>
      </c>
      <c r="G2541">
        <v>28.720842517006801</v>
      </c>
      <c r="H2541">
        <v>11.99095</v>
      </c>
      <c r="I2541">
        <v>80.7108422180128</v>
      </c>
    </row>
    <row r="2542" spans="1:9" x14ac:dyDescent="0.35">
      <c r="A2542" s="417" t="s">
        <v>846</v>
      </c>
      <c r="B2542" s="417" t="s">
        <v>680</v>
      </c>
      <c r="C2542" s="83">
        <v>46147</v>
      </c>
      <c r="D2542" s="417" t="s">
        <v>683</v>
      </c>
      <c r="E2542">
        <v>1400.19828333333</v>
      </c>
      <c r="F2542">
        <v>46</v>
      </c>
      <c r="G2542">
        <v>30.439093115942001</v>
      </c>
      <c r="H2542">
        <v>1.167</v>
      </c>
      <c r="I2542">
        <v>73.6664380322797</v>
      </c>
    </row>
    <row r="2543" spans="1:9" x14ac:dyDescent="0.35">
      <c r="A2543" s="417" t="s">
        <v>846</v>
      </c>
      <c r="B2543" s="417" t="s">
        <v>680</v>
      </c>
      <c r="C2543" s="83">
        <v>46147</v>
      </c>
      <c r="D2543" s="417" t="s">
        <v>682</v>
      </c>
      <c r="E2543">
        <v>1375.6656</v>
      </c>
      <c r="F2543">
        <v>45</v>
      </c>
      <c r="G2543">
        <v>30.570346666666701</v>
      </c>
      <c r="H2543">
        <v>64.334400000000002</v>
      </c>
      <c r="I2543">
        <v>61.403769841269799</v>
      </c>
    </row>
    <row r="2544" spans="1:9" x14ac:dyDescent="0.35">
      <c r="A2544" s="417" t="s">
        <v>846</v>
      </c>
      <c r="B2544" s="417" t="s">
        <v>680</v>
      </c>
      <c r="C2544" s="83">
        <v>46147</v>
      </c>
      <c r="D2544" s="417" t="s">
        <v>685</v>
      </c>
      <c r="E2544">
        <v>1314.0225166666701</v>
      </c>
      <c r="F2544">
        <v>28</v>
      </c>
      <c r="G2544">
        <v>46.929375595238099</v>
      </c>
      <c r="H2544">
        <v>39.139949999999999</v>
      </c>
      <c r="I2544">
        <v>78.401034281556704</v>
      </c>
    </row>
    <row r="2545" spans="1:9" x14ac:dyDescent="0.35">
      <c r="A2545" s="417" t="s">
        <v>846</v>
      </c>
      <c r="B2545" s="417" t="s">
        <v>680</v>
      </c>
      <c r="C2545" s="83">
        <v>46147</v>
      </c>
      <c r="D2545" s="417" t="s">
        <v>684</v>
      </c>
      <c r="E2545">
        <v>1420.16568333333</v>
      </c>
      <c r="F2545">
        <v>28</v>
      </c>
      <c r="G2545">
        <v>50.7202029761905</v>
      </c>
      <c r="H2545">
        <v>12.679033333333299</v>
      </c>
      <c r="I2545">
        <v>65.680276485514199</v>
      </c>
    </row>
    <row r="2546" spans="1:9" x14ac:dyDescent="0.35">
      <c r="A2546" s="417" t="s">
        <v>846</v>
      </c>
      <c r="B2546" s="417" t="s">
        <v>680</v>
      </c>
      <c r="C2546" s="83">
        <v>46147</v>
      </c>
      <c r="D2546" s="417" t="s">
        <v>689</v>
      </c>
      <c r="E2546">
        <v>1392.02371666667</v>
      </c>
      <c r="F2546">
        <v>27</v>
      </c>
      <c r="G2546">
        <v>51.556433950617297</v>
      </c>
      <c r="H2546">
        <v>1.6662333333333299</v>
      </c>
      <c r="I2546">
        <v>81.482572457487905</v>
      </c>
    </row>
    <row r="2547" spans="1:9" x14ac:dyDescent="0.35">
      <c r="A2547" s="417" t="s">
        <v>846</v>
      </c>
      <c r="B2547" s="417" t="s">
        <v>680</v>
      </c>
      <c r="C2547" s="83">
        <v>46147</v>
      </c>
      <c r="D2547" s="417" t="s">
        <v>687</v>
      </c>
      <c r="E2547">
        <v>1426.83353333333</v>
      </c>
      <c r="F2547">
        <v>10</v>
      </c>
      <c r="G2547">
        <v>142.683353333333</v>
      </c>
      <c r="H2547">
        <v>10.332233333333299</v>
      </c>
      <c r="I2547">
        <v>32.665335992790297</v>
      </c>
    </row>
    <row r="2548" spans="1:9" x14ac:dyDescent="0.35">
      <c r="A2548" s="417" t="s">
        <v>846</v>
      </c>
      <c r="B2548" s="417" t="s">
        <v>680</v>
      </c>
      <c r="C2548" s="83">
        <v>46147</v>
      </c>
      <c r="D2548" s="417" t="s">
        <v>690</v>
      </c>
      <c r="E2548">
        <v>1396.9937833333299</v>
      </c>
      <c r="F2548">
        <v>8</v>
      </c>
      <c r="G2548">
        <v>174.62422291666701</v>
      </c>
      <c r="H2548">
        <v>1.8264833333333299</v>
      </c>
      <c r="I2548">
        <v>73.463548428882604</v>
      </c>
    </row>
    <row r="2549" spans="1:9" x14ac:dyDescent="0.35">
      <c r="A2549" s="417" t="s">
        <v>846</v>
      </c>
      <c r="B2549" s="417" t="s">
        <v>680</v>
      </c>
      <c r="C2549" s="83">
        <v>46147</v>
      </c>
      <c r="D2549" s="417" t="s">
        <v>686</v>
      </c>
      <c r="E2549">
        <v>1440</v>
      </c>
      <c r="F2549">
        <v>1</v>
      </c>
      <c r="G2549">
        <v>1440</v>
      </c>
      <c r="H2549">
        <v>0</v>
      </c>
      <c r="I2549">
        <v>16.870039682539701</v>
      </c>
    </row>
    <row r="2550" spans="1:9" x14ac:dyDescent="0.35">
      <c r="A2550" s="417" t="s">
        <v>846</v>
      </c>
      <c r="B2550" s="417" t="s">
        <v>691</v>
      </c>
      <c r="C2550" s="83">
        <v>46147</v>
      </c>
      <c r="D2550" s="417" t="s">
        <v>305</v>
      </c>
      <c r="E2550">
        <v>1269.10241666667</v>
      </c>
      <c r="F2550">
        <v>136</v>
      </c>
      <c r="G2550">
        <v>9.3316354166666695</v>
      </c>
      <c r="H2550">
        <v>24.098216666666701</v>
      </c>
      <c r="I2550">
        <v>87.210451296797999</v>
      </c>
    </row>
    <row r="2551" spans="1:9" x14ac:dyDescent="0.35">
      <c r="A2551" s="417" t="s">
        <v>846</v>
      </c>
      <c r="B2551" s="417" t="s">
        <v>691</v>
      </c>
      <c r="C2551" s="83">
        <v>46147</v>
      </c>
      <c r="D2551" s="417" t="s">
        <v>299</v>
      </c>
      <c r="E2551">
        <v>1383.60486666667</v>
      </c>
      <c r="F2551">
        <v>119</v>
      </c>
      <c r="G2551">
        <v>11.626931652661099</v>
      </c>
      <c r="H2551">
        <v>0.48856666666666698</v>
      </c>
      <c r="I2551">
        <v>87.272560534129099</v>
      </c>
    </row>
    <row r="2552" spans="1:9" x14ac:dyDescent="0.35">
      <c r="A2552" s="417" t="s">
        <v>846</v>
      </c>
      <c r="B2552" s="417" t="s">
        <v>691</v>
      </c>
      <c r="C2552" s="83">
        <v>46147</v>
      </c>
      <c r="D2552" s="417" t="s">
        <v>295</v>
      </c>
      <c r="E2552">
        <v>1384.3968</v>
      </c>
      <c r="F2552">
        <v>97</v>
      </c>
      <c r="G2552">
        <v>14.2721319587629</v>
      </c>
      <c r="H2552">
        <v>0.55163333333333298</v>
      </c>
      <c r="I2552">
        <v>80.499181797057801</v>
      </c>
    </row>
    <row r="2553" spans="1:9" x14ac:dyDescent="0.35">
      <c r="A2553" s="417" t="s">
        <v>846</v>
      </c>
      <c r="B2553" s="417" t="s">
        <v>691</v>
      </c>
      <c r="C2553" s="83">
        <v>46147</v>
      </c>
      <c r="D2553" s="417" t="s">
        <v>301</v>
      </c>
      <c r="E2553">
        <v>1364.7118333333301</v>
      </c>
      <c r="F2553">
        <v>88</v>
      </c>
      <c r="G2553">
        <v>15.5080890151515</v>
      </c>
      <c r="H2553">
        <v>0.402683333333333</v>
      </c>
      <c r="I2553">
        <v>75.306291502958103</v>
      </c>
    </row>
    <row r="2554" spans="1:9" x14ac:dyDescent="0.35">
      <c r="A2554" s="417" t="s">
        <v>846</v>
      </c>
      <c r="B2554" s="417" t="s">
        <v>691</v>
      </c>
      <c r="C2554" s="83">
        <v>46147</v>
      </c>
      <c r="D2554" s="417" t="s">
        <v>303</v>
      </c>
      <c r="E2554">
        <v>1393.3647000000001</v>
      </c>
      <c r="F2554">
        <v>77</v>
      </c>
      <c r="G2554">
        <v>18.095645454545501</v>
      </c>
      <c r="H2554">
        <v>0.32874999999999999</v>
      </c>
      <c r="I2554">
        <v>59.525520644594799</v>
      </c>
    </row>
    <row r="2555" spans="1:9" x14ac:dyDescent="0.35">
      <c r="A2555" s="417" t="s">
        <v>846</v>
      </c>
      <c r="B2555" s="417" t="s">
        <v>691</v>
      </c>
      <c r="C2555" s="83">
        <v>46147</v>
      </c>
      <c r="D2555" s="417" t="s">
        <v>309</v>
      </c>
      <c r="E2555">
        <v>1347.1312</v>
      </c>
      <c r="F2555">
        <v>73</v>
      </c>
      <c r="G2555">
        <v>18.453852054794499</v>
      </c>
      <c r="H2555">
        <v>0</v>
      </c>
      <c r="I2555">
        <v>76.857917658365807</v>
      </c>
    </row>
    <row r="2556" spans="1:9" x14ac:dyDescent="0.35">
      <c r="A2556" s="417" t="s">
        <v>846</v>
      </c>
      <c r="B2556" s="417" t="s">
        <v>691</v>
      </c>
      <c r="C2556" s="83">
        <v>46147</v>
      </c>
      <c r="D2556" s="417" t="s">
        <v>314</v>
      </c>
      <c r="E2556">
        <v>1404.3398</v>
      </c>
      <c r="F2556">
        <v>34</v>
      </c>
      <c r="G2556">
        <v>41.304111764705901</v>
      </c>
      <c r="H2556">
        <v>0.81573333333333298</v>
      </c>
      <c r="I2556">
        <v>72.885931657263299</v>
      </c>
    </row>
    <row r="2557" spans="1:9" x14ac:dyDescent="0.35">
      <c r="A2557" s="417" t="s">
        <v>846</v>
      </c>
      <c r="B2557" s="417" t="s">
        <v>691</v>
      </c>
      <c r="C2557" s="83">
        <v>46147</v>
      </c>
      <c r="D2557" s="417" t="s">
        <v>313</v>
      </c>
      <c r="E2557">
        <v>1398.9138166666701</v>
      </c>
      <c r="F2557">
        <v>19</v>
      </c>
      <c r="G2557">
        <v>73.627042982456103</v>
      </c>
      <c r="H2557">
        <v>0</v>
      </c>
      <c r="I2557">
        <v>84.3534119974682</v>
      </c>
    </row>
    <row r="2558" spans="1:9" x14ac:dyDescent="0.35">
      <c r="A2558" s="417" t="s">
        <v>846</v>
      </c>
      <c r="B2558" s="417" t="s">
        <v>691</v>
      </c>
      <c r="C2558" s="83">
        <v>46147</v>
      </c>
      <c r="D2558" s="417" t="s">
        <v>310</v>
      </c>
      <c r="E2558">
        <v>1417.3317500000001</v>
      </c>
      <c r="F2558">
        <v>11</v>
      </c>
      <c r="G2558">
        <v>128.84834090909101</v>
      </c>
      <c r="H2558">
        <v>0.94506666666666705</v>
      </c>
      <c r="I2558">
        <v>77.086556463094894</v>
      </c>
    </row>
    <row r="2559" spans="1:9" x14ac:dyDescent="0.35">
      <c r="A2559" s="417" t="s">
        <v>846</v>
      </c>
      <c r="B2559" s="417" t="s">
        <v>691</v>
      </c>
      <c r="C2559" s="83">
        <v>46147</v>
      </c>
      <c r="D2559" s="417" t="s">
        <v>317</v>
      </c>
      <c r="E2559">
        <v>1337.8525500000001</v>
      </c>
      <c r="F2559">
        <v>3</v>
      </c>
      <c r="G2559">
        <v>445.95085</v>
      </c>
      <c r="H2559">
        <v>1.81463333333333</v>
      </c>
      <c r="I2559">
        <v>52.871340644295103</v>
      </c>
    </row>
    <row r="2560" spans="1:9" x14ac:dyDescent="0.35">
      <c r="A2560" s="417" t="s">
        <v>846</v>
      </c>
      <c r="B2560" s="417" t="s">
        <v>691</v>
      </c>
      <c r="C2560" s="83">
        <v>46147</v>
      </c>
      <c r="D2560" s="417" t="s">
        <v>504</v>
      </c>
      <c r="E2560">
        <v>1440</v>
      </c>
      <c r="F2560">
        <v>1</v>
      </c>
      <c r="G2560">
        <v>1440</v>
      </c>
      <c r="H2560">
        <v>0</v>
      </c>
      <c r="I2560">
        <v>65.348611111111097</v>
      </c>
    </row>
    <row r="2561" spans="1:9" x14ac:dyDescent="0.35">
      <c r="A2561" s="417" t="s">
        <v>846</v>
      </c>
      <c r="B2561" s="417" t="s">
        <v>676</v>
      </c>
      <c r="C2561" s="83">
        <v>46146</v>
      </c>
      <c r="D2561" s="417" t="s">
        <v>677</v>
      </c>
      <c r="E2561">
        <v>1000.67741666667</v>
      </c>
      <c r="F2561">
        <v>322</v>
      </c>
      <c r="G2561">
        <v>3.1076938405797101</v>
      </c>
      <c r="H2561">
        <v>194.45660000000001</v>
      </c>
      <c r="I2561">
        <v>20.474166666666701</v>
      </c>
    </row>
    <row r="2562" spans="1:9" x14ac:dyDescent="0.35">
      <c r="A2562" s="417" t="s">
        <v>846</v>
      </c>
      <c r="B2562" s="417" t="s">
        <v>676</v>
      </c>
      <c r="C2562" s="83">
        <v>46146</v>
      </c>
      <c r="D2562" s="417" t="s">
        <v>679</v>
      </c>
      <c r="E2562">
        <v>1194.95875</v>
      </c>
      <c r="F2562">
        <v>27</v>
      </c>
      <c r="G2562">
        <v>44.2577314814815</v>
      </c>
      <c r="H2562">
        <v>17.330300000000001</v>
      </c>
      <c r="I2562">
        <v>62.630540112933303</v>
      </c>
    </row>
    <row r="2563" spans="1:9" x14ac:dyDescent="0.35">
      <c r="A2563" s="417" t="s">
        <v>846</v>
      </c>
      <c r="B2563" s="417" t="s">
        <v>676</v>
      </c>
      <c r="C2563" s="83">
        <v>46146</v>
      </c>
      <c r="D2563" s="417" t="s">
        <v>678</v>
      </c>
      <c r="E2563">
        <v>1159.9222833333299</v>
      </c>
      <c r="F2563">
        <v>24</v>
      </c>
      <c r="G2563">
        <v>48.3300951388889</v>
      </c>
      <c r="H2563">
        <v>16.679099999999998</v>
      </c>
      <c r="I2563">
        <v>61.877991301342398</v>
      </c>
    </row>
    <row r="2564" spans="1:9" x14ac:dyDescent="0.35">
      <c r="A2564" s="417" t="s">
        <v>846</v>
      </c>
      <c r="B2564" s="417" t="s">
        <v>680</v>
      </c>
      <c r="C2564" s="83">
        <v>46146</v>
      </c>
      <c r="D2564" s="417" t="s">
        <v>685</v>
      </c>
      <c r="E2564">
        <v>1356.8353666666701</v>
      </c>
      <c r="F2564">
        <v>71</v>
      </c>
      <c r="G2564">
        <v>19.110357276995298</v>
      </c>
      <c r="H2564">
        <v>31.692183333333301</v>
      </c>
      <c r="I2564">
        <v>66.378063108474294</v>
      </c>
    </row>
    <row r="2565" spans="1:9" x14ac:dyDescent="0.35">
      <c r="A2565" s="417" t="s">
        <v>846</v>
      </c>
      <c r="B2565" s="417" t="s">
        <v>680</v>
      </c>
      <c r="C2565" s="83">
        <v>46146</v>
      </c>
      <c r="D2565" s="417" t="s">
        <v>681</v>
      </c>
      <c r="E2565">
        <v>1398.1651999999999</v>
      </c>
      <c r="F2565">
        <v>68</v>
      </c>
      <c r="G2565">
        <v>20.561252941176502</v>
      </c>
      <c r="H2565">
        <v>1.3397666666666701</v>
      </c>
      <c r="I2565">
        <v>72.036765359540496</v>
      </c>
    </row>
    <row r="2566" spans="1:9" x14ac:dyDescent="0.35">
      <c r="A2566" s="417" t="s">
        <v>846</v>
      </c>
      <c r="B2566" s="417" t="s">
        <v>680</v>
      </c>
      <c r="C2566" s="83">
        <v>46146</v>
      </c>
      <c r="D2566" s="417" t="s">
        <v>682</v>
      </c>
      <c r="E2566">
        <v>1364.32848333333</v>
      </c>
      <c r="F2566">
        <v>62</v>
      </c>
      <c r="G2566">
        <v>22.005298118279601</v>
      </c>
      <c r="H2566">
        <v>63.164166666666702</v>
      </c>
      <c r="I2566">
        <v>65.634920634920704</v>
      </c>
    </row>
    <row r="2567" spans="1:9" x14ac:dyDescent="0.35">
      <c r="A2567" s="417" t="s">
        <v>846</v>
      </c>
      <c r="B2567" s="417" t="s">
        <v>680</v>
      </c>
      <c r="C2567" s="83">
        <v>46146</v>
      </c>
      <c r="D2567" s="417" t="s">
        <v>683</v>
      </c>
      <c r="E2567">
        <v>1381.31925</v>
      </c>
      <c r="F2567">
        <v>54</v>
      </c>
      <c r="G2567">
        <v>25.579986111111101</v>
      </c>
      <c r="H2567">
        <v>5.1739499999999996</v>
      </c>
      <c r="I2567">
        <v>64.070364578117704</v>
      </c>
    </row>
    <row r="2568" spans="1:9" x14ac:dyDescent="0.35">
      <c r="A2568" s="417" t="s">
        <v>846</v>
      </c>
      <c r="B2568" s="417" t="s">
        <v>680</v>
      </c>
      <c r="C2568" s="83">
        <v>46146</v>
      </c>
      <c r="D2568" s="417" t="s">
        <v>690</v>
      </c>
      <c r="E2568">
        <v>1353.21458333333</v>
      </c>
      <c r="F2568">
        <v>41</v>
      </c>
      <c r="G2568">
        <v>33.005233739837401</v>
      </c>
      <c r="H2568">
        <v>32.478016666666697</v>
      </c>
      <c r="I2568">
        <v>61.407839724628602</v>
      </c>
    </row>
    <row r="2569" spans="1:9" x14ac:dyDescent="0.35">
      <c r="A2569" s="417" t="s">
        <v>846</v>
      </c>
      <c r="B2569" s="417" t="s">
        <v>680</v>
      </c>
      <c r="C2569" s="83">
        <v>46146</v>
      </c>
      <c r="D2569" s="417" t="s">
        <v>688</v>
      </c>
      <c r="E2569">
        <v>1355.3608999999999</v>
      </c>
      <c r="F2569">
        <v>36</v>
      </c>
      <c r="G2569">
        <v>37.648913888888899</v>
      </c>
      <c r="H2569">
        <v>12.653983333333301</v>
      </c>
      <c r="I2569">
        <v>62.270534607092202</v>
      </c>
    </row>
    <row r="2570" spans="1:9" x14ac:dyDescent="0.35">
      <c r="A2570" s="417" t="s">
        <v>846</v>
      </c>
      <c r="B2570" s="417" t="s">
        <v>680</v>
      </c>
      <c r="C2570" s="83">
        <v>46146</v>
      </c>
      <c r="D2570" s="417" t="s">
        <v>689</v>
      </c>
      <c r="E2570">
        <v>1403.69535</v>
      </c>
      <c r="F2570">
        <v>24</v>
      </c>
      <c r="G2570">
        <v>58.487306250000003</v>
      </c>
      <c r="H2570">
        <v>2.82</v>
      </c>
      <c r="I2570">
        <v>73.406907094899097</v>
      </c>
    </row>
    <row r="2571" spans="1:9" x14ac:dyDescent="0.35">
      <c r="A2571" s="417" t="s">
        <v>846</v>
      </c>
      <c r="B2571" s="417" t="s">
        <v>680</v>
      </c>
      <c r="C2571" s="83">
        <v>46146</v>
      </c>
      <c r="D2571" s="417" t="s">
        <v>684</v>
      </c>
      <c r="E2571">
        <v>1421.0080666666699</v>
      </c>
      <c r="F2571">
        <v>23</v>
      </c>
      <c r="G2571">
        <v>61.782959420289899</v>
      </c>
      <c r="H2571">
        <v>8.3193999999999999</v>
      </c>
      <c r="I2571">
        <v>68.620943445375303</v>
      </c>
    </row>
    <row r="2572" spans="1:9" x14ac:dyDescent="0.35">
      <c r="A2572" s="417" t="s">
        <v>846</v>
      </c>
      <c r="B2572" s="417" t="s">
        <v>680</v>
      </c>
      <c r="C2572" s="83">
        <v>46146</v>
      </c>
      <c r="D2572" s="417" t="s">
        <v>687</v>
      </c>
      <c r="E2572">
        <v>1374.4677999999999</v>
      </c>
      <c r="F2572">
        <v>10</v>
      </c>
      <c r="G2572">
        <v>137.44677999999999</v>
      </c>
      <c r="H2572">
        <v>12.6537666666667</v>
      </c>
      <c r="I2572">
        <v>38.601404921208598</v>
      </c>
    </row>
    <row r="2573" spans="1:9" x14ac:dyDescent="0.35">
      <c r="A2573" s="417" t="s">
        <v>846</v>
      </c>
      <c r="B2573" s="417" t="s">
        <v>680</v>
      </c>
      <c r="C2573" s="83">
        <v>46146</v>
      </c>
      <c r="D2573" s="417" t="s">
        <v>686</v>
      </c>
      <c r="E2573">
        <v>1440</v>
      </c>
      <c r="F2573">
        <v>1</v>
      </c>
      <c r="G2573">
        <v>1440</v>
      </c>
      <c r="H2573">
        <v>0</v>
      </c>
      <c r="I2573">
        <v>29.9404761904762</v>
      </c>
    </row>
    <row r="2574" spans="1:9" x14ac:dyDescent="0.35">
      <c r="A2574" s="417" t="s">
        <v>846</v>
      </c>
      <c r="B2574" s="417" t="s">
        <v>691</v>
      </c>
      <c r="C2574" s="83">
        <v>46146</v>
      </c>
      <c r="D2574" s="417" t="s">
        <v>295</v>
      </c>
      <c r="E2574">
        <v>1297.2489333333299</v>
      </c>
      <c r="F2574">
        <v>190</v>
      </c>
      <c r="G2574">
        <v>6.8276259649122801</v>
      </c>
      <c r="H2574">
        <v>2.5416333333333299</v>
      </c>
      <c r="I2574">
        <v>78.066823253615496</v>
      </c>
    </row>
    <row r="2575" spans="1:9" x14ac:dyDescent="0.35">
      <c r="A2575" s="417" t="s">
        <v>846</v>
      </c>
      <c r="B2575" s="417" t="s">
        <v>691</v>
      </c>
      <c r="C2575" s="83">
        <v>46146</v>
      </c>
      <c r="D2575" s="417" t="s">
        <v>299</v>
      </c>
      <c r="E2575">
        <v>1363.6483333333299</v>
      </c>
      <c r="F2575">
        <v>111</v>
      </c>
      <c r="G2575">
        <v>12.2851201201201</v>
      </c>
      <c r="H2575">
        <v>0.75536666666666696</v>
      </c>
      <c r="I2575">
        <v>97.868928632806799</v>
      </c>
    </row>
    <row r="2576" spans="1:9" x14ac:dyDescent="0.35">
      <c r="A2576" s="417" t="s">
        <v>846</v>
      </c>
      <c r="B2576" s="417" t="s">
        <v>691</v>
      </c>
      <c r="C2576" s="83">
        <v>46146</v>
      </c>
      <c r="D2576" s="417" t="s">
        <v>305</v>
      </c>
      <c r="E2576">
        <v>1304.08095</v>
      </c>
      <c r="F2576">
        <v>107</v>
      </c>
      <c r="G2576">
        <v>12.187672429906501</v>
      </c>
      <c r="H2576">
        <v>8.8513666666666708</v>
      </c>
      <c r="I2576">
        <v>81.484854389477903</v>
      </c>
    </row>
    <row r="2577" spans="1:9" x14ac:dyDescent="0.35">
      <c r="A2577" s="417" t="s">
        <v>846</v>
      </c>
      <c r="B2577" s="417" t="s">
        <v>691</v>
      </c>
      <c r="C2577" s="83">
        <v>46146</v>
      </c>
      <c r="D2577" s="417" t="s">
        <v>301</v>
      </c>
      <c r="E2577">
        <v>1372.71538333333</v>
      </c>
      <c r="F2577">
        <v>86</v>
      </c>
      <c r="G2577">
        <v>15.9618067829457</v>
      </c>
      <c r="H2577">
        <v>1.36</v>
      </c>
      <c r="I2577">
        <v>69.845935771374101</v>
      </c>
    </row>
    <row r="2578" spans="1:9" x14ac:dyDescent="0.35">
      <c r="A2578" s="417" t="s">
        <v>846</v>
      </c>
      <c r="B2578" s="417" t="s">
        <v>691</v>
      </c>
      <c r="C2578" s="83">
        <v>46146</v>
      </c>
      <c r="D2578" s="417" t="s">
        <v>309</v>
      </c>
      <c r="E2578">
        <v>1326.0179333333299</v>
      </c>
      <c r="F2578">
        <v>83</v>
      </c>
      <c r="G2578">
        <v>15.9761196787149</v>
      </c>
      <c r="H2578">
        <v>0</v>
      </c>
      <c r="I2578">
        <v>77.550892286297298</v>
      </c>
    </row>
    <row r="2579" spans="1:9" x14ac:dyDescent="0.35">
      <c r="A2579" s="417" t="s">
        <v>846</v>
      </c>
      <c r="B2579" s="417" t="s">
        <v>691</v>
      </c>
      <c r="C2579" s="83">
        <v>46146</v>
      </c>
      <c r="D2579" s="417" t="s">
        <v>303</v>
      </c>
      <c r="E2579">
        <v>1382.64895</v>
      </c>
      <c r="F2579">
        <v>59</v>
      </c>
      <c r="G2579">
        <v>23.434727966101701</v>
      </c>
      <c r="H2579">
        <v>0.33858333333333301</v>
      </c>
      <c r="I2579">
        <v>54.316891048012998</v>
      </c>
    </row>
    <row r="2580" spans="1:9" x14ac:dyDescent="0.35">
      <c r="A2580" s="417" t="s">
        <v>846</v>
      </c>
      <c r="B2580" s="417" t="s">
        <v>691</v>
      </c>
      <c r="C2580" s="83">
        <v>46146</v>
      </c>
      <c r="D2580" s="417" t="s">
        <v>314</v>
      </c>
      <c r="E2580">
        <v>1379.56926666667</v>
      </c>
      <c r="F2580">
        <v>34</v>
      </c>
      <c r="G2580">
        <v>40.575566666666703</v>
      </c>
      <c r="H2580">
        <v>0.957683333333333</v>
      </c>
      <c r="I2580">
        <v>66.716806685020899</v>
      </c>
    </row>
    <row r="2581" spans="1:9" x14ac:dyDescent="0.35">
      <c r="A2581" s="417" t="s">
        <v>846</v>
      </c>
      <c r="B2581" s="417" t="s">
        <v>691</v>
      </c>
      <c r="C2581" s="83">
        <v>46146</v>
      </c>
      <c r="D2581" s="417" t="s">
        <v>310</v>
      </c>
      <c r="E2581">
        <v>1042.7807600000001</v>
      </c>
      <c r="F2581">
        <v>11</v>
      </c>
      <c r="G2581">
        <v>94.798250909090896</v>
      </c>
      <c r="H2581">
        <v>0</v>
      </c>
      <c r="I2581">
        <v>68.447847341220296</v>
      </c>
    </row>
    <row r="2582" spans="1:9" x14ac:dyDescent="0.35">
      <c r="A2582" s="417" t="s">
        <v>846</v>
      </c>
      <c r="B2582" s="417" t="s">
        <v>691</v>
      </c>
      <c r="C2582" s="83">
        <v>46146</v>
      </c>
      <c r="D2582" s="417" t="s">
        <v>313</v>
      </c>
      <c r="E2582">
        <v>1405.4481333333299</v>
      </c>
      <c r="F2582">
        <v>6</v>
      </c>
      <c r="G2582">
        <v>234.241355555556</v>
      </c>
      <c r="H2582">
        <v>0</v>
      </c>
      <c r="I2582">
        <v>69.281433817239005</v>
      </c>
    </row>
    <row r="2583" spans="1:9" x14ac:dyDescent="0.35">
      <c r="A2583" s="417" t="s">
        <v>846</v>
      </c>
      <c r="B2583" s="417" t="s">
        <v>691</v>
      </c>
      <c r="C2583" s="83">
        <v>46146</v>
      </c>
      <c r="D2583" s="417" t="s">
        <v>317</v>
      </c>
      <c r="E2583">
        <v>1425.8436666666701</v>
      </c>
      <c r="F2583">
        <v>2</v>
      </c>
      <c r="G2583">
        <v>712.92183333333298</v>
      </c>
      <c r="H2583">
        <v>4.55108333333333</v>
      </c>
      <c r="I2583">
        <v>51.800385872501302</v>
      </c>
    </row>
    <row r="2584" spans="1:9" x14ac:dyDescent="0.35">
      <c r="A2584" s="417" t="s">
        <v>846</v>
      </c>
      <c r="B2584" s="417" t="s">
        <v>691</v>
      </c>
      <c r="C2584" s="83">
        <v>46146</v>
      </c>
      <c r="D2584" s="417" t="s">
        <v>504</v>
      </c>
      <c r="E2584">
        <v>1440</v>
      </c>
      <c r="F2584">
        <v>1</v>
      </c>
      <c r="G2584">
        <v>1440</v>
      </c>
      <c r="H2584">
        <v>0</v>
      </c>
      <c r="I2584">
        <v>58.595679012345698</v>
      </c>
    </row>
    <row r="2585" spans="1:9" x14ac:dyDescent="0.35">
      <c r="A2585" s="417" t="s">
        <v>846</v>
      </c>
      <c r="B2585" s="417" t="s">
        <v>676</v>
      </c>
      <c r="C2585" s="83">
        <v>46145</v>
      </c>
      <c r="D2585" s="417" t="s">
        <v>677</v>
      </c>
      <c r="E2585">
        <v>1356.3711000000001</v>
      </c>
      <c r="F2585">
        <v>161</v>
      </c>
      <c r="G2585">
        <v>8.4246652173913095</v>
      </c>
      <c r="H2585">
        <v>83.628900000000002</v>
      </c>
      <c r="I2585">
        <v>49.6869444444444</v>
      </c>
    </row>
    <row r="2586" spans="1:9" x14ac:dyDescent="0.35">
      <c r="A2586" s="417" t="s">
        <v>846</v>
      </c>
      <c r="B2586" s="417" t="s">
        <v>676</v>
      </c>
      <c r="C2586" s="83">
        <v>46145</v>
      </c>
      <c r="D2586" s="417" t="s">
        <v>678</v>
      </c>
      <c r="E2586">
        <v>1354.8476166666701</v>
      </c>
      <c r="F2586">
        <v>22</v>
      </c>
      <c r="G2586">
        <v>61.583982575757602</v>
      </c>
      <c r="H2586">
        <v>23.16235</v>
      </c>
      <c r="I2586">
        <v>107.99413908448</v>
      </c>
    </row>
    <row r="2587" spans="1:9" x14ac:dyDescent="0.35">
      <c r="A2587" s="417" t="s">
        <v>846</v>
      </c>
      <c r="B2587" s="417" t="s">
        <v>676</v>
      </c>
      <c r="C2587" s="83">
        <v>46145</v>
      </c>
      <c r="D2587" s="417" t="s">
        <v>679</v>
      </c>
      <c r="E2587">
        <v>1359.8327999999999</v>
      </c>
      <c r="F2587">
        <v>19</v>
      </c>
      <c r="G2587">
        <v>71.570147368421104</v>
      </c>
      <c r="H2587">
        <v>21.156183333333299</v>
      </c>
      <c r="I2587">
        <v>110.49714021976401</v>
      </c>
    </row>
    <row r="2588" spans="1:9" x14ac:dyDescent="0.35">
      <c r="A2588" s="417" t="s">
        <v>846</v>
      </c>
      <c r="B2588" s="417" t="s">
        <v>680</v>
      </c>
      <c r="C2588" s="83">
        <v>46145</v>
      </c>
      <c r="D2588" s="417" t="s">
        <v>681</v>
      </c>
      <c r="E2588">
        <v>1368.5706333333301</v>
      </c>
      <c r="F2588">
        <v>92</v>
      </c>
      <c r="G2588">
        <v>14.875767753623199</v>
      </c>
      <c r="H2588">
        <v>7.3203166666666704</v>
      </c>
      <c r="I2588">
        <v>85.555293710394295</v>
      </c>
    </row>
    <row r="2589" spans="1:9" x14ac:dyDescent="0.35">
      <c r="A2589" s="417" t="s">
        <v>846</v>
      </c>
      <c r="B2589" s="417" t="s">
        <v>680</v>
      </c>
      <c r="C2589" s="83">
        <v>46145</v>
      </c>
      <c r="D2589" s="417" t="s">
        <v>688</v>
      </c>
      <c r="E2589">
        <v>1356.32586666667</v>
      </c>
      <c r="F2589">
        <v>42</v>
      </c>
      <c r="G2589">
        <v>32.293473015872998</v>
      </c>
      <c r="H2589">
        <v>18.9909</v>
      </c>
      <c r="I2589">
        <v>81.455249426804301</v>
      </c>
    </row>
    <row r="2590" spans="1:9" x14ac:dyDescent="0.35">
      <c r="A2590" s="417" t="s">
        <v>846</v>
      </c>
      <c r="B2590" s="417" t="s">
        <v>680</v>
      </c>
      <c r="C2590" s="83">
        <v>46145</v>
      </c>
      <c r="D2590" s="417" t="s">
        <v>683</v>
      </c>
      <c r="E2590">
        <v>1377.8406833333299</v>
      </c>
      <c r="F2590">
        <v>36</v>
      </c>
      <c r="G2590">
        <v>38.273352314814801</v>
      </c>
      <c r="H2590">
        <v>9.3293999999999997</v>
      </c>
      <c r="I2590">
        <v>74.121186555502803</v>
      </c>
    </row>
    <row r="2591" spans="1:9" x14ac:dyDescent="0.35">
      <c r="A2591" s="417" t="s">
        <v>846</v>
      </c>
      <c r="B2591" s="417" t="s">
        <v>680</v>
      </c>
      <c r="C2591" s="83">
        <v>46145</v>
      </c>
      <c r="D2591" s="417" t="s">
        <v>689</v>
      </c>
      <c r="E2591">
        <v>1396.85733333333</v>
      </c>
      <c r="F2591">
        <v>28</v>
      </c>
      <c r="G2591">
        <v>49.887761904761902</v>
      </c>
      <c r="H2591">
        <v>2.6595499999999999</v>
      </c>
      <c r="I2591">
        <v>87.111149377156394</v>
      </c>
    </row>
    <row r="2592" spans="1:9" x14ac:dyDescent="0.35">
      <c r="A2592" s="417" t="s">
        <v>846</v>
      </c>
      <c r="B2592" s="417" t="s">
        <v>680</v>
      </c>
      <c r="C2592" s="83">
        <v>46145</v>
      </c>
      <c r="D2592" s="417" t="s">
        <v>690</v>
      </c>
      <c r="E2592">
        <v>1374.4501</v>
      </c>
      <c r="F2592">
        <v>24</v>
      </c>
      <c r="G2592">
        <v>57.268754166666703</v>
      </c>
      <c r="H2592">
        <v>11.030466666666699</v>
      </c>
      <c r="I2592">
        <v>73.066381714558105</v>
      </c>
    </row>
    <row r="2593" spans="1:9" x14ac:dyDescent="0.35">
      <c r="A2593" s="417" t="s">
        <v>846</v>
      </c>
      <c r="B2593" s="417" t="s">
        <v>680</v>
      </c>
      <c r="C2593" s="83">
        <v>46145</v>
      </c>
      <c r="D2593" s="417" t="s">
        <v>684</v>
      </c>
      <c r="E2593">
        <v>1418.49091666667</v>
      </c>
      <c r="F2593">
        <v>22</v>
      </c>
      <c r="G2593">
        <v>64.476859848484807</v>
      </c>
      <c r="H2593">
        <v>7.9969666666666699</v>
      </c>
      <c r="I2593">
        <v>80.980073691825496</v>
      </c>
    </row>
    <row r="2594" spans="1:9" x14ac:dyDescent="0.35">
      <c r="A2594" s="417" t="s">
        <v>846</v>
      </c>
      <c r="B2594" s="417" t="s">
        <v>680</v>
      </c>
      <c r="C2594" s="83">
        <v>46145</v>
      </c>
      <c r="D2594" s="417" t="s">
        <v>682</v>
      </c>
      <c r="E2594">
        <v>1409.8231333333299</v>
      </c>
      <c r="F2594">
        <v>19</v>
      </c>
      <c r="G2594">
        <v>74.201217543859698</v>
      </c>
      <c r="H2594">
        <v>30.176866666666701</v>
      </c>
      <c r="I2594">
        <v>79.449404761904802</v>
      </c>
    </row>
    <row r="2595" spans="1:9" x14ac:dyDescent="0.35">
      <c r="A2595" s="417" t="s">
        <v>846</v>
      </c>
      <c r="B2595" s="417" t="s">
        <v>680</v>
      </c>
      <c r="C2595" s="83">
        <v>46145</v>
      </c>
      <c r="D2595" s="417" t="s">
        <v>687</v>
      </c>
      <c r="E2595">
        <v>1414.1801333333301</v>
      </c>
      <c r="F2595">
        <v>9</v>
      </c>
      <c r="G2595">
        <v>157.131125925926</v>
      </c>
      <c r="H2595">
        <v>14.821716666666701</v>
      </c>
      <c r="I2595">
        <v>39.946297713563702</v>
      </c>
    </row>
    <row r="2596" spans="1:9" x14ac:dyDescent="0.35">
      <c r="A2596" s="417" t="s">
        <v>846</v>
      </c>
      <c r="B2596" s="417" t="s">
        <v>680</v>
      </c>
      <c r="C2596" s="83">
        <v>46145</v>
      </c>
      <c r="D2596" s="417" t="s">
        <v>685</v>
      </c>
      <c r="E2596">
        <v>1417.17751666667</v>
      </c>
      <c r="F2596">
        <v>7</v>
      </c>
      <c r="G2596">
        <v>202.453930952381</v>
      </c>
      <c r="H2596">
        <v>2.3336666666666699</v>
      </c>
      <c r="I2596">
        <v>84.768243356160696</v>
      </c>
    </row>
    <row r="2597" spans="1:9" x14ac:dyDescent="0.35">
      <c r="A2597" s="417" t="s">
        <v>846</v>
      </c>
      <c r="B2597" s="417" t="s">
        <v>680</v>
      </c>
      <c r="C2597" s="83">
        <v>46145</v>
      </c>
      <c r="D2597" s="417" t="s">
        <v>686</v>
      </c>
      <c r="E2597">
        <v>1440</v>
      </c>
      <c r="F2597">
        <v>1</v>
      </c>
      <c r="G2597">
        <v>1440</v>
      </c>
      <c r="H2597">
        <v>0</v>
      </c>
      <c r="I2597">
        <v>32.261904761904802</v>
      </c>
    </row>
    <row r="2598" spans="1:9" x14ac:dyDescent="0.35">
      <c r="A2598" s="417" t="s">
        <v>846</v>
      </c>
      <c r="B2598" s="417" t="s">
        <v>691</v>
      </c>
      <c r="C2598" s="83">
        <v>46145</v>
      </c>
      <c r="D2598" s="417" t="s">
        <v>295</v>
      </c>
      <c r="E2598">
        <v>1347.3798833333301</v>
      </c>
      <c r="F2598">
        <v>161</v>
      </c>
      <c r="G2598">
        <v>8.3688191511387195</v>
      </c>
      <c r="H2598">
        <v>0.57078333333333298</v>
      </c>
      <c r="I2598">
        <v>81.714950100371297</v>
      </c>
    </row>
    <row r="2599" spans="1:9" x14ac:dyDescent="0.35">
      <c r="A2599" s="417" t="s">
        <v>846</v>
      </c>
      <c r="B2599" s="417" t="s">
        <v>691</v>
      </c>
      <c r="C2599" s="83">
        <v>46145</v>
      </c>
      <c r="D2599" s="417" t="s">
        <v>309</v>
      </c>
      <c r="E2599">
        <v>1305.0659333333299</v>
      </c>
      <c r="F2599">
        <v>108</v>
      </c>
      <c r="G2599">
        <v>12.0839438271605</v>
      </c>
      <c r="H2599">
        <v>0</v>
      </c>
      <c r="I2599">
        <v>90.956390762393895</v>
      </c>
    </row>
    <row r="2600" spans="1:9" x14ac:dyDescent="0.35">
      <c r="A2600" s="417" t="s">
        <v>846</v>
      </c>
      <c r="B2600" s="417" t="s">
        <v>691</v>
      </c>
      <c r="C2600" s="83">
        <v>46145</v>
      </c>
      <c r="D2600" s="417" t="s">
        <v>301</v>
      </c>
      <c r="E2600">
        <v>1332.1021000000001</v>
      </c>
      <c r="F2600">
        <v>105</v>
      </c>
      <c r="G2600">
        <v>12.6866866666667</v>
      </c>
      <c r="H2600">
        <v>2.0694333333333299</v>
      </c>
      <c r="I2600">
        <v>66.218051797594498</v>
      </c>
    </row>
    <row r="2601" spans="1:9" x14ac:dyDescent="0.35">
      <c r="A2601" s="417" t="s">
        <v>846</v>
      </c>
      <c r="B2601" s="417" t="s">
        <v>691</v>
      </c>
      <c r="C2601" s="83">
        <v>46145</v>
      </c>
      <c r="D2601" s="417" t="s">
        <v>305</v>
      </c>
      <c r="E2601">
        <v>1329.4448833333299</v>
      </c>
      <c r="F2601">
        <v>80</v>
      </c>
      <c r="G2601">
        <v>16.618061041666699</v>
      </c>
      <c r="H2601">
        <v>2.2225333333333301</v>
      </c>
      <c r="I2601">
        <v>74.791147205517106</v>
      </c>
    </row>
    <row r="2602" spans="1:9" x14ac:dyDescent="0.35">
      <c r="A2602" s="417" t="s">
        <v>846</v>
      </c>
      <c r="B2602" s="417" t="s">
        <v>691</v>
      </c>
      <c r="C2602" s="83">
        <v>46145</v>
      </c>
      <c r="D2602" s="417" t="s">
        <v>303</v>
      </c>
      <c r="E2602">
        <v>1376.7082333333301</v>
      </c>
      <c r="F2602">
        <v>74</v>
      </c>
      <c r="G2602">
        <v>18.604165315315299</v>
      </c>
      <c r="H2602">
        <v>0.177433333333333</v>
      </c>
      <c r="I2602">
        <v>54.263665087555502</v>
      </c>
    </row>
    <row r="2603" spans="1:9" x14ac:dyDescent="0.35">
      <c r="A2603" s="417" t="s">
        <v>846</v>
      </c>
      <c r="B2603" s="417" t="s">
        <v>691</v>
      </c>
      <c r="C2603" s="83">
        <v>46145</v>
      </c>
      <c r="D2603" s="417" t="s">
        <v>299</v>
      </c>
      <c r="E2603">
        <v>1394.2606499999999</v>
      </c>
      <c r="F2603">
        <v>57</v>
      </c>
      <c r="G2603">
        <v>24.460713157894698</v>
      </c>
      <c r="H2603">
        <v>0.495416666666667</v>
      </c>
      <c r="I2603">
        <v>72.441201341968906</v>
      </c>
    </row>
    <row r="2604" spans="1:9" x14ac:dyDescent="0.35">
      <c r="A2604" s="417" t="s">
        <v>846</v>
      </c>
      <c r="B2604" s="417" t="s">
        <v>691</v>
      </c>
      <c r="C2604" s="83">
        <v>46145</v>
      </c>
      <c r="D2604" s="417" t="s">
        <v>313</v>
      </c>
      <c r="E2604">
        <v>1291.7853666666699</v>
      </c>
      <c r="F2604">
        <v>24</v>
      </c>
      <c r="G2604">
        <v>53.824390277777802</v>
      </c>
      <c r="H2604">
        <v>5.0966666666666702E-2</v>
      </c>
      <c r="I2604">
        <v>32.7257362116001</v>
      </c>
    </row>
    <row r="2605" spans="1:9" x14ac:dyDescent="0.35">
      <c r="A2605" s="417" t="s">
        <v>846</v>
      </c>
      <c r="B2605" s="417" t="s">
        <v>691</v>
      </c>
      <c r="C2605" s="83">
        <v>46145</v>
      </c>
      <c r="D2605" s="417" t="s">
        <v>310</v>
      </c>
      <c r="E2605">
        <v>1421.76643333333</v>
      </c>
      <c r="F2605">
        <v>13</v>
      </c>
      <c r="G2605">
        <v>109.366648717949</v>
      </c>
      <c r="H2605">
        <v>1.9330499999999999</v>
      </c>
      <c r="I2605">
        <v>60.710136493174403</v>
      </c>
    </row>
    <row r="2606" spans="1:9" x14ac:dyDescent="0.35">
      <c r="A2606" s="417" t="s">
        <v>846</v>
      </c>
      <c r="B2606" s="417" t="s">
        <v>691</v>
      </c>
      <c r="C2606" s="83">
        <v>46145</v>
      </c>
      <c r="D2606" s="417" t="s">
        <v>314</v>
      </c>
      <c r="E2606">
        <v>1385.01665</v>
      </c>
      <c r="F2606">
        <v>11</v>
      </c>
      <c r="G2606">
        <v>125.910604545455</v>
      </c>
      <c r="H2606">
        <v>0.25274999999999997</v>
      </c>
      <c r="I2606">
        <v>49.854870562030698</v>
      </c>
    </row>
    <row r="2607" spans="1:9" x14ac:dyDescent="0.35">
      <c r="A2607" s="417" t="s">
        <v>846</v>
      </c>
      <c r="B2607" s="417" t="s">
        <v>691</v>
      </c>
      <c r="C2607" s="83">
        <v>46145</v>
      </c>
      <c r="D2607" s="417" t="s">
        <v>317</v>
      </c>
      <c r="E2607">
        <v>1429.1116999999999</v>
      </c>
      <c r="F2607">
        <v>3</v>
      </c>
      <c r="G2607">
        <v>476.370566666667</v>
      </c>
      <c r="H2607">
        <v>2.7043833333333298</v>
      </c>
      <c r="I2607">
        <v>35.9368780662181</v>
      </c>
    </row>
    <row r="2608" spans="1:9" x14ac:dyDescent="0.35">
      <c r="A2608" s="417" t="s">
        <v>846</v>
      </c>
      <c r="B2608" s="417" t="s">
        <v>691</v>
      </c>
      <c r="C2608" s="83">
        <v>46145</v>
      </c>
      <c r="D2608" s="417" t="s">
        <v>504</v>
      </c>
      <c r="E2608">
        <v>1440</v>
      </c>
      <c r="F2608">
        <v>1</v>
      </c>
      <c r="G2608">
        <v>1440</v>
      </c>
      <c r="H2608">
        <v>0</v>
      </c>
      <c r="I2608">
        <v>58.910339506172797</v>
      </c>
    </row>
    <row r="2609" spans="1:9" x14ac:dyDescent="0.35">
      <c r="A2609" s="417" t="s">
        <v>846</v>
      </c>
      <c r="B2609" s="417" t="s">
        <v>676</v>
      </c>
      <c r="C2609" s="83">
        <v>46144</v>
      </c>
      <c r="D2609" s="417" t="s">
        <v>677</v>
      </c>
      <c r="E2609">
        <v>1266.27226666667</v>
      </c>
      <c r="F2609">
        <v>247</v>
      </c>
      <c r="G2609">
        <v>5.1266083670715297</v>
      </c>
      <c r="H2609">
        <v>136.88851666666699</v>
      </c>
      <c r="I2609">
        <v>41.8466666666666</v>
      </c>
    </row>
    <row r="2610" spans="1:9" x14ac:dyDescent="0.35">
      <c r="A2610" s="417" t="s">
        <v>846</v>
      </c>
      <c r="B2610" s="417" t="s">
        <v>676</v>
      </c>
      <c r="C2610" s="83">
        <v>46144</v>
      </c>
      <c r="D2610" s="417" t="s">
        <v>678</v>
      </c>
      <c r="E2610">
        <v>1363.3406666666699</v>
      </c>
      <c r="F2610">
        <v>31</v>
      </c>
      <c r="G2610">
        <v>43.978731182795698</v>
      </c>
      <c r="H2610">
        <v>25.518933333333301</v>
      </c>
      <c r="I2610">
        <v>65.182254563384205</v>
      </c>
    </row>
    <row r="2611" spans="1:9" x14ac:dyDescent="0.35">
      <c r="A2611" s="417" t="s">
        <v>846</v>
      </c>
      <c r="B2611" s="417" t="s">
        <v>676</v>
      </c>
      <c r="C2611" s="83">
        <v>46144</v>
      </c>
      <c r="D2611" s="417" t="s">
        <v>679</v>
      </c>
      <c r="E2611">
        <v>1375.49581666667</v>
      </c>
      <c r="F2611">
        <v>18</v>
      </c>
      <c r="G2611">
        <v>76.416434259259205</v>
      </c>
      <c r="H2611">
        <v>15.839066666666699</v>
      </c>
      <c r="I2611">
        <v>91.9368731568741</v>
      </c>
    </row>
    <row r="2612" spans="1:9" x14ac:dyDescent="0.35">
      <c r="A2612" s="417" t="s">
        <v>846</v>
      </c>
      <c r="B2612" s="417" t="s">
        <v>680</v>
      </c>
      <c r="C2612" s="83">
        <v>46144</v>
      </c>
      <c r="D2612" s="417" t="s">
        <v>681</v>
      </c>
      <c r="E2612">
        <v>1358.6641</v>
      </c>
      <c r="F2612">
        <v>137</v>
      </c>
      <c r="G2612">
        <v>9.9172562043795605</v>
      </c>
      <c r="H2612">
        <v>4.5244166666666699</v>
      </c>
      <c r="I2612">
        <v>81.723512834550903</v>
      </c>
    </row>
    <row r="2613" spans="1:9" x14ac:dyDescent="0.35">
      <c r="A2613" s="417" t="s">
        <v>846</v>
      </c>
      <c r="B2613" s="417" t="s">
        <v>680</v>
      </c>
      <c r="C2613" s="83">
        <v>46144</v>
      </c>
      <c r="D2613" s="417" t="s">
        <v>683</v>
      </c>
      <c r="E2613">
        <v>1334.6960166666699</v>
      </c>
      <c r="F2613">
        <v>60</v>
      </c>
      <c r="G2613">
        <v>22.244933611111101</v>
      </c>
      <c r="H2613">
        <v>17.500166666666701</v>
      </c>
      <c r="I2613">
        <v>62.303545416783997</v>
      </c>
    </row>
    <row r="2614" spans="1:9" x14ac:dyDescent="0.35">
      <c r="A2614" s="417" t="s">
        <v>846</v>
      </c>
      <c r="B2614" s="417" t="s">
        <v>680</v>
      </c>
      <c r="C2614" s="83">
        <v>46144</v>
      </c>
      <c r="D2614" s="417" t="s">
        <v>689</v>
      </c>
      <c r="E2614">
        <v>1401.3665166666699</v>
      </c>
      <c r="F2614">
        <v>42</v>
      </c>
      <c r="G2614">
        <v>33.3658694444444</v>
      </c>
      <c r="H2614">
        <v>0.84168333333333301</v>
      </c>
      <c r="I2614">
        <v>84.040673109140201</v>
      </c>
    </row>
    <row r="2615" spans="1:9" x14ac:dyDescent="0.35">
      <c r="A2615" s="417" t="s">
        <v>846</v>
      </c>
      <c r="B2615" s="417" t="s">
        <v>680</v>
      </c>
      <c r="C2615" s="83">
        <v>46144</v>
      </c>
      <c r="D2615" s="417" t="s">
        <v>688</v>
      </c>
      <c r="E2615">
        <v>1398.6482333333299</v>
      </c>
      <c r="F2615">
        <v>39</v>
      </c>
      <c r="G2615">
        <v>35.862775213675199</v>
      </c>
      <c r="H2615">
        <v>6.6818499999999998</v>
      </c>
      <c r="I2615">
        <v>79.052807618578598</v>
      </c>
    </row>
    <row r="2616" spans="1:9" x14ac:dyDescent="0.35">
      <c r="A2616" s="417" t="s">
        <v>846</v>
      </c>
      <c r="B2616" s="417" t="s">
        <v>680</v>
      </c>
      <c r="C2616" s="83">
        <v>46144</v>
      </c>
      <c r="D2616" s="417" t="s">
        <v>684</v>
      </c>
      <c r="E2616">
        <v>1410.86161666667</v>
      </c>
      <c r="F2616">
        <v>35</v>
      </c>
      <c r="G2616">
        <v>40.310331904761902</v>
      </c>
      <c r="H2616">
        <v>18.493483333333302</v>
      </c>
      <c r="I2616">
        <v>67.518806230375802</v>
      </c>
    </row>
    <row r="2617" spans="1:9" x14ac:dyDescent="0.35">
      <c r="A2617" s="417" t="s">
        <v>846</v>
      </c>
      <c r="B2617" s="417" t="s">
        <v>680</v>
      </c>
      <c r="C2617" s="83">
        <v>46144</v>
      </c>
      <c r="D2617" s="417" t="s">
        <v>690</v>
      </c>
      <c r="E2617">
        <v>1324.3040333333299</v>
      </c>
      <c r="F2617">
        <v>29</v>
      </c>
      <c r="G2617">
        <v>45.665656321839101</v>
      </c>
      <c r="H2617">
        <v>19.167549999999999</v>
      </c>
      <c r="I2617">
        <v>60.322907655964698</v>
      </c>
    </row>
    <row r="2618" spans="1:9" x14ac:dyDescent="0.35">
      <c r="A2618" s="417" t="s">
        <v>846</v>
      </c>
      <c r="B2618" s="417" t="s">
        <v>680</v>
      </c>
      <c r="C2618" s="83">
        <v>46144</v>
      </c>
      <c r="D2618" s="417" t="s">
        <v>682</v>
      </c>
      <c r="E2618">
        <v>1406.8350499999999</v>
      </c>
      <c r="F2618">
        <v>27</v>
      </c>
      <c r="G2618">
        <v>52.105001851851803</v>
      </c>
      <c r="H2618">
        <v>33.164949999999997</v>
      </c>
      <c r="I2618">
        <v>62.713293650793602</v>
      </c>
    </row>
    <row r="2619" spans="1:9" x14ac:dyDescent="0.35">
      <c r="A2619" s="417" t="s">
        <v>846</v>
      </c>
      <c r="B2619" s="417" t="s">
        <v>680</v>
      </c>
      <c r="C2619" s="83">
        <v>46144</v>
      </c>
      <c r="D2619" s="417" t="s">
        <v>687</v>
      </c>
      <c r="E2619">
        <v>1427.1827333333299</v>
      </c>
      <c r="F2619">
        <v>8</v>
      </c>
      <c r="G2619">
        <v>178.39784166666701</v>
      </c>
      <c r="H2619">
        <v>7.1648833333333304</v>
      </c>
      <c r="I2619">
        <v>41.751831645116098</v>
      </c>
    </row>
    <row r="2620" spans="1:9" x14ac:dyDescent="0.35">
      <c r="A2620" s="417" t="s">
        <v>846</v>
      </c>
      <c r="B2620" s="417" t="s">
        <v>680</v>
      </c>
      <c r="C2620" s="83">
        <v>46144</v>
      </c>
      <c r="D2620" s="417" t="s">
        <v>685</v>
      </c>
      <c r="E2620">
        <v>1415.9946500000001</v>
      </c>
      <c r="F2620">
        <v>7</v>
      </c>
      <c r="G2620">
        <v>202.28495000000001</v>
      </c>
      <c r="H2620">
        <v>6.66001666666667</v>
      </c>
      <c r="I2620">
        <v>81.482478698106505</v>
      </c>
    </row>
    <row r="2621" spans="1:9" x14ac:dyDescent="0.35">
      <c r="A2621" s="417" t="s">
        <v>846</v>
      </c>
      <c r="B2621" s="417" t="s">
        <v>680</v>
      </c>
      <c r="C2621" s="83">
        <v>46144</v>
      </c>
      <c r="D2621" s="417" t="s">
        <v>686</v>
      </c>
      <c r="E2621">
        <v>1440</v>
      </c>
      <c r="F2621">
        <v>1</v>
      </c>
      <c r="G2621">
        <v>1440</v>
      </c>
      <c r="H2621">
        <v>0</v>
      </c>
      <c r="I2621">
        <v>24.365079365079399</v>
      </c>
    </row>
    <row r="2622" spans="1:9" x14ac:dyDescent="0.35">
      <c r="A2622" s="417" t="s">
        <v>846</v>
      </c>
      <c r="B2622" s="417" t="s">
        <v>691</v>
      </c>
      <c r="C2622" s="83">
        <v>46144</v>
      </c>
      <c r="D2622" s="417" t="s">
        <v>295</v>
      </c>
      <c r="E2622">
        <v>1331.9045166666699</v>
      </c>
      <c r="F2622">
        <v>138</v>
      </c>
      <c r="G2622">
        <v>9.6514820048309193</v>
      </c>
      <c r="H2622">
        <v>0.55688333333333295</v>
      </c>
      <c r="I2622">
        <v>77.673980733966999</v>
      </c>
    </row>
    <row r="2623" spans="1:9" x14ac:dyDescent="0.35">
      <c r="A2623" s="417" t="s">
        <v>846</v>
      </c>
      <c r="B2623" s="417" t="s">
        <v>691</v>
      </c>
      <c r="C2623" s="83">
        <v>46144</v>
      </c>
      <c r="D2623" s="417" t="s">
        <v>303</v>
      </c>
      <c r="E2623">
        <v>1362.25495</v>
      </c>
      <c r="F2623">
        <v>92</v>
      </c>
      <c r="G2623">
        <v>14.8071190217391</v>
      </c>
      <c r="H2623">
        <v>0.71101666666666696</v>
      </c>
      <c r="I2623">
        <v>53.958403325249499</v>
      </c>
    </row>
    <row r="2624" spans="1:9" x14ac:dyDescent="0.35">
      <c r="A2624" s="417" t="s">
        <v>846</v>
      </c>
      <c r="B2624" s="417" t="s">
        <v>691</v>
      </c>
      <c r="C2624" s="83">
        <v>46144</v>
      </c>
      <c r="D2624" s="417" t="s">
        <v>299</v>
      </c>
      <c r="E2624">
        <v>1380.5739333333299</v>
      </c>
      <c r="F2624">
        <v>82</v>
      </c>
      <c r="G2624">
        <v>16.836267479674799</v>
      </c>
      <c r="H2624">
        <v>0.54318333333333302</v>
      </c>
      <c r="I2624">
        <v>79.470659543102201</v>
      </c>
    </row>
    <row r="2625" spans="1:9" x14ac:dyDescent="0.35">
      <c r="A2625" s="417" t="s">
        <v>846</v>
      </c>
      <c r="B2625" s="417" t="s">
        <v>691</v>
      </c>
      <c r="C2625" s="83">
        <v>46144</v>
      </c>
      <c r="D2625" s="417" t="s">
        <v>301</v>
      </c>
      <c r="E2625">
        <v>1373.8967666666699</v>
      </c>
      <c r="F2625">
        <v>80</v>
      </c>
      <c r="G2625">
        <v>17.173709583333299</v>
      </c>
      <c r="H2625">
        <v>2.12238333333333</v>
      </c>
      <c r="I2625">
        <v>66.863594849677099</v>
      </c>
    </row>
    <row r="2626" spans="1:9" x14ac:dyDescent="0.35">
      <c r="A2626" s="417" t="s">
        <v>846</v>
      </c>
      <c r="B2626" s="417" t="s">
        <v>691</v>
      </c>
      <c r="C2626" s="83">
        <v>46144</v>
      </c>
      <c r="D2626" s="417" t="s">
        <v>305</v>
      </c>
      <c r="E2626">
        <v>1310.18176666667</v>
      </c>
      <c r="F2626">
        <v>68</v>
      </c>
      <c r="G2626">
        <v>19.2673789215686</v>
      </c>
      <c r="H2626">
        <v>1.7527999999999999</v>
      </c>
      <c r="I2626">
        <v>75.0310515200552</v>
      </c>
    </row>
    <row r="2627" spans="1:9" x14ac:dyDescent="0.35">
      <c r="A2627" s="417" t="s">
        <v>846</v>
      </c>
      <c r="B2627" s="417" t="s">
        <v>691</v>
      </c>
      <c r="C2627" s="83">
        <v>46144</v>
      </c>
      <c r="D2627" s="417" t="s">
        <v>309</v>
      </c>
      <c r="E2627">
        <v>1363.2781666666699</v>
      </c>
      <c r="F2627">
        <v>66</v>
      </c>
      <c r="G2627">
        <v>20.655729797979799</v>
      </c>
      <c r="H2627">
        <v>0</v>
      </c>
      <c r="I2627">
        <v>71.946730291582597</v>
      </c>
    </row>
    <row r="2628" spans="1:9" x14ac:dyDescent="0.35">
      <c r="A2628" s="417" t="s">
        <v>846</v>
      </c>
      <c r="B2628" s="417" t="s">
        <v>691</v>
      </c>
      <c r="C2628" s="83">
        <v>46144</v>
      </c>
      <c r="D2628" s="417" t="s">
        <v>310</v>
      </c>
      <c r="E2628">
        <v>1366.7959000000001</v>
      </c>
      <c r="F2628">
        <v>25</v>
      </c>
      <c r="G2628">
        <v>54.671835999999999</v>
      </c>
      <c r="H2628">
        <v>0</v>
      </c>
      <c r="I2628">
        <v>45.0768586688474</v>
      </c>
    </row>
    <row r="2629" spans="1:9" x14ac:dyDescent="0.35">
      <c r="A2629" s="417" t="s">
        <v>846</v>
      </c>
      <c r="B2629" s="417" t="s">
        <v>691</v>
      </c>
      <c r="C2629" s="83">
        <v>46144</v>
      </c>
      <c r="D2629" s="417" t="s">
        <v>313</v>
      </c>
      <c r="E2629">
        <v>1360.0761666666699</v>
      </c>
      <c r="F2629">
        <v>25</v>
      </c>
      <c r="G2629">
        <v>54.403046666666697</v>
      </c>
      <c r="H2629">
        <v>0</v>
      </c>
      <c r="I2629">
        <v>48.989633426102799</v>
      </c>
    </row>
    <row r="2630" spans="1:9" x14ac:dyDescent="0.35">
      <c r="A2630" s="417" t="s">
        <v>846</v>
      </c>
      <c r="B2630" s="417" t="s">
        <v>691</v>
      </c>
      <c r="C2630" s="83">
        <v>46144</v>
      </c>
      <c r="D2630" s="417" t="s">
        <v>314</v>
      </c>
      <c r="E2630">
        <v>1383.3096333333301</v>
      </c>
      <c r="F2630">
        <v>8</v>
      </c>
      <c r="G2630">
        <v>172.913704166667</v>
      </c>
      <c r="H2630">
        <v>1.14356666666667</v>
      </c>
      <c r="I2630">
        <v>41.977903149004803</v>
      </c>
    </row>
    <row r="2631" spans="1:9" x14ac:dyDescent="0.35">
      <c r="A2631" s="417" t="s">
        <v>846</v>
      </c>
      <c r="B2631" s="417" t="s">
        <v>691</v>
      </c>
      <c r="C2631" s="83">
        <v>46144</v>
      </c>
      <c r="D2631" s="417" t="s">
        <v>317</v>
      </c>
      <c r="E2631">
        <v>1439.2662666666699</v>
      </c>
      <c r="F2631">
        <v>1</v>
      </c>
      <c r="G2631">
        <v>1439.2662666666699</v>
      </c>
      <c r="H2631">
        <v>0</v>
      </c>
      <c r="I2631">
        <v>17.8806386254033</v>
      </c>
    </row>
    <row r="2632" spans="1:9" x14ac:dyDescent="0.35">
      <c r="A2632" s="417" t="s">
        <v>846</v>
      </c>
      <c r="B2632" s="417" t="s">
        <v>691</v>
      </c>
      <c r="C2632" s="83">
        <v>46144</v>
      </c>
      <c r="D2632" s="417" t="s">
        <v>504</v>
      </c>
      <c r="E2632">
        <v>1440</v>
      </c>
      <c r="F2632">
        <v>1</v>
      </c>
      <c r="G2632">
        <v>1440</v>
      </c>
      <c r="H2632">
        <v>0</v>
      </c>
      <c r="I2632">
        <v>52.660030864197502</v>
      </c>
    </row>
    <row r="2633" spans="1:9" x14ac:dyDescent="0.35">
      <c r="A2633" s="417" t="s">
        <v>846</v>
      </c>
      <c r="B2633" s="417" t="s">
        <v>676</v>
      </c>
      <c r="C2633" s="83">
        <v>46143</v>
      </c>
      <c r="D2633" s="417" t="s">
        <v>677</v>
      </c>
      <c r="E2633">
        <v>1288.31878333333</v>
      </c>
      <c r="F2633">
        <v>249</v>
      </c>
      <c r="G2633">
        <v>5.1739710174029501</v>
      </c>
      <c r="H2633">
        <v>151.68121666666701</v>
      </c>
      <c r="I2633">
        <v>41.738055555555498</v>
      </c>
    </row>
    <row r="2634" spans="1:9" x14ac:dyDescent="0.35">
      <c r="A2634" s="417" t="s">
        <v>846</v>
      </c>
      <c r="B2634" s="417" t="s">
        <v>676</v>
      </c>
      <c r="C2634" s="83">
        <v>46143</v>
      </c>
      <c r="D2634" s="417" t="s">
        <v>678</v>
      </c>
      <c r="E2634">
        <v>1291.6569</v>
      </c>
      <c r="F2634">
        <v>41</v>
      </c>
      <c r="G2634">
        <v>31.503826829268299</v>
      </c>
      <c r="H2634">
        <v>67.83775</v>
      </c>
      <c r="I2634">
        <v>84.3326804409011</v>
      </c>
    </row>
    <row r="2635" spans="1:9" x14ac:dyDescent="0.35">
      <c r="A2635" s="417" t="s">
        <v>846</v>
      </c>
      <c r="B2635" s="417" t="s">
        <v>676</v>
      </c>
      <c r="C2635" s="83">
        <v>46143</v>
      </c>
      <c r="D2635" s="417" t="s">
        <v>679</v>
      </c>
      <c r="E2635">
        <v>1350.47705</v>
      </c>
      <c r="F2635">
        <v>27</v>
      </c>
      <c r="G2635">
        <v>50.017668518518498</v>
      </c>
      <c r="H2635">
        <v>19.986733333333301</v>
      </c>
      <c r="I2635">
        <v>87.881638107515101</v>
      </c>
    </row>
    <row r="2636" spans="1:9" x14ac:dyDescent="0.35">
      <c r="A2636" s="417" t="s">
        <v>846</v>
      </c>
      <c r="B2636" s="417" t="s">
        <v>680</v>
      </c>
      <c r="C2636" s="83">
        <v>46143</v>
      </c>
      <c r="D2636" s="417" t="s">
        <v>681</v>
      </c>
      <c r="E2636">
        <v>1359.9336000000001</v>
      </c>
      <c r="F2636">
        <v>74</v>
      </c>
      <c r="G2636">
        <v>18.3774810810811</v>
      </c>
      <c r="H2636">
        <v>0</v>
      </c>
      <c r="I2636">
        <v>54.135349046331697</v>
      </c>
    </row>
    <row r="2637" spans="1:9" x14ac:dyDescent="0.35">
      <c r="A2637" s="417" t="s">
        <v>846</v>
      </c>
      <c r="B2637" s="417" t="s">
        <v>680</v>
      </c>
      <c r="C2637" s="83">
        <v>46143</v>
      </c>
      <c r="D2637" s="417" t="s">
        <v>689</v>
      </c>
      <c r="E2637">
        <v>1367.4989499999999</v>
      </c>
      <c r="F2637">
        <v>60</v>
      </c>
      <c r="G2637">
        <v>22.791649166666701</v>
      </c>
      <c r="H2637">
        <v>2.66713333333333</v>
      </c>
      <c r="I2637">
        <v>57.516241324509501</v>
      </c>
    </row>
    <row r="2638" spans="1:9" x14ac:dyDescent="0.35">
      <c r="A2638" s="417" t="s">
        <v>846</v>
      </c>
      <c r="B2638" s="417" t="s">
        <v>680</v>
      </c>
      <c r="C2638" s="83">
        <v>46143</v>
      </c>
      <c r="D2638" s="417" t="s">
        <v>682</v>
      </c>
      <c r="E2638">
        <v>1049.4680499999999</v>
      </c>
      <c r="F2638">
        <v>42</v>
      </c>
      <c r="G2638">
        <v>24.987334523809501</v>
      </c>
      <c r="H2638">
        <v>28.6665833333333</v>
      </c>
      <c r="I2638">
        <v>40.076370512274998</v>
      </c>
    </row>
    <row r="2639" spans="1:9" x14ac:dyDescent="0.35">
      <c r="A2639" s="417" t="s">
        <v>846</v>
      </c>
      <c r="B2639" s="417" t="s">
        <v>680</v>
      </c>
      <c r="C2639" s="83">
        <v>46143</v>
      </c>
      <c r="D2639" s="417" t="s">
        <v>688</v>
      </c>
      <c r="E2639">
        <v>1300.45493333333</v>
      </c>
      <c r="F2639">
        <v>35</v>
      </c>
      <c r="G2639">
        <v>37.155855238095199</v>
      </c>
      <c r="H2639">
        <v>8.1613833333333297</v>
      </c>
      <c r="I2639">
        <v>50.9494557956642</v>
      </c>
    </row>
    <row r="2640" spans="1:9" x14ac:dyDescent="0.35">
      <c r="A2640" s="417" t="s">
        <v>846</v>
      </c>
      <c r="B2640" s="417" t="s">
        <v>680</v>
      </c>
      <c r="C2640" s="83">
        <v>46143</v>
      </c>
      <c r="D2640" s="417" t="s">
        <v>683</v>
      </c>
      <c r="E2640">
        <v>1291.6706833333301</v>
      </c>
      <c r="F2640">
        <v>34</v>
      </c>
      <c r="G2640">
        <v>37.990314215686297</v>
      </c>
      <c r="H2640">
        <v>1.8431999999999999</v>
      </c>
      <c r="I2640">
        <v>44.019391373178202</v>
      </c>
    </row>
    <row r="2641" spans="1:9" x14ac:dyDescent="0.35">
      <c r="A2641" s="417" t="s">
        <v>846</v>
      </c>
      <c r="B2641" s="417" t="s">
        <v>680</v>
      </c>
      <c r="C2641" s="83">
        <v>46143</v>
      </c>
      <c r="D2641" s="417" t="s">
        <v>684</v>
      </c>
      <c r="E2641">
        <v>1271.7094</v>
      </c>
      <c r="F2641">
        <v>29</v>
      </c>
      <c r="G2641">
        <v>43.852048275862103</v>
      </c>
      <c r="H2641">
        <v>10.6684</v>
      </c>
      <c r="I2641">
        <v>43.657781300607901</v>
      </c>
    </row>
    <row r="2642" spans="1:9" x14ac:dyDescent="0.35">
      <c r="A2642" s="417" t="s">
        <v>846</v>
      </c>
      <c r="B2642" s="417" t="s">
        <v>680</v>
      </c>
      <c r="C2642" s="83">
        <v>46143</v>
      </c>
      <c r="D2642" s="417" t="s">
        <v>687</v>
      </c>
      <c r="E2642">
        <v>1392.34361666667</v>
      </c>
      <c r="F2642">
        <v>26</v>
      </c>
      <c r="G2642">
        <v>53.551677564102597</v>
      </c>
      <c r="H2642">
        <v>34.480216666666699</v>
      </c>
      <c r="I2642">
        <v>26.284990473427602</v>
      </c>
    </row>
    <row r="2643" spans="1:9" x14ac:dyDescent="0.35">
      <c r="A2643" s="417" t="s">
        <v>846</v>
      </c>
      <c r="B2643" s="417" t="s">
        <v>680</v>
      </c>
      <c r="C2643" s="83">
        <v>46143</v>
      </c>
      <c r="D2643" s="417" t="s">
        <v>690</v>
      </c>
      <c r="E2643">
        <v>1348.8767166666701</v>
      </c>
      <c r="F2643">
        <v>17</v>
      </c>
      <c r="G2643">
        <v>79.345689215686306</v>
      </c>
      <c r="H2643">
        <v>3.4910666666666699</v>
      </c>
      <c r="I2643">
        <v>38.286437548779503</v>
      </c>
    </row>
    <row r="2644" spans="1:9" x14ac:dyDescent="0.35">
      <c r="A2644" s="417" t="s">
        <v>846</v>
      </c>
      <c r="B2644" s="417" t="s">
        <v>680</v>
      </c>
      <c r="C2644" s="83">
        <v>46143</v>
      </c>
      <c r="D2644" s="417" t="s">
        <v>685</v>
      </c>
      <c r="E2644">
        <v>1396.54498333333</v>
      </c>
      <c r="F2644">
        <v>9</v>
      </c>
      <c r="G2644">
        <v>155.17166481481499</v>
      </c>
      <c r="H2644">
        <v>5.50878333333333</v>
      </c>
      <c r="I2644">
        <v>53.537330589953797</v>
      </c>
    </row>
    <row r="2645" spans="1:9" x14ac:dyDescent="0.35">
      <c r="A2645" s="417" t="s">
        <v>846</v>
      </c>
      <c r="B2645" s="417" t="s">
        <v>680</v>
      </c>
      <c r="C2645" s="83">
        <v>46143</v>
      </c>
      <c r="D2645" s="417" t="s">
        <v>686</v>
      </c>
      <c r="E2645">
        <v>1301.0528666666701</v>
      </c>
      <c r="F2645">
        <v>1</v>
      </c>
      <c r="G2645">
        <v>1301.0528666666701</v>
      </c>
      <c r="H2645">
        <v>0</v>
      </c>
      <c r="I2645">
        <v>11.8339356620054</v>
      </c>
    </row>
    <row r="2646" spans="1:9" x14ac:dyDescent="0.35">
      <c r="A2646" s="417" t="s">
        <v>846</v>
      </c>
      <c r="B2646" s="417" t="s">
        <v>691</v>
      </c>
      <c r="C2646" s="83">
        <v>46143</v>
      </c>
      <c r="D2646" s="417" t="s">
        <v>299</v>
      </c>
      <c r="E2646">
        <v>1375.48886666667</v>
      </c>
      <c r="F2646">
        <v>100</v>
      </c>
      <c r="G2646">
        <v>13.7548886666667</v>
      </c>
      <c r="H2646">
        <v>0.26093333333333302</v>
      </c>
      <c r="I2646">
        <v>75.214046798277593</v>
      </c>
    </row>
    <row r="2647" spans="1:9" x14ac:dyDescent="0.35">
      <c r="A2647" s="417" t="s">
        <v>846</v>
      </c>
      <c r="B2647" s="417" t="s">
        <v>691</v>
      </c>
      <c r="C2647" s="83">
        <v>46143</v>
      </c>
      <c r="D2647" s="417" t="s">
        <v>295</v>
      </c>
      <c r="E2647">
        <v>1329.52238333333</v>
      </c>
      <c r="F2647">
        <v>89</v>
      </c>
      <c r="G2647">
        <v>14.9384537453184</v>
      </c>
      <c r="H2647">
        <v>0.29299999999999998</v>
      </c>
      <c r="I2647">
        <v>76.547960699516395</v>
      </c>
    </row>
    <row r="2648" spans="1:9" x14ac:dyDescent="0.35">
      <c r="A2648" s="417" t="s">
        <v>846</v>
      </c>
      <c r="B2648" s="417" t="s">
        <v>691</v>
      </c>
      <c r="C2648" s="83">
        <v>46143</v>
      </c>
      <c r="D2648" s="417" t="s">
        <v>305</v>
      </c>
      <c r="E2648">
        <v>1341.4804666666701</v>
      </c>
      <c r="F2648">
        <v>82</v>
      </c>
      <c r="G2648">
        <v>16.359517886178899</v>
      </c>
      <c r="H2648">
        <v>4.2468500000000002</v>
      </c>
      <c r="I2648">
        <v>65.0523456008453</v>
      </c>
    </row>
    <row r="2649" spans="1:9" x14ac:dyDescent="0.35">
      <c r="A2649" s="417" t="s">
        <v>846</v>
      </c>
      <c r="B2649" s="417" t="s">
        <v>691</v>
      </c>
      <c r="C2649" s="83">
        <v>46143</v>
      </c>
      <c r="D2649" s="417" t="s">
        <v>303</v>
      </c>
      <c r="E2649">
        <v>1375.1620499999999</v>
      </c>
      <c r="F2649">
        <v>75</v>
      </c>
      <c r="G2649">
        <v>18.335494000000001</v>
      </c>
      <c r="H2649">
        <v>0.30503333333333299</v>
      </c>
      <c r="I2649">
        <v>57.7673590622083</v>
      </c>
    </row>
    <row r="2650" spans="1:9" x14ac:dyDescent="0.35">
      <c r="A2650" s="417" t="s">
        <v>846</v>
      </c>
      <c r="B2650" s="417" t="s">
        <v>691</v>
      </c>
      <c r="C2650" s="83">
        <v>46143</v>
      </c>
      <c r="D2650" s="417" t="s">
        <v>313</v>
      </c>
      <c r="E2650">
        <v>1236.5174</v>
      </c>
      <c r="F2650">
        <v>75</v>
      </c>
      <c r="G2650">
        <v>16.486898666666701</v>
      </c>
      <c r="H2650">
        <v>3.2171833333333302</v>
      </c>
      <c r="I2650">
        <v>41.845173221407997</v>
      </c>
    </row>
    <row r="2651" spans="1:9" x14ac:dyDescent="0.35">
      <c r="A2651" s="417" t="s">
        <v>846</v>
      </c>
      <c r="B2651" s="417" t="s">
        <v>691</v>
      </c>
      <c r="C2651" s="83">
        <v>46143</v>
      </c>
      <c r="D2651" s="417" t="s">
        <v>342</v>
      </c>
      <c r="E2651">
        <v>737.01885000000004</v>
      </c>
      <c r="F2651">
        <v>71</v>
      </c>
      <c r="G2651">
        <v>10.380547183098599</v>
      </c>
      <c r="H2651">
        <v>150.78831666666699</v>
      </c>
      <c r="I2651">
        <v>28.398268398268399</v>
      </c>
    </row>
    <row r="2652" spans="1:9" x14ac:dyDescent="0.35">
      <c r="A2652" s="417" t="s">
        <v>846</v>
      </c>
      <c r="B2652" s="417" t="s">
        <v>691</v>
      </c>
      <c r="C2652" s="83">
        <v>46143</v>
      </c>
      <c r="D2652" s="417" t="s">
        <v>301</v>
      </c>
      <c r="E2652">
        <v>1364.5686000000001</v>
      </c>
      <c r="F2652">
        <v>63</v>
      </c>
      <c r="G2652">
        <v>21.659819047618999</v>
      </c>
      <c r="H2652">
        <v>0.75533333333333297</v>
      </c>
      <c r="I2652">
        <v>63.960984046291202</v>
      </c>
    </row>
    <row r="2653" spans="1:9" x14ac:dyDescent="0.35">
      <c r="A2653" s="417" t="s">
        <v>846</v>
      </c>
      <c r="B2653" s="417" t="s">
        <v>691</v>
      </c>
      <c r="C2653" s="83">
        <v>46143</v>
      </c>
      <c r="D2653" s="417" t="s">
        <v>309</v>
      </c>
      <c r="E2653">
        <v>1370.39501666667</v>
      </c>
      <c r="F2653">
        <v>44</v>
      </c>
      <c r="G2653">
        <v>31.1453412878788</v>
      </c>
      <c r="H2653">
        <v>0.52678333333333305</v>
      </c>
      <c r="I2653">
        <v>49.5143353721053</v>
      </c>
    </row>
    <row r="2654" spans="1:9" x14ac:dyDescent="0.35">
      <c r="A2654" s="417" t="s">
        <v>846</v>
      </c>
      <c r="B2654" s="417" t="s">
        <v>691</v>
      </c>
      <c r="C2654" s="83">
        <v>46143</v>
      </c>
      <c r="D2654" s="417" t="s">
        <v>314</v>
      </c>
      <c r="E2654">
        <v>1322.4243166666699</v>
      </c>
      <c r="F2654">
        <v>33</v>
      </c>
      <c r="G2654">
        <v>40.0734641414141</v>
      </c>
      <c r="H2654">
        <v>4.7514833333333302</v>
      </c>
      <c r="I2654">
        <v>39.101710043955002</v>
      </c>
    </row>
    <row r="2655" spans="1:9" x14ac:dyDescent="0.35">
      <c r="A2655" s="417" t="s">
        <v>846</v>
      </c>
      <c r="B2655" s="417" t="s">
        <v>691</v>
      </c>
      <c r="C2655" s="83">
        <v>46143</v>
      </c>
      <c r="D2655" s="417" t="s">
        <v>310</v>
      </c>
      <c r="E2655">
        <v>1370.26751666667</v>
      </c>
      <c r="F2655">
        <v>17</v>
      </c>
      <c r="G2655">
        <v>80.603971568627401</v>
      </c>
      <c r="H2655">
        <v>0</v>
      </c>
      <c r="I2655">
        <v>43.216515014271501</v>
      </c>
    </row>
    <row r="2656" spans="1:9" x14ac:dyDescent="0.35">
      <c r="A2656" s="417" t="s">
        <v>846</v>
      </c>
      <c r="B2656" s="417" t="s">
        <v>691</v>
      </c>
      <c r="C2656" s="83">
        <v>46143</v>
      </c>
      <c r="D2656" s="417" t="s">
        <v>317</v>
      </c>
      <c r="E2656">
        <v>1322.41816666667</v>
      </c>
      <c r="F2656">
        <v>6</v>
      </c>
      <c r="G2656">
        <v>220.40302777777799</v>
      </c>
      <c r="H2656">
        <v>3.2027000000000001</v>
      </c>
      <c r="I2656">
        <v>21.9557497410145</v>
      </c>
    </row>
    <row r="2657" spans="1:9" x14ac:dyDescent="0.35">
      <c r="A2657" s="417" t="s">
        <v>846</v>
      </c>
      <c r="B2657" s="417" t="s">
        <v>691</v>
      </c>
      <c r="C2657" s="83">
        <v>46143</v>
      </c>
      <c r="D2657" s="417" t="s">
        <v>504</v>
      </c>
      <c r="E2657">
        <v>600</v>
      </c>
      <c r="F2657">
        <v>1</v>
      </c>
      <c r="G2657">
        <v>600</v>
      </c>
      <c r="H2657">
        <v>0</v>
      </c>
      <c r="I2657">
        <v>9.0733333333333395</v>
      </c>
    </row>
    <row r="2658" spans="1:9" x14ac:dyDescent="0.35">
      <c r="A2658" s="417" t="s">
        <v>846</v>
      </c>
      <c r="B2658" s="417" t="s">
        <v>676</v>
      </c>
      <c r="C2658" s="83">
        <v>46142</v>
      </c>
      <c r="D2658" s="417" t="s">
        <v>677</v>
      </c>
      <c r="E2658">
        <v>1125.665</v>
      </c>
      <c r="F2658">
        <v>284</v>
      </c>
      <c r="G2658">
        <v>3.9636091549295802</v>
      </c>
      <c r="H2658">
        <v>199.3288</v>
      </c>
      <c r="I2658">
        <v>29.8186111111111</v>
      </c>
    </row>
    <row r="2659" spans="1:9" x14ac:dyDescent="0.35">
      <c r="A2659" s="417" t="s">
        <v>846</v>
      </c>
      <c r="B2659" s="417" t="s">
        <v>676</v>
      </c>
      <c r="C2659" s="83">
        <v>46142</v>
      </c>
      <c r="D2659" s="417" t="s">
        <v>678</v>
      </c>
      <c r="E2659">
        <v>1053.7762666666699</v>
      </c>
      <c r="F2659">
        <v>50</v>
      </c>
      <c r="G2659">
        <v>21.075525333333299</v>
      </c>
      <c r="H2659">
        <v>31.667366666666702</v>
      </c>
      <c r="I2659">
        <v>53.179768613322203</v>
      </c>
    </row>
    <row r="2660" spans="1:9" x14ac:dyDescent="0.35">
      <c r="A2660" s="417" t="s">
        <v>846</v>
      </c>
      <c r="B2660" s="417" t="s">
        <v>676</v>
      </c>
      <c r="C2660" s="83">
        <v>46142</v>
      </c>
      <c r="D2660" s="417" t="s">
        <v>679</v>
      </c>
      <c r="E2660">
        <v>1183.1849500000001</v>
      </c>
      <c r="F2660">
        <v>22</v>
      </c>
      <c r="G2660">
        <v>53.781134090909099</v>
      </c>
      <c r="H2660">
        <v>37.657416666666698</v>
      </c>
      <c r="I2660">
        <v>55.484060723412099</v>
      </c>
    </row>
    <row r="2661" spans="1:9" x14ac:dyDescent="0.35">
      <c r="A2661" s="417" t="s">
        <v>846</v>
      </c>
      <c r="B2661" s="417" t="s">
        <v>680</v>
      </c>
      <c r="C2661" s="83">
        <v>46142</v>
      </c>
      <c r="D2661" s="417" t="s">
        <v>689</v>
      </c>
      <c r="E2661">
        <v>1343.9975999999999</v>
      </c>
      <c r="F2661">
        <v>56</v>
      </c>
      <c r="G2661">
        <v>23.999957142857099</v>
      </c>
      <c r="H2661">
        <v>1.6515166666666701</v>
      </c>
      <c r="I2661">
        <v>86.348983650527302</v>
      </c>
    </row>
    <row r="2662" spans="1:9" x14ac:dyDescent="0.35">
      <c r="A2662" s="417" t="s">
        <v>846</v>
      </c>
      <c r="B2662" s="417" t="s">
        <v>680</v>
      </c>
      <c r="C2662" s="83">
        <v>46142</v>
      </c>
      <c r="D2662" s="417" t="s">
        <v>682</v>
      </c>
      <c r="E2662">
        <v>1321.6631333333301</v>
      </c>
      <c r="F2662">
        <v>54</v>
      </c>
      <c r="G2662">
        <v>24.475243209876499</v>
      </c>
      <c r="H2662">
        <v>33.831166666666697</v>
      </c>
      <c r="I2662">
        <v>72.202020202020194</v>
      </c>
    </row>
    <row r="2663" spans="1:9" x14ac:dyDescent="0.35">
      <c r="A2663" s="417" t="s">
        <v>846</v>
      </c>
      <c r="B2663" s="417" t="s">
        <v>680</v>
      </c>
      <c r="C2663" s="83">
        <v>46142</v>
      </c>
      <c r="D2663" s="417" t="s">
        <v>688</v>
      </c>
      <c r="E2663">
        <v>1396.7968000000001</v>
      </c>
      <c r="F2663">
        <v>53</v>
      </c>
      <c r="G2663">
        <v>26.354656603773599</v>
      </c>
      <c r="H2663">
        <v>7.6855833333333301</v>
      </c>
      <c r="I2663">
        <v>76.827718007136795</v>
      </c>
    </row>
    <row r="2664" spans="1:9" x14ac:dyDescent="0.35">
      <c r="A2664" s="417" t="s">
        <v>846</v>
      </c>
      <c r="B2664" s="417" t="s">
        <v>680</v>
      </c>
      <c r="C2664" s="83">
        <v>46142</v>
      </c>
      <c r="D2664" s="417" t="s">
        <v>681</v>
      </c>
      <c r="E2664">
        <v>1400.1544166666699</v>
      </c>
      <c r="F2664">
        <v>26</v>
      </c>
      <c r="G2664">
        <v>53.852092948717903</v>
      </c>
      <c r="H2664">
        <v>1.67611666666667</v>
      </c>
      <c r="I2664">
        <v>79.154434846778301</v>
      </c>
    </row>
    <row r="2665" spans="1:9" x14ac:dyDescent="0.35">
      <c r="A2665" s="417" t="s">
        <v>846</v>
      </c>
      <c r="B2665" s="417" t="s">
        <v>680</v>
      </c>
      <c r="C2665" s="83">
        <v>46142</v>
      </c>
      <c r="D2665" s="417" t="s">
        <v>684</v>
      </c>
      <c r="E2665">
        <v>1417.79731666667</v>
      </c>
      <c r="F2665">
        <v>23</v>
      </c>
      <c r="G2665">
        <v>61.643361594202901</v>
      </c>
      <c r="H2665">
        <v>18.1932166666667</v>
      </c>
      <c r="I2665">
        <v>76.294882195068496</v>
      </c>
    </row>
    <row r="2666" spans="1:9" x14ac:dyDescent="0.35">
      <c r="A2666" s="417" t="s">
        <v>846</v>
      </c>
      <c r="B2666" s="417" t="s">
        <v>680</v>
      </c>
      <c r="C2666" s="83">
        <v>46142</v>
      </c>
      <c r="D2666" s="417" t="s">
        <v>683</v>
      </c>
      <c r="E2666">
        <v>1384.4823833333301</v>
      </c>
      <c r="F2666">
        <v>20</v>
      </c>
      <c r="G2666">
        <v>69.224119166666696</v>
      </c>
      <c r="H2666">
        <v>12.842416666666701</v>
      </c>
      <c r="I2666">
        <v>60.2830832242418</v>
      </c>
    </row>
    <row r="2667" spans="1:9" x14ac:dyDescent="0.35">
      <c r="A2667" s="417" t="s">
        <v>846</v>
      </c>
      <c r="B2667" s="417" t="s">
        <v>680</v>
      </c>
      <c r="C2667" s="83">
        <v>46142</v>
      </c>
      <c r="D2667" s="417" t="s">
        <v>685</v>
      </c>
      <c r="E2667">
        <v>1427.1892666666699</v>
      </c>
      <c r="F2667">
        <v>17</v>
      </c>
      <c r="G2667">
        <v>83.952309803921594</v>
      </c>
      <c r="H2667">
        <v>4.3274833333333298</v>
      </c>
      <c r="I2667">
        <v>81.816908015569098</v>
      </c>
    </row>
    <row r="2668" spans="1:9" x14ac:dyDescent="0.35">
      <c r="A2668" s="417" t="s">
        <v>846</v>
      </c>
      <c r="B2668" s="417" t="s">
        <v>680</v>
      </c>
      <c r="C2668" s="83">
        <v>46142</v>
      </c>
      <c r="D2668" s="417" t="s">
        <v>687</v>
      </c>
      <c r="E2668">
        <v>1390.1366333333301</v>
      </c>
      <c r="F2668">
        <v>11</v>
      </c>
      <c r="G2668">
        <v>126.376057575758</v>
      </c>
      <c r="H2668">
        <v>16.351516666666701</v>
      </c>
      <c r="I2668">
        <v>29.894702955403801</v>
      </c>
    </row>
    <row r="2669" spans="1:9" x14ac:dyDescent="0.35">
      <c r="A2669" s="417" t="s">
        <v>846</v>
      </c>
      <c r="B2669" s="417" t="s">
        <v>680</v>
      </c>
      <c r="C2669" s="83">
        <v>46142</v>
      </c>
      <c r="D2669" s="417" t="s">
        <v>690</v>
      </c>
      <c r="E2669">
        <v>1409.67626666667</v>
      </c>
      <c r="F2669">
        <v>11</v>
      </c>
      <c r="G2669">
        <v>128.15238787878801</v>
      </c>
      <c r="H2669">
        <v>7.0107833333333298</v>
      </c>
      <c r="I2669">
        <v>58.047566939569997</v>
      </c>
    </row>
    <row r="2670" spans="1:9" x14ac:dyDescent="0.35">
      <c r="A2670" s="417" t="s">
        <v>846</v>
      </c>
      <c r="B2670" s="417" t="s">
        <v>680</v>
      </c>
      <c r="C2670" s="83">
        <v>46142</v>
      </c>
      <c r="D2670" s="417" t="s">
        <v>686</v>
      </c>
      <c r="E2670">
        <v>1440</v>
      </c>
      <c r="F2670">
        <v>1</v>
      </c>
      <c r="G2670">
        <v>1440</v>
      </c>
      <c r="H2670">
        <v>0</v>
      </c>
      <c r="I2670">
        <v>25.171717171717201</v>
      </c>
    </row>
    <row r="2671" spans="1:9" x14ac:dyDescent="0.35">
      <c r="A2671" s="417" t="s">
        <v>846</v>
      </c>
      <c r="B2671" s="417" t="s">
        <v>691</v>
      </c>
      <c r="C2671" s="83">
        <v>46142</v>
      </c>
      <c r="D2671" s="417" t="s">
        <v>342</v>
      </c>
      <c r="E2671">
        <v>912.81528333333301</v>
      </c>
      <c r="F2671">
        <v>162</v>
      </c>
      <c r="G2671">
        <v>5.6346622427983499</v>
      </c>
      <c r="H2671">
        <v>324.92708333333297</v>
      </c>
      <c r="I2671">
        <v>33.670634920634903</v>
      </c>
    </row>
    <row r="2672" spans="1:9" x14ac:dyDescent="0.35">
      <c r="A2672" s="417" t="s">
        <v>846</v>
      </c>
      <c r="B2672" s="417" t="s">
        <v>691</v>
      </c>
      <c r="C2672" s="83">
        <v>46142</v>
      </c>
      <c r="D2672" s="417" t="s">
        <v>305</v>
      </c>
      <c r="E2672">
        <v>1329.0996</v>
      </c>
      <c r="F2672">
        <v>94</v>
      </c>
      <c r="G2672">
        <v>14.1393574468085</v>
      </c>
      <c r="H2672">
        <v>6.1352333333333302</v>
      </c>
      <c r="I2672">
        <v>52.4029803267319</v>
      </c>
    </row>
    <row r="2673" spans="1:9" x14ac:dyDescent="0.35">
      <c r="A2673" s="417" t="s">
        <v>846</v>
      </c>
      <c r="B2673" s="417" t="s">
        <v>691</v>
      </c>
      <c r="C2673" s="83">
        <v>46142</v>
      </c>
      <c r="D2673" s="417" t="s">
        <v>309</v>
      </c>
      <c r="E2673">
        <v>1346.6125</v>
      </c>
      <c r="F2673">
        <v>86</v>
      </c>
      <c r="G2673">
        <v>15.658284883720899</v>
      </c>
      <c r="H2673">
        <v>0.15663333333333301</v>
      </c>
      <c r="I2673">
        <v>58.140787267972001</v>
      </c>
    </row>
    <row r="2674" spans="1:9" x14ac:dyDescent="0.35">
      <c r="A2674" s="417" t="s">
        <v>846</v>
      </c>
      <c r="B2674" s="417" t="s">
        <v>691</v>
      </c>
      <c r="C2674" s="83">
        <v>46142</v>
      </c>
      <c r="D2674" s="417" t="s">
        <v>295</v>
      </c>
      <c r="E2674">
        <v>1176.8469500000001</v>
      </c>
      <c r="F2674">
        <v>85</v>
      </c>
      <c r="G2674">
        <v>13.8452582352941</v>
      </c>
      <c r="H2674">
        <v>0.74470000000000003</v>
      </c>
      <c r="I2674">
        <v>50.145502553338702</v>
      </c>
    </row>
    <row r="2675" spans="1:9" x14ac:dyDescent="0.35">
      <c r="A2675" s="417" t="s">
        <v>846</v>
      </c>
      <c r="B2675" s="417" t="s">
        <v>691</v>
      </c>
      <c r="C2675" s="83">
        <v>46142</v>
      </c>
      <c r="D2675" s="417" t="s">
        <v>313</v>
      </c>
      <c r="E2675">
        <v>802.56268333333298</v>
      </c>
      <c r="F2675">
        <v>78</v>
      </c>
      <c r="G2675">
        <v>10.289265170940199</v>
      </c>
      <c r="H2675">
        <v>0</v>
      </c>
      <c r="I2675">
        <v>20.944043904395802</v>
      </c>
    </row>
    <row r="2676" spans="1:9" x14ac:dyDescent="0.35">
      <c r="A2676" s="417" t="s">
        <v>846</v>
      </c>
      <c r="B2676" s="417" t="s">
        <v>691</v>
      </c>
      <c r="C2676" s="83">
        <v>46142</v>
      </c>
      <c r="D2676" s="417" t="s">
        <v>314</v>
      </c>
      <c r="E2676">
        <v>1203.26685</v>
      </c>
      <c r="F2676">
        <v>70</v>
      </c>
      <c r="G2676">
        <v>17.189526428571401</v>
      </c>
      <c r="H2676">
        <v>3.85036666666667</v>
      </c>
      <c r="I2676">
        <v>19.900378371542601</v>
      </c>
    </row>
    <row r="2677" spans="1:9" x14ac:dyDescent="0.35">
      <c r="A2677" s="417" t="s">
        <v>846</v>
      </c>
      <c r="B2677" s="417" t="s">
        <v>691</v>
      </c>
      <c r="C2677" s="83">
        <v>46142</v>
      </c>
      <c r="D2677" s="417" t="s">
        <v>303</v>
      </c>
      <c r="E2677">
        <v>1352.6147000000001</v>
      </c>
      <c r="F2677">
        <v>61</v>
      </c>
      <c r="G2677">
        <v>22.174011475409799</v>
      </c>
      <c r="H2677">
        <v>0.43023333333333302</v>
      </c>
      <c r="I2677">
        <v>39.224300401320697</v>
      </c>
    </row>
    <row r="2678" spans="1:9" x14ac:dyDescent="0.35">
      <c r="A2678" s="417" t="s">
        <v>846</v>
      </c>
      <c r="B2678" s="417" t="s">
        <v>691</v>
      </c>
      <c r="C2678" s="83">
        <v>46142</v>
      </c>
      <c r="D2678" s="417" t="s">
        <v>310</v>
      </c>
      <c r="E2678">
        <v>1107.2786333333299</v>
      </c>
      <c r="F2678">
        <v>49</v>
      </c>
      <c r="G2678">
        <v>22.597523129251702</v>
      </c>
      <c r="H2678">
        <v>3.96031666666667</v>
      </c>
      <c r="I2678">
        <v>21.889914343297999</v>
      </c>
    </row>
    <row r="2679" spans="1:9" x14ac:dyDescent="0.35">
      <c r="A2679" s="417" t="s">
        <v>846</v>
      </c>
      <c r="B2679" s="417" t="s">
        <v>691</v>
      </c>
      <c r="C2679" s="83">
        <v>46142</v>
      </c>
      <c r="D2679" s="417" t="s">
        <v>299</v>
      </c>
      <c r="E2679">
        <v>1360.13846666667</v>
      </c>
      <c r="F2679">
        <v>48</v>
      </c>
      <c r="G2679">
        <v>28.336218055555602</v>
      </c>
      <c r="H2679">
        <v>0.64271666666666705</v>
      </c>
      <c r="I2679">
        <v>50.516579077888103</v>
      </c>
    </row>
    <row r="2680" spans="1:9" x14ac:dyDescent="0.35">
      <c r="A2680" s="417" t="s">
        <v>846</v>
      </c>
      <c r="B2680" s="417" t="s">
        <v>691</v>
      </c>
      <c r="C2680" s="83">
        <v>46142</v>
      </c>
      <c r="D2680" s="417" t="s">
        <v>301</v>
      </c>
      <c r="E2680">
        <v>1401.73166666667</v>
      </c>
      <c r="F2680">
        <v>28</v>
      </c>
      <c r="G2680">
        <v>50.061845238095202</v>
      </c>
      <c r="H2680">
        <v>8.4333333333333291E-3</v>
      </c>
      <c r="I2680">
        <v>33.342975807977503</v>
      </c>
    </row>
    <row r="2681" spans="1:9" x14ac:dyDescent="0.35">
      <c r="A2681" s="417" t="s">
        <v>846</v>
      </c>
      <c r="B2681" s="417" t="s">
        <v>691</v>
      </c>
      <c r="C2681" s="83">
        <v>46142</v>
      </c>
      <c r="D2681" s="417" t="s">
        <v>317</v>
      </c>
      <c r="E2681">
        <v>1420.4621833333299</v>
      </c>
      <c r="F2681">
        <v>3</v>
      </c>
      <c r="G2681">
        <v>473.48739444444402</v>
      </c>
      <c r="H2681">
        <v>2.0766499999999999</v>
      </c>
      <c r="I2681">
        <v>15.3844657784972</v>
      </c>
    </row>
    <row r="2682" spans="1:9" x14ac:dyDescent="0.35">
      <c r="A2682" s="417" t="s">
        <v>846</v>
      </c>
      <c r="B2682" s="417" t="s">
        <v>691</v>
      </c>
      <c r="C2682" s="83">
        <v>46142</v>
      </c>
      <c r="D2682" s="417" t="s">
        <v>504</v>
      </c>
      <c r="E2682">
        <v>1320</v>
      </c>
      <c r="F2682">
        <v>1</v>
      </c>
      <c r="G2682">
        <v>1320</v>
      </c>
      <c r="H2682">
        <v>0</v>
      </c>
      <c r="I2682">
        <v>17.926936026936001</v>
      </c>
    </row>
    <row r="2683" spans="1:9" x14ac:dyDescent="0.35">
      <c r="A2683" s="417" t="s">
        <v>846</v>
      </c>
      <c r="B2683" s="417" t="s">
        <v>676</v>
      </c>
      <c r="C2683" s="83">
        <v>46141</v>
      </c>
      <c r="D2683" s="417" t="s">
        <v>677</v>
      </c>
      <c r="E2683">
        <v>1192.9834333333299</v>
      </c>
      <c r="F2683">
        <v>341</v>
      </c>
      <c r="G2683">
        <v>3.4984851417399798</v>
      </c>
      <c r="H2683">
        <v>214.00898333333299</v>
      </c>
      <c r="I2683">
        <v>39.573333333333402</v>
      </c>
    </row>
    <row r="2684" spans="1:9" x14ac:dyDescent="0.35">
      <c r="A2684" s="417" t="s">
        <v>846</v>
      </c>
      <c r="B2684" s="417" t="s">
        <v>676</v>
      </c>
      <c r="C2684" s="83">
        <v>46141</v>
      </c>
      <c r="D2684" s="417" t="s">
        <v>678</v>
      </c>
      <c r="E2684">
        <v>1244.35051666667</v>
      </c>
      <c r="F2684">
        <v>67</v>
      </c>
      <c r="G2684">
        <v>18.572395771144301</v>
      </c>
      <c r="H2684">
        <v>96.494500000000002</v>
      </c>
      <c r="I2684">
        <v>87.336018262347295</v>
      </c>
    </row>
    <row r="2685" spans="1:9" x14ac:dyDescent="0.35">
      <c r="A2685" s="417" t="s">
        <v>846</v>
      </c>
      <c r="B2685" s="417" t="s">
        <v>676</v>
      </c>
      <c r="C2685" s="83">
        <v>46141</v>
      </c>
      <c r="D2685" s="417" t="s">
        <v>679</v>
      </c>
      <c r="E2685">
        <v>1304.49313333333</v>
      </c>
      <c r="F2685">
        <v>26</v>
      </c>
      <c r="G2685">
        <v>50.172812820512803</v>
      </c>
      <c r="H2685">
        <v>35.832616666666702</v>
      </c>
      <c r="I2685">
        <v>92.803539938904507</v>
      </c>
    </row>
    <row r="2686" spans="1:9" x14ac:dyDescent="0.35">
      <c r="A2686" s="417" t="s">
        <v>846</v>
      </c>
      <c r="B2686" s="417" t="s">
        <v>680</v>
      </c>
      <c r="C2686" s="83">
        <v>46141</v>
      </c>
      <c r="D2686" s="417" t="s">
        <v>688</v>
      </c>
      <c r="E2686">
        <v>1347.7204999999999</v>
      </c>
      <c r="F2686">
        <v>72</v>
      </c>
      <c r="G2686">
        <v>18.718340277777799</v>
      </c>
      <c r="H2686">
        <v>15.493</v>
      </c>
      <c r="I2686">
        <v>68.614078636608099</v>
      </c>
    </row>
    <row r="2687" spans="1:9" x14ac:dyDescent="0.35">
      <c r="A2687" s="417" t="s">
        <v>846</v>
      </c>
      <c r="B2687" s="417" t="s">
        <v>680</v>
      </c>
      <c r="C2687" s="83">
        <v>46141</v>
      </c>
      <c r="D2687" s="417" t="s">
        <v>689</v>
      </c>
      <c r="E2687">
        <v>1392.4476666666701</v>
      </c>
      <c r="F2687">
        <v>50</v>
      </c>
      <c r="G2687">
        <v>27.848953333333299</v>
      </c>
      <c r="H2687">
        <v>0</v>
      </c>
      <c r="I2687">
        <v>89.778072332054407</v>
      </c>
    </row>
    <row r="2688" spans="1:9" x14ac:dyDescent="0.35">
      <c r="A2688" s="417" t="s">
        <v>846</v>
      </c>
      <c r="B2688" s="417" t="s">
        <v>680</v>
      </c>
      <c r="C2688" s="83">
        <v>46141</v>
      </c>
      <c r="D2688" s="417" t="s">
        <v>681</v>
      </c>
      <c r="E2688">
        <v>1340.8541</v>
      </c>
      <c r="F2688">
        <v>32</v>
      </c>
      <c r="G2688">
        <v>41.901690625000001</v>
      </c>
      <c r="H2688">
        <v>4.99315</v>
      </c>
      <c r="I2688">
        <v>69.964896905009994</v>
      </c>
    </row>
    <row r="2689" spans="1:9" x14ac:dyDescent="0.35">
      <c r="A2689" s="417" t="s">
        <v>846</v>
      </c>
      <c r="B2689" s="417" t="s">
        <v>680</v>
      </c>
      <c r="C2689" s="83">
        <v>46141</v>
      </c>
      <c r="D2689" s="417" t="s">
        <v>684</v>
      </c>
      <c r="E2689">
        <v>1421.98706666667</v>
      </c>
      <c r="F2689">
        <v>20</v>
      </c>
      <c r="G2689">
        <v>71.099353333333397</v>
      </c>
      <c r="H2689">
        <v>13.1800333333333</v>
      </c>
      <c r="I2689">
        <v>75.926278543516801</v>
      </c>
    </row>
    <row r="2690" spans="1:9" x14ac:dyDescent="0.35">
      <c r="A2690" s="417" t="s">
        <v>846</v>
      </c>
      <c r="B2690" s="417" t="s">
        <v>680</v>
      </c>
      <c r="C2690" s="83">
        <v>46141</v>
      </c>
      <c r="D2690" s="417" t="s">
        <v>682</v>
      </c>
      <c r="E2690">
        <v>1422.8339000000001</v>
      </c>
      <c r="F2690">
        <v>18</v>
      </c>
      <c r="G2690">
        <v>79.046327777777805</v>
      </c>
      <c r="H2690">
        <v>17.1661</v>
      </c>
      <c r="I2690">
        <v>75.560606060606105</v>
      </c>
    </row>
    <row r="2691" spans="1:9" x14ac:dyDescent="0.35">
      <c r="A2691" s="417" t="s">
        <v>846</v>
      </c>
      <c r="B2691" s="417" t="s">
        <v>680</v>
      </c>
      <c r="C2691" s="83">
        <v>46141</v>
      </c>
      <c r="D2691" s="417" t="s">
        <v>685</v>
      </c>
      <c r="E2691">
        <v>1419.54246666667</v>
      </c>
      <c r="F2691">
        <v>14</v>
      </c>
      <c r="G2691">
        <v>101.39589047619</v>
      </c>
      <c r="H2691">
        <v>5.4867999999999997</v>
      </c>
      <c r="I2691">
        <v>88.133903010243401</v>
      </c>
    </row>
    <row r="2692" spans="1:9" x14ac:dyDescent="0.35">
      <c r="A2692" s="417" t="s">
        <v>846</v>
      </c>
      <c r="B2692" s="417" t="s">
        <v>680</v>
      </c>
      <c r="C2692" s="83">
        <v>46141</v>
      </c>
      <c r="D2692" s="417" t="s">
        <v>683</v>
      </c>
      <c r="E2692">
        <v>1396.11926666667</v>
      </c>
      <c r="F2692">
        <v>14</v>
      </c>
      <c r="G2692">
        <v>99.722804761904797</v>
      </c>
      <c r="H2692">
        <v>4.3509333333333302</v>
      </c>
      <c r="I2692">
        <v>74.183315360154694</v>
      </c>
    </row>
    <row r="2693" spans="1:9" x14ac:dyDescent="0.35">
      <c r="A2693" s="417" t="s">
        <v>846</v>
      </c>
      <c r="B2693" s="417" t="s">
        <v>680</v>
      </c>
      <c r="C2693" s="83">
        <v>46141</v>
      </c>
      <c r="D2693" s="417" t="s">
        <v>690</v>
      </c>
      <c r="E2693">
        <v>1416.4632833333301</v>
      </c>
      <c r="F2693">
        <v>9</v>
      </c>
      <c r="G2693">
        <v>157.38480925925899</v>
      </c>
      <c r="H2693">
        <v>3.16503333333333</v>
      </c>
      <c r="I2693">
        <v>71.875646147708693</v>
      </c>
    </row>
    <row r="2694" spans="1:9" x14ac:dyDescent="0.35">
      <c r="A2694" s="417" t="s">
        <v>846</v>
      </c>
      <c r="B2694" s="417" t="s">
        <v>680</v>
      </c>
      <c r="C2694" s="83">
        <v>46141</v>
      </c>
      <c r="D2694" s="417" t="s">
        <v>687</v>
      </c>
      <c r="E2694">
        <v>1404.4898499999999</v>
      </c>
      <c r="F2694">
        <v>7</v>
      </c>
      <c r="G2694">
        <v>200.64140714285699</v>
      </c>
      <c r="H2694">
        <v>5.3332666666666704</v>
      </c>
      <c r="I2694">
        <v>31.125669293106402</v>
      </c>
    </row>
    <row r="2695" spans="1:9" x14ac:dyDescent="0.35">
      <c r="A2695" s="417" t="s">
        <v>846</v>
      </c>
      <c r="B2695" s="417" t="s">
        <v>680</v>
      </c>
      <c r="C2695" s="83">
        <v>46141</v>
      </c>
      <c r="D2695" s="417" t="s">
        <v>686</v>
      </c>
      <c r="E2695">
        <v>1440</v>
      </c>
      <c r="F2695">
        <v>1</v>
      </c>
      <c r="G2695">
        <v>1440</v>
      </c>
      <c r="H2695">
        <v>0</v>
      </c>
      <c r="I2695">
        <v>43.648358585858603</v>
      </c>
    </row>
    <row r="2696" spans="1:9" x14ac:dyDescent="0.35">
      <c r="A2696" s="417" t="s">
        <v>846</v>
      </c>
      <c r="B2696" s="417" t="s">
        <v>691</v>
      </c>
      <c r="C2696" s="83">
        <v>46141</v>
      </c>
      <c r="D2696" s="417" t="s">
        <v>314</v>
      </c>
      <c r="E2696">
        <v>1147.44906666667</v>
      </c>
      <c r="F2696">
        <v>125</v>
      </c>
      <c r="G2696">
        <v>9.1795925333333308</v>
      </c>
      <c r="H2696">
        <v>3.7900499999999999</v>
      </c>
      <c r="I2696">
        <v>40.589843490349701</v>
      </c>
    </row>
    <row r="2697" spans="1:9" x14ac:dyDescent="0.35">
      <c r="A2697" s="417" t="s">
        <v>846</v>
      </c>
      <c r="B2697" s="417" t="s">
        <v>691</v>
      </c>
      <c r="C2697" s="83">
        <v>46141</v>
      </c>
      <c r="D2697" s="417" t="s">
        <v>309</v>
      </c>
      <c r="E2697">
        <v>1263.5450166666701</v>
      </c>
      <c r="F2697">
        <v>116</v>
      </c>
      <c r="G2697">
        <v>10.892629454023</v>
      </c>
      <c r="H2697">
        <v>0.47835</v>
      </c>
      <c r="I2697">
        <v>43.744547567252503</v>
      </c>
    </row>
    <row r="2698" spans="1:9" x14ac:dyDescent="0.35">
      <c r="A2698" s="417" t="s">
        <v>846</v>
      </c>
      <c r="B2698" s="417" t="s">
        <v>691</v>
      </c>
      <c r="C2698" s="83">
        <v>46141</v>
      </c>
      <c r="D2698" s="417" t="s">
        <v>305</v>
      </c>
      <c r="E2698">
        <v>1288.0916833333299</v>
      </c>
      <c r="F2698">
        <v>108</v>
      </c>
      <c r="G2698">
        <v>11.926774845679001</v>
      </c>
      <c r="H2698">
        <v>2.36815</v>
      </c>
      <c r="I2698">
        <v>61.422149703586797</v>
      </c>
    </row>
    <row r="2699" spans="1:9" x14ac:dyDescent="0.35">
      <c r="A2699" s="417" t="s">
        <v>846</v>
      </c>
      <c r="B2699" s="417" t="s">
        <v>691</v>
      </c>
      <c r="C2699" s="83">
        <v>46141</v>
      </c>
      <c r="D2699" s="417" t="s">
        <v>299</v>
      </c>
      <c r="E2699">
        <v>1326.2938833333301</v>
      </c>
      <c r="F2699">
        <v>104</v>
      </c>
      <c r="G2699">
        <v>12.752825801282</v>
      </c>
      <c r="H2699">
        <v>0.34503333333333303</v>
      </c>
      <c r="I2699">
        <v>74.206268377449106</v>
      </c>
    </row>
    <row r="2700" spans="1:9" x14ac:dyDescent="0.35">
      <c r="A2700" s="417" t="s">
        <v>846</v>
      </c>
      <c r="B2700" s="417" t="s">
        <v>691</v>
      </c>
      <c r="C2700" s="83">
        <v>46141</v>
      </c>
      <c r="D2700" s="417" t="s">
        <v>301</v>
      </c>
      <c r="E2700">
        <v>1353.7817</v>
      </c>
      <c r="F2700">
        <v>70</v>
      </c>
      <c r="G2700">
        <v>19.339738571428601</v>
      </c>
      <c r="H2700">
        <v>9.4681999999999995</v>
      </c>
      <c r="I2700">
        <v>55.548867460786397</v>
      </c>
    </row>
    <row r="2701" spans="1:9" x14ac:dyDescent="0.35">
      <c r="A2701" s="417" t="s">
        <v>846</v>
      </c>
      <c r="B2701" s="417" t="s">
        <v>691</v>
      </c>
      <c r="C2701" s="83">
        <v>46141</v>
      </c>
      <c r="D2701" s="417" t="s">
        <v>342</v>
      </c>
      <c r="E2701">
        <v>694.57479999999998</v>
      </c>
      <c r="F2701">
        <v>60</v>
      </c>
      <c r="G2701">
        <v>11.5762466666667</v>
      </c>
      <c r="H2701">
        <v>118.8159</v>
      </c>
      <c r="I2701">
        <v>13.452380952381001</v>
      </c>
    </row>
    <row r="2702" spans="1:9" x14ac:dyDescent="0.35">
      <c r="A2702" s="417" t="s">
        <v>846</v>
      </c>
      <c r="B2702" s="417" t="s">
        <v>691</v>
      </c>
      <c r="C2702" s="83">
        <v>46141</v>
      </c>
      <c r="D2702" s="417" t="s">
        <v>295</v>
      </c>
      <c r="E2702">
        <v>1353.95546666667</v>
      </c>
      <c r="F2702">
        <v>57</v>
      </c>
      <c r="G2702">
        <v>23.753604678362599</v>
      </c>
      <c r="H2702">
        <v>0.426366666666667</v>
      </c>
      <c r="I2702">
        <v>76.595075482555103</v>
      </c>
    </row>
    <row r="2703" spans="1:9" x14ac:dyDescent="0.35">
      <c r="A2703" s="417" t="s">
        <v>846</v>
      </c>
      <c r="B2703" s="417" t="s">
        <v>691</v>
      </c>
      <c r="C2703" s="83">
        <v>46141</v>
      </c>
      <c r="D2703" s="417" t="s">
        <v>303</v>
      </c>
      <c r="E2703">
        <v>1368.68286666667</v>
      </c>
      <c r="F2703">
        <v>50</v>
      </c>
      <c r="G2703">
        <v>27.373657333333298</v>
      </c>
      <c r="H2703">
        <v>0.53174999999999994</v>
      </c>
      <c r="I2703">
        <v>53.853701043052197</v>
      </c>
    </row>
    <row r="2704" spans="1:9" x14ac:dyDescent="0.35">
      <c r="A2704" s="417" t="s">
        <v>846</v>
      </c>
      <c r="B2704" s="417" t="s">
        <v>691</v>
      </c>
      <c r="C2704" s="83">
        <v>46141</v>
      </c>
      <c r="D2704" s="417" t="s">
        <v>313</v>
      </c>
      <c r="E2704">
        <v>1297.8806500000001</v>
      </c>
      <c r="F2704">
        <v>32</v>
      </c>
      <c r="G2704">
        <v>40.558770312500002</v>
      </c>
      <c r="H2704">
        <v>1.6883333333333299E-2</v>
      </c>
      <c r="I2704">
        <v>58.479797001521902</v>
      </c>
    </row>
    <row r="2705" spans="1:9" x14ac:dyDescent="0.35">
      <c r="A2705" s="417" t="s">
        <v>846</v>
      </c>
      <c r="B2705" s="417" t="s">
        <v>691</v>
      </c>
      <c r="C2705" s="83">
        <v>46141</v>
      </c>
      <c r="D2705" s="417" t="s">
        <v>310</v>
      </c>
      <c r="E2705">
        <v>1332.6777833333299</v>
      </c>
      <c r="F2705">
        <v>32</v>
      </c>
      <c r="G2705">
        <v>41.646180729166701</v>
      </c>
      <c r="H2705">
        <v>1.7928500000000001</v>
      </c>
      <c r="I2705">
        <v>59.352252774418297</v>
      </c>
    </row>
    <row r="2706" spans="1:9" x14ac:dyDescent="0.35">
      <c r="A2706" s="417" t="s">
        <v>846</v>
      </c>
      <c r="B2706" s="417" t="s">
        <v>691</v>
      </c>
      <c r="C2706" s="83">
        <v>46141</v>
      </c>
      <c r="D2706" s="417" t="s">
        <v>317</v>
      </c>
      <c r="E2706">
        <v>1430.1310333333299</v>
      </c>
      <c r="F2706">
        <v>2</v>
      </c>
      <c r="G2706">
        <v>715.06551666666701</v>
      </c>
      <c r="H2706">
        <v>1.7665500000000001</v>
      </c>
      <c r="I2706">
        <v>33.574328610909099</v>
      </c>
    </row>
    <row r="2707" spans="1:9" x14ac:dyDescent="0.35">
      <c r="A2707" s="417" t="s">
        <v>846</v>
      </c>
      <c r="B2707" s="417" t="s">
        <v>691</v>
      </c>
      <c r="C2707" s="83">
        <v>46141</v>
      </c>
      <c r="D2707" s="417" t="s">
        <v>504</v>
      </c>
      <c r="E2707">
        <v>1440</v>
      </c>
      <c r="F2707">
        <v>1</v>
      </c>
      <c r="G2707">
        <v>1440</v>
      </c>
      <c r="H2707">
        <v>0</v>
      </c>
      <c r="I2707">
        <v>13.8885802469136</v>
      </c>
    </row>
    <row r="2708" spans="1:9" x14ac:dyDescent="0.35">
      <c r="A2708" s="417" t="s">
        <v>846</v>
      </c>
      <c r="B2708" s="417" t="s">
        <v>676</v>
      </c>
      <c r="C2708" s="83">
        <v>46140</v>
      </c>
      <c r="D2708" s="417" t="s">
        <v>677</v>
      </c>
      <c r="E2708">
        <v>1216.3570666666701</v>
      </c>
      <c r="F2708">
        <v>269</v>
      </c>
      <c r="G2708">
        <v>4.52177348203222</v>
      </c>
      <c r="H2708">
        <v>150.635083333333</v>
      </c>
      <c r="I2708">
        <v>42.297777777777803</v>
      </c>
    </row>
    <row r="2709" spans="1:9" x14ac:dyDescent="0.35">
      <c r="A2709" s="417" t="s">
        <v>846</v>
      </c>
      <c r="B2709" s="417" t="s">
        <v>676</v>
      </c>
      <c r="C2709" s="83">
        <v>46140</v>
      </c>
      <c r="D2709" s="417" t="s">
        <v>678</v>
      </c>
      <c r="E2709">
        <v>1312.98761666667</v>
      </c>
      <c r="F2709">
        <v>62</v>
      </c>
      <c r="G2709">
        <v>21.177219623655901</v>
      </c>
      <c r="H2709">
        <v>52.1803666666667</v>
      </c>
      <c r="I2709">
        <v>80.897492480748298</v>
      </c>
    </row>
    <row r="2710" spans="1:9" x14ac:dyDescent="0.35">
      <c r="A2710" s="417" t="s">
        <v>846</v>
      </c>
      <c r="B2710" s="417" t="s">
        <v>676</v>
      </c>
      <c r="C2710" s="83">
        <v>46140</v>
      </c>
      <c r="D2710" s="417" t="s">
        <v>679</v>
      </c>
      <c r="E2710">
        <v>1338.7819</v>
      </c>
      <c r="F2710">
        <v>17</v>
      </c>
      <c r="G2710">
        <v>78.751876470588201</v>
      </c>
      <c r="H2710">
        <v>19.2989833333333</v>
      </c>
      <c r="I2710">
        <v>90.492209120221204</v>
      </c>
    </row>
    <row r="2711" spans="1:9" x14ac:dyDescent="0.35">
      <c r="A2711" s="417" t="s">
        <v>846</v>
      </c>
      <c r="B2711" s="417" t="s">
        <v>680</v>
      </c>
      <c r="C2711" s="83">
        <v>46140</v>
      </c>
      <c r="D2711" s="417" t="s">
        <v>688</v>
      </c>
      <c r="E2711">
        <v>1385.0841499999999</v>
      </c>
      <c r="F2711">
        <v>68</v>
      </c>
      <c r="G2711">
        <v>20.368884558823499</v>
      </c>
      <c r="H2711">
        <v>10.50365</v>
      </c>
      <c r="I2711">
        <v>78.443954424620202</v>
      </c>
    </row>
    <row r="2712" spans="1:9" x14ac:dyDescent="0.35">
      <c r="A2712" s="417" t="s">
        <v>846</v>
      </c>
      <c r="B2712" s="417" t="s">
        <v>680</v>
      </c>
      <c r="C2712" s="83">
        <v>46140</v>
      </c>
      <c r="D2712" s="417" t="s">
        <v>689</v>
      </c>
      <c r="E2712">
        <v>1382.7429999999999</v>
      </c>
      <c r="F2712">
        <v>55</v>
      </c>
      <c r="G2712">
        <v>25.1407818181818</v>
      </c>
      <c r="H2712">
        <v>0.16693333333333299</v>
      </c>
      <c r="I2712">
        <v>84.493952495203203</v>
      </c>
    </row>
    <row r="2713" spans="1:9" x14ac:dyDescent="0.35">
      <c r="A2713" s="417" t="s">
        <v>846</v>
      </c>
      <c r="B2713" s="417" t="s">
        <v>680</v>
      </c>
      <c r="C2713" s="83">
        <v>46140</v>
      </c>
      <c r="D2713" s="417" t="s">
        <v>682</v>
      </c>
      <c r="E2713">
        <v>1394.7254666666699</v>
      </c>
      <c r="F2713">
        <v>33</v>
      </c>
      <c r="G2713">
        <v>42.264408080808103</v>
      </c>
      <c r="H2713">
        <v>28.607500000000002</v>
      </c>
      <c r="I2713">
        <v>73.045454545454604</v>
      </c>
    </row>
    <row r="2714" spans="1:9" x14ac:dyDescent="0.35">
      <c r="A2714" s="417" t="s">
        <v>846</v>
      </c>
      <c r="B2714" s="417" t="s">
        <v>680</v>
      </c>
      <c r="C2714" s="83">
        <v>46140</v>
      </c>
      <c r="D2714" s="417" t="s">
        <v>685</v>
      </c>
      <c r="E2714">
        <v>1375.0043166666701</v>
      </c>
      <c r="F2714">
        <v>24</v>
      </c>
      <c r="G2714">
        <v>57.2918465277778</v>
      </c>
      <c r="H2714">
        <v>25.805316666666702</v>
      </c>
      <c r="I2714">
        <v>81.623667404224406</v>
      </c>
    </row>
    <row r="2715" spans="1:9" x14ac:dyDescent="0.35">
      <c r="A2715" s="417" t="s">
        <v>846</v>
      </c>
      <c r="B2715" s="417" t="s">
        <v>680</v>
      </c>
      <c r="C2715" s="83">
        <v>46140</v>
      </c>
      <c r="D2715" s="417" t="s">
        <v>681</v>
      </c>
      <c r="E2715">
        <v>1405.68841666667</v>
      </c>
      <c r="F2715">
        <v>21</v>
      </c>
      <c r="G2715">
        <v>66.9375436507936</v>
      </c>
      <c r="H2715">
        <v>0</v>
      </c>
      <c r="I2715">
        <v>80.567090582236105</v>
      </c>
    </row>
    <row r="2716" spans="1:9" x14ac:dyDescent="0.35">
      <c r="A2716" s="417" t="s">
        <v>846</v>
      </c>
      <c r="B2716" s="417" t="s">
        <v>680</v>
      </c>
      <c r="C2716" s="83">
        <v>46140</v>
      </c>
      <c r="D2716" s="417" t="s">
        <v>690</v>
      </c>
      <c r="E2716">
        <v>1407.16253333333</v>
      </c>
      <c r="F2716">
        <v>19</v>
      </c>
      <c r="G2716">
        <v>74.061185964912298</v>
      </c>
      <c r="H2716">
        <v>4.03775</v>
      </c>
      <c r="I2716">
        <v>71.862280631869993</v>
      </c>
    </row>
    <row r="2717" spans="1:9" x14ac:dyDescent="0.35">
      <c r="A2717" s="417" t="s">
        <v>846</v>
      </c>
      <c r="B2717" s="417" t="s">
        <v>680</v>
      </c>
      <c r="C2717" s="83">
        <v>46140</v>
      </c>
      <c r="D2717" s="417" t="s">
        <v>684</v>
      </c>
      <c r="E2717">
        <v>1418.2515000000001</v>
      </c>
      <c r="F2717">
        <v>16</v>
      </c>
      <c r="G2717">
        <v>88.640718750000005</v>
      </c>
      <c r="H2717">
        <v>9.3722166666666702</v>
      </c>
      <c r="I2717">
        <v>74.461582987563602</v>
      </c>
    </row>
    <row r="2718" spans="1:9" x14ac:dyDescent="0.35">
      <c r="A2718" s="417" t="s">
        <v>846</v>
      </c>
      <c r="B2718" s="417" t="s">
        <v>680</v>
      </c>
      <c r="C2718" s="83">
        <v>46140</v>
      </c>
      <c r="D2718" s="417" t="s">
        <v>683</v>
      </c>
      <c r="E2718">
        <v>1412.3557000000001</v>
      </c>
      <c r="F2718">
        <v>13</v>
      </c>
      <c r="G2718">
        <v>108.64274615384601</v>
      </c>
      <c r="H2718">
        <v>1.0368666666666699</v>
      </c>
      <c r="I2718">
        <v>72.667015915043294</v>
      </c>
    </row>
    <row r="2719" spans="1:9" x14ac:dyDescent="0.35">
      <c r="A2719" s="417" t="s">
        <v>846</v>
      </c>
      <c r="B2719" s="417" t="s">
        <v>680</v>
      </c>
      <c r="C2719" s="83">
        <v>46140</v>
      </c>
      <c r="D2719" s="417" t="s">
        <v>687</v>
      </c>
      <c r="E2719">
        <v>1393.61868333333</v>
      </c>
      <c r="F2719">
        <v>7</v>
      </c>
      <c r="G2719">
        <v>199.08838333333301</v>
      </c>
      <c r="H2719">
        <v>14.113</v>
      </c>
      <c r="I2719">
        <v>32.6143912067065</v>
      </c>
    </row>
    <row r="2720" spans="1:9" x14ac:dyDescent="0.35">
      <c r="A2720" s="417" t="s">
        <v>846</v>
      </c>
      <c r="B2720" s="417" t="s">
        <v>680</v>
      </c>
      <c r="C2720" s="83">
        <v>46140</v>
      </c>
      <c r="D2720" s="417" t="s">
        <v>686</v>
      </c>
      <c r="E2720">
        <v>1440</v>
      </c>
      <c r="F2720">
        <v>1</v>
      </c>
      <c r="G2720">
        <v>1440</v>
      </c>
      <c r="H2720">
        <v>0</v>
      </c>
      <c r="I2720">
        <v>76.811237373737399</v>
      </c>
    </row>
    <row r="2721" spans="1:9" x14ac:dyDescent="0.35">
      <c r="A2721" s="417" t="s">
        <v>846</v>
      </c>
      <c r="B2721" s="417" t="s">
        <v>691</v>
      </c>
      <c r="C2721" s="83">
        <v>46140</v>
      </c>
      <c r="D2721" s="417" t="s">
        <v>305</v>
      </c>
      <c r="E2721">
        <v>1002.96813333333</v>
      </c>
      <c r="F2721">
        <v>111</v>
      </c>
      <c r="G2721">
        <v>9.0357489489489495</v>
      </c>
      <c r="H2721">
        <v>0.55610000000000004</v>
      </c>
      <c r="I2721">
        <v>32.965984734977603</v>
      </c>
    </row>
    <row r="2722" spans="1:9" x14ac:dyDescent="0.35">
      <c r="A2722" s="417" t="s">
        <v>846</v>
      </c>
      <c r="B2722" s="417" t="s">
        <v>691</v>
      </c>
      <c r="C2722" s="83">
        <v>46140</v>
      </c>
      <c r="D2722" s="417" t="s">
        <v>309</v>
      </c>
      <c r="E2722">
        <v>1002.15581666667</v>
      </c>
      <c r="F2722">
        <v>66</v>
      </c>
      <c r="G2722">
        <v>15.184179040404</v>
      </c>
      <c r="H2722">
        <v>0</v>
      </c>
      <c r="I2722">
        <v>32.469313777341497</v>
      </c>
    </row>
    <row r="2723" spans="1:9" x14ac:dyDescent="0.35">
      <c r="A2723" s="417" t="s">
        <v>846</v>
      </c>
      <c r="B2723" s="417" t="s">
        <v>691</v>
      </c>
      <c r="C2723" s="83">
        <v>46140</v>
      </c>
      <c r="D2723" s="417" t="s">
        <v>299</v>
      </c>
      <c r="E2723">
        <v>997.74013333333301</v>
      </c>
      <c r="F2723">
        <v>55</v>
      </c>
      <c r="G2723">
        <v>18.1407296969697</v>
      </c>
      <c r="H2723">
        <v>6.78666666666667E-2</v>
      </c>
      <c r="I2723">
        <v>55.892114808823997</v>
      </c>
    </row>
    <row r="2724" spans="1:9" x14ac:dyDescent="0.35">
      <c r="A2724" s="417" t="s">
        <v>846</v>
      </c>
      <c r="B2724" s="417" t="s">
        <v>691</v>
      </c>
      <c r="C2724" s="83">
        <v>46140</v>
      </c>
      <c r="D2724" s="417" t="s">
        <v>301</v>
      </c>
      <c r="E2724">
        <v>962.36013333333301</v>
      </c>
      <c r="F2724">
        <v>38</v>
      </c>
      <c r="G2724">
        <v>25.3252666666667</v>
      </c>
      <c r="H2724">
        <v>0.47575000000000001</v>
      </c>
      <c r="I2724">
        <v>50.274155150319203</v>
      </c>
    </row>
    <row r="2725" spans="1:9" x14ac:dyDescent="0.35">
      <c r="A2725" s="417" t="s">
        <v>846</v>
      </c>
      <c r="B2725" s="417" t="s">
        <v>691</v>
      </c>
      <c r="C2725" s="83">
        <v>46140</v>
      </c>
      <c r="D2725" s="417" t="s">
        <v>303</v>
      </c>
      <c r="E2725">
        <v>1353.2093833333299</v>
      </c>
      <c r="F2725">
        <v>29</v>
      </c>
      <c r="G2725">
        <v>46.662392528735602</v>
      </c>
      <c r="H2725">
        <v>0.19839999999999999</v>
      </c>
      <c r="I2725">
        <v>28.608553141665599</v>
      </c>
    </row>
    <row r="2726" spans="1:9" x14ac:dyDescent="0.35">
      <c r="A2726" s="417" t="s">
        <v>846</v>
      </c>
      <c r="B2726" s="417" t="s">
        <v>691</v>
      </c>
      <c r="C2726" s="83">
        <v>46140</v>
      </c>
      <c r="D2726" s="417" t="s">
        <v>295</v>
      </c>
      <c r="E2726">
        <v>1354.1527166666699</v>
      </c>
      <c r="F2726">
        <v>27</v>
      </c>
      <c r="G2726">
        <v>50.153804320987703</v>
      </c>
      <c r="H2726">
        <v>0</v>
      </c>
      <c r="I2726">
        <v>37.944276211870303</v>
      </c>
    </row>
    <row r="2727" spans="1:9" x14ac:dyDescent="0.35">
      <c r="A2727" s="417" t="s">
        <v>846</v>
      </c>
      <c r="B2727" s="417" t="s">
        <v>691</v>
      </c>
      <c r="C2727" s="83">
        <v>46140</v>
      </c>
      <c r="D2727" s="417" t="s">
        <v>342</v>
      </c>
      <c r="E2727">
        <v>780.18025</v>
      </c>
      <c r="F2727">
        <v>21</v>
      </c>
      <c r="G2727">
        <v>37.151440476190501</v>
      </c>
      <c r="H2727">
        <v>41.193383333333301</v>
      </c>
      <c r="I2727">
        <v>41.385419769724997</v>
      </c>
    </row>
    <row r="2728" spans="1:9" x14ac:dyDescent="0.35">
      <c r="A2728" s="417" t="s">
        <v>846</v>
      </c>
      <c r="B2728" s="417" t="s">
        <v>691</v>
      </c>
      <c r="C2728" s="83">
        <v>46140</v>
      </c>
      <c r="D2728" s="417" t="s">
        <v>313</v>
      </c>
      <c r="E2728">
        <v>1389.21053333333</v>
      </c>
      <c r="F2728">
        <v>9</v>
      </c>
      <c r="G2728">
        <v>154.35672592592601</v>
      </c>
      <c r="H2728">
        <v>4.4814666666666696</v>
      </c>
      <c r="I2728">
        <v>38.782806265366297</v>
      </c>
    </row>
    <row r="2729" spans="1:9" x14ac:dyDescent="0.35">
      <c r="A2729" s="417" t="s">
        <v>846</v>
      </c>
      <c r="B2729" s="417" t="s">
        <v>691</v>
      </c>
      <c r="C2729" s="83">
        <v>46140</v>
      </c>
      <c r="D2729" s="417" t="s">
        <v>310</v>
      </c>
      <c r="E2729">
        <v>1357.19898333333</v>
      </c>
      <c r="F2729">
        <v>5</v>
      </c>
      <c r="G2729">
        <v>271.43979666666701</v>
      </c>
      <c r="H2729">
        <v>0</v>
      </c>
      <c r="I2729">
        <v>36.873643906115497</v>
      </c>
    </row>
    <row r="2730" spans="1:9" x14ac:dyDescent="0.35">
      <c r="A2730" s="417" t="s">
        <v>846</v>
      </c>
      <c r="B2730" s="417" t="s">
        <v>691</v>
      </c>
      <c r="C2730" s="83">
        <v>46140</v>
      </c>
      <c r="D2730" s="417" t="s">
        <v>314</v>
      </c>
      <c r="E2730">
        <v>1435.52078333333</v>
      </c>
      <c r="F2730">
        <v>4</v>
      </c>
      <c r="G2730">
        <v>358.880195833333</v>
      </c>
      <c r="H2730">
        <v>5.0333333333333299E-2</v>
      </c>
      <c r="I2730">
        <v>33.860891376402598</v>
      </c>
    </row>
    <row r="2731" spans="1:9" x14ac:dyDescent="0.35">
      <c r="A2731" s="417" t="s">
        <v>846</v>
      </c>
      <c r="B2731" s="417" t="s">
        <v>691</v>
      </c>
      <c r="C2731" s="83">
        <v>46140</v>
      </c>
      <c r="D2731" s="417" t="s">
        <v>317</v>
      </c>
      <c r="E2731">
        <v>1436.75551666667</v>
      </c>
      <c r="F2731">
        <v>1</v>
      </c>
      <c r="G2731">
        <v>1436.75551666667</v>
      </c>
      <c r="H2731">
        <v>0</v>
      </c>
      <c r="I2731">
        <v>23.420825331556401</v>
      </c>
    </row>
    <row r="2732" spans="1:9" x14ac:dyDescent="0.35">
      <c r="A2732" s="417" t="s">
        <v>846</v>
      </c>
      <c r="B2732" s="417" t="s">
        <v>691</v>
      </c>
      <c r="C2732" s="83">
        <v>46140</v>
      </c>
      <c r="D2732" s="417" t="s">
        <v>504</v>
      </c>
      <c r="E2732">
        <v>960</v>
      </c>
      <c r="F2732">
        <v>1</v>
      </c>
      <c r="G2732">
        <v>960</v>
      </c>
      <c r="H2732">
        <v>0</v>
      </c>
      <c r="I2732">
        <v>19.358333333333299</v>
      </c>
    </row>
    <row r="2733" spans="1:9" x14ac:dyDescent="0.35">
      <c r="A2733" s="417" t="s">
        <v>846</v>
      </c>
      <c r="B2733" s="417" t="s">
        <v>676</v>
      </c>
      <c r="C2733" s="83">
        <v>46139</v>
      </c>
      <c r="D2733" s="417" t="s">
        <v>677</v>
      </c>
      <c r="E2733">
        <v>1279.6747333333301</v>
      </c>
      <c r="F2733">
        <v>334</v>
      </c>
      <c r="G2733">
        <v>3.8313614770459101</v>
      </c>
      <c r="H2733">
        <v>160.32526666666701</v>
      </c>
      <c r="I2733">
        <v>50.7430555555555</v>
      </c>
    </row>
    <row r="2734" spans="1:9" x14ac:dyDescent="0.35">
      <c r="A2734" s="417" t="s">
        <v>846</v>
      </c>
      <c r="B2734" s="417" t="s">
        <v>676</v>
      </c>
      <c r="C2734" s="83">
        <v>46139</v>
      </c>
      <c r="D2734" s="417" t="s">
        <v>678</v>
      </c>
      <c r="E2734">
        <v>1386.0299500000001</v>
      </c>
      <c r="F2734">
        <v>23</v>
      </c>
      <c r="G2734">
        <v>60.262171739130402</v>
      </c>
      <c r="H2734">
        <v>16.651033333333299</v>
      </c>
      <c r="I2734">
        <v>104.61513944386</v>
      </c>
    </row>
    <row r="2735" spans="1:9" x14ac:dyDescent="0.35">
      <c r="A2735" s="417" t="s">
        <v>846</v>
      </c>
      <c r="B2735" s="417" t="s">
        <v>676</v>
      </c>
      <c r="C2735" s="83">
        <v>46139</v>
      </c>
      <c r="D2735" s="417" t="s">
        <v>679</v>
      </c>
      <c r="E2735">
        <v>1388.49446666667</v>
      </c>
      <c r="F2735">
        <v>21</v>
      </c>
      <c r="G2735">
        <v>66.118784126984096</v>
      </c>
      <c r="H2735">
        <v>14.3225</v>
      </c>
      <c r="I2735">
        <v>98.560731693459999</v>
      </c>
    </row>
    <row r="2736" spans="1:9" x14ac:dyDescent="0.35">
      <c r="A2736" s="417" t="s">
        <v>846</v>
      </c>
      <c r="B2736" s="417" t="s">
        <v>680</v>
      </c>
      <c r="C2736" s="83">
        <v>46139</v>
      </c>
      <c r="D2736" s="417" t="s">
        <v>688</v>
      </c>
      <c r="E2736">
        <v>1392.1547</v>
      </c>
      <c r="F2736">
        <v>48</v>
      </c>
      <c r="G2736">
        <v>29.003222916666701</v>
      </c>
      <c r="H2736">
        <v>11.677099999999999</v>
      </c>
      <c r="I2736">
        <v>79.825123896529206</v>
      </c>
    </row>
    <row r="2737" spans="1:9" x14ac:dyDescent="0.35">
      <c r="A2737" s="417" t="s">
        <v>846</v>
      </c>
      <c r="B2737" s="417" t="s">
        <v>680</v>
      </c>
      <c r="C2737" s="83">
        <v>46139</v>
      </c>
      <c r="D2737" s="417" t="s">
        <v>689</v>
      </c>
      <c r="E2737">
        <v>1362.5252333333301</v>
      </c>
      <c r="F2737">
        <v>37</v>
      </c>
      <c r="G2737">
        <v>36.8250063063063</v>
      </c>
      <c r="H2737">
        <v>1.9838833333333299</v>
      </c>
      <c r="I2737">
        <v>92.058000111791998</v>
      </c>
    </row>
    <row r="2738" spans="1:9" x14ac:dyDescent="0.35">
      <c r="A2738" s="417" t="s">
        <v>846</v>
      </c>
      <c r="B2738" s="417" t="s">
        <v>680</v>
      </c>
      <c r="C2738" s="83">
        <v>46139</v>
      </c>
      <c r="D2738" s="417" t="s">
        <v>683</v>
      </c>
      <c r="E2738">
        <v>1392.8245833333301</v>
      </c>
      <c r="F2738">
        <v>29</v>
      </c>
      <c r="G2738">
        <v>48.028433908045997</v>
      </c>
      <c r="H2738">
        <v>3.8342833333333299</v>
      </c>
      <c r="I2738">
        <v>82.057201314172005</v>
      </c>
    </row>
    <row r="2739" spans="1:9" x14ac:dyDescent="0.35">
      <c r="A2739" s="417" t="s">
        <v>846</v>
      </c>
      <c r="B2739" s="417" t="s">
        <v>680</v>
      </c>
      <c r="C2739" s="83">
        <v>46139</v>
      </c>
      <c r="D2739" s="417" t="s">
        <v>684</v>
      </c>
      <c r="E2739">
        <v>1393.498</v>
      </c>
      <c r="F2739">
        <v>22</v>
      </c>
      <c r="G2739">
        <v>63.3408181818182</v>
      </c>
      <c r="H2739">
        <v>16.5126666666667</v>
      </c>
      <c r="I2739">
        <v>73.788063562509706</v>
      </c>
    </row>
    <row r="2740" spans="1:9" x14ac:dyDescent="0.35">
      <c r="A2740" s="417" t="s">
        <v>846</v>
      </c>
      <c r="B2740" s="417" t="s">
        <v>680</v>
      </c>
      <c r="C2740" s="83">
        <v>46139</v>
      </c>
      <c r="D2740" s="417" t="s">
        <v>682</v>
      </c>
      <c r="E2740">
        <v>1412.0206499999999</v>
      </c>
      <c r="F2740">
        <v>19</v>
      </c>
      <c r="G2740">
        <v>74.3168763157895</v>
      </c>
      <c r="H2740">
        <v>27.97935</v>
      </c>
      <c r="I2740">
        <v>72.878787878787904</v>
      </c>
    </row>
    <row r="2741" spans="1:9" x14ac:dyDescent="0.35">
      <c r="A2741" s="417" t="s">
        <v>846</v>
      </c>
      <c r="B2741" s="417" t="s">
        <v>680</v>
      </c>
      <c r="C2741" s="83">
        <v>46139</v>
      </c>
      <c r="D2741" s="417" t="s">
        <v>685</v>
      </c>
      <c r="E2741">
        <v>1406.33216666667</v>
      </c>
      <c r="F2741">
        <v>18</v>
      </c>
      <c r="G2741">
        <v>78.129564814814799</v>
      </c>
      <c r="H2741">
        <v>8.1714000000000002</v>
      </c>
      <c r="I2741">
        <v>87.195775098090394</v>
      </c>
    </row>
    <row r="2742" spans="1:9" x14ac:dyDescent="0.35">
      <c r="A2742" s="417" t="s">
        <v>846</v>
      </c>
      <c r="B2742" s="417" t="s">
        <v>680</v>
      </c>
      <c r="C2742" s="83">
        <v>46139</v>
      </c>
      <c r="D2742" s="417" t="s">
        <v>681</v>
      </c>
      <c r="E2742">
        <v>1421.6779833333301</v>
      </c>
      <c r="F2742">
        <v>12</v>
      </c>
      <c r="G2742">
        <v>118.47316527777799</v>
      </c>
      <c r="H2742">
        <v>0</v>
      </c>
      <c r="I2742">
        <v>82.179099883501905</v>
      </c>
    </row>
    <row r="2743" spans="1:9" x14ac:dyDescent="0.35">
      <c r="A2743" s="417" t="s">
        <v>846</v>
      </c>
      <c r="B2743" s="417" t="s">
        <v>680</v>
      </c>
      <c r="C2743" s="83">
        <v>46139</v>
      </c>
      <c r="D2743" s="417" t="s">
        <v>690</v>
      </c>
      <c r="E2743">
        <v>1416.6855499999999</v>
      </c>
      <c r="F2743">
        <v>7</v>
      </c>
      <c r="G2743">
        <v>202.38364999999999</v>
      </c>
      <c r="H2743">
        <v>3.1514833333333301</v>
      </c>
      <c r="I2743">
        <v>75.017881175662893</v>
      </c>
    </row>
    <row r="2744" spans="1:9" x14ac:dyDescent="0.35">
      <c r="A2744" s="417" t="s">
        <v>846</v>
      </c>
      <c r="B2744" s="417" t="s">
        <v>680</v>
      </c>
      <c r="C2744" s="83">
        <v>46139</v>
      </c>
      <c r="D2744" s="417" t="s">
        <v>687</v>
      </c>
      <c r="E2744">
        <v>1431.8253</v>
      </c>
      <c r="F2744">
        <v>6</v>
      </c>
      <c r="G2744">
        <v>238.63755</v>
      </c>
      <c r="H2744">
        <v>1.8330833333333301</v>
      </c>
      <c r="I2744">
        <v>30.727112072373998</v>
      </c>
    </row>
    <row r="2745" spans="1:9" x14ac:dyDescent="0.35">
      <c r="A2745" s="417" t="s">
        <v>846</v>
      </c>
      <c r="B2745" s="417" t="s">
        <v>680</v>
      </c>
      <c r="C2745" s="83">
        <v>46139</v>
      </c>
      <c r="D2745" s="417" t="s">
        <v>686</v>
      </c>
      <c r="E2745">
        <v>1440</v>
      </c>
      <c r="F2745">
        <v>1</v>
      </c>
      <c r="G2745">
        <v>1440</v>
      </c>
      <c r="H2745">
        <v>0</v>
      </c>
      <c r="I2745">
        <v>72.702020202020194</v>
      </c>
    </row>
    <row r="2746" spans="1:9" x14ac:dyDescent="0.35">
      <c r="A2746" s="417" t="s">
        <v>846</v>
      </c>
      <c r="B2746" s="417" t="s">
        <v>691</v>
      </c>
      <c r="C2746" s="83">
        <v>46139</v>
      </c>
      <c r="D2746" s="417" t="s">
        <v>305</v>
      </c>
      <c r="E2746">
        <v>1262.99618333333</v>
      </c>
      <c r="F2746">
        <v>275</v>
      </c>
      <c r="G2746">
        <v>4.5927133939393903</v>
      </c>
      <c r="H2746">
        <v>4.9218000000000002</v>
      </c>
      <c r="I2746">
        <v>48.2585143486994</v>
      </c>
    </row>
    <row r="2747" spans="1:9" x14ac:dyDescent="0.35">
      <c r="A2747" s="417" t="s">
        <v>846</v>
      </c>
      <c r="B2747" s="417" t="s">
        <v>691</v>
      </c>
      <c r="C2747" s="83">
        <v>46139</v>
      </c>
      <c r="D2747" s="417" t="s">
        <v>309</v>
      </c>
      <c r="E2747">
        <v>1242.0030833333301</v>
      </c>
      <c r="F2747">
        <v>157</v>
      </c>
      <c r="G2747">
        <v>7.9108476645435202</v>
      </c>
      <c r="H2747">
        <v>0</v>
      </c>
      <c r="I2747">
        <v>46.842145828994703</v>
      </c>
    </row>
    <row r="2748" spans="1:9" x14ac:dyDescent="0.35">
      <c r="A2748" s="417" t="s">
        <v>846</v>
      </c>
      <c r="B2748" s="417" t="s">
        <v>691</v>
      </c>
      <c r="C2748" s="83">
        <v>46139</v>
      </c>
      <c r="D2748" s="417" t="s">
        <v>299</v>
      </c>
      <c r="E2748">
        <v>1355.90781666667</v>
      </c>
      <c r="F2748">
        <v>93</v>
      </c>
      <c r="G2748">
        <v>14.5796539426523</v>
      </c>
      <c r="H2748">
        <v>3.6145833333333299</v>
      </c>
      <c r="I2748">
        <v>77.696864685225705</v>
      </c>
    </row>
    <row r="2749" spans="1:9" x14ac:dyDescent="0.35">
      <c r="A2749" s="417" t="s">
        <v>846</v>
      </c>
      <c r="B2749" s="417" t="s">
        <v>691</v>
      </c>
      <c r="C2749" s="83">
        <v>46139</v>
      </c>
      <c r="D2749" s="417" t="s">
        <v>342</v>
      </c>
      <c r="E2749">
        <v>1245.62285</v>
      </c>
      <c r="F2749">
        <v>65</v>
      </c>
      <c r="G2749">
        <v>19.163428461538501</v>
      </c>
      <c r="H2749">
        <v>126.98195</v>
      </c>
      <c r="I2749">
        <v>46.326839862339803</v>
      </c>
    </row>
    <row r="2750" spans="1:9" x14ac:dyDescent="0.35">
      <c r="A2750" s="417" t="s">
        <v>846</v>
      </c>
      <c r="B2750" s="417" t="s">
        <v>691</v>
      </c>
      <c r="C2750" s="83">
        <v>46139</v>
      </c>
      <c r="D2750" s="417" t="s">
        <v>303</v>
      </c>
      <c r="E2750">
        <v>1364.1840833333299</v>
      </c>
      <c r="F2750">
        <v>65</v>
      </c>
      <c r="G2750">
        <v>20.987447435897401</v>
      </c>
      <c r="H2750">
        <v>0.26178333333333298</v>
      </c>
      <c r="I2750">
        <v>55.558056233616</v>
      </c>
    </row>
    <row r="2751" spans="1:9" x14ac:dyDescent="0.35">
      <c r="A2751" s="417" t="s">
        <v>846</v>
      </c>
      <c r="B2751" s="417" t="s">
        <v>691</v>
      </c>
      <c r="C2751" s="83">
        <v>46139</v>
      </c>
      <c r="D2751" s="417" t="s">
        <v>301</v>
      </c>
      <c r="E2751">
        <v>1391.63118333333</v>
      </c>
      <c r="F2751">
        <v>53</v>
      </c>
      <c r="G2751">
        <v>26.2571921383648</v>
      </c>
      <c r="H2751">
        <v>0.14811666666666701</v>
      </c>
      <c r="I2751">
        <v>71.659935334851397</v>
      </c>
    </row>
    <row r="2752" spans="1:9" x14ac:dyDescent="0.35">
      <c r="A2752" s="417" t="s">
        <v>846</v>
      </c>
      <c r="B2752" s="417" t="s">
        <v>691</v>
      </c>
      <c r="C2752" s="83">
        <v>46139</v>
      </c>
      <c r="D2752" s="417" t="s">
        <v>295</v>
      </c>
      <c r="E2752">
        <v>1366.9512</v>
      </c>
      <c r="F2752">
        <v>53</v>
      </c>
      <c r="G2752">
        <v>25.7915320754717</v>
      </c>
      <c r="H2752">
        <v>0.15176666666666699</v>
      </c>
      <c r="I2752">
        <v>89.295909785670204</v>
      </c>
    </row>
    <row r="2753" spans="1:9" x14ac:dyDescent="0.35">
      <c r="A2753" s="417" t="s">
        <v>846</v>
      </c>
      <c r="B2753" s="417" t="s">
        <v>691</v>
      </c>
      <c r="C2753" s="83">
        <v>46139</v>
      </c>
      <c r="D2753" s="417" t="s">
        <v>313</v>
      </c>
      <c r="E2753">
        <v>1332.11981666667</v>
      </c>
      <c r="F2753">
        <v>41</v>
      </c>
      <c r="G2753">
        <v>32.490727235772397</v>
      </c>
      <c r="H2753">
        <v>0</v>
      </c>
      <c r="I2753">
        <v>76.263088410157195</v>
      </c>
    </row>
    <row r="2754" spans="1:9" x14ac:dyDescent="0.35">
      <c r="A2754" s="417" t="s">
        <v>846</v>
      </c>
      <c r="B2754" s="417" t="s">
        <v>691</v>
      </c>
      <c r="C2754" s="83">
        <v>46139</v>
      </c>
      <c r="D2754" s="417" t="s">
        <v>310</v>
      </c>
      <c r="E2754">
        <v>1430.62691666667</v>
      </c>
      <c r="F2754">
        <v>7</v>
      </c>
      <c r="G2754">
        <v>204.375273809524</v>
      </c>
      <c r="H2754">
        <v>1.47616666666667</v>
      </c>
      <c r="I2754">
        <v>86.271346947652503</v>
      </c>
    </row>
    <row r="2755" spans="1:9" x14ac:dyDescent="0.35">
      <c r="A2755" s="417" t="s">
        <v>846</v>
      </c>
      <c r="B2755" s="417" t="s">
        <v>691</v>
      </c>
      <c r="C2755" s="83">
        <v>46139</v>
      </c>
      <c r="D2755" s="417" t="s">
        <v>314</v>
      </c>
      <c r="E2755">
        <v>1426.6236833333301</v>
      </c>
      <c r="F2755">
        <v>6</v>
      </c>
      <c r="G2755">
        <v>237.77061388888899</v>
      </c>
      <c r="H2755">
        <v>1.59873333333333</v>
      </c>
      <c r="I2755">
        <v>70.605758957996599</v>
      </c>
    </row>
    <row r="2756" spans="1:9" x14ac:dyDescent="0.35">
      <c r="A2756" s="417" t="s">
        <v>846</v>
      </c>
      <c r="B2756" s="417" t="s">
        <v>691</v>
      </c>
      <c r="C2756" s="83">
        <v>46139</v>
      </c>
      <c r="D2756" s="417" t="s">
        <v>317</v>
      </c>
      <c r="E2756">
        <v>1431.9492499999999</v>
      </c>
      <c r="F2756">
        <v>2</v>
      </c>
      <c r="G2756">
        <v>715.97462499999995</v>
      </c>
      <c r="H2756">
        <v>6.7382833333333298</v>
      </c>
      <c r="I2756">
        <v>52.290715153204701</v>
      </c>
    </row>
    <row r="2757" spans="1:9" x14ac:dyDescent="0.35">
      <c r="A2757" s="417" t="s">
        <v>846</v>
      </c>
      <c r="B2757" s="417" t="s">
        <v>691</v>
      </c>
      <c r="C2757" s="83">
        <v>46139</v>
      </c>
      <c r="D2757" s="417" t="s">
        <v>504</v>
      </c>
      <c r="E2757">
        <v>1440</v>
      </c>
      <c r="F2757">
        <v>1</v>
      </c>
      <c r="G2757">
        <v>1440</v>
      </c>
      <c r="H2757">
        <v>0</v>
      </c>
      <c r="I2757">
        <v>37.024537037037</v>
      </c>
    </row>
    <row r="2758" spans="1:9" x14ac:dyDescent="0.35">
      <c r="A2758" s="417" t="s">
        <v>846</v>
      </c>
      <c r="B2758" s="417" t="s">
        <v>676</v>
      </c>
      <c r="C2758" s="83">
        <v>46138</v>
      </c>
      <c r="D2758" s="417" t="s">
        <v>677</v>
      </c>
      <c r="E2758">
        <v>1305.97086666667</v>
      </c>
      <c r="F2758">
        <v>219</v>
      </c>
      <c r="G2758">
        <v>5.9633372907153799</v>
      </c>
      <c r="H2758">
        <v>134.02913333333299</v>
      </c>
      <c r="I2758">
        <v>51.148333333333298</v>
      </c>
    </row>
    <row r="2759" spans="1:9" x14ac:dyDescent="0.35">
      <c r="A2759" s="417" t="s">
        <v>846</v>
      </c>
      <c r="B2759" s="417" t="s">
        <v>676</v>
      </c>
      <c r="C2759" s="83">
        <v>46138</v>
      </c>
      <c r="D2759" s="417" t="s">
        <v>678</v>
      </c>
      <c r="E2759">
        <v>1377.1631500000001</v>
      </c>
      <c r="F2759">
        <v>30</v>
      </c>
      <c r="G2759">
        <v>45.905438333333301</v>
      </c>
      <c r="H2759">
        <v>19.16675</v>
      </c>
      <c r="I2759">
        <v>103.66652369663301</v>
      </c>
    </row>
    <row r="2760" spans="1:9" x14ac:dyDescent="0.35">
      <c r="A2760" s="417" t="s">
        <v>846</v>
      </c>
      <c r="B2760" s="417" t="s">
        <v>676</v>
      </c>
      <c r="C2760" s="83">
        <v>46138</v>
      </c>
      <c r="D2760" s="417" t="s">
        <v>679</v>
      </c>
      <c r="E2760">
        <v>1388.2139833333299</v>
      </c>
      <c r="F2760">
        <v>17</v>
      </c>
      <c r="G2760">
        <v>81.659646078431393</v>
      </c>
      <c r="H2760">
        <v>14.6477</v>
      </c>
      <c r="I2760">
        <v>40.077127584721197</v>
      </c>
    </row>
    <row r="2761" spans="1:9" x14ac:dyDescent="0.35">
      <c r="A2761" s="417" t="s">
        <v>846</v>
      </c>
      <c r="B2761" s="417" t="s">
        <v>680</v>
      </c>
      <c r="C2761" s="83">
        <v>46138</v>
      </c>
      <c r="D2761" s="417" t="s">
        <v>689</v>
      </c>
      <c r="E2761">
        <v>1309.6979166666699</v>
      </c>
      <c r="F2761">
        <v>80</v>
      </c>
      <c r="G2761">
        <v>16.371223958333299</v>
      </c>
      <c r="H2761">
        <v>6.0131666666666703</v>
      </c>
      <c r="I2761">
        <v>71.961594524694604</v>
      </c>
    </row>
    <row r="2762" spans="1:9" x14ac:dyDescent="0.35">
      <c r="A2762" s="417" t="s">
        <v>846</v>
      </c>
      <c r="B2762" s="417" t="s">
        <v>680</v>
      </c>
      <c r="C2762" s="83">
        <v>46138</v>
      </c>
      <c r="D2762" s="417" t="s">
        <v>688</v>
      </c>
      <c r="E2762">
        <v>1366.6105</v>
      </c>
      <c r="F2762">
        <v>58</v>
      </c>
      <c r="G2762">
        <v>23.562249999999999</v>
      </c>
      <c r="H2762">
        <v>15.8485833333333</v>
      </c>
      <c r="I2762">
        <v>64.481621723570399</v>
      </c>
    </row>
    <row r="2763" spans="1:9" x14ac:dyDescent="0.35">
      <c r="A2763" s="417" t="s">
        <v>846</v>
      </c>
      <c r="B2763" s="417" t="s">
        <v>680</v>
      </c>
      <c r="C2763" s="83">
        <v>46138</v>
      </c>
      <c r="D2763" s="417" t="s">
        <v>682</v>
      </c>
      <c r="E2763">
        <v>1365.1569500000001</v>
      </c>
      <c r="F2763">
        <v>49</v>
      </c>
      <c r="G2763">
        <v>27.860345918367301</v>
      </c>
      <c r="H2763">
        <v>63.676583333333298</v>
      </c>
      <c r="I2763">
        <v>68.242424242424207</v>
      </c>
    </row>
    <row r="2764" spans="1:9" x14ac:dyDescent="0.35">
      <c r="A2764" s="417" t="s">
        <v>846</v>
      </c>
      <c r="B2764" s="417" t="s">
        <v>680</v>
      </c>
      <c r="C2764" s="83">
        <v>46138</v>
      </c>
      <c r="D2764" s="417" t="s">
        <v>683</v>
      </c>
      <c r="E2764">
        <v>1391.43466666667</v>
      </c>
      <c r="F2764">
        <v>44</v>
      </c>
      <c r="G2764">
        <v>31.6235151515152</v>
      </c>
      <c r="H2764">
        <v>2.83896666666667</v>
      </c>
      <c r="I2764">
        <v>73.411811152896902</v>
      </c>
    </row>
    <row r="2765" spans="1:9" x14ac:dyDescent="0.35">
      <c r="A2765" s="417" t="s">
        <v>846</v>
      </c>
      <c r="B2765" s="417" t="s">
        <v>680</v>
      </c>
      <c r="C2765" s="83">
        <v>46138</v>
      </c>
      <c r="D2765" s="417" t="s">
        <v>687</v>
      </c>
      <c r="E2765">
        <v>1352.2557833333301</v>
      </c>
      <c r="F2765">
        <v>41</v>
      </c>
      <c r="G2765">
        <v>32.981848373983702</v>
      </c>
      <c r="H2765">
        <v>33.082799999999999</v>
      </c>
      <c r="I2765">
        <v>35.886639598934899</v>
      </c>
    </row>
    <row r="2766" spans="1:9" x14ac:dyDescent="0.35">
      <c r="A2766" s="417" t="s">
        <v>846</v>
      </c>
      <c r="B2766" s="417" t="s">
        <v>680</v>
      </c>
      <c r="C2766" s="83">
        <v>46138</v>
      </c>
      <c r="D2766" s="417" t="s">
        <v>681</v>
      </c>
      <c r="E2766">
        <v>1412.155</v>
      </c>
      <c r="F2766">
        <v>29</v>
      </c>
      <c r="G2766">
        <v>48.695</v>
      </c>
      <c r="H2766">
        <v>0.65781666666666705</v>
      </c>
      <c r="I2766">
        <v>68.328954669595404</v>
      </c>
    </row>
    <row r="2767" spans="1:9" x14ac:dyDescent="0.35">
      <c r="A2767" s="417" t="s">
        <v>846</v>
      </c>
      <c r="B2767" s="417" t="s">
        <v>680</v>
      </c>
      <c r="C2767" s="83">
        <v>46138</v>
      </c>
      <c r="D2767" s="417" t="s">
        <v>684</v>
      </c>
      <c r="E2767">
        <v>1404.0015333333299</v>
      </c>
      <c r="F2767">
        <v>25</v>
      </c>
      <c r="G2767">
        <v>56.160061333333303</v>
      </c>
      <c r="H2767">
        <v>20.998449999999998</v>
      </c>
      <c r="I2767">
        <v>71.054618228569595</v>
      </c>
    </row>
    <row r="2768" spans="1:9" x14ac:dyDescent="0.35">
      <c r="A2768" s="417" t="s">
        <v>846</v>
      </c>
      <c r="B2768" s="417" t="s">
        <v>680</v>
      </c>
      <c r="C2768" s="83">
        <v>46138</v>
      </c>
      <c r="D2768" s="417" t="s">
        <v>690</v>
      </c>
      <c r="E2768">
        <v>1423.6720499999999</v>
      </c>
      <c r="F2768">
        <v>19</v>
      </c>
      <c r="G2768">
        <v>74.930107894736906</v>
      </c>
      <c r="H2768">
        <v>3.4986999999999999</v>
      </c>
      <c r="I2768">
        <v>70.994161608318294</v>
      </c>
    </row>
    <row r="2769" spans="1:9" x14ac:dyDescent="0.35">
      <c r="A2769" s="417" t="s">
        <v>846</v>
      </c>
      <c r="B2769" s="417" t="s">
        <v>680</v>
      </c>
      <c r="C2769" s="83">
        <v>46138</v>
      </c>
      <c r="D2769" s="417" t="s">
        <v>685</v>
      </c>
      <c r="E2769">
        <v>1371.53235</v>
      </c>
      <c r="F2769">
        <v>18</v>
      </c>
      <c r="G2769">
        <v>76.196241666666694</v>
      </c>
      <c r="H2769">
        <v>6.8340333333333296</v>
      </c>
      <c r="I2769">
        <v>69.926689010710405</v>
      </c>
    </row>
    <row r="2770" spans="1:9" x14ac:dyDescent="0.35">
      <c r="A2770" s="417" t="s">
        <v>846</v>
      </c>
      <c r="B2770" s="417" t="s">
        <v>680</v>
      </c>
      <c r="C2770" s="83">
        <v>46138</v>
      </c>
      <c r="D2770" s="417" t="s">
        <v>686</v>
      </c>
      <c r="E2770">
        <v>1440</v>
      </c>
      <c r="F2770">
        <v>1</v>
      </c>
      <c r="G2770">
        <v>1440</v>
      </c>
      <c r="H2770">
        <v>0</v>
      </c>
      <c r="I2770">
        <v>81.207070707070699</v>
      </c>
    </row>
    <row r="2771" spans="1:9" x14ac:dyDescent="0.35">
      <c r="A2771" s="417" t="s">
        <v>846</v>
      </c>
      <c r="B2771" s="417" t="s">
        <v>691</v>
      </c>
      <c r="C2771" s="83">
        <v>46138</v>
      </c>
      <c r="D2771" s="417" t="s">
        <v>305</v>
      </c>
      <c r="E2771">
        <v>1179.11973333333</v>
      </c>
      <c r="F2771">
        <v>439</v>
      </c>
      <c r="G2771">
        <v>2.6859219438116901</v>
      </c>
      <c r="H2771">
        <v>14.83015</v>
      </c>
      <c r="I2771">
        <v>44.106120809589903</v>
      </c>
    </row>
    <row r="2772" spans="1:9" x14ac:dyDescent="0.35">
      <c r="A2772" s="417" t="s">
        <v>846</v>
      </c>
      <c r="B2772" s="417" t="s">
        <v>691</v>
      </c>
      <c r="C2772" s="83">
        <v>46138</v>
      </c>
      <c r="D2772" s="417" t="s">
        <v>342</v>
      </c>
      <c r="E2772">
        <v>990.49234999999999</v>
      </c>
      <c r="F2772">
        <v>139</v>
      </c>
      <c r="G2772">
        <v>7.1258442446043198</v>
      </c>
      <c r="H2772">
        <v>261.62341666666703</v>
      </c>
      <c r="I2772">
        <v>38.1944444444444</v>
      </c>
    </row>
    <row r="2773" spans="1:9" x14ac:dyDescent="0.35">
      <c r="A2773" s="417" t="s">
        <v>846</v>
      </c>
      <c r="B2773" s="417" t="s">
        <v>691</v>
      </c>
      <c r="C2773" s="83">
        <v>46138</v>
      </c>
      <c r="D2773" s="417" t="s">
        <v>299</v>
      </c>
      <c r="E2773">
        <v>1369.28676666667</v>
      </c>
      <c r="F2773">
        <v>106</v>
      </c>
      <c r="G2773">
        <v>12.9177996855346</v>
      </c>
      <c r="H2773">
        <v>1.5916999999999999</v>
      </c>
      <c r="I2773">
        <v>80.529736021644197</v>
      </c>
    </row>
    <row r="2774" spans="1:9" x14ac:dyDescent="0.35">
      <c r="A2774" s="417" t="s">
        <v>846</v>
      </c>
      <c r="B2774" s="417" t="s">
        <v>691</v>
      </c>
      <c r="C2774" s="83">
        <v>46138</v>
      </c>
      <c r="D2774" s="417" t="s">
        <v>295</v>
      </c>
      <c r="E2774">
        <v>1373.2781333333301</v>
      </c>
      <c r="F2774">
        <v>88</v>
      </c>
      <c r="G2774">
        <v>15.6054333333333</v>
      </c>
      <c r="H2774">
        <v>0.47339999999999999</v>
      </c>
      <c r="I2774">
        <v>86.346888312734507</v>
      </c>
    </row>
    <row r="2775" spans="1:9" x14ac:dyDescent="0.35">
      <c r="A2775" s="417" t="s">
        <v>846</v>
      </c>
      <c r="B2775" s="417" t="s">
        <v>691</v>
      </c>
      <c r="C2775" s="83">
        <v>46138</v>
      </c>
      <c r="D2775" s="417" t="s">
        <v>309</v>
      </c>
      <c r="E2775">
        <v>1349.15795</v>
      </c>
      <c r="F2775">
        <v>81</v>
      </c>
      <c r="G2775">
        <v>16.656270987654299</v>
      </c>
      <c r="H2775">
        <v>0</v>
      </c>
      <c r="I2775">
        <v>57.973624831532099</v>
      </c>
    </row>
    <row r="2776" spans="1:9" x14ac:dyDescent="0.35">
      <c r="A2776" s="417" t="s">
        <v>846</v>
      </c>
      <c r="B2776" s="417" t="s">
        <v>691</v>
      </c>
      <c r="C2776" s="83">
        <v>46138</v>
      </c>
      <c r="D2776" s="417" t="s">
        <v>303</v>
      </c>
      <c r="E2776">
        <v>1347.9219000000001</v>
      </c>
      <c r="F2776">
        <v>69</v>
      </c>
      <c r="G2776">
        <v>19.5351</v>
      </c>
      <c r="H2776">
        <v>0.62236666666666696</v>
      </c>
      <c r="I2776">
        <v>50.943990521475101</v>
      </c>
    </row>
    <row r="2777" spans="1:9" x14ac:dyDescent="0.35">
      <c r="A2777" s="417" t="s">
        <v>846</v>
      </c>
      <c r="B2777" s="417" t="s">
        <v>691</v>
      </c>
      <c r="C2777" s="83">
        <v>46138</v>
      </c>
      <c r="D2777" s="417" t="s">
        <v>301</v>
      </c>
      <c r="E2777">
        <v>1393.66848333333</v>
      </c>
      <c r="F2777">
        <v>53</v>
      </c>
      <c r="G2777">
        <v>26.295631761006302</v>
      </c>
      <c r="H2777">
        <v>1.32165</v>
      </c>
      <c r="I2777">
        <v>68.959161254725103</v>
      </c>
    </row>
    <row r="2778" spans="1:9" x14ac:dyDescent="0.35">
      <c r="A2778" s="417" t="s">
        <v>846</v>
      </c>
      <c r="B2778" s="417" t="s">
        <v>691</v>
      </c>
      <c r="C2778" s="83">
        <v>46138</v>
      </c>
      <c r="D2778" s="417" t="s">
        <v>310</v>
      </c>
      <c r="E2778">
        <v>1429.16221666667</v>
      </c>
      <c r="F2778">
        <v>5</v>
      </c>
      <c r="G2778">
        <v>285.832443333333</v>
      </c>
      <c r="H2778">
        <v>0.194533333333333</v>
      </c>
      <c r="I2778">
        <v>85.012594128508397</v>
      </c>
    </row>
    <row r="2779" spans="1:9" x14ac:dyDescent="0.35">
      <c r="A2779" s="417" t="s">
        <v>846</v>
      </c>
      <c r="B2779" s="417" t="s">
        <v>691</v>
      </c>
      <c r="C2779" s="83">
        <v>46138</v>
      </c>
      <c r="D2779" s="417" t="s">
        <v>314</v>
      </c>
      <c r="E2779">
        <v>1394.1474499999999</v>
      </c>
      <c r="F2779">
        <v>2</v>
      </c>
      <c r="G2779">
        <v>697.07372499999997</v>
      </c>
      <c r="H2779">
        <v>2.5066666666666699E-2</v>
      </c>
      <c r="I2779">
        <v>68.699489357921095</v>
      </c>
    </row>
    <row r="2780" spans="1:9" x14ac:dyDescent="0.35">
      <c r="A2780" s="417" t="s">
        <v>846</v>
      </c>
      <c r="B2780" s="417" t="s">
        <v>691</v>
      </c>
      <c r="C2780" s="83">
        <v>46138</v>
      </c>
      <c r="D2780" s="417" t="s">
        <v>313</v>
      </c>
      <c r="E2780">
        <v>1394.1467500000001</v>
      </c>
      <c r="F2780">
        <v>2</v>
      </c>
      <c r="G2780">
        <v>697.07337500000006</v>
      </c>
      <c r="H2780">
        <v>5.935E-2</v>
      </c>
      <c r="I2780">
        <v>81.383233081536602</v>
      </c>
    </row>
    <row r="2781" spans="1:9" x14ac:dyDescent="0.35">
      <c r="A2781" s="417" t="s">
        <v>846</v>
      </c>
      <c r="B2781" s="417" t="s">
        <v>691</v>
      </c>
      <c r="C2781" s="83">
        <v>46138</v>
      </c>
      <c r="D2781" s="417" t="s">
        <v>317</v>
      </c>
      <c r="E2781">
        <v>1439.28036666667</v>
      </c>
      <c r="F2781">
        <v>1</v>
      </c>
      <c r="G2781">
        <v>1439.28036666667</v>
      </c>
      <c r="H2781">
        <v>0</v>
      </c>
      <c r="I2781">
        <v>47.971890396800397</v>
      </c>
    </row>
    <row r="2782" spans="1:9" x14ac:dyDescent="0.35">
      <c r="A2782" s="417" t="s">
        <v>846</v>
      </c>
      <c r="B2782" s="417" t="s">
        <v>691</v>
      </c>
      <c r="C2782" s="83">
        <v>46138</v>
      </c>
      <c r="D2782" s="417" t="s">
        <v>504</v>
      </c>
      <c r="E2782">
        <v>1440</v>
      </c>
      <c r="F2782">
        <v>1</v>
      </c>
      <c r="G2782">
        <v>1440</v>
      </c>
      <c r="H2782">
        <v>0</v>
      </c>
      <c r="I2782">
        <v>37.829938271604902</v>
      </c>
    </row>
    <row r="2783" spans="1:9" x14ac:dyDescent="0.35">
      <c r="A2783" s="417" t="s">
        <v>846</v>
      </c>
      <c r="B2783" s="417" t="s">
        <v>676</v>
      </c>
      <c r="C2783" s="83">
        <v>46137</v>
      </c>
      <c r="D2783" s="417" t="s">
        <v>677</v>
      </c>
      <c r="E2783">
        <v>1304.4608000000001</v>
      </c>
      <c r="F2783">
        <v>258</v>
      </c>
      <c r="G2783">
        <v>5.0560496124031102</v>
      </c>
      <c r="H2783">
        <v>135.53919999999999</v>
      </c>
      <c r="I2783">
        <v>42.462777777777703</v>
      </c>
    </row>
    <row r="2784" spans="1:9" x14ac:dyDescent="0.35">
      <c r="A2784" s="417" t="s">
        <v>846</v>
      </c>
      <c r="B2784" s="417" t="s">
        <v>676</v>
      </c>
      <c r="C2784" s="83">
        <v>46137</v>
      </c>
      <c r="D2784" s="417" t="s">
        <v>678</v>
      </c>
      <c r="E2784">
        <v>1331.7067666666701</v>
      </c>
      <c r="F2784">
        <v>51</v>
      </c>
      <c r="G2784">
        <v>26.1118973856209</v>
      </c>
      <c r="H2784">
        <v>37.310566666666702</v>
      </c>
      <c r="I2784">
        <v>87.977702741528503</v>
      </c>
    </row>
    <row r="2785" spans="1:9" x14ac:dyDescent="0.35">
      <c r="A2785" s="417" t="s">
        <v>846</v>
      </c>
      <c r="B2785" s="417" t="s">
        <v>676</v>
      </c>
      <c r="C2785" s="83">
        <v>46137</v>
      </c>
      <c r="D2785" s="417" t="s">
        <v>679</v>
      </c>
      <c r="E2785">
        <v>1293.2954500000001</v>
      </c>
      <c r="F2785">
        <v>25</v>
      </c>
      <c r="G2785">
        <v>51.731817999999997</v>
      </c>
      <c r="H2785">
        <v>31.323616666666702</v>
      </c>
      <c r="I2785">
        <v>74.333068636688793</v>
      </c>
    </row>
    <row r="2786" spans="1:9" x14ac:dyDescent="0.35">
      <c r="A2786" s="417" t="s">
        <v>846</v>
      </c>
      <c r="B2786" s="417" t="s">
        <v>680</v>
      </c>
      <c r="C2786" s="83">
        <v>46137</v>
      </c>
      <c r="D2786" s="417" t="s">
        <v>684</v>
      </c>
      <c r="E2786">
        <v>1180.4789166666701</v>
      </c>
      <c r="F2786">
        <v>151</v>
      </c>
      <c r="G2786">
        <v>7.8177411699779196</v>
      </c>
      <c r="H2786">
        <v>50.982500000000002</v>
      </c>
      <c r="I2786">
        <v>37.612755057123401</v>
      </c>
    </row>
    <row r="2787" spans="1:9" x14ac:dyDescent="0.35">
      <c r="A2787" s="417" t="s">
        <v>846</v>
      </c>
      <c r="B2787" s="417" t="s">
        <v>680</v>
      </c>
      <c r="C2787" s="83">
        <v>46137</v>
      </c>
      <c r="D2787" s="417" t="s">
        <v>681</v>
      </c>
      <c r="E2787">
        <v>1283.49595</v>
      </c>
      <c r="F2787">
        <v>136</v>
      </c>
      <c r="G2787">
        <v>9.4374702205882404</v>
      </c>
      <c r="H2787">
        <v>0.33351666666666702</v>
      </c>
      <c r="I2787">
        <v>40.8183258345966</v>
      </c>
    </row>
    <row r="2788" spans="1:9" x14ac:dyDescent="0.35">
      <c r="A2788" s="417" t="s">
        <v>846</v>
      </c>
      <c r="B2788" s="417" t="s">
        <v>680</v>
      </c>
      <c r="C2788" s="83">
        <v>46137</v>
      </c>
      <c r="D2788" s="417" t="s">
        <v>689</v>
      </c>
      <c r="E2788">
        <v>1188.4801500000001</v>
      </c>
      <c r="F2788">
        <v>65</v>
      </c>
      <c r="G2788">
        <v>18.284310000000001</v>
      </c>
      <c r="H2788">
        <v>3.3280333333333298</v>
      </c>
      <c r="I2788">
        <v>49.732656191201698</v>
      </c>
    </row>
    <row r="2789" spans="1:9" x14ac:dyDescent="0.35">
      <c r="A2789" s="417" t="s">
        <v>846</v>
      </c>
      <c r="B2789" s="417" t="s">
        <v>680</v>
      </c>
      <c r="C2789" s="83">
        <v>46137</v>
      </c>
      <c r="D2789" s="417" t="s">
        <v>683</v>
      </c>
      <c r="E2789">
        <v>1342.5172833333299</v>
      </c>
      <c r="F2789">
        <v>49</v>
      </c>
      <c r="G2789">
        <v>27.398311904761901</v>
      </c>
      <c r="H2789">
        <v>1.66543333333333</v>
      </c>
      <c r="I2789">
        <v>29.458554786167099</v>
      </c>
    </row>
    <row r="2790" spans="1:9" x14ac:dyDescent="0.35">
      <c r="A2790" s="417" t="s">
        <v>846</v>
      </c>
      <c r="B2790" s="417" t="s">
        <v>680</v>
      </c>
      <c r="C2790" s="83">
        <v>46137</v>
      </c>
      <c r="D2790" s="417" t="s">
        <v>687</v>
      </c>
      <c r="E2790">
        <v>1305.54698333333</v>
      </c>
      <c r="F2790">
        <v>44</v>
      </c>
      <c r="G2790">
        <v>29.671522348484899</v>
      </c>
      <c r="H2790">
        <v>34.912883333333298</v>
      </c>
      <c r="I2790">
        <v>19.228814816776701</v>
      </c>
    </row>
    <row r="2791" spans="1:9" x14ac:dyDescent="0.35">
      <c r="A2791" s="417" t="s">
        <v>846</v>
      </c>
      <c r="B2791" s="417" t="s">
        <v>680</v>
      </c>
      <c r="C2791" s="83">
        <v>46137</v>
      </c>
      <c r="D2791" s="417" t="s">
        <v>682</v>
      </c>
      <c r="E2791">
        <v>857.2038</v>
      </c>
      <c r="F2791">
        <v>28</v>
      </c>
      <c r="G2791">
        <v>30.614421428571401</v>
      </c>
      <c r="H2791">
        <v>21.146049999999999</v>
      </c>
      <c r="I2791">
        <v>40.478114478114499</v>
      </c>
    </row>
    <row r="2792" spans="1:9" x14ac:dyDescent="0.35">
      <c r="A2792" s="417" t="s">
        <v>846</v>
      </c>
      <c r="B2792" s="417" t="s">
        <v>680</v>
      </c>
      <c r="C2792" s="83">
        <v>46137</v>
      </c>
      <c r="D2792" s="417" t="s">
        <v>685</v>
      </c>
      <c r="E2792">
        <v>756.70968333333303</v>
      </c>
      <c r="F2792">
        <v>25</v>
      </c>
      <c r="G2792">
        <v>30.268387333333301</v>
      </c>
      <c r="H2792">
        <v>11.3053333333333</v>
      </c>
      <c r="I2792">
        <v>44.105706799929798</v>
      </c>
    </row>
    <row r="2793" spans="1:9" x14ac:dyDescent="0.35">
      <c r="A2793" s="417" t="s">
        <v>846</v>
      </c>
      <c r="B2793" s="417" t="s">
        <v>680</v>
      </c>
      <c r="C2793" s="83">
        <v>46137</v>
      </c>
      <c r="D2793" s="417" t="s">
        <v>688</v>
      </c>
      <c r="E2793">
        <v>902.52776666666705</v>
      </c>
      <c r="F2793">
        <v>14</v>
      </c>
      <c r="G2793">
        <v>64.466269047619093</v>
      </c>
      <c r="H2793">
        <v>8.00186666666667</v>
      </c>
      <c r="I2793">
        <v>37.419045151336199</v>
      </c>
    </row>
    <row r="2794" spans="1:9" x14ac:dyDescent="0.35">
      <c r="A2794" s="417" t="s">
        <v>846</v>
      </c>
      <c r="B2794" s="417" t="s">
        <v>680</v>
      </c>
      <c r="C2794" s="83">
        <v>46137</v>
      </c>
      <c r="D2794" s="417" t="s">
        <v>690</v>
      </c>
      <c r="E2794">
        <v>939.54053333333297</v>
      </c>
      <c r="F2794">
        <v>11</v>
      </c>
      <c r="G2794">
        <v>85.412775757575801</v>
      </c>
      <c r="H2794">
        <v>5.4742333333333297</v>
      </c>
      <c r="I2794">
        <v>32.224767630497603</v>
      </c>
    </row>
    <row r="2795" spans="1:9" x14ac:dyDescent="0.35">
      <c r="A2795" s="417" t="s">
        <v>846</v>
      </c>
      <c r="B2795" s="417" t="s">
        <v>680</v>
      </c>
      <c r="C2795" s="83">
        <v>46137</v>
      </c>
      <c r="D2795" s="417" t="s">
        <v>686</v>
      </c>
      <c r="E2795">
        <v>768.67351666666696</v>
      </c>
      <c r="F2795">
        <v>1</v>
      </c>
      <c r="G2795">
        <v>768.67351666666696</v>
      </c>
      <c r="H2795">
        <v>0</v>
      </c>
      <c r="I2795">
        <v>43.905723905723903</v>
      </c>
    </row>
    <row r="2796" spans="1:9" x14ac:dyDescent="0.35">
      <c r="A2796" s="417" t="s">
        <v>846</v>
      </c>
      <c r="B2796" s="417" t="s">
        <v>691</v>
      </c>
      <c r="C2796" s="83">
        <v>46137</v>
      </c>
      <c r="D2796" s="417" t="s">
        <v>305</v>
      </c>
      <c r="E2796">
        <v>1228.91625</v>
      </c>
      <c r="F2796">
        <v>255</v>
      </c>
      <c r="G2796">
        <v>4.8192794117647102</v>
      </c>
      <c r="H2796">
        <v>10.590633333333299</v>
      </c>
      <c r="I2796">
        <v>41.393520342604603</v>
      </c>
    </row>
    <row r="2797" spans="1:9" x14ac:dyDescent="0.35">
      <c r="A2797" s="417" t="s">
        <v>846</v>
      </c>
      <c r="B2797" s="417" t="s">
        <v>691</v>
      </c>
      <c r="C2797" s="83">
        <v>46137</v>
      </c>
      <c r="D2797" s="417" t="s">
        <v>342</v>
      </c>
      <c r="E2797">
        <v>1069.2322999999999</v>
      </c>
      <c r="F2797">
        <v>126</v>
      </c>
      <c r="G2797">
        <v>8.4859706349206405</v>
      </c>
      <c r="H2797">
        <v>281.77855</v>
      </c>
      <c r="I2797">
        <v>35.863095238095198</v>
      </c>
    </row>
    <row r="2798" spans="1:9" x14ac:dyDescent="0.35">
      <c r="A2798" s="417" t="s">
        <v>846</v>
      </c>
      <c r="B2798" s="417" t="s">
        <v>691</v>
      </c>
      <c r="C2798" s="83">
        <v>46137</v>
      </c>
      <c r="D2798" s="417" t="s">
        <v>299</v>
      </c>
      <c r="E2798">
        <v>1349.2172333333299</v>
      </c>
      <c r="F2798">
        <v>95</v>
      </c>
      <c r="G2798">
        <v>14.2022866666667</v>
      </c>
      <c r="H2798">
        <v>0.60509999999999997</v>
      </c>
      <c r="I2798">
        <v>75.876656908165202</v>
      </c>
    </row>
    <row r="2799" spans="1:9" x14ac:dyDescent="0.35">
      <c r="A2799" s="417" t="s">
        <v>846</v>
      </c>
      <c r="B2799" s="417" t="s">
        <v>691</v>
      </c>
      <c r="C2799" s="83">
        <v>46137</v>
      </c>
      <c r="D2799" s="417" t="s">
        <v>295</v>
      </c>
      <c r="E2799">
        <v>1365.2664666666701</v>
      </c>
      <c r="F2799">
        <v>86</v>
      </c>
      <c r="G2799">
        <v>15.875191472868201</v>
      </c>
      <c r="H2799">
        <v>0.56393333333333295</v>
      </c>
      <c r="I2799">
        <v>83.812759498324297</v>
      </c>
    </row>
    <row r="2800" spans="1:9" x14ac:dyDescent="0.35">
      <c r="A2800" s="417" t="s">
        <v>846</v>
      </c>
      <c r="B2800" s="417" t="s">
        <v>691</v>
      </c>
      <c r="C2800" s="83">
        <v>46137</v>
      </c>
      <c r="D2800" s="417" t="s">
        <v>303</v>
      </c>
      <c r="E2800">
        <v>1362.6375499999999</v>
      </c>
      <c r="F2800">
        <v>68</v>
      </c>
      <c r="G2800">
        <v>20.038787500000002</v>
      </c>
      <c r="H2800">
        <v>3.4049999999999997E-2</v>
      </c>
      <c r="I2800">
        <v>58.953066641264897</v>
      </c>
    </row>
    <row r="2801" spans="1:9" x14ac:dyDescent="0.35">
      <c r="A2801" s="417" t="s">
        <v>846</v>
      </c>
      <c r="B2801" s="417" t="s">
        <v>691</v>
      </c>
      <c r="C2801" s="83">
        <v>46137</v>
      </c>
      <c r="D2801" s="417" t="s">
        <v>309</v>
      </c>
      <c r="E2801">
        <v>1351.3897999999999</v>
      </c>
      <c r="F2801">
        <v>62</v>
      </c>
      <c r="G2801">
        <v>21.796609677419401</v>
      </c>
      <c r="H2801">
        <v>0</v>
      </c>
      <c r="I2801">
        <v>57.225960443528002</v>
      </c>
    </row>
    <row r="2802" spans="1:9" x14ac:dyDescent="0.35">
      <c r="A2802" s="417" t="s">
        <v>846</v>
      </c>
      <c r="B2802" s="417" t="s">
        <v>691</v>
      </c>
      <c r="C2802" s="83">
        <v>46137</v>
      </c>
      <c r="D2802" s="417" t="s">
        <v>301</v>
      </c>
      <c r="E2802">
        <v>1376.7880333333301</v>
      </c>
      <c r="F2802">
        <v>54</v>
      </c>
      <c r="G2802">
        <v>25.496074691358</v>
      </c>
      <c r="H2802">
        <v>2.2802500000000001</v>
      </c>
      <c r="I2802">
        <v>55.921415794381097</v>
      </c>
    </row>
    <row r="2803" spans="1:9" x14ac:dyDescent="0.35">
      <c r="A2803" s="417" t="s">
        <v>846</v>
      </c>
      <c r="B2803" s="417" t="s">
        <v>691</v>
      </c>
      <c r="C2803" s="83">
        <v>46137</v>
      </c>
      <c r="D2803" s="417" t="s">
        <v>314</v>
      </c>
      <c r="E2803">
        <v>1214.52878333333</v>
      </c>
      <c r="F2803">
        <v>6</v>
      </c>
      <c r="G2803">
        <v>202.42146388888901</v>
      </c>
      <c r="H2803">
        <v>4.1327999999999996</v>
      </c>
      <c r="I2803">
        <v>55.5716484025561</v>
      </c>
    </row>
    <row r="2804" spans="1:9" x14ac:dyDescent="0.35">
      <c r="A2804" s="417" t="s">
        <v>846</v>
      </c>
      <c r="B2804" s="417" t="s">
        <v>691</v>
      </c>
      <c r="C2804" s="83">
        <v>46137</v>
      </c>
      <c r="D2804" s="417" t="s">
        <v>310</v>
      </c>
      <c r="E2804">
        <v>1419.50673333333</v>
      </c>
      <c r="F2804">
        <v>4</v>
      </c>
      <c r="G2804">
        <v>354.87668333333301</v>
      </c>
      <c r="H2804">
        <v>0</v>
      </c>
      <c r="I2804">
        <v>81.769003548451394</v>
      </c>
    </row>
    <row r="2805" spans="1:9" x14ac:dyDescent="0.35">
      <c r="A2805" s="417" t="s">
        <v>846</v>
      </c>
      <c r="B2805" s="417" t="s">
        <v>691</v>
      </c>
      <c r="C2805" s="83">
        <v>46137</v>
      </c>
      <c r="D2805" s="417" t="s">
        <v>317</v>
      </c>
      <c r="E2805">
        <v>1438.30768333333</v>
      </c>
      <c r="F2805">
        <v>2</v>
      </c>
      <c r="G2805">
        <v>719.15384166666695</v>
      </c>
      <c r="H2805">
        <v>1.0051000000000001</v>
      </c>
      <c r="I2805">
        <v>56.124006494905203</v>
      </c>
    </row>
    <row r="2806" spans="1:9" x14ac:dyDescent="0.35">
      <c r="A2806" s="417" t="s">
        <v>846</v>
      </c>
      <c r="B2806" s="417" t="s">
        <v>691</v>
      </c>
      <c r="C2806" s="83">
        <v>46137</v>
      </c>
      <c r="D2806" s="417" t="s">
        <v>313</v>
      </c>
      <c r="E2806">
        <v>1286.75495</v>
      </c>
      <c r="F2806">
        <v>2</v>
      </c>
      <c r="G2806">
        <v>643.377475</v>
      </c>
      <c r="H2806">
        <v>0</v>
      </c>
      <c r="I2806">
        <v>79.521238972270694</v>
      </c>
    </row>
    <row r="2807" spans="1:9" x14ac:dyDescent="0.35">
      <c r="A2807" s="417" t="s">
        <v>846</v>
      </c>
      <c r="B2807" s="417" t="s">
        <v>691</v>
      </c>
      <c r="C2807" s="83">
        <v>46137</v>
      </c>
      <c r="D2807" s="417" t="s">
        <v>504</v>
      </c>
      <c r="E2807">
        <v>1440</v>
      </c>
      <c r="F2807">
        <v>1</v>
      </c>
      <c r="G2807">
        <v>1440</v>
      </c>
      <c r="H2807">
        <v>0</v>
      </c>
      <c r="I2807">
        <v>38.469907407407398</v>
      </c>
    </row>
    <row r="2808" spans="1:9" x14ac:dyDescent="0.35">
      <c r="A2808" s="417" t="s">
        <v>846</v>
      </c>
      <c r="B2808" s="417" t="s">
        <v>676</v>
      </c>
      <c r="C2808" s="83">
        <v>46136</v>
      </c>
      <c r="D2808" s="417" t="s">
        <v>677</v>
      </c>
      <c r="E2808">
        <v>1133.95581666667</v>
      </c>
      <c r="F2808">
        <v>290</v>
      </c>
      <c r="G2808">
        <v>3.9101924712643701</v>
      </c>
      <c r="H2808">
        <v>190.87021666666701</v>
      </c>
      <c r="I2808">
        <v>31.446388888888901</v>
      </c>
    </row>
    <row r="2809" spans="1:9" x14ac:dyDescent="0.35">
      <c r="A2809" s="417" t="s">
        <v>846</v>
      </c>
      <c r="B2809" s="417" t="s">
        <v>676</v>
      </c>
      <c r="C2809" s="83">
        <v>46136</v>
      </c>
      <c r="D2809" s="417" t="s">
        <v>679</v>
      </c>
      <c r="E2809">
        <v>1107.3088499999999</v>
      </c>
      <c r="F2809">
        <v>37</v>
      </c>
      <c r="G2809">
        <v>29.9272662162162</v>
      </c>
      <c r="H2809">
        <v>31.513283333333298</v>
      </c>
      <c r="I2809">
        <v>57.766524515875602</v>
      </c>
    </row>
    <row r="2810" spans="1:9" x14ac:dyDescent="0.35">
      <c r="A2810" s="417" t="s">
        <v>846</v>
      </c>
      <c r="B2810" s="417" t="s">
        <v>676</v>
      </c>
      <c r="C2810" s="83">
        <v>46136</v>
      </c>
      <c r="D2810" s="417" t="s">
        <v>678</v>
      </c>
      <c r="E2810">
        <v>1298.2248500000001</v>
      </c>
      <c r="F2810">
        <v>31</v>
      </c>
      <c r="G2810">
        <v>41.878220967741903</v>
      </c>
      <c r="H2810">
        <v>14.83065</v>
      </c>
      <c r="I2810">
        <v>16.560390614682099</v>
      </c>
    </row>
    <row r="2811" spans="1:9" x14ac:dyDescent="0.35">
      <c r="A2811" s="417" t="s">
        <v>846</v>
      </c>
      <c r="B2811" s="417" t="s">
        <v>680</v>
      </c>
      <c r="C2811" s="83">
        <v>46136</v>
      </c>
      <c r="D2811" s="417" t="s">
        <v>681</v>
      </c>
      <c r="E2811">
        <v>1355.2245666666699</v>
      </c>
      <c r="F2811">
        <v>210</v>
      </c>
      <c r="G2811">
        <v>6.4534503174603097</v>
      </c>
      <c r="H2811">
        <v>0.99061666666666703</v>
      </c>
      <c r="I2811">
        <v>22.534555241210001</v>
      </c>
    </row>
    <row r="2812" spans="1:9" x14ac:dyDescent="0.35">
      <c r="A2812" s="417" t="s">
        <v>846</v>
      </c>
      <c r="B2812" s="417" t="s">
        <v>680</v>
      </c>
      <c r="C2812" s="83">
        <v>46136</v>
      </c>
      <c r="D2812" s="417" t="s">
        <v>684</v>
      </c>
      <c r="E2812">
        <v>1350.2431833333301</v>
      </c>
      <c r="F2812">
        <v>178</v>
      </c>
      <c r="G2812">
        <v>7.5856358614232198</v>
      </c>
      <c r="H2812">
        <v>25.619883333333298</v>
      </c>
      <c r="I2812">
        <v>14.079752213089</v>
      </c>
    </row>
    <row r="2813" spans="1:9" x14ac:dyDescent="0.35">
      <c r="A2813" s="417" t="s">
        <v>846</v>
      </c>
      <c r="B2813" s="417" t="s">
        <v>680</v>
      </c>
      <c r="C2813" s="83">
        <v>46136</v>
      </c>
      <c r="D2813" s="417" t="s">
        <v>683</v>
      </c>
      <c r="E2813">
        <v>1285.8047166666699</v>
      </c>
      <c r="F2813">
        <v>148</v>
      </c>
      <c r="G2813">
        <v>8.6878697072072093</v>
      </c>
      <c r="H2813">
        <v>10.8438</v>
      </c>
      <c r="I2813">
        <v>35.567944877810199</v>
      </c>
    </row>
    <row r="2814" spans="1:9" x14ac:dyDescent="0.35">
      <c r="A2814" s="417" t="s">
        <v>846</v>
      </c>
      <c r="B2814" s="417" t="s">
        <v>680</v>
      </c>
      <c r="C2814" s="83">
        <v>46136</v>
      </c>
      <c r="D2814" s="417" t="s">
        <v>689</v>
      </c>
      <c r="E2814">
        <v>1305.4784500000001</v>
      </c>
      <c r="F2814">
        <v>109</v>
      </c>
      <c r="G2814">
        <v>11.9768665137615</v>
      </c>
      <c r="H2814">
        <v>0</v>
      </c>
      <c r="I2814">
        <v>14.6585861911809</v>
      </c>
    </row>
    <row r="2815" spans="1:9" x14ac:dyDescent="0.35">
      <c r="A2815" s="417" t="s">
        <v>846</v>
      </c>
      <c r="B2815" s="417" t="s">
        <v>680</v>
      </c>
      <c r="C2815" s="83">
        <v>46136</v>
      </c>
      <c r="D2815" s="417" t="s">
        <v>687</v>
      </c>
      <c r="E2815">
        <v>1410.3262</v>
      </c>
      <c r="F2815">
        <v>6</v>
      </c>
      <c r="G2815">
        <v>235.05436666666699</v>
      </c>
      <c r="H2815">
        <v>6.5118</v>
      </c>
      <c r="I2815">
        <v>14.309969870168</v>
      </c>
    </row>
    <row r="2816" spans="1:9" x14ac:dyDescent="0.35">
      <c r="A2816" s="417" t="s">
        <v>846</v>
      </c>
      <c r="B2816" s="417" t="s">
        <v>680</v>
      </c>
      <c r="C2816" s="83">
        <v>46136</v>
      </c>
      <c r="D2816" s="417" t="s">
        <v>685</v>
      </c>
      <c r="E2816">
        <v>10.0071833333333</v>
      </c>
      <c r="F2816">
        <v>1</v>
      </c>
      <c r="G2816">
        <v>10.0071833333333</v>
      </c>
      <c r="H2816">
        <v>0</v>
      </c>
      <c r="I2816">
        <v>0</v>
      </c>
    </row>
    <row r="2817" spans="1:9" x14ac:dyDescent="0.35">
      <c r="A2817" s="417" t="s">
        <v>846</v>
      </c>
      <c r="B2817" s="417" t="s">
        <v>691</v>
      </c>
      <c r="C2817" s="83">
        <v>46136</v>
      </c>
      <c r="D2817" s="417" t="s">
        <v>305</v>
      </c>
      <c r="E2817">
        <v>1311.6790166666699</v>
      </c>
      <c r="F2817">
        <v>173</v>
      </c>
      <c r="G2817">
        <v>7.58195963391137</v>
      </c>
      <c r="H2817">
        <v>3.7568333333333301</v>
      </c>
      <c r="I2817">
        <v>49.579812502270499</v>
      </c>
    </row>
    <row r="2818" spans="1:9" x14ac:dyDescent="0.35">
      <c r="A2818" s="417" t="s">
        <v>846</v>
      </c>
      <c r="B2818" s="417" t="s">
        <v>691</v>
      </c>
      <c r="C2818" s="83">
        <v>46136</v>
      </c>
      <c r="D2818" s="417" t="s">
        <v>342</v>
      </c>
      <c r="E2818">
        <v>997.55174999999997</v>
      </c>
      <c r="F2818">
        <v>115</v>
      </c>
      <c r="G2818">
        <v>8.6743630434782606</v>
      </c>
      <c r="H2818">
        <v>275.87091666666697</v>
      </c>
      <c r="I2818">
        <v>41.805555555555401</v>
      </c>
    </row>
    <row r="2819" spans="1:9" x14ac:dyDescent="0.35">
      <c r="A2819" s="417" t="s">
        <v>846</v>
      </c>
      <c r="B2819" s="417" t="s">
        <v>691</v>
      </c>
      <c r="C2819" s="83">
        <v>46136</v>
      </c>
      <c r="D2819" s="417" t="s">
        <v>299</v>
      </c>
      <c r="E2819">
        <v>1353.6576833333299</v>
      </c>
      <c r="F2819">
        <v>109</v>
      </c>
      <c r="G2819">
        <v>12.418877828746201</v>
      </c>
      <c r="H2819">
        <v>0.25391666666666701</v>
      </c>
      <c r="I2819">
        <v>76.755950326218596</v>
      </c>
    </row>
    <row r="2820" spans="1:9" x14ac:dyDescent="0.35">
      <c r="A2820" s="417" t="s">
        <v>846</v>
      </c>
      <c r="B2820" s="417" t="s">
        <v>691</v>
      </c>
      <c r="C2820" s="83">
        <v>46136</v>
      </c>
      <c r="D2820" s="417" t="s">
        <v>309</v>
      </c>
      <c r="E2820">
        <v>1299.0638833333301</v>
      </c>
      <c r="F2820">
        <v>103</v>
      </c>
      <c r="G2820">
        <v>12.6122707119741</v>
      </c>
      <c r="H2820">
        <v>0</v>
      </c>
      <c r="I2820">
        <v>60.364963078592197</v>
      </c>
    </row>
    <row r="2821" spans="1:9" x14ac:dyDescent="0.35">
      <c r="A2821" s="417" t="s">
        <v>846</v>
      </c>
      <c r="B2821" s="417" t="s">
        <v>691</v>
      </c>
      <c r="C2821" s="83">
        <v>46136</v>
      </c>
      <c r="D2821" s="417" t="s">
        <v>303</v>
      </c>
      <c r="E2821">
        <v>1352.1021499999999</v>
      </c>
      <c r="F2821">
        <v>72</v>
      </c>
      <c r="G2821">
        <v>18.779196527777799</v>
      </c>
      <c r="H2821">
        <v>0.285316666666667</v>
      </c>
      <c r="I2821">
        <v>51.733131060419197</v>
      </c>
    </row>
    <row r="2822" spans="1:9" x14ac:dyDescent="0.35">
      <c r="A2822" s="417" t="s">
        <v>846</v>
      </c>
      <c r="B2822" s="417" t="s">
        <v>691</v>
      </c>
      <c r="C2822" s="83">
        <v>46136</v>
      </c>
      <c r="D2822" s="417" t="s">
        <v>295</v>
      </c>
      <c r="E2822">
        <v>1361.6781166666699</v>
      </c>
      <c r="F2822">
        <v>60</v>
      </c>
      <c r="G2822">
        <v>22.694635277777799</v>
      </c>
      <c r="H2822">
        <v>0.43086666666666701</v>
      </c>
      <c r="I2822">
        <v>77.094590983898996</v>
      </c>
    </row>
    <row r="2823" spans="1:9" x14ac:dyDescent="0.35">
      <c r="A2823" s="417" t="s">
        <v>846</v>
      </c>
      <c r="B2823" s="417" t="s">
        <v>691</v>
      </c>
      <c r="C2823" s="83">
        <v>46136</v>
      </c>
      <c r="D2823" s="417" t="s">
        <v>301</v>
      </c>
      <c r="E2823">
        <v>1393.70931666667</v>
      </c>
      <c r="F2823">
        <v>53</v>
      </c>
      <c r="G2823">
        <v>26.296402201257902</v>
      </c>
      <c r="H2823">
        <v>1.98258333333333</v>
      </c>
      <c r="I2823">
        <v>59.155115541995798</v>
      </c>
    </row>
    <row r="2824" spans="1:9" x14ac:dyDescent="0.35">
      <c r="A2824" s="417" t="s">
        <v>846</v>
      </c>
      <c r="B2824" s="417" t="s">
        <v>691</v>
      </c>
      <c r="C2824" s="83">
        <v>46136</v>
      </c>
      <c r="D2824" s="417" t="s">
        <v>310</v>
      </c>
      <c r="E2824">
        <v>1379.52406666667</v>
      </c>
      <c r="F2824">
        <v>24</v>
      </c>
      <c r="G2824">
        <v>57.4801694444444</v>
      </c>
      <c r="H2824">
        <v>0.37221666666666697</v>
      </c>
      <c r="I2824">
        <v>73.458575884678595</v>
      </c>
    </row>
    <row r="2825" spans="1:9" x14ac:dyDescent="0.35">
      <c r="A2825" s="417" t="s">
        <v>846</v>
      </c>
      <c r="B2825" s="417" t="s">
        <v>691</v>
      </c>
      <c r="C2825" s="83">
        <v>46136</v>
      </c>
      <c r="D2825" s="417" t="s">
        <v>313</v>
      </c>
      <c r="E2825">
        <v>1404.97236666667</v>
      </c>
      <c r="F2825">
        <v>10</v>
      </c>
      <c r="G2825">
        <v>140.49723666666699</v>
      </c>
      <c r="H2825">
        <v>0</v>
      </c>
      <c r="I2825">
        <v>76.449046757920499</v>
      </c>
    </row>
    <row r="2826" spans="1:9" x14ac:dyDescent="0.35">
      <c r="A2826" s="417" t="s">
        <v>846</v>
      </c>
      <c r="B2826" s="417" t="s">
        <v>691</v>
      </c>
      <c r="C2826" s="83">
        <v>46136</v>
      </c>
      <c r="D2826" s="417" t="s">
        <v>314</v>
      </c>
      <c r="E2826">
        <v>1325.26721666667</v>
      </c>
      <c r="F2826">
        <v>6</v>
      </c>
      <c r="G2826">
        <v>220.877869444444</v>
      </c>
      <c r="H2826">
        <v>0.1273</v>
      </c>
      <c r="I2826">
        <v>59.992387245574101</v>
      </c>
    </row>
    <row r="2827" spans="1:9" x14ac:dyDescent="0.35">
      <c r="A2827" s="417" t="s">
        <v>846</v>
      </c>
      <c r="B2827" s="417" t="s">
        <v>691</v>
      </c>
      <c r="C2827" s="83">
        <v>46136</v>
      </c>
      <c r="D2827" s="417" t="s">
        <v>317</v>
      </c>
      <c r="E2827">
        <v>1412.4258</v>
      </c>
      <c r="F2827">
        <v>2</v>
      </c>
      <c r="G2827">
        <v>706.21289999999999</v>
      </c>
      <c r="H2827">
        <v>1.85696666666667</v>
      </c>
      <c r="I2827">
        <v>42.024835061861602</v>
      </c>
    </row>
    <row r="2828" spans="1:9" x14ac:dyDescent="0.35">
      <c r="A2828" s="417" t="s">
        <v>846</v>
      </c>
      <c r="B2828" s="417" t="s">
        <v>691</v>
      </c>
      <c r="C2828" s="83">
        <v>46136</v>
      </c>
      <c r="D2828" s="417" t="s">
        <v>504</v>
      </c>
      <c r="E2828">
        <v>1440</v>
      </c>
      <c r="F2828">
        <v>1</v>
      </c>
      <c r="G2828">
        <v>1440</v>
      </c>
      <c r="H2828">
        <v>0</v>
      </c>
      <c r="I2828">
        <v>33.320524691358003</v>
      </c>
    </row>
    <row r="2829" spans="1:9" x14ac:dyDescent="0.35">
      <c r="A2829" s="417" t="s">
        <v>846</v>
      </c>
      <c r="B2829" s="417" t="s">
        <v>676</v>
      </c>
      <c r="C2829" s="83">
        <v>46135</v>
      </c>
      <c r="D2829" s="417" t="s">
        <v>677</v>
      </c>
      <c r="E2829">
        <v>1157.64151666667</v>
      </c>
      <c r="F2829">
        <v>184</v>
      </c>
      <c r="G2829">
        <v>6.29152998188406</v>
      </c>
      <c r="H2829">
        <v>99.008233333333393</v>
      </c>
      <c r="I2829">
        <v>25.473611111111101</v>
      </c>
    </row>
    <row r="2830" spans="1:9" x14ac:dyDescent="0.35">
      <c r="A2830" s="417" t="s">
        <v>846</v>
      </c>
      <c r="B2830" s="417" t="s">
        <v>676</v>
      </c>
      <c r="C2830" s="83">
        <v>46135</v>
      </c>
      <c r="D2830" s="417" t="s">
        <v>678</v>
      </c>
      <c r="E2830">
        <v>1050.1343999999999</v>
      </c>
      <c r="F2830">
        <v>37</v>
      </c>
      <c r="G2830">
        <v>28.382010810810801</v>
      </c>
      <c r="H2830">
        <v>31.846966666666699</v>
      </c>
      <c r="I2830">
        <v>38.1166008161305</v>
      </c>
    </row>
    <row r="2831" spans="1:9" x14ac:dyDescent="0.35">
      <c r="A2831" s="417" t="s">
        <v>846</v>
      </c>
      <c r="B2831" s="417" t="s">
        <v>676</v>
      </c>
      <c r="C2831" s="83">
        <v>46135</v>
      </c>
      <c r="D2831" s="417" t="s">
        <v>679</v>
      </c>
      <c r="E2831">
        <v>1031.1481833333301</v>
      </c>
      <c r="F2831">
        <v>23</v>
      </c>
      <c r="G2831">
        <v>44.832529710144897</v>
      </c>
      <c r="H2831">
        <v>23.482533333333301</v>
      </c>
      <c r="I2831">
        <v>55.220421304556098</v>
      </c>
    </row>
    <row r="2832" spans="1:9" x14ac:dyDescent="0.35">
      <c r="A2832" s="417" t="s">
        <v>846</v>
      </c>
      <c r="B2832" s="417" t="s">
        <v>680</v>
      </c>
      <c r="C2832" s="83">
        <v>46135</v>
      </c>
      <c r="D2832" s="417" t="s">
        <v>684</v>
      </c>
      <c r="E2832">
        <v>1341.3507</v>
      </c>
      <c r="F2832">
        <v>129</v>
      </c>
      <c r="G2832">
        <v>10.398067441860499</v>
      </c>
      <c r="H2832">
        <v>40.848066666666703</v>
      </c>
      <c r="I2832">
        <v>27.8338643627865</v>
      </c>
    </row>
    <row r="2833" spans="1:9" x14ac:dyDescent="0.35">
      <c r="A2833" s="417" t="s">
        <v>846</v>
      </c>
      <c r="B2833" s="417" t="s">
        <v>680</v>
      </c>
      <c r="C2833" s="83">
        <v>46135</v>
      </c>
      <c r="D2833" s="417" t="s">
        <v>689</v>
      </c>
      <c r="E2833">
        <v>1370.14488333333</v>
      </c>
      <c r="F2833">
        <v>60</v>
      </c>
      <c r="G2833">
        <v>22.835748055555602</v>
      </c>
      <c r="H2833">
        <v>3.6892999999999998</v>
      </c>
      <c r="I2833">
        <v>34.467667960317797</v>
      </c>
    </row>
    <row r="2834" spans="1:9" x14ac:dyDescent="0.35">
      <c r="A2834" s="417" t="s">
        <v>846</v>
      </c>
      <c r="B2834" s="417" t="s">
        <v>680</v>
      </c>
      <c r="C2834" s="83">
        <v>46135</v>
      </c>
      <c r="D2834" s="417" t="s">
        <v>681</v>
      </c>
      <c r="E2834">
        <v>1407.78148333333</v>
      </c>
      <c r="F2834">
        <v>40</v>
      </c>
      <c r="G2834">
        <v>35.194537083333302</v>
      </c>
      <c r="H2834">
        <v>0</v>
      </c>
      <c r="I2834">
        <v>30.912539732072801</v>
      </c>
    </row>
    <row r="2835" spans="1:9" x14ac:dyDescent="0.35">
      <c r="A2835" s="417" t="s">
        <v>846</v>
      </c>
      <c r="B2835" s="417" t="s">
        <v>680</v>
      </c>
      <c r="C2835" s="83">
        <v>46135</v>
      </c>
      <c r="D2835" s="417" t="s">
        <v>682</v>
      </c>
      <c r="E2835">
        <v>804.33351666666704</v>
      </c>
      <c r="F2835">
        <v>25</v>
      </c>
      <c r="G2835">
        <v>32.173340666666697</v>
      </c>
      <c r="H2835">
        <v>35.666483333333296</v>
      </c>
      <c r="I2835">
        <v>29.95670995671</v>
      </c>
    </row>
    <row r="2836" spans="1:9" x14ac:dyDescent="0.35">
      <c r="A2836" s="417" t="s">
        <v>846</v>
      </c>
      <c r="B2836" s="417" t="s">
        <v>680</v>
      </c>
      <c r="C2836" s="83">
        <v>46135</v>
      </c>
      <c r="D2836" s="417" t="s">
        <v>683</v>
      </c>
      <c r="E2836">
        <v>1360.3005499999999</v>
      </c>
      <c r="F2836">
        <v>17</v>
      </c>
      <c r="G2836">
        <v>80.017679411764703</v>
      </c>
      <c r="H2836">
        <v>1.6678333333333299</v>
      </c>
      <c r="I2836">
        <v>26.310334242001598</v>
      </c>
    </row>
    <row r="2837" spans="1:9" x14ac:dyDescent="0.35">
      <c r="A2837" s="417" t="s">
        <v>846</v>
      </c>
      <c r="B2837" s="417" t="s">
        <v>680</v>
      </c>
      <c r="C2837" s="83">
        <v>46135</v>
      </c>
      <c r="D2837" s="417" t="s">
        <v>687</v>
      </c>
      <c r="E2837">
        <v>1414.01001666667</v>
      </c>
      <c r="F2837">
        <v>14</v>
      </c>
      <c r="G2837">
        <v>101.00071547619</v>
      </c>
      <c r="H2837">
        <v>11.1811833333333</v>
      </c>
      <c r="I2837">
        <v>12.569924270193001</v>
      </c>
    </row>
    <row r="2838" spans="1:9" x14ac:dyDescent="0.35">
      <c r="A2838" s="417" t="s">
        <v>846</v>
      </c>
      <c r="B2838" s="417" t="s">
        <v>680</v>
      </c>
      <c r="C2838" s="83">
        <v>46135</v>
      </c>
      <c r="D2838" s="417" t="s">
        <v>688</v>
      </c>
      <c r="E2838">
        <v>1307.3248000000001</v>
      </c>
      <c r="F2838">
        <v>7</v>
      </c>
      <c r="G2838">
        <v>186.76068571428601</v>
      </c>
      <c r="H2838">
        <v>1.4919500000000001</v>
      </c>
      <c r="I2838">
        <v>22.507243940075401</v>
      </c>
    </row>
    <row r="2839" spans="1:9" x14ac:dyDescent="0.35">
      <c r="A2839" s="417" t="s">
        <v>846</v>
      </c>
      <c r="B2839" s="417" t="s">
        <v>680</v>
      </c>
      <c r="C2839" s="83">
        <v>46135</v>
      </c>
      <c r="D2839" s="417" t="s">
        <v>685</v>
      </c>
      <c r="E2839">
        <v>398.21596666666699</v>
      </c>
      <c r="F2839">
        <v>5</v>
      </c>
      <c r="G2839">
        <v>79.643193333333301</v>
      </c>
      <c r="H2839">
        <v>0.16666666666666699</v>
      </c>
      <c r="I2839">
        <v>24.852066985035702</v>
      </c>
    </row>
    <row r="2840" spans="1:9" x14ac:dyDescent="0.35">
      <c r="A2840" s="417" t="s">
        <v>846</v>
      </c>
      <c r="B2840" s="417" t="s">
        <v>680</v>
      </c>
      <c r="C2840" s="83">
        <v>46135</v>
      </c>
      <c r="D2840" s="417" t="s">
        <v>690</v>
      </c>
      <c r="E2840">
        <v>838.15673333333302</v>
      </c>
      <c r="F2840">
        <v>3</v>
      </c>
      <c r="G2840">
        <v>279.385577777778</v>
      </c>
      <c r="H2840">
        <v>0.66718333333333302</v>
      </c>
      <c r="I2840">
        <v>31.845452593768101</v>
      </c>
    </row>
    <row r="2841" spans="1:9" x14ac:dyDescent="0.35">
      <c r="A2841" s="417" t="s">
        <v>846</v>
      </c>
      <c r="B2841" s="417" t="s">
        <v>680</v>
      </c>
      <c r="C2841" s="83">
        <v>46135</v>
      </c>
      <c r="D2841" s="417" t="s">
        <v>686</v>
      </c>
      <c r="E2841">
        <v>840</v>
      </c>
      <c r="F2841">
        <v>1</v>
      </c>
      <c r="G2841">
        <v>840</v>
      </c>
      <c r="H2841">
        <v>0</v>
      </c>
      <c r="I2841">
        <v>8.7012987012986898</v>
      </c>
    </row>
    <row r="2842" spans="1:9" x14ac:dyDescent="0.35">
      <c r="A2842" s="417" t="s">
        <v>846</v>
      </c>
      <c r="B2842" s="417" t="s">
        <v>691</v>
      </c>
      <c r="C2842" s="83">
        <v>46135</v>
      </c>
      <c r="D2842" s="417" t="s">
        <v>305</v>
      </c>
      <c r="E2842">
        <v>1286.0661666666699</v>
      </c>
      <c r="F2842">
        <v>211</v>
      </c>
      <c r="G2842">
        <v>6.0951003159557704</v>
      </c>
      <c r="H2842">
        <v>6.4349166666666697</v>
      </c>
      <c r="I2842">
        <v>30.5768034666104</v>
      </c>
    </row>
    <row r="2843" spans="1:9" x14ac:dyDescent="0.35">
      <c r="A2843" s="417" t="s">
        <v>846</v>
      </c>
      <c r="B2843" s="417" t="s">
        <v>691</v>
      </c>
      <c r="C2843" s="83">
        <v>46135</v>
      </c>
      <c r="D2843" s="417" t="s">
        <v>301</v>
      </c>
      <c r="E2843">
        <v>1335.4110499999999</v>
      </c>
      <c r="F2843">
        <v>112</v>
      </c>
      <c r="G2843">
        <v>11.923312946428601</v>
      </c>
      <c r="H2843">
        <v>0.62978333333333303</v>
      </c>
      <c r="I2843">
        <v>54.404403364883798</v>
      </c>
    </row>
    <row r="2844" spans="1:9" x14ac:dyDescent="0.35">
      <c r="A2844" s="417" t="s">
        <v>846</v>
      </c>
      <c r="B2844" s="417" t="s">
        <v>691</v>
      </c>
      <c r="C2844" s="83">
        <v>46135</v>
      </c>
      <c r="D2844" s="417" t="s">
        <v>299</v>
      </c>
      <c r="E2844">
        <v>1366.83318333333</v>
      </c>
      <c r="F2844">
        <v>108</v>
      </c>
      <c r="G2844">
        <v>12.655862808642</v>
      </c>
      <c r="H2844">
        <v>0.638066666666667</v>
      </c>
      <c r="I2844">
        <v>70.861636683992501</v>
      </c>
    </row>
    <row r="2845" spans="1:9" x14ac:dyDescent="0.35">
      <c r="A2845" s="417" t="s">
        <v>846</v>
      </c>
      <c r="B2845" s="417" t="s">
        <v>691</v>
      </c>
      <c r="C2845" s="83">
        <v>46135</v>
      </c>
      <c r="D2845" s="417" t="s">
        <v>303</v>
      </c>
      <c r="E2845">
        <v>1341.2950499999999</v>
      </c>
      <c r="F2845">
        <v>88</v>
      </c>
      <c r="G2845">
        <v>15.241989204545501</v>
      </c>
      <c r="H2845">
        <v>0.16118333333333301</v>
      </c>
      <c r="I2845">
        <v>42.6406540700196</v>
      </c>
    </row>
    <row r="2846" spans="1:9" x14ac:dyDescent="0.35">
      <c r="A2846" s="417" t="s">
        <v>846</v>
      </c>
      <c r="B2846" s="417" t="s">
        <v>691</v>
      </c>
      <c r="C2846" s="83">
        <v>46135</v>
      </c>
      <c r="D2846" s="417" t="s">
        <v>309</v>
      </c>
      <c r="E2846">
        <v>1358.47076666667</v>
      </c>
      <c r="F2846">
        <v>87</v>
      </c>
      <c r="G2846">
        <v>15.614606513409999</v>
      </c>
      <c r="H2846">
        <v>0</v>
      </c>
      <c r="I2846">
        <v>36.772276964331802</v>
      </c>
    </row>
    <row r="2847" spans="1:9" x14ac:dyDescent="0.35">
      <c r="A2847" s="417" t="s">
        <v>846</v>
      </c>
      <c r="B2847" s="417" t="s">
        <v>691</v>
      </c>
      <c r="C2847" s="83">
        <v>46135</v>
      </c>
      <c r="D2847" s="417" t="s">
        <v>295</v>
      </c>
      <c r="E2847">
        <v>1357.6176499999999</v>
      </c>
      <c r="F2847">
        <v>66</v>
      </c>
      <c r="G2847">
        <v>20.569964393939401</v>
      </c>
      <c r="H2847">
        <v>0.52841666666666698</v>
      </c>
      <c r="I2847">
        <v>70.826496964234707</v>
      </c>
    </row>
    <row r="2848" spans="1:9" x14ac:dyDescent="0.35">
      <c r="A2848" s="417" t="s">
        <v>846</v>
      </c>
      <c r="B2848" s="417" t="s">
        <v>691</v>
      </c>
      <c r="C2848" s="83">
        <v>46135</v>
      </c>
      <c r="D2848" s="417" t="s">
        <v>342</v>
      </c>
      <c r="E2848">
        <v>1346.8233666666699</v>
      </c>
      <c r="F2848">
        <v>38</v>
      </c>
      <c r="G2848">
        <v>35.442720175438602</v>
      </c>
      <c r="H2848">
        <v>73.243783333333297</v>
      </c>
      <c r="I2848">
        <v>31.557539682539598</v>
      </c>
    </row>
    <row r="2849" spans="1:9" x14ac:dyDescent="0.35">
      <c r="A2849" s="417" t="s">
        <v>846</v>
      </c>
      <c r="B2849" s="417" t="s">
        <v>691</v>
      </c>
      <c r="C2849" s="83">
        <v>46135</v>
      </c>
      <c r="D2849" s="417" t="s">
        <v>310</v>
      </c>
      <c r="E2849">
        <v>1374.8612333333299</v>
      </c>
      <c r="F2849">
        <v>27</v>
      </c>
      <c r="G2849">
        <v>50.920786419753099</v>
      </c>
      <c r="H2849">
        <v>0.42299999999999999</v>
      </c>
      <c r="I2849">
        <v>69.875389068560906</v>
      </c>
    </row>
    <row r="2850" spans="1:9" x14ac:dyDescent="0.35">
      <c r="A2850" s="417" t="s">
        <v>846</v>
      </c>
      <c r="B2850" s="417" t="s">
        <v>691</v>
      </c>
      <c r="C2850" s="83">
        <v>46135</v>
      </c>
      <c r="D2850" s="417" t="s">
        <v>314</v>
      </c>
      <c r="E2850">
        <v>1332.8687833333299</v>
      </c>
      <c r="F2850">
        <v>25</v>
      </c>
      <c r="G2850">
        <v>53.314751333333298</v>
      </c>
      <c r="H2850">
        <v>3.1673166666666699</v>
      </c>
      <c r="I2850">
        <v>54.673698162951602</v>
      </c>
    </row>
    <row r="2851" spans="1:9" x14ac:dyDescent="0.35">
      <c r="A2851" s="417" t="s">
        <v>846</v>
      </c>
      <c r="B2851" s="417" t="s">
        <v>691</v>
      </c>
      <c r="C2851" s="83">
        <v>46135</v>
      </c>
      <c r="D2851" s="417" t="s">
        <v>313</v>
      </c>
      <c r="E2851">
        <v>1422.7563666666699</v>
      </c>
      <c r="F2851">
        <v>9</v>
      </c>
      <c r="G2851">
        <v>158.08404074074099</v>
      </c>
      <c r="H2851">
        <v>5.93333333333333E-2</v>
      </c>
      <c r="I2851">
        <v>67.412448122395901</v>
      </c>
    </row>
    <row r="2852" spans="1:9" x14ac:dyDescent="0.35">
      <c r="A2852" s="417" t="s">
        <v>846</v>
      </c>
      <c r="B2852" s="417" t="s">
        <v>691</v>
      </c>
      <c r="C2852" s="83">
        <v>46135</v>
      </c>
      <c r="D2852" s="417" t="s">
        <v>317</v>
      </c>
      <c r="E2852">
        <v>1404.7786166666699</v>
      </c>
      <c r="F2852">
        <v>2</v>
      </c>
      <c r="G2852">
        <v>702.38930833333302</v>
      </c>
      <c r="H2852">
        <v>1.5946166666666699</v>
      </c>
      <c r="I2852">
        <v>23.507273330026599</v>
      </c>
    </row>
    <row r="2853" spans="1:9" x14ac:dyDescent="0.35">
      <c r="A2853" s="417" t="s">
        <v>846</v>
      </c>
      <c r="B2853" s="417" t="s">
        <v>691</v>
      </c>
      <c r="C2853" s="83">
        <v>46135</v>
      </c>
      <c r="D2853" s="417" t="s">
        <v>504</v>
      </c>
      <c r="E2853">
        <v>1440</v>
      </c>
      <c r="F2853">
        <v>1</v>
      </c>
      <c r="G2853">
        <v>1440</v>
      </c>
      <c r="H2853">
        <v>0</v>
      </c>
      <c r="I2853">
        <v>24.404938271604902</v>
      </c>
    </row>
    <row r="2854" spans="1:9" x14ac:dyDescent="0.35">
      <c r="A2854" s="417" t="s">
        <v>846</v>
      </c>
      <c r="B2854" s="417" t="s">
        <v>676</v>
      </c>
      <c r="C2854" s="83">
        <v>46134</v>
      </c>
      <c r="D2854" s="417" t="s">
        <v>677</v>
      </c>
      <c r="E2854">
        <v>1161.9495833333301</v>
      </c>
      <c r="F2854">
        <v>190</v>
      </c>
      <c r="G2854">
        <v>6.1155241228070203</v>
      </c>
      <c r="H2854">
        <v>140.877466666667</v>
      </c>
      <c r="I2854">
        <v>38.391111111111101</v>
      </c>
    </row>
    <row r="2855" spans="1:9" x14ac:dyDescent="0.35">
      <c r="A2855" s="417" t="s">
        <v>846</v>
      </c>
      <c r="B2855" s="417" t="s">
        <v>676</v>
      </c>
      <c r="C2855" s="83">
        <v>46134</v>
      </c>
      <c r="D2855" s="417" t="s">
        <v>678</v>
      </c>
      <c r="E2855">
        <v>1273.8142333333301</v>
      </c>
      <c r="F2855">
        <v>50</v>
      </c>
      <c r="G2855">
        <v>25.4762846666667</v>
      </c>
      <c r="H2855">
        <v>47.020733333333297</v>
      </c>
      <c r="I2855">
        <v>75.839854753060905</v>
      </c>
    </row>
    <row r="2856" spans="1:9" x14ac:dyDescent="0.35">
      <c r="A2856" s="417" t="s">
        <v>846</v>
      </c>
      <c r="B2856" s="417" t="s">
        <v>676</v>
      </c>
      <c r="C2856" s="83">
        <v>46134</v>
      </c>
      <c r="D2856" s="417" t="s">
        <v>679</v>
      </c>
      <c r="E2856">
        <v>1263.7905333333299</v>
      </c>
      <c r="F2856">
        <v>33</v>
      </c>
      <c r="G2856">
        <v>38.296682828282798</v>
      </c>
      <c r="H2856">
        <v>22.681249999999999</v>
      </c>
      <c r="I2856">
        <v>78.097580246189395</v>
      </c>
    </row>
    <row r="2857" spans="1:9" x14ac:dyDescent="0.35">
      <c r="A2857" s="417" t="s">
        <v>846</v>
      </c>
      <c r="B2857" s="417" t="s">
        <v>680</v>
      </c>
      <c r="C2857" s="83">
        <v>46134</v>
      </c>
      <c r="D2857" s="417" t="s">
        <v>682</v>
      </c>
      <c r="E2857">
        <v>1376.6741833333299</v>
      </c>
      <c r="F2857">
        <v>70</v>
      </c>
      <c r="G2857">
        <v>19.666774047619</v>
      </c>
      <c r="H2857">
        <v>63.325816666666697</v>
      </c>
      <c r="I2857">
        <v>78.939393939393895</v>
      </c>
    </row>
    <row r="2858" spans="1:9" x14ac:dyDescent="0.35">
      <c r="A2858" s="417" t="s">
        <v>846</v>
      </c>
      <c r="B2858" s="417" t="s">
        <v>680</v>
      </c>
      <c r="C2858" s="83">
        <v>46134</v>
      </c>
      <c r="D2858" s="417" t="s">
        <v>685</v>
      </c>
      <c r="E2858">
        <v>1373.0106333333299</v>
      </c>
      <c r="F2858">
        <v>43</v>
      </c>
      <c r="G2858">
        <v>31.930479844961202</v>
      </c>
      <c r="H2858">
        <v>9.4857666666666702</v>
      </c>
      <c r="I2858">
        <v>94.291509793954205</v>
      </c>
    </row>
    <row r="2859" spans="1:9" x14ac:dyDescent="0.35">
      <c r="A2859" s="417" t="s">
        <v>846</v>
      </c>
      <c r="B2859" s="417" t="s">
        <v>680</v>
      </c>
      <c r="C2859" s="83">
        <v>46134</v>
      </c>
      <c r="D2859" s="417" t="s">
        <v>684</v>
      </c>
      <c r="E2859">
        <v>1410.2021666666701</v>
      </c>
      <c r="F2859">
        <v>32</v>
      </c>
      <c r="G2859">
        <v>44.068817708333299</v>
      </c>
      <c r="H2859">
        <v>16.798783333333301</v>
      </c>
      <c r="I2859">
        <v>80.632347350623206</v>
      </c>
    </row>
    <row r="2860" spans="1:9" x14ac:dyDescent="0.35">
      <c r="A2860" s="417" t="s">
        <v>846</v>
      </c>
      <c r="B2860" s="417" t="s">
        <v>680</v>
      </c>
      <c r="C2860" s="83">
        <v>46134</v>
      </c>
      <c r="D2860" s="417" t="s">
        <v>689</v>
      </c>
      <c r="E2860">
        <v>1375.0246</v>
      </c>
      <c r="F2860">
        <v>29</v>
      </c>
      <c r="G2860">
        <v>47.414641379310297</v>
      </c>
      <c r="H2860">
        <v>2.0159166666666701</v>
      </c>
      <c r="I2860">
        <v>96.266570597918502</v>
      </c>
    </row>
    <row r="2861" spans="1:9" x14ac:dyDescent="0.35">
      <c r="A2861" s="417" t="s">
        <v>846</v>
      </c>
      <c r="B2861" s="417" t="s">
        <v>680</v>
      </c>
      <c r="C2861" s="83">
        <v>46134</v>
      </c>
      <c r="D2861" s="417" t="s">
        <v>687</v>
      </c>
      <c r="E2861">
        <v>1390.98065</v>
      </c>
      <c r="F2861">
        <v>22</v>
      </c>
      <c r="G2861">
        <v>63.226393181818203</v>
      </c>
      <c r="H2861">
        <v>20.3352</v>
      </c>
      <c r="I2861">
        <v>37.945374942759301</v>
      </c>
    </row>
    <row r="2862" spans="1:9" x14ac:dyDescent="0.35">
      <c r="A2862" s="417" t="s">
        <v>846</v>
      </c>
      <c r="B2862" s="417" t="s">
        <v>680</v>
      </c>
      <c r="C2862" s="83">
        <v>46134</v>
      </c>
      <c r="D2862" s="417" t="s">
        <v>683</v>
      </c>
      <c r="E2862">
        <v>1410.98178333333</v>
      </c>
      <c r="F2862">
        <v>18</v>
      </c>
      <c r="G2862">
        <v>78.3878768518519</v>
      </c>
      <c r="H2862">
        <v>4.65248333333333</v>
      </c>
      <c r="I2862">
        <v>75.359834263090093</v>
      </c>
    </row>
    <row r="2863" spans="1:9" x14ac:dyDescent="0.35">
      <c r="A2863" s="417" t="s">
        <v>846</v>
      </c>
      <c r="B2863" s="417" t="s">
        <v>680</v>
      </c>
      <c r="C2863" s="83">
        <v>46134</v>
      </c>
      <c r="D2863" s="417" t="s">
        <v>681</v>
      </c>
      <c r="E2863">
        <v>1413.3411166666699</v>
      </c>
      <c r="F2863">
        <v>17</v>
      </c>
      <c r="G2863">
        <v>83.137712745098</v>
      </c>
      <c r="H2863">
        <v>1.0074666666666701</v>
      </c>
      <c r="I2863">
        <v>89.659942937042203</v>
      </c>
    </row>
    <row r="2864" spans="1:9" x14ac:dyDescent="0.35">
      <c r="A2864" s="417" t="s">
        <v>846</v>
      </c>
      <c r="B2864" s="417" t="s">
        <v>680</v>
      </c>
      <c r="C2864" s="83">
        <v>46134</v>
      </c>
      <c r="D2864" s="417" t="s">
        <v>688</v>
      </c>
      <c r="E2864">
        <v>1404.3252</v>
      </c>
      <c r="F2864">
        <v>15</v>
      </c>
      <c r="G2864">
        <v>93.621679999999998</v>
      </c>
      <c r="H2864">
        <v>6.6749999999999998</v>
      </c>
      <c r="I2864">
        <v>89.041228755593494</v>
      </c>
    </row>
    <row r="2865" spans="1:9" x14ac:dyDescent="0.35">
      <c r="A2865" s="417" t="s">
        <v>846</v>
      </c>
      <c r="B2865" s="417" t="s">
        <v>680</v>
      </c>
      <c r="C2865" s="83">
        <v>46134</v>
      </c>
      <c r="D2865" s="417" t="s">
        <v>690</v>
      </c>
      <c r="E2865">
        <v>1423.5175833333301</v>
      </c>
      <c r="F2865">
        <v>10</v>
      </c>
      <c r="G2865">
        <v>142.35175833333301</v>
      </c>
      <c r="H2865">
        <v>9.8268166666666694</v>
      </c>
      <c r="I2865">
        <v>73.738688453100394</v>
      </c>
    </row>
    <row r="2866" spans="1:9" x14ac:dyDescent="0.35">
      <c r="A2866" s="417" t="s">
        <v>846</v>
      </c>
      <c r="B2866" s="417" t="s">
        <v>680</v>
      </c>
      <c r="C2866" s="83">
        <v>46134</v>
      </c>
      <c r="D2866" s="417" t="s">
        <v>686</v>
      </c>
      <c r="E2866">
        <v>1440</v>
      </c>
      <c r="F2866">
        <v>1</v>
      </c>
      <c r="G2866">
        <v>1440</v>
      </c>
      <c r="H2866">
        <v>0</v>
      </c>
      <c r="I2866">
        <v>31.651515151515198</v>
      </c>
    </row>
    <row r="2867" spans="1:9" x14ac:dyDescent="0.35">
      <c r="A2867" s="417" t="s">
        <v>846</v>
      </c>
      <c r="B2867" s="417" t="s">
        <v>691</v>
      </c>
      <c r="C2867" s="83">
        <v>46134</v>
      </c>
      <c r="D2867" s="417" t="s">
        <v>305</v>
      </c>
      <c r="E2867">
        <v>1230.69268333333</v>
      </c>
      <c r="F2867">
        <v>207</v>
      </c>
      <c r="G2867">
        <v>5.9453752818035399</v>
      </c>
      <c r="H2867">
        <v>10.746233333333301</v>
      </c>
      <c r="I2867">
        <v>39.087533694918299</v>
      </c>
    </row>
    <row r="2868" spans="1:9" x14ac:dyDescent="0.35">
      <c r="A2868" s="417" t="s">
        <v>846</v>
      </c>
      <c r="B2868" s="417" t="s">
        <v>691</v>
      </c>
      <c r="C2868" s="83">
        <v>46134</v>
      </c>
      <c r="D2868" s="417" t="s">
        <v>303</v>
      </c>
      <c r="E2868">
        <v>1340.5440000000001</v>
      </c>
      <c r="F2868">
        <v>95</v>
      </c>
      <c r="G2868">
        <v>14.110989473684199</v>
      </c>
      <c r="H2868">
        <v>0.42576666666666702</v>
      </c>
      <c r="I2868">
        <v>47.222205812689801</v>
      </c>
    </row>
    <row r="2869" spans="1:9" x14ac:dyDescent="0.35">
      <c r="A2869" s="417" t="s">
        <v>846</v>
      </c>
      <c r="B2869" s="417" t="s">
        <v>691</v>
      </c>
      <c r="C2869" s="83">
        <v>46134</v>
      </c>
      <c r="D2869" s="417" t="s">
        <v>342</v>
      </c>
      <c r="E2869">
        <v>1001.99391666667</v>
      </c>
      <c r="F2869">
        <v>94</v>
      </c>
      <c r="G2869">
        <v>10.659509751772999</v>
      </c>
      <c r="H2869">
        <v>196.7774</v>
      </c>
      <c r="I2869">
        <v>30.7638888888889</v>
      </c>
    </row>
    <row r="2870" spans="1:9" x14ac:dyDescent="0.35">
      <c r="A2870" s="417" t="s">
        <v>846</v>
      </c>
      <c r="B2870" s="417" t="s">
        <v>691</v>
      </c>
      <c r="C2870" s="83">
        <v>46134</v>
      </c>
      <c r="D2870" s="417" t="s">
        <v>299</v>
      </c>
      <c r="E2870">
        <v>1354.7633166666701</v>
      </c>
      <c r="F2870">
        <v>88</v>
      </c>
      <c r="G2870">
        <v>15.3950376893939</v>
      </c>
      <c r="H2870">
        <v>0.53825000000000001</v>
      </c>
      <c r="I2870">
        <v>70.176068059371801</v>
      </c>
    </row>
    <row r="2871" spans="1:9" x14ac:dyDescent="0.35">
      <c r="A2871" s="417" t="s">
        <v>846</v>
      </c>
      <c r="B2871" s="417" t="s">
        <v>691</v>
      </c>
      <c r="C2871" s="83">
        <v>46134</v>
      </c>
      <c r="D2871" s="417" t="s">
        <v>301</v>
      </c>
      <c r="E2871">
        <v>1366.0882833333301</v>
      </c>
      <c r="F2871">
        <v>62</v>
      </c>
      <c r="G2871">
        <v>22.033681989247299</v>
      </c>
      <c r="H2871">
        <v>1.47376666666667</v>
      </c>
      <c r="I2871">
        <v>56.746852078739501</v>
      </c>
    </row>
    <row r="2872" spans="1:9" x14ac:dyDescent="0.35">
      <c r="A2872" s="417" t="s">
        <v>846</v>
      </c>
      <c r="B2872" s="417" t="s">
        <v>691</v>
      </c>
      <c r="C2872" s="83">
        <v>46134</v>
      </c>
      <c r="D2872" s="417" t="s">
        <v>309</v>
      </c>
      <c r="E2872">
        <v>1356.79846666667</v>
      </c>
      <c r="F2872">
        <v>52</v>
      </c>
      <c r="G2872">
        <v>26.092278205128199</v>
      </c>
      <c r="H2872">
        <v>0.79298333333333304</v>
      </c>
      <c r="I2872">
        <v>54.233961593066397</v>
      </c>
    </row>
    <row r="2873" spans="1:9" x14ac:dyDescent="0.35">
      <c r="A2873" s="417" t="s">
        <v>846</v>
      </c>
      <c r="B2873" s="417" t="s">
        <v>691</v>
      </c>
      <c r="C2873" s="83">
        <v>46134</v>
      </c>
      <c r="D2873" s="417" t="s">
        <v>295</v>
      </c>
      <c r="E2873">
        <v>1362.4435000000001</v>
      </c>
      <c r="F2873">
        <v>46</v>
      </c>
      <c r="G2873">
        <v>29.618336956521699</v>
      </c>
      <c r="H2873">
        <v>0.194583333333333</v>
      </c>
      <c r="I2873">
        <v>73.969713521479207</v>
      </c>
    </row>
    <row r="2874" spans="1:9" x14ac:dyDescent="0.35">
      <c r="A2874" s="417" t="s">
        <v>846</v>
      </c>
      <c r="B2874" s="417" t="s">
        <v>691</v>
      </c>
      <c r="C2874" s="83">
        <v>46134</v>
      </c>
      <c r="D2874" s="417" t="s">
        <v>310</v>
      </c>
      <c r="E2874">
        <v>1382.0248833333301</v>
      </c>
      <c r="F2874">
        <v>12</v>
      </c>
      <c r="G2874">
        <v>115.168740277778</v>
      </c>
      <c r="H2874">
        <v>1.1365499999999999</v>
      </c>
      <c r="I2874">
        <v>71.0561225852897</v>
      </c>
    </row>
    <row r="2875" spans="1:9" x14ac:dyDescent="0.35">
      <c r="A2875" s="417" t="s">
        <v>846</v>
      </c>
      <c r="B2875" s="417" t="s">
        <v>691</v>
      </c>
      <c r="C2875" s="83">
        <v>46134</v>
      </c>
      <c r="D2875" s="417" t="s">
        <v>313</v>
      </c>
      <c r="E2875">
        <v>1358.5554999999999</v>
      </c>
      <c r="F2875">
        <v>7</v>
      </c>
      <c r="G2875">
        <v>194.07935714285699</v>
      </c>
      <c r="H2875">
        <v>0</v>
      </c>
      <c r="I2875">
        <v>66.5804096659853</v>
      </c>
    </row>
    <row r="2876" spans="1:9" x14ac:dyDescent="0.35">
      <c r="A2876" s="417" t="s">
        <v>846</v>
      </c>
      <c r="B2876" s="417" t="s">
        <v>691</v>
      </c>
      <c r="C2876" s="83">
        <v>46134</v>
      </c>
      <c r="D2876" s="417" t="s">
        <v>314</v>
      </c>
      <c r="E2876">
        <v>1333.1339666666699</v>
      </c>
      <c r="F2876">
        <v>7</v>
      </c>
      <c r="G2876">
        <v>190.44770952380901</v>
      </c>
      <c r="H2876">
        <v>0.1077</v>
      </c>
      <c r="I2876">
        <v>57.104301348164199</v>
      </c>
    </row>
    <row r="2877" spans="1:9" x14ac:dyDescent="0.35">
      <c r="A2877" s="417" t="s">
        <v>846</v>
      </c>
      <c r="B2877" s="417" t="s">
        <v>691</v>
      </c>
      <c r="C2877" s="83">
        <v>46134</v>
      </c>
      <c r="D2877" s="417" t="s">
        <v>317</v>
      </c>
      <c r="E2877">
        <v>1065.0968</v>
      </c>
      <c r="F2877">
        <v>4</v>
      </c>
      <c r="G2877">
        <v>266.27420000000001</v>
      </c>
      <c r="H2877">
        <v>0.45584999999999998</v>
      </c>
      <c r="I2877">
        <v>12.472401058737001</v>
      </c>
    </row>
    <row r="2878" spans="1:9" x14ac:dyDescent="0.35">
      <c r="A2878" s="417" t="s">
        <v>846</v>
      </c>
      <c r="B2878" s="417" t="s">
        <v>691</v>
      </c>
      <c r="C2878" s="83">
        <v>46134</v>
      </c>
      <c r="D2878" s="417" t="s">
        <v>504</v>
      </c>
      <c r="E2878">
        <v>1440</v>
      </c>
      <c r="F2878">
        <v>1</v>
      </c>
      <c r="G2878">
        <v>1440</v>
      </c>
      <c r="H2878">
        <v>0</v>
      </c>
      <c r="I2878">
        <v>26.725462962963</v>
      </c>
    </row>
    <row r="2879" spans="1:9" x14ac:dyDescent="0.35">
      <c r="A2879" s="417" t="s">
        <v>846</v>
      </c>
      <c r="B2879" s="417" t="s">
        <v>676</v>
      </c>
      <c r="C2879" s="83">
        <v>46133</v>
      </c>
      <c r="D2879" s="417" t="s">
        <v>677</v>
      </c>
      <c r="E2879">
        <v>1057.0756166666699</v>
      </c>
      <c r="F2879">
        <v>202</v>
      </c>
      <c r="G2879">
        <v>5.2330476072607297</v>
      </c>
      <c r="H2879">
        <v>135.98118333333301</v>
      </c>
      <c r="I2879">
        <v>23.008611111111101</v>
      </c>
    </row>
    <row r="2880" spans="1:9" x14ac:dyDescent="0.35">
      <c r="A2880" s="417" t="s">
        <v>846</v>
      </c>
      <c r="B2880" s="417" t="s">
        <v>676</v>
      </c>
      <c r="C2880" s="83">
        <v>46133</v>
      </c>
      <c r="D2880" s="417" t="s">
        <v>678</v>
      </c>
      <c r="E2880">
        <v>831.99386666666703</v>
      </c>
      <c r="F2880">
        <v>69</v>
      </c>
      <c r="G2880">
        <v>12.0578821256039</v>
      </c>
      <c r="H2880">
        <v>78.639716666666601</v>
      </c>
      <c r="I2880">
        <v>32.658058648436601</v>
      </c>
    </row>
    <row r="2881" spans="1:9" x14ac:dyDescent="0.35">
      <c r="A2881" s="417" t="s">
        <v>846</v>
      </c>
      <c r="B2881" s="417" t="s">
        <v>676</v>
      </c>
      <c r="C2881" s="83">
        <v>46133</v>
      </c>
      <c r="D2881" s="417" t="s">
        <v>679</v>
      </c>
      <c r="E2881">
        <v>1009.88268333333</v>
      </c>
      <c r="F2881">
        <v>32</v>
      </c>
      <c r="G2881">
        <v>31.5588338541667</v>
      </c>
      <c r="H2881">
        <v>38.340633333333301</v>
      </c>
      <c r="I2881">
        <v>37.987290346854401</v>
      </c>
    </row>
    <row r="2882" spans="1:9" x14ac:dyDescent="0.35">
      <c r="A2882" s="417" t="s">
        <v>846</v>
      </c>
      <c r="B2882" s="417" t="s">
        <v>680</v>
      </c>
      <c r="C2882" s="83">
        <v>46133</v>
      </c>
      <c r="D2882" s="417" t="s">
        <v>682</v>
      </c>
      <c r="E2882">
        <v>1346.68931666667</v>
      </c>
      <c r="F2882">
        <v>71</v>
      </c>
      <c r="G2882">
        <v>18.967455164319201</v>
      </c>
      <c r="H2882">
        <v>58.816749999999999</v>
      </c>
      <c r="I2882">
        <v>65.740424600629197</v>
      </c>
    </row>
    <row r="2883" spans="1:9" x14ac:dyDescent="0.35">
      <c r="A2883" s="417" t="s">
        <v>846</v>
      </c>
      <c r="B2883" s="417" t="s">
        <v>680</v>
      </c>
      <c r="C2883" s="83">
        <v>46133</v>
      </c>
      <c r="D2883" s="417" t="s">
        <v>684</v>
      </c>
      <c r="E2883">
        <v>1261.1944166666699</v>
      </c>
      <c r="F2883">
        <v>36</v>
      </c>
      <c r="G2883">
        <v>35.033178240740703</v>
      </c>
      <c r="H2883">
        <v>26.9941</v>
      </c>
      <c r="I2883">
        <v>75.746655021254597</v>
      </c>
    </row>
    <row r="2884" spans="1:9" x14ac:dyDescent="0.35">
      <c r="A2884" s="417" t="s">
        <v>846</v>
      </c>
      <c r="B2884" s="417" t="s">
        <v>680</v>
      </c>
      <c r="C2884" s="83">
        <v>46133</v>
      </c>
      <c r="D2884" s="417" t="s">
        <v>689</v>
      </c>
      <c r="E2884">
        <v>1350.4738500000001</v>
      </c>
      <c r="F2884">
        <v>34</v>
      </c>
      <c r="G2884">
        <v>39.719819117647098</v>
      </c>
      <c r="H2884">
        <v>2.1743666666666699</v>
      </c>
      <c r="I2884">
        <v>79.145500109022905</v>
      </c>
    </row>
    <row r="2885" spans="1:9" x14ac:dyDescent="0.35">
      <c r="A2885" s="417" t="s">
        <v>846</v>
      </c>
      <c r="B2885" s="417" t="s">
        <v>680</v>
      </c>
      <c r="C2885" s="83">
        <v>46133</v>
      </c>
      <c r="D2885" s="417" t="s">
        <v>683</v>
      </c>
      <c r="E2885">
        <v>1318.3731</v>
      </c>
      <c r="F2885">
        <v>33</v>
      </c>
      <c r="G2885">
        <v>39.950699999999998</v>
      </c>
      <c r="H2885">
        <v>0</v>
      </c>
      <c r="I2885">
        <v>64.308926913173195</v>
      </c>
    </row>
    <row r="2886" spans="1:9" x14ac:dyDescent="0.35">
      <c r="A2886" s="417" t="s">
        <v>846</v>
      </c>
      <c r="B2886" s="417" t="s">
        <v>680</v>
      </c>
      <c r="C2886" s="83">
        <v>46133</v>
      </c>
      <c r="D2886" s="417" t="s">
        <v>681</v>
      </c>
      <c r="E2886">
        <v>1287.8084166666699</v>
      </c>
      <c r="F2886">
        <v>28</v>
      </c>
      <c r="G2886">
        <v>45.993157738095199</v>
      </c>
      <c r="H2886">
        <v>0</v>
      </c>
      <c r="I2886">
        <v>78.837127509633106</v>
      </c>
    </row>
    <row r="2887" spans="1:9" x14ac:dyDescent="0.35">
      <c r="A2887" s="417" t="s">
        <v>846</v>
      </c>
      <c r="B2887" s="417" t="s">
        <v>680</v>
      </c>
      <c r="C2887" s="83">
        <v>46133</v>
      </c>
      <c r="D2887" s="417" t="s">
        <v>690</v>
      </c>
      <c r="E2887">
        <v>1363.3559</v>
      </c>
      <c r="F2887">
        <v>26</v>
      </c>
      <c r="G2887">
        <v>52.436765384615398</v>
      </c>
      <c r="H2887">
        <v>33.667766666666701</v>
      </c>
      <c r="I2887">
        <v>53.700904195366597</v>
      </c>
    </row>
    <row r="2888" spans="1:9" x14ac:dyDescent="0.35">
      <c r="A2888" s="417" t="s">
        <v>846</v>
      </c>
      <c r="B2888" s="417" t="s">
        <v>680</v>
      </c>
      <c r="C2888" s="83">
        <v>46133</v>
      </c>
      <c r="D2888" s="417" t="s">
        <v>688</v>
      </c>
      <c r="E2888">
        <v>1386.04833333333</v>
      </c>
      <c r="F2888">
        <v>25</v>
      </c>
      <c r="G2888">
        <v>55.441933333333303</v>
      </c>
      <c r="H2888">
        <v>5.3257166666666702</v>
      </c>
      <c r="I2888">
        <v>71.605735658743797</v>
      </c>
    </row>
    <row r="2889" spans="1:9" x14ac:dyDescent="0.35">
      <c r="A2889" s="417" t="s">
        <v>846</v>
      </c>
      <c r="B2889" s="417" t="s">
        <v>680</v>
      </c>
      <c r="C2889" s="83">
        <v>46133</v>
      </c>
      <c r="D2889" s="417" t="s">
        <v>685</v>
      </c>
      <c r="E2889">
        <v>1320.3268499999999</v>
      </c>
      <c r="F2889">
        <v>23</v>
      </c>
      <c r="G2889">
        <v>57.405515217391297</v>
      </c>
      <c r="H2889">
        <v>10.1589833333333</v>
      </c>
      <c r="I2889">
        <v>79.092334310290894</v>
      </c>
    </row>
    <row r="2890" spans="1:9" x14ac:dyDescent="0.35">
      <c r="A2890" s="417" t="s">
        <v>846</v>
      </c>
      <c r="B2890" s="417" t="s">
        <v>680</v>
      </c>
      <c r="C2890" s="83">
        <v>46133</v>
      </c>
      <c r="D2890" s="417" t="s">
        <v>687</v>
      </c>
      <c r="E2890">
        <v>1404.6549</v>
      </c>
      <c r="F2890">
        <v>17</v>
      </c>
      <c r="G2890">
        <v>82.6267588235294</v>
      </c>
      <c r="H2890">
        <v>20.171783333333298</v>
      </c>
      <c r="I2890">
        <v>37.208506551020697</v>
      </c>
    </row>
    <row r="2891" spans="1:9" x14ac:dyDescent="0.35">
      <c r="A2891" s="417" t="s">
        <v>846</v>
      </c>
      <c r="B2891" s="417" t="s">
        <v>680</v>
      </c>
      <c r="C2891" s="83">
        <v>46133</v>
      </c>
      <c r="D2891" s="417" t="s">
        <v>686</v>
      </c>
      <c r="E2891">
        <v>1440</v>
      </c>
      <c r="F2891">
        <v>1</v>
      </c>
      <c r="G2891">
        <v>1440</v>
      </c>
      <c r="H2891">
        <v>0</v>
      </c>
      <c r="I2891">
        <v>30.823646228742401</v>
      </c>
    </row>
    <row r="2892" spans="1:9" x14ac:dyDescent="0.35">
      <c r="A2892" s="417" t="s">
        <v>846</v>
      </c>
      <c r="B2892" s="417" t="s">
        <v>691</v>
      </c>
      <c r="C2892" s="83">
        <v>46133</v>
      </c>
      <c r="D2892" s="417" t="s">
        <v>305</v>
      </c>
      <c r="E2892">
        <v>1285.7923499999999</v>
      </c>
      <c r="F2892">
        <v>196</v>
      </c>
      <c r="G2892">
        <v>6.5601650510204097</v>
      </c>
      <c r="H2892">
        <v>7.0302166666666697</v>
      </c>
      <c r="I2892">
        <v>32.548401374820202</v>
      </c>
    </row>
    <row r="2893" spans="1:9" x14ac:dyDescent="0.35">
      <c r="A2893" s="417" t="s">
        <v>846</v>
      </c>
      <c r="B2893" s="417" t="s">
        <v>691</v>
      </c>
      <c r="C2893" s="83">
        <v>46133</v>
      </c>
      <c r="D2893" s="417" t="s">
        <v>309</v>
      </c>
      <c r="E2893">
        <v>1258.99223333333</v>
      </c>
      <c r="F2893">
        <v>81</v>
      </c>
      <c r="G2893">
        <v>15.5431139917695</v>
      </c>
      <c r="H2893">
        <v>0</v>
      </c>
      <c r="I2893">
        <v>26.922986922883499</v>
      </c>
    </row>
    <row r="2894" spans="1:9" x14ac:dyDescent="0.35">
      <c r="A2894" s="417" t="s">
        <v>846</v>
      </c>
      <c r="B2894" s="417" t="s">
        <v>691</v>
      </c>
      <c r="C2894" s="83">
        <v>46133</v>
      </c>
      <c r="D2894" s="417" t="s">
        <v>342</v>
      </c>
      <c r="E2894">
        <v>752.62739999999997</v>
      </c>
      <c r="F2894">
        <v>70</v>
      </c>
      <c r="G2894">
        <v>10.75182</v>
      </c>
      <c r="H2894">
        <v>161.26808333333301</v>
      </c>
      <c r="I2894">
        <v>29.374738079132399</v>
      </c>
    </row>
    <row r="2895" spans="1:9" x14ac:dyDescent="0.35">
      <c r="A2895" s="417" t="s">
        <v>846</v>
      </c>
      <c r="B2895" s="417" t="s">
        <v>691</v>
      </c>
      <c r="C2895" s="83">
        <v>46133</v>
      </c>
      <c r="D2895" s="417" t="s">
        <v>299</v>
      </c>
      <c r="E2895">
        <v>1185.549</v>
      </c>
      <c r="F2895">
        <v>58</v>
      </c>
      <c r="G2895">
        <v>20.4405</v>
      </c>
      <c r="H2895">
        <v>1.77593333333333</v>
      </c>
      <c r="I2895">
        <v>65.967707688456699</v>
      </c>
    </row>
    <row r="2896" spans="1:9" x14ac:dyDescent="0.35">
      <c r="A2896" s="417" t="s">
        <v>846</v>
      </c>
      <c r="B2896" s="417" t="s">
        <v>691</v>
      </c>
      <c r="C2896" s="83">
        <v>46133</v>
      </c>
      <c r="D2896" s="417" t="s">
        <v>301</v>
      </c>
      <c r="E2896">
        <v>1205.3242499999999</v>
      </c>
      <c r="F2896">
        <v>57</v>
      </c>
      <c r="G2896">
        <v>21.146039473684201</v>
      </c>
      <c r="H2896">
        <v>1.0307999999999999</v>
      </c>
      <c r="I2896">
        <v>51.366470633449403</v>
      </c>
    </row>
    <row r="2897" spans="1:9" x14ac:dyDescent="0.35">
      <c r="A2897" s="417" t="s">
        <v>846</v>
      </c>
      <c r="B2897" s="417" t="s">
        <v>691</v>
      </c>
      <c r="C2897" s="83">
        <v>46133</v>
      </c>
      <c r="D2897" s="417" t="s">
        <v>303</v>
      </c>
      <c r="E2897">
        <v>1183.7849333333299</v>
      </c>
      <c r="F2897">
        <v>55</v>
      </c>
      <c r="G2897">
        <v>21.5233624242424</v>
      </c>
      <c r="H2897">
        <v>0.16114999999999999</v>
      </c>
      <c r="I2897">
        <v>40.590085337137403</v>
      </c>
    </row>
    <row r="2898" spans="1:9" x14ac:dyDescent="0.35">
      <c r="A2898" s="417" t="s">
        <v>846</v>
      </c>
      <c r="B2898" s="417" t="s">
        <v>691</v>
      </c>
      <c r="C2898" s="83">
        <v>46133</v>
      </c>
      <c r="D2898" s="417" t="s">
        <v>295</v>
      </c>
      <c r="E2898">
        <v>1179.57173333333</v>
      </c>
      <c r="F2898">
        <v>41</v>
      </c>
      <c r="G2898">
        <v>28.770042276422799</v>
      </c>
      <c r="H2898">
        <v>0.13411666666666699</v>
      </c>
      <c r="I2898">
        <v>68.946322582495</v>
      </c>
    </row>
    <row r="2899" spans="1:9" x14ac:dyDescent="0.35">
      <c r="A2899" s="417" t="s">
        <v>846</v>
      </c>
      <c r="B2899" s="417" t="s">
        <v>691</v>
      </c>
      <c r="C2899" s="83">
        <v>46133</v>
      </c>
      <c r="D2899" s="417" t="s">
        <v>313</v>
      </c>
      <c r="E2899">
        <v>1151.5412833333301</v>
      </c>
      <c r="F2899">
        <v>35</v>
      </c>
      <c r="G2899">
        <v>32.901179523809503</v>
      </c>
      <c r="H2899">
        <v>0</v>
      </c>
      <c r="I2899">
        <v>46.623838595209399</v>
      </c>
    </row>
    <row r="2900" spans="1:9" x14ac:dyDescent="0.35">
      <c r="A2900" s="417" t="s">
        <v>846</v>
      </c>
      <c r="B2900" s="417" t="s">
        <v>691</v>
      </c>
      <c r="C2900" s="83">
        <v>46133</v>
      </c>
      <c r="D2900" s="417" t="s">
        <v>314</v>
      </c>
      <c r="E2900">
        <v>1322.2651333333299</v>
      </c>
      <c r="F2900">
        <v>14</v>
      </c>
      <c r="G2900">
        <v>94.447509523809501</v>
      </c>
      <c r="H2900">
        <v>11.2292666666667</v>
      </c>
      <c r="I2900">
        <v>34.425252500238301</v>
      </c>
    </row>
    <row r="2901" spans="1:9" x14ac:dyDescent="0.35">
      <c r="A2901" s="417" t="s">
        <v>846</v>
      </c>
      <c r="B2901" s="417" t="s">
        <v>691</v>
      </c>
      <c r="C2901" s="83">
        <v>46133</v>
      </c>
      <c r="D2901" s="417" t="s">
        <v>310</v>
      </c>
      <c r="E2901">
        <v>1357.0779500000001</v>
      </c>
      <c r="F2901">
        <v>13</v>
      </c>
      <c r="G2901">
        <v>104.390611538462</v>
      </c>
      <c r="H2901">
        <v>2.5149999999999999E-2</v>
      </c>
      <c r="I2901">
        <v>42.112947024222002</v>
      </c>
    </row>
    <row r="2902" spans="1:9" x14ac:dyDescent="0.35">
      <c r="A2902" s="417" t="s">
        <v>846</v>
      </c>
      <c r="B2902" s="417" t="s">
        <v>691</v>
      </c>
      <c r="C2902" s="83">
        <v>46133</v>
      </c>
      <c r="D2902" s="417" t="s">
        <v>317</v>
      </c>
      <c r="E2902">
        <v>1276.3090666666701</v>
      </c>
      <c r="F2902">
        <v>7</v>
      </c>
      <c r="G2902">
        <v>182.32986666666699</v>
      </c>
      <c r="H2902">
        <v>6.9075666666666704</v>
      </c>
      <c r="I2902">
        <v>11.9504373631483</v>
      </c>
    </row>
    <row r="2903" spans="1:9" x14ac:dyDescent="0.35">
      <c r="A2903" s="417" t="s">
        <v>846</v>
      </c>
      <c r="B2903" s="417" t="s">
        <v>691</v>
      </c>
      <c r="C2903" s="83">
        <v>46133</v>
      </c>
      <c r="D2903" s="417" t="s">
        <v>504</v>
      </c>
      <c r="E2903">
        <v>1440</v>
      </c>
      <c r="F2903">
        <v>1</v>
      </c>
      <c r="G2903">
        <v>1440</v>
      </c>
      <c r="H2903">
        <v>0</v>
      </c>
      <c r="I2903">
        <v>25.196604938271602</v>
      </c>
    </row>
    <row r="2904" spans="1:9" x14ac:dyDescent="0.35">
      <c r="A2904" s="417" t="s">
        <v>846</v>
      </c>
      <c r="B2904" s="417" t="s">
        <v>676</v>
      </c>
      <c r="C2904" s="83">
        <v>46132</v>
      </c>
      <c r="D2904" s="417" t="s">
        <v>677</v>
      </c>
      <c r="E2904">
        <v>1183.5260000000001</v>
      </c>
      <c r="F2904">
        <v>300</v>
      </c>
      <c r="G2904">
        <v>3.9450866666666702</v>
      </c>
      <c r="H2904">
        <v>153.37469999999999</v>
      </c>
      <c r="I2904">
        <v>33.9786111111111</v>
      </c>
    </row>
    <row r="2905" spans="1:9" x14ac:dyDescent="0.35">
      <c r="A2905" s="417" t="s">
        <v>846</v>
      </c>
      <c r="B2905" s="417" t="s">
        <v>676</v>
      </c>
      <c r="C2905" s="83">
        <v>46132</v>
      </c>
      <c r="D2905" s="417" t="s">
        <v>679</v>
      </c>
      <c r="E2905">
        <v>1107.92065</v>
      </c>
      <c r="F2905">
        <v>69</v>
      </c>
      <c r="G2905">
        <v>16.056821014492701</v>
      </c>
      <c r="H2905">
        <v>71.323383333333297</v>
      </c>
      <c r="I2905">
        <v>39.537271084384102</v>
      </c>
    </row>
    <row r="2906" spans="1:9" x14ac:dyDescent="0.35">
      <c r="A2906" s="417" t="s">
        <v>846</v>
      </c>
      <c r="B2906" s="417" t="s">
        <v>676</v>
      </c>
      <c r="C2906" s="83">
        <v>46132</v>
      </c>
      <c r="D2906" s="417" t="s">
        <v>678</v>
      </c>
      <c r="E2906">
        <v>1385.6457</v>
      </c>
      <c r="F2906">
        <v>20</v>
      </c>
      <c r="G2906">
        <v>69.282285000000002</v>
      </c>
      <c r="H2906">
        <v>16.651733333333301</v>
      </c>
      <c r="I2906">
        <v>54.363882812022503</v>
      </c>
    </row>
    <row r="2907" spans="1:9" x14ac:dyDescent="0.35">
      <c r="A2907" s="417" t="s">
        <v>846</v>
      </c>
      <c r="B2907" s="417" t="s">
        <v>680</v>
      </c>
      <c r="C2907" s="83">
        <v>46132</v>
      </c>
      <c r="D2907" s="417" t="s">
        <v>681</v>
      </c>
      <c r="E2907">
        <v>1359.0469333333299</v>
      </c>
      <c r="F2907">
        <v>116</v>
      </c>
      <c r="G2907">
        <v>11.715921839080501</v>
      </c>
      <c r="H2907">
        <v>0</v>
      </c>
      <c r="I2907">
        <v>79.4635442423901</v>
      </c>
    </row>
    <row r="2908" spans="1:9" x14ac:dyDescent="0.35">
      <c r="A2908" s="417" t="s">
        <v>846</v>
      </c>
      <c r="B2908" s="417" t="s">
        <v>680</v>
      </c>
      <c r="C2908" s="83">
        <v>46132</v>
      </c>
      <c r="D2908" s="417" t="s">
        <v>689</v>
      </c>
      <c r="E2908">
        <v>1365.02385</v>
      </c>
      <c r="F2908">
        <v>110</v>
      </c>
      <c r="G2908">
        <v>12.409307727272701</v>
      </c>
      <c r="H2908">
        <v>0.49911666666666699</v>
      </c>
      <c r="I2908">
        <v>79.950465355734593</v>
      </c>
    </row>
    <row r="2909" spans="1:9" x14ac:dyDescent="0.35">
      <c r="A2909" s="417" t="s">
        <v>846</v>
      </c>
      <c r="B2909" s="417" t="s">
        <v>680</v>
      </c>
      <c r="C2909" s="83">
        <v>46132</v>
      </c>
      <c r="D2909" s="417" t="s">
        <v>683</v>
      </c>
      <c r="E2909">
        <v>1360.2806499999999</v>
      </c>
      <c r="F2909">
        <v>55</v>
      </c>
      <c r="G2909">
        <v>24.732375454545501</v>
      </c>
      <c r="H2909">
        <v>0.83336666666666703</v>
      </c>
      <c r="I2909">
        <v>67.341287356925704</v>
      </c>
    </row>
    <row r="2910" spans="1:9" x14ac:dyDescent="0.35">
      <c r="A2910" s="417" t="s">
        <v>846</v>
      </c>
      <c r="B2910" s="417" t="s">
        <v>680</v>
      </c>
      <c r="C2910" s="83">
        <v>46132</v>
      </c>
      <c r="D2910" s="417" t="s">
        <v>684</v>
      </c>
      <c r="E2910">
        <v>1395.8286499999999</v>
      </c>
      <c r="F2910">
        <v>44</v>
      </c>
      <c r="G2910">
        <v>31.723378409090898</v>
      </c>
      <c r="H2910">
        <v>26.003766666666699</v>
      </c>
      <c r="I2910">
        <v>75.449345510426596</v>
      </c>
    </row>
    <row r="2911" spans="1:9" x14ac:dyDescent="0.35">
      <c r="A2911" s="417" t="s">
        <v>846</v>
      </c>
      <c r="B2911" s="417" t="s">
        <v>680</v>
      </c>
      <c r="C2911" s="83">
        <v>46132</v>
      </c>
      <c r="D2911" s="417" t="s">
        <v>690</v>
      </c>
      <c r="E2911">
        <v>1389.0102833333301</v>
      </c>
      <c r="F2911">
        <v>44</v>
      </c>
      <c r="G2911">
        <v>31.568415530303</v>
      </c>
      <c r="H2911">
        <v>21.360333333333301</v>
      </c>
      <c r="I2911">
        <v>64.691040657703198</v>
      </c>
    </row>
    <row r="2912" spans="1:9" x14ac:dyDescent="0.35">
      <c r="A2912" s="417" t="s">
        <v>846</v>
      </c>
      <c r="B2912" s="417" t="s">
        <v>680</v>
      </c>
      <c r="C2912" s="83">
        <v>46132</v>
      </c>
      <c r="D2912" s="417" t="s">
        <v>682</v>
      </c>
      <c r="E2912">
        <v>1381.325</v>
      </c>
      <c r="F2912">
        <v>40</v>
      </c>
      <c r="G2912">
        <v>34.533124999999998</v>
      </c>
      <c r="H2912">
        <v>38.679000000000002</v>
      </c>
      <c r="I2912">
        <v>74.751984126984198</v>
      </c>
    </row>
    <row r="2913" spans="1:9" x14ac:dyDescent="0.35">
      <c r="A2913" s="417" t="s">
        <v>846</v>
      </c>
      <c r="B2913" s="417" t="s">
        <v>680</v>
      </c>
      <c r="C2913" s="83">
        <v>46132</v>
      </c>
      <c r="D2913" s="417" t="s">
        <v>688</v>
      </c>
      <c r="E2913">
        <v>1421.04228333333</v>
      </c>
      <c r="F2913">
        <v>31</v>
      </c>
      <c r="G2913">
        <v>45.840073655913997</v>
      </c>
      <c r="H2913">
        <v>7.6558000000000002</v>
      </c>
      <c r="I2913">
        <v>76.921149858091496</v>
      </c>
    </row>
    <row r="2914" spans="1:9" x14ac:dyDescent="0.35">
      <c r="A2914" s="417" t="s">
        <v>846</v>
      </c>
      <c r="B2914" s="417" t="s">
        <v>680</v>
      </c>
      <c r="C2914" s="83">
        <v>46132</v>
      </c>
      <c r="D2914" s="417" t="s">
        <v>687</v>
      </c>
      <c r="E2914">
        <v>1385.8592000000001</v>
      </c>
      <c r="F2914">
        <v>13</v>
      </c>
      <c r="G2914">
        <v>106.604553846154</v>
      </c>
      <c r="H2914">
        <v>18.341933333333301</v>
      </c>
      <c r="I2914">
        <v>41.949231724609099</v>
      </c>
    </row>
    <row r="2915" spans="1:9" x14ac:dyDescent="0.35">
      <c r="A2915" s="417" t="s">
        <v>846</v>
      </c>
      <c r="B2915" s="417" t="s">
        <v>680</v>
      </c>
      <c r="C2915" s="83">
        <v>46132</v>
      </c>
      <c r="D2915" s="417" t="s">
        <v>685</v>
      </c>
      <c r="E2915">
        <v>1430.51516666667</v>
      </c>
      <c r="F2915">
        <v>8</v>
      </c>
      <c r="G2915">
        <v>178.81439583333301</v>
      </c>
      <c r="H2915">
        <v>5.4848499999999998</v>
      </c>
      <c r="I2915">
        <v>77.942392442108897</v>
      </c>
    </row>
    <row r="2916" spans="1:9" x14ac:dyDescent="0.35">
      <c r="A2916" s="417" t="s">
        <v>846</v>
      </c>
      <c r="B2916" s="417" t="s">
        <v>680</v>
      </c>
      <c r="C2916" s="83">
        <v>46132</v>
      </c>
      <c r="D2916" s="417" t="s">
        <v>686</v>
      </c>
      <c r="E2916">
        <v>1440</v>
      </c>
      <c r="F2916">
        <v>1</v>
      </c>
      <c r="G2916">
        <v>1440</v>
      </c>
      <c r="H2916">
        <v>0</v>
      </c>
      <c r="I2916">
        <v>32.8819444444444</v>
      </c>
    </row>
    <row r="2917" spans="1:9" x14ac:dyDescent="0.35">
      <c r="A2917" s="417" t="s">
        <v>846</v>
      </c>
      <c r="B2917" s="417" t="s">
        <v>691</v>
      </c>
      <c r="C2917" s="83">
        <v>46132</v>
      </c>
      <c r="D2917" s="417" t="s">
        <v>305</v>
      </c>
      <c r="E2917">
        <v>1335.8986</v>
      </c>
      <c r="F2917">
        <v>195</v>
      </c>
      <c r="G2917">
        <v>6.8507620512820502</v>
      </c>
      <c r="H2917">
        <v>11.8295166666667</v>
      </c>
      <c r="I2917">
        <v>31.968327448946301</v>
      </c>
    </row>
    <row r="2918" spans="1:9" x14ac:dyDescent="0.35">
      <c r="A2918" s="417" t="s">
        <v>846</v>
      </c>
      <c r="B2918" s="417" t="s">
        <v>691</v>
      </c>
      <c r="C2918" s="83">
        <v>46132</v>
      </c>
      <c r="D2918" s="417" t="s">
        <v>299</v>
      </c>
      <c r="E2918">
        <v>1377.89086666667</v>
      </c>
      <c r="F2918">
        <v>63</v>
      </c>
      <c r="G2918">
        <v>21.8712835978836</v>
      </c>
      <c r="H2918">
        <v>0.68345</v>
      </c>
      <c r="I2918">
        <v>75.972137342871903</v>
      </c>
    </row>
    <row r="2919" spans="1:9" x14ac:dyDescent="0.35">
      <c r="A2919" s="417" t="s">
        <v>846</v>
      </c>
      <c r="B2919" s="417" t="s">
        <v>691</v>
      </c>
      <c r="C2919" s="83">
        <v>46132</v>
      </c>
      <c r="D2919" s="417" t="s">
        <v>303</v>
      </c>
      <c r="E2919">
        <v>1364.3253666666701</v>
      </c>
      <c r="F2919">
        <v>50</v>
      </c>
      <c r="G2919">
        <v>27.286507333333301</v>
      </c>
      <c r="H2919">
        <v>2.5100000000000001E-2</v>
      </c>
      <c r="I2919">
        <v>40.710685598541701</v>
      </c>
    </row>
    <row r="2920" spans="1:9" x14ac:dyDescent="0.35">
      <c r="A2920" s="417" t="s">
        <v>846</v>
      </c>
      <c r="B2920" s="417" t="s">
        <v>691</v>
      </c>
      <c r="C2920" s="83">
        <v>46132</v>
      </c>
      <c r="D2920" s="417" t="s">
        <v>301</v>
      </c>
      <c r="E2920">
        <v>1355.7201</v>
      </c>
      <c r="F2920">
        <v>45</v>
      </c>
      <c r="G2920">
        <v>30.127113333333298</v>
      </c>
      <c r="H2920">
        <v>2.9862500000000001</v>
      </c>
      <c r="I2920">
        <v>56.768211930647503</v>
      </c>
    </row>
    <row r="2921" spans="1:9" x14ac:dyDescent="0.35">
      <c r="A2921" s="417" t="s">
        <v>846</v>
      </c>
      <c r="B2921" s="417" t="s">
        <v>691</v>
      </c>
      <c r="C2921" s="83">
        <v>46132</v>
      </c>
      <c r="D2921" s="417" t="s">
        <v>342</v>
      </c>
      <c r="E2921">
        <v>748.91764999999998</v>
      </c>
      <c r="F2921">
        <v>41</v>
      </c>
      <c r="G2921">
        <v>18.266284146341501</v>
      </c>
      <c r="H2921">
        <v>90.000299999999996</v>
      </c>
      <c r="I2921">
        <v>21.525974025974001</v>
      </c>
    </row>
    <row r="2922" spans="1:9" x14ac:dyDescent="0.35">
      <c r="A2922" s="417" t="s">
        <v>846</v>
      </c>
      <c r="B2922" s="417" t="s">
        <v>691</v>
      </c>
      <c r="C2922" s="83">
        <v>46132</v>
      </c>
      <c r="D2922" s="417" t="s">
        <v>295</v>
      </c>
      <c r="E2922">
        <v>1388.3511333333299</v>
      </c>
      <c r="F2922">
        <v>34</v>
      </c>
      <c r="G2922">
        <v>40.833856862745101</v>
      </c>
      <c r="H2922">
        <v>6.7716666666666703E-2</v>
      </c>
      <c r="I2922">
        <v>78.409942431932805</v>
      </c>
    </row>
    <row r="2923" spans="1:9" x14ac:dyDescent="0.35">
      <c r="A2923" s="417" t="s">
        <v>846</v>
      </c>
      <c r="B2923" s="417" t="s">
        <v>691</v>
      </c>
      <c r="C2923" s="83">
        <v>46132</v>
      </c>
      <c r="D2923" s="417" t="s">
        <v>309</v>
      </c>
      <c r="E2923">
        <v>1218.59523333333</v>
      </c>
      <c r="F2923">
        <v>32</v>
      </c>
      <c r="G2923">
        <v>38.081101041666699</v>
      </c>
      <c r="H2923">
        <v>0</v>
      </c>
      <c r="I2923">
        <v>19.020814308683999</v>
      </c>
    </row>
    <row r="2924" spans="1:9" x14ac:dyDescent="0.35">
      <c r="A2924" s="417" t="s">
        <v>846</v>
      </c>
      <c r="B2924" s="417" t="s">
        <v>691</v>
      </c>
      <c r="C2924" s="83">
        <v>46132</v>
      </c>
      <c r="D2924" s="417" t="s">
        <v>313</v>
      </c>
      <c r="E2924">
        <v>1426.6815999999999</v>
      </c>
      <c r="F2924">
        <v>14</v>
      </c>
      <c r="G2924">
        <v>101.905828571429</v>
      </c>
      <c r="H2924">
        <v>0</v>
      </c>
      <c r="I2924">
        <v>46.505135633944903</v>
      </c>
    </row>
    <row r="2925" spans="1:9" x14ac:dyDescent="0.35">
      <c r="A2925" s="417" t="s">
        <v>846</v>
      </c>
      <c r="B2925" s="417" t="s">
        <v>691</v>
      </c>
      <c r="C2925" s="83">
        <v>46132</v>
      </c>
      <c r="D2925" s="417" t="s">
        <v>317</v>
      </c>
      <c r="E2925">
        <v>1416.8669833333299</v>
      </c>
      <c r="F2925">
        <v>7</v>
      </c>
      <c r="G2925">
        <v>202.40956904761899</v>
      </c>
      <c r="H2925">
        <v>8.6662999999999997</v>
      </c>
      <c r="I2925">
        <v>19.789085481074402</v>
      </c>
    </row>
    <row r="2926" spans="1:9" x14ac:dyDescent="0.35">
      <c r="A2926" s="417" t="s">
        <v>846</v>
      </c>
      <c r="B2926" s="417" t="s">
        <v>691</v>
      </c>
      <c r="C2926" s="83">
        <v>46132</v>
      </c>
      <c r="D2926" s="417" t="s">
        <v>314</v>
      </c>
      <c r="E2926">
        <v>1392.83218333333</v>
      </c>
      <c r="F2926">
        <v>4</v>
      </c>
      <c r="G2926">
        <v>348.20804583333302</v>
      </c>
      <c r="H2926">
        <v>5.0883333333333301E-2</v>
      </c>
      <c r="I2926">
        <v>33.294688972530103</v>
      </c>
    </row>
    <row r="2927" spans="1:9" x14ac:dyDescent="0.35">
      <c r="A2927" s="417" t="s">
        <v>846</v>
      </c>
      <c r="B2927" s="417" t="s">
        <v>691</v>
      </c>
      <c r="C2927" s="83">
        <v>46132</v>
      </c>
      <c r="D2927" s="417" t="s">
        <v>310</v>
      </c>
      <c r="E2927">
        <v>1421.11138333333</v>
      </c>
      <c r="F2927">
        <v>2</v>
      </c>
      <c r="G2927">
        <v>710.55569166666601</v>
      </c>
      <c r="H2927">
        <v>0</v>
      </c>
      <c r="I2927">
        <v>47.922513799287202</v>
      </c>
    </row>
    <row r="2928" spans="1:9" x14ac:dyDescent="0.35">
      <c r="A2928" s="417" t="s">
        <v>846</v>
      </c>
      <c r="B2928" s="417" t="s">
        <v>691</v>
      </c>
      <c r="C2928" s="83">
        <v>46132</v>
      </c>
      <c r="D2928" s="417" t="s">
        <v>504</v>
      </c>
      <c r="E2928">
        <v>1440</v>
      </c>
      <c r="F2928">
        <v>1</v>
      </c>
      <c r="G2928">
        <v>1440</v>
      </c>
      <c r="H2928">
        <v>0</v>
      </c>
      <c r="I2928">
        <v>26.213888888888899</v>
      </c>
    </row>
    <row r="2929" spans="1:9" x14ac:dyDescent="0.35">
      <c r="A2929" s="417" t="s">
        <v>846</v>
      </c>
      <c r="B2929" s="417" t="s">
        <v>676</v>
      </c>
      <c r="C2929" s="83">
        <v>46131</v>
      </c>
      <c r="D2929" s="417" t="s">
        <v>677</v>
      </c>
      <c r="E2929">
        <v>1179.3161500000001</v>
      </c>
      <c r="F2929">
        <v>251</v>
      </c>
      <c r="G2929">
        <v>4.6984707171314701</v>
      </c>
      <c r="H2929">
        <v>193.843433333333</v>
      </c>
      <c r="I2929">
        <v>38.5566666666667</v>
      </c>
    </row>
    <row r="2930" spans="1:9" x14ac:dyDescent="0.35">
      <c r="A2930" s="417" t="s">
        <v>846</v>
      </c>
      <c r="B2930" s="417" t="s">
        <v>676</v>
      </c>
      <c r="C2930" s="83">
        <v>46131</v>
      </c>
      <c r="D2930" s="417" t="s">
        <v>679</v>
      </c>
      <c r="E2930">
        <v>1354.18851666667</v>
      </c>
      <c r="F2930">
        <v>57</v>
      </c>
      <c r="G2930">
        <v>23.7576932748538</v>
      </c>
      <c r="H2930">
        <v>40.66825</v>
      </c>
      <c r="I2930">
        <v>89.341311818802495</v>
      </c>
    </row>
    <row r="2931" spans="1:9" x14ac:dyDescent="0.35">
      <c r="A2931" s="417" t="s">
        <v>846</v>
      </c>
      <c r="B2931" s="417" t="s">
        <v>676</v>
      </c>
      <c r="C2931" s="83">
        <v>46131</v>
      </c>
      <c r="D2931" s="417" t="s">
        <v>678</v>
      </c>
      <c r="E2931">
        <v>1298.13106666667</v>
      </c>
      <c r="F2931">
        <v>54</v>
      </c>
      <c r="G2931">
        <v>24.039464197530901</v>
      </c>
      <c r="H2931">
        <v>37.0246</v>
      </c>
      <c r="I2931">
        <v>93.413757382011596</v>
      </c>
    </row>
    <row r="2932" spans="1:9" x14ac:dyDescent="0.35">
      <c r="A2932" s="417" t="s">
        <v>846</v>
      </c>
      <c r="B2932" s="417" t="s">
        <v>680</v>
      </c>
      <c r="C2932" s="83">
        <v>46131</v>
      </c>
      <c r="D2932" s="417" t="s">
        <v>681</v>
      </c>
      <c r="E2932">
        <v>1351.00346666667</v>
      </c>
      <c r="F2932">
        <v>132</v>
      </c>
      <c r="G2932">
        <v>10.2348747474747</v>
      </c>
      <c r="H2932">
        <v>0.84796666666666698</v>
      </c>
      <c r="I2932">
        <v>75.897800874660803</v>
      </c>
    </row>
    <row r="2933" spans="1:9" x14ac:dyDescent="0.35">
      <c r="A2933" s="417" t="s">
        <v>846</v>
      </c>
      <c r="B2933" s="417" t="s">
        <v>680</v>
      </c>
      <c r="C2933" s="83">
        <v>46131</v>
      </c>
      <c r="D2933" s="417" t="s">
        <v>682</v>
      </c>
      <c r="E2933">
        <v>1406.3477333333301</v>
      </c>
      <c r="F2933">
        <v>38</v>
      </c>
      <c r="G2933">
        <v>37.009150877193001</v>
      </c>
      <c r="H2933">
        <v>33.652266666666698</v>
      </c>
      <c r="I2933">
        <v>69.275793650793602</v>
      </c>
    </row>
    <row r="2934" spans="1:9" x14ac:dyDescent="0.35">
      <c r="A2934" s="417" t="s">
        <v>846</v>
      </c>
      <c r="B2934" s="417" t="s">
        <v>680</v>
      </c>
      <c r="C2934" s="83">
        <v>46131</v>
      </c>
      <c r="D2934" s="417" t="s">
        <v>689</v>
      </c>
      <c r="E2934">
        <v>1108.33906538</v>
      </c>
      <c r="F2934">
        <v>35</v>
      </c>
      <c r="G2934">
        <v>31.666830439428601</v>
      </c>
      <c r="H2934">
        <v>3.17661666666667</v>
      </c>
      <c r="I2934">
        <v>84.096563243632602</v>
      </c>
    </row>
    <row r="2935" spans="1:9" x14ac:dyDescent="0.35">
      <c r="A2935" s="417" t="s">
        <v>846</v>
      </c>
      <c r="B2935" s="417" t="s">
        <v>680</v>
      </c>
      <c r="C2935" s="83">
        <v>46131</v>
      </c>
      <c r="D2935" s="417" t="s">
        <v>687</v>
      </c>
      <c r="E2935">
        <v>1383.13861666667</v>
      </c>
      <c r="F2935">
        <v>30</v>
      </c>
      <c r="G2935">
        <v>46.104620555555599</v>
      </c>
      <c r="H2935">
        <v>25.6792333333333</v>
      </c>
      <c r="I2935">
        <v>33.7500637169776</v>
      </c>
    </row>
    <row r="2936" spans="1:9" x14ac:dyDescent="0.35">
      <c r="A2936" s="417" t="s">
        <v>846</v>
      </c>
      <c r="B2936" s="417" t="s">
        <v>680</v>
      </c>
      <c r="C2936" s="83">
        <v>46131</v>
      </c>
      <c r="D2936" s="417" t="s">
        <v>683</v>
      </c>
      <c r="E2936">
        <v>1374.96998333333</v>
      </c>
      <c r="F2936">
        <v>29</v>
      </c>
      <c r="G2936">
        <v>47.412758045977</v>
      </c>
      <c r="H2936">
        <v>1.33145</v>
      </c>
      <c r="I2936">
        <v>71.251053683075398</v>
      </c>
    </row>
    <row r="2937" spans="1:9" x14ac:dyDescent="0.35">
      <c r="A2937" s="417" t="s">
        <v>846</v>
      </c>
      <c r="B2937" s="417" t="s">
        <v>680</v>
      </c>
      <c r="C2937" s="83">
        <v>46131</v>
      </c>
      <c r="D2937" s="417" t="s">
        <v>684</v>
      </c>
      <c r="E2937">
        <v>1423.8347166666699</v>
      </c>
      <c r="F2937">
        <v>25</v>
      </c>
      <c r="G2937">
        <v>56.953388666666697</v>
      </c>
      <c r="H2937">
        <v>11.150499999999999</v>
      </c>
      <c r="I2937">
        <v>70.217056113475394</v>
      </c>
    </row>
    <row r="2938" spans="1:9" x14ac:dyDescent="0.35">
      <c r="A2938" s="417" t="s">
        <v>846</v>
      </c>
      <c r="B2938" s="417" t="s">
        <v>680</v>
      </c>
      <c r="C2938" s="83">
        <v>46131</v>
      </c>
      <c r="D2938" s="417" t="s">
        <v>688</v>
      </c>
      <c r="E2938">
        <v>1416.00743333333</v>
      </c>
      <c r="F2938">
        <v>17</v>
      </c>
      <c r="G2938">
        <v>83.294554901960794</v>
      </c>
      <c r="H2938">
        <v>2.3427500000000001</v>
      </c>
      <c r="I2938">
        <v>73.043628320497405</v>
      </c>
    </row>
    <row r="2939" spans="1:9" x14ac:dyDescent="0.35">
      <c r="A2939" s="417" t="s">
        <v>846</v>
      </c>
      <c r="B2939" s="417" t="s">
        <v>680</v>
      </c>
      <c r="C2939" s="83">
        <v>46131</v>
      </c>
      <c r="D2939" s="417" t="s">
        <v>685</v>
      </c>
      <c r="E2939">
        <v>1408.00281666667</v>
      </c>
      <c r="F2939">
        <v>15</v>
      </c>
      <c r="G2939">
        <v>93.8668544444444</v>
      </c>
      <c r="H2939">
        <v>9.6563999999999997</v>
      </c>
      <c r="I2939">
        <v>81.059262200533198</v>
      </c>
    </row>
    <row r="2940" spans="1:9" x14ac:dyDescent="0.35">
      <c r="A2940" s="417" t="s">
        <v>846</v>
      </c>
      <c r="B2940" s="417" t="s">
        <v>680</v>
      </c>
      <c r="C2940" s="83">
        <v>46131</v>
      </c>
      <c r="D2940" s="417" t="s">
        <v>690</v>
      </c>
      <c r="E2940">
        <v>1405.9755</v>
      </c>
      <c r="F2940">
        <v>13</v>
      </c>
      <c r="G2940">
        <v>108.151961538462</v>
      </c>
      <c r="H2940">
        <v>5.3480166666666697</v>
      </c>
      <c r="I2940">
        <v>68.542529526228293</v>
      </c>
    </row>
    <row r="2941" spans="1:9" x14ac:dyDescent="0.35">
      <c r="A2941" s="417" t="s">
        <v>846</v>
      </c>
      <c r="B2941" s="417" t="s">
        <v>680</v>
      </c>
      <c r="C2941" s="83">
        <v>46131</v>
      </c>
      <c r="D2941" s="417" t="s">
        <v>686</v>
      </c>
      <c r="E2941">
        <v>1440</v>
      </c>
      <c r="F2941">
        <v>1</v>
      </c>
      <c r="G2941">
        <v>1440</v>
      </c>
      <c r="H2941">
        <v>0</v>
      </c>
      <c r="I2941">
        <v>25.307539682539701</v>
      </c>
    </row>
    <row r="2942" spans="1:9" x14ac:dyDescent="0.35">
      <c r="A2942" s="417" t="s">
        <v>846</v>
      </c>
      <c r="B2942" s="417" t="s">
        <v>691</v>
      </c>
      <c r="C2942" s="83">
        <v>46131</v>
      </c>
      <c r="D2942" s="417" t="s">
        <v>305</v>
      </c>
      <c r="E2942">
        <v>1265.9181166666699</v>
      </c>
      <c r="F2942">
        <v>182</v>
      </c>
      <c r="G2942">
        <v>6.9555940476190496</v>
      </c>
      <c r="H2942">
        <v>9.3329666666666693</v>
      </c>
      <c r="I2942">
        <v>38.195886195894701</v>
      </c>
    </row>
    <row r="2943" spans="1:9" x14ac:dyDescent="0.35">
      <c r="A2943" s="417" t="s">
        <v>846</v>
      </c>
      <c r="B2943" s="417" t="s">
        <v>691</v>
      </c>
      <c r="C2943" s="83">
        <v>46131</v>
      </c>
      <c r="D2943" s="417" t="s">
        <v>342</v>
      </c>
      <c r="E2943">
        <v>1011.86028333333</v>
      </c>
      <c r="F2943">
        <v>101</v>
      </c>
      <c r="G2943">
        <v>10.018418646864699</v>
      </c>
      <c r="H2943">
        <v>256.63471666666698</v>
      </c>
      <c r="I2943">
        <v>35.4861111111111</v>
      </c>
    </row>
    <row r="2944" spans="1:9" x14ac:dyDescent="0.35">
      <c r="A2944" s="417" t="s">
        <v>846</v>
      </c>
      <c r="B2944" s="417" t="s">
        <v>691</v>
      </c>
      <c r="C2944" s="83">
        <v>46131</v>
      </c>
      <c r="D2944" s="417" t="s">
        <v>301</v>
      </c>
      <c r="E2944">
        <v>1267.3756333333299</v>
      </c>
      <c r="F2944">
        <v>96</v>
      </c>
      <c r="G2944">
        <v>13.201829513888899</v>
      </c>
      <c r="H2944">
        <v>3.0903166666666699</v>
      </c>
      <c r="I2944">
        <v>54.082737599084901</v>
      </c>
    </row>
    <row r="2945" spans="1:9" x14ac:dyDescent="0.35">
      <c r="A2945" s="417" t="s">
        <v>846</v>
      </c>
      <c r="B2945" s="417" t="s">
        <v>691</v>
      </c>
      <c r="C2945" s="83">
        <v>46131</v>
      </c>
      <c r="D2945" s="417" t="s">
        <v>299</v>
      </c>
      <c r="E2945">
        <v>1367.6233</v>
      </c>
      <c r="F2945">
        <v>87</v>
      </c>
      <c r="G2945">
        <v>15.719808045977</v>
      </c>
      <c r="H2945">
        <v>0.36311666666666698</v>
      </c>
      <c r="I2945">
        <v>79.876107577731105</v>
      </c>
    </row>
    <row r="2946" spans="1:9" x14ac:dyDescent="0.35">
      <c r="A2946" s="417" t="s">
        <v>846</v>
      </c>
      <c r="B2946" s="417" t="s">
        <v>691</v>
      </c>
      <c r="C2946" s="83">
        <v>46131</v>
      </c>
      <c r="D2946" s="417" t="s">
        <v>309</v>
      </c>
      <c r="E2946">
        <v>1355.90513333333</v>
      </c>
      <c r="F2946">
        <v>67</v>
      </c>
      <c r="G2946">
        <v>20.237390049751198</v>
      </c>
      <c r="H2946">
        <v>0</v>
      </c>
      <c r="I2946">
        <v>48.752909020690602</v>
      </c>
    </row>
    <row r="2947" spans="1:9" x14ac:dyDescent="0.35">
      <c r="A2947" s="417" t="s">
        <v>846</v>
      </c>
      <c r="B2947" s="417" t="s">
        <v>691</v>
      </c>
      <c r="C2947" s="83">
        <v>46131</v>
      </c>
      <c r="D2947" s="417" t="s">
        <v>303</v>
      </c>
      <c r="E2947">
        <v>1382.15116666667</v>
      </c>
      <c r="F2947">
        <v>66</v>
      </c>
      <c r="G2947">
        <v>20.9416843434343</v>
      </c>
      <c r="H2947">
        <v>0.203916666666667</v>
      </c>
      <c r="I2947">
        <v>45.483424014656002</v>
      </c>
    </row>
    <row r="2948" spans="1:9" x14ac:dyDescent="0.35">
      <c r="A2948" s="417" t="s">
        <v>846</v>
      </c>
      <c r="B2948" s="417" t="s">
        <v>691</v>
      </c>
      <c r="C2948" s="83">
        <v>46131</v>
      </c>
      <c r="D2948" s="417" t="s">
        <v>295</v>
      </c>
      <c r="E2948">
        <v>1373.62095</v>
      </c>
      <c r="F2948">
        <v>51</v>
      </c>
      <c r="G2948">
        <v>26.933744117647102</v>
      </c>
      <c r="H2948">
        <v>0.142166666666667</v>
      </c>
      <c r="I2948">
        <v>74.624900306130598</v>
      </c>
    </row>
    <row r="2949" spans="1:9" x14ac:dyDescent="0.35">
      <c r="A2949" s="417" t="s">
        <v>846</v>
      </c>
      <c r="B2949" s="417" t="s">
        <v>691</v>
      </c>
      <c r="C2949" s="83">
        <v>46131</v>
      </c>
      <c r="D2949" s="417" t="s">
        <v>314</v>
      </c>
      <c r="E2949">
        <v>1403.9522999999999</v>
      </c>
      <c r="F2949">
        <v>14</v>
      </c>
      <c r="G2949">
        <v>100.28230714285699</v>
      </c>
      <c r="H2949">
        <v>0.40466666666666701</v>
      </c>
      <c r="I2949">
        <v>31.056631779338002</v>
      </c>
    </row>
    <row r="2950" spans="1:9" x14ac:dyDescent="0.35">
      <c r="A2950" s="417" t="s">
        <v>846</v>
      </c>
      <c r="B2950" s="417" t="s">
        <v>691</v>
      </c>
      <c r="C2950" s="83">
        <v>46131</v>
      </c>
      <c r="D2950" s="417" t="s">
        <v>317</v>
      </c>
      <c r="E2950">
        <v>1423.9748666666701</v>
      </c>
      <c r="F2950">
        <v>6</v>
      </c>
      <c r="G2950">
        <v>237.32914444444401</v>
      </c>
      <c r="H2950">
        <v>2.2607166666666698</v>
      </c>
      <c r="I2950">
        <v>25.034433593748901</v>
      </c>
    </row>
    <row r="2951" spans="1:9" x14ac:dyDescent="0.35">
      <c r="A2951" s="417" t="s">
        <v>846</v>
      </c>
      <c r="B2951" s="417" t="s">
        <v>691</v>
      </c>
      <c r="C2951" s="83">
        <v>46131</v>
      </c>
      <c r="D2951" s="417" t="s">
        <v>310</v>
      </c>
      <c r="E2951">
        <v>1432.08083333333</v>
      </c>
      <c r="F2951">
        <v>2</v>
      </c>
      <c r="G2951">
        <v>716.04041666666706</v>
      </c>
      <c r="H2951">
        <v>0</v>
      </c>
      <c r="I2951">
        <v>50.029767077475</v>
      </c>
    </row>
    <row r="2952" spans="1:9" x14ac:dyDescent="0.35">
      <c r="A2952" s="417" t="s">
        <v>846</v>
      </c>
      <c r="B2952" s="417" t="s">
        <v>691</v>
      </c>
      <c r="C2952" s="83">
        <v>46131</v>
      </c>
      <c r="D2952" s="417" t="s">
        <v>313</v>
      </c>
      <c r="E2952">
        <v>1404.77565</v>
      </c>
      <c r="F2952">
        <v>2</v>
      </c>
      <c r="G2952">
        <v>702.38782500000002</v>
      </c>
      <c r="H2952">
        <v>0</v>
      </c>
      <c r="I2952">
        <v>49.565350414644101</v>
      </c>
    </row>
    <row r="2953" spans="1:9" x14ac:dyDescent="0.35">
      <c r="A2953" s="417" t="s">
        <v>846</v>
      </c>
      <c r="B2953" s="417" t="s">
        <v>691</v>
      </c>
      <c r="C2953" s="83">
        <v>46131</v>
      </c>
      <c r="D2953" s="417" t="s">
        <v>504</v>
      </c>
      <c r="E2953">
        <v>1440</v>
      </c>
      <c r="F2953">
        <v>1</v>
      </c>
      <c r="G2953">
        <v>1440</v>
      </c>
      <c r="H2953">
        <v>0</v>
      </c>
      <c r="I2953">
        <v>30.912037037036999</v>
      </c>
    </row>
    <row r="2954" spans="1:9" x14ac:dyDescent="0.35">
      <c r="A2954" s="417" t="s">
        <v>846</v>
      </c>
      <c r="B2954" s="417" t="s">
        <v>676</v>
      </c>
      <c r="C2954" s="83">
        <v>46130</v>
      </c>
      <c r="D2954" s="417" t="s">
        <v>677</v>
      </c>
      <c r="E2954">
        <v>1134.50438333333</v>
      </c>
      <c r="F2954">
        <v>318</v>
      </c>
      <c r="G2954">
        <v>3.5676238469601702</v>
      </c>
      <c r="H2954">
        <v>201.15434999999999</v>
      </c>
      <c r="I2954">
        <v>27.747499999999999</v>
      </c>
    </row>
    <row r="2955" spans="1:9" x14ac:dyDescent="0.35">
      <c r="A2955" s="417" t="s">
        <v>846</v>
      </c>
      <c r="B2955" s="417" t="s">
        <v>676</v>
      </c>
      <c r="C2955" s="83">
        <v>46130</v>
      </c>
      <c r="D2955" s="417" t="s">
        <v>678</v>
      </c>
      <c r="E2955">
        <v>1172.9673666666699</v>
      </c>
      <c r="F2955">
        <v>32</v>
      </c>
      <c r="G2955">
        <v>36.6552302083333</v>
      </c>
      <c r="H2955">
        <v>32.305566666666699</v>
      </c>
      <c r="I2955">
        <v>45.873631003241002</v>
      </c>
    </row>
    <row r="2956" spans="1:9" x14ac:dyDescent="0.35">
      <c r="A2956" s="417" t="s">
        <v>846</v>
      </c>
      <c r="B2956" s="417" t="s">
        <v>676</v>
      </c>
      <c r="C2956" s="83">
        <v>46130</v>
      </c>
      <c r="D2956" s="417" t="s">
        <v>679</v>
      </c>
      <c r="E2956">
        <v>1040.79246666667</v>
      </c>
      <c r="F2956">
        <v>20</v>
      </c>
      <c r="G2956">
        <v>52.039623333333303</v>
      </c>
      <c r="H2956">
        <v>33.183516666666698</v>
      </c>
      <c r="I2956">
        <v>37.6677782720298</v>
      </c>
    </row>
    <row r="2957" spans="1:9" x14ac:dyDescent="0.35">
      <c r="A2957" s="417" t="s">
        <v>846</v>
      </c>
      <c r="B2957" s="417" t="s">
        <v>680</v>
      </c>
      <c r="C2957" s="83">
        <v>46130</v>
      </c>
      <c r="D2957" s="417" t="s">
        <v>681</v>
      </c>
      <c r="E2957">
        <v>1374.00675</v>
      </c>
      <c r="F2957">
        <v>81</v>
      </c>
      <c r="G2957">
        <v>16.963046296296302</v>
      </c>
      <c r="H2957">
        <v>2.8201000000000001</v>
      </c>
      <c r="I2957">
        <v>81.496851681837995</v>
      </c>
    </row>
    <row r="2958" spans="1:9" x14ac:dyDescent="0.35">
      <c r="A2958" s="417" t="s">
        <v>846</v>
      </c>
      <c r="B2958" s="417" t="s">
        <v>680</v>
      </c>
      <c r="C2958" s="83">
        <v>46130</v>
      </c>
      <c r="D2958" s="417" t="s">
        <v>682</v>
      </c>
      <c r="E2958">
        <v>1388.8071833333299</v>
      </c>
      <c r="F2958">
        <v>48</v>
      </c>
      <c r="G2958">
        <v>28.933482986111098</v>
      </c>
      <c r="H2958">
        <v>51.192816666666701</v>
      </c>
      <c r="I2958">
        <v>76.775793650793602</v>
      </c>
    </row>
    <row r="2959" spans="1:9" x14ac:dyDescent="0.35">
      <c r="A2959" s="417" t="s">
        <v>846</v>
      </c>
      <c r="B2959" s="417" t="s">
        <v>680</v>
      </c>
      <c r="C2959" s="83">
        <v>46130</v>
      </c>
      <c r="D2959" s="417" t="s">
        <v>689</v>
      </c>
      <c r="E2959">
        <v>1407.1703833333299</v>
      </c>
      <c r="F2959">
        <v>46</v>
      </c>
      <c r="G2959">
        <v>30.590660507246401</v>
      </c>
      <c r="H2959">
        <v>2.3424666666666698</v>
      </c>
      <c r="I2959">
        <v>85.192417867685904</v>
      </c>
    </row>
    <row r="2960" spans="1:9" x14ac:dyDescent="0.35">
      <c r="A2960" s="417" t="s">
        <v>846</v>
      </c>
      <c r="B2960" s="417" t="s">
        <v>680</v>
      </c>
      <c r="C2960" s="83">
        <v>46130</v>
      </c>
      <c r="D2960" s="417" t="s">
        <v>687</v>
      </c>
      <c r="E2960">
        <v>1365.2491666666699</v>
      </c>
      <c r="F2960">
        <v>43</v>
      </c>
      <c r="G2960">
        <v>31.749980620155</v>
      </c>
      <c r="H2960">
        <v>56.046533333333301</v>
      </c>
      <c r="I2960">
        <v>36.547805003025097</v>
      </c>
    </row>
    <row r="2961" spans="1:9" x14ac:dyDescent="0.35">
      <c r="A2961" s="417" t="s">
        <v>846</v>
      </c>
      <c r="B2961" s="417" t="s">
        <v>680</v>
      </c>
      <c r="C2961" s="83">
        <v>46130</v>
      </c>
      <c r="D2961" s="417" t="s">
        <v>683</v>
      </c>
      <c r="E2961">
        <v>1356.84915</v>
      </c>
      <c r="F2961">
        <v>39</v>
      </c>
      <c r="G2961">
        <v>34.791003846153799</v>
      </c>
      <c r="H2961">
        <v>6.34256666666667</v>
      </c>
      <c r="I2961">
        <v>69.980681966135194</v>
      </c>
    </row>
    <row r="2962" spans="1:9" x14ac:dyDescent="0.35">
      <c r="A2962" s="417" t="s">
        <v>846</v>
      </c>
      <c r="B2962" s="417" t="s">
        <v>680</v>
      </c>
      <c r="C2962" s="83">
        <v>46130</v>
      </c>
      <c r="D2962" s="417" t="s">
        <v>690</v>
      </c>
      <c r="E2962">
        <v>1366.1711</v>
      </c>
      <c r="F2962">
        <v>30</v>
      </c>
      <c r="G2962">
        <v>45.539036666666703</v>
      </c>
      <c r="H2962">
        <v>9.8244666666666696</v>
      </c>
      <c r="I2962">
        <v>65.089649171972198</v>
      </c>
    </row>
    <row r="2963" spans="1:9" x14ac:dyDescent="0.35">
      <c r="A2963" s="417" t="s">
        <v>846</v>
      </c>
      <c r="B2963" s="417" t="s">
        <v>680</v>
      </c>
      <c r="C2963" s="83">
        <v>46130</v>
      </c>
      <c r="D2963" s="417" t="s">
        <v>688</v>
      </c>
      <c r="E2963">
        <v>1413.1454166666699</v>
      </c>
      <c r="F2963">
        <v>27</v>
      </c>
      <c r="G2963">
        <v>52.338719135802499</v>
      </c>
      <c r="H2963">
        <v>7.4987666666666701</v>
      </c>
      <c r="I2963">
        <v>78.275971771718901</v>
      </c>
    </row>
    <row r="2964" spans="1:9" x14ac:dyDescent="0.35">
      <c r="A2964" s="417" t="s">
        <v>846</v>
      </c>
      <c r="B2964" s="417" t="s">
        <v>680</v>
      </c>
      <c r="C2964" s="83">
        <v>46130</v>
      </c>
      <c r="D2964" s="417" t="s">
        <v>684</v>
      </c>
      <c r="E2964">
        <v>1422.85103333333</v>
      </c>
      <c r="F2964">
        <v>21</v>
      </c>
      <c r="G2964">
        <v>67.754811111111096</v>
      </c>
      <c r="H2964">
        <v>5.8261500000000002</v>
      </c>
      <c r="I2964">
        <v>78.691298857902495</v>
      </c>
    </row>
    <row r="2965" spans="1:9" x14ac:dyDescent="0.35">
      <c r="A2965" s="417" t="s">
        <v>846</v>
      </c>
      <c r="B2965" s="417" t="s">
        <v>680</v>
      </c>
      <c r="C2965" s="83">
        <v>46130</v>
      </c>
      <c r="D2965" s="417" t="s">
        <v>685</v>
      </c>
      <c r="E2965">
        <v>1428.0060166666699</v>
      </c>
      <c r="F2965">
        <v>6</v>
      </c>
      <c r="G2965">
        <v>238.00100277777801</v>
      </c>
      <c r="H2965">
        <v>1.99918333333333</v>
      </c>
      <c r="I2965">
        <v>84.833999615097696</v>
      </c>
    </row>
    <row r="2966" spans="1:9" x14ac:dyDescent="0.35">
      <c r="A2966" s="417" t="s">
        <v>846</v>
      </c>
      <c r="B2966" s="417" t="s">
        <v>680</v>
      </c>
      <c r="C2966" s="83">
        <v>46130</v>
      </c>
      <c r="D2966" s="417" t="s">
        <v>686</v>
      </c>
      <c r="E2966">
        <v>1440</v>
      </c>
      <c r="F2966">
        <v>1</v>
      </c>
      <c r="G2966">
        <v>1440</v>
      </c>
      <c r="H2966">
        <v>0</v>
      </c>
      <c r="I2966">
        <v>28.978174603174601</v>
      </c>
    </row>
    <row r="2967" spans="1:9" x14ac:dyDescent="0.35">
      <c r="A2967" s="417" t="s">
        <v>846</v>
      </c>
      <c r="B2967" s="417" t="s">
        <v>691</v>
      </c>
      <c r="C2967" s="83">
        <v>46130</v>
      </c>
      <c r="D2967" s="417" t="s">
        <v>305</v>
      </c>
      <c r="E2967">
        <v>1131.7445</v>
      </c>
      <c r="F2967">
        <v>336</v>
      </c>
      <c r="G2967">
        <v>3.3682872023809498</v>
      </c>
      <c r="H2967">
        <v>15.2154333333333</v>
      </c>
      <c r="I2967">
        <v>46.495041531208301</v>
      </c>
    </row>
    <row r="2968" spans="1:9" x14ac:dyDescent="0.35">
      <c r="A2968" s="417" t="s">
        <v>846</v>
      </c>
      <c r="B2968" s="417" t="s">
        <v>691</v>
      </c>
      <c r="C2968" s="83">
        <v>46130</v>
      </c>
      <c r="D2968" s="417" t="s">
        <v>309</v>
      </c>
      <c r="E2968">
        <v>1311.5867166666701</v>
      </c>
      <c r="F2968">
        <v>116</v>
      </c>
      <c r="G2968">
        <v>11.3067820402299</v>
      </c>
      <c r="H2968">
        <v>0.71623333333333306</v>
      </c>
      <c r="I2968">
        <v>59.252635238448498</v>
      </c>
    </row>
    <row r="2969" spans="1:9" x14ac:dyDescent="0.35">
      <c r="A2969" s="417" t="s">
        <v>846</v>
      </c>
      <c r="B2969" s="417" t="s">
        <v>691</v>
      </c>
      <c r="C2969" s="83">
        <v>46130</v>
      </c>
      <c r="D2969" s="417" t="s">
        <v>299</v>
      </c>
      <c r="E2969">
        <v>1366.2280000000001</v>
      </c>
      <c r="F2969">
        <v>92</v>
      </c>
      <c r="G2969">
        <v>14.8503043478261</v>
      </c>
      <c r="H2969">
        <v>0.45656666666666701</v>
      </c>
      <c r="I2969">
        <v>76.404754788195504</v>
      </c>
    </row>
    <row r="2970" spans="1:9" x14ac:dyDescent="0.35">
      <c r="A2970" s="417" t="s">
        <v>846</v>
      </c>
      <c r="B2970" s="417" t="s">
        <v>691</v>
      </c>
      <c r="C2970" s="83">
        <v>46130</v>
      </c>
      <c r="D2970" s="417" t="s">
        <v>303</v>
      </c>
      <c r="E2970">
        <v>1348.8196166666701</v>
      </c>
      <c r="F2970">
        <v>87</v>
      </c>
      <c r="G2970">
        <v>15.5036737547893</v>
      </c>
      <c r="H2970">
        <v>0.61051666666666704</v>
      </c>
      <c r="I2970">
        <v>50.166452222281499</v>
      </c>
    </row>
    <row r="2971" spans="1:9" x14ac:dyDescent="0.35">
      <c r="A2971" s="417" t="s">
        <v>846</v>
      </c>
      <c r="B2971" s="417" t="s">
        <v>691</v>
      </c>
      <c r="C2971" s="83">
        <v>46130</v>
      </c>
      <c r="D2971" s="417" t="s">
        <v>342</v>
      </c>
      <c r="E2971">
        <v>780.76988333333304</v>
      </c>
      <c r="F2971">
        <v>73</v>
      </c>
      <c r="G2971">
        <v>10.6954778538813</v>
      </c>
      <c r="H2971">
        <v>117.359366666667</v>
      </c>
      <c r="I2971">
        <v>22.275132275132201</v>
      </c>
    </row>
    <row r="2972" spans="1:9" x14ac:dyDescent="0.35">
      <c r="A2972" s="417" t="s">
        <v>846</v>
      </c>
      <c r="B2972" s="417" t="s">
        <v>691</v>
      </c>
      <c r="C2972" s="83">
        <v>46130</v>
      </c>
      <c r="D2972" s="417" t="s">
        <v>301</v>
      </c>
      <c r="E2972">
        <v>1372.8702333333299</v>
      </c>
      <c r="F2972">
        <v>55</v>
      </c>
      <c r="G2972">
        <v>24.961276969697</v>
      </c>
      <c r="H2972">
        <v>0.37595000000000001</v>
      </c>
      <c r="I2972">
        <v>59.664858447462699</v>
      </c>
    </row>
    <row r="2973" spans="1:9" x14ac:dyDescent="0.35">
      <c r="A2973" s="417" t="s">
        <v>846</v>
      </c>
      <c r="B2973" s="417" t="s">
        <v>691</v>
      </c>
      <c r="C2973" s="83">
        <v>46130</v>
      </c>
      <c r="D2973" s="417" t="s">
        <v>295</v>
      </c>
      <c r="E2973">
        <v>1369.1415666666701</v>
      </c>
      <c r="F2973">
        <v>38</v>
      </c>
      <c r="G2973">
        <v>36.030041228070203</v>
      </c>
      <c r="H2973">
        <v>0.228366666666667</v>
      </c>
      <c r="I2973">
        <v>69.603680917275796</v>
      </c>
    </row>
    <row r="2974" spans="1:9" x14ac:dyDescent="0.35">
      <c r="A2974" s="417" t="s">
        <v>846</v>
      </c>
      <c r="B2974" s="417" t="s">
        <v>691</v>
      </c>
      <c r="C2974" s="83">
        <v>46130</v>
      </c>
      <c r="D2974" s="417" t="s">
        <v>314</v>
      </c>
      <c r="E2974">
        <v>1370.9489333333299</v>
      </c>
      <c r="F2974">
        <v>20</v>
      </c>
      <c r="G2974">
        <v>68.547446666666701</v>
      </c>
      <c r="H2974">
        <v>1.14303333333333</v>
      </c>
      <c r="I2974">
        <v>34.798214097563402</v>
      </c>
    </row>
    <row r="2975" spans="1:9" x14ac:dyDescent="0.35">
      <c r="A2975" s="417" t="s">
        <v>846</v>
      </c>
      <c r="B2975" s="417" t="s">
        <v>691</v>
      </c>
      <c r="C2975" s="83">
        <v>46130</v>
      </c>
      <c r="D2975" s="417" t="s">
        <v>313</v>
      </c>
      <c r="E2975">
        <v>1397.86343333333</v>
      </c>
      <c r="F2975">
        <v>5</v>
      </c>
      <c r="G2975">
        <v>279.57268666666698</v>
      </c>
      <c r="H2975">
        <v>0</v>
      </c>
      <c r="I2975">
        <v>47.572920568147197</v>
      </c>
    </row>
    <row r="2976" spans="1:9" x14ac:dyDescent="0.35">
      <c r="A2976" s="417" t="s">
        <v>846</v>
      </c>
      <c r="B2976" s="417" t="s">
        <v>691</v>
      </c>
      <c r="C2976" s="83">
        <v>46130</v>
      </c>
      <c r="D2976" s="417" t="s">
        <v>310</v>
      </c>
      <c r="E2976">
        <v>1392.00931666667</v>
      </c>
      <c r="F2976">
        <v>4</v>
      </c>
      <c r="G2976">
        <v>348.00232916666698</v>
      </c>
      <c r="H2976">
        <v>0</v>
      </c>
      <c r="I2976">
        <v>45.8087890995469</v>
      </c>
    </row>
    <row r="2977" spans="1:9" x14ac:dyDescent="0.35">
      <c r="A2977" s="417" t="s">
        <v>846</v>
      </c>
      <c r="B2977" s="417" t="s">
        <v>691</v>
      </c>
      <c r="C2977" s="83">
        <v>46130</v>
      </c>
      <c r="D2977" s="417" t="s">
        <v>317</v>
      </c>
      <c r="E2977">
        <v>1411.58126666667</v>
      </c>
      <c r="F2977">
        <v>3</v>
      </c>
      <c r="G2977">
        <v>470.52708888888901</v>
      </c>
      <c r="H2977">
        <v>1.9641500000000001</v>
      </c>
      <c r="I2977">
        <v>23.706348310350801</v>
      </c>
    </row>
    <row r="2978" spans="1:9" x14ac:dyDescent="0.35">
      <c r="A2978" s="417" t="s">
        <v>846</v>
      </c>
      <c r="B2978" s="417" t="s">
        <v>691</v>
      </c>
      <c r="C2978" s="83">
        <v>46130</v>
      </c>
      <c r="D2978" s="417" t="s">
        <v>504</v>
      </c>
      <c r="E2978">
        <v>1440</v>
      </c>
      <c r="F2978">
        <v>1</v>
      </c>
      <c r="G2978">
        <v>1440</v>
      </c>
      <c r="H2978">
        <v>0</v>
      </c>
      <c r="I2978">
        <v>39.301543209876499</v>
      </c>
    </row>
    <row r="2979" spans="1:9" x14ac:dyDescent="0.35">
      <c r="A2979" s="417" t="s">
        <v>846</v>
      </c>
      <c r="B2979" s="417" t="s">
        <v>676</v>
      </c>
      <c r="C2979" s="83">
        <v>46129</v>
      </c>
      <c r="D2979" s="417" t="s">
        <v>677</v>
      </c>
      <c r="E2979">
        <v>1195.84903333333</v>
      </c>
      <c r="F2979">
        <v>576</v>
      </c>
      <c r="G2979">
        <v>2.07612679398148</v>
      </c>
      <c r="H2979">
        <v>226.85640000000001</v>
      </c>
      <c r="I2979">
        <v>34.336616359871698</v>
      </c>
    </row>
    <row r="2980" spans="1:9" x14ac:dyDescent="0.35">
      <c r="A2980" s="417" t="s">
        <v>846</v>
      </c>
      <c r="B2980" s="417" t="s">
        <v>676</v>
      </c>
      <c r="C2980" s="83">
        <v>46129</v>
      </c>
      <c r="D2980" s="417" t="s">
        <v>679</v>
      </c>
      <c r="E2980">
        <v>1339.0198166666701</v>
      </c>
      <c r="F2980">
        <v>35</v>
      </c>
      <c r="G2980">
        <v>38.257709047619002</v>
      </c>
      <c r="H2980">
        <v>36.995649999999998</v>
      </c>
      <c r="I2980">
        <v>74.517331006744499</v>
      </c>
    </row>
    <row r="2981" spans="1:9" x14ac:dyDescent="0.35">
      <c r="A2981" s="417" t="s">
        <v>846</v>
      </c>
      <c r="B2981" s="417" t="s">
        <v>676</v>
      </c>
      <c r="C2981" s="83">
        <v>46129</v>
      </c>
      <c r="D2981" s="417" t="s">
        <v>678</v>
      </c>
      <c r="E2981">
        <v>1345.74446666667</v>
      </c>
      <c r="F2981">
        <v>24</v>
      </c>
      <c r="G2981">
        <v>56.072686111111103</v>
      </c>
      <c r="H2981">
        <v>19.1294</v>
      </c>
      <c r="I2981">
        <v>66.6655009097788</v>
      </c>
    </row>
    <row r="2982" spans="1:9" x14ac:dyDescent="0.35">
      <c r="A2982" s="417" t="s">
        <v>846</v>
      </c>
      <c r="B2982" s="417" t="s">
        <v>680</v>
      </c>
      <c r="C2982" s="83">
        <v>46129</v>
      </c>
      <c r="D2982" s="417" t="s">
        <v>681</v>
      </c>
      <c r="E2982">
        <v>1383.8391833333301</v>
      </c>
      <c r="F2982">
        <v>81</v>
      </c>
      <c r="G2982">
        <v>17.084434362139898</v>
      </c>
      <c r="H2982">
        <v>6.67455</v>
      </c>
      <c r="I2982">
        <v>74.4688106754801</v>
      </c>
    </row>
    <row r="2983" spans="1:9" x14ac:dyDescent="0.35">
      <c r="A2983" s="417" t="s">
        <v>846</v>
      </c>
      <c r="B2983" s="417" t="s">
        <v>680</v>
      </c>
      <c r="C2983" s="83">
        <v>46129</v>
      </c>
      <c r="D2983" s="417" t="s">
        <v>682</v>
      </c>
      <c r="E2983">
        <v>1283.3873000000001</v>
      </c>
      <c r="F2983">
        <v>62</v>
      </c>
      <c r="G2983">
        <v>20.6997951612903</v>
      </c>
      <c r="H2983">
        <v>69.776066666666694</v>
      </c>
      <c r="I2983">
        <v>55.203373015872998</v>
      </c>
    </row>
    <row r="2984" spans="1:9" x14ac:dyDescent="0.35">
      <c r="A2984" s="417" t="s">
        <v>846</v>
      </c>
      <c r="B2984" s="417" t="s">
        <v>680</v>
      </c>
      <c r="C2984" s="83">
        <v>46129</v>
      </c>
      <c r="D2984" s="417" t="s">
        <v>688</v>
      </c>
      <c r="E2984">
        <v>1402.5454500000001</v>
      </c>
      <c r="F2984">
        <v>45</v>
      </c>
      <c r="G2984">
        <v>31.167676666666701</v>
      </c>
      <c r="H2984">
        <v>7.8579833333333298</v>
      </c>
      <c r="I2984">
        <v>67.257238742944295</v>
      </c>
    </row>
    <row r="2985" spans="1:9" x14ac:dyDescent="0.35">
      <c r="A2985" s="417" t="s">
        <v>846</v>
      </c>
      <c r="B2985" s="417" t="s">
        <v>680</v>
      </c>
      <c r="C2985" s="83">
        <v>46129</v>
      </c>
      <c r="D2985" s="417" t="s">
        <v>683</v>
      </c>
      <c r="E2985">
        <v>1369.9043666666701</v>
      </c>
      <c r="F2985">
        <v>43</v>
      </c>
      <c r="G2985">
        <v>31.858241085271299</v>
      </c>
      <c r="H2985">
        <v>2.83138333333333</v>
      </c>
      <c r="I2985">
        <v>62.610934344940098</v>
      </c>
    </row>
    <row r="2986" spans="1:9" x14ac:dyDescent="0.35">
      <c r="A2986" s="417" t="s">
        <v>846</v>
      </c>
      <c r="B2986" s="417" t="s">
        <v>680</v>
      </c>
      <c r="C2986" s="83">
        <v>46129</v>
      </c>
      <c r="D2986" s="417" t="s">
        <v>690</v>
      </c>
      <c r="E2986">
        <v>1398.17006666667</v>
      </c>
      <c r="F2986">
        <v>33</v>
      </c>
      <c r="G2986">
        <v>42.368789898989903</v>
      </c>
      <c r="H2986">
        <v>24.030283333333301</v>
      </c>
      <c r="I2986">
        <v>59.259999401637202</v>
      </c>
    </row>
    <row r="2987" spans="1:9" x14ac:dyDescent="0.35">
      <c r="A2987" s="417" t="s">
        <v>846</v>
      </c>
      <c r="B2987" s="417" t="s">
        <v>680</v>
      </c>
      <c r="C2987" s="83">
        <v>46129</v>
      </c>
      <c r="D2987" s="417" t="s">
        <v>684</v>
      </c>
      <c r="E2987">
        <v>1422.3440499999999</v>
      </c>
      <c r="F2987">
        <v>26</v>
      </c>
      <c r="G2987">
        <v>54.705540384615396</v>
      </c>
      <c r="H2987">
        <v>13.993883333333301</v>
      </c>
      <c r="I2987">
        <v>64.233539094650197</v>
      </c>
    </row>
    <row r="2988" spans="1:9" x14ac:dyDescent="0.35">
      <c r="A2988" s="417" t="s">
        <v>846</v>
      </c>
      <c r="B2988" s="417" t="s">
        <v>680</v>
      </c>
      <c r="C2988" s="83">
        <v>46129</v>
      </c>
      <c r="D2988" s="417" t="s">
        <v>689</v>
      </c>
      <c r="E2988">
        <v>1418.5450000000001</v>
      </c>
      <c r="F2988">
        <v>25</v>
      </c>
      <c r="G2988">
        <v>56.741799999999998</v>
      </c>
      <c r="H2988">
        <v>0.33373333333333299</v>
      </c>
      <c r="I2988">
        <v>77.600254593924603</v>
      </c>
    </row>
    <row r="2989" spans="1:9" x14ac:dyDescent="0.35">
      <c r="A2989" s="417" t="s">
        <v>846</v>
      </c>
      <c r="B2989" s="417" t="s">
        <v>680</v>
      </c>
      <c r="C2989" s="83">
        <v>46129</v>
      </c>
      <c r="D2989" s="417" t="s">
        <v>687</v>
      </c>
      <c r="E2989">
        <v>1411.7003</v>
      </c>
      <c r="F2989">
        <v>14</v>
      </c>
      <c r="G2989">
        <v>100.835735714286</v>
      </c>
      <c r="H2989">
        <v>20.503299999999999</v>
      </c>
      <c r="I2989">
        <v>39.2841932271103</v>
      </c>
    </row>
    <row r="2990" spans="1:9" x14ac:dyDescent="0.35">
      <c r="A2990" s="417" t="s">
        <v>846</v>
      </c>
      <c r="B2990" s="417" t="s">
        <v>680</v>
      </c>
      <c r="C2990" s="83">
        <v>46129</v>
      </c>
      <c r="D2990" s="417" t="s">
        <v>685</v>
      </c>
      <c r="E2990">
        <v>1425.3971166666699</v>
      </c>
      <c r="F2990">
        <v>11</v>
      </c>
      <c r="G2990">
        <v>129.581556060606</v>
      </c>
      <c r="H2990">
        <v>4.8272666666666701</v>
      </c>
      <c r="I2990">
        <v>76.977877684548204</v>
      </c>
    </row>
    <row r="2991" spans="1:9" x14ac:dyDescent="0.35">
      <c r="A2991" s="417" t="s">
        <v>846</v>
      </c>
      <c r="B2991" s="417" t="s">
        <v>680</v>
      </c>
      <c r="C2991" s="83">
        <v>46129</v>
      </c>
      <c r="D2991" s="417" t="s">
        <v>686</v>
      </c>
      <c r="E2991">
        <v>1439.2868333333299</v>
      </c>
      <c r="F2991">
        <v>2</v>
      </c>
      <c r="G2991">
        <v>719.64341666666701</v>
      </c>
      <c r="H2991">
        <v>0</v>
      </c>
      <c r="I2991">
        <v>29.755788562083399</v>
      </c>
    </row>
    <row r="2992" spans="1:9" x14ac:dyDescent="0.35">
      <c r="A2992" s="417" t="s">
        <v>846</v>
      </c>
      <c r="B2992" s="417" t="s">
        <v>691</v>
      </c>
      <c r="C2992" s="83">
        <v>46129</v>
      </c>
      <c r="D2992" s="417" t="s">
        <v>299</v>
      </c>
      <c r="E2992">
        <v>1362.64341666667</v>
      </c>
      <c r="F2992">
        <v>146</v>
      </c>
      <c r="G2992">
        <v>9.3331740867579907</v>
      </c>
      <c r="H2992">
        <v>0.69445000000000001</v>
      </c>
      <c r="I2992">
        <v>76.905894358882094</v>
      </c>
    </row>
    <row r="2993" spans="1:9" x14ac:dyDescent="0.35">
      <c r="A2993" s="417" t="s">
        <v>846</v>
      </c>
      <c r="B2993" s="417" t="s">
        <v>691</v>
      </c>
      <c r="C2993" s="83">
        <v>46129</v>
      </c>
      <c r="D2993" s="417" t="s">
        <v>309</v>
      </c>
      <c r="E2993">
        <v>1290.38108333333</v>
      </c>
      <c r="F2993">
        <v>126</v>
      </c>
      <c r="G2993">
        <v>10.241119708994701</v>
      </c>
      <c r="H2993">
        <v>0</v>
      </c>
      <c r="I2993">
        <v>70.601302086525706</v>
      </c>
    </row>
    <row r="2994" spans="1:9" x14ac:dyDescent="0.35">
      <c r="A2994" s="417" t="s">
        <v>846</v>
      </c>
      <c r="B2994" s="417" t="s">
        <v>691</v>
      </c>
      <c r="C2994" s="83">
        <v>46129</v>
      </c>
      <c r="D2994" s="417" t="s">
        <v>301</v>
      </c>
      <c r="E2994">
        <v>1353.2283666666699</v>
      </c>
      <c r="F2994">
        <v>98</v>
      </c>
      <c r="G2994">
        <v>13.8084527210884</v>
      </c>
      <c r="H2994">
        <v>1.6676833333333301</v>
      </c>
      <c r="I2994">
        <v>57.4912493195256</v>
      </c>
    </row>
    <row r="2995" spans="1:9" x14ac:dyDescent="0.35">
      <c r="A2995" s="417" t="s">
        <v>846</v>
      </c>
      <c r="B2995" s="417" t="s">
        <v>691</v>
      </c>
      <c r="C2995" s="83">
        <v>46129</v>
      </c>
      <c r="D2995" s="417" t="s">
        <v>303</v>
      </c>
      <c r="E2995">
        <v>1381.7703166666699</v>
      </c>
      <c r="F2995">
        <v>88</v>
      </c>
      <c r="G2995">
        <v>15.7019354166667</v>
      </c>
      <c r="H2995">
        <v>0.54948333333333299</v>
      </c>
      <c r="I2995">
        <v>51.127386320898403</v>
      </c>
    </row>
    <row r="2996" spans="1:9" x14ac:dyDescent="0.35">
      <c r="A2996" s="417" t="s">
        <v>846</v>
      </c>
      <c r="B2996" s="417" t="s">
        <v>691</v>
      </c>
      <c r="C2996" s="83">
        <v>46129</v>
      </c>
      <c r="D2996" s="417" t="s">
        <v>305</v>
      </c>
      <c r="E2996">
        <v>1316.0671833333299</v>
      </c>
      <c r="F2996">
        <v>71</v>
      </c>
      <c r="G2996">
        <v>18.536157511737098</v>
      </c>
      <c r="H2996">
        <v>7.8001833333333304</v>
      </c>
      <c r="I2996">
        <v>78.382894783584803</v>
      </c>
    </row>
    <row r="2997" spans="1:9" x14ac:dyDescent="0.35">
      <c r="A2997" s="417" t="s">
        <v>846</v>
      </c>
      <c r="B2997" s="417" t="s">
        <v>691</v>
      </c>
      <c r="C2997" s="83">
        <v>46129</v>
      </c>
      <c r="D2997" s="417" t="s">
        <v>314</v>
      </c>
      <c r="E2997">
        <v>1351.614</v>
      </c>
      <c r="F2997">
        <v>29</v>
      </c>
      <c r="G2997">
        <v>46.607379310344797</v>
      </c>
      <c r="H2997">
        <v>2.25261666666667</v>
      </c>
      <c r="I2997">
        <v>33.4097314525375</v>
      </c>
    </row>
    <row r="2998" spans="1:9" x14ac:dyDescent="0.35">
      <c r="A2998" s="417" t="s">
        <v>846</v>
      </c>
      <c r="B2998" s="417" t="s">
        <v>691</v>
      </c>
      <c r="C2998" s="83">
        <v>46129</v>
      </c>
      <c r="D2998" s="417" t="s">
        <v>295</v>
      </c>
      <c r="E2998">
        <v>1393.0996833333299</v>
      </c>
      <c r="F2998">
        <v>25</v>
      </c>
      <c r="G2998">
        <v>55.723987333333298</v>
      </c>
      <c r="H2998">
        <v>0.19466666666666699</v>
      </c>
      <c r="I2998">
        <v>74.517976504222005</v>
      </c>
    </row>
    <row r="2999" spans="1:9" x14ac:dyDescent="0.35">
      <c r="A2999" s="417" t="s">
        <v>846</v>
      </c>
      <c r="B2999" s="417" t="s">
        <v>691</v>
      </c>
      <c r="C2999" s="83">
        <v>46129</v>
      </c>
      <c r="D2999" s="417" t="s">
        <v>310</v>
      </c>
      <c r="E2999">
        <v>1368.80138333333</v>
      </c>
      <c r="F2999">
        <v>12</v>
      </c>
      <c r="G2999">
        <v>114.066781944444</v>
      </c>
      <c r="H2999">
        <v>4.2233333333333303E-2</v>
      </c>
      <c r="I2999">
        <v>48.379167826292601</v>
      </c>
    </row>
    <row r="3000" spans="1:9" x14ac:dyDescent="0.35">
      <c r="A3000" s="417" t="s">
        <v>846</v>
      </c>
      <c r="B3000" s="417" t="s">
        <v>691</v>
      </c>
      <c r="C3000" s="83">
        <v>46129</v>
      </c>
      <c r="D3000" s="417" t="s">
        <v>313</v>
      </c>
      <c r="E3000">
        <v>1372.4871333333299</v>
      </c>
      <c r="F3000">
        <v>11</v>
      </c>
      <c r="G3000">
        <v>124.771557575758</v>
      </c>
      <c r="H3000">
        <v>14.5314</v>
      </c>
      <c r="I3000">
        <v>46.113862275254299</v>
      </c>
    </row>
    <row r="3001" spans="1:9" x14ac:dyDescent="0.35">
      <c r="A3001" s="417" t="s">
        <v>846</v>
      </c>
      <c r="B3001" s="417" t="s">
        <v>691</v>
      </c>
      <c r="C3001" s="83">
        <v>46129</v>
      </c>
      <c r="D3001" s="417" t="s">
        <v>317</v>
      </c>
      <c r="E3001">
        <v>1434.12441666667</v>
      </c>
      <c r="F3001">
        <v>3</v>
      </c>
      <c r="G3001">
        <v>478.04147222222201</v>
      </c>
      <c r="H3001">
        <v>0.78485000000000005</v>
      </c>
      <c r="I3001">
        <v>25.2629213861095</v>
      </c>
    </row>
    <row r="3002" spans="1:9" x14ac:dyDescent="0.35">
      <c r="A3002" s="417" t="s">
        <v>846</v>
      </c>
      <c r="B3002" s="417" t="s">
        <v>691</v>
      </c>
      <c r="C3002" s="83">
        <v>46129</v>
      </c>
      <c r="D3002" s="417" t="s">
        <v>504</v>
      </c>
      <c r="E3002">
        <v>1439.87365</v>
      </c>
      <c r="F3002">
        <v>2</v>
      </c>
      <c r="G3002">
        <v>719.936825</v>
      </c>
      <c r="H3002">
        <v>0</v>
      </c>
      <c r="I3002">
        <v>44.514708325661502</v>
      </c>
    </row>
    <row r="3003" spans="1:9" x14ac:dyDescent="0.35">
      <c r="A3003" s="417" t="s">
        <v>846</v>
      </c>
      <c r="B3003" s="417" t="s">
        <v>676</v>
      </c>
      <c r="C3003" s="83">
        <v>46128</v>
      </c>
      <c r="D3003" s="417" t="s">
        <v>677</v>
      </c>
      <c r="E3003">
        <v>1212.06913333333</v>
      </c>
      <c r="F3003">
        <v>461</v>
      </c>
      <c r="G3003">
        <v>2.6292172089660202</v>
      </c>
      <c r="H3003">
        <v>217.26323333333301</v>
      </c>
      <c r="I3003">
        <v>30.684444444444399</v>
      </c>
    </row>
    <row r="3004" spans="1:9" x14ac:dyDescent="0.35">
      <c r="A3004" s="417" t="s">
        <v>846</v>
      </c>
      <c r="B3004" s="417" t="s">
        <v>676</v>
      </c>
      <c r="C3004" s="83">
        <v>46128</v>
      </c>
      <c r="D3004" s="417" t="s">
        <v>678</v>
      </c>
      <c r="E3004">
        <v>1356.9896333333299</v>
      </c>
      <c r="F3004">
        <v>30</v>
      </c>
      <c r="G3004">
        <v>45.232987777777801</v>
      </c>
      <c r="H3004">
        <v>30.214166666666699</v>
      </c>
      <c r="I3004">
        <v>50.281484715271603</v>
      </c>
    </row>
    <row r="3005" spans="1:9" x14ac:dyDescent="0.35">
      <c r="A3005" s="417" t="s">
        <v>846</v>
      </c>
      <c r="B3005" s="417" t="s">
        <v>676</v>
      </c>
      <c r="C3005" s="83">
        <v>46128</v>
      </c>
      <c r="D3005" s="417" t="s">
        <v>679</v>
      </c>
      <c r="E3005">
        <v>1393.1447333333299</v>
      </c>
      <c r="F3005">
        <v>12</v>
      </c>
      <c r="G3005">
        <v>116.095394444444</v>
      </c>
      <c r="H3005">
        <v>6.32925</v>
      </c>
      <c r="I3005">
        <v>54.307309440395798</v>
      </c>
    </row>
    <row r="3006" spans="1:9" x14ac:dyDescent="0.35">
      <c r="A3006" s="417" t="s">
        <v>846</v>
      </c>
      <c r="B3006" s="417" t="s">
        <v>680</v>
      </c>
      <c r="C3006" s="83">
        <v>46128</v>
      </c>
      <c r="D3006" s="417" t="s">
        <v>681</v>
      </c>
      <c r="E3006">
        <v>1378.9893833333299</v>
      </c>
      <c r="F3006">
        <v>88</v>
      </c>
      <c r="G3006">
        <v>15.6703339015151</v>
      </c>
      <c r="H3006">
        <v>6.4011166666666703</v>
      </c>
      <c r="I3006">
        <v>84.648411249531193</v>
      </c>
    </row>
    <row r="3007" spans="1:9" x14ac:dyDescent="0.35">
      <c r="A3007" s="417" t="s">
        <v>846</v>
      </c>
      <c r="B3007" s="417" t="s">
        <v>680</v>
      </c>
      <c r="C3007" s="83">
        <v>46128</v>
      </c>
      <c r="D3007" s="417" t="s">
        <v>683</v>
      </c>
      <c r="E3007">
        <v>1359.89963333333</v>
      </c>
      <c r="F3007">
        <v>52</v>
      </c>
      <c r="G3007">
        <v>26.151916025641</v>
      </c>
      <c r="H3007">
        <v>3.7631999999999999</v>
      </c>
      <c r="I3007">
        <v>70.612374456570507</v>
      </c>
    </row>
    <row r="3008" spans="1:9" x14ac:dyDescent="0.35">
      <c r="A3008" s="417" t="s">
        <v>846</v>
      </c>
      <c r="B3008" s="417" t="s">
        <v>680</v>
      </c>
      <c r="C3008" s="83">
        <v>46128</v>
      </c>
      <c r="D3008" s="417" t="s">
        <v>689</v>
      </c>
      <c r="E3008">
        <v>1412.84026666667</v>
      </c>
      <c r="F3008">
        <v>47</v>
      </c>
      <c r="G3008">
        <v>30.060431205673801</v>
      </c>
      <c r="H3008">
        <v>0</v>
      </c>
      <c r="I3008">
        <v>85.547124502180793</v>
      </c>
    </row>
    <row r="3009" spans="1:9" x14ac:dyDescent="0.35">
      <c r="A3009" s="417" t="s">
        <v>846</v>
      </c>
      <c r="B3009" s="417" t="s">
        <v>680</v>
      </c>
      <c r="C3009" s="83">
        <v>46128</v>
      </c>
      <c r="D3009" s="417" t="s">
        <v>682</v>
      </c>
      <c r="E3009">
        <v>1405.9326166666699</v>
      </c>
      <c r="F3009">
        <v>38</v>
      </c>
      <c r="G3009">
        <v>36.998226754386003</v>
      </c>
      <c r="H3009">
        <v>34.067383333333296</v>
      </c>
      <c r="I3009">
        <v>80.977182539682502</v>
      </c>
    </row>
    <row r="3010" spans="1:9" x14ac:dyDescent="0.35">
      <c r="A3010" s="417" t="s">
        <v>846</v>
      </c>
      <c r="B3010" s="417" t="s">
        <v>680</v>
      </c>
      <c r="C3010" s="83">
        <v>46128</v>
      </c>
      <c r="D3010" s="417" t="s">
        <v>684</v>
      </c>
      <c r="E3010">
        <v>1420.3239166666699</v>
      </c>
      <c r="F3010">
        <v>33</v>
      </c>
      <c r="G3010">
        <v>43.040118686868702</v>
      </c>
      <c r="H3010">
        <v>14.500966666666701</v>
      </c>
      <c r="I3010">
        <v>82.052473660402796</v>
      </c>
    </row>
    <row r="3011" spans="1:9" x14ac:dyDescent="0.35">
      <c r="A3011" s="417" t="s">
        <v>846</v>
      </c>
      <c r="B3011" s="417" t="s">
        <v>680</v>
      </c>
      <c r="C3011" s="83">
        <v>46128</v>
      </c>
      <c r="D3011" s="417" t="s">
        <v>687</v>
      </c>
      <c r="E3011">
        <v>1406.7831333333299</v>
      </c>
      <c r="F3011">
        <v>18</v>
      </c>
      <c r="G3011">
        <v>78.154618518518504</v>
      </c>
      <c r="H3011">
        <v>25.1632833333333</v>
      </c>
      <c r="I3011">
        <v>40.811638399932697</v>
      </c>
    </row>
    <row r="3012" spans="1:9" x14ac:dyDescent="0.35">
      <c r="A3012" s="417" t="s">
        <v>846</v>
      </c>
      <c r="B3012" s="417" t="s">
        <v>680</v>
      </c>
      <c r="C3012" s="83">
        <v>46128</v>
      </c>
      <c r="D3012" s="417" t="s">
        <v>690</v>
      </c>
      <c r="E3012">
        <v>1406.80126666667</v>
      </c>
      <c r="F3012">
        <v>16</v>
      </c>
      <c r="G3012">
        <v>87.925079166666706</v>
      </c>
      <c r="H3012">
        <v>3.8065166666666701</v>
      </c>
      <c r="I3012">
        <v>68.197966145030506</v>
      </c>
    </row>
    <row r="3013" spans="1:9" x14ac:dyDescent="0.35">
      <c r="A3013" s="417" t="s">
        <v>846</v>
      </c>
      <c r="B3013" s="417" t="s">
        <v>680</v>
      </c>
      <c r="C3013" s="83">
        <v>46128</v>
      </c>
      <c r="D3013" s="417" t="s">
        <v>685</v>
      </c>
      <c r="E3013">
        <v>1421.1460833333299</v>
      </c>
      <c r="F3013">
        <v>13</v>
      </c>
      <c r="G3013">
        <v>109.31892948717901</v>
      </c>
      <c r="H3013">
        <v>2.1621999999999999</v>
      </c>
      <c r="I3013">
        <v>85.876334848981998</v>
      </c>
    </row>
    <row r="3014" spans="1:9" x14ac:dyDescent="0.35">
      <c r="A3014" s="417" t="s">
        <v>846</v>
      </c>
      <c r="B3014" s="417" t="s">
        <v>680</v>
      </c>
      <c r="C3014" s="83">
        <v>46128</v>
      </c>
      <c r="D3014" s="417" t="s">
        <v>688</v>
      </c>
      <c r="E3014">
        <v>1314.4427166666701</v>
      </c>
      <c r="F3014">
        <v>8</v>
      </c>
      <c r="G3014">
        <v>164.30533958333299</v>
      </c>
      <c r="H3014">
        <v>4.0017500000000004</v>
      </c>
      <c r="I3014">
        <v>80.078277069225905</v>
      </c>
    </row>
    <row r="3015" spans="1:9" x14ac:dyDescent="0.35">
      <c r="A3015" s="417" t="s">
        <v>846</v>
      </c>
      <c r="B3015" s="417" t="s">
        <v>680</v>
      </c>
      <c r="C3015" s="83">
        <v>46128</v>
      </c>
      <c r="D3015" s="417" t="s">
        <v>686</v>
      </c>
      <c r="E3015">
        <v>1440</v>
      </c>
      <c r="F3015">
        <v>1</v>
      </c>
      <c r="G3015">
        <v>1440</v>
      </c>
      <c r="H3015">
        <v>0</v>
      </c>
      <c r="I3015">
        <v>35.987103174603199</v>
      </c>
    </row>
    <row r="3016" spans="1:9" x14ac:dyDescent="0.35">
      <c r="A3016" s="417" t="s">
        <v>846</v>
      </c>
      <c r="B3016" s="417" t="s">
        <v>691</v>
      </c>
      <c r="C3016" s="83">
        <v>46128</v>
      </c>
      <c r="D3016" s="417" t="s">
        <v>299</v>
      </c>
      <c r="E3016">
        <v>977.07748333333302</v>
      </c>
      <c r="F3016">
        <v>53</v>
      </c>
      <c r="G3016">
        <v>18.435424213836502</v>
      </c>
      <c r="H3016">
        <v>0.95879999999999999</v>
      </c>
      <c r="I3016">
        <v>47.467066084554901</v>
      </c>
    </row>
    <row r="3017" spans="1:9" x14ac:dyDescent="0.35">
      <c r="A3017" s="417" t="s">
        <v>846</v>
      </c>
      <c r="B3017" s="417" t="s">
        <v>691</v>
      </c>
      <c r="C3017" s="83">
        <v>46128</v>
      </c>
      <c r="D3017" s="417" t="s">
        <v>309</v>
      </c>
      <c r="E3017">
        <v>875.19230000000005</v>
      </c>
      <c r="F3017">
        <v>44</v>
      </c>
      <c r="G3017">
        <v>19.890734090909099</v>
      </c>
      <c r="H3017">
        <v>0.81906666666666705</v>
      </c>
      <c r="I3017">
        <v>42.347820610463103</v>
      </c>
    </row>
    <row r="3018" spans="1:9" x14ac:dyDescent="0.35">
      <c r="A3018" s="417" t="s">
        <v>846</v>
      </c>
      <c r="B3018" s="417" t="s">
        <v>691</v>
      </c>
      <c r="C3018" s="83">
        <v>46128</v>
      </c>
      <c r="D3018" s="417" t="s">
        <v>305</v>
      </c>
      <c r="E3018">
        <v>949.95091666666599</v>
      </c>
      <c r="F3018">
        <v>42</v>
      </c>
      <c r="G3018">
        <v>22.617878968254001</v>
      </c>
      <c r="H3018">
        <v>1.24731666666667</v>
      </c>
      <c r="I3018">
        <v>44.906652257237198</v>
      </c>
    </row>
    <row r="3019" spans="1:9" x14ac:dyDescent="0.35">
      <c r="A3019" s="417" t="s">
        <v>846</v>
      </c>
      <c r="B3019" s="417" t="s">
        <v>691</v>
      </c>
      <c r="C3019" s="83">
        <v>46128</v>
      </c>
      <c r="D3019" s="417" t="s">
        <v>295</v>
      </c>
      <c r="E3019">
        <v>1193.3487333333301</v>
      </c>
      <c r="F3019">
        <v>36</v>
      </c>
      <c r="G3019">
        <v>33.148575925925897</v>
      </c>
      <c r="H3019">
        <v>9.3299999999999994E-2</v>
      </c>
      <c r="I3019">
        <v>35.696091938149799</v>
      </c>
    </row>
    <row r="3020" spans="1:9" x14ac:dyDescent="0.35">
      <c r="A3020" s="417" t="s">
        <v>846</v>
      </c>
      <c r="B3020" s="417" t="s">
        <v>691</v>
      </c>
      <c r="C3020" s="83">
        <v>46128</v>
      </c>
      <c r="D3020" s="417" t="s">
        <v>310</v>
      </c>
      <c r="E3020">
        <v>918.95709999999997</v>
      </c>
      <c r="F3020">
        <v>36</v>
      </c>
      <c r="G3020">
        <v>25.526586111111101</v>
      </c>
      <c r="H3020">
        <v>0</v>
      </c>
      <c r="I3020">
        <v>58.106093509725397</v>
      </c>
    </row>
    <row r="3021" spans="1:9" x14ac:dyDescent="0.35">
      <c r="A3021" s="417" t="s">
        <v>846</v>
      </c>
      <c r="B3021" s="417" t="s">
        <v>691</v>
      </c>
      <c r="C3021" s="83">
        <v>46128</v>
      </c>
      <c r="D3021" s="417" t="s">
        <v>301</v>
      </c>
      <c r="E3021">
        <v>1413.22383333333</v>
      </c>
      <c r="F3021">
        <v>36</v>
      </c>
      <c r="G3021">
        <v>39.256217592592598</v>
      </c>
      <c r="H3021">
        <v>3.23206666666667</v>
      </c>
      <c r="I3021">
        <v>31.400553281580098</v>
      </c>
    </row>
    <row r="3022" spans="1:9" x14ac:dyDescent="0.35">
      <c r="A3022" s="417" t="s">
        <v>846</v>
      </c>
      <c r="B3022" s="417" t="s">
        <v>691</v>
      </c>
      <c r="C3022" s="83">
        <v>46128</v>
      </c>
      <c r="D3022" s="417" t="s">
        <v>303</v>
      </c>
      <c r="E3022">
        <v>940.38926666666703</v>
      </c>
      <c r="F3022">
        <v>25</v>
      </c>
      <c r="G3022">
        <v>37.615570666666699</v>
      </c>
      <c r="H3022">
        <v>0</v>
      </c>
      <c r="I3022">
        <v>35.880739121058099</v>
      </c>
    </row>
    <row r="3023" spans="1:9" x14ac:dyDescent="0.35">
      <c r="A3023" s="417" t="s">
        <v>846</v>
      </c>
      <c r="B3023" s="417" t="s">
        <v>691</v>
      </c>
      <c r="C3023" s="83">
        <v>46128</v>
      </c>
      <c r="D3023" s="417" t="s">
        <v>314</v>
      </c>
      <c r="E3023">
        <v>1431.96525</v>
      </c>
      <c r="F3023">
        <v>10</v>
      </c>
      <c r="G3023">
        <v>143.19652500000001</v>
      </c>
      <c r="H3023">
        <v>0.18178333333333299</v>
      </c>
      <c r="I3023">
        <v>28.316930522616801</v>
      </c>
    </row>
    <row r="3024" spans="1:9" x14ac:dyDescent="0.35">
      <c r="A3024" s="417" t="s">
        <v>846</v>
      </c>
      <c r="B3024" s="417" t="s">
        <v>691</v>
      </c>
      <c r="C3024" s="83">
        <v>46128</v>
      </c>
      <c r="D3024" s="417" t="s">
        <v>313</v>
      </c>
      <c r="E3024">
        <v>891.96901666666702</v>
      </c>
      <c r="F3024">
        <v>4</v>
      </c>
      <c r="G3024">
        <v>222.99225416666701</v>
      </c>
      <c r="H3024">
        <v>0</v>
      </c>
      <c r="I3024">
        <v>46.469326887856298</v>
      </c>
    </row>
    <row r="3025" spans="1:9" x14ac:dyDescent="0.35">
      <c r="A3025" s="417" t="s">
        <v>846</v>
      </c>
      <c r="B3025" s="417" t="s">
        <v>691</v>
      </c>
      <c r="C3025" s="83">
        <v>46128</v>
      </c>
      <c r="D3025" s="417" t="s">
        <v>504</v>
      </c>
      <c r="E3025">
        <v>1440</v>
      </c>
      <c r="F3025">
        <v>1</v>
      </c>
      <c r="G3025">
        <v>1440</v>
      </c>
      <c r="H3025">
        <v>0</v>
      </c>
      <c r="I3025">
        <v>21.588888888888899</v>
      </c>
    </row>
    <row r="3026" spans="1:9" x14ac:dyDescent="0.35">
      <c r="A3026" s="417" t="s">
        <v>846</v>
      </c>
      <c r="B3026" s="417" t="s">
        <v>691</v>
      </c>
      <c r="C3026" s="83">
        <v>46128</v>
      </c>
      <c r="D3026" s="417" t="s">
        <v>317</v>
      </c>
      <c r="E3026">
        <v>1436.31226666667</v>
      </c>
      <c r="F3026">
        <v>1</v>
      </c>
      <c r="G3026">
        <v>1436.31226666667</v>
      </c>
      <c r="H3026">
        <v>0</v>
      </c>
      <c r="I3026">
        <v>24.521130131219401</v>
      </c>
    </row>
    <row r="3027" spans="1:9" x14ac:dyDescent="0.35">
      <c r="A3027" s="417" t="s">
        <v>846</v>
      </c>
      <c r="B3027" s="417" t="s">
        <v>676</v>
      </c>
      <c r="C3027" s="83">
        <v>46127</v>
      </c>
      <c r="D3027" s="417" t="s">
        <v>677</v>
      </c>
      <c r="E3027">
        <v>1163.9000333333299</v>
      </c>
      <c r="F3027">
        <v>455</v>
      </c>
      <c r="G3027">
        <v>2.55802205128205</v>
      </c>
      <c r="H3027">
        <v>263.59761666666702</v>
      </c>
      <c r="I3027">
        <v>22.4166666666667</v>
      </c>
    </row>
    <row r="3028" spans="1:9" x14ac:dyDescent="0.35">
      <c r="A3028" s="417" t="s">
        <v>846</v>
      </c>
      <c r="B3028" s="417" t="s">
        <v>676</v>
      </c>
      <c r="C3028" s="83">
        <v>46127</v>
      </c>
      <c r="D3028" s="417" t="s">
        <v>679</v>
      </c>
      <c r="E3028">
        <v>1301.5225333333301</v>
      </c>
      <c r="F3028">
        <v>36</v>
      </c>
      <c r="G3028">
        <v>36.153403703703702</v>
      </c>
      <c r="H3028">
        <v>46.6479</v>
      </c>
      <c r="I3028">
        <v>48.123357181708798</v>
      </c>
    </row>
    <row r="3029" spans="1:9" x14ac:dyDescent="0.35">
      <c r="A3029" s="417" t="s">
        <v>846</v>
      </c>
      <c r="B3029" s="417" t="s">
        <v>676</v>
      </c>
      <c r="C3029" s="83">
        <v>46127</v>
      </c>
      <c r="D3029" s="417" t="s">
        <v>678</v>
      </c>
      <c r="E3029">
        <v>1216.3038833333301</v>
      </c>
      <c r="F3029">
        <v>36</v>
      </c>
      <c r="G3029">
        <v>33.786218981481497</v>
      </c>
      <c r="H3029">
        <v>36.179533333333303</v>
      </c>
      <c r="I3029">
        <v>45.0932097885321</v>
      </c>
    </row>
    <row r="3030" spans="1:9" x14ac:dyDescent="0.35">
      <c r="A3030" s="417" t="s">
        <v>846</v>
      </c>
      <c r="B3030" s="417" t="s">
        <v>680</v>
      </c>
      <c r="C3030" s="83">
        <v>46127</v>
      </c>
      <c r="D3030" s="417" t="s">
        <v>681</v>
      </c>
      <c r="E3030">
        <v>1392.8404333333301</v>
      </c>
      <c r="F3030">
        <v>91</v>
      </c>
      <c r="G3030">
        <v>15.3059388278388</v>
      </c>
      <c r="H3030">
        <v>2.15795</v>
      </c>
      <c r="I3030">
        <v>81.611805718017195</v>
      </c>
    </row>
    <row r="3031" spans="1:9" x14ac:dyDescent="0.35">
      <c r="A3031" s="417" t="s">
        <v>846</v>
      </c>
      <c r="B3031" s="417" t="s">
        <v>680</v>
      </c>
      <c r="C3031" s="83">
        <v>46127</v>
      </c>
      <c r="D3031" s="417" t="s">
        <v>682</v>
      </c>
      <c r="E3031">
        <v>1342.6723833333299</v>
      </c>
      <c r="F3031">
        <v>88</v>
      </c>
      <c r="G3031">
        <v>15.257640719696999</v>
      </c>
      <c r="H3031">
        <v>97.3276166666667</v>
      </c>
      <c r="I3031">
        <v>73.556547619047606</v>
      </c>
    </row>
    <row r="3032" spans="1:9" x14ac:dyDescent="0.35">
      <c r="A3032" s="417" t="s">
        <v>846</v>
      </c>
      <c r="B3032" s="417" t="s">
        <v>680</v>
      </c>
      <c r="C3032" s="83">
        <v>46127</v>
      </c>
      <c r="D3032" s="417" t="s">
        <v>683</v>
      </c>
      <c r="E3032">
        <v>1373.6674333333301</v>
      </c>
      <c r="F3032">
        <v>54</v>
      </c>
      <c r="G3032">
        <v>25.4382858024691</v>
      </c>
      <c r="H3032">
        <v>1.83493333333333</v>
      </c>
      <c r="I3032">
        <v>61.8497397160194</v>
      </c>
    </row>
    <row r="3033" spans="1:9" x14ac:dyDescent="0.35">
      <c r="A3033" s="417" t="s">
        <v>846</v>
      </c>
      <c r="B3033" s="417" t="s">
        <v>680</v>
      </c>
      <c r="C3033" s="83">
        <v>46127</v>
      </c>
      <c r="D3033" s="417" t="s">
        <v>690</v>
      </c>
      <c r="E3033">
        <v>1399.52571666667</v>
      </c>
      <c r="F3033">
        <v>52</v>
      </c>
      <c r="G3033">
        <v>26.9139560897436</v>
      </c>
      <c r="H3033">
        <v>12.317399999999999</v>
      </c>
      <c r="I3033">
        <v>58.993248841908098</v>
      </c>
    </row>
    <row r="3034" spans="1:9" x14ac:dyDescent="0.35">
      <c r="A3034" s="417" t="s">
        <v>846</v>
      </c>
      <c r="B3034" s="417" t="s">
        <v>680</v>
      </c>
      <c r="C3034" s="83">
        <v>46127</v>
      </c>
      <c r="D3034" s="417" t="s">
        <v>684</v>
      </c>
      <c r="E3034">
        <v>1412.64488333333</v>
      </c>
      <c r="F3034">
        <v>33</v>
      </c>
      <c r="G3034">
        <v>42.807420707070698</v>
      </c>
      <c r="H3034">
        <v>15.5181</v>
      </c>
      <c r="I3034">
        <v>77.007814005219402</v>
      </c>
    </row>
    <row r="3035" spans="1:9" x14ac:dyDescent="0.35">
      <c r="A3035" s="417" t="s">
        <v>846</v>
      </c>
      <c r="B3035" s="417" t="s">
        <v>680</v>
      </c>
      <c r="C3035" s="83">
        <v>46127</v>
      </c>
      <c r="D3035" s="417" t="s">
        <v>688</v>
      </c>
      <c r="E3035">
        <v>1422.0087166666699</v>
      </c>
      <c r="F3035">
        <v>15</v>
      </c>
      <c r="G3035">
        <v>94.8005811111111</v>
      </c>
      <c r="H3035">
        <v>7.3344333333333296</v>
      </c>
      <c r="I3035">
        <v>78.994985762753103</v>
      </c>
    </row>
    <row r="3036" spans="1:9" x14ac:dyDescent="0.35">
      <c r="A3036" s="417" t="s">
        <v>846</v>
      </c>
      <c r="B3036" s="417" t="s">
        <v>680</v>
      </c>
      <c r="C3036" s="83">
        <v>46127</v>
      </c>
      <c r="D3036" s="417" t="s">
        <v>689</v>
      </c>
      <c r="E3036">
        <v>1420.1898000000001</v>
      </c>
      <c r="F3036">
        <v>14</v>
      </c>
      <c r="G3036">
        <v>101.442128571429</v>
      </c>
      <c r="H3036">
        <v>0.17306666666666701</v>
      </c>
      <c r="I3036">
        <v>88.637124745435102</v>
      </c>
    </row>
    <row r="3037" spans="1:9" x14ac:dyDescent="0.35">
      <c r="A3037" s="417" t="s">
        <v>846</v>
      </c>
      <c r="B3037" s="417" t="s">
        <v>680</v>
      </c>
      <c r="C3037" s="83">
        <v>46127</v>
      </c>
      <c r="D3037" s="417" t="s">
        <v>685</v>
      </c>
      <c r="E3037">
        <v>1413.49436666667</v>
      </c>
      <c r="F3037">
        <v>13</v>
      </c>
      <c r="G3037">
        <v>108.73033589743601</v>
      </c>
      <c r="H3037">
        <v>8.9967833333333296</v>
      </c>
      <c r="I3037">
        <v>88.155461795104401</v>
      </c>
    </row>
    <row r="3038" spans="1:9" x14ac:dyDescent="0.35">
      <c r="A3038" s="417" t="s">
        <v>846</v>
      </c>
      <c r="B3038" s="417" t="s">
        <v>680</v>
      </c>
      <c r="C3038" s="83">
        <v>46127</v>
      </c>
      <c r="D3038" s="417" t="s">
        <v>687</v>
      </c>
      <c r="E3038">
        <v>1422.82338333333</v>
      </c>
      <c r="F3038">
        <v>9</v>
      </c>
      <c r="G3038">
        <v>158.09148703703701</v>
      </c>
      <c r="H3038">
        <v>9.5142833333333297</v>
      </c>
      <c r="I3038">
        <v>49.328932328588103</v>
      </c>
    </row>
    <row r="3039" spans="1:9" x14ac:dyDescent="0.35">
      <c r="A3039" s="417" t="s">
        <v>846</v>
      </c>
      <c r="B3039" s="417" t="s">
        <v>680</v>
      </c>
      <c r="C3039" s="83">
        <v>46127</v>
      </c>
      <c r="D3039" s="417" t="s">
        <v>686</v>
      </c>
      <c r="E3039">
        <v>1440</v>
      </c>
      <c r="F3039">
        <v>1</v>
      </c>
      <c r="G3039">
        <v>1440</v>
      </c>
      <c r="H3039">
        <v>0</v>
      </c>
      <c r="I3039">
        <v>43.0555555555556</v>
      </c>
    </row>
    <row r="3040" spans="1:9" x14ac:dyDescent="0.35">
      <c r="A3040" s="417" t="s">
        <v>846</v>
      </c>
      <c r="B3040" s="417" t="s">
        <v>691</v>
      </c>
      <c r="C3040" s="83">
        <v>46127</v>
      </c>
      <c r="D3040" s="417" t="s">
        <v>299</v>
      </c>
      <c r="E3040">
        <v>1344.4774</v>
      </c>
      <c r="F3040">
        <v>97</v>
      </c>
      <c r="G3040">
        <v>13.860591752577299</v>
      </c>
      <c r="H3040">
        <v>0.910283333333333</v>
      </c>
      <c r="I3040">
        <v>75.538443109786499</v>
      </c>
    </row>
    <row r="3041" spans="1:9" x14ac:dyDescent="0.35">
      <c r="A3041" s="417" t="s">
        <v>846</v>
      </c>
      <c r="B3041" s="417" t="s">
        <v>691</v>
      </c>
      <c r="C3041" s="83">
        <v>46127</v>
      </c>
      <c r="D3041" s="417" t="s">
        <v>301</v>
      </c>
      <c r="E3041">
        <v>1360.08645</v>
      </c>
      <c r="F3041">
        <v>92</v>
      </c>
      <c r="G3041">
        <v>14.783548369565199</v>
      </c>
      <c r="H3041">
        <v>1.56951666666667</v>
      </c>
      <c r="I3041">
        <v>59.550946196433301</v>
      </c>
    </row>
    <row r="3042" spans="1:9" x14ac:dyDescent="0.35">
      <c r="A3042" s="417" t="s">
        <v>846</v>
      </c>
      <c r="B3042" s="417" t="s">
        <v>691</v>
      </c>
      <c r="C3042" s="83">
        <v>46127</v>
      </c>
      <c r="D3042" s="417" t="s">
        <v>309</v>
      </c>
      <c r="E3042">
        <v>1303.33475</v>
      </c>
      <c r="F3042">
        <v>90</v>
      </c>
      <c r="G3042">
        <v>14.481497222222201</v>
      </c>
      <c r="H3042">
        <v>0.91005000000000003</v>
      </c>
      <c r="I3042">
        <v>54.131982171009597</v>
      </c>
    </row>
    <row r="3043" spans="1:9" x14ac:dyDescent="0.35">
      <c r="A3043" s="417" t="s">
        <v>846</v>
      </c>
      <c r="B3043" s="417" t="s">
        <v>691</v>
      </c>
      <c r="C3043" s="83">
        <v>46127</v>
      </c>
      <c r="D3043" s="417" t="s">
        <v>305</v>
      </c>
      <c r="E3043">
        <v>1338.13825</v>
      </c>
      <c r="F3043">
        <v>75</v>
      </c>
      <c r="G3043">
        <v>17.841843333333301</v>
      </c>
      <c r="H3043">
        <v>11.1643833333333</v>
      </c>
      <c r="I3043">
        <v>58.009695487860803</v>
      </c>
    </row>
    <row r="3044" spans="1:9" x14ac:dyDescent="0.35">
      <c r="A3044" s="417" t="s">
        <v>846</v>
      </c>
      <c r="B3044" s="417" t="s">
        <v>691</v>
      </c>
      <c r="C3044" s="83">
        <v>46127</v>
      </c>
      <c r="D3044" s="417" t="s">
        <v>295</v>
      </c>
      <c r="E3044">
        <v>1350.3606</v>
      </c>
      <c r="F3044">
        <v>47</v>
      </c>
      <c r="G3044">
        <v>28.7310765957447</v>
      </c>
      <c r="H3044">
        <v>0</v>
      </c>
      <c r="I3044">
        <v>74.811462601664303</v>
      </c>
    </row>
    <row r="3045" spans="1:9" x14ac:dyDescent="0.35">
      <c r="A3045" s="417" t="s">
        <v>846</v>
      </c>
      <c r="B3045" s="417" t="s">
        <v>691</v>
      </c>
      <c r="C3045" s="83">
        <v>46127</v>
      </c>
      <c r="D3045" s="417" t="s">
        <v>303</v>
      </c>
      <c r="E3045">
        <v>1386.65971666667</v>
      </c>
      <c r="F3045">
        <v>42</v>
      </c>
      <c r="G3045">
        <v>33.015707539682502</v>
      </c>
      <c r="H3045">
        <v>0.13535</v>
      </c>
      <c r="I3045">
        <v>43.772124675362797</v>
      </c>
    </row>
    <row r="3046" spans="1:9" x14ac:dyDescent="0.35">
      <c r="A3046" s="417" t="s">
        <v>846</v>
      </c>
      <c r="B3046" s="417" t="s">
        <v>691</v>
      </c>
      <c r="C3046" s="83">
        <v>46127</v>
      </c>
      <c r="D3046" s="417" t="s">
        <v>314</v>
      </c>
      <c r="E3046">
        <v>1349.5183999999999</v>
      </c>
      <c r="F3046">
        <v>18</v>
      </c>
      <c r="G3046">
        <v>74.973244444444404</v>
      </c>
      <c r="H3046">
        <v>3.6921499999999998</v>
      </c>
      <c r="I3046">
        <v>57.085554203753901</v>
      </c>
    </row>
    <row r="3047" spans="1:9" x14ac:dyDescent="0.35">
      <c r="A3047" s="417" t="s">
        <v>846</v>
      </c>
      <c r="B3047" s="417" t="s">
        <v>691</v>
      </c>
      <c r="C3047" s="83">
        <v>46127</v>
      </c>
      <c r="D3047" s="417" t="s">
        <v>313</v>
      </c>
      <c r="E3047">
        <v>1398.5086833333301</v>
      </c>
      <c r="F3047">
        <v>12</v>
      </c>
      <c r="G3047">
        <v>116.542390277778</v>
      </c>
      <c r="H3047">
        <v>0</v>
      </c>
      <c r="I3047">
        <v>74.926087553650703</v>
      </c>
    </row>
    <row r="3048" spans="1:9" x14ac:dyDescent="0.35">
      <c r="A3048" s="417" t="s">
        <v>846</v>
      </c>
      <c r="B3048" s="417" t="s">
        <v>691</v>
      </c>
      <c r="C3048" s="83">
        <v>46127</v>
      </c>
      <c r="D3048" s="417" t="s">
        <v>310</v>
      </c>
      <c r="E3048">
        <v>1427.73686666667</v>
      </c>
      <c r="F3048">
        <v>7</v>
      </c>
      <c r="G3048">
        <v>203.96240952381001</v>
      </c>
      <c r="H3048">
        <v>6.0833333333333304E-3</v>
      </c>
      <c r="I3048">
        <v>77.402552213963702</v>
      </c>
    </row>
    <row r="3049" spans="1:9" x14ac:dyDescent="0.35">
      <c r="A3049" s="417" t="s">
        <v>846</v>
      </c>
      <c r="B3049" s="417" t="s">
        <v>691</v>
      </c>
      <c r="C3049" s="83">
        <v>46127</v>
      </c>
      <c r="D3049" s="417" t="s">
        <v>317</v>
      </c>
      <c r="E3049">
        <v>1440</v>
      </c>
      <c r="F3049">
        <v>1</v>
      </c>
      <c r="G3049">
        <v>1440</v>
      </c>
      <c r="H3049">
        <v>0</v>
      </c>
      <c r="I3049">
        <v>42.3819444444444</v>
      </c>
    </row>
    <row r="3050" spans="1:9" x14ac:dyDescent="0.35">
      <c r="A3050" s="417" t="s">
        <v>846</v>
      </c>
      <c r="B3050" s="417" t="s">
        <v>691</v>
      </c>
      <c r="C3050" s="83">
        <v>46127</v>
      </c>
      <c r="D3050" s="417" t="s">
        <v>504</v>
      </c>
      <c r="E3050">
        <v>1440</v>
      </c>
      <c r="F3050">
        <v>1</v>
      </c>
      <c r="G3050">
        <v>1440</v>
      </c>
      <c r="H3050">
        <v>0</v>
      </c>
      <c r="I3050">
        <v>43.497839506172802</v>
      </c>
    </row>
    <row r="3051" spans="1:9" x14ac:dyDescent="0.35">
      <c r="A3051" s="417" t="s">
        <v>846</v>
      </c>
      <c r="B3051" s="417" t="s">
        <v>676</v>
      </c>
      <c r="C3051" s="83">
        <v>46126</v>
      </c>
      <c r="D3051" s="417" t="s">
        <v>677</v>
      </c>
      <c r="E3051">
        <v>1138.7636666666699</v>
      </c>
      <c r="F3051">
        <v>452</v>
      </c>
      <c r="G3051">
        <v>2.5193886430678498</v>
      </c>
      <c r="H3051">
        <v>250.23498333333299</v>
      </c>
      <c r="I3051">
        <v>21.4586111111111</v>
      </c>
    </row>
    <row r="3052" spans="1:9" x14ac:dyDescent="0.35">
      <c r="A3052" s="417" t="s">
        <v>846</v>
      </c>
      <c r="B3052" s="417" t="s">
        <v>676</v>
      </c>
      <c r="C3052" s="83">
        <v>46126</v>
      </c>
      <c r="D3052" s="417" t="s">
        <v>678</v>
      </c>
      <c r="E3052">
        <v>1309.96426666667</v>
      </c>
      <c r="F3052">
        <v>49</v>
      </c>
      <c r="G3052">
        <v>26.733964625850302</v>
      </c>
      <c r="H3052">
        <v>59.691949999999999</v>
      </c>
      <c r="I3052">
        <v>43.150244039949101</v>
      </c>
    </row>
    <row r="3053" spans="1:9" x14ac:dyDescent="0.35">
      <c r="A3053" s="417" t="s">
        <v>846</v>
      </c>
      <c r="B3053" s="417" t="s">
        <v>676</v>
      </c>
      <c r="C3053" s="83">
        <v>46126</v>
      </c>
      <c r="D3053" s="417" t="s">
        <v>679</v>
      </c>
      <c r="E3053">
        <v>1288.66458333333</v>
      </c>
      <c r="F3053">
        <v>22</v>
      </c>
      <c r="G3053">
        <v>58.575662878787902</v>
      </c>
      <c r="H3053">
        <v>19.334716666666701</v>
      </c>
      <c r="I3053">
        <v>41.388874070600302</v>
      </c>
    </row>
    <row r="3054" spans="1:9" x14ac:dyDescent="0.35">
      <c r="A3054" s="417" t="s">
        <v>846</v>
      </c>
      <c r="B3054" s="417" t="s">
        <v>680</v>
      </c>
      <c r="C3054" s="83">
        <v>46126</v>
      </c>
      <c r="D3054" s="417" t="s">
        <v>681</v>
      </c>
      <c r="E3054">
        <v>1348.0080666666699</v>
      </c>
      <c r="F3054">
        <v>110</v>
      </c>
      <c r="G3054">
        <v>12.254618787878799</v>
      </c>
      <c r="H3054">
        <v>6.0076000000000001</v>
      </c>
      <c r="I3054">
        <v>75.259205478323906</v>
      </c>
    </row>
    <row r="3055" spans="1:9" x14ac:dyDescent="0.35">
      <c r="A3055" s="417" t="s">
        <v>846</v>
      </c>
      <c r="B3055" s="417" t="s">
        <v>680</v>
      </c>
      <c r="C3055" s="83">
        <v>46126</v>
      </c>
      <c r="D3055" s="417" t="s">
        <v>682</v>
      </c>
      <c r="E3055">
        <v>1306.33936666667</v>
      </c>
      <c r="F3055">
        <v>64</v>
      </c>
      <c r="G3055">
        <v>20.411552604166701</v>
      </c>
      <c r="H3055">
        <v>62.6559666666667</v>
      </c>
      <c r="I3055">
        <v>69.336780267780895</v>
      </c>
    </row>
    <row r="3056" spans="1:9" x14ac:dyDescent="0.35">
      <c r="A3056" s="417" t="s">
        <v>846</v>
      </c>
      <c r="B3056" s="417" t="s">
        <v>680</v>
      </c>
      <c r="C3056" s="83">
        <v>46126</v>
      </c>
      <c r="D3056" s="417" t="s">
        <v>684</v>
      </c>
      <c r="E3056">
        <v>1352.65008333333</v>
      </c>
      <c r="F3056">
        <v>56</v>
      </c>
      <c r="G3056">
        <v>24.154465773809498</v>
      </c>
      <c r="H3056">
        <v>52.843850000000003</v>
      </c>
      <c r="I3056">
        <v>72.535692486557394</v>
      </c>
    </row>
    <row r="3057" spans="1:9" x14ac:dyDescent="0.35">
      <c r="A3057" s="417" t="s">
        <v>846</v>
      </c>
      <c r="B3057" s="417" t="s">
        <v>680</v>
      </c>
      <c r="C3057" s="83">
        <v>46126</v>
      </c>
      <c r="D3057" s="417" t="s">
        <v>683</v>
      </c>
      <c r="E3057">
        <v>1383.65185</v>
      </c>
      <c r="F3057">
        <v>39</v>
      </c>
      <c r="G3057">
        <v>35.478252564102597</v>
      </c>
      <c r="H3057">
        <v>3.1761666666666701</v>
      </c>
      <c r="I3057">
        <v>58.928025081117603</v>
      </c>
    </row>
    <row r="3058" spans="1:9" x14ac:dyDescent="0.35">
      <c r="A3058" s="417" t="s">
        <v>846</v>
      </c>
      <c r="B3058" s="417" t="s">
        <v>680</v>
      </c>
      <c r="C3058" s="83">
        <v>46126</v>
      </c>
      <c r="D3058" s="417" t="s">
        <v>689</v>
      </c>
      <c r="E3058">
        <v>1410.8582166666699</v>
      </c>
      <c r="F3058">
        <v>32</v>
      </c>
      <c r="G3058">
        <v>44.0893192708333</v>
      </c>
      <c r="H3058">
        <v>0</v>
      </c>
      <c r="I3058">
        <v>83.423058280628894</v>
      </c>
    </row>
    <row r="3059" spans="1:9" x14ac:dyDescent="0.35">
      <c r="A3059" s="417" t="s">
        <v>846</v>
      </c>
      <c r="B3059" s="417" t="s">
        <v>680</v>
      </c>
      <c r="C3059" s="83">
        <v>46126</v>
      </c>
      <c r="D3059" s="417" t="s">
        <v>690</v>
      </c>
      <c r="E3059">
        <v>1388.03318333333</v>
      </c>
      <c r="F3059">
        <v>30</v>
      </c>
      <c r="G3059">
        <v>46.2677727777778</v>
      </c>
      <c r="H3059">
        <v>11.336983333333301</v>
      </c>
      <c r="I3059">
        <v>58.516892394231498</v>
      </c>
    </row>
    <row r="3060" spans="1:9" x14ac:dyDescent="0.35">
      <c r="A3060" s="417" t="s">
        <v>846</v>
      </c>
      <c r="B3060" s="417" t="s">
        <v>680</v>
      </c>
      <c r="C3060" s="83">
        <v>46126</v>
      </c>
      <c r="D3060" s="417" t="s">
        <v>685</v>
      </c>
      <c r="E3060">
        <v>1422.1737000000001</v>
      </c>
      <c r="F3060">
        <v>12</v>
      </c>
      <c r="G3060">
        <v>118.514475</v>
      </c>
      <c r="H3060">
        <v>2.49956666666667</v>
      </c>
      <c r="I3060">
        <v>83.475479550186705</v>
      </c>
    </row>
    <row r="3061" spans="1:9" x14ac:dyDescent="0.35">
      <c r="A3061" s="417" t="s">
        <v>846</v>
      </c>
      <c r="B3061" s="417" t="s">
        <v>680</v>
      </c>
      <c r="C3061" s="83">
        <v>46126</v>
      </c>
      <c r="D3061" s="417" t="s">
        <v>687</v>
      </c>
      <c r="E3061">
        <v>1430.68703333333</v>
      </c>
      <c r="F3061">
        <v>9</v>
      </c>
      <c r="G3061">
        <v>158.96522592592601</v>
      </c>
      <c r="H3061">
        <v>5.8253333333333304</v>
      </c>
      <c r="I3061">
        <v>49.733087876558102</v>
      </c>
    </row>
    <row r="3062" spans="1:9" x14ac:dyDescent="0.35">
      <c r="A3062" s="417" t="s">
        <v>846</v>
      </c>
      <c r="B3062" s="417" t="s">
        <v>680</v>
      </c>
      <c r="C3062" s="83">
        <v>46126</v>
      </c>
      <c r="D3062" s="417" t="s">
        <v>688</v>
      </c>
      <c r="E3062">
        <v>1425.15545</v>
      </c>
      <c r="F3062">
        <v>7</v>
      </c>
      <c r="G3062">
        <v>203.59363571428599</v>
      </c>
      <c r="H3062">
        <v>3.3422833333333299</v>
      </c>
      <c r="I3062">
        <v>66.924412386010204</v>
      </c>
    </row>
    <row r="3063" spans="1:9" x14ac:dyDescent="0.35">
      <c r="A3063" s="417" t="s">
        <v>846</v>
      </c>
      <c r="B3063" s="417" t="s">
        <v>680</v>
      </c>
      <c r="C3063" s="83">
        <v>46126</v>
      </c>
      <c r="D3063" s="417" t="s">
        <v>686</v>
      </c>
      <c r="E3063">
        <v>1440</v>
      </c>
      <c r="F3063">
        <v>1</v>
      </c>
      <c r="G3063">
        <v>1440</v>
      </c>
      <c r="H3063">
        <v>0</v>
      </c>
      <c r="I3063">
        <v>40.575396825396801</v>
      </c>
    </row>
    <row r="3064" spans="1:9" x14ac:dyDescent="0.35">
      <c r="A3064" s="417" t="s">
        <v>846</v>
      </c>
      <c r="B3064" s="417" t="s">
        <v>691</v>
      </c>
      <c r="C3064" s="83">
        <v>46126</v>
      </c>
      <c r="D3064" s="417" t="s">
        <v>299</v>
      </c>
      <c r="E3064">
        <v>1355.1329333333299</v>
      </c>
      <c r="F3064">
        <v>150</v>
      </c>
      <c r="G3064">
        <v>9.0342195555555609</v>
      </c>
      <c r="H3064">
        <v>0.94989999999999997</v>
      </c>
      <c r="I3064">
        <v>83.862158919169204</v>
      </c>
    </row>
    <row r="3065" spans="1:9" x14ac:dyDescent="0.35">
      <c r="A3065" s="417" t="s">
        <v>846</v>
      </c>
      <c r="B3065" s="417" t="s">
        <v>691</v>
      </c>
      <c r="C3065" s="83">
        <v>46126</v>
      </c>
      <c r="D3065" s="417" t="s">
        <v>301</v>
      </c>
      <c r="E3065">
        <v>1366.5717666666701</v>
      </c>
      <c r="F3065">
        <v>104</v>
      </c>
      <c r="G3065">
        <v>13.1401131410256</v>
      </c>
      <c r="H3065">
        <v>3.3654000000000002</v>
      </c>
      <c r="I3065">
        <v>71.045120146621201</v>
      </c>
    </row>
    <row r="3066" spans="1:9" x14ac:dyDescent="0.35">
      <c r="A3066" s="417" t="s">
        <v>846</v>
      </c>
      <c r="B3066" s="417" t="s">
        <v>691</v>
      </c>
      <c r="C3066" s="83">
        <v>46126</v>
      </c>
      <c r="D3066" s="417" t="s">
        <v>309</v>
      </c>
      <c r="E3066">
        <v>1298.8010666666701</v>
      </c>
      <c r="F3066">
        <v>90</v>
      </c>
      <c r="G3066">
        <v>14.431122962963</v>
      </c>
      <c r="H3066">
        <v>0</v>
      </c>
      <c r="I3066">
        <v>73.708707777217199</v>
      </c>
    </row>
    <row r="3067" spans="1:9" x14ac:dyDescent="0.35">
      <c r="A3067" s="417" t="s">
        <v>846</v>
      </c>
      <c r="B3067" s="417" t="s">
        <v>691</v>
      </c>
      <c r="C3067" s="83">
        <v>46126</v>
      </c>
      <c r="D3067" s="417" t="s">
        <v>303</v>
      </c>
      <c r="E3067">
        <v>1378.9609666666699</v>
      </c>
      <c r="F3067">
        <v>90</v>
      </c>
      <c r="G3067">
        <v>15.321788518518501</v>
      </c>
      <c r="H3067">
        <v>0.66785000000000005</v>
      </c>
      <c r="I3067">
        <v>49.605065732505601</v>
      </c>
    </row>
    <row r="3068" spans="1:9" x14ac:dyDescent="0.35">
      <c r="A3068" s="417" t="s">
        <v>846</v>
      </c>
      <c r="B3068" s="417" t="s">
        <v>691</v>
      </c>
      <c r="C3068" s="83">
        <v>46126</v>
      </c>
      <c r="D3068" s="417" t="s">
        <v>305</v>
      </c>
      <c r="E3068">
        <v>1268.7631166666699</v>
      </c>
      <c r="F3068">
        <v>68</v>
      </c>
      <c r="G3068">
        <v>18.658281127451001</v>
      </c>
      <c r="H3068">
        <v>7.6723999999999997</v>
      </c>
      <c r="I3068">
        <v>74.046229770200597</v>
      </c>
    </row>
    <row r="3069" spans="1:9" x14ac:dyDescent="0.35">
      <c r="A3069" s="417" t="s">
        <v>846</v>
      </c>
      <c r="B3069" s="417" t="s">
        <v>691</v>
      </c>
      <c r="C3069" s="83">
        <v>46126</v>
      </c>
      <c r="D3069" s="417" t="s">
        <v>295</v>
      </c>
      <c r="E3069">
        <v>1382.01831666667</v>
      </c>
      <c r="F3069">
        <v>53</v>
      </c>
      <c r="G3069">
        <v>26.075817295597499</v>
      </c>
      <c r="H3069">
        <v>0.28713333333333302</v>
      </c>
      <c r="I3069">
        <v>75.692041927991596</v>
      </c>
    </row>
    <row r="3070" spans="1:9" x14ac:dyDescent="0.35">
      <c r="A3070" s="417" t="s">
        <v>846</v>
      </c>
      <c r="B3070" s="417" t="s">
        <v>691</v>
      </c>
      <c r="C3070" s="83">
        <v>46126</v>
      </c>
      <c r="D3070" s="417" t="s">
        <v>310</v>
      </c>
      <c r="E3070">
        <v>1293.2104833333301</v>
      </c>
      <c r="F3070">
        <v>7</v>
      </c>
      <c r="G3070">
        <v>184.74435476190499</v>
      </c>
      <c r="H3070">
        <v>9.3149999999999997E-2</v>
      </c>
      <c r="I3070">
        <v>83.974592611450007</v>
      </c>
    </row>
    <row r="3071" spans="1:9" x14ac:dyDescent="0.35">
      <c r="A3071" s="417" t="s">
        <v>846</v>
      </c>
      <c r="B3071" s="417" t="s">
        <v>691</v>
      </c>
      <c r="C3071" s="83">
        <v>46126</v>
      </c>
      <c r="D3071" s="417" t="s">
        <v>314</v>
      </c>
      <c r="E3071">
        <v>1378.5650000000001</v>
      </c>
      <c r="F3071">
        <v>5</v>
      </c>
      <c r="G3071">
        <v>275.71300000000002</v>
      </c>
      <c r="H3071">
        <v>1.19936666666667</v>
      </c>
      <c r="I3071">
        <v>68.5949898592811</v>
      </c>
    </row>
    <row r="3072" spans="1:9" x14ac:dyDescent="0.35">
      <c r="A3072" s="417" t="s">
        <v>846</v>
      </c>
      <c r="B3072" s="417" t="s">
        <v>691</v>
      </c>
      <c r="C3072" s="83">
        <v>46126</v>
      </c>
      <c r="D3072" s="417" t="s">
        <v>313</v>
      </c>
      <c r="E3072">
        <v>1430.78453333333</v>
      </c>
      <c r="F3072">
        <v>4</v>
      </c>
      <c r="G3072">
        <v>357.69613333333302</v>
      </c>
      <c r="H3072">
        <v>0</v>
      </c>
      <c r="I3072">
        <v>82.558765671830898</v>
      </c>
    </row>
    <row r="3073" spans="1:9" x14ac:dyDescent="0.35">
      <c r="A3073" s="417" t="s">
        <v>846</v>
      </c>
      <c r="B3073" s="417" t="s">
        <v>691</v>
      </c>
      <c r="C3073" s="83">
        <v>46126</v>
      </c>
      <c r="D3073" s="417" t="s">
        <v>317</v>
      </c>
      <c r="E3073">
        <v>1440</v>
      </c>
      <c r="F3073">
        <v>1</v>
      </c>
      <c r="G3073">
        <v>1440</v>
      </c>
      <c r="H3073">
        <v>0</v>
      </c>
      <c r="I3073">
        <v>45.1909722222222</v>
      </c>
    </row>
    <row r="3074" spans="1:9" x14ac:dyDescent="0.35">
      <c r="A3074" s="417" t="s">
        <v>846</v>
      </c>
      <c r="B3074" s="417" t="s">
        <v>691</v>
      </c>
      <c r="C3074" s="83">
        <v>46126</v>
      </c>
      <c r="D3074" s="417" t="s">
        <v>504</v>
      </c>
      <c r="E3074">
        <v>1440</v>
      </c>
      <c r="F3074">
        <v>1</v>
      </c>
      <c r="G3074">
        <v>1440</v>
      </c>
      <c r="H3074">
        <v>0</v>
      </c>
      <c r="I3074">
        <v>54.674228395061697</v>
      </c>
    </row>
    <row r="3075" spans="1:9" x14ac:dyDescent="0.35">
      <c r="A3075" s="417" t="s">
        <v>846</v>
      </c>
      <c r="B3075" s="417" t="s">
        <v>676</v>
      </c>
      <c r="C3075" s="83">
        <v>46125</v>
      </c>
      <c r="D3075" s="417" t="s">
        <v>677</v>
      </c>
      <c r="E3075">
        <v>1249.1884500000001</v>
      </c>
      <c r="F3075">
        <v>351</v>
      </c>
      <c r="G3075">
        <v>3.5589414529914598</v>
      </c>
      <c r="H3075">
        <v>165.30813333333299</v>
      </c>
      <c r="I3075">
        <v>25.206666666666699</v>
      </c>
    </row>
    <row r="3076" spans="1:9" x14ac:dyDescent="0.35">
      <c r="A3076" s="417" t="s">
        <v>846</v>
      </c>
      <c r="B3076" s="417" t="s">
        <v>676</v>
      </c>
      <c r="C3076" s="83">
        <v>46125</v>
      </c>
      <c r="D3076" s="417" t="s">
        <v>678</v>
      </c>
      <c r="E3076">
        <v>1316.65331666667</v>
      </c>
      <c r="F3076">
        <v>51</v>
      </c>
      <c r="G3076">
        <v>25.816731699346398</v>
      </c>
      <c r="H3076">
        <v>37.675150000000002</v>
      </c>
      <c r="I3076">
        <v>64.456737368614199</v>
      </c>
    </row>
    <row r="3077" spans="1:9" x14ac:dyDescent="0.35">
      <c r="A3077" s="417" t="s">
        <v>846</v>
      </c>
      <c r="B3077" s="417" t="s">
        <v>676</v>
      </c>
      <c r="C3077" s="83">
        <v>46125</v>
      </c>
      <c r="D3077" s="417" t="s">
        <v>679</v>
      </c>
      <c r="E3077">
        <v>1373.1633666666701</v>
      </c>
      <c r="F3077">
        <v>13</v>
      </c>
      <c r="G3077">
        <v>105.627951282051</v>
      </c>
      <c r="H3077">
        <v>11.9966833333333</v>
      </c>
      <c r="I3077">
        <v>69.165773779475302</v>
      </c>
    </row>
    <row r="3078" spans="1:9" x14ac:dyDescent="0.35">
      <c r="A3078" s="417" t="s">
        <v>846</v>
      </c>
      <c r="B3078" s="417" t="s">
        <v>680</v>
      </c>
      <c r="C3078" s="83">
        <v>46125</v>
      </c>
      <c r="D3078" s="417" t="s">
        <v>682</v>
      </c>
      <c r="E3078">
        <v>1346.90263333333</v>
      </c>
      <c r="F3078">
        <v>90</v>
      </c>
      <c r="G3078">
        <v>14.9655848148148</v>
      </c>
      <c r="H3078">
        <v>81.263149999999996</v>
      </c>
      <c r="I3078">
        <v>61.269841269841301</v>
      </c>
    </row>
    <row r="3079" spans="1:9" x14ac:dyDescent="0.35">
      <c r="A3079" s="417" t="s">
        <v>846</v>
      </c>
      <c r="B3079" s="417" t="s">
        <v>680</v>
      </c>
      <c r="C3079" s="83">
        <v>46125</v>
      </c>
      <c r="D3079" s="417" t="s">
        <v>681</v>
      </c>
      <c r="E3079">
        <v>1376.9635499999999</v>
      </c>
      <c r="F3079">
        <v>79</v>
      </c>
      <c r="G3079">
        <v>17.429918354430399</v>
      </c>
      <c r="H3079">
        <v>3.6736833333333299</v>
      </c>
      <c r="I3079">
        <v>64.633682791965796</v>
      </c>
    </row>
    <row r="3080" spans="1:9" x14ac:dyDescent="0.35">
      <c r="A3080" s="417" t="s">
        <v>846</v>
      </c>
      <c r="B3080" s="417" t="s">
        <v>680</v>
      </c>
      <c r="C3080" s="83">
        <v>46125</v>
      </c>
      <c r="D3080" s="417" t="s">
        <v>684</v>
      </c>
      <c r="E3080">
        <v>1403.6854333333299</v>
      </c>
      <c r="F3080">
        <v>43</v>
      </c>
      <c r="G3080">
        <v>32.643847286821703</v>
      </c>
      <c r="H3080">
        <v>21.992850000000001</v>
      </c>
      <c r="I3080">
        <v>64.990853387478296</v>
      </c>
    </row>
    <row r="3081" spans="1:9" x14ac:dyDescent="0.35">
      <c r="A3081" s="417" t="s">
        <v>846</v>
      </c>
      <c r="B3081" s="417" t="s">
        <v>680</v>
      </c>
      <c r="C3081" s="83">
        <v>46125</v>
      </c>
      <c r="D3081" s="417" t="s">
        <v>689</v>
      </c>
      <c r="E3081">
        <v>1068.112698425</v>
      </c>
      <c r="F3081">
        <v>39</v>
      </c>
      <c r="G3081">
        <v>27.3875050878205</v>
      </c>
      <c r="H3081">
        <v>0.33361666666666701</v>
      </c>
      <c r="I3081">
        <v>68.409696190230406</v>
      </c>
    </row>
    <row r="3082" spans="1:9" x14ac:dyDescent="0.35">
      <c r="A3082" s="417" t="s">
        <v>846</v>
      </c>
      <c r="B3082" s="417" t="s">
        <v>680</v>
      </c>
      <c r="C3082" s="83">
        <v>46125</v>
      </c>
      <c r="D3082" s="417" t="s">
        <v>685</v>
      </c>
      <c r="E3082">
        <v>1404.1917000000001</v>
      </c>
      <c r="F3082">
        <v>35</v>
      </c>
      <c r="G3082">
        <v>40.119762857142902</v>
      </c>
      <c r="H3082">
        <v>12.3329</v>
      </c>
      <c r="I3082">
        <v>76.066291593741894</v>
      </c>
    </row>
    <row r="3083" spans="1:9" x14ac:dyDescent="0.35">
      <c r="A3083" s="417" t="s">
        <v>846</v>
      </c>
      <c r="B3083" s="417" t="s">
        <v>680</v>
      </c>
      <c r="C3083" s="83">
        <v>46125</v>
      </c>
      <c r="D3083" s="417" t="s">
        <v>687</v>
      </c>
      <c r="E3083">
        <v>1353.65251666667</v>
      </c>
      <c r="F3083">
        <v>26</v>
      </c>
      <c r="G3083">
        <v>52.063558333333297</v>
      </c>
      <c r="H3083">
        <v>27.6752</v>
      </c>
      <c r="I3083">
        <v>37.671617045089903</v>
      </c>
    </row>
    <row r="3084" spans="1:9" x14ac:dyDescent="0.35">
      <c r="A3084" s="417" t="s">
        <v>846</v>
      </c>
      <c r="B3084" s="417" t="s">
        <v>680</v>
      </c>
      <c r="C3084" s="83">
        <v>46125</v>
      </c>
      <c r="D3084" s="417" t="s">
        <v>690</v>
      </c>
      <c r="E3084">
        <v>1410.49381666667</v>
      </c>
      <c r="F3084">
        <v>25</v>
      </c>
      <c r="G3084">
        <v>56.419752666666703</v>
      </c>
      <c r="H3084">
        <v>9.67418333333333</v>
      </c>
      <c r="I3084">
        <v>54.3230269698429</v>
      </c>
    </row>
    <row r="3085" spans="1:9" x14ac:dyDescent="0.35">
      <c r="A3085" s="417" t="s">
        <v>846</v>
      </c>
      <c r="B3085" s="417" t="s">
        <v>680</v>
      </c>
      <c r="C3085" s="83">
        <v>46125</v>
      </c>
      <c r="D3085" s="417" t="s">
        <v>683</v>
      </c>
      <c r="E3085">
        <v>1399.3233666666699</v>
      </c>
      <c r="F3085">
        <v>24</v>
      </c>
      <c r="G3085">
        <v>58.305140277777802</v>
      </c>
      <c r="H3085">
        <v>5.67303333333333</v>
      </c>
      <c r="I3085">
        <v>55.271797644141799</v>
      </c>
    </row>
    <row r="3086" spans="1:9" x14ac:dyDescent="0.35">
      <c r="A3086" s="417" t="s">
        <v>846</v>
      </c>
      <c r="B3086" s="417" t="s">
        <v>680</v>
      </c>
      <c r="C3086" s="83">
        <v>46125</v>
      </c>
      <c r="D3086" s="417" t="s">
        <v>688</v>
      </c>
      <c r="E3086">
        <v>1417.67593333333</v>
      </c>
      <c r="F3086">
        <v>6</v>
      </c>
      <c r="G3086">
        <v>236.27932222222199</v>
      </c>
      <c r="H3086">
        <v>0.66676666666666695</v>
      </c>
      <c r="I3086">
        <v>53.482048251536497</v>
      </c>
    </row>
    <row r="3087" spans="1:9" x14ac:dyDescent="0.35">
      <c r="A3087" s="417" t="s">
        <v>846</v>
      </c>
      <c r="B3087" s="417" t="s">
        <v>680</v>
      </c>
      <c r="C3087" s="83">
        <v>46125</v>
      </c>
      <c r="D3087" s="417" t="s">
        <v>686</v>
      </c>
      <c r="E3087">
        <v>1440</v>
      </c>
      <c r="F3087">
        <v>1</v>
      </c>
      <c r="G3087">
        <v>1440</v>
      </c>
      <c r="H3087">
        <v>0</v>
      </c>
      <c r="I3087">
        <v>31.4831349206349</v>
      </c>
    </row>
    <row r="3088" spans="1:9" x14ac:dyDescent="0.35">
      <c r="A3088" s="417" t="s">
        <v>846</v>
      </c>
      <c r="B3088" s="417" t="s">
        <v>691</v>
      </c>
      <c r="C3088" s="83">
        <v>46125</v>
      </c>
      <c r="D3088" s="417" t="s">
        <v>299</v>
      </c>
      <c r="E3088">
        <v>1354.24765</v>
      </c>
      <c r="F3088">
        <v>158</v>
      </c>
      <c r="G3088">
        <v>8.5711876582278492</v>
      </c>
      <c r="H3088">
        <v>1.4462666666666699</v>
      </c>
      <c r="I3088">
        <v>81.308019546194799</v>
      </c>
    </row>
    <row r="3089" spans="1:9" x14ac:dyDescent="0.35">
      <c r="A3089" s="417" t="s">
        <v>846</v>
      </c>
      <c r="B3089" s="417" t="s">
        <v>691</v>
      </c>
      <c r="C3089" s="83">
        <v>46125</v>
      </c>
      <c r="D3089" s="417" t="s">
        <v>301</v>
      </c>
      <c r="E3089">
        <v>1367.7183</v>
      </c>
      <c r="F3089">
        <v>132</v>
      </c>
      <c r="G3089">
        <v>10.3615022727273</v>
      </c>
      <c r="H3089">
        <v>0.99350000000000005</v>
      </c>
      <c r="I3089">
        <v>62.804136946983498</v>
      </c>
    </row>
    <row r="3090" spans="1:9" x14ac:dyDescent="0.35">
      <c r="A3090" s="417" t="s">
        <v>846</v>
      </c>
      <c r="B3090" s="417" t="s">
        <v>691</v>
      </c>
      <c r="C3090" s="83">
        <v>46125</v>
      </c>
      <c r="D3090" s="417" t="s">
        <v>303</v>
      </c>
      <c r="E3090">
        <v>1387.30506666667</v>
      </c>
      <c r="F3090">
        <v>107</v>
      </c>
      <c r="G3090">
        <v>12.965467912772599</v>
      </c>
      <c r="H3090">
        <v>0.60548333333333304</v>
      </c>
      <c r="I3090">
        <v>48.173764752243798</v>
      </c>
    </row>
    <row r="3091" spans="1:9" x14ac:dyDescent="0.35">
      <c r="A3091" s="417" t="s">
        <v>846</v>
      </c>
      <c r="B3091" s="417" t="s">
        <v>691</v>
      </c>
      <c r="C3091" s="83">
        <v>46125</v>
      </c>
      <c r="D3091" s="417" t="s">
        <v>309</v>
      </c>
      <c r="E3091">
        <v>1278.8409666666701</v>
      </c>
      <c r="F3091">
        <v>106</v>
      </c>
      <c r="G3091">
        <v>12.0645374213836</v>
      </c>
      <c r="H3091">
        <v>0</v>
      </c>
      <c r="I3091">
        <v>77.140870716314495</v>
      </c>
    </row>
    <row r="3092" spans="1:9" x14ac:dyDescent="0.35">
      <c r="A3092" s="417" t="s">
        <v>846</v>
      </c>
      <c r="B3092" s="417" t="s">
        <v>691</v>
      </c>
      <c r="C3092" s="83">
        <v>46125</v>
      </c>
      <c r="D3092" s="417" t="s">
        <v>305</v>
      </c>
      <c r="E3092">
        <v>1271.1291166666699</v>
      </c>
      <c r="F3092">
        <v>102</v>
      </c>
      <c r="G3092">
        <v>12.4620501633987</v>
      </c>
      <c r="H3092">
        <v>4.9513333333333298</v>
      </c>
      <c r="I3092">
        <v>77.073144990315399</v>
      </c>
    </row>
    <row r="3093" spans="1:9" x14ac:dyDescent="0.35">
      <c r="A3093" s="417" t="s">
        <v>846</v>
      </c>
      <c r="B3093" s="417" t="s">
        <v>691</v>
      </c>
      <c r="C3093" s="83">
        <v>46125</v>
      </c>
      <c r="D3093" s="417" t="s">
        <v>295</v>
      </c>
      <c r="E3093">
        <v>1361.1208833333301</v>
      </c>
      <c r="F3093">
        <v>64</v>
      </c>
      <c r="G3093">
        <v>21.2675138020833</v>
      </c>
      <c r="H3093">
        <v>0</v>
      </c>
      <c r="I3093">
        <v>76.542320138902497</v>
      </c>
    </row>
    <row r="3094" spans="1:9" x14ac:dyDescent="0.35">
      <c r="A3094" s="417" t="s">
        <v>846</v>
      </c>
      <c r="B3094" s="417" t="s">
        <v>691</v>
      </c>
      <c r="C3094" s="83">
        <v>46125</v>
      </c>
      <c r="D3094" s="417" t="s">
        <v>314</v>
      </c>
      <c r="E3094">
        <v>1335.1165000000001</v>
      </c>
      <c r="F3094">
        <v>9</v>
      </c>
      <c r="G3094">
        <v>148.346277777778</v>
      </c>
      <c r="H3094">
        <v>2.1548166666666702</v>
      </c>
      <c r="I3094">
        <v>61.446929691359102</v>
      </c>
    </row>
    <row r="3095" spans="1:9" x14ac:dyDescent="0.35">
      <c r="A3095" s="417" t="s">
        <v>846</v>
      </c>
      <c r="B3095" s="417" t="s">
        <v>691</v>
      </c>
      <c r="C3095" s="83">
        <v>46125</v>
      </c>
      <c r="D3095" s="417" t="s">
        <v>310</v>
      </c>
      <c r="E3095">
        <v>1366.6851666666701</v>
      </c>
      <c r="F3095">
        <v>4</v>
      </c>
      <c r="G3095">
        <v>341.671291666667</v>
      </c>
      <c r="H3095">
        <v>0</v>
      </c>
      <c r="I3095">
        <v>83.463204081991805</v>
      </c>
    </row>
    <row r="3096" spans="1:9" x14ac:dyDescent="0.35">
      <c r="A3096" s="417" t="s">
        <v>846</v>
      </c>
      <c r="B3096" s="417" t="s">
        <v>691</v>
      </c>
      <c r="C3096" s="83">
        <v>46125</v>
      </c>
      <c r="D3096" s="417" t="s">
        <v>313</v>
      </c>
      <c r="E3096">
        <v>1356.33095</v>
      </c>
      <c r="F3096">
        <v>4</v>
      </c>
      <c r="G3096">
        <v>339.08273750000001</v>
      </c>
      <c r="H3096">
        <v>0</v>
      </c>
      <c r="I3096">
        <v>82.580225143146706</v>
      </c>
    </row>
    <row r="3097" spans="1:9" x14ac:dyDescent="0.35">
      <c r="A3097" s="417" t="s">
        <v>846</v>
      </c>
      <c r="B3097" s="417" t="s">
        <v>691</v>
      </c>
      <c r="C3097" s="83">
        <v>46125</v>
      </c>
      <c r="D3097" s="417" t="s">
        <v>504</v>
      </c>
      <c r="E3097">
        <v>1440</v>
      </c>
      <c r="F3097">
        <v>1</v>
      </c>
      <c r="G3097">
        <v>1440</v>
      </c>
      <c r="H3097">
        <v>0</v>
      </c>
      <c r="I3097">
        <v>55.184104938271602</v>
      </c>
    </row>
    <row r="3098" spans="1:9" x14ac:dyDescent="0.35">
      <c r="A3098" s="417" t="s">
        <v>846</v>
      </c>
      <c r="B3098" s="417" t="s">
        <v>691</v>
      </c>
      <c r="C3098" s="83">
        <v>46125</v>
      </c>
      <c r="D3098" s="417" t="s">
        <v>317</v>
      </c>
      <c r="E3098">
        <v>1438.12051666667</v>
      </c>
      <c r="F3098">
        <v>1</v>
      </c>
      <c r="G3098">
        <v>1438.12051666667</v>
      </c>
      <c r="H3098">
        <v>0</v>
      </c>
      <c r="I3098">
        <v>47.064901178715502</v>
      </c>
    </row>
    <row r="3099" spans="1:9" x14ac:dyDescent="0.35">
      <c r="A3099" s="417" t="s">
        <v>846</v>
      </c>
      <c r="B3099" s="417" t="s">
        <v>676</v>
      </c>
      <c r="C3099" s="83">
        <v>46124</v>
      </c>
      <c r="D3099" s="417" t="s">
        <v>677</v>
      </c>
      <c r="E3099">
        <v>1128.65488333333</v>
      </c>
      <c r="F3099">
        <v>364</v>
      </c>
      <c r="G3099">
        <v>3.1007002289377299</v>
      </c>
      <c r="H3099">
        <v>208.16114999999999</v>
      </c>
      <c r="I3099">
        <v>33.423888888888897</v>
      </c>
    </row>
    <row r="3100" spans="1:9" x14ac:dyDescent="0.35">
      <c r="A3100" s="417" t="s">
        <v>846</v>
      </c>
      <c r="B3100" s="417" t="s">
        <v>676</v>
      </c>
      <c r="C3100" s="83">
        <v>46124</v>
      </c>
      <c r="D3100" s="417" t="s">
        <v>679</v>
      </c>
      <c r="E3100">
        <v>1313.9590499999999</v>
      </c>
      <c r="F3100">
        <v>38</v>
      </c>
      <c r="G3100">
        <v>34.577869736842104</v>
      </c>
      <c r="H3100">
        <v>24.009450000000001</v>
      </c>
      <c r="I3100">
        <v>56.832634813999199</v>
      </c>
    </row>
    <row r="3101" spans="1:9" x14ac:dyDescent="0.35">
      <c r="A3101" s="417" t="s">
        <v>846</v>
      </c>
      <c r="B3101" s="417" t="s">
        <v>676</v>
      </c>
      <c r="C3101" s="83">
        <v>46124</v>
      </c>
      <c r="D3101" s="417" t="s">
        <v>678</v>
      </c>
      <c r="E3101">
        <v>1379.6498166666599</v>
      </c>
      <c r="F3101">
        <v>10</v>
      </c>
      <c r="G3101">
        <v>137.96498166666601</v>
      </c>
      <c r="H3101">
        <v>4.3387500000000001</v>
      </c>
      <c r="I3101">
        <v>36.394568481141398</v>
      </c>
    </row>
    <row r="3102" spans="1:9" x14ac:dyDescent="0.35">
      <c r="A3102" s="417" t="s">
        <v>846</v>
      </c>
      <c r="B3102" s="417" t="s">
        <v>680</v>
      </c>
      <c r="C3102" s="83">
        <v>46124</v>
      </c>
      <c r="D3102" s="417" t="s">
        <v>681</v>
      </c>
      <c r="E3102">
        <v>1356.21885</v>
      </c>
      <c r="F3102">
        <v>82</v>
      </c>
      <c r="G3102">
        <v>16.539254268292702</v>
      </c>
      <c r="H3102">
        <v>0.16666666666666699</v>
      </c>
      <c r="I3102">
        <v>59.646580893969499</v>
      </c>
    </row>
    <row r="3103" spans="1:9" x14ac:dyDescent="0.35">
      <c r="A3103" s="417" t="s">
        <v>846</v>
      </c>
      <c r="B3103" s="417" t="s">
        <v>680</v>
      </c>
      <c r="C3103" s="83">
        <v>46124</v>
      </c>
      <c r="D3103" s="417" t="s">
        <v>682</v>
      </c>
      <c r="E3103">
        <v>1324.17693333333</v>
      </c>
      <c r="F3103">
        <v>80</v>
      </c>
      <c r="G3103">
        <v>16.5522116666667</v>
      </c>
      <c r="H3103">
        <v>66.017899999999997</v>
      </c>
      <c r="I3103">
        <v>47.678571428571402</v>
      </c>
    </row>
    <row r="3104" spans="1:9" x14ac:dyDescent="0.35">
      <c r="A3104" s="417" t="s">
        <v>846</v>
      </c>
      <c r="B3104" s="417" t="s">
        <v>680</v>
      </c>
      <c r="C3104" s="83">
        <v>46124</v>
      </c>
      <c r="D3104" s="417" t="s">
        <v>684</v>
      </c>
      <c r="E3104">
        <v>1375.3126833333299</v>
      </c>
      <c r="F3104">
        <v>58</v>
      </c>
      <c r="G3104">
        <v>23.712287643678199</v>
      </c>
      <c r="H3104">
        <v>40.678699999999999</v>
      </c>
      <c r="I3104">
        <v>57.731357969955802</v>
      </c>
    </row>
    <row r="3105" spans="1:9" x14ac:dyDescent="0.35">
      <c r="A3105" s="417" t="s">
        <v>846</v>
      </c>
      <c r="B3105" s="417" t="s">
        <v>680</v>
      </c>
      <c r="C3105" s="83">
        <v>46124</v>
      </c>
      <c r="D3105" s="417" t="s">
        <v>689</v>
      </c>
      <c r="E3105">
        <v>1405.49395</v>
      </c>
      <c r="F3105">
        <v>58</v>
      </c>
      <c r="G3105">
        <v>24.232654310344799</v>
      </c>
      <c r="H3105">
        <v>0</v>
      </c>
      <c r="I3105">
        <v>71.168148859983503</v>
      </c>
    </row>
    <row r="3106" spans="1:9" x14ac:dyDescent="0.35">
      <c r="A3106" s="417" t="s">
        <v>846</v>
      </c>
      <c r="B3106" s="417" t="s">
        <v>680</v>
      </c>
      <c r="C3106" s="83">
        <v>46124</v>
      </c>
      <c r="D3106" s="417" t="s">
        <v>690</v>
      </c>
      <c r="E3106">
        <v>1366.1701333333301</v>
      </c>
      <c r="F3106">
        <v>45</v>
      </c>
      <c r="G3106">
        <v>30.359336296296298</v>
      </c>
      <c r="H3106">
        <v>16.9662166666667</v>
      </c>
      <c r="I3106">
        <v>49.829070701038297</v>
      </c>
    </row>
    <row r="3107" spans="1:9" x14ac:dyDescent="0.35">
      <c r="A3107" s="417" t="s">
        <v>846</v>
      </c>
      <c r="B3107" s="417" t="s">
        <v>680</v>
      </c>
      <c r="C3107" s="83">
        <v>46124</v>
      </c>
      <c r="D3107" s="417" t="s">
        <v>688</v>
      </c>
      <c r="E3107">
        <v>1376.47191666667</v>
      </c>
      <c r="F3107">
        <v>38</v>
      </c>
      <c r="G3107">
        <v>36.222945175438603</v>
      </c>
      <c r="H3107">
        <v>6.1715</v>
      </c>
      <c r="I3107">
        <v>46.711412107839301</v>
      </c>
    </row>
    <row r="3108" spans="1:9" x14ac:dyDescent="0.35">
      <c r="A3108" s="417" t="s">
        <v>846</v>
      </c>
      <c r="B3108" s="417" t="s">
        <v>680</v>
      </c>
      <c r="C3108" s="83">
        <v>46124</v>
      </c>
      <c r="D3108" s="417" t="s">
        <v>683</v>
      </c>
      <c r="E3108">
        <v>1390.1344999999999</v>
      </c>
      <c r="F3108">
        <v>29</v>
      </c>
      <c r="G3108">
        <v>47.9356724137931</v>
      </c>
      <c r="H3108">
        <v>2.3255166666666698</v>
      </c>
      <c r="I3108">
        <v>52.472217002164797</v>
      </c>
    </row>
    <row r="3109" spans="1:9" x14ac:dyDescent="0.35">
      <c r="A3109" s="417" t="s">
        <v>846</v>
      </c>
      <c r="B3109" s="417" t="s">
        <v>680</v>
      </c>
      <c r="C3109" s="83">
        <v>46124</v>
      </c>
      <c r="D3109" s="417" t="s">
        <v>687</v>
      </c>
      <c r="E3109">
        <v>1402.49091666667</v>
      </c>
      <c r="F3109">
        <v>23</v>
      </c>
      <c r="G3109">
        <v>60.977865942028998</v>
      </c>
      <c r="H3109">
        <v>26.511600000000001</v>
      </c>
      <c r="I3109">
        <v>41.505623342072397</v>
      </c>
    </row>
    <row r="3110" spans="1:9" x14ac:dyDescent="0.35">
      <c r="A3110" s="417" t="s">
        <v>846</v>
      </c>
      <c r="B3110" s="417" t="s">
        <v>680</v>
      </c>
      <c r="C3110" s="83">
        <v>46124</v>
      </c>
      <c r="D3110" s="417" t="s">
        <v>685</v>
      </c>
      <c r="E3110">
        <v>1419.3440499999999</v>
      </c>
      <c r="F3110">
        <v>20</v>
      </c>
      <c r="G3110">
        <v>70.967202499999999</v>
      </c>
      <c r="H3110">
        <v>7.16991666666667</v>
      </c>
      <c r="I3110">
        <v>67.082204622689005</v>
      </c>
    </row>
    <row r="3111" spans="1:9" x14ac:dyDescent="0.35">
      <c r="A3111" s="417" t="s">
        <v>846</v>
      </c>
      <c r="B3111" s="417" t="s">
        <v>680</v>
      </c>
      <c r="C3111" s="83">
        <v>46124</v>
      </c>
      <c r="D3111" s="417" t="s">
        <v>686</v>
      </c>
      <c r="E3111">
        <v>1440</v>
      </c>
      <c r="F3111">
        <v>1</v>
      </c>
      <c r="G3111">
        <v>1440</v>
      </c>
      <c r="H3111">
        <v>0</v>
      </c>
      <c r="I3111">
        <v>36.800595238095198</v>
      </c>
    </row>
    <row r="3112" spans="1:9" x14ac:dyDescent="0.35">
      <c r="A3112" s="417" t="s">
        <v>846</v>
      </c>
      <c r="B3112" s="417" t="s">
        <v>691</v>
      </c>
      <c r="C3112" s="83">
        <v>46124</v>
      </c>
      <c r="D3112" s="417" t="s">
        <v>299</v>
      </c>
      <c r="E3112">
        <v>1378.0945999999999</v>
      </c>
      <c r="F3112">
        <v>96</v>
      </c>
      <c r="G3112">
        <v>14.3551520833333</v>
      </c>
      <c r="H3112">
        <v>0.17218333333333299</v>
      </c>
      <c r="I3112">
        <v>81.460378689786594</v>
      </c>
    </row>
    <row r="3113" spans="1:9" x14ac:dyDescent="0.35">
      <c r="A3113" s="417" t="s">
        <v>846</v>
      </c>
      <c r="B3113" s="417" t="s">
        <v>691</v>
      </c>
      <c r="C3113" s="83">
        <v>46124</v>
      </c>
      <c r="D3113" s="417" t="s">
        <v>305</v>
      </c>
      <c r="E3113">
        <v>1320.65423333333</v>
      </c>
      <c r="F3113">
        <v>88</v>
      </c>
      <c r="G3113">
        <v>15.007434469696999</v>
      </c>
      <c r="H3113">
        <v>4.2468500000000002</v>
      </c>
      <c r="I3113">
        <v>85.050278462854095</v>
      </c>
    </row>
    <row r="3114" spans="1:9" x14ac:dyDescent="0.35">
      <c r="A3114" s="417" t="s">
        <v>846</v>
      </c>
      <c r="B3114" s="417" t="s">
        <v>691</v>
      </c>
      <c r="C3114" s="83">
        <v>46124</v>
      </c>
      <c r="D3114" s="417" t="s">
        <v>303</v>
      </c>
      <c r="E3114">
        <v>1375.9023999999999</v>
      </c>
      <c r="F3114">
        <v>85</v>
      </c>
      <c r="G3114">
        <v>16.187087058823501</v>
      </c>
      <c r="H3114">
        <v>0.35946666666666699</v>
      </c>
      <c r="I3114">
        <v>57.158180749831402</v>
      </c>
    </row>
    <row r="3115" spans="1:9" x14ac:dyDescent="0.35">
      <c r="A3115" s="417" t="s">
        <v>846</v>
      </c>
      <c r="B3115" s="417" t="s">
        <v>691</v>
      </c>
      <c r="C3115" s="83">
        <v>46124</v>
      </c>
      <c r="D3115" s="417" t="s">
        <v>301</v>
      </c>
      <c r="E3115">
        <v>1384.6578999999999</v>
      </c>
      <c r="F3115">
        <v>72</v>
      </c>
      <c r="G3115">
        <v>19.231359722222201</v>
      </c>
      <c r="H3115">
        <v>0.90253333333333297</v>
      </c>
      <c r="I3115">
        <v>61.162888429191298</v>
      </c>
    </row>
    <row r="3116" spans="1:9" x14ac:dyDescent="0.35">
      <c r="A3116" s="417" t="s">
        <v>846</v>
      </c>
      <c r="B3116" s="417" t="s">
        <v>691</v>
      </c>
      <c r="C3116" s="83">
        <v>46124</v>
      </c>
      <c r="D3116" s="417" t="s">
        <v>309</v>
      </c>
      <c r="E3116">
        <v>1306.7784666666701</v>
      </c>
      <c r="F3116">
        <v>64</v>
      </c>
      <c r="G3116">
        <v>20.418413541666698</v>
      </c>
      <c r="H3116">
        <v>0</v>
      </c>
      <c r="I3116">
        <v>85.711589135227896</v>
      </c>
    </row>
    <row r="3117" spans="1:9" x14ac:dyDescent="0.35">
      <c r="A3117" s="417" t="s">
        <v>846</v>
      </c>
      <c r="B3117" s="417" t="s">
        <v>691</v>
      </c>
      <c r="C3117" s="83">
        <v>46124</v>
      </c>
      <c r="D3117" s="417" t="s">
        <v>295</v>
      </c>
      <c r="E3117">
        <v>1375.5615166666701</v>
      </c>
      <c r="F3117">
        <v>42</v>
      </c>
      <c r="G3117">
        <v>32.751464682539698</v>
      </c>
      <c r="H3117">
        <v>3.1095333333333302</v>
      </c>
      <c r="I3117">
        <v>68.336739619039506</v>
      </c>
    </row>
    <row r="3118" spans="1:9" x14ac:dyDescent="0.35">
      <c r="A3118" s="417" t="s">
        <v>846</v>
      </c>
      <c r="B3118" s="417" t="s">
        <v>691</v>
      </c>
      <c r="C3118" s="83">
        <v>46124</v>
      </c>
      <c r="D3118" s="417" t="s">
        <v>313</v>
      </c>
      <c r="E3118">
        <v>1383.34476666667</v>
      </c>
      <c r="F3118">
        <v>16</v>
      </c>
      <c r="G3118">
        <v>86.459047916666705</v>
      </c>
      <c r="H3118">
        <v>6.5643833333333301</v>
      </c>
      <c r="I3118">
        <v>81.440765300325793</v>
      </c>
    </row>
    <row r="3119" spans="1:9" x14ac:dyDescent="0.35">
      <c r="A3119" s="417" t="s">
        <v>846</v>
      </c>
      <c r="B3119" s="417" t="s">
        <v>691</v>
      </c>
      <c r="C3119" s="83">
        <v>46124</v>
      </c>
      <c r="D3119" s="417" t="s">
        <v>310</v>
      </c>
      <c r="E3119">
        <v>1364.90928333333</v>
      </c>
      <c r="F3119">
        <v>13</v>
      </c>
      <c r="G3119">
        <v>104.99302179487201</v>
      </c>
      <c r="H3119">
        <v>2.3715999999999999</v>
      </c>
      <c r="I3119">
        <v>68.469258030893002</v>
      </c>
    </row>
    <row r="3120" spans="1:9" x14ac:dyDescent="0.35">
      <c r="A3120" s="417" t="s">
        <v>846</v>
      </c>
      <c r="B3120" s="417" t="s">
        <v>691</v>
      </c>
      <c r="C3120" s="83">
        <v>46124</v>
      </c>
      <c r="D3120" s="417" t="s">
        <v>314</v>
      </c>
      <c r="E3120">
        <v>1355.8598500000001</v>
      </c>
      <c r="F3120">
        <v>11</v>
      </c>
      <c r="G3120">
        <v>123.259986363636</v>
      </c>
      <c r="H3120">
        <v>3.4525000000000001</v>
      </c>
      <c r="I3120">
        <v>59.690531280231603</v>
      </c>
    </row>
    <row r="3121" spans="1:9" x14ac:dyDescent="0.35">
      <c r="A3121" s="417" t="s">
        <v>846</v>
      </c>
      <c r="B3121" s="417" t="s">
        <v>691</v>
      </c>
      <c r="C3121" s="83">
        <v>46124</v>
      </c>
      <c r="D3121" s="417" t="s">
        <v>317</v>
      </c>
      <c r="E3121">
        <v>1438.4729500000001</v>
      </c>
      <c r="F3121">
        <v>2</v>
      </c>
      <c r="G3121">
        <v>719.23647500000004</v>
      </c>
      <c r="H3121">
        <v>0.75586666666666702</v>
      </c>
      <c r="I3121">
        <v>55.481101458861097</v>
      </c>
    </row>
    <row r="3122" spans="1:9" x14ac:dyDescent="0.35">
      <c r="A3122" s="417" t="s">
        <v>846</v>
      </c>
      <c r="B3122" s="417" t="s">
        <v>691</v>
      </c>
      <c r="C3122" s="83">
        <v>46124</v>
      </c>
      <c r="D3122" s="417" t="s">
        <v>504</v>
      </c>
      <c r="E3122">
        <v>1440</v>
      </c>
      <c r="F3122">
        <v>1</v>
      </c>
      <c r="G3122">
        <v>1440</v>
      </c>
      <c r="H3122">
        <v>0</v>
      </c>
      <c r="I3122">
        <v>49.361882716049401</v>
      </c>
    </row>
    <row r="3123" spans="1:9" x14ac:dyDescent="0.35">
      <c r="A3123" s="417" t="s">
        <v>846</v>
      </c>
      <c r="B3123" s="417" t="s">
        <v>676</v>
      </c>
      <c r="C3123" s="83">
        <v>46123</v>
      </c>
      <c r="D3123" s="417" t="s">
        <v>677</v>
      </c>
      <c r="E3123">
        <v>1065.66705</v>
      </c>
      <c r="F3123">
        <v>329</v>
      </c>
      <c r="G3123">
        <v>3.23910957446809</v>
      </c>
      <c r="H3123">
        <v>166.94155000000001</v>
      </c>
      <c r="I3123">
        <v>13.3433333333333</v>
      </c>
    </row>
    <row r="3124" spans="1:9" x14ac:dyDescent="0.35">
      <c r="A3124" s="417" t="s">
        <v>846</v>
      </c>
      <c r="B3124" s="417" t="s">
        <v>676</v>
      </c>
      <c r="C3124" s="83">
        <v>46123</v>
      </c>
      <c r="D3124" s="417" t="s">
        <v>678</v>
      </c>
      <c r="E3124">
        <v>950.60716666666599</v>
      </c>
      <c r="F3124">
        <v>30</v>
      </c>
      <c r="G3124">
        <v>31.686905555555501</v>
      </c>
      <c r="H3124">
        <v>28.7497166666667</v>
      </c>
      <c r="I3124">
        <v>42.957101797398899</v>
      </c>
    </row>
    <row r="3125" spans="1:9" x14ac:dyDescent="0.35">
      <c r="A3125" s="417" t="s">
        <v>846</v>
      </c>
      <c r="B3125" s="417" t="s">
        <v>676</v>
      </c>
      <c r="C3125" s="83">
        <v>46123</v>
      </c>
      <c r="D3125" s="417" t="s">
        <v>679</v>
      </c>
      <c r="E3125">
        <v>737.17231666666703</v>
      </c>
      <c r="F3125">
        <v>30</v>
      </c>
      <c r="G3125">
        <v>24.572410555555599</v>
      </c>
      <c r="H3125">
        <v>27.485316666666701</v>
      </c>
      <c r="I3125">
        <v>30.4145771663344</v>
      </c>
    </row>
    <row r="3126" spans="1:9" x14ac:dyDescent="0.35">
      <c r="A3126" s="417" t="s">
        <v>846</v>
      </c>
      <c r="B3126" s="417" t="s">
        <v>680</v>
      </c>
      <c r="C3126" s="83">
        <v>46123</v>
      </c>
      <c r="D3126" s="417" t="s">
        <v>689</v>
      </c>
      <c r="E3126">
        <v>1350.9981166666701</v>
      </c>
      <c r="F3126">
        <v>39</v>
      </c>
      <c r="G3126">
        <v>34.640977350427299</v>
      </c>
      <c r="H3126">
        <v>1.0071666666666701</v>
      </c>
      <c r="I3126">
        <v>31.5870799950718</v>
      </c>
    </row>
    <row r="3127" spans="1:9" x14ac:dyDescent="0.35">
      <c r="A3127" s="417" t="s">
        <v>846</v>
      </c>
      <c r="B3127" s="417" t="s">
        <v>680</v>
      </c>
      <c r="C3127" s="83">
        <v>46123</v>
      </c>
      <c r="D3127" s="417" t="s">
        <v>681</v>
      </c>
      <c r="E3127">
        <v>1351.2444</v>
      </c>
      <c r="F3127">
        <v>35</v>
      </c>
      <c r="G3127">
        <v>38.606982857142903</v>
      </c>
      <c r="H3127">
        <v>0</v>
      </c>
      <c r="I3127">
        <v>32.423950252952601</v>
      </c>
    </row>
    <row r="3128" spans="1:9" x14ac:dyDescent="0.35">
      <c r="A3128" s="417" t="s">
        <v>846</v>
      </c>
      <c r="B3128" s="417" t="s">
        <v>680</v>
      </c>
      <c r="C3128" s="83">
        <v>46123</v>
      </c>
      <c r="D3128" s="417" t="s">
        <v>684</v>
      </c>
      <c r="E3128">
        <v>1411.16971666667</v>
      </c>
      <c r="F3128">
        <v>28</v>
      </c>
      <c r="G3128">
        <v>50.398918452380997</v>
      </c>
      <c r="H3128">
        <v>19.3291166666667</v>
      </c>
      <c r="I3128">
        <v>25.541809952604801</v>
      </c>
    </row>
    <row r="3129" spans="1:9" x14ac:dyDescent="0.35">
      <c r="A3129" s="417" t="s">
        <v>846</v>
      </c>
      <c r="B3129" s="417" t="s">
        <v>680</v>
      </c>
      <c r="C3129" s="83">
        <v>46123</v>
      </c>
      <c r="D3129" s="417" t="s">
        <v>683</v>
      </c>
      <c r="E3129">
        <v>1386.5064</v>
      </c>
      <c r="F3129">
        <v>21</v>
      </c>
      <c r="G3129">
        <v>66.024114285714305</v>
      </c>
      <c r="H3129">
        <v>2.17205</v>
      </c>
      <c r="I3129">
        <v>21.722272079940399</v>
      </c>
    </row>
    <row r="3130" spans="1:9" x14ac:dyDescent="0.35">
      <c r="A3130" s="417" t="s">
        <v>846</v>
      </c>
      <c r="B3130" s="417" t="s">
        <v>680</v>
      </c>
      <c r="C3130" s="83">
        <v>46123</v>
      </c>
      <c r="D3130" s="417" t="s">
        <v>687</v>
      </c>
      <c r="E3130">
        <v>984.78776666666704</v>
      </c>
      <c r="F3130">
        <v>17</v>
      </c>
      <c r="G3130">
        <v>57.928692156862802</v>
      </c>
      <c r="H3130">
        <v>13.8097833333333</v>
      </c>
      <c r="I3130">
        <v>15.5336200769979</v>
      </c>
    </row>
    <row r="3131" spans="1:9" x14ac:dyDescent="0.35">
      <c r="A3131" s="417" t="s">
        <v>846</v>
      </c>
      <c r="B3131" s="417" t="s">
        <v>680</v>
      </c>
      <c r="C3131" s="83">
        <v>46123</v>
      </c>
      <c r="D3131" s="417" t="s">
        <v>688</v>
      </c>
      <c r="E3131">
        <v>1351.12003333333</v>
      </c>
      <c r="F3131">
        <v>15</v>
      </c>
      <c r="G3131">
        <v>90.074668888888894</v>
      </c>
      <c r="H3131">
        <v>4.1525833333333297</v>
      </c>
      <c r="I3131">
        <v>32.352472939702402</v>
      </c>
    </row>
    <row r="3132" spans="1:9" x14ac:dyDescent="0.35">
      <c r="A3132" s="417" t="s">
        <v>846</v>
      </c>
      <c r="B3132" s="417" t="s">
        <v>680</v>
      </c>
      <c r="C3132" s="83">
        <v>46123</v>
      </c>
      <c r="D3132" s="417" t="s">
        <v>682</v>
      </c>
      <c r="E3132">
        <v>1335.83151666667</v>
      </c>
      <c r="F3132">
        <v>11</v>
      </c>
      <c r="G3132">
        <v>121.439228787879</v>
      </c>
      <c r="H3132">
        <v>11.0034833333333</v>
      </c>
      <c r="I3132">
        <v>22.199313705521501</v>
      </c>
    </row>
    <row r="3133" spans="1:9" x14ac:dyDescent="0.35">
      <c r="A3133" s="417" t="s">
        <v>846</v>
      </c>
      <c r="B3133" s="417" t="s">
        <v>680</v>
      </c>
      <c r="C3133" s="83">
        <v>46123</v>
      </c>
      <c r="D3133" s="417" t="s">
        <v>685</v>
      </c>
      <c r="E3133">
        <v>935.80976666666697</v>
      </c>
      <c r="F3133">
        <v>5</v>
      </c>
      <c r="G3133">
        <v>187.161953333333</v>
      </c>
      <c r="H3133">
        <v>0.83343333333333303</v>
      </c>
      <c r="I3133">
        <v>44.303700369792097</v>
      </c>
    </row>
    <row r="3134" spans="1:9" x14ac:dyDescent="0.35">
      <c r="A3134" s="417" t="s">
        <v>846</v>
      </c>
      <c r="B3134" s="417" t="s">
        <v>680</v>
      </c>
      <c r="C3134" s="83">
        <v>46123</v>
      </c>
      <c r="D3134" s="417" t="s">
        <v>690</v>
      </c>
      <c r="E3134">
        <v>1416.68718333333</v>
      </c>
      <c r="F3134">
        <v>3</v>
      </c>
      <c r="G3134">
        <v>472.22906111111098</v>
      </c>
      <c r="H3134">
        <v>0.82608333333333295</v>
      </c>
      <c r="I3134">
        <v>18.390226244290702</v>
      </c>
    </row>
    <row r="3135" spans="1:9" x14ac:dyDescent="0.35">
      <c r="A3135" s="417" t="s">
        <v>846</v>
      </c>
      <c r="B3135" s="417" t="s">
        <v>680</v>
      </c>
      <c r="C3135" s="83">
        <v>46123</v>
      </c>
      <c r="D3135" s="417" t="s">
        <v>686</v>
      </c>
      <c r="E3135">
        <v>1440</v>
      </c>
      <c r="F3135">
        <v>1</v>
      </c>
      <c r="G3135">
        <v>1440</v>
      </c>
      <c r="H3135">
        <v>0</v>
      </c>
      <c r="I3135">
        <v>22.951483601863099</v>
      </c>
    </row>
    <row r="3136" spans="1:9" x14ac:dyDescent="0.35">
      <c r="A3136" s="417" t="s">
        <v>846</v>
      </c>
      <c r="B3136" s="417" t="s">
        <v>691</v>
      </c>
      <c r="C3136" s="83">
        <v>46123</v>
      </c>
      <c r="D3136" s="417" t="s">
        <v>299</v>
      </c>
      <c r="E3136">
        <v>1338.1360500000001</v>
      </c>
      <c r="F3136">
        <v>159</v>
      </c>
      <c r="G3136">
        <v>8.4159500000000005</v>
      </c>
      <c r="H3136">
        <v>4.2072833333333302</v>
      </c>
      <c r="I3136">
        <v>79.952311573341504</v>
      </c>
    </row>
    <row r="3137" spans="1:9" x14ac:dyDescent="0.35">
      <c r="A3137" s="417" t="s">
        <v>846</v>
      </c>
      <c r="B3137" s="417" t="s">
        <v>691</v>
      </c>
      <c r="C3137" s="83">
        <v>46123</v>
      </c>
      <c r="D3137" s="417" t="s">
        <v>301</v>
      </c>
      <c r="E3137">
        <v>1358.5080499999999</v>
      </c>
      <c r="F3137">
        <v>120</v>
      </c>
      <c r="G3137">
        <v>11.320900416666699</v>
      </c>
      <c r="H3137">
        <v>3.4048333333333298</v>
      </c>
      <c r="I3137">
        <v>66.613384560095298</v>
      </c>
    </row>
    <row r="3138" spans="1:9" x14ac:dyDescent="0.35">
      <c r="A3138" s="417" t="s">
        <v>846</v>
      </c>
      <c r="B3138" s="417" t="s">
        <v>691</v>
      </c>
      <c r="C3138" s="83">
        <v>46123</v>
      </c>
      <c r="D3138" s="417" t="s">
        <v>309</v>
      </c>
      <c r="E3138">
        <v>1292.7713000000001</v>
      </c>
      <c r="F3138">
        <v>115</v>
      </c>
      <c r="G3138">
        <v>11.2414895652174</v>
      </c>
      <c r="H3138">
        <v>0</v>
      </c>
      <c r="I3138">
        <v>81.757300293321293</v>
      </c>
    </row>
    <row r="3139" spans="1:9" x14ac:dyDescent="0.35">
      <c r="A3139" s="417" t="s">
        <v>846</v>
      </c>
      <c r="B3139" s="417" t="s">
        <v>691</v>
      </c>
      <c r="C3139" s="83">
        <v>46123</v>
      </c>
      <c r="D3139" s="417" t="s">
        <v>305</v>
      </c>
      <c r="E3139">
        <v>1332.14556666667</v>
      </c>
      <c r="F3139">
        <v>70</v>
      </c>
      <c r="G3139">
        <v>19.030650952380999</v>
      </c>
      <c r="H3139">
        <v>2.1837499999999999</v>
      </c>
      <c r="I3139">
        <v>89.463405811254802</v>
      </c>
    </row>
    <row r="3140" spans="1:9" x14ac:dyDescent="0.35">
      <c r="A3140" s="417" t="s">
        <v>846</v>
      </c>
      <c r="B3140" s="417" t="s">
        <v>691</v>
      </c>
      <c r="C3140" s="83">
        <v>46123</v>
      </c>
      <c r="D3140" s="417" t="s">
        <v>295</v>
      </c>
      <c r="E3140">
        <v>1374.4070999999999</v>
      </c>
      <c r="F3140">
        <v>55</v>
      </c>
      <c r="G3140">
        <v>24.98922</v>
      </c>
      <c r="H3140">
        <v>1.3970499999999999</v>
      </c>
      <c r="I3140">
        <v>73.517345967491096</v>
      </c>
    </row>
    <row r="3141" spans="1:9" x14ac:dyDescent="0.35">
      <c r="A3141" s="417" t="s">
        <v>846</v>
      </c>
      <c r="B3141" s="417" t="s">
        <v>691</v>
      </c>
      <c r="C3141" s="83">
        <v>46123</v>
      </c>
      <c r="D3141" s="417" t="s">
        <v>303</v>
      </c>
      <c r="E3141">
        <v>1342.1105333333301</v>
      </c>
      <c r="F3141">
        <v>55</v>
      </c>
      <c r="G3141">
        <v>24.402009696969699</v>
      </c>
      <c r="H3141">
        <v>0.75423333333333298</v>
      </c>
      <c r="I3141">
        <v>55.202826110569198</v>
      </c>
    </row>
    <row r="3142" spans="1:9" x14ac:dyDescent="0.35">
      <c r="A3142" s="417" t="s">
        <v>846</v>
      </c>
      <c r="B3142" s="417" t="s">
        <v>691</v>
      </c>
      <c r="C3142" s="83">
        <v>46123</v>
      </c>
      <c r="D3142" s="417" t="s">
        <v>310</v>
      </c>
      <c r="E3142">
        <v>1404.03181666667</v>
      </c>
      <c r="F3142">
        <v>16</v>
      </c>
      <c r="G3142">
        <v>87.751988541666606</v>
      </c>
      <c r="H3142">
        <v>2.52003333333333</v>
      </c>
      <c r="I3142">
        <v>62.176896343137798</v>
      </c>
    </row>
    <row r="3143" spans="1:9" x14ac:dyDescent="0.35">
      <c r="A3143" s="417" t="s">
        <v>846</v>
      </c>
      <c r="B3143" s="417" t="s">
        <v>691</v>
      </c>
      <c r="C3143" s="83">
        <v>46123</v>
      </c>
      <c r="D3143" s="417" t="s">
        <v>313</v>
      </c>
      <c r="E3143">
        <v>1340.86801666667</v>
      </c>
      <c r="F3143">
        <v>11</v>
      </c>
      <c r="G3143">
        <v>121.897092424242</v>
      </c>
      <c r="H3143">
        <v>2.96573333333333</v>
      </c>
      <c r="I3143">
        <v>55.735101225909098</v>
      </c>
    </row>
    <row r="3144" spans="1:9" x14ac:dyDescent="0.35">
      <c r="A3144" s="417" t="s">
        <v>846</v>
      </c>
      <c r="B3144" s="417" t="s">
        <v>691</v>
      </c>
      <c r="C3144" s="83">
        <v>46123</v>
      </c>
      <c r="D3144" s="417" t="s">
        <v>314</v>
      </c>
      <c r="E3144">
        <v>1347.0170000000001</v>
      </c>
      <c r="F3144">
        <v>5</v>
      </c>
      <c r="G3144">
        <v>269.40339999999998</v>
      </c>
      <c r="H3144">
        <v>0.29210000000000003</v>
      </c>
      <c r="I3144">
        <v>49.292311357519402</v>
      </c>
    </row>
    <row r="3145" spans="1:9" x14ac:dyDescent="0.35">
      <c r="A3145" s="417" t="s">
        <v>846</v>
      </c>
      <c r="B3145" s="417" t="s">
        <v>691</v>
      </c>
      <c r="C3145" s="83">
        <v>46123</v>
      </c>
      <c r="D3145" s="417" t="s">
        <v>504</v>
      </c>
      <c r="E3145">
        <v>1440</v>
      </c>
      <c r="F3145">
        <v>1</v>
      </c>
      <c r="G3145">
        <v>1440</v>
      </c>
      <c r="H3145">
        <v>0</v>
      </c>
      <c r="I3145">
        <v>50.7904320987654</v>
      </c>
    </row>
    <row r="3146" spans="1:9" x14ac:dyDescent="0.35">
      <c r="A3146" s="417" t="s">
        <v>846</v>
      </c>
      <c r="B3146" s="417" t="s">
        <v>691</v>
      </c>
      <c r="C3146" s="83">
        <v>46123</v>
      </c>
      <c r="D3146" s="417" t="s">
        <v>317</v>
      </c>
      <c r="E3146">
        <v>1439.45921666667</v>
      </c>
      <c r="F3146">
        <v>1</v>
      </c>
      <c r="G3146">
        <v>1439.45921666667</v>
      </c>
      <c r="H3146">
        <v>0</v>
      </c>
      <c r="I3146">
        <v>40.747941533089403</v>
      </c>
    </row>
    <row r="3147" spans="1:9" x14ac:dyDescent="0.35">
      <c r="A3147" s="417" t="s">
        <v>846</v>
      </c>
      <c r="B3147" s="417" t="s">
        <v>676</v>
      </c>
      <c r="C3147" s="83">
        <v>46122</v>
      </c>
      <c r="D3147" s="417" t="s">
        <v>677</v>
      </c>
      <c r="E3147">
        <v>1301.02126666667</v>
      </c>
      <c r="F3147">
        <v>161</v>
      </c>
      <c r="G3147">
        <v>8.0808774327122208</v>
      </c>
      <c r="H3147">
        <v>138.978733333333</v>
      </c>
      <c r="I3147">
        <v>38.244722222222201</v>
      </c>
    </row>
    <row r="3148" spans="1:9" x14ac:dyDescent="0.35">
      <c r="A3148" s="417" t="s">
        <v>846</v>
      </c>
      <c r="B3148" s="417" t="s">
        <v>676</v>
      </c>
      <c r="C3148" s="83">
        <v>46122</v>
      </c>
      <c r="D3148" s="417" t="s">
        <v>679</v>
      </c>
      <c r="E3148">
        <v>1326.6315500000001</v>
      </c>
      <c r="F3148">
        <v>39</v>
      </c>
      <c r="G3148">
        <v>34.016193589743601</v>
      </c>
      <c r="H3148">
        <v>30.1758666666667</v>
      </c>
      <c r="I3148">
        <v>90.594040949928498</v>
      </c>
    </row>
    <row r="3149" spans="1:9" x14ac:dyDescent="0.35">
      <c r="A3149" s="417" t="s">
        <v>846</v>
      </c>
      <c r="B3149" s="417" t="s">
        <v>676</v>
      </c>
      <c r="C3149" s="83">
        <v>46122</v>
      </c>
      <c r="D3149" s="417" t="s">
        <v>678</v>
      </c>
      <c r="E3149">
        <v>1373.3255666666701</v>
      </c>
      <c r="F3149">
        <v>20</v>
      </c>
      <c r="G3149">
        <v>68.666278333333295</v>
      </c>
      <c r="H3149">
        <v>17.822616666666701</v>
      </c>
      <c r="I3149">
        <v>85.1711327996439</v>
      </c>
    </row>
    <row r="3150" spans="1:9" x14ac:dyDescent="0.35">
      <c r="A3150" s="417" t="s">
        <v>846</v>
      </c>
      <c r="B3150" s="417" t="s">
        <v>680</v>
      </c>
      <c r="C3150" s="83">
        <v>46122</v>
      </c>
      <c r="D3150" s="417" t="s">
        <v>689</v>
      </c>
      <c r="E3150">
        <v>1384.5132166666699</v>
      </c>
      <c r="F3150">
        <v>35</v>
      </c>
      <c r="G3150">
        <v>39.557520476190497</v>
      </c>
      <c r="H3150">
        <v>0.50758333333333305</v>
      </c>
      <c r="I3150">
        <v>89.455866815602306</v>
      </c>
    </row>
    <row r="3151" spans="1:9" x14ac:dyDescent="0.35">
      <c r="A3151" s="417" t="s">
        <v>846</v>
      </c>
      <c r="B3151" s="417" t="s">
        <v>680</v>
      </c>
      <c r="C3151" s="83">
        <v>46122</v>
      </c>
      <c r="D3151" s="417" t="s">
        <v>681</v>
      </c>
      <c r="E3151">
        <v>1407.8335833333299</v>
      </c>
      <c r="F3151">
        <v>27</v>
      </c>
      <c r="G3151">
        <v>52.141984567901197</v>
      </c>
      <c r="H3151">
        <v>2.99085</v>
      </c>
      <c r="I3151">
        <v>83.711609032442695</v>
      </c>
    </row>
    <row r="3152" spans="1:9" x14ac:dyDescent="0.35">
      <c r="A3152" s="417" t="s">
        <v>846</v>
      </c>
      <c r="B3152" s="417" t="s">
        <v>680</v>
      </c>
      <c r="C3152" s="83">
        <v>46122</v>
      </c>
      <c r="D3152" s="417" t="s">
        <v>683</v>
      </c>
      <c r="E3152">
        <v>1381.4973500000001</v>
      </c>
      <c r="F3152">
        <v>22</v>
      </c>
      <c r="G3152">
        <v>62.795334090909101</v>
      </c>
      <c r="H3152">
        <v>3.1674000000000002</v>
      </c>
      <c r="I3152">
        <v>71.670696853797395</v>
      </c>
    </row>
    <row r="3153" spans="1:9" x14ac:dyDescent="0.35">
      <c r="A3153" s="417" t="s">
        <v>846</v>
      </c>
      <c r="B3153" s="417" t="s">
        <v>680</v>
      </c>
      <c r="C3153" s="83">
        <v>46122</v>
      </c>
      <c r="D3153" s="417" t="s">
        <v>684</v>
      </c>
      <c r="E3153">
        <v>1405.6724666666701</v>
      </c>
      <c r="F3153">
        <v>22</v>
      </c>
      <c r="G3153">
        <v>63.894203030302997</v>
      </c>
      <c r="H3153">
        <v>27.15935</v>
      </c>
      <c r="I3153">
        <v>72.197676482370895</v>
      </c>
    </row>
    <row r="3154" spans="1:9" x14ac:dyDescent="0.35">
      <c r="A3154" s="417" t="s">
        <v>846</v>
      </c>
      <c r="B3154" s="417" t="s">
        <v>680</v>
      </c>
      <c r="C3154" s="83">
        <v>46122</v>
      </c>
      <c r="D3154" s="417" t="s">
        <v>688</v>
      </c>
      <c r="E3154">
        <v>1355.85991666667</v>
      </c>
      <c r="F3154">
        <v>19</v>
      </c>
      <c r="G3154">
        <v>71.361048245614001</v>
      </c>
      <c r="H3154">
        <v>13.6607</v>
      </c>
      <c r="I3154">
        <v>84.553093551375099</v>
      </c>
    </row>
    <row r="3155" spans="1:9" x14ac:dyDescent="0.35">
      <c r="A3155" s="417" t="s">
        <v>846</v>
      </c>
      <c r="B3155" s="417" t="s">
        <v>680</v>
      </c>
      <c r="C3155" s="83">
        <v>46122</v>
      </c>
      <c r="D3155" s="417" t="s">
        <v>682</v>
      </c>
      <c r="E3155">
        <v>1423.8278166666701</v>
      </c>
      <c r="F3155">
        <v>14</v>
      </c>
      <c r="G3155">
        <v>101.70198690476199</v>
      </c>
      <c r="H3155">
        <v>16.172183333333301</v>
      </c>
      <c r="I3155">
        <v>71.883838383838395</v>
      </c>
    </row>
    <row r="3156" spans="1:9" x14ac:dyDescent="0.35">
      <c r="A3156" s="417" t="s">
        <v>846</v>
      </c>
      <c r="B3156" s="417" t="s">
        <v>680</v>
      </c>
      <c r="C3156" s="83">
        <v>46122</v>
      </c>
      <c r="D3156" s="417" t="s">
        <v>685</v>
      </c>
      <c r="E3156">
        <v>1418.83983333333</v>
      </c>
      <c r="F3156">
        <v>11</v>
      </c>
      <c r="G3156">
        <v>128.985439393939</v>
      </c>
      <c r="H3156">
        <v>8.3275000000000006</v>
      </c>
      <c r="I3156">
        <v>87.282494720805801</v>
      </c>
    </row>
    <row r="3157" spans="1:9" x14ac:dyDescent="0.35">
      <c r="A3157" s="417" t="s">
        <v>846</v>
      </c>
      <c r="B3157" s="417" t="s">
        <v>680</v>
      </c>
      <c r="C3157" s="83">
        <v>46122</v>
      </c>
      <c r="D3157" s="417" t="s">
        <v>690</v>
      </c>
      <c r="E3157">
        <v>1429.00485</v>
      </c>
      <c r="F3157">
        <v>10</v>
      </c>
      <c r="G3157">
        <v>142.900485</v>
      </c>
      <c r="H3157">
        <v>3.6656</v>
      </c>
      <c r="I3157">
        <v>69.4357564948278</v>
      </c>
    </row>
    <row r="3158" spans="1:9" x14ac:dyDescent="0.35">
      <c r="A3158" s="417" t="s">
        <v>846</v>
      </c>
      <c r="B3158" s="417" t="s">
        <v>680</v>
      </c>
      <c r="C3158" s="83">
        <v>46122</v>
      </c>
      <c r="D3158" s="417" t="s">
        <v>687</v>
      </c>
      <c r="E3158">
        <v>1425.9911</v>
      </c>
      <c r="F3158">
        <v>8</v>
      </c>
      <c r="G3158">
        <v>178.2488875</v>
      </c>
      <c r="H3158">
        <v>13.8367666666667</v>
      </c>
      <c r="I3158">
        <v>27.0932639010157</v>
      </c>
    </row>
    <row r="3159" spans="1:9" x14ac:dyDescent="0.35">
      <c r="A3159" s="417" t="s">
        <v>846</v>
      </c>
      <c r="B3159" s="417" t="s">
        <v>680</v>
      </c>
      <c r="C3159" s="83">
        <v>46122</v>
      </c>
      <c r="D3159" s="417" t="s">
        <v>686</v>
      </c>
      <c r="E3159">
        <v>1440</v>
      </c>
      <c r="F3159">
        <v>1</v>
      </c>
      <c r="G3159">
        <v>1440</v>
      </c>
      <c r="H3159">
        <v>0</v>
      </c>
      <c r="I3159">
        <v>70.449494949494905</v>
      </c>
    </row>
    <row r="3160" spans="1:9" x14ac:dyDescent="0.35">
      <c r="A3160" s="417" t="s">
        <v>846</v>
      </c>
      <c r="B3160" s="417" t="s">
        <v>691</v>
      </c>
      <c r="C3160" s="83">
        <v>46122</v>
      </c>
      <c r="D3160" s="417" t="s">
        <v>299</v>
      </c>
      <c r="E3160">
        <v>1331.1105333333301</v>
      </c>
      <c r="F3160">
        <v>191</v>
      </c>
      <c r="G3160">
        <v>6.9691650959860398</v>
      </c>
      <c r="H3160">
        <v>1.6093666666666699</v>
      </c>
      <c r="I3160">
        <v>74.730757457233295</v>
      </c>
    </row>
    <row r="3161" spans="1:9" x14ac:dyDescent="0.35">
      <c r="A3161" s="417" t="s">
        <v>846</v>
      </c>
      <c r="B3161" s="417" t="s">
        <v>691</v>
      </c>
      <c r="C3161" s="83">
        <v>46122</v>
      </c>
      <c r="D3161" s="417" t="s">
        <v>301</v>
      </c>
      <c r="E3161">
        <v>1250.0905</v>
      </c>
      <c r="F3161">
        <v>160</v>
      </c>
      <c r="G3161">
        <v>7.8130656250000001</v>
      </c>
      <c r="H3161">
        <v>2.6370666666666702</v>
      </c>
      <c r="I3161">
        <v>65.085410630504697</v>
      </c>
    </row>
    <row r="3162" spans="1:9" x14ac:dyDescent="0.35">
      <c r="A3162" s="417" t="s">
        <v>846</v>
      </c>
      <c r="B3162" s="417" t="s">
        <v>691</v>
      </c>
      <c r="C3162" s="83">
        <v>46122</v>
      </c>
      <c r="D3162" s="417" t="s">
        <v>309</v>
      </c>
      <c r="E3162">
        <v>1306.1685666666699</v>
      </c>
      <c r="F3162">
        <v>154</v>
      </c>
      <c r="G3162">
        <v>8.4816140692640705</v>
      </c>
      <c r="H3162">
        <v>0</v>
      </c>
      <c r="I3162">
        <v>78.390735936030197</v>
      </c>
    </row>
    <row r="3163" spans="1:9" x14ac:dyDescent="0.35">
      <c r="A3163" s="417" t="s">
        <v>846</v>
      </c>
      <c r="B3163" s="417" t="s">
        <v>691</v>
      </c>
      <c r="C3163" s="83">
        <v>46122</v>
      </c>
      <c r="D3163" s="417" t="s">
        <v>305</v>
      </c>
      <c r="E3163">
        <v>1331.33025</v>
      </c>
      <c r="F3163">
        <v>132</v>
      </c>
      <c r="G3163">
        <v>10.0858352272727</v>
      </c>
      <c r="H3163">
        <v>4.8246333333333302</v>
      </c>
      <c r="I3163">
        <v>82.562799301753699</v>
      </c>
    </row>
    <row r="3164" spans="1:9" x14ac:dyDescent="0.35">
      <c r="A3164" s="417" t="s">
        <v>846</v>
      </c>
      <c r="B3164" s="417" t="s">
        <v>691</v>
      </c>
      <c r="C3164" s="83">
        <v>46122</v>
      </c>
      <c r="D3164" s="417" t="s">
        <v>295</v>
      </c>
      <c r="E3164">
        <v>1369.5764666666701</v>
      </c>
      <c r="F3164">
        <v>62</v>
      </c>
      <c r="G3164">
        <v>22.089943010752702</v>
      </c>
      <c r="H3164">
        <v>0.62239999999999995</v>
      </c>
      <c r="I3164">
        <v>73.367979648115195</v>
      </c>
    </row>
    <row r="3165" spans="1:9" x14ac:dyDescent="0.35">
      <c r="A3165" s="417" t="s">
        <v>846</v>
      </c>
      <c r="B3165" s="417" t="s">
        <v>691</v>
      </c>
      <c r="C3165" s="83">
        <v>46122</v>
      </c>
      <c r="D3165" s="417" t="s">
        <v>303</v>
      </c>
      <c r="E3165">
        <v>1373.0883833333301</v>
      </c>
      <c r="F3165">
        <v>53</v>
      </c>
      <c r="G3165">
        <v>25.9073279874214</v>
      </c>
      <c r="H3165">
        <v>8.4016666666666698E-2</v>
      </c>
      <c r="I3165">
        <v>60.464516546589998</v>
      </c>
    </row>
    <row r="3166" spans="1:9" x14ac:dyDescent="0.35">
      <c r="A3166" s="417" t="s">
        <v>846</v>
      </c>
      <c r="B3166" s="417" t="s">
        <v>691</v>
      </c>
      <c r="C3166" s="83">
        <v>46122</v>
      </c>
      <c r="D3166" s="417" t="s">
        <v>310</v>
      </c>
      <c r="E3166">
        <v>1383.5306499999999</v>
      </c>
      <c r="F3166">
        <v>29</v>
      </c>
      <c r="G3166">
        <v>47.707953448275902</v>
      </c>
      <c r="H3166">
        <v>4.2310999999999996</v>
      </c>
      <c r="I3166">
        <v>46.076029469719103</v>
      </c>
    </row>
    <row r="3167" spans="1:9" x14ac:dyDescent="0.35">
      <c r="A3167" s="417" t="s">
        <v>846</v>
      </c>
      <c r="B3167" s="417" t="s">
        <v>691</v>
      </c>
      <c r="C3167" s="83">
        <v>46122</v>
      </c>
      <c r="D3167" s="417" t="s">
        <v>317</v>
      </c>
      <c r="E3167">
        <v>1437.6863000000001</v>
      </c>
      <c r="F3167">
        <v>3</v>
      </c>
      <c r="G3167">
        <v>479.22876666666701</v>
      </c>
      <c r="H3167">
        <v>0.84770000000000001</v>
      </c>
      <c r="I3167">
        <v>35.358914005508403</v>
      </c>
    </row>
    <row r="3168" spans="1:9" x14ac:dyDescent="0.35">
      <c r="A3168" s="417" t="s">
        <v>846</v>
      </c>
      <c r="B3168" s="417" t="s">
        <v>691</v>
      </c>
      <c r="C3168" s="83">
        <v>46122</v>
      </c>
      <c r="D3168" s="417" t="s">
        <v>313</v>
      </c>
      <c r="E3168">
        <v>1386.5437833333301</v>
      </c>
      <c r="F3168">
        <v>3</v>
      </c>
      <c r="G3168">
        <v>462.18126111111098</v>
      </c>
      <c r="H3168">
        <v>0</v>
      </c>
      <c r="I3168">
        <v>46.246302786875802</v>
      </c>
    </row>
    <row r="3169" spans="1:9" x14ac:dyDescent="0.35">
      <c r="A3169" s="417" t="s">
        <v>846</v>
      </c>
      <c r="B3169" s="417" t="s">
        <v>691</v>
      </c>
      <c r="C3169" s="83">
        <v>46122</v>
      </c>
      <c r="D3169" s="417" t="s">
        <v>314</v>
      </c>
      <c r="E3169">
        <v>1392.1142833333299</v>
      </c>
      <c r="F3169">
        <v>3</v>
      </c>
      <c r="G3169">
        <v>464.03809444444403</v>
      </c>
      <c r="H3169">
        <v>0.70089999999999997</v>
      </c>
      <c r="I3169">
        <v>37.442153577901699</v>
      </c>
    </row>
    <row r="3170" spans="1:9" x14ac:dyDescent="0.35">
      <c r="A3170" s="417" t="s">
        <v>846</v>
      </c>
      <c r="B3170" s="417" t="s">
        <v>691</v>
      </c>
      <c r="C3170" s="83">
        <v>46122</v>
      </c>
      <c r="D3170" s="417" t="s">
        <v>504</v>
      </c>
      <c r="E3170">
        <v>1440</v>
      </c>
      <c r="F3170">
        <v>1</v>
      </c>
      <c r="G3170">
        <v>1440</v>
      </c>
      <c r="H3170">
        <v>0</v>
      </c>
      <c r="I3170">
        <v>45.909567901234603</v>
      </c>
    </row>
    <row r="3171" spans="1:9" x14ac:dyDescent="0.35">
      <c r="A3171" s="417" t="s">
        <v>846</v>
      </c>
      <c r="B3171" s="417" t="s">
        <v>676</v>
      </c>
      <c r="C3171" s="83">
        <v>46121</v>
      </c>
      <c r="D3171" s="417" t="s">
        <v>677</v>
      </c>
      <c r="E3171">
        <v>720.96150000000102</v>
      </c>
      <c r="F3171">
        <v>139</v>
      </c>
      <c r="G3171">
        <v>5.1867733812949703</v>
      </c>
      <c r="H3171">
        <v>129.57300000000001</v>
      </c>
      <c r="I3171">
        <v>32.576296296296299</v>
      </c>
    </row>
    <row r="3172" spans="1:9" x14ac:dyDescent="0.35">
      <c r="A3172" s="417" t="s">
        <v>846</v>
      </c>
      <c r="B3172" s="417" t="s">
        <v>676</v>
      </c>
      <c r="C3172" s="83">
        <v>46121</v>
      </c>
      <c r="D3172" s="417" t="s">
        <v>678</v>
      </c>
      <c r="E3172">
        <v>850.02170000000001</v>
      </c>
      <c r="F3172">
        <v>45</v>
      </c>
      <c r="G3172">
        <v>18.8893711111111</v>
      </c>
      <c r="H3172">
        <v>38.184750000000001</v>
      </c>
      <c r="I3172">
        <v>67.096771659096106</v>
      </c>
    </row>
    <row r="3173" spans="1:9" x14ac:dyDescent="0.35">
      <c r="A3173" s="417" t="s">
        <v>846</v>
      </c>
      <c r="B3173" s="417" t="s">
        <v>676</v>
      </c>
      <c r="C3173" s="83">
        <v>46121</v>
      </c>
      <c r="D3173" s="417" t="s">
        <v>679</v>
      </c>
      <c r="E3173">
        <v>1271.6315999999999</v>
      </c>
      <c r="F3173">
        <v>33</v>
      </c>
      <c r="G3173">
        <v>38.534290909090899</v>
      </c>
      <c r="H3173">
        <v>19.157016666666699</v>
      </c>
      <c r="I3173">
        <v>34.733283853551796</v>
      </c>
    </row>
    <row r="3174" spans="1:9" x14ac:dyDescent="0.35">
      <c r="A3174" s="417" t="s">
        <v>846</v>
      </c>
      <c r="B3174" s="417" t="s">
        <v>680</v>
      </c>
      <c r="C3174" s="83">
        <v>46121</v>
      </c>
      <c r="D3174" s="417" t="s">
        <v>689</v>
      </c>
      <c r="E3174">
        <v>1411.9882</v>
      </c>
      <c r="F3174">
        <v>31</v>
      </c>
      <c r="G3174">
        <v>45.548006451612899</v>
      </c>
      <c r="H3174">
        <v>0.33324999999999999</v>
      </c>
      <c r="I3174">
        <v>92.438398588817606</v>
      </c>
    </row>
    <row r="3175" spans="1:9" x14ac:dyDescent="0.35">
      <c r="A3175" s="417" t="s">
        <v>846</v>
      </c>
      <c r="B3175" s="417" t="s">
        <v>680</v>
      </c>
      <c r="C3175" s="83">
        <v>46121</v>
      </c>
      <c r="D3175" s="417" t="s">
        <v>684</v>
      </c>
      <c r="E3175">
        <v>1422.5031833333301</v>
      </c>
      <c r="F3175">
        <v>24</v>
      </c>
      <c r="G3175">
        <v>59.2709659722222</v>
      </c>
      <c r="H3175">
        <v>11.9922</v>
      </c>
      <c r="I3175">
        <v>73.1875</v>
      </c>
    </row>
    <row r="3176" spans="1:9" x14ac:dyDescent="0.35">
      <c r="A3176" s="417" t="s">
        <v>846</v>
      </c>
      <c r="B3176" s="417" t="s">
        <v>680</v>
      </c>
      <c r="C3176" s="83">
        <v>46121</v>
      </c>
      <c r="D3176" s="417" t="s">
        <v>683</v>
      </c>
      <c r="E3176">
        <v>1398.652</v>
      </c>
      <c r="F3176">
        <v>24</v>
      </c>
      <c r="G3176">
        <v>58.277166666666702</v>
      </c>
      <c r="H3176">
        <v>6.8570000000000002</v>
      </c>
      <c r="I3176">
        <v>68.544545893180498</v>
      </c>
    </row>
    <row r="3177" spans="1:9" x14ac:dyDescent="0.35">
      <c r="A3177" s="417" t="s">
        <v>846</v>
      </c>
      <c r="B3177" s="417" t="s">
        <v>680</v>
      </c>
      <c r="C3177" s="83">
        <v>46121</v>
      </c>
      <c r="D3177" s="417" t="s">
        <v>681</v>
      </c>
      <c r="E3177">
        <v>1413.9988499999999</v>
      </c>
      <c r="F3177">
        <v>19</v>
      </c>
      <c r="G3177">
        <v>74.420992105263196</v>
      </c>
      <c r="H3177">
        <v>0.16653333333333301</v>
      </c>
      <c r="I3177">
        <v>92.906441899328797</v>
      </c>
    </row>
    <row r="3178" spans="1:9" x14ac:dyDescent="0.35">
      <c r="A3178" s="417" t="s">
        <v>846</v>
      </c>
      <c r="B3178" s="417" t="s">
        <v>680</v>
      </c>
      <c r="C3178" s="83">
        <v>46121</v>
      </c>
      <c r="D3178" s="417" t="s">
        <v>685</v>
      </c>
      <c r="E3178">
        <v>1411.30026666667</v>
      </c>
      <c r="F3178">
        <v>18</v>
      </c>
      <c r="G3178">
        <v>78.405570370370398</v>
      </c>
      <c r="H3178">
        <v>7.8489166666666703</v>
      </c>
      <c r="I3178">
        <v>91.671552067672295</v>
      </c>
    </row>
    <row r="3179" spans="1:9" x14ac:dyDescent="0.35">
      <c r="A3179" s="417" t="s">
        <v>846</v>
      </c>
      <c r="B3179" s="417" t="s">
        <v>680</v>
      </c>
      <c r="C3179" s="83">
        <v>46121</v>
      </c>
      <c r="D3179" s="417" t="s">
        <v>687</v>
      </c>
      <c r="E3179">
        <v>1414.1515999999999</v>
      </c>
      <c r="F3179">
        <v>16</v>
      </c>
      <c r="G3179">
        <v>88.384474999999995</v>
      </c>
      <c r="H3179">
        <v>13.673733333333301</v>
      </c>
      <c r="I3179">
        <v>27.370549270987102</v>
      </c>
    </row>
    <row r="3180" spans="1:9" x14ac:dyDescent="0.35">
      <c r="A3180" s="417" t="s">
        <v>846</v>
      </c>
      <c r="B3180" s="417" t="s">
        <v>680</v>
      </c>
      <c r="C3180" s="83">
        <v>46121</v>
      </c>
      <c r="D3180" s="417" t="s">
        <v>682</v>
      </c>
      <c r="E3180">
        <v>1427.50156666667</v>
      </c>
      <c r="F3180">
        <v>15</v>
      </c>
      <c r="G3180">
        <v>95.166771111111103</v>
      </c>
      <c r="H3180">
        <v>12.498433333333301</v>
      </c>
      <c r="I3180">
        <v>72.934343434343404</v>
      </c>
    </row>
    <row r="3181" spans="1:9" x14ac:dyDescent="0.35">
      <c r="A3181" s="417" t="s">
        <v>846</v>
      </c>
      <c r="B3181" s="417" t="s">
        <v>680</v>
      </c>
      <c r="C3181" s="83">
        <v>46121</v>
      </c>
      <c r="D3181" s="417" t="s">
        <v>690</v>
      </c>
      <c r="E3181">
        <v>1424.8215499999999</v>
      </c>
      <c r="F3181">
        <v>14</v>
      </c>
      <c r="G3181">
        <v>101.772967857143</v>
      </c>
      <c r="H3181">
        <v>1.5069666666666699</v>
      </c>
      <c r="I3181">
        <v>65.998086036459696</v>
      </c>
    </row>
    <row r="3182" spans="1:9" x14ac:dyDescent="0.35">
      <c r="A3182" s="417" t="s">
        <v>846</v>
      </c>
      <c r="B3182" s="417" t="s">
        <v>680</v>
      </c>
      <c r="C3182" s="83">
        <v>46121</v>
      </c>
      <c r="D3182" s="417" t="s">
        <v>688</v>
      </c>
      <c r="E3182">
        <v>1415.8279333333301</v>
      </c>
      <c r="F3182">
        <v>11</v>
      </c>
      <c r="G3182">
        <v>128.71163030303001</v>
      </c>
      <c r="H3182">
        <v>4.4955666666666696</v>
      </c>
      <c r="I3182">
        <v>92.5725198933348</v>
      </c>
    </row>
    <row r="3183" spans="1:9" x14ac:dyDescent="0.35">
      <c r="A3183" s="417" t="s">
        <v>846</v>
      </c>
      <c r="B3183" s="417" t="s">
        <v>680</v>
      </c>
      <c r="C3183" s="83">
        <v>46121</v>
      </c>
      <c r="D3183" s="417" t="s">
        <v>686</v>
      </c>
      <c r="E3183">
        <v>1440</v>
      </c>
      <c r="F3183">
        <v>1</v>
      </c>
      <c r="G3183">
        <v>1440</v>
      </c>
      <c r="H3183">
        <v>0</v>
      </c>
      <c r="I3183">
        <v>70.404040404040401</v>
      </c>
    </row>
    <row r="3184" spans="1:9" x14ac:dyDescent="0.35">
      <c r="A3184" s="417" t="s">
        <v>846</v>
      </c>
      <c r="B3184" s="417" t="s">
        <v>691</v>
      </c>
      <c r="C3184" s="83">
        <v>46121</v>
      </c>
      <c r="D3184" s="417" t="s">
        <v>299</v>
      </c>
      <c r="E3184">
        <v>1337.97325</v>
      </c>
      <c r="F3184">
        <v>202</v>
      </c>
      <c r="G3184">
        <v>6.62362995049505</v>
      </c>
      <c r="H3184">
        <v>0.63633333333333297</v>
      </c>
      <c r="I3184">
        <v>73.873553388167196</v>
      </c>
    </row>
    <row r="3185" spans="1:9" x14ac:dyDescent="0.35">
      <c r="A3185" s="417" t="s">
        <v>846</v>
      </c>
      <c r="B3185" s="417" t="s">
        <v>691</v>
      </c>
      <c r="C3185" s="83">
        <v>46121</v>
      </c>
      <c r="D3185" s="417" t="s">
        <v>301</v>
      </c>
      <c r="E3185">
        <v>1313.28418333333</v>
      </c>
      <c r="F3185">
        <v>189</v>
      </c>
      <c r="G3185">
        <v>6.9485935626102302</v>
      </c>
      <c r="H3185">
        <v>3.5830833333333301</v>
      </c>
      <c r="I3185">
        <v>60.250362245517103</v>
      </c>
    </row>
    <row r="3186" spans="1:9" x14ac:dyDescent="0.35">
      <c r="A3186" s="417" t="s">
        <v>846</v>
      </c>
      <c r="B3186" s="417" t="s">
        <v>691</v>
      </c>
      <c r="C3186" s="83">
        <v>46121</v>
      </c>
      <c r="D3186" s="417" t="s">
        <v>305</v>
      </c>
      <c r="E3186">
        <v>1289.9069</v>
      </c>
      <c r="F3186">
        <v>129</v>
      </c>
      <c r="G3186">
        <v>9.9992782945736405</v>
      </c>
      <c r="H3186">
        <v>10.909216666666699</v>
      </c>
      <c r="I3186">
        <v>74.999259277572804</v>
      </c>
    </row>
    <row r="3187" spans="1:9" x14ac:dyDescent="0.35">
      <c r="A3187" s="417" t="s">
        <v>846</v>
      </c>
      <c r="B3187" s="417" t="s">
        <v>691</v>
      </c>
      <c r="C3187" s="83">
        <v>46121</v>
      </c>
      <c r="D3187" s="417" t="s">
        <v>303</v>
      </c>
      <c r="E3187">
        <v>1336.6631500000001</v>
      </c>
      <c r="F3187">
        <v>118</v>
      </c>
      <c r="G3187">
        <v>11.3276538135593</v>
      </c>
      <c r="H3187">
        <v>0.77839999999999998</v>
      </c>
      <c r="I3187">
        <v>60.4373117977769</v>
      </c>
    </row>
    <row r="3188" spans="1:9" x14ac:dyDescent="0.35">
      <c r="A3188" s="417" t="s">
        <v>846</v>
      </c>
      <c r="B3188" s="417" t="s">
        <v>691</v>
      </c>
      <c r="C3188" s="83">
        <v>46121</v>
      </c>
      <c r="D3188" s="417" t="s">
        <v>309</v>
      </c>
      <c r="E3188">
        <v>1323.36241666667</v>
      </c>
      <c r="F3188">
        <v>109</v>
      </c>
      <c r="G3188">
        <v>12.140939602446499</v>
      </c>
      <c r="H3188">
        <v>0</v>
      </c>
      <c r="I3188">
        <v>75.358660036985498</v>
      </c>
    </row>
    <row r="3189" spans="1:9" x14ac:dyDescent="0.35">
      <c r="A3189" s="417" t="s">
        <v>846</v>
      </c>
      <c r="B3189" s="417" t="s">
        <v>691</v>
      </c>
      <c r="C3189" s="83">
        <v>46121</v>
      </c>
      <c r="D3189" s="417" t="s">
        <v>295</v>
      </c>
      <c r="E3189">
        <v>1348.28576666667</v>
      </c>
      <c r="F3189">
        <v>74</v>
      </c>
      <c r="G3189">
        <v>18.2200779279279</v>
      </c>
      <c r="H3189">
        <v>0.69406666666666705</v>
      </c>
      <c r="I3189">
        <v>73.119044920982802</v>
      </c>
    </row>
    <row r="3190" spans="1:9" x14ac:dyDescent="0.35">
      <c r="A3190" s="417" t="s">
        <v>846</v>
      </c>
      <c r="B3190" s="417" t="s">
        <v>691</v>
      </c>
      <c r="C3190" s="83">
        <v>46121</v>
      </c>
      <c r="D3190" s="417" t="s">
        <v>314</v>
      </c>
      <c r="E3190">
        <v>1330.8395</v>
      </c>
      <c r="F3190">
        <v>21</v>
      </c>
      <c r="G3190">
        <v>63.373309523809503</v>
      </c>
      <c r="H3190">
        <v>10.397116666666699</v>
      </c>
      <c r="I3190">
        <v>36.227343929754802</v>
      </c>
    </row>
    <row r="3191" spans="1:9" x14ac:dyDescent="0.35">
      <c r="A3191" s="417" t="s">
        <v>846</v>
      </c>
      <c r="B3191" s="417" t="s">
        <v>691</v>
      </c>
      <c r="C3191" s="83">
        <v>46121</v>
      </c>
      <c r="D3191" s="417" t="s">
        <v>313</v>
      </c>
      <c r="E3191">
        <v>1367.9671000000001</v>
      </c>
      <c r="F3191">
        <v>8</v>
      </c>
      <c r="G3191">
        <v>170.99588750000001</v>
      </c>
      <c r="H3191">
        <v>7.0096833333333297</v>
      </c>
      <c r="I3191">
        <v>44.933752379572397</v>
      </c>
    </row>
    <row r="3192" spans="1:9" x14ac:dyDescent="0.35">
      <c r="A3192" s="417" t="s">
        <v>846</v>
      </c>
      <c r="B3192" s="417" t="s">
        <v>691</v>
      </c>
      <c r="C3192" s="83">
        <v>46121</v>
      </c>
      <c r="D3192" s="417" t="s">
        <v>310</v>
      </c>
      <c r="E3192">
        <v>1406.48765</v>
      </c>
      <c r="F3192">
        <v>5</v>
      </c>
      <c r="G3192">
        <v>281.29752999999999</v>
      </c>
      <c r="H3192">
        <v>9.5133333333333306E-2</v>
      </c>
      <c r="I3192">
        <v>45.086803979409197</v>
      </c>
    </row>
    <row r="3193" spans="1:9" x14ac:dyDescent="0.35">
      <c r="A3193" s="417" t="s">
        <v>846</v>
      </c>
      <c r="B3193" s="417" t="s">
        <v>691</v>
      </c>
      <c r="C3193" s="83">
        <v>46121</v>
      </c>
      <c r="D3193" s="417" t="s">
        <v>317</v>
      </c>
      <c r="E3193">
        <v>1440</v>
      </c>
      <c r="F3193">
        <v>1</v>
      </c>
      <c r="G3193">
        <v>1440</v>
      </c>
      <c r="H3193">
        <v>0</v>
      </c>
      <c r="I3193">
        <v>35.9027777777778</v>
      </c>
    </row>
    <row r="3194" spans="1:9" x14ac:dyDescent="0.35">
      <c r="A3194" s="417" t="s">
        <v>846</v>
      </c>
      <c r="B3194" s="417" t="s">
        <v>691</v>
      </c>
      <c r="C3194" s="83">
        <v>46121</v>
      </c>
      <c r="D3194" s="417" t="s">
        <v>504</v>
      </c>
      <c r="E3194">
        <v>1440</v>
      </c>
      <c r="F3194">
        <v>1</v>
      </c>
      <c r="G3194">
        <v>1440</v>
      </c>
      <c r="H3194">
        <v>0</v>
      </c>
      <c r="I3194">
        <v>52.458487654320997</v>
      </c>
    </row>
    <row r="3195" spans="1:9" x14ac:dyDescent="0.35">
      <c r="A3195" s="417" t="s">
        <v>846</v>
      </c>
      <c r="B3195" s="417" t="s">
        <v>676</v>
      </c>
      <c r="C3195" s="83">
        <v>46120</v>
      </c>
      <c r="D3195" s="417" t="s">
        <v>677</v>
      </c>
      <c r="E3195">
        <v>786.50021666666703</v>
      </c>
      <c r="F3195">
        <v>54</v>
      </c>
      <c r="G3195">
        <v>14.564818827160501</v>
      </c>
      <c r="H3195">
        <v>36.666433333333302</v>
      </c>
      <c r="I3195">
        <v>30.362380952380899</v>
      </c>
    </row>
    <row r="3196" spans="1:9" x14ac:dyDescent="0.35">
      <c r="A3196" s="417" t="s">
        <v>846</v>
      </c>
      <c r="B3196" s="417" t="s">
        <v>676</v>
      </c>
      <c r="C3196" s="83">
        <v>46120</v>
      </c>
      <c r="D3196" s="417" t="s">
        <v>679</v>
      </c>
      <c r="E3196">
        <v>1006.47136666667</v>
      </c>
      <c r="F3196">
        <v>10</v>
      </c>
      <c r="G3196">
        <v>100.647136666667</v>
      </c>
      <c r="H3196">
        <v>4.9958166666666699</v>
      </c>
      <c r="I3196">
        <v>44.610797153199698</v>
      </c>
    </row>
    <row r="3197" spans="1:9" x14ac:dyDescent="0.35">
      <c r="A3197" s="417" t="s">
        <v>846</v>
      </c>
      <c r="B3197" s="417" t="s">
        <v>676</v>
      </c>
      <c r="C3197" s="83">
        <v>46120</v>
      </c>
      <c r="D3197" s="417" t="s">
        <v>678</v>
      </c>
      <c r="E3197">
        <v>660.680566666667</v>
      </c>
      <c r="F3197">
        <v>6</v>
      </c>
      <c r="G3197">
        <v>110.113427777778</v>
      </c>
      <c r="H3197">
        <v>2.17225</v>
      </c>
      <c r="I3197">
        <v>56.448989764424397</v>
      </c>
    </row>
    <row r="3198" spans="1:9" x14ac:dyDescent="0.35">
      <c r="A3198" s="417" t="s">
        <v>846</v>
      </c>
      <c r="B3198" s="417" t="s">
        <v>680</v>
      </c>
      <c r="C3198" s="83">
        <v>46120</v>
      </c>
      <c r="D3198" s="417" t="s">
        <v>689</v>
      </c>
      <c r="E3198">
        <v>1374.1819166666701</v>
      </c>
      <c r="F3198">
        <v>57</v>
      </c>
      <c r="G3198">
        <v>24.108454678362602</v>
      </c>
      <c r="H3198">
        <v>0.16691666666666699</v>
      </c>
      <c r="I3198">
        <v>64.199640229369805</v>
      </c>
    </row>
    <row r="3199" spans="1:9" x14ac:dyDescent="0.35">
      <c r="A3199" s="417" t="s">
        <v>846</v>
      </c>
      <c r="B3199" s="417" t="s">
        <v>680</v>
      </c>
      <c r="C3199" s="83">
        <v>46120</v>
      </c>
      <c r="D3199" s="417" t="s">
        <v>681</v>
      </c>
      <c r="E3199">
        <v>1366.4844000000001</v>
      </c>
      <c r="F3199">
        <v>42</v>
      </c>
      <c r="G3199">
        <v>32.535342857142901</v>
      </c>
      <c r="H3199">
        <v>1.00633333333333</v>
      </c>
      <c r="I3199">
        <v>58.1781409776221</v>
      </c>
    </row>
    <row r="3200" spans="1:9" x14ac:dyDescent="0.35">
      <c r="A3200" s="417" t="s">
        <v>846</v>
      </c>
      <c r="B3200" s="417" t="s">
        <v>680</v>
      </c>
      <c r="C3200" s="83">
        <v>46120</v>
      </c>
      <c r="D3200" s="417" t="s">
        <v>684</v>
      </c>
      <c r="E3200">
        <v>1407.7915166666701</v>
      </c>
      <c r="F3200">
        <v>38</v>
      </c>
      <c r="G3200">
        <v>37.047145175438601</v>
      </c>
      <c r="H3200">
        <v>16.032683333333299</v>
      </c>
      <c r="I3200">
        <v>53.799833831205198</v>
      </c>
    </row>
    <row r="3201" spans="1:9" x14ac:dyDescent="0.35">
      <c r="A3201" s="417" t="s">
        <v>846</v>
      </c>
      <c r="B3201" s="417" t="s">
        <v>680</v>
      </c>
      <c r="C3201" s="83">
        <v>46120</v>
      </c>
      <c r="D3201" s="417" t="s">
        <v>683</v>
      </c>
      <c r="E3201">
        <v>1329.82025</v>
      </c>
      <c r="F3201">
        <v>35</v>
      </c>
      <c r="G3201">
        <v>37.9948642857143</v>
      </c>
      <c r="H3201">
        <v>30.999266666666699</v>
      </c>
      <c r="I3201">
        <v>50.264398137296901</v>
      </c>
    </row>
    <row r="3202" spans="1:9" x14ac:dyDescent="0.35">
      <c r="A3202" s="417" t="s">
        <v>846</v>
      </c>
      <c r="B3202" s="417" t="s">
        <v>680</v>
      </c>
      <c r="C3202" s="83">
        <v>46120</v>
      </c>
      <c r="D3202" s="417" t="s">
        <v>685</v>
      </c>
      <c r="E3202">
        <v>1415.31496666667</v>
      </c>
      <c r="F3202">
        <v>16</v>
      </c>
      <c r="G3202">
        <v>88.457185416666704</v>
      </c>
      <c r="H3202">
        <v>11.852983333333301</v>
      </c>
      <c r="I3202">
        <v>63.245404937911303</v>
      </c>
    </row>
    <row r="3203" spans="1:9" x14ac:dyDescent="0.35">
      <c r="A3203" s="417" t="s">
        <v>846</v>
      </c>
      <c r="B3203" s="417" t="s">
        <v>680</v>
      </c>
      <c r="C3203" s="83">
        <v>46120</v>
      </c>
      <c r="D3203" s="417" t="s">
        <v>682</v>
      </c>
      <c r="E3203">
        <v>1434.34285</v>
      </c>
      <c r="F3203">
        <v>12</v>
      </c>
      <c r="G3203">
        <v>119.52857083333301</v>
      </c>
      <c r="H3203">
        <v>5.6571499999999997</v>
      </c>
      <c r="I3203">
        <v>53.419191919191903</v>
      </c>
    </row>
    <row r="3204" spans="1:9" x14ac:dyDescent="0.35">
      <c r="A3204" s="417" t="s">
        <v>846</v>
      </c>
      <c r="B3204" s="417" t="s">
        <v>680</v>
      </c>
      <c r="C3204" s="83">
        <v>46120</v>
      </c>
      <c r="D3204" s="417" t="s">
        <v>688</v>
      </c>
      <c r="E3204">
        <v>1387.63141666667</v>
      </c>
      <c r="F3204">
        <v>7</v>
      </c>
      <c r="G3204">
        <v>198.23305952381</v>
      </c>
      <c r="H3204">
        <v>8.9942166666666701</v>
      </c>
      <c r="I3204">
        <v>58.464957951407598</v>
      </c>
    </row>
    <row r="3205" spans="1:9" x14ac:dyDescent="0.35">
      <c r="A3205" s="417" t="s">
        <v>846</v>
      </c>
      <c r="B3205" s="417" t="s">
        <v>680</v>
      </c>
      <c r="C3205" s="83">
        <v>46120</v>
      </c>
      <c r="D3205" s="417" t="s">
        <v>687</v>
      </c>
      <c r="E3205">
        <v>1431.18415</v>
      </c>
      <c r="F3205">
        <v>7</v>
      </c>
      <c r="G3205">
        <v>204.45487857142899</v>
      </c>
      <c r="H3205">
        <v>3.4931999999999999</v>
      </c>
      <c r="I3205">
        <v>21.2118646873333</v>
      </c>
    </row>
    <row r="3206" spans="1:9" x14ac:dyDescent="0.35">
      <c r="A3206" s="417" t="s">
        <v>846</v>
      </c>
      <c r="B3206" s="417" t="s">
        <v>680</v>
      </c>
      <c r="C3206" s="83">
        <v>46120</v>
      </c>
      <c r="D3206" s="417" t="s">
        <v>690</v>
      </c>
      <c r="E3206">
        <v>1432.3360333333301</v>
      </c>
      <c r="F3206">
        <v>7</v>
      </c>
      <c r="G3206">
        <v>204.61943333333301</v>
      </c>
      <c r="H3206">
        <v>0.66764999999999997</v>
      </c>
      <c r="I3206">
        <v>48.4987355452635</v>
      </c>
    </row>
    <row r="3207" spans="1:9" x14ac:dyDescent="0.35">
      <c r="A3207" s="417" t="s">
        <v>846</v>
      </c>
      <c r="B3207" s="417" t="s">
        <v>680</v>
      </c>
      <c r="C3207" s="83">
        <v>46120</v>
      </c>
      <c r="D3207" s="417" t="s">
        <v>686</v>
      </c>
      <c r="E3207">
        <v>1440</v>
      </c>
      <c r="F3207">
        <v>1</v>
      </c>
      <c r="G3207">
        <v>1440</v>
      </c>
      <c r="H3207">
        <v>0</v>
      </c>
      <c r="I3207">
        <v>53.454545454545404</v>
      </c>
    </row>
    <row r="3208" spans="1:9" x14ac:dyDescent="0.35">
      <c r="A3208" s="417" t="s">
        <v>846</v>
      </c>
      <c r="B3208" s="417" t="s">
        <v>691</v>
      </c>
      <c r="C3208" s="83">
        <v>46120</v>
      </c>
      <c r="D3208" s="417" t="s">
        <v>299</v>
      </c>
      <c r="E3208">
        <v>1284.9647333333301</v>
      </c>
      <c r="F3208">
        <v>211</v>
      </c>
      <c r="G3208">
        <v>6.0898802527646101</v>
      </c>
      <c r="H3208">
        <v>0.83053333333333301</v>
      </c>
      <c r="I3208">
        <v>64.838494228594101</v>
      </c>
    </row>
    <row r="3209" spans="1:9" x14ac:dyDescent="0.35">
      <c r="A3209" s="417" t="s">
        <v>846</v>
      </c>
      <c r="B3209" s="417" t="s">
        <v>691</v>
      </c>
      <c r="C3209" s="83">
        <v>46120</v>
      </c>
      <c r="D3209" s="417" t="s">
        <v>301</v>
      </c>
      <c r="E3209">
        <v>1318.81488333333</v>
      </c>
      <c r="F3209">
        <v>181</v>
      </c>
      <c r="G3209">
        <v>7.2862700736648298</v>
      </c>
      <c r="H3209">
        <v>3.96051666666667</v>
      </c>
      <c r="I3209">
        <v>46.475251313938799</v>
      </c>
    </row>
    <row r="3210" spans="1:9" x14ac:dyDescent="0.35">
      <c r="A3210" s="417" t="s">
        <v>846</v>
      </c>
      <c r="B3210" s="417" t="s">
        <v>691</v>
      </c>
      <c r="C3210" s="83">
        <v>46120</v>
      </c>
      <c r="D3210" s="417" t="s">
        <v>303</v>
      </c>
      <c r="E3210">
        <v>1355.2408499999999</v>
      </c>
      <c r="F3210">
        <v>168</v>
      </c>
      <c r="G3210">
        <v>8.0669098214285704</v>
      </c>
      <c r="H3210">
        <v>0.72570000000000001</v>
      </c>
      <c r="I3210">
        <v>51.940105332885899</v>
      </c>
    </row>
    <row r="3211" spans="1:9" x14ac:dyDescent="0.35">
      <c r="A3211" s="417" t="s">
        <v>846</v>
      </c>
      <c r="B3211" s="417" t="s">
        <v>691</v>
      </c>
      <c r="C3211" s="83">
        <v>46120</v>
      </c>
      <c r="D3211" s="417" t="s">
        <v>309</v>
      </c>
      <c r="E3211">
        <v>1210.7104833333301</v>
      </c>
      <c r="F3211">
        <v>91</v>
      </c>
      <c r="G3211">
        <v>13.304510805860801</v>
      </c>
      <c r="H3211">
        <v>0</v>
      </c>
      <c r="I3211">
        <v>55.7513339870629</v>
      </c>
    </row>
    <row r="3212" spans="1:9" x14ac:dyDescent="0.35">
      <c r="A3212" s="417" t="s">
        <v>846</v>
      </c>
      <c r="B3212" s="417" t="s">
        <v>691</v>
      </c>
      <c r="C3212" s="83">
        <v>46120</v>
      </c>
      <c r="D3212" s="417" t="s">
        <v>305</v>
      </c>
      <c r="E3212">
        <v>1280.63173333333</v>
      </c>
      <c r="F3212">
        <v>82</v>
      </c>
      <c r="G3212">
        <v>15.617460162601599</v>
      </c>
      <c r="H3212">
        <v>3.2549333333333301</v>
      </c>
      <c r="I3212">
        <v>59.0408640605404</v>
      </c>
    </row>
    <row r="3213" spans="1:9" x14ac:dyDescent="0.35">
      <c r="A3213" s="417" t="s">
        <v>846</v>
      </c>
      <c r="B3213" s="417" t="s">
        <v>691</v>
      </c>
      <c r="C3213" s="83">
        <v>46120</v>
      </c>
      <c r="D3213" s="417" t="s">
        <v>295</v>
      </c>
      <c r="E3213">
        <v>1348.46705</v>
      </c>
      <c r="F3213">
        <v>69</v>
      </c>
      <c r="G3213">
        <v>19.5430007246377</v>
      </c>
      <c r="H3213">
        <v>7.62833333333333E-2</v>
      </c>
      <c r="I3213">
        <v>60.664994527649</v>
      </c>
    </row>
    <row r="3214" spans="1:9" x14ac:dyDescent="0.35">
      <c r="A3214" s="417" t="s">
        <v>846</v>
      </c>
      <c r="B3214" s="417" t="s">
        <v>691</v>
      </c>
      <c r="C3214" s="83">
        <v>46120</v>
      </c>
      <c r="D3214" s="417" t="s">
        <v>314</v>
      </c>
      <c r="E3214">
        <v>1288.99348333333</v>
      </c>
      <c r="F3214">
        <v>48</v>
      </c>
      <c r="G3214">
        <v>26.854030902777801</v>
      </c>
      <c r="H3214">
        <v>11.8805333333333</v>
      </c>
      <c r="I3214">
        <v>28.113109588871101</v>
      </c>
    </row>
    <row r="3215" spans="1:9" x14ac:dyDescent="0.35">
      <c r="A3215" s="417" t="s">
        <v>846</v>
      </c>
      <c r="B3215" s="417" t="s">
        <v>691</v>
      </c>
      <c r="C3215" s="83">
        <v>46120</v>
      </c>
      <c r="D3215" s="417" t="s">
        <v>310</v>
      </c>
      <c r="E3215">
        <v>1407.8531333333301</v>
      </c>
      <c r="F3215">
        <v>6</v>
      </c>
      <c r="G3215">
        <v>234.642188888889</v>
      </c>
      <c r="H3215">
        <v>1.6357333333333299</v>
      </c>
      <c r="I3215">
        <v>38.2311913215148</v>
      </c>
    </row>
    <row r="3216" spans="1:9" x14ac:dyDescent="0.35">
      <c r="A3216" s="417" t="s">
        <v>846</v>
      </c>
      <c r="B3216" s="417" t="s">
        <v>691</v>
      </c>
      <c r="C3216" s="83">
        <v>46120</v>
      </c>
      <c r="D3216" s="417" t="s">
        <v>317</v>
      </c>
      <c r="E3216">
        <v>1434.2760499999999</v>
      </c>
      <c r="F3216">
        <v>6</v>
      </c>
      <c r="G3216">
        <v>239.04600833333299</v>
      </c>
      <c r="H3216">
        <v>3.4454833333333301</v>
      </c>
      <c r="I3216">
        <v>30.2770731263073</v>
      </c>
    </row>
    <row r="3217" spans="1:9" x14ac:dyDescent="0.35">
      <c r="A3217" s="417" t="s">
        <v>846</v>
      </c>
      <c r="B3217" s="417" t="s">
        <v>691</v>
      </c>
      <c r="C3217" s="83">
        <v>46120</v>
      </c>
      <c r="D3217" s="417" t="s">
        <v>313</v>
      </c>
      <c r="E3217">
        <v>1422.04011666667</v>
      </c>
      <c r="F3217">
        <v>2</v>
      </c>
      <c r="G3217">
        <v>711.02005833333305</v>
      </c>
      <c r="H3217">
        <v>0</v>
      </c>
      <c r="I3217">
        <v>39.477296224940503</v>
      </c>
    </row>
    <row r="3218" spans="1:9" x14ac:dyDescent="0.35">
      <c r="A3218" s="417" t="s">
        <v>846</v>
      </c>
      <c r="B3218" s="417" t="s">
        <v>691</v>
      </c>
      <c r="C3218" s="83">
        <v>46120</v>
      </c>
      <c r="D3218" s="417" t="s">
        <v>504</v>
      </c>
      <c r="E3218">
        <v>1440</v>
      </c>
      <c r="F3218">
        <v>1</v>
      </c>
      <c r="G3218">
        <v>1440</v>
      </c>
      <c r="H3218">
        <v>0</v>
      </c>
      <c r="I3218">
        <v>34.8112654320988</v>
      </c>
    </row>
    <row r="3219" spans="1:9" x14ac:dyDescent="0.35">
      <c r="A3219" s="417" t="s">
        <v>846</v>
      </c>
      <c r="B3219" s="417" t="s">
        <v>676</v>
      </c>
      <c r="C3219" s="83">
        <v>46119</v>
      </c>
      <c r="D3219" s="417" t="s">
        <v>677</v>
      </c>
      <c r="E3219">
        <v>1322.43448333333</v>
      </c>
      <c r="F3219">
        <v>198</v>
      </c>
      <c r="G3219">
        <v>6.6789620370370404</v>
      </c>
      <c r="H3219">
        <v>102.397116666667</v>
      </c>
      <c r="I3219">
        <v>52.819166666666703</v>
      </c>
    </row>
    <row r="3220" spans="1:9" x14ac:dyDescent="0.35">
      <c r="A3220" s="417" t="s">
        <v>846</v>
      </c>
      <c r="B3220" s="417" t="s">
        <v>676</v>
      </c>
      <c r="C3220" s="83">
        <v>46119</v>
      </c>
      <c r="D3220" s="417" t="s">
        <v>679</v>
      </c>
      <c r="E3220">
        <v>1341.4721</v>
      </c>
      <c r="F3220">
        <v>32</v>
      </c>
      <c r="G3220">
        <v>41.921003124999999</v>
      </c>
      <c r="H3220">
        <v>32.168716666666697</v>
      </c>
      <c r="I3220">
        <v>85.760912581691201</v>
      </c>
    </row>
    <row r="3221" spans="1:9" x14ac:dyDescent="0.35">
      <c r="A3221" s="417" t="s">
        <v>846</v>
      </c>
      <c r="B3221" s="417" t="s">
        <v>676</v>
      </c>
      <c r="C3221" s="83">
        <v>46119</v>
      </c>
      <c r="D3221" s="417" t="s">
        <v>678</v>
      </c>
      <c r="E3221">
        <v>733.79605000000004</v>
      </c>
      <c r="F3221">
        <v>10</v>
      </c>
      <c r="G3221">
        <v>73.379604999999998</v>
      </c>
      <c r="H3221">
        <v>3.9961833333333301</v>
      </c>
      <c r="I3221">
        <v>75.378392579864894</v>
      </c>
    </row>
    <row r="3222" spans="1:9" x14ac:dyDescent="0.35">
      <c r="A3222" s="417" t="s">
        <v>846</v>
      </c>
      <c r="B3222" s="417" t="s">
        <v>680</v>
      </c>
      <c r="C3222" s="83">
        <v>46119</v>
      </c>
      <c r="D3222" s="417" t="s">
        <v>689</v>
      </c>
      <c r="E3222">
        <v>1398.4816499999999</v>
      </c>
      <c r="F3222">
        <v>53</v>
      </c>
      <c r="G3222">
        <v>26.386446226415099</v>
      </c>
      <c r="H3222">
        <v>2.67553333333333</v>
      </c>
      <c r="I3222">
        <v>88.793184263371899</v>
      </c>
    </row>
    <row r="3223" spans="1:9" x14ac:dyDescent="0.35">
      <c r="A3223" s="417" t="s">
        <v>846</v>
      </c>
      <c r="B3223" s="417" t="s">
        <v>680</v>
      </c>
      <c r="C3223" s="83">
        <v>46119</v>
      </c>
      <c r="D3223" s="417" t="s">
        <v>681</v>
      </c>
      <c r="E3223">
        <v>1396.99485</v>
      </c>
      <c r="F3223">
        <v>37</v>
      </c>
      <c r="G3223">
        <v>37.756617567567602</v>
      </c>
      <c r="H3223">
        <v>0</v>
      </c>
      <c r="I3223">
        <v>92.240533054596995</v>
      </c>
    </row>
    <row r="3224" spans="1:9" x14ac:dyDescent="0.35">
      <c r="A3224" s="417" t="s">
        <v>846</v>
      </c>
      <c r="B3224" s="417" t="s">
        <v>680</v>
      </c>
      <c r="C3224" s="83">
        <v>46119</v>
      </c>
      <c r="D3224" s="417" t="s">
        <v>683</v>
      </c>
      <c r="E3224">
        <v>1364.6539499999999</v>
      </c>
      <c r="F3224">
        <v>36</v>
      </c>
      <c r="G3224">
        <v>37.907054166666697</v>
      </c>
      <c r="H3224">
        <v>14.984733333333301</v>
      </c>
      <c r="I3224">
        <v>58.345852331730903</v>
      </c>
    </row>
    <row r="3225" spans="1:9" x14ac:dyDescent="0.35">
      <c r="A3225" s="417" t="s">
        <v>846</v>
      </c>
      <c r="B3225" s="417" t="s">
        <v>680</v>
      </c>
      <c r="C3225" s="83">
        <v>46119</v>
      </c>
      <c r="D3225" s="417" t="s">
        <v>684</v>
      </c>
      <c r="E3225">
        <v>1419.18085</v>
      </c>
      <c r="F3225">
        <v>23</v>
      </c>
      <c r="G3225">
        <v>61.703515217391299</v>
      </c>
      <c r="H3225">
        <v>15.486933333333299</v>
      </c>
      <c r="I3225">
        <v>76.5902373241763</v>
      </c>
    </row>
    <row r="3226" spans="1:9" x14ac:dyDescent="0.35">
      <c r="A3226" s="417" t="s">
        <v>846</v>
      </c>
      <c r="B3226" s="417" t="s">
        <v>680</v>
      </c>
      <c r="C3226" s="83">
        <v>46119</v>
      </c>
      <c r="D3226" s="417" t="s">
        <v>685</v>
      </c>
      <c r="E3226">
        <v>1383.5003833333301</v>
      </c>
      <c r="F3226">
        <v>21</v>
      </c>
      <c r="G3226">
        <v>65.880970634920601</v>
      </c>
      <c r="H3226">
        <v>11.484733333333301</v>
      </c>
      <c r="I3226">
        <v>88.846024558756596</v>
      </c>
    </row>
    <row r="3227" spans="1:9" x14ac:dyDescent="0.35">
      <c r="A3227" s="417" t="s">
        <v>846</v>
      </c>
      <c r="B3227" s="417" t="s">
        <v>680</v>
      </c>
      <c r="C3227" s="83">
        <v>46119</v>
      </c>
      <c r="D3227" s="417" t="s">
        <v>688</v>
      </c>
      <c r="E3227">
        <v>1424.1740833333299</v>
      </c>
      <c r="F3227">
        <v>17</v>
      </c>
      <c r="G3227">
        <v>83.774946078431398</v>
      </c>
      <c r="H3227">
        <v>3.6610499999999999</v>
      </c>
      <c r="I3227">
        <v>94.750771099835305</v>
      </c>
    </row>
    <row r="3228" spans="1:9" x14ac:dyDescent="0.35">
      <c r="A3228" s="417" t="s">
        <v>846</v>
      </c>
      <c r="B3228" s="417" t="s">
        <v>680</v>
      </c>
      <c r="C3228" s="83">
        <v>46119</v>
      </c>
      <c r="D3228" s="417" t="s">
        <v>687</v>
      </c>
      <c r="E3228">
        <v>1435.1647666666699</v>
      </c>
      <c r="F3228">
        <v>13</v>
      </c>
      <c r="G3228">
        <v>110.39728974358999</v>
      </c>
      <c r="H3228">
        <v>4.8352333333333304</v>
      </c>
      <c r="I3228">
        <v>34.734469696969697</v>
      </c>
    </row>
    <row r="3229" spans="1:9" x14ac:dyDescent="0.35">
      <c r="A3229" s="417" t="s">
        <v>846</v>
      </c>
      <c r="B3229" s="417" t="s">
        <v>680</v>
      </c>
      <c r="C3229" s="83">
        <v>46119</v>
      </c>
      <c r="D3229" s="417" t="s">
        <v>690</v>
      </c>
      <c r="E3229">
        <v>1288.9914000000001</v>
      </c>
      <c r="F3229">
        <v>11</v>
      </c>
      <c r="G3229">
        <v>117.181036363636</v>
      </c>
      <c r="H3229">
        <v>5.0018333333333302</v>
      </c>
      <c r="I3229">
        <v>59.562171840869397</v>
      </c>
    </row>
    <row r="3230" spans="1:9" x14ac:dyDescent="0.35">
      <c r="A3230" s="417" t="s">
        <v>846</v>
      </c>
      <c r="B3230" s="417" t="s">
        <v>680</v>
      </c>
      <c r="C3230" s="83">
        <v>46119</v>
      </c>
      <c r="D3230" s="417" t="s">
        <v>682</v>
      </c>
      <c r="E3230">
        <v>1437.15198333333</v>
      </c>
      <c r="F3230">
        <v>6</v>
      </c>
      <c r="G3230">
        <v>239.525330555556</v>
      </c>
      <c r="H3230">
        <v>2.8480166666666702</v>
      </c>
      <c r="I3230">
        <v>75.959595959595902</v>
      </c>
    </row>
    <row r="3231" spans="1:9" x14ac:dyDescent="0.35">
      <c r="A3231" s="417" t="s">
        <v>846</v>
      </c>
      <c r="B3231" s="417" t="s">
        <v>680</v>
      </c>
      <c r="C3231" s="83">
        <v>46119</v>
      </c>
      <c r="D3231" s="417" t="s">
        <v>686</v>
      </c>
      <c r="E3231">
        <v>1440</v>
      </c>
      <c r="F3231">
        <v>1</v>
      </c>
      <c r="G3231">
        <v>1440</v>
      </c>
      <c r="H3231">
        <v>0</v>
      </c>
      <c r="I3231">
        <v>79.717171717171695</v>
      </c>
    </row>
    <row r="3232" spans="1:9" x14ac:dyDescent="0.35">
      <c r="A3232" s="417" t="s">
        <v>846</v>
      </c>
      <c r="B3232" s="417" t="s">
        <v>691</v>
      </c>
      <c r="C3232" s="83">
        <v>46119</v>
      </c>
      <c r="D3232" s="417" t="s">
        <v>301</v>
      </c>
      <c r="E3232">
        <v>1331.48471666667</v>
      </c>
      <c r="F3232">
        <v>148</v>
      </c>
      <c r="G3232">
        <v>8.9965183558558603</v>
      </c>
      <c r="H3232">
        <v>2.62666666666667</v>
      </c>
      <c r="I3232">
        <v>49.478241125450403</v>
      </c>
    </row>
    <row r="3233" spans="1:9" x14ac:dyDescent="0.35">
      <c r="A3233" s="417" t="s">
        <v>846</v>
      </c>
      <c r="B3233" s="417" t="s">
        <v>691</v>
      </c>
      <c r="C3233" s="83">
        <v>46119</v>
      </c>
      <c r="D3233" s="417" t="s">
        <v>299</v>
      </c>
      <c r="E3233">
        <v>1339.7045499999999</v>
      </c>
      <c r="F3233">
        <v>135</v>
      </c>
      <c r="G3233">
        <v>9.9237374074074101</v>
      </c>
      <c r="H3233">
        <v>0.54406666666666703</v>
      </c>
      <c r="I3233">
        <v>81.706637016243803</v>
      </c>
    </row>
    <row r="3234" spans="1:9" x14ac:dyDescent="0.35">
      <c r="A3234" s="417" t="s">
        <v>846</v>
      </c>
      <c r="B3234" s="417" t="s">
        <v>691</v>
      </c>
      <c r="C3234" s="83">
        <v>46119</v>
      </c>
      <c r="D3234" s="417" t="s">
        <v>305</v>
      </c>
      <c r="E3234">
        <v>1324.1249</v>
      </c>
      <c r="F3234">
        <v>129</v>
      </c>
      <c r="G3234">
        <v>10.2645341085271</v>
      </c>
      <c r="H3234">
        <v>10.260149999999999</v>
      </c>
      <c r="I3234">
        <v>55.384385710548102</v>
      </c>
    </row>
    <row r="3235" spans="1:9" x14ac:dyDescent="0.35">
      <c r="A3235" s="417" t="s">
        <v>846</v>
      </c>
      <c r="B3235" s="417" t="s">
        <v>691</v>
      </c>
      <c r="C3235" s="83">
        <v>46119</v>
      </c>
      <c r="D3235" s="417" t="s">
        <v>303</v>
      </c>
      <c r="E3235">
        <v>1342.82453333333</v>
      </c>
      <c r="F3235">
        <v>125</v>
      </c>
      <c r="G3235">
        <v>10.7425962666667</v>
      </c>
      <c r="H3235">
        <v>1.1704000000000001</v>
      </c>
      <c r="I3235">
        <v>55.331185768904199</v>
      </c>
    </row>
    <row r="3236" spans="1:9" x14ac:dyDescent="0.35">
      <c r="A3236" s="417" t="s">
        <v>846</v>
      </c>
      <c r="B3236" s="417" t="s">
        <v>691</v>
      </c>
      <c r="C3236" s="83">
        <v>46119</v>
      </c>
      <c r="D3236" s="417" t="s">
        <v>309</v>
      </c>
      <c r="E3236">
        <v>1304.6696833333301</v>
      </c>
      <c r="F3236">
        <v>93</v>
      </c>
      <c r="G3236">
        <v>14.028706272401401</v>
      </c>
      <c r="H3236">
        <v>0</v>
      </c>
      <c r="I3236">
        <v>41.7487553389997</v>
      </c>
    </row>
    <row r="3237" spans="1:9" x14ac:dyDescent="0.35">
      <c r="A3237" s="417" t="s">
        <v>846</v>
      </c>
      <c r="B3237" s="417" t="s">
        <v>691</v>
      </c>
      <c r="C3237" s="83">
        <v>46119</v>
      </c>
      <c r="D3237" s="417" t="s">
        <v>295</v>
      </c>
      <c r="E3237">
        <v>1360.2816666666699</v>
      </c>
      <c r="F3237">
        <v>50</v>
      </c>
      <c r="G3237">
        <v>27.205633333333299</v>
      </c>
      <c r="H3237">
        <v>0.24954999999999999</v>
      </c>
      <c r="I3237">
        <v>69.536517690240899</v>
      </c>
    </row>
    <row r="3238" spans="1:9" x14ac:dyDescent="0.35">
      <c r="A3238" s="417" t="s">
        <v>846</v>
      </c>
      <c r="B3238" s="417" t="s">
        <v>691</v>
      </c>
      <c r="C3238" s="83">
        <v>46119</v>
      </c>
      <c r="D3238" s="417" t="s">
        <v>342</v>
      </c>
      <c r="E3238">
        <v>549.30705</v>
      </c>
      <c r="F3238">
        <v>47</v>
      </c>
      <c r="G3238">
        <v>11.6873840425532</v>
      </c>
      <c r="H3238">
        <v>121.7693</v>
      </c>
      <c r="I3238">
        <v>20.238095238095202</v>
      </c>
    </row>
    <row r="3239" spans="1:9" x14ac:dyDescent="0.35">
      <c r="A3239" s="417" t="s">
        <v>846</v>
      </c>
      <c r="B3239" s="417" t="s">
        <v>691</v>
      </c>
      <c r="C3239" s="83">
        <v>46119</v>
      </c>
      <c r="D3239" s="417" t="s">
        <v>314</v>
      </c>
      <c r="E3239">
        <v>1363.04048333333</v>
      </c>
      <c r="F3239">
        <v>38</v>
      </c>
      <c r="G3239">
        <v>35.869486403508802</v>
      </c>
      <c r="H3239">
        <v>3.6002999999999998</v>
      </c>
      <c r="I3239">
        <v>36.535264717576901</v>
      </c>
    </row>
    <row r="3240" spans="1:9" x14ac:dyDescent="0.35">
      <c r="A3240" s="417" t="s">
        <v>846</v>
      </c>
      <c r="B3240" s="417" t="s">
        <v>691</v>
      </c>
      <c r="C3240" s="83">
        <v>46119</v>
      </c>
      <c r="D3240" s="417" t="s">
        <v>310</v>
      </c>
      <c r="E3240">
        <v>1368.6221333333301</v>
      </c>
      <c r="F3240">
        <v>12</v>
      </c>
      <c r="G3240">
        <v>114.051844444444</v>
      </c>
      <c r="H3240">
        <v>0.60198333333333298</v>
      </c>
      <c r="I3240">
        <v>58.425770361841799</v>
      </c>
    </row>
    <row r="3241" spans="1:9" x14ac:dyDescent="0.35">
      <c r="A3241" s="417" t="s">
        <v>846</v>
      </c>
      <c r="B3241" s="417" t="s">
        <v>691</v>
      </c>
      <c r="C3241" s="83">
        <v>46119</v>
      </c>
      <c r="D3241" s="417" t="s">
        <v>317</v>
      </c>
      <c r="E3241">
        <v>1434.5113833333301</v>
      </c>
      <c r="F3241">
        <v>8</v>
      </c>
      <c r="G3241">
        <v>179.313922916667</v>
      </c>
      <c r="H3241">
        <v>2.1831833333333299</v>
      </c>
      <c r="I3241">
        <v>41.7590498300532</v>
      </c>
    </row>
    <row r="3242" spans="1:9" x14ac:dyDescent="0.35">
      <c r="A3242" s="417" t="s">
        <v>846</v>
      </c>
      <c r="B3242" s="417" t="s">
        <v>691</v>
      </c>
      <c r="C3242" s="83">
        <v>46119</v>
      </c>
      <c r="D3242" s="417" t="s">
        <v>313</v>
      </c>
      <c r="E3242">
        <v>1392.8181</v>
      </c>
      <c r="F3242">
        <v>6</v>
      </c>
      <c r="G3242">
        <v>232.13634999999999</v>
      </c>
      <c r="H3242">
        <v>0</v>
      </c>
      <c r="I3242">
        <v>65.521645196498298</v>
      </c>
    </row>
    <row r="3243" spans="1:9" x14ac:dyDescent="0.35">
      <c r="A3243" s="417" t="s">
        <v>846</v>
      </c>
      <c r="B3243" s="417" t="s">
        <v>691</v>
      </c>
      <c r="C3243" s="83">
        <v>46119</v>
      </c>
      <c r="D3243" s="417" t="s">
        <v>504</v>
      </c>
      <c r="E3243">
        <v>1440</v>
      </c>
      <c r="F3243">
        <v>1</v>
      </c>
      <c r="G3243">
        <v>1440</v>
      </c>
      <c r="H3243">
        <v>0</v>
      </c>
      <c r="I3243">
        <v>25.849382716049401</v>
      </c>
    </row>
    <row r="3244" spans="1:9" x14ac:dyDescent="0.35">
      <c r="A3244" s="417" t="s">
        <v>846</v>
      </c>
      <c r="B3244" s="417" t="s">
        <v>676</v>
      </c>
      <c r="C3244" s="83">
        <v>46118</v>
      </c>
      <c r="D3244" s="417" t="s">
        <v>677</v>
      </c>
      <c r="E3244">
        <v>1005.93583333333</v>
      </c>
      <c r="F3244">
        <v>232</v>
      </c>
      <c r="G3244">
        <v>4.3359303160919502</v>
      </c>
      <c r="H3244">
        <v>109.038833333333</v>
      </c>
      <c r="I3244">
        <v>34.949166666666699</v>
      </c>
    </row>
    <row r="3245" spans="1:9" x14ac:dyDescent="0.35">
      <c r="A3245" s="417" t="s">
        <v>846</v>
      </c>
      <c r="B3245" s="417" t="s">
        <v>676</v>
      </c>
      <c r="C3245" s="83">
        <v>46118</v>
      </c>
      <c r="D3245" s="417" t="s">
        <v>679</v>
      </c>
      <c r="E3245">
        <v>1094.4740833333301</v>
      </c>
      <c r="F3245">
        <v>21</v>
      </c>
      <c r="G3245">
        <v>52.117813492063497</v>
      </c>
      <c r="H3245">
        <v>24.170166666666699</v>
      </c>
      <c r="I3245">
        <v>66.538580071367605</v>
      </c>
    </row>
    <row r="3246" spans="1:9" x14ac:dyDescent="0.35">
      <c r="A3246" s="417" t="s">
        <v>846</v>
      </c>
      <c r="B3246" s="417" t="s">
        <v>680</v>
      </c>
      <c r="C3246" s="83">
        <v>46118</v>
      </c>
      <c r="D3246" s="417" t="s">
        <v>689</v>
      </c>
      <c r="E3246">
        <v>1347.5355833333299</v>
      </c>
      <c r="F3246">
        <v>73</v>
      </c>
      <c r="G3246">
        <v>18.459391552511399</v>
      </c>
      <c r="H3246">
        <v>1.8339666666666701</v>
      </c>
      <c r="I3246">
        <v>68.589385957812894</v>
      </c>
    </row>
    <row r="3247" spans="1:9" x14ac:dyDescent="0.35">
      <c r="A3247" s="417" t="s">
        <v>846</v>
      </c>
      <c r="B3247" s="417" t="s">
        <v>680</v>
      </c>
      <c r="C3247" s="83">
        <v>46118</v>
      </c>
      <c r="D3247" s="417" t="s">
        <v>681</v>
      </c>
      <c r="E3247">
        <v>1331.55001666667</v>
      </c>
      <c r="F3247">
        <v>59</v>
      </c>
      <c r="G3247">
        <v>22.568644350282501</v>
      </c>
      <c r="H3247">
        <v>4.6536833333333298</v>
      </c>
      <c r="I3247">
        <v>73.204045322141397</v>
      </c>
    </row>
    <row r="3248" spans="1:9" x14ac:dyDescent="0.35">
      <c r="A3248" s="417" t="s">
        <v>846</v>
      </c>
      <c r="B3248" s="417" t="s">
        <v>680</v>
      </c>
      <c r="C3248" s="83">
        <v>46118</v>
      </c>
      <c r="D3248" s="417" t="s">
        <v>684</v>
      </c>
      <c r="E3248">
        <v>1376.5467333333299</v>
      </c>
      <c r="F3248">
        <v>44</v>
      </c>
      <c r="G3248">
        <v>31.285153030303</v>
      </c>
      <c r="H3248">
        <v>28.8061333333333</v>
      </c>
      <c r="I3248">
        <v>62.406523289849702</v>
      </c>
    </row>
    <row r="3249" spans="1:9" x14ac:dyDescent="0.35">
      <c r="A3249" s="417" t="s">
        <v>846</v>
      </c>
      <c r="B3249" s="417" t="s">
        <v>680</v>
      </c>
      <c r="C3249" s="83">
        <v>46118</v>
      </c>
      <c r="D3249" s="417" t="s">
        <v>687</v>
      </c>
      <c r="E3249">
        <v>1400.6551999999999</v>
      </c>
      <c r="F3249">
        <v>27</v>
      </c>
      <c r="G3249">
        <v>51.876118518518503</v>
      </c>
      <c r="H3249">
        <v>35.670166666666702</v>
      </c>
      <c r="I3249">
        <v>27.736055440177498</v>
      </c>
    </row>
    <row r="3250" spans="1:9" x14ac:dyDescent="0.35">
      <c r="A3250" s="417" t="s">
        <v>846</v>
      </c>
      <c r="B3250" s="417" t="s">
        <v>680</v>
      </c>
      <c r="C3250" s="83">
        <v>46118</v>
      </c>
      <c r="D3250" s="417" t="s">
        <v>683</v>
      </c>
      <c r="E3250">
        <v>1367.5104833333301</v>
      </c>
      <c r="F3250">
        <v>24</v>
      </c>
      <c r="G3250">
        <v>56.979603472222202</v>
      </c>
      <c r="H3250">
        <v>13.02</v>
      </c>
      <c r="I3250">
        <v>41.5957763015696</v>
      </c>
    </row>
    <row r="3251" spans="1:9" x14ac:dyDescent="0.35">
      <c r="A3251" s="417" t="s">
        <v>846</v>
      </c>
      <c r="B3251" s="417" t="s">
        <v>680</v>
      </c>
      <c r="C3251" s="83">
        <v>46118</v>
      </c>
      <c r="D3251" s="417" t="s">
        <v>682</v>
      </c>
      <c r="E3251">
        <v>1409.97955</v>
      </c>
      <c r="F3251">
        <v>21</v>
      </c>
      <c r="G3251">
        <v>67.141883333333297</v>
      </c>
      <c r="H3251">
        <v>15.5180166666667</v>
      </c>
      <c r="I3251">
        <v>66.752525252525302</v>
      </c>
    </row>
    <row r="3252" spans="1:9" x14ac:dyDescent="0.35">
      <c r="A3252" s="417" t="s">
        <v>846</v>
      </c>
      <c r="B3252" s="417" t="s">
        <v>680</v>
      </c>
      <c r="C3252" s="83">
        <v>46118</v>
      </c>
      <c r="D3252" s="417" t="s">
        <v>685</v>
      </c>
      <c r="E3252">
        <v>1427.49933333333</v>
      </c>
      <c r="F3252">
        <v>14</v>
      </c>
      <c r="G3252">
        <v>101.964238095238</v>
      </c>
      <c r="H3252">
        <v>3.3256999999999999</v>
      </c>
      <c r="I3252">
        <v>73.161798105266101</v>
      </c>
    </row>
    <row r="3253" spans="1:9" x14ac:dyDescent="0.35">
      <c r="A3253" s="417" t="s">
        <v>846</v>
      </c>
      <c r="B3253" s="417" t="s">
        <v>680</v>
      </c>
      <c r="C3253" s="83">
        <v>46118</v>
      </c>
      <c r="D3253" s="417" t="s">
        <v>688</v>
      </c>
      <c r="E3253">
        <v>1424.0030666666701</v>
      </c>
      <c r="F3253">
        <v>13</v>
      </c>
      <c r="G3253">
        <v>109.53869743589701</v>
      </c>
      <c r="H3253">
        <v>3.3243</v>
      </c>
      <c r="I3253">
        <v>78.823191885918504</v>
      </c>
    </row>
    <row r="3254" spans="1:9" x14ac:dyDescent="0.35">
      <c r="A3254" s="417" t="s">
        <v>846</v>
      </c>
      <c r="B3254" s="417" t="s">
        <v>680</v>
      </c>
      <c r="C3254" s="83">
        <v>46118</v>
      </c>
      <c r="D3254" s="417" t="s">
        <v>690</v>
      </c>
      <c r="E3254">
        <v>1310.1548499999999</v>
      </c>
      <c r="F3254">
        <v>13</v>
      </c>
      <c r="G3254">
        <v>100.78114230769199</v>
      </c>
      <c r="H3254">
        <v>7.6543000000000001</v>
      </c>
      <c r="I3254">
        <v>40.791404138169</v>
      </c>
    </row>
    <row r="3255" spans="1:9" x14ac:dyDescent="0.35">
      <c r="A3255" s="417" t="s">
        <v>846</v>
      </c>
      <c r="B3255" s="417" t="s">
        <v>680</v>
      </c>
      <c r="C3255" s="83">
        <v>46118</v>
      </c>
      <c r="D3255" s="417" t="s">
        <v>686</v>
      </c>
      <c r="E3255">
        <v>1440</v>
      </c>
      <c r="F3255">
        <v>1</v>
      </c>
      <c r="G3255">
        <v>1440</v>
      </c>
      <c r="H3255">
        <v>0</v>
      </c>
      <c r="I3255">
        <v>79.585858585858603</v>
      </c>
    </row>
    <row r="3256" spans="1:9" x14ac:dyDescent="0.35">
      <c r="A3256" s="417" t="s">
        <v>846</v>
      </c>
      <c r="B3256" s="417" t="s">
        <v>691</v>
      </c>
      <c r="C3256" s="83">
        <v>46118</v>
      </c>
      <c r="D3256" s="417" t="s">
        <v>305</v>
      </c>
      <c r="E3256">
        <v>1298.1764499999999</v>
      </c>
      <c r="F3256">
        <v>186</v>
      </c>
      <c r="G3256">
        <v>6.9794432795698897</v>
      </c>
      <c r="H3256">
        <v>5.5537000000000001</v>
      </c>
      <c r="I3256">
        <v>46.121916913754298</v>
      </c>
    </row>
    <row r="3257" spans="1:9" x14ac:dyDescent="0.35">
      <c r="A3257" s="417" t="s">
        <v>846</v>
      </c>
      <c r="B3257" s="417" t="s">
        <v>691</v>
      </c>
      <c r="C3257" s="83">
        <v>46118</v>
      </c>
      <c r="D3257" s="417" t="s">
        <v>309</v>
      </c>
      <c r="E3257">
        <v>1273.54651666667</v>
      </c>
      <c r="F3257">
        <v>135</v>
      </c>
      <c r="G3257">
        <v>9.4336779012345708</v>
      </c>
      <c r="H3257">
        <v>5.0349999999999999E-2</v>
      </c>
      <c r="I3257">
        <v>56.127453763222398</v>
      </c>
    </row>
    <row r="3258" spans="1:9" x14ac:dyDescent="0.35">
      <c r="A3258" s="417" t="s">
        <v>846</v>
      </c>
      <c r="B3258" s="417" t="s">
        <v>691</v>
      </c>
      <c r="C3258" s="83">
        <v>46118</v>
      </c>
      <c r="D3258" s="417" t="s">
        <v>303</v>
      </c>
      <c r="E3258">
        <v>1369.6186</v>
      </c>
      <c r="F3258">
        <v>122</v>
      </c>
      <c r="G3258">
        <v>11.226381967213101</v>
      </c>
      <c r="H3258">
        <v>0.60909999999999997</v>
      </c>
      <c r="I3258">
        <v>50.382499826060801</v>
      </c>
    </row>
    <row r="3259" spans="1:9" x14ac:dyDescent="0.35">
      <c r="A3259" s="417" t="s">
        <v>846</v>
      </c>
      <c r="B3259" s="417" t="s">
        <v>691</v>
      </c>
      <c r="C3259" s="83">
        <v>46118</v>
      </c>
      <c r="D3259" s="417" t="s">
        <v>301</v>
      </c>
      <c r="E3259">
        <v>1111.13971666667</v>
      </c>
      <c r="F3259">
        <v>106</v>
      </c>
      <c r="G3259">
        <v>10.4824501572327</v>
      </c>
      <c r="H3259">
        <v>2.6684333333333301</v>
      </c>
      <c r="I3259">
        <v>60.523383555030897</v>
      </c>
    </row>
    <row r="3260" spans="1:9" x14ac:dyDescent="0.35">
      <c r="A3260" s="417" t="s">
        <v>846</v>
      </c>
      <c r="B3260" s="417" t="s">
        <v>691</v>
      </c>
      <c r="C3260" s="83">
        <v>46118</v>
      </c>
      <c r="D3260" s="417" t="s">
        <v>299</v>
      </c>
      <c r="E3260">
        <v>1357.0429999999999</v>
      </c>
      <c r="F3260">
        <v>96</v>
      </c>
      <c r="G3260">
        <v>14.1358645833333</v>
      </c>
      <c r="H3260">
        <v>0.14124999999999999</v>
      </c>
      <c r="I3260">
        <v>83.039153764749798</v>
      </c>
    </row>
    <row r="3261" spans="1:9" x14ac:dyDescent="0.35">
      <c r="A3261" s="417" t="s">
        <v>846</v>
      </c>
      <c r="B3261" s="417" t="s">
        <v>691</v>
      </c>
      <c r="C3261" s="83">
        <v>46118</v>
      </c>
      <c r="D3261" s="417" t="s">
        <v>342</v>
      </c>
      <c r="E3261">
        <v>1250.7878000000001</v>
      </c>
      <c r="F3261">
        <v>70</v>
      </c>
      <c r="G3261">
        <v>17.868397142857098</v>
      </c>
      <c r="H3261">
        <v>149.17466666666701</v>
      </c>
      <c r="I3261">
        <v>45.357142857142897</v>
      </c>
    </row>
    <row r="3262" spans="1:9" x14ac:dyDescent="0.35">
      <c r="A3262" s="417" t="s">
        <v>846</v>
      </c>
      <c r="B3262" s="417" t="s">
        <v>691</v>
      </c>
      <c r="C3262" s="83">
        <v>46118</v>
      </c>
      <c r="D3262" s="417" t="s">
        <v>295</v>
      </c>
      <c r="E3262">
        <v>1385.6190166666699</v>
      </c>
      <c r="F3262">
        <v>37</v>
      </c>
      <c r="G3262">
        <v>37.449162612612596</v>
      </c>
      <c r="H3262">
        <v>0</v>
      </c>
      <c r="I3262">
        <v>78.761285330504805</v>
      </c>
    </row>
    <row r="3263" spans="1:9" x14ac:dyDescent="0.35">
      <c r="A3263" s="417" t="s">
        <v>846</v>
      </c>
      <c r="B3263" s="417" t="s">
        <v>691</v>
      </c>
      <c r="C3263" s="83">
        <v>46118</v>
      </c>
      <c r="D3263" s="417" t="s">
        <v>313</v>
      </c>
      <c r="E3263">
        <v>1397.69055</v>
      </c>
      <c r="F3263">
        <v>28</v>
      </c>
      <c r="G3263">
        <v>49.917519642857101</v>
      </c>
      <c r="H3263">
        <v>0</v>
      </c>
      <c r="I3263">
        <v>82.230435485212496</v>
      </c>
    </row>
    <row r="3264" spans="1:9" x14ac:dyDescent="0.35">
      <c r="A3264" s="417" t="s">
        <v>846</v>
      </c>
      <c r="B3264" s="417" t="s">
        <v>691</v>
      </c>
      <c r="C3264" s="83">
        <v>46118</v>
      </c>
      <c r="D3264" s="417" t="s">
        <v>314</v>
      </c>
      <c r="E3264">
        <v>1420.60285</v>
      </c>
      <c r="F3264">
        <v>6</v>
      </c>
      <c r="G3264">
        <v>236.76714166666699</v>
      </c>
      <c r="H3264">
        <v>0.54759999999999998</v>
      </c>
      <c r="I3264">
        <v>48.898168639302803</v>
      </c>
    </row>
    <row r="3265" spans="1:9" x14ac:dyDescent="0.35">
      <c r="A3265" s="417" t="s">
        <v>846</v>
      </c>
      <c r="B3265" s="417" t="s">
        <v>691</v>
      </c>
      <c r="C3265" s="83">
        <v>46118</v>
      </c>
      <c r="D3265" s="417" t="s">
        <v>310</v>
      </c>
      <c r="E3265">
        <v>1393.78291666667</v>
      </c>
      <c r="F3265">
        <v>5</v>
      </c>
      <c r="G3265">
        <v>278.75658333333303</v>
      </c>
      <c r="H3265">
        <v>0.72045000000000003</v>
      </c>
      <c r="I3265">
        <v>81.757038147124902</v>
      </c>
    </row>
    <row r="3266" spans="1:9" x14ac:dyDescent="0.35">
      <c r="A3266" s="417" t="s">
        <v>846</v>
      </c>
      <c r="B3266" s="417" t="s">
        <v>691</v>
      </c>
      <c r="C3266" s="83">
        <v>46118</v>
      </c>
      <c r="D3266" s="417" t="s">
        <v>504</v>
      </c>
      <c r="E3266">
        <v>1440</v>
      </c>
      <c r="F3266">
        <v>1</v>
      </c>
      <c r="G3266">
        <v>1440</v>
      </c>
      <c r="H3266">
        <v>0</v>
      </c>
      <c r="I3266">
        <v>33.735185185185202</v>
      </c>
    </row>
    <row r="3267" spans="1:9" x14ac:dyDescent="0.35">
      <c r="A3267" s="417" t="s">
        <v>846</v>
      </c>
      <c r="B3267" s="417" t="s">
        <v>691</v>
      </c>
      <c r="C3267" s="83">
        <v>46118</v>
      </c>
      <c r="D3267" s="417" t="s">
        <v>317</v>
      </c>
      <c r="E3267">
        <v>1434.03138333333</v>
      </c>
      <c r="F3267">
        <v>1</v>
      </c>
      <c r="G3267">
        <v>1434.03138333333</v>
      </c>
      <c r="H3267">
        <v>0</v>
      </c>
      <c r="I3267">
        <v>47.537313891654399</v>
      </c>
    </row>
    <row r="3268" spans="1:9" x14ac:dyDescent="0.35">
      <c r="A3268" s="417" t="s">
        <v>846</v>
      </c>
      <c r="B3268" s="417" t="s">
        <v>676</v>
      </c>
      <c r="C3268" s="83">
        <v>46117</v>
      </c>
      <c r="D3268" s="417" t="s">
        <v>677</v>
      </c>
      <c r="E3268">
        <v>1319.63995</v>
      </c>
      <c r="F3268">
        <v>209</v>
      </c>
      <c r="G3268">
        <v>6.3140667464114903</v>
      </c>
      <c r="H3268">
        <v>120.36005</v>
      </c>
      <c r="I3268">
        <v>52.109722222222203</v>
      </c>
    </row>
    <row r="3269" spans="1:9" x14ac:dyDescent="0.35">
      <c r="A3269" s="417" t="s">
        <v>846</v>
      </c>
      <c r="B3269" s="417" t="s">
        <v>676</v>
      </c>
      <c r="C3269" s="83">
        <v>46117</v>
      </c>
      <c r="D3269" s="417" t="s">
        <v>679</v>
      </c>
      <c r="E3269">
        <v>1375.1386</v>
      </c>
      <c r="F3269">
        <v>29</v>
      </c>
      <c r="G3269">
        <v>47.4185724137931</v>
      </c>
      <c r="H3269">
        <v>21.506416666666698</v>
      </c>
      <c r="I3269">
        <v>90.397105320284098</v>
      </c>
    </row>
    <row r="3270" spans="1:9" x14ac:dyDescent="0.35">
      <c r="A3270" s="417" t="s">
        <v>846</v>
      </c>
      <c r="B3270" s="417" t="s">
        <v>680</v>
      </c>
      <c r="C3270" s="83">
        <v>46117</v>
      </c>
      <c r="D3270" s="417" t="s">
        <v>689</v>
      </c>
      <c r="E3270">
        <v>1396.4425000000001</v>
      </c>
      <c r="F3270">
        <v>59</v>
      </c>
      <c r="G3270">
        <v>23.668516949152501</v>
      </c>
      <c r="H3270">
        <v>0.50795000000000001</v>
      </c>
      <c r="I3270">
        <v>91.581660266179696</v>
      </c>
    </row>
    <row r="3271" spans="1:9" x14ac:dyDescent="0.35">
      <c r="A3271" s="417" t="s">
        <v>846</v>
      </c>
      <c r="B3271" s="417" t="s">
        <v>680</v>
      </c>
      <c r="C3271" s="83">
        <v>46117</v>
      </c>
      <c r="D3271" s="417" t="s">
        <v>681</v>
      </c>
      <c r="E3271">
        <v>1407.0010666666701</v>
      </c>
      <c r="F3271">
        <v>35</v>
      </c>
      <c r="G3271">
        <v>40.200030476190499</v>
      </c>
      <c r="H3271">
        <v>1.8464166666666699</v>
      </c>
      <c r="I3271">
        <v>90.114680121394301</v>
      </c>
    </row>
    <row r="3272" spans="1:9" x14ac:dyDescent="0.35">
      <c r="A3272" s="417" t="s">
        <v>846</v>
      </c>
      <c r="B3272" s="417" t="s">
        <v>680</v>
      </c>
      <c r="C3272" s="83">
        <v>46117</v>
      </c>
      <c r="D3272" s="417" t="s">
        <v>684</v>
      </c>
      <c r="E3272">
        <v>1422.6445166666699</v>
      </c>
      <c r="F3272">
        <v>31</v>
      </c>
      <c r="G3272">
        <v>45.891758602150503</v>
      </c>
      <c r="H3272">
        <v>15.8551</v>
      </c>
      <c r="I3272">
        <v>84.448720934715098</v>
      </c>
    </row>
    <row r="3273" spans="1:9" x14ac:dyDescent="0.35">
      <c r="A3273" s="417" t="s">
        <v>846</v>
      </c>
      <c r="B3273" s="417" t="s">
        <v>680</v>
      </c>
      <c r="C3273" s="83">
        <v>46117</v>
      </c>
      <c r="D3273" s="417" t="s">
        <v>687</v>
      </c>
      <c r="E3273">
        <v>1408.6275333333299</v>
      </c>
      <c r="F3273">
        <v>22</v>
      </c>
      <c r="G3273">
        <v>64.028524242424197</v>
      </c>
      <c r="H3273">
        <v>18.367066666666702</v>
      </c>
      <c r="I3273">
        <v>29.31552152271</v>
      </c>
    </row>
    <row r="3274" spans="1:9" x14ac:dyDescent="0.35">
      <c r="A3274" s="417" t="s">
        <v>846</v>
      </c>
      <c r="B3274" s="417" t="s">
        <v>680</v>
      </c>
      <c r="C3274" s="83">
        <v>46117</v>
      </c>
      <c r="D3274" s="417" t="s">
        <v>685</v>
      </c>
      <c r="E3274">
        <v>1408.33073333333</v>
      </c>
      <c r="F3274">
        <v>20</v>
      </c>
      <c r="G3274">
        <v>70.416536666666701</v>
      </c>
      <c r="H3274">
        <v>10.16305</v>
      </c>
      <c r="I3274">
        <v>91.863907648282094</v>
      </c>
    </row>
    <row r="3275" spans="1:9" x14ac:dyDescent="0.35">
      <c r="A3275" s="417" t="s">
        <v>846</v>
      </c>
      <c r="B3275" s="417" t="s">
        <v>680</v>
      </c>
      <c r="C3275" s="83">
        <v>46117</v>
      </c>
      <c r="D3275" s="417" t="s">
        <v>683</v>
      </c>
      <c r="E3275">
        <v>1366.50358333333</v>
      </c>
      <c r="F3275">
        <v>19</v>
      </c>
      <c r="G3275">
        <v>71.921241228070201</v>
      </c>
      <c r="H3275">
        <v>6.8306166666666703</v>
      </c>
      <c r="I3275">
        <v>58.977225750199302</v>
      </c>
    </row>
    <row r="3276" spans="1:9" x14ac:dyDescent="0.35">
      <c r="A3276" s="417" t="s">
        <v>846</v>
      </c>
      <c r="B3276" s="417" t="s">
        <v>680</v>
      </c>
      <c r="C3276" s="83">
        <v>46117</v>
      </c>
      <c r="D3276" s="417" t="s">
        <v>690</v>
      </c>
      <c r="E3276">
        <v>1406.1704</v>
      </c>
      <c r="F3276">
        <v>12</v>
      </c>
      <c r="G3276">
        <v>117.180866666667</v>
      </c>
      <c r="H3276">
        <v>6.49766666666667</v>
      </c>
      <c r="I3276">
        <v>56.924479135308701</v>
      </c>
    </row>
    <row r="3277" spans="1:9" x14ac:dyDescent="0.35">
      <c r="A3277" s="417" t="s">
        <v>846</v>
      </c>
      <c r="B3277" s="417" t="s">
        <v>680</v>
      </c>
      <c r="C3277" s="83">
        <v>46117</v>
      </c>
      <c r="D3277" s="417" t="s">
        <v>688</v>
      </c>
      <c r="E3277">
        <v>1425.30891666667</v>
      </c>
      <c r="F3277">
        <v>12</v>
      </c>
      <c r="G3277">
        <v>118.77574305555601</v>
      </c>
      <c r="H3277">
        <v>6.0078333333333296</v>
      </c>
      <c r="I3277">
        <v>88.932052978996694</v>
      </c>
    </row>
    <row r="3278" spans="1:9" x14ac:dyDescent="0.35">
      <c r="A3278" s="417" t="s">
        <v>846</v>
      </c>
      <c r="B3278" s="417" t="s">
        <v>680</v>
      </c>
      <c r="C3278" s="83">
        <v>46117</v>
      </c>
      <c r="D3278" s="417" t="s">
        <v>682</v>
      </c>
      <c r="E3278">
        <v>1432.83846666667</v>
      </c>
      <c r="F3278">
        <v>11</v>
      </c>
      <c r="G3278">
        <v>130.25804242424201</v>
      </c>
      <c r="H3278">
        <v>7.1615333333333302</v>
      </c>
      <c r="I3278">
        <v>84.217171717171695</v>
      </c>
    </row>
    <row r="3279" spans="1:9" x14ac:dyDescent="0.35">
      <c r="A3279" s="417" t="s">
        <v>846</v>
      </c>
      <c r="B3279" s="417" t="s">
        <v>680</v>
      </c>
      <c r="C3279" s="83">
        <v>46117</v>
      </c>
      <c r="D3279" s="417" t="s">
        <v>686</v>
      </c>
      <c r="E3279">
        <v>1440</v>
      </c>
      <c r="F3279">
        <v>1</v>
      </c>
      <c r="G3279">
        <v>1440</v>
      </c>
      <c r="H3279">
        <v>0</v>
      </c>
      <c r="I3279">
        <v>63.313131313131301</v>
      </c>
    </row>
    <row r="3280" spans="1:9" x14ac:dyDescent="0.35">
      <c r="A3280" s="417" t="s">
        <v>846</v>
      </c>
      <c r="B3280" s="417" t="s">
        <v>691</v>
      </c>
      <c r="C3280" s="83">
        <v>46117</v>
      </c>
      <c r="D3280" s="417" t="s">
        <v>301</v>
      </c>
      <c r="E3280">
        <v>1217.9203833333299</v>
      </c>
      <c r="F3280">
        <v>168</v>
      </c>
      <c r="G3280">
        <v>7.24952609126984</v>
      </c>
      <c r="H3280">
        <v>8.0074666666666694</v>
      </c>
      <c r="I3280">
        <v>56.679967636348103</v>
      </c>
    </row>
    <row r="3281" spans="1:9" x14ac:dyDescent="0.35">
      <c r="A3281" s="417" t="s">
        <v>846</v>
      </c>
      <c r="B3281" s="417" t="s">
        <v>691</v>
      </c>
      <c r="C3281" s="83">
        <v>46117</v>
      </c>
      <c r="D3281" s="417" t="s">
        <v>305</v>
      </c>
      <c r="E3281">
        <v>1324.6381833333301</v>
      </c>
      <c r="F3281">
        <v>161</v>
      </c>
      <c r="G3281">
        <v>8.2275663561076602</v>
      </c>
      <c r="H3281">
        <v>7.0892333333333299</v>
      </c>
      <c r="I3281">
        <v>56.541996153499603</v>
      </c>
    </row>
    <row r="3282" spans="1:9" x14ac:dyDescent="0.35">
      <c r="A3282" s="417" t="s">
        <v>846</v>
      </c>
      <c r="B3282" s="417" t="s">
        <v>691</v>
      </c>
      <c r="C3282" s="83">
        <v>46117</v>
      </c>
      <c r="D3282" s="417" t="s">
        <v>309</v>
      </c>
      <c r="E3282">
        <v>1304.63846666667</v>
      </c>
      <c r="F3282">
        <v>131</v>
      </c>
      <c r="G3282">
        <v>9.9590722646310397</v>
      </c>
      <c r="H3282">
        <v>0</v>
      </c>
      <c r="I3282">
        <v>58.1017779047435</v>
      </c>
    </row>
    <row r="3283" spans="1:9" x14ac:dyDescent="0.35">
      <c r="A3283" s="417" t="s">
        <v>846</v>
      </c>
      <c r="B3283" s="417" t="s">
        <v>691</v>
      </c>
      <c r="C3283" s="83">
        <v>46117</v>
      </c>
      <c r="D3283" s="417" t="s">
        <v>303</v>
      </c>
      <c r="E3283">
        <v>1351.9648500000001</v>
      </c>
      <c r="F3283">
        <v>116</v>
      </c>
      <c r="G3283">
        <v>11.6548693965517</v>
      </c>
      <c r="H3283">
        <v>1.21983333333333</v>
      </c>
      <c r="I3283">
        <v>49.730541932402403</v>
      </c>
    </row>
    <row r="3284" spans="1:9" x14ac:dyDescent="0.35">
      <c r="A3284" s="417" t="s">
        <v>846</v>
      </c>
      <c r="B3284" s="417" t="s">
        <v>691</v>
      </c>
      <c r="C3284" s="83">
        <v>46117</v>
      </c>
      <c r="D3284" s="417" t="s">
        <v>299</v>
      </c>
      <c r="E3284">
        <v>1342.6339333333301</v>
      </c>
      <c r="F3284">
        <v>106</v>
      </c>
      <c r="G3284">
        <v>12.6663578616352</v>
      </c>
      <c r="H3284">
        <v>1.43815</v>
      </c>
      <c r="I3284">
        <v>80.381479871340403</v>
      </c>
    </row>
    <row r="3285" spans="1:9" x14ac:dyDescent="0.35">
      <c r="A3285" s="417" t="s">
        <v>846</v>
      </c>
      <c r="B3285" s="417" t="s">
        <v>691</v>
      </c>
      <c r="C3285" s="83">
        <v>46117</v>
      </c>
      <c r="D3285" s="417" t="s">
        <v>295</v>
      </c>
      <c r="E3285">
        <v>1350.7046333333301</v>
      </c>
      <c r="F3285">
        <v>100</v>
      </c>
      <c r="G3285">
        <v>13.5070463333333</v>
      </c>
      <c r="H3285">
        <v>0.135116666666667</v>
      </c>
      <c r="I3285">
        <v>81.957186370651797</v>
      </c>
    </row>
    <row r="3286" spans="1:9" x14ac:dyDescent="0.35">
      <c r="A3286" s="417" t="s">
        <v>846</v>
      </c>
      <c r="B3286" s="417" t="s">
        <v>691</v>
      </c>
      <c r="C3286" s="83">
        <v>46117</v>
      </c>
      <c r="D3286" s="417" t="s">
        <v>342</v>
      </c>
      <c r="E3286">
        <v>1305.79126666667</v>
      </c>
      <c r="F3286">
        <v>63</v>
      </c>
      <c r="G3286">
        <v>20.726845502645499</v>
      </c>
      <c r="H3286">
        <v>93.841800000000006</v>
      </c>
      <c r="I3286">
        <v>60.823412698412604</v>
      </c>
    </row>
    <row r="3287" spans="1:9" x14ac:dyDescent="0.35">
      <c r="A3287" s="417" t="s">
        <v>846</v>
      </c>
      <c r="B3287" s="417" t="s">
        <v>691</v>
      </c>
      <c r="C3287" s="83">
        <v>46117</v>
      </c>
      <c r="D3287" s="417" t="s">
        <v>314</v>
      </c>
      <c r="E3287">
        <v>1381.7154333333301</v>
      </c>
      <c r="F3287">
        <v>9</v>
      </c>
      <c r="G3287">
        <v>153.523937037037</v>
      </c>
      <c r="H3287">
        <v>4.3874333333333304</v>
      </c>
      <c r="I3287">
        <v>53.258257007335203</v>
      </c>
    </row>
    <row r="3288" spans="1:9" x14ac:dyDescent="0.35">
      <c r="A3288" s="417" t="s">
        <v>846</v>
      </c>
      <c r="B3288" s="417" t="s">
        <v>691</v>
      </c>
      <c r="C3288" s="83">
        <v>46117</v>
      </c>
      <c r="D3288" s="417" t="s">
        <v>317</v>
      </c>
      <c r="E3288">
        <v>1417.69796666667</v>
      </c>
      <c r="F3288">
        <v>6</v>
      </c>
      <c r="G3288">
        <v>236.282994444444</v>
      </c>
      <c r="H3288">
        <v>15.9506833333333</v>
      </c>
      <c r="I3288">
        <v>44.836648086684299</v>
      </c>
    </row>
    <row r="3289" spans="1:9" x14ac:dyDescent="0.35">
      <c r="A3289" s="417" t="s">
        <v>846</v>
      </c>
      <c r="B3289" s="417" t="s">
        <v>691</v>
      </c>
      <c r="C3289" s="83">
        <v>46117</v>
      </c>
      <c r="D3289" s="417" t="s">
        <v>310</v>
      </c>
      <c r="E3289">
        <v>1415.0538833333301</v>
      </c>
      <c r="F3289">
        <v>5</v>
      </c>
      <c r="G3289">
        <v>283.01077666666703</v>
      </c>
      <c r="H3289">
        <v>6.7750000000000005E-2</v>
      </c>
      <c r="I3289">
        <v>78.614021565122897</v>
      </c>
    </row>
    <row r="3290" spans="1:9" x14ac:dyDescent="0.35">
      <c r="A3290" s="417" t="s">
        <v>846</v>
      </c>
      <c r="B3290" s="417" t="s">
        <v>691</v>
      </c>
      <c r="C3290" s="83">
        <v>46117</v>
      </c>
      <c r="D3290" s="417" t="s">
        <v>313</v>
      </c>
      <c r="E3290">
        <v>1398.96235</v>
      </c>
      <c r="F3290">
        <v>2</v>
      </c>
      <c r="G3290">
        <v>699.48117500000001</v>
      </c>
      <c r="H3290">
        <v>0</v>
      </c>
      <c r="I3290">
        <v>75.998245879610593</v>
      </c>
    </row>
    <row r="3291" spans="1:9" x14ac:dyDescent="0.35">
      <c r="A3291" s="417" t="s">
        <v>846</v>
      </c>
      <c r="B3291" s="417" t="s">
        <v>691</v>
      </c>
      <c r="C3291" s="83">
        <v>46117</v>
      </c>
      <c r="D3291" s="417" t="s">
        <v>504</v>
      </c>
      <c r="E3291">
        <v>1440</v>
      </c>
      <c r="F3291">
        <v>1</v>
      </c>
      <c r="G3291">
        <v>1440</v>
      </c>
      <c r="H3291">
        <v>0</v>
      </c>
      <c r="I3291">
        <v>28.5845679012346</v>
      </c>
    </row>
    <row r="3292" spans="1:9" x14ac:dyDescent="0.35">
      <c r="A3292" s="417" t="s">
        <v>846</v>
      </c>
      <c r="B3292" s="417" t="s">
        <v>676</v>
      </c>
      <c r="C3292" s="83">
        <v>46116</v>
      </c>
      <c r="D3292" s="417" t="s">
        <v>677</v>
      </c>
      <c r="E3292">
        <v>1356.00236666667</v>
      </c>
      <c r="F3292">
        <v>217</v>
      </c>
      <c r="G3292">
        <v>6.2488588325652898</v>
      </c>
      <c r="H3292">
        <v>83.997633333333297</v>
      </c>
      <c r="I3292">
        <v>56.621111111110999</v>
      </c>
    </row>
    <row r="3293" spans="1:9" x14ac:dyDescent="0.35">
      <c r="A3293" s="417" t="s">
        <v>846</v>
      </c>
      <c r="B3293" s="417" t="s">
        <v>676</v>
      </c>
      <c r="C3293" s="83">
        <v>46116</v>
      </c>
      <c r="D3293" s="417" t="s">
        <v>679</v>
      </c>
      <c r="E3293">
        <v>1359.73731666667</v>
      </c>
      <c r="F3293">
        <v>30</v>
      </c>
      <c r="G3293">
        <v>45.324577222222203</v>
      </c>
      <c r="H3293">
        <v>27.022966666666701</v>
      </c>
      <c r="I3293">
        <v>89.426174196869397</v>
      </c>
    </row>
    <row r="3294" spans="1:9" x14ac:dyDescent="0.35">
      <c r="A3294" s="417" t="s">
        <v>846</v>
      </c>
      <c r="B3294" s="417" t="s">
        <v>680</v>
      </c>
      <c r="C3294" s="83">
        <v>46116</v>
      </c>
      <c r="D3294" s="417" t="s">
        <v>689</v>
      </c>
      <c r="E3294">
        <v>1375.9492666666699</v>
      </c>
      <c r="F3294">
        <v>64</v>
      </c>
      <c r="G3294">
        <v>21.4992072916667</v>
      </c>
      <c r="H3294">
        <v>1.33293333333333</v>
      </c>
      <c r="I3294">
        <v>88.059693463683004</v>
      </c>
    </row>
    <row r="3295" spans="1:9" x14ac:dyDescent="0.35">
      <c r="A3295" s="417" t="s">
        <v>846</v>
      </c>
      <c r="B3295" s="417" t="s">
        <v>680</v>
      </c>
      <c r="C3295" s="83">
        <v>46116</v>
      </c>
      <c r="D3295" s="417" t="s">
        <v>690</v>
      </c>
      <c r="E3295">
        <v>1395.0163500000001</v>
      </c>
      <c r="F3295">
        <v>35</v>
      </c>
      <c r="G3295">
        <v>39.857610000000001</v>
      </c>
      <c r="H3295">
        <v>14.327833333333301</v>
      </c>
      <c r="I3295">
        <v>50.325890055769499</v>
      </c>
    </row>
    <row r="3296" spans="1:9" x14ac:dyDescent="0.35">
      <c r="A3296" s="417" t="s">
        <v>846</v>
      </c>
      <c r="B3296" s="417" t="s">
        <v>680</v>
      </c>
      <c r="C3296" s="83">
        <v>46116</v>
      </c>
      <c r="D3296" s="417" t="s">
        <v>683</v>
      </c>
      <c r="E3296">
        <v>1271.2299</v>
      </c>
      <c r="F3296">
        <v>35</v>
      </c>
      <c r="G3296">
        <v>36.320854285714297</v>
      </c>
      <c r="H3296">
        <v>11.4987666666667</v>
      </c>
      <c r="I3296">
        <v>59.901682426692801</v>
      </c>
    </row>
    <row r="3297" spans="1:9" x14ac:dyDescent="0.35">
      <c r="A3297" s="417" t="s">
        <v>846</v>
      </c>
      <c r="B3297" s="417" t="s">
        <v>680</v>
      </c>
      <c r="C3297" s="83">
        <v>46116</v>
      </c>
      <c r="D3297" s="417" t="s">
        <v>681</v>
      </c>
      <c r="E3297">
        <v>1403.37801666667</v>
      </c>
      <c r="F3297">
        <v>34</v>
      </c>
      <c r="G3297">
        <v>41.275824019607803</v>
      </c>
      <c r="H3297">
        <v>0.33365</v>
      </c>
      <c r="I3297">
        <v>66.518300925570799</v>
      </c>
    </row>
    <row r="3298" spans="1:9" x14ac:dyDescent="0.35">
      <c r="A3298" s="417" t="s">
        <v>846</v>
      </c>
      <c r="B3298" s="417" t="s">
        <v>680</v>
      </c>
      <c r="C3298" s="83">
        <v>46116</v>
      </c>
      <c r="D3298" s="417" t="s">
        <v>688</v>
      </c>
      <c r="E3298">
        <v>1379.3737333333299</v>
      </c>
      <c r="F3298">
        <v>31</v>
      </c>
      <c r="G3298">
        <v>44.495926881720401</v>
      </c>
      <c r="H3298">
        <v>23.359866666666701</v>
      </c>
      <c r="I3298">
        <v>72.476756890342301</v>
      </c>
    </row>
    <row r="3299" spans="1:9" x14ac:dyDescent="0.35">
      <c r="A3299" s="417" t="s">
        <v>846</v>
      </c>
      <c r="B3299" s="417" t="s">
        <v>680</v>
      </c>
      <c r="C3299" s="83">
        <v>46116</v>
      </c>
      <c r="D3299" s="417" t="s">
        <v>684</v>
      </c>
      <c r="E3299">
        <v>1416.9865666666699</v>
      </c>
      <c r="F3299">
        <v>21</v>
      </c>
      <c r="G3299">
        <v>67.475550793650797</v>
      </c>
      <c r="H3299">
        <v>16.837583333333299</v>
      </c>
      <c r="I3299">
        <v>83.527104212440094</v>
      </c>
    </row>
    <row r="3300" spans="1:9" x14ac:dyDescent="0.35">
      <c r="A3300" s="417" t="s">
        <v>846</v>
      </c>
      <c r="B3300" s="417" t="s">
        <v>680</v>
      </c>
      <c r="C3300" s="83">
        <v>46116</v>
      </c>
      <c r="D3300" s="417" t="s">
        <v>687</v>
      </c>
      <c r="E3300">
        <v>1378.5278166666701</v>
      </c>
      <c r="F3300">
        <v>18</v>
      </c>
      <c r="G3300">
        <v>76.584878703703694</v>
      </c>
      <c r="H3300">
        <v>28.415183333333299</v>
      </c>
      <c r="I3300">
        <v>38.2760551580688</v>
      </c>
    </row>
    <row r="3301" spans="1:9" x14ac:dyDescent="0.35">
      <c r="A3301" s="417" t="s">
        <v>846</v>
      </c>
      <c r="B3301" s="417" t="s">
        <v>680</v>
      </c>
      <c r="C3301" s="83">
        <v>46116</v>
      </c>
      <c r="D3301" s="417" t="s">
        <v>682</v>
      </c>
      <c r="E3301">
        <v>1422.8204499999999</v>
      </c>
      <c r="F3301">
        <v>12</v>
      </c>
      <c r="G3301">
        <v>118.56837083333301</v>
      </c>
      <c r="H3301">
        <v>17.179549999999999</v>
      </c>
      <c r="I3301">
        <v>82.868686868686893</v>
      </c>
    </row>
    <row r="3302" spans="1:9" x14ac:dyDescent="0.35">
      <c r="A3302" s="417" t="s">
        <v>846</v>
      </c>
      <c r="B3302" s="417" t="s">
        <v>680</v>
      </c>
      <c r="C3302" s="83">
        <v>46116</v>
      </c>
      <c r="D3302" s="417" t="s">
        <v>685</v>
      </c>
      <c r="E3302">
        <v>1399.99911666667</v>
      </c>
      <c r="F3302">
        <v>9</v>
      </c>
      <c r="G3302">
        <v>155.555457407407</v>
      </c>
      <c r="H3302">
        <v>4.2228500000000002</v>
      </c>
      <c r="I3302">
        <v>86.369064027638402</v>
      </c>
    </row>
    <row r="3303" spans="1:9" x14ac:dyDescent="0.35">
      <c r="A3303" s="417" t="s">
        <v>846</v>
      </c>
      <c r="B3303" s="417" t="s">
        <v>680</v>
      </c>
      <c r="C3303" s="83">
        <v>46116</v>
      </c>
      <c r="D3303" s="417" t="s">
        <v>686</v>
      </c>
      <c r="E3303">
        <v>1440</v>
      </c>
      <c r="F3303">
        <v>1</v>
      </c>
      <c r="G3303">
        <v>1440</v>
      </c>
      <c r="H3303">
        <v>0</v>
      </c>
      <c r="I3303">
        <v>83.6111111111111</v>
      </c>
    </row>
    <row r="3304" spans="1:9" x14ac:dyDescent="0.35">
      <c r="A3304" s="417" t="s">
        <v>846</v>
      </c>
      <c r="B3304" s="417" t="s">
        <v>691</v>
      </c>
      <c r="C3304" s="83">
        <v>46116</v>
      </c>
      <c r="D3304" s="417" t="s">
        <v>305</v>
      </c>
      <c r="E3304">
        <v>832.20191666666699</v>
      </c>
      <c r="F3304">
        <v>163</v>
      </c>
      <c r="G3304">
        <v>5.1055332310838502</v>
      </c>
      <c r="H3304">
        <v>2.4597833333333301</v>
      </c>
      <c r="I3304">
        <v>34.691239398503001</v>
      </c>
    </row>
    <row r="3305" spans="1:9" x14ac:dyDescent="0.35">
      <c r="A3305" s="417" t="s">
        <v>846</v>
      </c>
      <c r="B3305" s="417" t="s">
        <v>691</v>
      </c>
      <c r="C3305" s="83">
        <v>46116</v>
      </c>
      <c r="D3305" s="417" t="s">
        <v>309</v>
      </c>
      <c r="E3305">
        <v>845.75611666666703</v>
      </c>
      <c r="F3305">
        <v>103</v>
      </c>
      <c r="G3305">
        <v>8.2112244336569606</v>
      </c>
      <c r="H3305">
        <v>0</v>
      </c>
      <c r="I3305">
        <v>48.705565998408403</v>
      </c>
    </row>
    <row r="3306" spans="1:9" x14ac:dyDescent="0.35">
      <c r="A3306" s="417" t="s">
        <v>846</v>
      </c>
      <c r="B3306" s="417" t="s">
        <v>691</v>
      </c>
      <c r="C3306" s="83">
        <v>46116</v>
      </c>
      <c r="D3306" s="417" t="s">
        <v>295</v>
      </c>
      <c r="E3306">
        <v>1202.79045</v>
      </c>
      <c r="F3306">
        <v>72</v>
      </c>
      <c r="G3306">
        <v>16.705422916666699</v>
      </c>
      <c r="H3306">
        <v>0.42194999999999999</v>
      </c>
      <c r="I3306">
        <v>49.931255226550498</v>
      </c>
    </row>
    <row r="3307" spans="1:9" x14ac:dyDescent="0.35">
      <c r="A3307" s="417" t="s">
        <v>846</v>
      </c>
      <c r="B3307" s="417" t="s">
        <v>691</v>
      </c>
      <c r="C3307" s="83">
        <v>46116</v>
      </c>
      <c r="D3307" s="417" t="s">
        <v>299</v>
      </c>
      <c r="E3307">
        <v>1382.6491333333299</v>
      </c>
      <c r="F3307">
        <v>66</v>
      </c>
      <c r="G3307">
        <v>20.949229292929299</v>
      </c>
      <c r="H3307">
        <v>0.44868333333333299</v>
      </c>
      <c r="I3307">
        <v>43.594763102520098</v>
      </c>
    </row>
    <row r="3308" spans="1:9" x14ac:dyDescent="0.35">
      <c r="A3308" s="417" t="s">
        <v>846</v>
      </c>
      <c r="B3308" s="417" t="s">
        <v>691</v>
      </c>
      <c r="C3308" s="83">
        <v>46116</v>
      </c>
      <c r="D3308" s="417" t="s">
        <v>342</v>
      </c>
      <c r="E3308">
        <v>771.30026666666697</v>
      </c>
      <c r="F3308">
        <v>50</v>
      </c>
      <c r="G3308">
        <v>15.4260053333333</v>
      </c>
      <c r="H3308">
        <v>112.64704999999999</v>
      </c>
      <c r="I3308">
        <v>22.380952380952401</v>
      </c>
    </row>
    <row r="3309" spans="1:9" x14ac:dyDescent="0.35">
      <c r="A3309" s="417" t="s">
        <v>846</v>
      </c>
      <c r="B3309" s="417" t="s">
        <v>691</v>
      </c>
      <c r="C3309" s="83">
        <v>46116</v>
      </c>
      <c r="D3309" s="417" t="s">
        <v>301</v>
      </c>
      <c r="E3309">
        <v>825.08998333333295</v>
      </c>
      <c r="F3309">
        <v>49</v>
      </c>
      <c r="G3309">
        <v>16.838571088435401</v>
      </c>
      <c r="H3309">
        <v>0.8841</v>
      </c>
      <c r="I3309">
        <v>53.260287478593803</v>
      </c>
    </row>
    <row r="3310" spans="1:9" x14ac:dyDescent="0.35">
      <c r="A3310" s="417" t="s">
        <v>846</v>
      </c>
      <c r="B3310" s="417" t="s">
        <v>691</v>
      </c>
      <c r="C3310" s="83">
        <v>46116</v>
      </c>
      <c r="D3310" s="417" t="s">
        <v>303</v>
      </c>
      <c r="E3310">
        <v>961.76326666666603</v>
      </c>
      <c r="F3310">
        <v>19</v>
      </c>
      <c r="G3310">
        <v>50.6191192982456</v>
      </c>
      <c r="H3310">
        <v>0.111383333333333</v>
      </c>
      <c r="I3310">
        <v>58.539806696233398</v>
      </c>
    </row>
    <row r="3311" spans="1:9" x14ac:dyDescent="0.35">
      <c r="A3311" s="417" t="s">
        <v>846</v>
      </c>
      <c r="B3311" s="417" t="s">
        <v>691</v>
      </c>
      <c r="C3311" s="83">
        <v>46116</v>
      </c>
      <c r="D3311" s="417" t="s">
        <v>313</v>
      </c>
      <c r="E3311">
        <v>1373.72436666667</v>
      </c>
      <c r="F3311">
        <v>14</v>
      </c>
      <c r="G3311">
        <v>98.123169047619001</v>
      </c>
      <c r="H3311">
        <v>0</v>
      </c>
      <c r="I3311">
        <v>50.277825943248402</v>
      </c>
    </row>
    <row r="3312" spans="1:9" x14ac:dyDescent="0.35">
      <c r="A3312" s="417" t="s">
        <v>846</v>
      </c>
      <c r="B3312" s="417" t="s">
        <v>691</v>
      </c>
      <c r="C3312" s="83">
        <v>46116</v>
      </c>
      <c r="D3312" s="417" t="s">
        <v>314</v>
      </c>
      <c r="E3312">
        <v>1263.53776666667</v>
      </c>
      <c r="F3312">
        <v>6</v>
      </c>
      <c r="G3312">
        <v>210.58962777777799</v>
      </c>
      <c r="H3312">
        <v>0.12429999999999999</v>
      </c>
      <c r="I3312">
        <v>34.3048603473664</v>
      </c>
    </row>
    <row r="3313" spans="1:9" x14ac:dyDescent="0.35">
      <c r="A3313" s="417" t="s">
        <v>846</v>
      </c>
      <c r="B3313" s="417" t="s">
        <v>691</v>
      </c>
      <c r="C3313" s="83">
        <v>46116</v>
      </c>
      <c r="D3313" s="417" t="s">
        <v>310</v>
      </c>
      <c r="E3313">
        <v>913.05776666666702</v>
      </c>
      <c r="F3313">
        <v>4</v>
      </c>
      <c r="G3313">
        <v>228.26444166666701</v>
      </c>
      <c r="H3313">
        <v>0.55123333333333302</v>
      </c>
      <c r="I3313">
        <v>58.892777889681703</v>
      </c>
    </row>
    <row r="3314" spans="1:9" x14ac:dyDescent="0.35">
      <c r="A3314" s="417" t="s">
        <v>846</v>
      </c>
      <c r="B3314" s="417" t="s">
        <v>691</v>
      </c>
      <c r="C3314" s="83">
        <v>46116</v>
      </c>
      <c r="D3314" s="417" t="s">
        <v>317</v>
      </c>
      <c r="E3314">
        <v>1436.0611833333301</v>
      </c>
      <c r="F3314">
        <v>1</v>
      </c>
      <c r="G3314">
        <v>1436.0611833333301</v>
      </c>
      <c r="H3314">
        <v>0</v>
      </c>
      <c r="I3314">
        <v>38.114671321281101</v>
      </c>
    </row>
    <row r="3315" spans="1:9" x14ac:dyDescent="0.35">
      <c r="A3315" s="417" t="s">
        <v>846</v>
      </c>
      <c r="B3315" s="417" t="s">
        <v>691</v>
      </c>
      <c r="C3315" s="83">
        <v>46116</v>
      </c>
      <c r="D3315" s="417" t="s">
        <v>504</v>
      </c>
      <c r="E3315">
        <v>1440</v>
      </c>
      <c r="F3315">
        <v>1</v>
      </c>
      <c r="G3315">
        <v>1440</v>
      </c>
      <c r="H3315">
        <v>0</v>
      </c>
      <c r="I3315">
        <v>22.987191358024699</v>
      </c>
    </row>
    <row r="3316" spans="1:9" x14ac:dyDescent="0.35">
      <c r="A3316" s="417" t="s">
        <v>846</v>
      </c>
      <c r="B3316" s="417" t="s">
        <v>676</v>
      </c>
      <c r="C3316" s="83">
        <v>46115</v>
      </c>
      <c r="D3316" s="417" t="s">
        <v>677</v>
      </c>
      <c r="E3316">
        <v>556.79674999999997</v>
      </c>
      <c r="F3316">
        <v>170</v>
      </c>
      <c r="G3316">
        <v>3.2752750000000002</v>
      </c>
      <c r="H3316">
        <v>90.665466666666703</v>
      </c>
      <c r="I3316">
        <v>19.198055555555602</v>
      </c>
    </row>
    <row r="3317" spans="1:9" x14ac:dyDescent="0.35">
      <c r="A3317" s="417" t="s">
        <v>846</v>
      </c>
      <c r="B3317" s="417" t="s">
        <v>676</v>
      </c>
      <c r="C3317" s="83">
        <v>46115</v>
      </c>
      <c r="D3317" s="417" t="s">
        <v>679</v>
      </c>
      <c r="E3317">
        <v>993.13161666666701</v>
      </c>
      <c r="F3317">
        <v>9</v>
      </c>
      <c r="G3317">
        <v>110.34795740740699</v>
      </c>
      <c r="H3317">
        <v>7.4979666666666702</v>
      </c>
      <c r="I3317">
        <v>44.472077374752097</v>
      </c>
    </row>
    <row r="3318" spans="1:9" x14ac:dyDescent="0.35">
      <c r="A3318" s="417" t="s">
        <v>846</v>
      </c>
      <c r="B3318" s="417" t="s">
        <v>680</v>
      </c>
      <c r="C3318" s="83">
        <v>46115</v>
      </c>
      <c r="D3318" s="417" t="s">
        <v>681</v>
      </c>
      <c r="E3318">
        <v>1376.5035</v>
      </c>
      <c r="F3318">
        <v>49</v>
      </c>
      <c r="G3318">
        <v>28.091908163265298</v>
      </c>
      <c r="H3318">
        <v>1.83443333333333</v>
      </c>
      <c r="I3318">
        <v>51.434219324523703</v>
      </c>
    </row>
    <row r="3319" spans="1:9" x14ac:dyDescent="0.35">
      <c r="A3319" s="417" t="s">
        <v>846</v>
      </c>
      <c r="B3319" s="417" t="s">
        <v>680</v>
      </c>
      <c r="C3319" s="83">
        <v>46115</v>
      </c>
      <c r="D3319" s="417" t="s">
        <v>688</v>
      </c>
      <c r="E3319">
        <v>1383.9838</v>
      </c>
      <c r="F3319">
        <v>47</v>
      </c>
      <c r="G3319">
        <v>29.446463829787199</v>
      </c>
      <c r="H3319">
        <v>10.485466666666699</v>
      </c>
      <c r="I3319">
        <v>46.881256937366899</v>
      </c>
    </row>
    <row r="3320" spans="1:9" x14ac:dyDescent="0.35">
      <c r="A3320" s="417" t="s">
        <v>846</v>
      </c>
      <c r="B3320" s="417" t="s">
        <v>680</v>
      </c>
      <c r="C3320" s="83">
        <v>46115</v>
      </c>
      <c r="D3320" s="417" t="s">
        <v>689</v>
      </c>
      <c r="E3320">
        <v>1187.17861666667</v>
      </c>
      <c r="F3320">
        <v>45</v>
      </c>
      <c r="G3320">
        <v>26.381747037037002</v>
      </c>
      <c r="H3320">
        <v>2.83313333333333</v>
      </c>
      <c r="I3320">
        <v>63.153855010677098</v>
      </c>
    </row>
    <row r="3321" spans="1:9" x14ac:dyDescent="0.35">
      <c r="A3321" s="417" t="s">
        <v>846</v>
      </c>
      <c r="B3321" s="417" t="s">
        <v>680</v>
      </c>
      <c r="C3321" s="83">
        <v>46115</v>
      </c>
      <c r="D3321" s="417" t="s">
        <v>684</v>
      </c>
      <c r="E3321">
        <v>1390.50145</v>
      </c>
      <c r="F3321">
        <v>35</v>
      </c>
      <c r="G3321">
        <v>39.728612857142899</v>
      </c>
      <c r="H3321">
        <v>20.008866666666702</v>
      </c>
      <c r="I3321">
        <v>58.285904664094701</v>
      </c>
    </row>
    <row r="3322" spans="1:9" x14ac:dyDescent="0.35">
      <c r="A3322" s="417" t="s">
        <v>846</v>
      </c>
      <c r="B3322" s="417" t="s">
        <v>680</v>
      </c>
      <c r="C3322" s="83">
        <v>46115</v>
      </c>
      <c r="D3322" s="417" t="s">
        <v>683</v>
      </c>
      <c r="E3322">
        <v>1359.3496</v>
      </c>
      <c r="F3322">
        <v>34</v>
      </c>
      <c r="G3322">
        <v>39.980870588235298</v>
      </c>
      <c r="H3322">
        <v>8.1779833333333301</v>
      </c>
      <c r="I3322">
        <v>40.340205092783499</v>
      </c>
    </row>
    <row r="3323" spans="1:9" x14ac:dyDescent="0.35">
      <c r="A3323" s="417" t="s">
        <v>846</v>
      </c>
      <c r="B3323" s="417" t="s">
        <v>680</v>
      </c>
      <c r="C3323" s="83">
        <v>46115</v>
      </c>
      <c r="D3323" s="417" t="s">
        <v>687</v>
      </c>
      <c r="E3323">
        <v>1399.17513333333</v>
      </c>
      <c r="F3323">
        <v>24</v>
      </c>
      <c r="G3323">
        <v>58.298963888888899</v>
      </c>
      <c r="H3323">
        <v>25.161183333333302</v>
      </c>
      <c r="I3323">
        <v>33.158518820204598</v>
      </c>
    </row>
    <row r="3324" spans="1:9" x14ac:dyDescent="0.35">
      <c r="A3324" s="417" t="s">
        <v>846</v>
      </c>
      <c r="B3324" s="417" t="s">
        <v>680</v>
      </c>
      <c r="C3324" s="83">
        <v>46115</v>
      </c>
      <c r="D3324" s="417" t="s">
        <v>685</v>
      </c>
      <c r="E3324">
        <v>1192.50766666667</v>
      </c>
      <c r="F3324">
        <v>17</v>
      </c>
      <c r="G3324">
        <v>70.147509803921594</v>
      </c>
      <c r="H3324">
        <v>13.3222166666667</v>
      </c>
      <c r="I3324">
        <v>58.106470689261698</v>
      </c>
    </row>
    <row r="3325" spans="1:9" x14ac:dyDescent="0.35">
      <c r="A3325" s="417" t="s">
        <v>846</v>
      </c>
      <c r="B3325" s="417" t="s">
        <v>680</v>
      </c>
      <c r="C3325" s="83">
        <v>46115</v>
      </c>
      <c r="D3325" s="417" t="s">
        <v>690</v>
      </c>
      <c r="E3325">
        <v>978.56673333333299</v>
      </c>
      <c r="F3325">
        <v>15</v>
      </c>
      <c r="G3325">
        <v>65.237782222222194</v>
      </c>
      <c r="H3325">
        <v>3.6381999999999999</v>
      </c>
      <c r="I3325">
        <v>11.6220989454063</v>
      </c>
    </row>
    <row r="3326" spans="1:9" x14ac:dyDescent="0.35">
      <c r="A3326" s="417" t="s">
        <v>846</v>
      </c>
      <c r="B3326" s="417" t="s">
        <v>680</v>
      </c>
      <c r="C3326" s="83">
        <v>46115</v>
      </c>
      <c r="D3326" s="417" t="s">
        <v>682</v>
      </c>
      <c r="E3326">
        <v>1431.1786833333299</v>
      </c>
      <c r="F3326">
        <v>12</v>
      </c>
      <c r="G3326">
        <v>119.26489027777799</v>
      </c>
      <c r="H3326">
        <v>8.8213166666666591</v>
      </c>
      <c r="I3326">
        <v>57.012598772567202</v>
      </c>
    </row>
    <row r="3327" spans="1:9" x14ac:dyDescent="0.35">
      <c r="A3327" s="417" t="s">
        <v>846</v>
      </c>
      <c r="B3327" s="417" t="s">
        <v>680</v>
      </c>
      <c r="C3327" s="83">
        <v>46115</v>
      </c>
      <c r="D3327" s="417" t="s">
        <v>686</v>
      </c>
      <c r="E3327">
        <v>1404.7707666666699</v>
      </c>
      <c r="F3327">
        <v>1</v>
      </c>
      <c r="G3327">
        <v>1404.7707666666699</v>
      </c>
      <c r="H3327">
        <v>0</v>
      </c>
      <c r="I3327">
        <v>35.536015585572301</v>
      </c>
    </row>
    <row r="3328" spans="1:9" x14ac:dyDescent="0.35">
      <c r="A3328" s="417" t="s">
        <v>846</v>
      </c>
      <c r="B3328" s="417" t="s">
        <v>691</v>
      </c>
      <c r="C3328" s="83">
        <v>46115</v>
      </c>
      <c r="D3328" s="417" t="s">
        <v>305</v>
      </c>
      <c r="E3328">
        <v>1298.0290666666699</v>
      </c>
      <c r="F3328">
        <v>166</v>
      </c>
      <c r="G3328">
        <v>7.8194522088353402</v>
      </c>
      <c r="H3328">
        <v>4.5504499999999997</v>
      </c>
      <c r="I3328">
        <v>31.3119504197007</v>
      </c>
    </row>
    <row r="3329" spans="1:9" x14ac:dyDescent="0.35">
      <c r="A3329" s="417" t="s">
        <v>846</v>
      </c>
      <c r="B3329" s="417" t="s">
        <v>691</v>
      </c>
      <c r="C3329" s="83">
        <v>46115</v>
      </c>
      <c r="D3329" s="417" t="s">
        <v>309</v>
      </c>
      <c r="E3329">
        <v>1368.7455666666699</v>
      </c>
      <c r="F3329">
        <v>84</v>
      </c>
      <c r="G3329">
        <v>16.294590079365101</v>
      </c>
      <c r="H3329">
        <v>0</v>
      </c>
      <c r="I3329">
        <v>37.155395308153601</v>
      </c>
    </row>
    <row r="3330" spans="1:9" x14ac:dyDescent="0.35">
      <c r="A3330" s="417" t="s">
        <v>846</v>
      </c>
      <c r="B3330" s="417" t="s">
        <v>691</v>
      </c>
      <c r="C3330" s="83">
        <v>46115</v>
      </c>
      <c r="D3330" s="417" t="s">
        <v>299</v>
      </c>
      <c r="E3330">
        <v>1361.9542166666699</v>
      </c>
      <c r="F3330">
        <v>71</v>
      </c>
      <c r="G3330">
        <v>19.182453755868501</v>
      </c>
      <c r="H3330">
        <v>0.48863333333333298</v>
      </c>
      <c r="I3330">
        <v>69.528793976551896</v>
      </c>
    </row>
    <row r="3331" spans="1:9" x14ac:dyDescent="0.35">
      <c r="A3331" s="417" t="s">
        <v>846</v>
      </c>
      <c r="B3331" s="417" t="s">
        <v>691</v>
      </c>
      <c r="C3331" s="83">
        <v>46115</v>
      </c>
      <c r="D3331" s="417" t="s">
        <v>295</v>
      </c>
      <c r="E3331">
        <v>1346.2363166666701</v>
      </c>
      <c r="F3331">
        <v>71</v>
      </c>
      <c r="G3331">
        <v>18.961074882629099</v>
      </c>
      <c r="H3331">
        <v>0.75578333333333303</v>
      </c>
      <c r="I3331">
        <v>69.253119934820802</v>
      </c>
    </row>
    <row r="3332" spans="1:9" x14ac:dyDescent="0.35">
      <c r="A3332" s="417" t="s">
        <v>846</v>
      </c>
      <c r="B3332" s="417" t="s">
        <v>691</v>
      </c>
      <c r="C3332" s="83">
        <v>46115</v>
      </c>
      <c r="D3332" s="417" t="s">
        <v>342</v>
      </c>
      <c r="E3332">
        <v>1198.8028666666701</v>
      </c>
      <c r="F3332">
        <v>53</v>
      </c>
      <c r="G3332">
        <v>22.618922012578601</v>
      </c>
      <c r="H3332">
        <v>105.390783333333</v>
      </c>
      <c r="I3332">
        <v>37.400793650793602</v>
      </c>
    </row>
    <row r="3333" spans="1:9" x14ac:dyDescent="0.35">
      <c r="A3333" s="417" t="s">
        <v>846</v>
      </c>
      <c r="B3333" s="417" t="s">
        <v>691</v>
      </c>
      <c r="C3333" s="83">
        <v>46115</v>
      </c>
      <c r="D3333" s="417" t="s">
        <v>303</v>
      </c>
      <c r="E3333">
        <v>1369.1378999999999</v>
      </c>
      <c r="F3333">
        <v>44</v>
      </c>
      <c r="G3333">
        <v>31.116770454545499</v>
      </c>
      <c r="H3333">
        <v>0.1608</v>
      </c>
      <c r="I3333">
        <v>54.9485941071583</v>
      </c>
    </row>
    <row r="3334" spans="1:9" x14ac:dyDescent="0.35">
      <c r="A3334" s="417" t="s">
        <v>846</v>
      </c>
      <c r="B3334" s="417" t="s">
        <v>691</v>
      </c>
      <c r="C3334" s="83">
        <v>46115</v>
      </c>
      <c r="D3334" s="417" t="s">
        <v>314</v>
      </c>
      <c r="E3334">
        <v>1308.0996500000001</v>
      </c>
      <c r="F3334">
        <v>33</v>
      </c>
      <c r="G3334">
        <v>39.639383333333299</v>
      </c>
      <c r="H3334">
        <v>0.81703333333333295</v>
      </c>
      <c r="I3334">
        <v>46.200799348101803</v>
      </c>
    </row>
    <row r="3335" spans="1:9" x14ac:dyDescent="0.35">
      <c r="A3335" s="417" t="s">
        <v>846</v>
      </c>
      <c r="B3335" s="417" t="s">
        <v>691</v>
      </c>
      <c r="C3335" s="83">
        <v>46115</v>
      </c>
      <c r="D3335" s="417" t="s">
        <v>310</v>
      </c>
      <c r="E3335">
        <v>1383.94323333333</v>
      </c>
      <c r="F3335">
        <v>27</v>
      </c>
      <c r="G3335">
        <v>51.257156790123503</v>
      </c>
      <c r="H3335">
        <v>1.80541666666667</v>
      </c>
      <c r="I3335">
        <v>66.723750597144701</v>
      </c>
    </row>
    <row r="3336" spans="1:9" x14ac:dyDescent="0.35">
      <c r="A3336" s="417" t="s">
        <v>846</v>
      </c>
      <c r="B3336" s="417" t="s">
        <v>691</v>
      </c>
      <c r="C3336" s="83">
        <v>46115</v>
      </c>
      <c r="D3336" s="417" t="s">
        <v>313</v>
      </c>
      <c r="E3336">
        <v>1380.0212833333301</v>
      </c>
      <c r="F3336">
        <v>26</v>
      </c>
      <c r="G3336">
        <v>53.077741666666697</v>
      </c>
      <c r="H3336">
        <v>0</v>
      </c>
      <c r="I3336">
        <v>67.693481472376902</v>
      </c>
    </row>
    <row r="3337" spans="1:9" x14ac:dyDescent="0.35">
      <c r="A3337" s="417" t="s">
        <v>846</v>
      </c>
      <c r="B3337" s="417" t="s">
        <v>691</v>
      </c>
      <c r="C3337" s="83">
        <v>46115</v>
      </c>
      <c r="D3337" s="417" t="s">
        <v>301</v>
      </c>
      <c r="E3337">
        <v>1268.30261666667</v>
      </c>
      <c r="F3337">
        <v>18</v>
      </c>
      <c r="G3337">
        <v>70.461256481481499</v>
      </c>
      <c r="H3337">
        <v>0.40296666666666697</v>
      </c>
      <c r="I3337">
        <v>54.666149606087799</v>
      </c>
    </row>
    <row r="3338" spans="1:9" x14ac:dyDescent="0.35">
      <c r="A3338" s="417" t="s">
        <v>846</v>
      </c>
      <c r="B3338" s="417" t="s">
        <v>691</v>
      </c>
      <c r="C3338" s="83">
        <v>46115</v>
      </c>
      <c r="D3338" s="417" t="s">
        <v>317</v>
      </c>
      <c r="E3338">
        <v>1429.69503333333</v>
      </c>
      <c r="F3338">
        <v>2</v>
      </c>
      <c r="G3338">
        <v>714.84751666666705</v>
      </c>
      <c r="H3338">
        <v>0.58446666666666702</v>
      </c>
      <c r="I3338">
        <v>51.294170125489501</v>
      </c>
    </row>
    <row r="3339" spans="1:9" x14ac:dyDescent="0.35">
      <c r="A3339" s="417" t="s">
        <v>846</v>
      </c>
      <c r="B3339" s="417" t="s">
        <v>691</v>
      </c>
      <c r="C3339" s="83">
        <v>46115</v>
      </c>
      <c r="D3339" s="417" t="s">
        <v>504</v>
      </c>
      <c r="E3339">
        <v>1440</v>
      </c>
      <c r="F3339">
        <v>1</v>
      </c>
      <c r="G3339">
        <v>1440</v>
      </c>
      <c r="H3339">
        <v>0</v>
      </c>
      <c r="I3339">
        <v>24.6509259259259</v>
      </c>
    </row>
    <row r="3340" spans="1:9" x14ac:dyDescent="0.35">
      <c r="A3340" s="417" t="s">
        <v>846</v>
      </c>
      <c r="B3340" s="417" t="s">
        <v>676</v>
      </c>
      <c r="C3340" s="83">
        <v>46114</v>
      </c>
      <c r="D3340" s="417" t="s">
        <v>677</v>
      </c>
      <c r="E3340">
        <v>1281.9629333333401</v>
      </c>
      <c r="F3340">
        <v>99</v>
      </c>
      <c r="G3340">
        <v>12.949120538720599</v>
      </c>
      <c r="H3340">
        <v>48.820250000000001</v>
      </c>
      <c r="I3340">
        <v>37.253888888888802</v>
      </c>
    </row>
    <row r="3341" spans="1:9" x14ac:dyDescent="0.35">
      <c r="A3341" s="417" t="s">
        <v>846</v>
      </c>
      <c r="B3341" s="417" t="s">
        <v>676</v>
      </c>
      <c r="C3341" s="83">
        <v>46114</v>
      </c>
      <c r="D3341" s="417" t="s">
        <v>679</v>
      </c>
      <c r="E3341">
        <v>1301.5234333333301</v>
      </c>
      <c r="F3341">
        <v>25</v>
      </c>
      <c r="G3341">
        <v>52.0609373333333</v>
      </c>
      <c r="H3341">
        <v>20.160866666666699</v>
      </c>
      <c r="I3341">
        <v>79.098320827419997</v>
      </c>
    </row>
    <row r="3342" spans="1:9" x14ac:dyDescent="0.35">
      <c r="A3342" s="417" t="s">
        <v>846</v>
      </c>
      <c r="B3342" s="417" t="s">
        <v>680</v>
      </c>
      <c r="C3342" s="83">
        <v>46114</v>
      </c>
      <c r="D3342" s="417" t="s">
        <v>681</v>
      </c>
      <c r="E3342">
        <v>1325.18321666667</v>
      </c>
      <c r="F3342">
        <v>57</v>
      </c>
      <c r="G3342">
        <v>23.2488283625731</v>
      </c>
      <c r="H3342">
        <v>2.81998333333333</v>
      </c>
      <c r="I3342">
        <v>75.999932945551294</v>
      </c>
    </row>
    <row r="3343" spans="1:9" x14ac:dyDescent="0.35">
      <c r="A3343" s="417" t="s">
        <v>846</v>
      </c>
      <c r="B3343" s="417" t="s">
        <v>680</v>
      </c>
      <c r="C3343" s="83">
        <v>46114</v>
      </c>
      <c r="D3343" s="417" t="s">
        <v>683</v>
      </c>
      <c r="E3343">
        <v>1285.6811333333301</v>
      </c>
      <c r="F3343">
        <v>44</v>
      </c>
      <c r="G3343">
        <v>29.220025757575801</v>
      </c>
      <c r="H3343">
        <v>6.8500333333333296</v>
      </c>
      <c r="I3343">
        <v>62.376310400469499</v>
      </c>
    </row>
    <row r="3344" spans="1:9" x14ac:dyDescent="0.35">
      <c r="A3344" s="417" t="s">
        <v>846</v>
      </c>
      <c r="B3344" s="417" t="s">
        <v>680</v>
      </c>
      <c r="C3344" s="83">
        <v>46114</v>
      </c>
      <c r="D3344" s="417" t="s">
        <v>684</v>
      </c>
      <c r="E3344">
        <v>1403.1519000000001</v>
      </c>
      <c r="F3344">
        <v>38</v>
      </c>
      <c r="G3344">
        <v>36.925049999999999</v>
      </c>
      <c r="H3344">
        <v>19.320350000000001</v>
      </c>
      <c r="I3344">
        <v>73.118777072803596</v>
      </c>
    </row>
    <row r="3345" spans="1:9" x14ac:dyDescent="0.35">
      <c r="A3345" s="417" t="s">
        <v>846</v>
      </c>
      <c r="B3345" s="417" t="s">
        <v>680</v>
      </c>
      <c r="C3345" s="83">
        <v>46114</v>
      </c>
      <c r="D3345" s="417" t="s">
        <v>682</v>
      </c>
      <c r="E3345">
        <v>1371.5035499999999</v>
      </c>
      <c r="F3345">
        <v>38</v>
      </c>
      <c r="G3345">
        <v>36.092198684210501</v>
      </c>
      <c r="H3345">
        <v>33.323083333333301</v>
      </c>
      <c r="I3345">
        <v>67.757936507936506</v>
      </c>
    </row>
    <row r="3346" spans="1:9" x14ac:dyDescent="0.35">
      <c r="A3346" s="417" t="s">
        <v>846</v>
      </c>
      <c r="B3346" s="417" t="s">
        <v>680</v>
      </c>
      <c r="C3346" s="83">
        <v>46114</v>
      </c>
      <c r="D3346" s="417" t="s">
        <v>689</v>
      </c>
      <c r="E3346">
        <v>1393.87431666667</v>
      </c>
      <c r="F3346">
        <v>30</v>
      </c>
      <c r="G3346">
        <v>46.462477222222198</v>
      </c>
      <c r="H3346">
        <v>0.66610000000000003</v>
      </c>
      <c r="I3346">
        <v>80.5989839001913</v>
      </c>
    </row>
    <row r="3347" spans="1:9" x14ac:dyDescent="0.35">
      <c r="A3347" s="417" t="s">
        <v>846</v>
      </c>
      <c r="B3347" s="417" t="s">
        <v>680</v>
      </c>
      <c r="C3347" s="83">
        <v>46114</v>
      </c>
      <c r="D3347" s="417" t="s">
        <v>690</v>
      </c>
      <c r="E3347">
        <v>1277.16435</v>
      </c>
      <c r="F3347">
        <v>24</v>
      </c>
      <c r="G3347">
        <v>53.215181250000001</v>
      </c>
      <c r="H3347">
        <v>8.9824999999999999</v>
      </c>
      <c r="I3347">
        <v>56.326651908869202</v>
      </c>
    </row>
    <row r="3348" spans="1:9" x14ac:dyDescent="0.35">
      <c r="A3348" s="417" t="s">
        <v>846</v>
      </c>
      <c r="B3348" s="417" t="s">
        <v>680</v>
      </c>
      <c r="C3348" s="83">
        <v>46114</v>
      </c>
      <c r="D3348" s="417" t="s">
        <v>688</v>
      </c>
      <c r="E3348">
        <v>1406.0018666666699</v>
      </c>
      <c r="F3348">
        <v>21</v>
      </c>
      <c r="G3348">
        <v>66.952469841269803</v>
      </c>
      <c r="H3348">
        <v>14.5003333333333</v>
      </c>
      <c r="I3348">
        <v>61.810727242945198</v>
      </c>
    </row>
    <row r="3349" spans="1:9" x14ac:dyDescent="0.35">
      <c r="A3349" s="417" t="s">
        <v>846</v>
      </c>
      <c r="B3349" s="417" t="s">
        <v>680</v>
      </c>
      <c r="C3349" s="83">
        <v>46114</v>
      </c>
      <c r="D3349" s="417" t="s">
        <v>687</v>
      </c>
      <c r="E3349">
        <v>1370.15815</v>
      </c>
      <c r="F3349">
        <v>20</v>
      </c>
      <c r="G3349">
        <v>68.507907500000002</v>
      </c>
      <c r="H3349">
        <v>21.3326666666667</v>
      </c>
      <c r="I3349">
        <v>45.0136719271757</v>
      </c>
    </row>
    <row r="3350" spans="1:9" x14ac:dyDescent="0.35">
      <c r="A3350" s="417" t="s">
        <v>846</v>
      </c>
      <c r="B3350" s="417" t="s">
        <v>680</v>
      </c>
      <c r="C3350" s="83">
        <v>46114</v>
      </c>
      <c r="D3350" s="417" t="s">
        <v>685</v>
      </c>
      <c r="E3350">
        <v>1411.8146999999999</v>
      </c>
      <c r="F3350">
        <v>13</v>
      </c>
      <c r="G3350">
        <v>108.60113076923101</v>
      </c>
      <c r="H3350">
        <v>7.8405500000000004</v>
      </c>
      <c r="I3350">
        <v>78.717491071085703</v>
      </c>
    </row>
    <row r="3351" spans="1:9" x14ac:dyDescent="0.35">
      <c r="A3351" s="417" t="s">
        <v>846</v>
      </c>
      <c r="B3351" s="417" t="s">
        <v>680</v>
      </c>
      <c r="C3351" s="83">
        <v>46114</v>
      </c>
      <c r="D3351" s="417" t="s">
        <v>686</v>
      </c>
      <c r="E3351">
        <v>1440</v>
      </c>
      <c r="F3351">
        <v>1</v>
      </c>
      <c r="G3351">
        <v>1440</v>
      </c>
      <c r="H3351">
        <v>0</v>
      </c>
      <c r="I3351">
        <v>37.371031746031697</v>
      </c>
    </row>
    <row r="3352" spans="1:9" x14ac:dyDescent="0.35">
      <c r="A3352" s="417" t="s">
        <v>846</v>
      </c>
      <c r="B3352" s="417" t="s">
        <v>691</v>
      </c>
      <c r="C3352" s="83">
        <v>46114</v>
      </c>
      <c r="D3352" s="417" t="s">
        <v>305</v>
      </c>
      <c r="E3352">
        <v>1256.4158333333301</v>
      </c>
      <c r="F3352">
        <v>151</v>
      </c>
      <c r="G3352">
        <v>8.3206346578366492</v>
      </c>
      <c r="H3352">
        <v>8.2652333333333292</v>
      </c>
      <c r="I3352">
        <v>50.572889667500903</v>
      </c>
    </row>
    <row r="3353" spans="1:9" x14ac:dyDescent="0.35">
      <c r="A3353" s="417" t="s">
        <v>846</v>
      </c>
      <c r="B3353" s="417" t="s">
        <v>691</v>
      </c>
      <c r="C3353" s="83">
        <v>46114</v>
      </c>
      <c r="D3353" s="417" t="s">
        <v>342</v>
      </c>
      <c r="E3353">
        <v>1082.2375999999999</v>
      </c>
      <c r="F3353">
        <v>100</v>
      </c>
      <c r="G3353">
        <v>10.822376</v>
      </c>
      <c r="H3353">
        <v>172.30715000000001</v>
      </c>
      <c r="I3353">
        <v>44.884477251345302</v>
      </c>
    </row>
    <row r="3354" spans="1:9" x14ac:dyDescent="0.35">
      <c r="A3354" s="417" t="s">
        <v>846</v>
      </c>
      <c r="B3354" s="417" t="s">
        <v>691</v>
      </c>
      <c r="C3354" s="83">
        <v>46114</v>
      </c>
      <c r="D3354" s="417" t="s">
        <v>299</v>
      </c>
      <c r="E3354">
        <v>1308.0771500000001</v>
      </c>
      <c r="F3354">
        <v>85</v>
      </c>
      <c r="G3354">
        <v>15.3891429411765</v>
      </c>
      <c r="H3354">
        <v>0.64983333333333304</v>
      </c>
      <c r="I3354">
        <v>77.999938415304101</v>
      </c>
    </row>
    <row r="3355" spans="1:9" x14ac:dyDescent="0.35">
      <c r="A3355" s="417" t="s">
        <v>846</v>
      </c>
      <c r="B3355" s="417" t="s">
        <v>691</v>
      </c>
      <c r="C3355" s="83">
        <v>46114</v>
      </c>
      <c r="D3355" s="417" t="s">
        <v>309</v>
      </c>
      <c r="E3355">
        <v>1358.43603333333</v>
      </c>
      <c r="F3355">
        <v>77</v>
      </c>
      <c r="G3355">
        <v>17.642026406926401</v>
      </c>
      <c r="H3355">
        <v>0</v>
      </c>
      <c r="I3355">
        <v>61.8162105127603</v>
      </c>
    </row>
    <row r="3356" spans="1:9" x14ac:dyDescent="0.35">
      <c r="A3356" s="417" t="s">
        <v>846</v>
      </c>
      <c r="B3356" s="417" t="s">
        <v>691</v>
      </c>
      <c r="C3356" s="83">
        <v>46114</v>
      </c>
      <c r="D3356" s="417" t="s">
        <v>301</v>
      </c>
      <c r="E3356">
        <v>1369.3845833333301</v>
      </c>
      <c r="F3356">
        <v>74</v>
      </c>
      <c r="G3356">
        <v>18.5051970720721</v>
      </c>
      <c r="H3356">
        <v>0.68059999999999998</v>
      </c>
      <c r="I3356">
        <v>72.975967192929403</v>
      </c>
    </row>
    <row r="3357" spans="1:9" x14ac:dyDescent="0.35">
      <c r="A3357" s="417" t="s">
        <v>846</v>
      </c>
      <c r="B3357" s="417" t="s">
        <v>691</v>
      </c>
      <c r="C3357" s="83">
        <v>46114</v>
      </c>
      <c r="D3357" s="417" t="s">
        <v>303</v>
      </c>
      <c r="E3357">
        <v>1396.2604833333301</v>
      </c>
      <c r="F3357">
        <v>61</v>
      </c>
      <c r="G3357">
        <v>22.889516120218602</v>
      </c>
      <c r="H3357">
        <v>0.39888333333333298</v>
      </c>
      <c r="I3357">
        <v>62.109548986758298</v>
      </c>
    </row>
    <row r="3358" spans="1:9" x14ac:dyDescent="0.35">
      <c r="A3358" s="417" t="s">
        <v>846</v>
      </c>
      <c r="B3358" s="417" t="s">
        <v>691</v>
      </c>
      <c r="C3358" s="83">
        <v>46114</v>
      </c>
      <c r="D3358" s="417" t="s">
        <v>295</v>
      </c>
      <c r="E3358">
        <v>1386.3938499999999</v>
      </c>
      <c r="F3358">
        <v>56</v>
      </c>
      <c r="G3358">
        <v>24.757033035714301</v>
      </c>
      <c r="H3358">
        <v>6.8083333333333301E-2</v>
      </c>
      <c r="I3358">
        <v>82.909746555644801</v>
      </c>
    </row>
    <row r="3359" spans="1:9" x14ac:dyDescent="0.35">
      <c r="A3359" s="417" t="s">
        <v>846</v>
      </c>
      <c r="B3359" s="417" t="s">
        <v>691</v>
      </c>
      <c r="C3359" s="83">
        <v>46114</v>
      </c>
      <c r="D3359" s="417" t="s">
        <v>314</v>
      </c>
      <c r="E3359">
        <v>1396.50301666667</v>
      </c>
      <c r="F3359">
        <v>28</v>
      </c>
      <c r="G3359">
        <v>49.875107738095203</v>
      </c>
      <c r="H3359">
        <v>2.9867333333333299</v>
      </c>
      <c r="I3359">
        <v>69.549808990602003</v>
      </c>
    </row>
    <row r="3360" spans="1:9" x14ac:dyDescent="0.35">
      <c r="A3360" s="417" t="s">
        <v>846</v>
      </c>
      <c r="B3360" s="417" t="s">
        <v>691</v>
      </c>
      <c r="C3360" s="83">
        <v>46114</v>
      </c>
      <c r="D3360" s="417" t="s">
        <v>310</v>
      </c>
      <c r="E3360">
        <v>1388.19718333333</v>
      </c>
      <c r="F3360">
        <v>25</v>
      </c>
      <c r="G3360">
        <v>55.527887333333297</v>
      </c>
      <c r="H3360">
        <v>0.169333333333333</v>
      </c>
      <c r="I3360">
        <v>75.681678830229203</v>
      </c>
    </row>
    <row r="3361" spans="1:9" x14ac:dyDescent="0.35">
      <c r="A3361" s="417" t="s">
        <v>846</v>
      </c>
      <c r="B3361" s="417" t="s">
        <v>691</v>
      </c>
      <c r="C3361" s="83">
        <v>46114</v>
      </c>
      <c r="D3361" s="417" t="s">
        <v>313</v>
      </c>
      <c r="E3361">
        <v>1378.8821</v>
      </c>
      <c r="F3361">
        <v>11</v>
      </c>
      <c r="G3361">
        <v>125.352918181818</v>
      </c>
      <c r="H3361">
        <v>0</v>
      </c>
      <c r="I3361">
        <v>70.016641526801905</v>
      </c>
    </row>
    <row r="3362" spans="1:9" x14ac:dyDescent="0.35">
      <c r="A3362" s="417" t="s">
        <v>846</v>
      </c>
      <c r="B3362" s="417" t="s">
        <v>691</v>
      </c>
      <c r="C3362" s="83">
        <v>46114</v>
      </c>
      <c r="D3362" s="417" t="s">
        <v>317</v>
      </c>
      <c r="E3362">
        <v>1417.82623333333</v>
      </c>
      <c r="F3362">
        <v>6</v>
      </c>
      <c r="G3362">
        <v>236.30437222222201</v>
      </c>
      <c r="H3362">
        <v>10.811916666666701</v>
      </c>
      <c r="I3362">
        <v>58.580264008769497</v>
      </c>
    </row>
    <row r="3363" spans="1:9" x14ac:dyDescent="0.35">
      <c r="A3363" s="417" t="s">
        <v>846</v>
      </c>
      <c r="B3363" s="417" t="s">
        <v>691</v>
      </c>
      <c r="C3363" s="83">
        <v>46114</v>
      </c>
      <c r="D3363" s="417" t="s">
        <v>504</v>
      </c>
      <c r="E3363">
        <v>1440</v>
      </c>
      <c r="F3363">
        <v>1</v>
      </c>
      <c r="G3363">
        <v>1440</v>
      </c>
      <c r="H3363">
        <v>0</v>
      </c>
      <c r="I3363">
        <v>35.774691358024697</v>
      </c>
    </row>
    <row r="3364" spans="1:9" x14ac:dyDescent="0.35">
      <c r="A3364" s="417" t="s">
        <v>846</v>
      </c>
      <c r="B3364" s="417" t="s">
        <v>676</v>
      </c>
      <c r="C3364" s="83">
        <v>46113</v>
      </c>
      <c r="D3364" s="417" t="s">
        <v>677</v>
      </c>
      <c r="E3364">
        <v>1225.2976000000001</v>
      </c>
      <c r="F3364">
        <v>74</v>
      </c>
      <c r="G3364">
        <v>16.558075675675699</v>
      </c>
      <c r="H3364">
        <v>60.182966666666701</v>
      </c>
      <c r="I3364">
        <v>32.0422222222223</v>
      </c>
    </row>
    <row r="3365" spans="1:9" x14ac:dyDescent="0.35">
      <c r="A3365" s="417" t="s">
        <v>846</v>
      </c>
      <c r="B3365" s="417" t="s">
        <v>676</v>
      </c>
      <c r="C3365" s="83">
        <v>46113</v>
      </c>
      <c r="D3365" s="417" t="s">
        <v>679</v>
      </c>
      <c r="E3365">
        <v>1075.4857</v>
      </c>
      <c r="F3365">
        <v>37</v>
      </c>
      <c r="G3365">
        <v>29.067181081081099</v>
      </c>
      <c r="H3365">
        <v>24.981166666666699</v>
      </c>
      <c r="I3365">
        <v>73.689663704228806</v>
      </c>
    </row>
    <row r="3366" spans="1:9" x14ac:dyDescent="0.35">
      <c r="A3366" s="417" t="s">
        <v>846</v>
      </c>
      <c r="B3366" s="417" t="s">
        <v>680</v>
      </c>
      <c r="C3366" s="83">
        <v>46113</v>
      </c>
      <c r="D3366" s="417" t="s">
        <v>681</v>
      </c>
      <c r="E3366">
        <v>1360.75595</v>
      </c>
      <c r="F3366">
        <v>61</v>
      </c>
      <c r="G3366">
        <v>22.307474590163899</v>
      </c>
      <c r="H3366">
        <v>1.3404833333333299</v>
      </c>
      <c r="I3366">
        <v>67.849022702788801</v>
      </c>
    </row>
    <row r="3367" spans="1:9" x14ac:dyDescent="0.35">
      <c r="A3367" s="417" t="s">
        <v>846</v>
      </c>
      <c r="B3367" s="417" t="s">
        <v>680</v>
      </c>
      <c r="C3367" s="83">
        <v>46113</v>
      </c>
      <c r="D3367" s="417" t="s">
        <v>688</v>
      </c>
      <c r="E3367">
        <v>1388.20683333333</v>
      </c>
      <c r="F3367">
        <v>45</v>
      </c>
      <c r="G3367">
        <v>30.849040740740701</v>
      </c>
      <c r="H3367">
        <v>10.9829166666667</v>
      </c>
      <c r="I3367">
        <v>65.894110169991706</v>
      </c>
    </row>
    <row r="3368" spans="1:9" x14ac:dyDescent="0.35">
      <c r="A3368" s="417" t="s">
        <v>846</v>
      </c>
      <c r="B3368" s="417" t="s">
        <v>680</v>
      </c>
      <c r="C3368" s="83">
        <v>46113</v>
      </c>
      <c r="D3368" s="417" t="s">
        <v>683</v>
      </c>
      <c r="E3368">
        <v>1369.8340333333299</v>
      </c>
      <c r="F3368">
        <v>42</v>
      </c>
      <c r="G3368">
        <v>32.615096031745999</v>
      </c>
      <c r="H3368">
        <v>7.6680166666666603</v>
      </c>
      <c r="I3368">
        <v>58.117669782631502</v>
      </c>
    </row>
    <row r="3369" spans="1:9" x14ac:dyDescent="0.35">
      <c r="A3369" s="417" t="s">
        <v>846</v>
      </c>
      <c r="B3369" s="417" t="s">
        <v>680</v>
      </c>
      <c r="C3369" s="83">
        <v>46113</v>
      </c>
      <c r="D3369" s="417" t="s">
        <v>689</v>
      </c>
      <c r="E3369">
        <v>1362.8148333333299</v>
      </c>
      <c r="F3369">
        <v>25</v>
      </c>
      <c r="G3369">
        <v>54.512593333333299</v>
      </c>
      <c r="H3369">
        <v>1.84538333333333</v>
      </c>
      <c r="I3369">
        <v>72.623281890795297</v>
      </c>
    </row>
    <row r="3370" spans="1:9" x14ac:dyDescent="0.35">
      <c r="A3370" s="417" t="s">
        <v>846</v>
      </c>
      <c r="B3370" s="417" t="s">
        <v>680</v>
      </c>
      <c r="C3370" s="83">
        <v>46113</v>
      </c>
      <c r="D3370" s="417" t="s">
        <v>684</v>
      </c>
      <c r="E3370">
        <v>1411.49518333333</v>
      </c>
      <c r="F3370">
        <v>24</v>
      </c>
      <c r="G3370">
        <v>58.812299305555598</v>
      </c>
      <c r="H3370">
        <v>13.996133333333299</v>
      </c>
      <c r="I3370">
        <v>66.958198523139103</v>
      </c>
    </row>
    <row r="3371" spans="1:9" x14ac:dyDescent="0.35">
      <c r="A3371" s="417" t="s">
        <v>846</v>
      </c>
      <c r="B3371" s="417" t="s">
        <v>680</v>
      </c>
      <c r="C3371" s="83">
        <v>46113</v>
      </c>
      <c r="D3371" s="417" t="s">
        <v>685</v>
      </c>
      <c r="E3371">
        <v>1425.3282833333301</v>
      </c>
      <c r="F3371">
        <v>14</v>
      </c>
      <c r="G3371">
        <v>101.80916309523801</v>
      </c>
      <c r="H3371">
        <v>6.0140833333333301</v>
      </c>
      <c r="I3371">
        <v>63.616188738338899</v>
      </c>
    </row>
    <row r="3372" spans="1:9" x14ac:dyDescent="0.35">
      <c r="A3372" s="417" t="s">
        <v>846</v>
      </c>
      <c r="B3372" s="417" t="s">
        <v>680</v>
      </c>
      <c r="C3372" s="83">
        <v>46113</v>
      </c>
      <c r="D3372" s="417" t="s">
        <v>687</v>
      </c>
      <c r="E3372">
        <v>1405.1632666666701</v>
      </c>
      <c r="F3372">
        <v>10</v>
      </c>
      <c r="G3372">
        <v>140.516326666667</v>
      </c>
      <c r="H3372">
        <v>11.3273666666667</v>
      </c>
      <c r="I3372">
        <v>42.918257882868701</v>
      </c>
    </row>
    <row r="3373" spans="1:9" x14ac:dyDescent="0.35">
      <c r="A3373" s="417" t="s">
        <v>846</v>
      </c>
      <c r="B3373" s="417" t="s">
        <v>680</v>
      </c>
      <c r="C3373" s="83">
        <v>46113</v>
      </c>
      <c r="D3373" s="417" t="s">
        <v>682</v>
      </c>
      <c r="E3373">
        <v>1427.0006333333299</v>
      </c>
      <c r="F3373">
        <v>8</v>
      </c>
      <c r="G3373">
        <v>178.37507916666701</v>
      </c>
      <c r="H3373">
        <v>12.999366666666701</v>
      </c>
      <c r="I3373">
        <v>65.5208333333333</v>
      </c>
    </row>
    <row r="3374" spans="1:9" x14ac:dyDescent="0.35">
      <c r="A3374" s="417" t="s">
        <v>846</v>
      </c>
      <c r="B3374" s="417" t="s">
        <v>680</v>
      </c>
      <c r="C3374" s="83">
        <v>46113</v>
      </c>
      <c r="D3374" s="417" t="s">
        <v>690</v>
      </c>
      <c r="E3374">
        <v>1395.8171666666699</v>
      </c>
      <c r="F3374">
        <v>3</v>
      </c>
      <c r="G3374">
        <v>465.272388888889</v>
      </c>
      <c r="H3374">
        <v>0</v>
      </c>
      <c r="I3374">
        <v>53.715294577836097</v>
      </c>
    </row>
    <row r="3375" spans="1:9" x14ac:dyDescent="0.35">
      <c r="A3375" s="417" t="s">
        <v>846</v>
      </c>
      <c r="B3375" s="417" t="s">
        <v>680</v>
      </c>
      <c r="C3375" s="83">
        <v>46113</v>
      </c>
      <c r="D3375" s="417" t="s">
        <v>686</v>
      </c>
      <c r="E3375">
        <v>1440</v>
      </c>
      <c r="F3375">
        <v>1</v>
      </c>
      <c r="G3375">
        <v>1440</v>
      </c>
      <c r="H3375">
        <v>0</v>
      </c>
      <c r="I3375">
        <v>37.579365079365097</v>
      </c>
    </row>
    <row r="3376" spans="1:9" x14ac:dyDescent="0.35">
      <c r="A3376" s="417" t="s">
        <v>846</v>
      </c>
      <c r="B3376" s="417" t="s">
        <v>691</v>
      </c>
      <c r="C3376" s="83">
        <v>46113</v>
      </c>
      <c r="D3376" s="417" t="s">
        <v>305</v>
      </c>
      <c r="E3376">
        <v>1146.7411666666701</v>
      </c>
      <c r="F3376">
        <v>169</v>
      </c>
      <c r="G3376">
        <v>6.7854506903353</v>
      </c>
      <c r="H3376">
        <v>15.086266666666701</v>
      </c>
      <c r="I3376">
        <v>47.267285303978099</v>
      </c>
    </row>
    <row r="3377" spans="1:9" x14ac:dyDescent="0.35">
      <c r="A3377" s="417" t="s">
        <v>846</v>
      </c>
      <c r="B3377" s="417" t="s">
        <v>691</v>
      </c>
      <c r="C3377" s="83">
        <v>46113</v>
      </c>
      <c r="D3377" s="417" t="s">
        <v>309</v>
      </c>
      <c r="E3377">
        <v>1346.7681833333299</v>
      </c>
      <c r="F3377">
        <v>93</v>
      </c>
      <c r="G3377">
        <v>14.481378315412201</v>
      </c>
      <c r="H3377">
        <v>0</v>
      </c>
      <c r="I3377">
        <v>61.951900822615301</v>
      </c>
    </row>
    <row r="3378" spans="1:9" x14ac:dyDescent="0.35">
      <c r="A3378" s="417" t="s">
        <v>846</v>
      </c>
      <c r="B3378" s="417" t="s">
        <v>691</v>
      </c>
      <c r="C3378" s="83">
        <v>46113</v>
      </c>
      <c r="D3378" s="417" t="s">
        <v>342</v>
      </c>
      <c r="E3378">
        <v>1185.40491666667</v>
      </c>
      <c r="F3378">
        <v>83</v>
      </c>
      <c r="G3378">
        <v>14.2819869477912</v>
      </c>
      <c r="H3378">
        <v>156.7064</v>
      </c>
      <c r="I3378">
        <v>46.299603174603099</v>
      </c>
    </row>
    <row r="3379" spans="1:9" x14ac:dyDescent="0.35">
      <c r="A3379" s="417" t="s">
        <v>846</v>
      </c>
      <c r="B3379" s="417" t="s">
        <v>691</v>
      </c>
      <c r="C3379" s="83">
        <v>46113</v>
      </c>
      <c r="D3379" s="417" t="s">
        <v>299</v>
      </c>
      <c r="E3379">
        <v>1275.4702666666701</v>
      </c>
      <c r="F3379">
        <v>81</v>
      </c>
      <c r="G3379">
        <v>15.746546502057599</v>
      </c>
      <c r="H3379">
        <v>0.37013333333333298</v>
      </c>
      <c r="I3379">
        <v>84.421889146021101</v>
      </c>
    </row>
    <row r="3380" spans="1:9" x14ac:dyDescent="0.35">
      <c r="A3380" s="417" t="s">
        <v>846</v>
      </c>
      <c r="B3380" s="417" t="s">
        <v>691</v>
      </c>
      <c r="C3380" s="83">
        <v>46113</v>
      </c>
      <c r="D3380" s="417" t="s">
        <v>303</v>
      </c>
      <c r="E3380">
        <v>1372.59118333333</v>
      </c>
      <c r="F3380">
        <v>65</v>
      </c>
      <c r="G3380">
        <v>21.1167874358974</v>
      </c>
      <c r="H3380">
        <v>0.37068333333333298</v>
      </c>
      <c r="I3380">
        <v>53.438919870504201</v>
      </c>
    </row>
    <row r="3381" spans="1:9" x14ac:dyDescent="0.35">
      <c r="A3381" s="417" t="s">
        <v>846</v>
      </c>
      <c r="B3381" s="417" t="s">
        <v>691</v>
      </c>
      <c r="C3381" s="83">
        <v>46113</v>
      </c>
      <c r="D3381" s="417" t="s">
        <v>301</v>
      </c>
      <c r="E3381">
        <v>1381.5807666666699</v>
      </c>
      <c r="F3381">
        <v>48</v>
      </c>
      <c r="G3381">
        <v>28.782932638888902</v>
      </c>
      <c r="H3381">
        <v>0.18606666666666699</v>
      </c>
      <c r="I3381">
        <v>68.971018058718698</v>
      </c>
    </row>
    <row r="3382" spans="1:9" x14ac:dyDescent="0.35">
      <c r="A3382" s="417" t="s">
        <v>846</v>
      </c>
      <c r="B3382" s="417" t="s">
        <v>691</v>
      </c>
      <c r="C3382" s="83">
        <v>46113</v>
      </c>
      <c r="D3382" s="417" t="s">
        <v>295</v>
      </c>
      <c r="E3382">
        <v>1361.3931666666699</v>
      </c>
      <c r="F3382">
        <v>45</v>
      </c>
      <c r="G3382">
        <v>30.253181481481501</v>
      </c>
      <c r="H3382">
        <v>1.1618333333333299</v>
      </c>
      <c r="I3382">
        <v>79.333543714598704</v>
      </c>
    </row>
    <row r="3383" spans="1:9" x14ac:dyDescent="0.35">
      <c r="A3383" s="417" t="s">
        <v>846</v>
      </c>
      <c r="B3383" s="417" t="s">
        <v>691</v>
      </c>
      <c r="C3383" s="83">
        <v>46113</v>
      </c>
      <c r="D3383" s="417" t="s">
        <v>310</v>
      </c>
      <c r="E3383">
        <v>1346.3303333333299</v>
      </c>
      <c r="F3383">
        <v>23</v>
      </c>
      <c r="G3383">
        <v>58.536101449275399</v>
      </c>
      <c r="H3383">
        <v>0.548383333333333</v>
      </c>
      <c r="I3383">
        <v>77.377335820808</v>
      </c>
    </row>
    <row r="3384" spans="1:9" x14ac:dyDescent="0.35">
      <c r="A3384" s="417" t="s">
        <v>846</v>
      </c>
      <c r="B3384" s="417" t="s">
        <v>691</v>
      </c>
      <c r="C3384" s="83">
        <v>46113</v>
      </c>
      <c r="D3384" s="417" t="s">
        <v>313</v>
      </c>
      <c r="E3384">
        <v>1423.7566833333301</v>
      </c>
      <c r="F3384">
        <v>15</v>
      </c>
      <c r="G3384">
        <v>94.917112222222201</v>
      </c>
      <c r="H3384">
        <v>0</v>
      </c>
      <c r="I3384">
        <v>77.418364482355699</v>
      </c>
    </row>
    <row r="3385" spans="1:9" x14ac:dyDescent="0.35">
      <c r="A3385" s="417" t="s">
        <v>846</v>
      </c>
      <c r="B3385" s="417" t="s">
        <v>691</v>
      </c>
      <c r="C3385" s="83">
        <v>46113</v>
      </c>
      <c r="D3385" s="417" t="s">
        <v>314</v>
      </c>
      <c r="E3385">
        <v>1381.8322000000001</v>
      </c>
      <c r="F3385">
        <v>7</v>
      </c>
      <c r="G3385">
        <v>197.40459999999999</v>
      </c>
      <c r="H3385">
        <v>2.6242666666666699</v>
      </c>
      <c r="I3385">
        <v>68.205113292891099</v>
      </c>
    </row>
    <row r="3386" spans="1:9" x14ac:dyDescent="0.35">
      <c r="A3386" s="417" t="s">
        <v>846</v>
      </c>
      <c r="B3386" s="417" t="s">
        <v>691</v>
      </c>
      <c r="C3386" s="83">
        <v>46113</v>
      </c>
      <c r="D3386" s="417" t="s">
        <v>317</v>
      </c>
      <c r="E3386">
        <v>1419.8435666666701</v>
      </c>
      <c r="F3386">
        <v>4</v>
      </c>
      <c r="G3386">
        <v>354.96089166666701</v>
      </c>
      <c r="H3386">
        <v>3.2657500000000002</v>
      </c>
      <c r="I3386">
        <v>49.069099499320899</v>
      </c>
    </row>
    <row r="3387" spans="1:9" x14ac:dyDescent="0.35">
      <c r="A3387" s="417" t="s">
        <v>846</v>
      </c>
      <c r="B3387" s="417" t="s">
        <v>691</v>
      </c>
      <c r="C3387" s="83">
        <v>46113</v>
      </c>
      <c r="D3387" s="417" t="s">
        <v>504</v>
      </c>
      <c r="E3387">
        <v>1440</v>
      </c>
      <c r="F3387">
        <v>1</v>
      </c>
      <c r="G3387">
        <v>1440</v>
      </c>
      <c r="H3387">
        <v>0</v>
      </c>
      <c r="I3387">
        <v>33.626388888888897</v>
      </c>
    </row>
    <row r="3388" spans="1:9" x14ac:dyDescent="0.35">
      <c r="A3388" s="417" t="s">
        <v>846</v>
      </c>
      <c r="B3388" s="417" t="s">
        <v>676</v>
      </c>
      <c r="C3388" s="83">
        <v>46112</v>
      </c>
      <c r="D3388" s="417" t="s">
        <v>677</v>
      </c>
      <c r="E3388">
        <v>1317.6438333333399</v>
      </c>
      <c r="F3388">
        <v>33</v>
      </c>
      <c r="G3388">
        <v>39.928601010101097</v>
      </c>
      <c r="H3388">
        <v>23.680116666666699</v>
      </c>
      <c r="I3388">
        <v>33.843055555555502</v>
      </c>
    </row>
    <row r="3389" spans="1:9" x14ac:dyDescent="0.35">
      <c r="A3389" s="417" t="s">
        <v>846</v>
      </c>
      <c r="B3389" s="417" t="s">
        <v>676</v>
      </c>
      <c r="C3389" s="83">
        <v>46112</v>
      </c>
      <c r="D3389" s="417" t="s">
        <v>679</v>
      </c>
      <c r="E3389">
        <v>1306.7779333333301</v>
      </c>
      <c r="F3389">
        <v>16</v>
      </c>
      <c r="G3389">
        <v>81.673620833333302</v>
      </c>
      <c r="H3389">
        <v>10.6895333333333</v>
      </c>
      <c r="I3389">
        <v>94.065937154817206</v>
      </c>
    </row>
    <row r="3390" spans="1:9" x14ac:dyDescent="0.35">
      <c r="A3390" s="417" t="s">
        <v>846</v>
      </c>
      <c r="B3390" s="417" t="s">
        <v>680</v>
      </c>
      <c r="C3390" s="83">
        <v>46112</v>
      </c>
      <c r="D3390" s="417" t="s">
        <v>682</v>
      </c>
      <c r="E3390">
        <v>1307.52675</v>
      </c>
      <c r="F3390">
        <v>55</v>
      </c>
      <c r="G3390">
        <v>23.7732136363636</v>
      </c>
      <c r="H3390">
        <v>54.140716666666698</v>
      </c>
      <c r="I3390">
        <v>57.296626984127002</v>
      </c>
    </row>
    <row r="3391" spans="1:9" x14ac:dyDescent="0.35">
      <c r="A3391" s="417" t="s">
        <v>846</v>
      </c>
      <c r="B3391" s="417" t="s">
        <v>680</v>
      </c>
      <c r="C3391" s="83">
        <v>46112</v>
      </c>
      <c r="D3391" s="417" t="s">
        <v>684</v>
      </c>
      <c r="E3391">
        <v>1386.45423333333</v>
      </c>
      <c r="F3391">
        <v>38</v>
      </c>
      <c r="G3391">
        <v>36.485637719298197</v>
      </c>
      <c r="H3391">
        <v>22.024699999999999</v>
      </c>
      <c r="I3391">
        <v>67.397351323538203</v>
      </c>
    </row>
    <row r="3392" spans="1:9" x14ac:dyDescent="0.35">
      <c r="A3392" s="417" t="s">
        <v>846</v>
      </c>
      <c r="B3392" s="417" t="s">
        <v>680</v>
      </c>
      <c r="C3392" s="83">
        <v>46112</v>
      </c>
      <c r="D3392" s="417" t="s">
        <v>683</v>
      </c>
      <c r="E3392">
        <v>1357.03678333333</v>
      </c>
      <c r="F3392">
        <v>36</v>
      </c>
      <c r="G3392">
        <v>37.695466203703702</v>
      </c>
      <c r="H3392">
        <v>3.4957166666666701</v>
      </c>
      <c r="I3392">
        <v>61.696176331367099</v>
      </c>
    </row>
    <row r="3393" spans="1:9" x14ac:dyDescent="0.35">
      <c r="A3393" s="417" t="s">
        <v>846</v>
      </c>
      <c r="B3393" s="417" t="s">
        <v>680</v>
      </c>
      <c r="C3393" s="83">
        <v>46112</v>
      </c>
      <c r="D3393" s="417" t="s">
        <v>681</v>
      </c>
      <c r="E3393">
        <v>1388.35713333333</v>
      </c>
      <c r="F3393">
        <v>35</v>
      </c>
      <c r="G3393">
        <v>39.667346666666703</v>
      </c>
      <c r="H3393">
        <v>1.9923833333333301</v>
      </c>
      <c r="I3393">
        <v>79.053497457739795</v>
      </c>
    </row>
    <row r="3394" spans="1:9" x14ac:dyDescent="0.35">
      <c r="A3394" s="417" t="s">
        <v>846</v>
      </c>
      <c r="B3394" s="417" t="s">
        <v>680</v>
      </c>
      <c r="C3394" s="83">
        <v>46112</v>
      </c>
      <c r="D3394" s="417" t="s">
        <v>685</v>
      </c>
      <c r="E3394">
        <v>1373.35265</v>
      </c>
      <c r="F3394">
        <v>27</v>
      </c>
      <c r="G3394">
        <v>50.864912962962997</v>
      </c>
      <c r="H3394">
        <v>12.9994</v>
      </c>
      <c r="I3394">
        <v>61.789736697035401</v>
      </c>
    </row>
    <row r="3395" spans="1:9" x14ac:dyDescent="0.35">
      <c r="A3395" s="417" t="s">
        <v>846</v>
      </c>
      <c r="B3395" s="417" t="s">
        <v>680</v>
      </c>
      <c r="C3395" s="83">
        <v>46112</v>
      </c>
      <c r="D3395" s="417" t="s">
        <v>689</v>
      </c>
      <c r="E3395">
        <v>1359.9758999999999</v>
      </c>
      <c r="F3395">
        <v>27</v>
      </c>
      <c r="G3395">
        <v>50.369477777777803</v>
      </c>
      <c r="H3395">
        <v>4.3350166666666698</v>
      </c>
      <c r="I3395">
        <v>74.784670807000197</v>
      </c>
    </row>
    <row r="3396" spans="1:9" x14ac:dyDescent="0.35">
      <c r="A3396" s="417" t="s">
        <v>846</v>
      </c>
      <c r="B3396" s="417" t="s">
        <v>680</v>
      </c>
      <c r="C3396" s="83">
        <v>46112</v>
      </c>
      <c r="D3396" s="417" t="s">
        <v>688</v>
      </c>
      <c r="E3396">
        <v>1394.68253333333</v>
      </c>
      <c r="F3396">
        <v>19</v>
      </c>
      <c r="G3396">
        <v>73.404343859649103</v>
      </c>
      <c r="H3396">
        <v>9.68021666666667</v>
      </c>
      <c r="I3396">
        <v>74.657347017247801</v>
      </c>
    </row>
    <row r="3397" spans="1:9" x14ac:dyDescent="0.35">
      <c r="A3397" s="417" t="s">
        <v>846</v>
      </c>
      <c r="B3397" s="417" t="s">
        <v>680</v>
      </c>
      <c r="C3397" s="83">
        <v>46112</v>
      </c>
      <c r="D3397" s="417" t="s">
        <v>687</v>
      </c>
      <c r="E3397">
        <v>1417.8332499999999</v>
      </c>
      <c r="F3397">
        <v>14</v>
      </c>
      <c r="G3397">
        <v>101.273803571429</v>
      </c>
      <c r="H3397">
        <v>14.486549999999999</v>
      </c>
      <c r="I3397">
        <v>49.755928889904403</v>
      </c>
    </row>
    <row r="3398" spans="1:9" x14ac:dyDescent="0.35">
      <c r="A3398" s="417" t="s">
        <v>846</v>
      </c>
      <c r="B3398" s="417" t="s">
        <v>680</v>
      </c>
      <c r="C3398" s="83">
        <v>46112</v>
      </c>
      <c r="D3398" s="417" t="s">
        <v>690</v>
      </c>
      <c r="E3398">
        <v>1347.99516666667</v>
      </c>
      <c r="F3398">
        <v>13</v>
      </c>
      <c r="G3398">
        <v>103.691935897436</v>
      </c>
      <c r="H3398">
        <v>7.1819666666666704</v>
      </c>
      <c r="I3398">
        <v>49.281323502352599</v>
      </c>
    </row>
    <row r="3399" spans="1:9" x14ac:dyDescent="0.35">
      <c r="A3399" s="417" t="s">
        <v>846</v>
      </c>
      <c r="B3399" s="417" t="s">
        <v>680</v>
      </c>
      <c r="C3399" s="83">
        <v>46112</v>
      </c>
      <c r="D3399" s="417" t="s">
        <v>686</v>
      </c>
      <c r="E3399">
        <v>1440</v>
      </c>
      <c r="F3399">
        <v>1</v>
      </c>
      <c r="G3399">
        <v>1440</v>
      </c>
      <c r="H3399">
        <v>0</v>
      </c>
      <c r="I3399">
        <v>45.198412698412703</v>
      </c>
    </row>
    <row r="3400" spans="1:9" x14ac:dyDescent="0.35">
      <c r="A3400" s="417" t="s">
        <v>846</v>
      </c>
      <c r="B3400" s="417" t="s">
        <v>691</v>
      </c>
      <c r="C3400" s="83">
        <v>46112</v>
      </c>
      <c r="D3400" s="417" t="s">
        <v>305</v>
      </c>
      <c r="E3400">
        <v>1167.8122166666701</v>
      </c>
      <c r="F3400">
        <v>280</v>
      </c>
      <c r="G3400">
        <v>4.1707579166666697</v>
      </c>
      <c r="H3400">
        <v>13.818433333333299</v>
      </c>
      <c r="I3400">
        <v>41.290313095992502</v>
      </c>
    </row>
    <row r="3401" spans="1:9" x14ac:dyDescent="0.35">
      <c r="A3401" s="417" t="s">
        <v>846</v>
      </c>
      <c r="B3401" s="417" t="s">
        <v>691</v>
      </c>
      <c r="C3401" s="83">
        <v>46112</v>
      </c>
      <c r="D3401" s="417" t="s">
        <v>301</v>
      </c>
      <c r="E3401">
        <v>1364.0038500000001</v>
      </c>
      <c r="F3401">
        <v>105</v>
      </c>
      <c r="G3401">
        <v>12.9905128571429</v>
      </c>
      <c r="H3401">
        <v>2.4830333333333301</v>
      </c>
      <c r="I3401">
        <v>49.398899998876601</v>
      </c>
    </row>
    <row r="3402" spans="1:9" x14ac:dyDescent="0.35">
      <c r="A3402" s="417" t="s">
        <v>846</v>
      </c>
      <c r="B3402" s="417" t="s">
        <v>691</v>
      </c>
      <c r="C3402" s="83">
        <v>46112</v>
      </c>
      <c r="D3402" s="417" t="s">
        <v>342</v>
      </c>
      <c r="E3402">
        <v>1015.74085</v>
      </c>
      <c r="F3402">
        <v>103</v>
      </c>
      <c r="G3402">
        <v>9.8615616504854398</v>
      </c>
      <c r="H3402">
        <v>210.50573333333301</v>
      </c>
      <c r="I3402">
        <v>42.648809523809497</v>
      </c>
    </row>
    <row r="3403" spans="1:9" x14ac:dyDescent="0.35">
      <c r="A3403" s="417" t="s">
        <v>846</v>
      </c>
      <c r="B3403" s="417" t="s">
        <v>691</v>
      </c>
      <c r="C3403" s="83">
        <v>46112</v>
      </c>
      <c r="D3403" s="417" t="s">
        <v>299</v>
      </c>
      <c r="E3403">
        <v>1337.5219833333299</v>
      </c>
      <c r="F3403">
        <v>99</v>
      </c>
      <c r="G3403">
        <v>13.5103230639731</v>
      </c>
      <c r="H3403">
        <v>1.2909999999999999</v>
      </c>
      <c r="I3403">
        <v>74.2525229380729</v>
      </c>
    </row>
    <row r="3404" spans="1:9" x14ac:dyDescent="0.35">
      <c r="A3404" s="417" t="s">
        <v>846</v>
      </c>
      <c r="B3404" s="417" t="s">
        <v>691</v>
      </c>
      <c r="C3404" s="83">
        <v>46112</v>
      </c>
      <c r="D3404" s="417" t="s">
        <v>303</v>
      </c>
      <c r="E3404">
        <v>1373.00876666667</v>
      </c>
      <c r="F3404">
        <v>81</v>
      </c>
      <c r="G3404">
        <v>16.950725514403299</v>
      </c>
      <c r="H3404">
        <v>0.47949999999999998</v>
      </c>
      <c r="I3404">
        <v>55.929918097427503</v>
      </c>
    </row>
    <row r="3405" spans="1:9" x14ac:dyDescent="0.35">
      <c r="A3405" s="417" t="s">
        <v>846</v>
      </c>
      <c r="B3405" s="417" t="s">
        <v>691</v>
      </c>
      <c r="C3405" s="83">
        <v>46112</v>
      </c>
      <c r="D3405" s="417" t="s">
        <v>309</v>
      </c>
      <c r="E3405">
        <v>1358.6493</v>
      </c>
      <c r="F3405">
        <v>65</v>
      </c>
      <c r="G3405">
        <v>20.9022969230769</v>
      </c>
      <c r="H3405">
        <v>0</v>
      </c>
      <c r="I3405">
        <v>60.908634168905799</v>
      </c>
    </row>
    <row r="3406" spans="1:9" x14ac:dyDescent="0.35">
      <c r="A3406" s="417" t="s">
        <v>846</v>
      </c>
      <c r="B3406" s="417" t="s">
        <v>691</v>
      </c>
      <c r="C3406" s="83">
        <v>46112</v>
      </c>
      <c r="D3406" s="417" t="s">
        <v>295</v>
      </c>
      <c r="E3406">
        <v>1297.2166500000001</v>
      </c>
      <c r="F3406">
        <v>54</v>
      </c>
      <c r="G3406">
        <v>24.022530555555601</v>
      </c>
      <c r="H3406">
        <v>1.6492166666666701</v>
      </c>
      <c r="I3406">
        <v>66.948343394067194</v>
      </c>
    </row>
    <row r="3407" spans="1:9" x14ac:dyDescent="0.35">
      <c r="A3407" s="417" t="s">
        <v>846</v>
      </c>
      <c r="B3407" s="417" t="s">
        <v>691</v>
      </c>
      <c r="C3407" s="83">
        <v>46112</v>
      </c>
      <c r="D3407" s="417" t="s">
        <v>314</v>
      </c>
      <c r="E3407">
        <v>1103.64701666667</v>
      </c>
      <c r="F3407">
        <v>11</v>
      </c>
      <c r="G3407">
        <v>100.331546969697</v>
      </c>
      <c r="H3407">
        <v>11.98305</v>
      </c>
      <c r="I3407">
        <v>45.769246558691101</v>
      </c>
    </row>
    <row r="3408" spans="1:9" x14ac:dyDescent="0.35">
      <c r="A3408" s="417" t="s">
        <v>846</v>
      </c>
      <c r="B3408" s="417" t="s">
        <v>691</v>
      </c>
      <c r="C3408" s="83">
        <v>46112</v>
      </c>
      <c r="D3408" s="417" t="s">
        <v>310</v>
      </c>
      <c r="E3408">
        <v>1334.7561000000001</v>
      </c>
      <c r="F3408">
        <v>10</v>
      </c>
      <c r="G3408">
        <v>133.47560999999999</v>
      </c>
      <c r="H3408">
        <v>0.11081666666666699</v>
      </c>
      <c r="I3408">
        <v>60.393056101070897</v>
      </c>
    </row>
    <row r="3409" spans="1:9" x14ac:dyDescent="0.35">
      <c r="A3409" s="417" t="s">
        <v>846</v>
      </c>
      <c r="B3409" s="417" t="s">
        <v>691</v>
      </c>
      <c r="C3409" s="83">
        <v>46112</v>
      </c>
      <c r="D3409" s="417" t="s">
        <v>317</v>
      </c>
      <c r="E3409">
        <v>1432.37456666667</v>
      </c>
      <c r="F3409">
        <v>6</v>
      </c>
      <c r="G3409">
        <v>238.729094444444</v>
      </c>
      <c r="H3409">
        <v>3.1719666666666702</v>
      </c>
      <c r="I3409">
        <v>48.208120317288703</v>
      </c>
    </row>
    <row r="3410" spans="1:9" x14ac:dyDescent="0.35">
      <c r="A3410" s="417" t="s">
        <v>846</v>
      </c>
      <c r="B3410" s="417" t="s">
        <v>691</v>
      </c>
      <c r="C3410" s="83">
        <v>46112</v>
      </c>
      <c r="D3410" s="417" t="s">
        <v>504</v>
      </c>
      <c r="E3410">
        <v>1440</v>
      </c>
      <c r="F3410">
        <v>1</v>
      </c>
      <c r="G3410">
        <v>1440</v>
      </c>
      <c r="H3410">
        <v>0</v>
      </c>
      <c r="I3410">
        <v>34.531327160493802</v>
      </c>
    </row>
    <row r="3411" spans="1:9" x14ac:dyDescent="0.35">
      <c r="A3411" s="417" t="s">
        <v>846</v>
      </c>
      <c r="B3411" s="417" t="s">
        <v>691</v>
      </c>
      <c r="C3411" s="83">
        <v>46112</v>
      </c>
      <c r="D3411" s="417" t="s">
        <v>313</v>
      </c>
      <c r="E3411">
        <v>1435.9941833333301</v>
      </c>
      <c r="F3411">
        <v>1</v>
      </c>
      <c r="G3411">
        <v>1435.9941833333301</v>
      </c>
      <c r="H3411">
        <v>0</v>
      </c>
      <c r="I3411">
        <v>70.000283543395597</v>
      </c>
    </row>
    <row r="3412" spans="1:9" x14ac:dyDescent="0.35">
      <c r="A3412" s="417" t="s">
        <v>846</v>
      </c>
      <c r="B3412" s="417" t="s">
        <v>676</v>
      </c>
      <c r="C3412" s="83">
        <v>46111</v>
      </c>
      <c r="D3412" s="417" t="s">
        <v>677</v>
      </c>
      <c r="E3412">
        <v>1403.6670666666701</v>
      </c>
      <c r="F3412">
        <v>43</v>
      </c>
      <c r="G3412">
        <v>32.643420155038797</v>
      </c>
      <c r="H3412">
        <v>36.332933333333301</v>
      </c>
      <c r="I3412">
        <v>36.108611111111102</v>
      </c>
    </row>
    <row r="3413" spans="1:9" x14ac:dyDescent="0.35">
      <c r="A3413" s="417" t="s">
        <v>846</v>
      </c>
      <c r="B3413" s="417" t="s">
        <v>676</v>
      </c>
      <c r="C3413" s="83">
        <v>46111</v>
      </c>
      <c r="D3413" s="417" t="s">
        <v>679</v>
      </c>
      <c r="E3413">
        <v>1348.1306500000001</v>
      </c>
      <c r="F3413">
        <v>35</v>
      </c>
      <c r="G3413">
        <v>38.518018571428598</v>
      </c>
      <c r="H3413">
        <v>37.6798</v>
      </c>
      <c r="I3413">
        <v>106.224724552577</v>
      </c>
    </row>
    <row r="3414" spans="1:9" x14ac:dyDescent="0.35">
      <c r="A3414" s="417" t="s">
        <v>846</v>
      </c>
      <c r="B3414" s="417" t="s">
        <v>680</v>
      </c>
      <c r="C3414" s="83">
        <v>46111</v>
      </c>
      <c r="D3414" s="417" t="s">
        <v>681</v>
      </c>
      <c r="E3414">
        <v>1313.3332166666701</v>
      </c>
      <c r="F3414">
        <v>80</v>
      </c>
      <c r="G3414">
        <v>16.416665208333299</v>
      </c>
      <c r="H3414">
        <v>14.353300000000001</v>
      </c>
      <c r="I3414">
        <v>55.129965059812697</v>
      </c>
    </row>
    <row r="3415" spans="1:9" x14ac:dyDescent="0.35">
      <c r="A3415" s="417" t="s">
        <v>846</v>
      </c>
      <c r="B3415" s="417" t="s">
        <v>680</v>
      </c>
      <c r="C3415" s="83">
        <v>46111</v>
      </c>
      <c r="D3415" s="417" t="s">
        <v>682</v>
      </c>
      <c r="E3415">
        <v>1242.0130999999999</v>
      </c>
      <c r="F3415">
        <v>71</v>
      </c>
      <c r="G3415">
        <v>17.4931422535211</v>
      </c>
      <c r="H3415">
        <v>67.143050000000002</v>
      </c>
      <c r="I3415">
        <v>46.765873015872998</v>
      </c>
    </row>
    <row r="3416" spans="1:9" x14ac:dyDescent="0.35">
      <c r="A3416" s="417" t="s">
        <v>846</v>
      </c>
      <c r="B3416" s="417" t="s">
        <v>680</v>
      </c>
      <c r="C3416" s="83">
        <v>46111</v>
      </c>
      <c r="D3416" s="417" t="s">
        <v>690</v>
      </c>
      <c r="E3416">
        <v>1330.78798333333</v>
      </c>
      <c r="F3416">
        <v>48</v>
      </c>
      <c r="G3416">
        <v>27.724749652777799</v>
      </c>
      <c r="H3416">
        <v>31.351749999999999</v>
      </c>
      <c r="I3416">
        <v>40.219227698666501</v>
      </c>
    </row>
    <row r="3417" spans="1:9" x14ac:dyDescent="0.35">
      <c r="A3417" s="417" t="s">
        <v>846</v>
      </c>
      <c r="B3417" s="417" t="s">
        <v>680</v>
      </c>
      <c r="C3417" s="83">
        <v>46111</v>
      </c>
      <c r="D3417" s="417" t="s">
        <v>689</v>
      </c>
      <c r="E3417">
        <v>1361.63961666667</v>
      </c>
      <c r="F3417">
        <v>34</v>
      </c>
      <c r="G3417">
        <v>40.048224019607801</v>
      </c>
      <c r="H3417">
        <v>1.9974499999999999</v>
      </c>
      <c r="I3417">
        <v>54.641241028594898</v>
      </c>
    </row>
    <row r="3418" spans="1:9" x14ac:dyDescent="0.35">
      <c r="A3418" s="417" t="s">
        <v>846</v>
      </c>
      <c r="B3418" s="417" t="s">
        <v>680</v>
      </c>
      <c r="C3418" s="83">
        <v>46111</v>
      </c>
      <c r="D3418" s="417" t="s">
        <v>683</v>
      </c>
      <c r="E3418">
        <v>1366.44906666667</v>
      </c>
      <c r="F3418">
        <v>34</v>
      </c>
      <c r="G3418">
        <v>40.189678431372599</v>
      </c>
      <c r="H3418">
        <v>1.17336666666667</v>
      </c>
      <c r="I3418">
        <v>42.868976735951101</v>
      </c>
    </row>
    <row r="3419" spans="1:9" x14ac:dyDescent="0.35">
      <c r="A3419" s="417" t="s">
        <v>846</v>
      </c>
      <c r="B3419" s="417" t="s">
        <v>680</v>
      </c>
      <c r="C3419" s="83">
        <v>46111</v>
      </c>
      <c r="D3419" s="417" t="s">
        <v>684</v>
      </c>
      <c r="E3419">
        <v>1389.6262833333301</v>
      </c>
      <c r="F3419">
        <v>33</v>
      </c>
      <c r="G3419">
        <v>42.109887373737401</v>
      </c>
      <c r="H3419">
        <v>28.348483333333299</v>
      </c>
      <c r="I3419">
        <v>50.967115635457397</v>
      </c>
    </row>
    <row r="3420" spans="1:9" x14ac:dyDescent="0.35">
      <c r="A3420" s="417" t="s">
        <v>846</v>
      </c>
      <c r="B3420" s="417" t="s">
        <v>680</v>
      </c>
      <c r="C3420" s="83">
        <v>46111</v>
      </c>
      <c r="D3420" s="417" t="s">
        <v>685</v>
      </c>
      <c r="E3420">
        <v>1395.38995</v>
      </c>
      <c r="F3420">
        <v>20</v>
      </c>
      <c r="G3420">
        <v>69.7694975</v>
      </c>
      <c r="H3420">
        <v>7.5196666666666703</v>
      </c>
      <c r="I3420">
        <v>49.520737200296097</v>
      </c>
    </row>
    <row r="3421" spans="1:9" x14ac:dyDescent="0.35">
      <c r="A3421" s="417" t="s">
        <v>846</v>
      </c>
      <c r="B3421" s="417" t="s">
        <v>680</v>
      </c>
      <c r="C3421" s="83">
        <v>46111</v>
      </c>
      <c r="D3421" s="417" t="s">
        <v>687</v>
      </c>
      <c r="E3421">
        <v>1401.6702166666701</v>
      </c>
      <c r="F3421">
        <v>17</v>
      </c>
      <c r="G3421">
        <v>82.451189215686298</v>
      </c>
      <c r="H3421">
        <v>32.834566666666703</v>
      </c>
      <c r="I3421">
        <v>35.490742730977701</v>
      </c>
    </row>
    <row r="3422" spans="1:9" x14ac:dyDescent="0.35">
      <c r="A3422" s="417" t="s">
        <v>846</v>
      </c>
      <c r="B3422" s="417" t="s">
        <v>680</v>
      </c>
      <c r="C3422" s="83">
        <v>46111</v>
      </c>
      <c r="D3422" s="417" t="s">
        <v>688</v>
      </c>
      <c r="E3422">
        <v>1404.4666</v>
      </c>
      <c r="F3422">
        <v>13</v>
      </c>
      <c r="G3422">
        <v>108.035892307692</v>
      </c>
      <c r="H3422">
        <v>2.5095833333333299</v>
      </c>
      <c r="I3422">
        <v>50.495883328353301</v>
      </c>
    </row>
    <row r="3423" spans="1:9" x14ac:dyDescent="0.35">
      <c r="A3423" s="417" t="s">
        <v>846</v>
      </c>
      <c r="B3423" s="417" t="s">
        <v>680</v>
      </c>
      <c r="C3423" s="83">
        <v>46111</v>
      </c>
      <c r="D3423" s="417" t="s">
        <v>686</v>
      </c>
      <c r="E3423">
        <v>1440</v>
      </c>
      <c r="F3423">
        <v>1</v>
      </c>
      <c r="G3423">
        <v>1440</v>
      </c>
      <c r="H3423">
        <v>0</v>
      </c>
      <c r="I3423">
        <v>26.478174603174601</v>
      </c>
    </row>
    <row r="3424" spans="1:9" x14ac:dyDescent="0.35">
      <c r="A3424" s="417" t="s">
        <v>846</v>
      </c>
      <c r="B3424" s="417" t="s">
        <v>691</v>
      </c>
      <c r="C3424" s="83">
        <v>46111</v>
      </c>
      <c r="D3424" s="417" t="s">
        <v>305</v>
      </c>
      <c r="E3424">
        <v>1029.5518500000001</v>
      </c>
      <c r="F3424">
        <v>229</v>
      </c>
      <c r="G3424">
        <v>4.4958596069869001</v>
      </c>
      <c r="H3424">
        <v>14.394716666666699</v>
      </c>
      <c r="I3424">
        <v>45.912240767817998</v>
      </c>
    </row>
    <row r="3425" spans="1:9" x14ac:dyDescent="0.35">
      <c r="A3425" s="417" t="s">
        <v>846</v>
      </c>
      <c r="B3425" s="417" t="s">
        <v>691</v>
      </c>
      <c r="C3425" s="83">
        <v>46111</v>
      </c>
      <c r="D3425" s="417" t="s">
        <v>299</v>
      </c>
      <c r="E3425">
        <v>1360.5591666666701</v>
      </c>
      <c r="F3425">
        <v>130</v>
      </c>
      <c r="G3425">
        <v>10.465839743589701</v>
      </c>
      <c r="H3425">
        <v>0.519116666666667</v>
      </c>
      <c r="I3425">
        <v>61.381080202690598</v>
      </c>
    </row>
    <row r="3426" spans="1:9" x14ac:dyDescent="0.35">
      <c r="A3426" s="417" t="s">
        <v>846</v>
      </c>
      <c r="B3426" s="417" t="s">
        <v>691</v>
      </c>
      <c r="C3426" s="83">
        <v>46111</v>
      </c>
      <c r="D3426" s="417" t="s">
        <v>301</v>
      </c>
      <c r="E3426">
        <v>1263.90548333333</v>
      </c>
      <c r="F3426">
        <v>100</v>
      </c>
      <c r="G3426">
        <v>12.639054833333301</v>
      </c>
      <c r="H3426">
        <v>1.9724333333333299</v>
      </c>
      <c r="I3426">
        <v>46.1214856304926</v>
      </c>
    </row>
    <row r="3427" spans="1:9" x14ac:dyDescent="0.35">
      <c r="A3427" s="417" t="s">
        <v>846</v>
      </c>
      <c r="B3427" s="417" t="s">
        <v>691</v>
      </c>
      <c r="C3427" s="83">
        <v>46111</v>
      </c>
      <c r="D3427" s="417" t="s">
        <v>309</v>
      </c>
      <c r="E3427">
        <v>1312.4097666666701</v>
      </c>
      <c r="F3427">
        <v>78</v>
      </c>
      <c r="G3427">
        <v>16.825766239316199</v>
      </c>
      <c r="H3427">
        <v>0</v>
      </c>
      <c r="I3427">
        <v>55.1439367441793</v>
      </c>
    </row>
    <row r="3428" spans="1:9" x14ac:dyDescent="0.35">
      <c r="A3428" s="417" t="s">
        <v>846</v>
      </c>
      <c r="B3428" s="417" t="s">
        <v>691</v>
      </c>
      <c r="C3428" s="83">
        <v>46111</v>
      </c>
      <c r="D3428" s="417" t="s">
        <v>342</v>
      </c>
      <c r="E3428">
        <v>802.28891666666698</v>
      </c>
      <c r="F3428">
        <v>73</v>
      </c>
      <c r="G3428">
        <v>10.9902591324201</v>
      </c>
      <c r="H3428">
        <v>131.85528333333301</v>
      </c>
      <c r="I3428">
        <v>21.8650793650793</v>
      </c>
    </row>
    <row r="3429" spans="1:9" x14ac:dyDescent="0.35">
      <c r="A3429" s="417" t="s">
        <v>846</v>
      </c>
      <c r="B3429" s="417" t="s">
        <v>691</v>
      </c>
      <c r="C3429" s="83">
        <v>46111</v>
      </c>
      <c r="D3429" s="417" t="s">
        <v>303</v>
      </c>
      <c r="E3429">
        <v>1346.4853000000001</v>
      </c>
      <c r="F3429">
        <v>59</v>
      </c>
      <c r="G3429">
        <v>22.821784745762699</v>
      </c>
      <c r="H3429">
        <v>0.32173333333333298</v>
      </c>
      <c r="I3429">
        <v>49.672752995451098</v>
      </c>
    </row>
    <row r="3430" spans="1:9" x14ac:dyDescent="0.35">
      <c r="A3430" s="417" t="s">
        <v>846</v>
      </c>
      <c r="B3430" s="417" t="s">
        <v>691</v>
      </c>
      <c r="C3430" s="83">
        <v>46111</v>
      </c>
      <c r="D3430" s="417" t="s">
        <v>295</v>
      </c>
      <c r="E3430">
        <v>1299.1998333333299</v>
      </c>
      <c r="F3430">
        <v>55</v>
      </c>
      <c r="G3430">
        <v>23.6218151515152</v>
      </c>
      <c r="H3430">
        <v>9.30666666666667E-2</v>
      </c>
      <c r="I3430">
        <v>58.929967987743296</v>
      </c>
    </row>
    <row r="3431" spans="1:9" x14ac:dyDescent="0.35">
      <c r="A3431" s="417" t="s">
        <v>846</v>
      </c>
      <c r="B3431" s="417" t="s">
        <v>691</v>
      </c>
      <c r="C3431" s="83">
        <v>46111</v>
      </c>
      <c r="D3431" s="417" t="s">
        <v>310</v>
      </c>
      <c r="E3431">
        <v>1024.54266000333</v>
      </c>
      <c r="F3431">
        <v>38</v>
      </c>
      <c r="G3431">
        <v>26.961648947456101</v>
      </c>
      <c r="H3431">
        <v>2.89706666666667</v>
      </c>
      <c r="I3431">
        <v>31.763948092418701</v>
      </c>
    </row>
    <row r="3432" spans="1:9" x14ac:dyDescent="0.35">
      <c r="A3432" s="417" t="s">
        <v>846</v>
      </c>
      <c r="B3432" s="417" t="s">
        <v>691</v>
      </c>
      <c r="C3432" s="83">
        <v>46111</v>
      </c>
      <c r="D3432" s="417" t="s">
        <v>314</v>
      </c>
      <c r="E3432">
        <v>1232.9016666666701</v>
      </c>
      <c r="F3432">
        <v>31</v>
      </c>
      <c r="G3432">
        <v>39.771021505376297</v>
      </c>
      <c r="H3432">
        <v>7.0218666666666696</v>
      </c>
      <c r="I3432">
        <v>26.547645668336902</v>
      </c>
    </row>
    <row r="3433" spans="1:9" x14ac:dyDescent="0.35">
      <c r="A3433" s="417" t="s">
        <v>846</v>
      </c>
      <c r="B3433" s="417" t="s">
        <v>691</v>
      </c>
      <c r="C3433" s="83">
        <v>46111</v>
      </c>
      <c r="D3433" s="417" t="s">
        <v>317</v>
      </c>
      <c r="E3433">
        <v>1425.3250499999999</v>
      </c>
      <c r="F3433">
        <v>3</v>
      </c>
      <c r="G3433">
        <v>475.10834999999997</v>
      </c>
      <c r="H3433">
        <v>2.7671333333333301</v>
      </c>
      <c r="I3433">
        <v>29.493894365899401</v>
      </c>
    </row>
    <row r="3434" spans="1:9" x14ac:dyDescent="0.35">
      <c r="A3434" s="417" t="s">
        <v>846</v>
      </c>
      <c r="B3434" s="417" t="s">
        <v>691</v>
      </c>
      <c r="C3434" s="83">
        <v>46111</v>
      </c>
      <c r="D3434" s="417" t="s">
        <v>313</v>
      </c>
      <c r="E3434">
        <v>1434.4165</v>
      </c>
      <c r="F3434">
        <v>2</v>
      </c>
      <c r="G3434">
        <v>717.20825000000002</v>
      </c>
      <c r="H3434">
        <v>0</v>
      </c>
      <c r="I3434">
        <v>42.135896733164998</v>
      </c>
    </row>
    <row r="3435" spans="1:9" x14ac:dyDescent="0.35">
      <c r="A3435" s="417" t="s">
        <v>846</v>
      </c>
      <c r="B3435" s="417" t="s">
        <v>691</v>
      </c>
      <c r="C3435" s="83">
        <v>46111</v>
      </c>
      <c r="D3435" s="417" t="s">
        <v>504</v>
      </c>
      <c r="E3435">
        <v>1440</v>
      </c>
      <c r="F3435">
        <v>1</v>
      </c>
      <c r="G3435">
        <v>1440</v>
      </c>
      <c r="H3435">
        <v>0</v>
      </c>
      <c r="I3435">
        <v>31.7461419753086</v>
      </c>
    </row>
    <row r="3436" spans="1:9" x14ac:dyDescent="0.35">
      <c r="A3436" s="417" t="s">
        <v>846</v>
      </c>
      <c r="B3436" s="417" t="s">
        <v>676</v>
      </c>
      <c r="C3436" s="83">
        <v>46110</v>
      </c>
      <c r="D3436" s="417" t="s">
        <v>677</v>
      </c>
      <c r="E3436">
        <v>1377.3342666666699</v>
      </c>
      <c r="F3436">
        <v>96</v>
      </c>
      <c r="G3436">
        <v>14.3472319444445</v>
      </c>
      <c r="H3436">
        <v>62.6657333333333</v>
      </c>
      <c r="I3436">
        <v>53.3652777777776</v>
      </c>
    </row>
    <row r="3437" spans="1:9" x14ac:dyDescent="0.35">
      <c r="A3437" s="417" t="s">
        <v>846</v>
      </c>
      <c r="B3437" s="417" t="s">
        <v>676</v>
      </c>
      <c r="C3437" s="83">
        <v>46110</v>
      </c>
      <c r="D3437" s="417" t="s">
        <v>679</v>
      </c>
      <c r="E3437">
        <v>1367.7953833333299</v>
      </c>
      <c r="F3437">
        <v>24</v>
      </c>
      <c r="G3437">
        <v>56.991474305555499</v>
      </c>
      <c r="H3437">
        <v>17.0063833333333</v>
      </c>
      <c r="I3437">
        <v>108.518540547789</v>
      </c>
    </row>
    <row r="3438" spans="1:9" x14ac:dyDescent="0.35">
      <c r="A3438" s="417" t="s">
        <v>846</v>
      </c>
      <c r="B3438" s="417" t="s">
        <v>680</v>
      </c>
      <c r="C3438" s="83">
        <v>46110</v>
      </c>
      <c r="D3438" s="417" t="s">
        <v>681</v>
      </c>
      <c r="E3438">
        <v>1275.1821333333301</v>
      </c>
      <c r="F3438">
        <v>86</v>
      </c>
      <c r="G3438">
        <v>14.827699224806199</v>
      </c>
      <c r="H3438">
        <v>2.3405999999999998</v>
      </c>
      <c r="I3438">
        <v>45.7698423718425</v>
      </c>
    </row>
    <row r="3439" spans="1:9" x14ac:dyDescent="0.35">
      <c r="A3439" s="417" t="s">
        <v>846</v>
      </c>
      <c r="B3439" s="417" t="s">
        <v>680</v>
      </c>
      <c r="C3439" s="83">
        <v>46110</v>
      </c>
      <c r="D3439" s="417" t="s">
        <v>683</v>
      </c>
      <c r="E3439">
        <v>1321.174</v>
      </c>
      <c r="F3439">
        <v>48</v>
      </c>
      <c r="G3439">
        <v>27.5244583333333</v>
      </c>
      <c r="H3439">
        <v>1.8418333333333301</v>
      </c>
      <c r="I3439">
        <v>34.654862706916099</v>
      </c>
    </row>
    <row r="3440" spans="1:9" x14ac:dyDescent="0.35">
      <c r="A3440" s="417" t="s">
        <v>846</v>
      </c>
      <c r="B3440" s="417" t="s">
        <v>680</v>
      </c>
      <c r="C3440" s="83">
        <v>46110</v>
      </c>
      <c r="D3440" s="417" t="s">
        <v>684</v>
      </c>
      <c r="E3440">
        <v>1384.0062</v>
      </c>
      <c r="F3440">
        <v>46</v>
      </c>
      <c r="G3440">
        <v>30.087091304347801</v>
      </c>
      <c r="H3440">
        <v>29.315349999999999</v>
      </c>
      <c r="I3440">
        <v>46.454401459413702</v>
      </c>
    </row>
    <row r="3441" spans="1:9" x14ac:dyDescent="0.35">
      <c r="A3441" s="417" t="s">
        <v>846</v>
      </c>
      <c r="B3441" s="417" t="s">
        <v>680</v>
      </c>
      <c r="C3441" s="83">
        <v>46110</v>
      </c>
      <c r="D3441" s="417" t="s">
        <v>689</v>
      </c>
      <c r="E3441">
        <v>1358.00563333333</v>
      </c>
      <c r="F3441">
        <v>42</v>
      </c>
      <c r="G3441">
        <v>32.3334674603175</v>
      </c>
      <c r="H3441">
        <v>2.83306666666667</v>
      </c>
      <c r="I3441">
        <v>48.427574868415199</v>
      </c>
    </row>
    <row r="3442" spans="1:9" x14ac:dyDescent="0.35">
      <c r="A3442" s="417" t="s">
        <v>846</v>
      </c>
      <c r="B3442" s="417" t="s">
        <v>680</v>
      </c>
      <c r="C3442" s="83">
        <v>46110</v>
      </c>
      <c r="D3442" s="417" t="s">
        <v>682</v>
      </c>
      <c r="E3442">
        <v>1403.67221666667</v>
      </c>
      <c r="F3442">
        <v>41</v>
      </c>
      <c r="G3442">
        <v>34.235907723577199</v>
      </c>
      <c r="H3442">
        <v>25.6672333333333</v>
      </c>
      <c r="I3442">
        <v>40.585317460317498</v>
      </c>
    </row>
    <row r="3443" spans="1:9" x14ac:dyDescent="0.35">
      <c r="A3443" s="417" t="s">
        <v>846</v>
      </c>
      <c r="B3443" s="417" t="s">
        <v>680</v>
      </c>
      <c r="C3443" s="83">
        <v>46110</v>
      </c>
      <c r="D3443" s="417" t="s">
        <v>690</v>
      </c>
      <c r="E3443">
        <v>1402.8421499999999</v>
      </c>
      <c r="F3443">
        <v>17</v>
      </c>
      <c r="G3443">
        <v>82.520126470588295</v>
      </c>
      <c r="H3443">
        <v>7.1593833333333299</v>
      </c>
      <c r="I3443">
        <v>15.277697329799301</v>
      </c>
    </row>
    <row r="3444" spans="1:9" x14ac:dyDescent="0.35">
      <c r="A3444" s="417" t="s">
        <v>846</v>
      </c>
      <c r="B3444" s="417" t="s">
        <v>680</v>
      </c>
      <c r="C3444" s="83">
        <v>46110</v>
      </c>
      <c r="D3444" s="417" t="s">
        <v>685</v>
      </c>
      <c r="E3444">
        <v>1419.61051666667</v>
      </c>
      <c r="F3444">
        <v>16</v>
      </c>
      <c r="G3444">
        <v>88.725657291666593</v>
      </c>
      <c r="H3444">
        <v>0.99985000000000002</v>
      </c>
      <c r="I3444">
        <v>44.775337384423402</v>
      </c>
    </row>
    <row r="3445" spans="1:9" x14ac:dyDescent="0.35">
      <c r="A3445" s="417" t="s">
        <v>846</v>
      </c>
      <c r="B3445" s="417" t="s">
        <v>680</v>
      </c>
      <c r="C3445" s="83">
        <v>46110</v>
      </c>
      <c r="D3445" s="417" t="s">
        <v>687</v>
      </c>
      <c r="E3445">
        <v>1415.3447166666699</v>
      </c>
      <c r="F3445">
        <v>16</v>
      </c>
      <c r="G3445">
        <v>88.459044791666699</v>
      </c>
      <c r="H3445">
        <v>18.81615</v>
      </c>
      <c r="I3445">
        <v>33.602415852607898</v>
      </c>
    </row>
    <row r="3446" spans="1:9" x14ac:dyDescent="0.35">
      <c r="A3446" s="417" t="s">
        <v>846</v>
      </c>
      <c r="B3446" s="417" t="s">
        <v>680</v>
      </c>
      <c r="C3446" s="83">
        <v>46110</v>
      </c>
      <c r="D3446" s="417" t="s">
        <v>688</v>
      </c>
      <c r="E3446">
        <v>1403.16255</v>
      </c>
      <c r="F3446">
        <v>6</v>
      </c>
      <c r="G3446">
        <v>233.86042499999999</v>
      </c>
      <c r="H3446">
        <v>8.6734666666666698</v>
      </c>
      <c r="I3446">
        <v>40.555094346102997</v>
      </c>
    </row>
    <row r="3447" spans="1:9" x14ac:dyDescent="0.35">
      <c r="A3447" s="417" t="s">
        <v>846</v>
      </c>
      <c r="B3447" s="417" t="s">
        <v>680</v>
      </c>
      <c r="C3447" s="83">
        <v>46110</v>
      </c>
      <c r="D3447" s="417" t="s">
        <v>686</v>
      </c>
      <c r="E3447">
        <v>1440</v>
      </c>
      <c r="F3447">
        <v>1</v>
      </c>
      <c r="G3447">
        <v>1440</v>
      </c>
      <c r="H3447">
        <v>0</v>
      </c>
      <c r="I3447">
        <v>29.563492063492099</v>
      </c>
    </row>
    <row r="3448" spans="1:9" x14ac:dyDescent="0.35">
      <c r="A3448" s="417" t="s">
        <v>846</v>
      </c>
      <c r="B3448" s="417" t="s">
        <v>691</v>
      </c>
      <c r="C3448" s="83">
        <v>46110</v>
      </c>
      <c r="D3448" s="417" t="s">
        <v>305</v>
      </c>
      <c r="E3448">
        <v>1096.63243333333</v>
      </c>
      <c r="F3448">
        <v>314</v>
      </c>
      <c r="G3448">
        <v>3.4924599787685802</v>
      </c>
      <c r="H3448">
        <v>14.4697</v>
      </c>
      <c r="I3448">
        <v>40.295438434364499</v>
      </c>
    </row>
    <row r="3449" spans="1:9" x14ac:dyDescent="0.35">
      <c r="A3449" s="417" t="s">
        <v>846</v>
      </c>
      <c r="B3449" s="417" t="s">
        <v>691</v>
      </c>
      <c r="C3449" s="83">
        <v>46110</v>
      </c>
      <c r="D3449" s="417" t="s">
        <v>299</v>
      </c>
      <c r="E3449">
        <v>1331.3859833333299</v>
      </c>
      <c r="F3449">
        <v>150</v>
      </c>
      <c r="G3449">
        <v>8.8759065555555594</v>
      </c>
      <c r="H3449">
        <v>0.59011666666666696</v>
      </c>
      <c r="I3449">
        <v>84.081858745803302</v>
      </c>
    </row>
    <row r="3450" spans="1:9" x14ac:dyDescent="0.35">
      <c r="A3450" s="417" t="s">
        <v>846</v>
      </c>
      <c r="B3450" s="417" t="s">
        <v>691</v>
      </c>
      <c r="C3450" s="83">
        <v>46110</v>
      </c>
      <c r="D3450" s="417" t="s">
        <v>342</v>
      </c>
      <c r="E3450">
        <v>844.96821666666699</v>
      </c>
      <c r="F3450">
        <v>88</v>
      </c>
      <c r="G3450">
        <v>9.6019115530303001</v>
      </c>
      <c r="H3450">
        <v>200.89814999999999</v>
      </c>
      <c r="I3450">
        <v>28.6111111111111</v>
      </c>
    </row>
    <row r="3451" spans="1:9" x14ac:dyDescent="0.35">
      <c r="A3451" s="417" t="s">
        <v>846</v>
      </c>
      <c r="B3451" s="417" t="s">
        <v>691</v>
      </c>
      <c r="C3451" s="83">
        <v>46110</v>
      </c>
      <c r="D3451" s="417" t="s">
        <v>301</v>
      </c>
      <c r="E3451">
        <v>1377.2422833333301</v>
      </c>
      <c r="F3451">
        <v>84</v>
      </c>
      <c r="G3451">
        <v>16.395741468253998</v>
      </c>
      <c r="H3451">
        <v>0.38724999999999998</v>
      </c>
      <c r="I3451">
        <v>55.370739111663198</v>
      </c>
    </row>
    <row r="3452" spans="1:9" x14ac:dyDescent="0.35">
      <c r="A3452" s="417" t="s">
        <v>846</v>
      </c>
      <c r="B3452" s="417" t="s">
        <v>691</v>
      </c>
      <c r="C3452" s="83">
        <v>46110</v>
      </c>
      <c r="D3452" s="417" t="s">
        <v>309</v>
      </c>
      <c r="E3452">
        <v>1375.1727333333299</v>
      </c>
      <c r="F3452">
        <v>79</v>
      </c>
      <c r="G3452">
        <v>17.4072497890295</v>
      </c>
      <c r="H3452">
        <v>0</v>
      </c>
      <c r="I3452">
        <v>57.663834725907002</v>
      </c>
    </row>
    <row r="3453" spans="1:9" x14ac:dyDescent="0.35">
      <c r="A3453" s="417" t="s">
        <v>846</v>
      </c>
      <c r="B3453" s="417" t="s">
        <v>691</v>
      </c>
      <c r="C3453" s="83">
        <v>46110</v>
      </c>
      <c r="D3453" s="417" t="s">
        <v>295</v>
      </c>
      <c r="E3453">
        <v>1384.5308666666699</v>
      </c>
      <c r="F3453">
        <v>55</v>
      </c>
      <c r="G3453">
        <v>25.173288484848499</v>
      </c>
      <c r="H3453">
        <v>0.16261666666666699</v>
      </c>
      <c r="I3453">
        <v>84.545497244843403</v>
      </c>
    </row>
    <row r="3454" spans="1:9" x14ac:dyDescent="0.35">
      <c r="A3454" s="417" t="s">
        <v>846</v>
      </c>
      <c r="B3454" s="417" t="s">
        <v>691</v>
      </c>
      <c r="C3454" s="83">
        <v>46110</v>
      </c>
      <c r="D3454" s="417" t="s">
        <v>303</v>
      </c>
      <c r="E3454">
        <v>1389.9202</v>
      </c>
      <c r="F3454">
        <v>54</v>
      </c>
      <c r="G3454">
        <v>25.739262962963</v>
      </c>
      <c r="H3454">
        <v>0.35561666666666703</v>
      </c>
      <c r="I3454">
        <v>60.497994580697402</v>
      </c>
    </row>
    <row r="3455" spans="1:9" x14ac:dyDescent="0.35">
      <c r="A3455" s="417" t="s">
        <v>846</v>
      </c>
      <c r="B3455" s="417" t="s">
        <v>691</v>
      </c>
      <c r="C3455" s="83">
        <v>46110</v>
      </c>
      <c r="D3455" s="417" t="s">
        <v>314</v>
      </c>
      <c r="E3455">
        <v>1286.67545</v>
      </c>
      <c r="F3455">
        <v>28</v>
      </c>
      <c r="G3455">
        <v>45.952694642857097</v>
      </c>
      <c r="H3455">
        <v>0.62780000000000002</v>
      </c>
      <c r="I3455">
        <v>27.323765856472502</v>
      </c>
    </row>
    <row r="3456" spans="1:9" x14ac:dyDescent="0.35">
      <c r="A3456" s="417" t="s">
        <v>846</v>
      </c>
      <c r="B3456" s="417" t="s">
        <v>691</v>
      </c>
      <c r="C3456" s="83">
        <v>46110</v>
      </c>
      <c r="D3456" s="417" t="s">
        <v>310</v>
      </c>
      <c r="E3456">
        <v>1396.19953333333</v>
      </c>
      <c r="F3456">
        <v>7</v>
      </c>
      <c r="G3456">
        <v>199.45707619047599</v>
      </c>
      <c r="H3456">
        <v>2.4336333333333302</v>
      </c>
      <c r="I3456">
        <v>52.069381426137603</v>
      </c>
    </row>
    <row r="3457" spans="1:9" x14ac:dyDescent="0.35">
      <c r="A3457" s="417" t="s">
        <v>846</v>
      </c>
      <c r="B3457" s="417" t="s">
        <v>691</v>
      </c>
      <c r="C3457" s="83">
        <v>46110</v>
      </c>
      <c r="D3457" s="417" t="s">
        <v>317</v>
      </c>
      <c r="E3457">
        <v>1413.85496666667</v>
      </c>
      <c r="F3457">
        <v>3</v>
      </c>
      <c r="G3457">
        <v>471.28498888888902</v>
      </c>
      <c r="H3457">
        <v>0.95738333333333303</v>
      </c>
      <c r="I3457">
        <v>32.548486023605903</v>
      </c>
    </row>
    <row r="3458" spans="1:9" x14ac:dyDescent="0.35">
      <c r="A3458" s="417" t="s">
        <v>846</v>
      </c>
      <c r="B3458" s="417" t="s">
        <v>691</v>
      </c>
      <c r="C3458" s="83">
        <v>46110</v>
      </c>
      <c r="D3458" s="417" t="s">
        <v>313</v>
      </c>
      <c r="E3458">
        <v>1428.9866833333299</v>
      </c>
      <c r="F3458">
        <v>1</v>
      </c>
      <c r="G3458">
        <v>1428.9866833333299</v>
      </c>
      <c r="H3458">
        <v>0</v>
      </c>
      <c r="I3458">
        <v>51.7604543573947</v>
      </c>
    </row>
    <row r="3459" spans="1:9" x14ac:dyDescent="0.35">
      <c r="A3459" s="417" t="s">
        <v>846</v>
      </c>
      <c r="B3459" s="417" t="s">
        <v>691</v>
      </c>
      <c r="C3459" s="83">
        <v>46110</v>
      </c>
      <c r="D3459" s="417" t="s">
        <v>504</v>
      </c>
      <c r="E3459">
        <v>1440</v>
      </c>
      <c r="F3459">
        <v>1</v>
      </c>
      <c r="G3459">
        <v>1440</v>
      </c>
      <c r="H3459">
        <v>0</v>
      </c>
      <c r="I3459">
        <v>36.128858024691397</v>
      </c>
    </row>
    <row r="3460" spans="1:9" x14ac:dyDescent="0.35">
      <c r="A3460" s="417" t="s">
        <v>846</v>
      </c>
      <c r="B3460" s="417" t="s">
        <v>676</v>
      </c>
      <c r="C3460" s="83">
        <v>46109</v>
      </c>
      <c r="D3460" s="417" t="s">
        <v>677</v>
      </c>
      <c r="E3460">
        <v>958.01293333333399</v>
      </c>
      <c r="F3460">
        <v>95</v>
      </c>
      <c r="G3460">
        <v>10.084346666666701</v>
      </c>
      <c r="H3460">
        <v>59.614416666666699</v>
      </c>
      <c r="I3460">
        <v>17.530555555555502</v>
      </c>
    </row>
    <row r="3461" spans="1:9" x14ac:dyDescent="0.35">
      <c r="A3461" s="417" t="s">
        <v>846</v>
      </c>
      <c r="B3461" s="417" t="s">
        <v>676</v>
      </c>
      <c r="C3461" s="83">
        <v>46109</v>
      </c>
      <c r="D3461" s="417" t="s">
        <v>679</v>
      </c>
      <c r="E3461">
        <v>856.59879999999998</v>
      </c>
      <c r="F3461">
        <v>28</v>
      </c>
      <c r="G3461">
        <v>30.592814285714301</v>
      </c>
      <c r="H3461">
        <v>43.002283333333303</v>
      </c>
      <c r="I3461">
        <v>79.601516249332207</v>
      </c>
    </row>
    <row r="3462" spans="1:9" x14ac:dyDescent="0.35">
      <c r="A3462" s="417" t="s">
        <v>846</v>
      </c>
      <c r="B3462" s="417" t="s">
        <v>680</v>
      </c>
      <c r="C3462" s="83">
        <v>46109</v>
      </c>
      <c r="D3462" s="417" t="s">
        <v>681</v>
      </c>
      <c r="E3462">
        <v>1131.4138166666701</v>
      </c>
      <c r="F3462">
        <v>157</v>
      </c>
      <c r="G3462">
        <v>7.2064574309978804</v>
      </c>
      <c r="H3462">
        <v>13.008983333333299</v>
      </c>
      <c r="I3462">
        <v>32.679286762779803</v>
      </c>
    </row>
    <row r="3463" spans="1:9" x14ac:dyDescent="0.35">
      <c r="A3463" s="417" t="s">
        <v>846</v>
      </c>
      <c r="B3463" s="417" t="s">
        <v>680</v>
      </c>
      <c r="C3463" s="83">
        <v>46109</v>
      </c>
      <c r="D3463" s="417" t="s">
        <v>684</v>
      </c>
      <c r="E3463">
        <v>1308.53475</v>
      </c>
      <c r="F3463">
        <v>82</v>
      </c>
      <c r="G3463">
        <v>15.9577408536585</v>
      </c>
      <c r="H3463">
        <v>37.798499999999997</v>
      </c>
      <c r="I3463">
        <v>37.845307944248702</v>
      </c>
    </row>
    <row r="3464" spans="1:9" x14ac:dyDescent="0.35">
      <c r="A3464" s="417" t="s">
        <v>846</v>
      </c>
      <c r="B3464" s="417" t="s">
        <v>680</v>
      </c>
      <c r="C3464" s="83">
        <v>46109</v>
      </c>
      <c r="D3464" s="417" t="s">
        <v>683</v>
      </c>
      <c r="E3464">
        <v>1123.0969666666699</v>
      </c>
      <c r="F3464">
        <v>80</v>
      </c>
      <c r="G3464">
        <v>14.0387120833333</v>
      </c>
      <c r="H3464">
        <v>27.185666666666702</v>
      </c>
      <c r="I3464">
        <v>34.270490137682302</v>
      </c>
    </row>
    <row r="3465" spans="1:9" x14ac:dyDescent="0.35">
      <c r="A3465" s="417" t="s">
        <v>846</v>
      </c>
      <c r="B3465" s="417" t="s">
        <v>680</v>
      </c>
      <c r="C3465" s="83">
        <v>46109</v>
      </c>
      <c r="D3465" s="417" t="s">
        <v>689</v>
      </c>
      <c r="E3465">
        <v>1346.0434499999999</v>
      </c>
      <c r="F3465">
        <v>62</v>
      </c>
      <c r="G3465">
        <v>21.710378225806501</v>
      </c>
      <c r="H3465">
        <v>3.31768333333333</v>
      </c>
      <c r="I3465">
        <v>37.333257770856797</v>
      </c>
    </row>
    <row r="3466" spans="1:9" x14ac:dyDescent="0.35">
      <c r="A3466" s="417" t="s">
        <v>846</v>
      </c>
      <c r="B3466" s="417" t="s">
        <v>680</v>
      </c>
      <c r="C3466" s="83">
        <v>46109</v>
      </c>
      <c r="D3466" s="417" t="s">
        <v>682</v>
      </c>
      <c r="E3466">
        <v>1236.1585500000001</v>
      </c>
      <c r="F3466">
        <v>44</v>
      </c>
      <c r="G3466">
        <v>28.0945125</v>
      </c>
      <c r="H3466">
        <v>43.830300000000001</v>
      </c>
      <c r="I3466">
        <v>20.145637853078298</v>
      </c>
    </row>
    <row r="3467" spans="1:9" x14ac:dyDescent="0.35">
      <c r="A3467" s="417" t="s">
        <v>846</v>
      </c>
      <c r="B3467" s="417" t="s">
        <v>680</v>
      </c>
      <c r="C3467" s="83">
        <v>46109</v>
      </c>
      <c r="D3467" s="417" t="s">
        <v>688</v>
      </c>
      <c r="E3467">
        <v>1073.9761000000001</v>
      </c>
      <c r="F3467">
        <v>34</v>
      </c>
      <c r="G3467">
        <v>31.587532352941199</v>
      </c>
      <c r="H3467">
        <v>13.3265333333333</v>
      </c>
      <c r="I3467">
        <v>26.932508100149601</v>
      </c>
    </row>
    <row r="3468" spans="1:9" x14ac:dyDescent="0.35">
      <c r="A3468" s="417" t="s">
        <v>846</v>
      </c>
      <c r="B3468" s="417" t="s">
        <v>680</v>
      </c>
      <c r="C3468" s="83">
        <v>46109</v>
      </c>
      <c r="D3468" s="417" t="s">
        <v>687</v>
      </c>
      <c r="E3468">
        <v>1144.6114</v>
      </c>
      <c r="F3468">
        <v>18</v>
      </c>
      <c r="G3468">
        <v>63.5895222222222</v>
      </c>
      <c r="H3468">
        <v>49.323399999999999</v>
      </c>
      <c r="I3468">
        <v>24.329986369605798</v>
      </c>
    </row>
    <row r="3469" spans="1:9" x14ac:dyDescent="0.35">
      <c r="A3469" s="417" t="s">
        <v>846</v>
      </c>
      <c r="B3469" s="417" t="s">
        <v>680</v>
      </c>
      <c r="C3469" s="83">
        <v>46109</v>
      </c>
      <c r="D3469" s="417" t="s">
        <v>685</v>
      </c>
      <c r="E3469">
        <v>1177.0759499999999</v>
      </c>
      <c r="F3469">
        <v>16</v>
      </c>
      <c r="G3469">
        <v>73.567246874999995</v>
      </c>
      <c r="H3469">
        <v>7.3334666666666699</v>
      </c>
      <c r="I3469">
        <v>32.6473800773378</v>
      </c>
    </row>
    <row r="3470" spans="1:9" x14ac:dyDescent="0.35">
      <c r="A3470" s="417" t="s">
        <v>846</v>
      </c>
      <c r="B3470" s="417" t="s">
        <v>680</v>
      </c>
      <c r="C3470" s="83">
        <v>46109</v>
      </c>
      <c r="D3470" s="417" t="s">
        <v>690</v>
      </c>
      <c r="E3470">
        <v>1310.64895</v>
      </c>
      <c r="F3470">
        <v>8</v>
      </c>
      <c r="G3470">
        <v>163.83111875</v>
      </c>
      <c r="H3470">
        <v>3.5005666666666699</v>
      </c>
      <c r="I3470">
        <v>20.366191627921101</v>
      </c>
    </row>
    <row r="3471" spans="1:9" x14ac:dyDescent="0.35">
      <c r="A3471" s="417" t="s">
        <v>846</v>
      </c>
      <c r="B3471" s="417" t="s">
        <v>680</v>
      </c>
      <c r="C3471" s="83">
        <v>46109</v>
      </c>
      <c r="D3471" s="417" t="s">
        <v>686</v>
      </c>
      <c r="E3471">
        <v>843.59903333333295</v>
      </c>
      <c r="F3471">
        <v>1</v>
      </c>
      <c r="G3471">
        <v>843.59903333333295</v>
      </c>
      <c r="H3471">
        <v>0</v>
      </c>
      <c r="I3471">
        <v>18.366402116402099</v>
      </c>
    </row>
    <row r="3472" spans="1:9" x14ac:dyDescent="0.35">
      <c r="A3472" s="417" t="s">
        <v>846</v>
      </c>
      <c r="B3472" s="417" t="s">
        <v>691</v>
      </c>
      <c r="C3472" s="83">
        <v>46109</v>
      </c>
      <c r="D3472" s="417" t="s">
        <v>305</v>
      </c>
      <c r="E3472">
        <v>1161.7830833333301</v>
      </c>
      <c r="F3472">
        <v>343</v>
      </c>
      <c r="G3472">
        <v>3.3871226919339201</v>
      </c>
      <c r="H3472">
        <v>10.096866666666701</v>
      </c>
      <c r="I3472">
        <v>41.728216699632803</v>
      </c>
    </row>
    <row r="3473" spans="1:9" x14ac:dyDescent="0.35">
      <c r="A3473" s="417" t="s">
        <v>846</v>
      </c>
      <c r="B3473" s="417" t="s">
        <v>691</v>
      </c>
      <c r="C3473" s="83">
        <v>46109</v>
      </c>
      <c r="D3473" s="417" t="s">
        <v>309</v>
      </c>
      <c r="E3473">
        <v>1319.83398333333</v>
      </c>
      <c r="F3473">
        <v>120</v>
      </c>
      <c r="G3473">
        <v>10.9986165277778</v>
      </c>
      <c r="H3473">
        <v>0</v>
      </c>
      <c r="I3473">
        <v>56.400861384726902</v>
      </c>
    </row>
    <row r="3474" spans="1:9" x14ac:dyDescent="0.35">
      <c r="A3474" s="417" t="s">
        <v>846</v>
      </c>
      <c r="B3474" s="417" t="s">
        <v>691</v>
      </c>
      <c r="C3474" s="83">
        <v>46109</v>
      </c>
      <c r="D3474" s="417" t="s">
        <v>299</v>
      </c>
      <c r="E3474">
        <v>1344.9134166666699</v>
      </c>
      <c r="F3474">
        <v>119</v>
      </c>
      <c r="G3474">
        <v>11.3017934173669</v>
      </c>
      <c r="H3474">
        <v>0.71891666666666698</v>
      </c>
      <c r="I3474">
        <v>67.316213798270297</v>
      </c>
    </row>
    <row r="3475" spans="1:9" x14ac:dyDescent="0.35">
      <c r="A3475" s="417" t="s">
        <v>846</v>
      </c>
      <c r="B3475" s="417" t="s">
        <v>691</v>
      </c>
      <c r="C3475" s="83">
        <v>46109</v>
      </c>
      <c r="D3475" s="417" t="s">
        <v>301</v>
      </c>
      <c r="E3475">
        <v>1358.3706999999999</v>
      </c>
      <c r="F3475">
        <v>107</v>
      </c>
      <c r="G3475">
        <v>12.695053271028</v>
      </c>
      <c r="H3475">
        <v>1.7332666666666701</v>
      </c>
      <c r="I3475">
        <v>62.504357168234399</v>
      </c>
    </row>
    <row r="3476" spans="1:9" x14ac:dyDescent="0.35">
      <c r="A3476" s="417" t="s">
        <v>846</v>
      </c>
      <c r="B3476" s="417" t="s">
        <v>691</v>
      </c>
      <c r="C3476" s="83">
        <v>46109</v>
      </c>
      <c r="D3476" s="417" t="s">
        <v>342</v>
      </c>
      <c r="E3476">
        <v>1050.5562666666699</v>
      </c>
      <c r="F3476">
        <v>64</v>
      </c>
      <c r="G3476">
        <v>16.414941666666699</v>
      </c>
      <c r="H3476">
        <v>156.331616666667</v>
      </c>
      <c r="I3476">
        <v>19.830979210189099</v>
      </c>
    </row>
    <row r="3477" spans="1:9" x14ac:dyDescent="0.35">
      <c r="A3477" s="417" t="s">
        <v>846</v>
      </c>
      <c r="B3477" s="417" t="s">
        <v>691</v>
      </c>
      <c r="C3477" s="83">
        <v>46109</v>
      </c>
      <c r="D3477" s="417" t="s">
        <v>295</v>
      </c>
      <c r="E3477">
        <v>1264.37603333333</v>
      </c>
      <c r="F3477">
        <v>54</v>
      </c>
      <c r="G3477">
        <v>23.414370987654301</v>
      </c>
      <c r="H3477">
        <v>0.50331666666666697</v>
      </c>
      <c r="I3477">
        <v>82.090873604634993</v>
      </c>
    </row>
    <row r="3478" spans="1:9" x14ac:dyDescent="0.35">
      <c r="A3478" s="417" t="s">
        <v>846</v>
      </c>
      <c r="B3478" s="417" t="s">
        <v>691</v>
      </c>
      <c r="C3478" s="83">
        <v>46109</v>
      </c>
      <c r="D3478" s="417" t="s">
        <v>303</v>
      </c>
      <c r="E3478">
        <v>1361.36961666667</v>
      </c>
      <c r="F3478">
        <v>54</v>
      </c>
      <c r="G3478">
        <v>25.2105484567901</v>
      </c>
      <c r="H3478">
        <v>0.27979999999999999</v>
      </c>
      <c r="I3478">
        <v>66.261405860222197</v>
      </c>
    </row>
    <row r="3479" spans="1:9" x14ac:dyDescent="0.35">
      <c r="A3479" s="417" t="s">
        <v>846</v>
      </c>
      <c r="B3479" s="417" t="s">
        <v>691</v>
      </c>
      <c r="C3479" s="83">
        <v>46109</v>
      </c>
      <c r="D3479" s="417" t="s">
        <v>310</v>
      </c>
      <c r="E3479">
        <v>1372.3377166666701</v>
      </c>
      <c r="F3479">
        <v>22</v>
      </c>
      <c r="G3479">
        <v>62.378987121212099</v>
      </c>
      <c r="H3479">
        <v>0.203133333333333</v>
      </c>
      <c r="I3479">
        <v>50.562606243908</v>
      </c>
    </row>
    <row r="3480" spans="1:9" x14ac:dyDescent="0.35">
      <c r="A3480" s="417" t="s">
        <v>846</v>
      </c>
      <c r="B3480" s="417" t="s">
        <v>691</v>
      </c>
      <c r="C3480" s="83">
        <v>46109</v>
      </c>
      <c r="D3480" s="417" t="s">
        <v>314</v>
      </c>
      <c r="E3480">
        <v>1197.5765833333301</v>
      </c>
      <c r="F3480">
        <v>19</v>
      </c>
      <c r="G3480">
        <v>63.030346491228102</v>
      </c>
      <c r="H3480">
        <v>0.75818333333333299</v>
      </c>
      <c r="I3480">
        <v>40.693697406687697</v>
      </c>
    </row>
    <row r="3481" spans="1:9" x14ac:dyDescent="0.35">
      <c r="A3481" s="417" t="s">
        <v>846</v>
      </c>
      <c r="B3481" s="417" t="s">
        <v>691</v>
      </c>
      <c r="C3481" s="83">
        <v>46109</v>
      </c>
      <c r="D3481" s="417" t="s">
        <v>313</v>
      </c>
      <c r="E3481">
        <v>1092.1119000000001</v>
      </c>
      <c r="F3481">
        <v>15</v>
      </c>
      <c r="G3481">
        <v>72.807460000000006</v>
      </c>
      <c r="H3481">
        <v>0</v>
      </c>
      <c r="I3481">
        <v>51.799853847099001</v>
      </c>
    </row>
    <row r="3482" spans="1:9" x14ac:dyDescent="0.35">
      <c r="A3482" s="417" t="s">
        <v>846</v>
      </c>
      <c r="B3482" s="417" t="s">
        <v>691</v>
      </c>
      <c r="C3482" s="83">
        <v>46109</v>
      </c>
      <c r="D3482" s="417" t="s">
        <v>317</v>
      </c>
      <c r="E3482">
        <v>1434.7818833333299</v>
      </c>
      <c r="F3482">
        <v>3</v>
      </c>
      <c r="G3482">
        <v>478.26062777777798</v>
      </c>
      <c r="H3482">
        <v>1.3973</v>
      </c>
      <c r="I3482">
        <v>39.594641573914103</v>
      </c>
    </row>
    <row r="3483" spans="1:9" x14ac:dyDescent="0.35">
      <c r="A3483" s="417" t="s">
        <v>846</v>
      </c>
      <c r="B3483" s="417" t="s">
        <v>691</v>
      </c>
      <c r="C3483" s="83">
        <v>46109</v>
      </c>
      <c r="D3483" s="417" t="s">
        <v>504</v>
      </c>
      <c r="E3483">
        <v>1440</v>
      </c>
      <c r="F3483">
        <v>1</v>
      </c>
      <c r="G3483">
        <v>1440</v>
      </c>
      <c r="H3483">
        <v>0</v>
      </c>
      <c r="I3483">
        <v>35.915740740740702</v>
      </c>
    </row>
    <row r="3484" spans="1:9" x14ac:dyDescent="0.35">
      <c r="A3484" s="417" t="s">
        <v>846</v>
      </c>
      <c r="B3484" s="417" t="s">
        <v>676</v>
      </c>
      <c r="C3484" s="83">
        <v>46108</v>
      </c>
      <c r="D3484" s="417" t="s">
        <v>677</v>
      </c>
      <c r="E3484">
        <v>1326.4697000000001</v>
      </c>
      <c r="F3484">
        <v>125</v>
      </c>
      <c r="G3484">
        <v>10.611757600000001</v>
      </c>
      <c r="H3484">
        <v>88.865233333333293</v>
      </c>
      <c r="I3484">
        <v>6.3202777777778101</v>
      </c>
    </row>
    <row r="3485" spans="1:9" x14ac:dyDescent="0.35">
      <c r="A3485" s="417" t="s">
        <v>846</v>
      </c>
      <c r="B3485" s="417" t="s">
        <v>676</v>
      </c>
      <c r="C3485" s="83">
        <v>46108</v>
      </c>
      <c r="D3485" s="417" t="s">
        <v>679</v>
      </c>
      <c r="E3485">
        <v>1344.0289</v>
      </c>
      <c r="F3485">
        <v>20</v>
      </c>
      <c r="G3485">
        <v>67.201445000000007</v>
      </c>
      <c r="H3485">
        <v>13.490733333333299</v>
      </c>
      <c r="I3485">
        <v>101.617629377328</v>
      </c>
    </row>
    <row r="3486" spans="1:9" x14ac:dyDescent="0.35">
      <c r="A3486" s="417" t="s">
        <v>846</v>
      </c>
      <c r="B3486" s="417" t="s">
        <v>680</v>
      </c>
      <c r="C3486" s="83">
        <v>46108</v>
      </c>
      <c r="D3486" s="417" t="s">
        <v>681</v>
      </c>
      <c r="E3486">
        <v>1050.5480333333301</v>
      </c>
      <c r="F3486">
        <v>182</v>
      </c>
      <c r="G3486">
        <v>5.7722419413919397</v>
      </c>
      <c r="H3486">
        <v>9.9998166666666695</v>
      </c>
      <c r="I3486">
        <v>8.0749716220121108</v>
      </c>
    </row>
    <row r="3487" spans="1:9" x14ac:dyDescent="0.35">
      <c r="A3487" s="417" t="s">
        <v>846</v>
      </c>
      <c r="B3487" s="417" t="s">
        <v>680</v>
      </c>
      <c r="C3487" s="83">
        <v>46108</v>
      </c>
      <c r="D3487" s="417" t="s">
        <v>684</v>
      </c>
      <c r="E3487">
        <v>1149.838</v>
      </c>
      <c r="F3487">
        <v>153</v>
      </c>
      <c r="G3487">
        <v>7.5152810457516397</v>
      </c>
      <c r="H3487">
        <v>44.148333333333298</v>
      </c>
      <c r="I3487">
        <v>12.335254534400599</v>
      </c>
    </row>
    <row r="3488" spans="1:9" x14ac:dyDescent="0.35">
      <c r="A3488" s="417" t="s">
        <v>846</v>
      </c>
      <c r="B3488" s="417" t="s">
        <v>680</v>
      </c>
      <c r="C3488" s="83">
        <v>46108</v>
      </c>
      <c r="D3488" s="417" t="s">
        <v>689</v>
      </c>
      <c r="E3488">
        <v>1097.75956666667</v>
      </c>
      <c r="F3488">
        <v>60</v>
      </c>
      <c r="G3488">
        <v>18.295992777777801</v>
      </c>
      <c r="H3488">
        <v>2.6657166666666701</v>
      </c>
      <c r="I3488">
        <v>4.9711927937626701</v>
      </c>
    </row>
    <row r="3489" spans="1:9" x14ac:dyDescent="0.35">
      <c r="A3489" s="417" t="s">
        <v>846</v>
      </c>
      <c r="B3489" s="417" t="s">
        <v>680</v>
      </c>
      <c r="C3489" s="83">
        <v>46108</v>
      </c>
      <c r="D3489" s="417" t="s">
        <v>683</v>
      </c>
      <c r="E3489">
        <v>1103.0823666666699</v>
      </c>
      <c r="F3489">
        <v>27</v>
      </c>
      <c r="G3489">
        <v>40.854902469135801</v>
      </c>
      <c r="H3489">
        <v>7.8458166666666704</v>
      </c>
      <c r="I3489">
        <v>8.8431350892040701</v>
      </c>
    </row>
    <row r="3490" spans="1:9" x14ac:dyDescent="0.35">
      <c r="A3490" s="417" t="s">
        <v>846</v>
      </c>
      <c r="B3490" s="417" t="s">
        <v>680</v>
      </c>
      <c r="C3490" s="83">
        <v>46108</v>
      </c>
      <c r="D3490" s="417" t="s">
        <v>687</v>
      </c>
      <c r="E3490">
        <v>1360.84001666667</v>
      </c>
      <c r="F3490">
        <v>27</v>
      </c>
      <c r="G3490">
        <v>50.401482098765399</v>
      </c>
      <c r="H3490">
        <v>22.821733333333299</v>
      </c>
      <c r="I3490">
        <v>7.8122670122735203</v>
      </c>
    </row>
    <row r="3491" spans="1:9" x14ac:dyDescent="0.35">
      <c r="A3491" s="417" t="s">
        <v>846</v>
      </c>
      <c r="B3491" s="417" t="s">
        <v>680</v>
      </c>
      <c r="C3491" s="83">
        <v>46108</v>
      </c>
      <c r="D3491" s="417" t="s">
        <v>688</v>
      </c>
      <c r="E3491">
        <v>830.87588333333304</v>
      </c>
      <c r="F3491">
        <v>14</v>
      </c>
      <c r="G3491">
        <v>59.348277380952403</v>
      </c>
      <c r="H3491">
        <v>0</v>
      </c>
      <c r="I3491">
        <v>1.4649337883492101E-2</v>
      </c>
    </row>
    <row r="3492" spans="1:9" x14ac:dyDescent="0.35">
      <c r="A3492" s="417" t="s">
        <v>846</v>
      </c>
      <c r="B3492" s="417" t="s">
        <v>680</v>
      </c>
      <c r="C3492" s="83">
        <v>46108</v>
      </c>
      <c r="D3492" s="417" t="s">
        <v>682</v>
      </c>
      <c r="E3492">
        <v>511.17765000000003</v>
      </c>
      <c r="F3492">
        <v>9</v>
      </c>
      <c r="G3492">
        <v>56.797516666666702</v>
      </c>
      <c r="H3492">
        <v>18.988883333333298</v>
      </c>
      <c r="I3492">
        <v>2.5212121212121001</v>
      </c>
    </row>
    <row r="3493" spans="1:9" x14ac:dyDescent="0.35">
      <c r="A3493" s="417" t="s">
        <v>846</v>
      </c>
      <c r="B3493" s="417" t="s">
        <v>680</v>
      </c>
      <c r="C3493" s="83">
        <v>46108</v>
      </c>
      <c r="D3493" s="417" t="s">
        <v>685</v>
      </c>
      <c r="E3493">
        <v>986.16804999999999</v>
      </c>
      <c r="F3493">
        <v>3</v>
      </c>
      <c r="G3493">
        <v>328.72268333333301</v>
      </c>
      <c r="H3493">
        <v>1.49406666666667</v>
      </c>
      <c r="I3493">
        <v>0.287179551437724</v>
      </c>
    </row>
    <row r="3494" spans="1:9" x14ac:dyDescent="0.35">
      <c r="A3494" s="417" t="s">
        <v>846</v>
      </c>
      <c r="B3494" s="417" t="s">
        <v>680</v>
      </c>
      <c r="C3494" s="83">
        <v>46108</v>
      </c>
      <c r="D3494" s="417" t="s">
        <v>686</v>
      </c>
      <c r="E3494">
        <v>360</v>
      </c>
      <c r="F3494">
        <v>1</v>
      </c>
      <c r="G3494">
        <v>360</v>
      </c>
      <c r="H3494">
        <v>0</v>
      </c>
      <c r="I3494">
        <v>0</v>
      </c>
    </row>
    <row r="3495" spans="1:9" x14ac:dyDescent="0.35">
      <c r="A3495" s="417" t="s">
        <v>846</v>
      </c>
      <c r="B3495" s="417" t="s">
        <v>680</v>
      </c>
      <c r="C3495" s="83">
        <v>46108</v>
      </c>
      <c r="D3495" s="417" t="s">
        <v>690</v>
      </c>
      <c r="E3495">
        <v>1388.16511666667</v>
      </c>
      <c r="F3495">
        <v>1</v>
      </c>
      <c r="G3495">
        <v>1388.16511666667</v>
      </c>
      <c r="H3495">
        <v>0</v>
      </c>
      <c r="I3495">
        <v>1.87035649087489</v>
      </c>
    </row>
    <row r="3496" spans="1:9" x14ac:dyDescent="0.35">
      <c r="A3496" s="417" t="s">
        <v>846</v>
      </c>
      <c r="B3496" s="417" t="s">
        <v>691</v>
      </c>
      <c r="C3496" s="83">
        <v>46108</v>
      </c>
      <c r="D3496" s="417" t="s">
        <v>305</v>
      </c>
      <c r="E3496">
        <v>1208.36441666667</v>
      </c>
      <c r="F3496">
        <v>334</v>
      </c>
      <c r="G3496">
        <v>3.6178575349301401</v>
      </c>
      <c r="H3496">
        <v>9.7950999999999997</v>
      </c>
      <c r="I3496">
        <v>45.457504610714501</v>
      </c>
    </row>
    <row r="3497" spans="1:9" x14ac:dyDescent="0.35">
      <c r="A3497" s="417" t="s">
        <v>846</v>
      </c>
      <c r="B3497" s="417" t="s">
        <v>691</v>
      </c>
      <c r="C3497" s="83">
        <v>46108</v>
      </c>
      <c r="D3497" s="417" t="s">
        <v>299</v>
      </c>
      <c r="E3497">
        <v>1353.9244166666699</v>
      </c>
      <c r="F3497">
        <v>135</v>
      </c>
      <c r="G3497">
        <v>10.0290697530864</v>
      </c>
      <c r="H3497">
        <v>0.28894999999999998</v>
      </c>
      <c r="I3497">
        <v>84.036490049294699</v>
      </c>
    </row>
    <row r="3498" spans="1:9" x14ac:dyDescent="0.35">
      <c r="A3498" s="417" t="s">
        <v>846</v>
      </c>
      <c r="B3498" s="417" t="s">
        <v>691</v>
      </c>
      <c r="C3498" s="83">
        <v>46108</v>
      </c>
      <c r="D3498" s="417" t="s">
        <v>309</v>
      </c>
      <c r="E3498">
        <v>1142.9477999999999</v>
      </c>
      <c r="F3498">
        <v>123</v>
      </c>
      <c r="G3498">
        <v>9.2922585365853596</v>
      </c>
      <c r="H3498">
        <v>0</v>
      </c>
      <c r="I3498">
        <v>41.643217167849798</v>
      </c>
    </row>
    <row r="3499" spans="1:9" x14ac:dyDescent="0.35">
      <c r="A3499" s="417" t="s">
        <v>846</v>
      </c>
      <c r="B3499" s="417" t="s">
        <v>691</v>
      </c>
      <c r="C3499" s="83">
        <v>46108</v>
      </c>
      <c r="D3499" s="417" t="s">
        <v>301</v>
      </c>
      <c r="E3499">
        <v>1359.28956666667</v>
      </c>
      <c r="F3499">
        <v>88</v>
      </c>
      <c r="G3499">
        <v>15.4464723484848</v>
      </c>
      <c r="H3499">
        <v>0.76954999999999996</v>
      </c>
      <c r="I3499">
        <v>66.629891715316404</v>
      </c>
    </row>
    <row r="3500" spans="1:9" x14ac:dyDescent="0.35">
      <c r="A3500" s="417" t="s">
        <v>846</v>
      </c>
      <c r="B3500" s="417" t="s">
        <v>691</v>
      </c>
      <c r="C3500" s="83">
        <v>46108</v>
      </c>
      <c r="D3500" s="417" t="s">
        <v>303</v>
      </c>
      <c r="E3500">
        <v>1347.4947833333299</v>
      </c>
      <c r="F3500">
        <v>73</v>
      </c>
      <c r="G3500">
        <v>18.458832648401799</v>
      </c>
      <c r="H3500">
        <v>0.195066666666667</v>
      </c>
      <c r="I3500">
        <v>55.154635968987698</v>
      </c>
    </row>
    <row r="3501" spans="1:9" x14ac:dyDescent="0.35">
      <c r="A3501" s="417" t="s">
        <v>846</v>
      </c>
      <c r="B3501" s="417" t="s">
        <v>691</v>
      </c>
      <c r="C3501" s="83">
        <v>46108</v>
      </c>
      <c r="D3501" s="417" t="s">
        <v>342</v>
      </c>
      <c r="E3501">
        <v>1214.72651666667</v>
      </c>
      <c r="F3501">
        <v>57</v>
      </c>
      <c r="G3501">
        <v>21.310991520467802</v>
      </c>
      <c r="H3501">
        <v>134.02186666666699</v>
      </c>
      <c r="I3501">
        <v>39.176587301587297</v>
      </c>
    </row>
    <row r="3502" spans="1:9" x14ac:dyDescent="0.35">
      <c r="A3502" s="417" t="s">
        <v>846</v>
      </c>
      <c r="B3502" s="417" t="s">
        <v>691</v>
      </c>
      <c r="C3502" s="83">
        <v>46108</v>
      </c>
      <c r="D3502" s="417" t="s">
        <v>295</v>
      </c>
      <c r="E3502">
        <v>1391.56676666667</v>
      </c>
      <c r="F3502">
        <v>31</v>
      </c>
      <c r="G3502">
        <v>44.889250537634403</v>
      </c>
      <c r="H3502">
        <v>0.68456666666666699</v>
      </c>
      <c r="I3502">
        <v>82.919116308102701</v>
      </c>
    </row>
    <row r="3503" spans="1:9" x14ac:dyDescent="0.35">
      <c r="A3503" s="417" t="s">
        <v>846</v>
      </c>
      <c r="B3503" s="417" t="s">
        <v>691</v>
      </c>
      <c r="C3503" s="83">
        <v>46108</v>
      </c>
      <c r="D3503" s="417" t="s">
        <v>314</v>
      </c>
      <c r="E3503">
        <v>1376.0893166666699</v>
      </c>
      <c r="F3503">
        <v>14</v>
      </c>
      <c r="G3503">
        <v>98.292094047619003</v>
      </c>
      <c r="H3503">
        <v>1.9713000000000001</v>
      </c>
      <c r="I3503">
        <v>63.669895756344999</v>
      </c>
    </row>
    <row r="3504" spans="1:9" x14ac:dyDescent="0.35">
      <c r="A3504" s="417" t="s">
        <v>846</v>
      </c>
      <c r="B3504" s="417" t="s">
        <v>691</v>
      </c>
      <c r="C3504" s="83">
        <v>46108</v>
      </c>
      <c r="D3504" s="417" t="s">
        <v>313</v>
      </c>
      <c r="E3504">
        <v>1399.44865</v>
      </c>
      <c r="F3504">
        <v>13</v>
      </c>
      <c r="G3504">
        <v>107.649896153846</v>
      </c>
      <c r="H3504">
        <v>0</v>
      </c>
      <c r="I3504">
        <v>81.868517186957106</v>
      </c>
    </row>
    <row r="3505" spans="1:9" x14ac:dyDescent="0.35">
      <c r="A3505" s="417" t="s">
        <v>846</v>
      </c>
      <c r="B3505" s="417" t="s">
        <v>691</v>
      </c>
      <c r="C3505" s="83">
        <v>46108</v>
      </c>
      <c r="D3505" s="417" t="s">
        <v>310</v>
      </c>
      <c r="E3505">
        <v>1428.4206999999999</v>
      </c>
      <c r="F3505">
        <v>2</v>
      </c>
      <c r="G3505">
        <v>714.21034999999995</v>
      </c>
      <c r="H3505">
        <v>0</v>
      </c>
      <c r="I3505">
        <v>80.058120153676299</v>
      </c>
    </row>
    <row r="3506" spans="1:9" x14ac:dyDescent="0.35">
      <c r="A3506" s="417" t="s">
        <v>846</v>
      </c>
      <c r="B3506" s="417" t="s">
        <v>691</v>
      </c>
      <c r="C3506" s="83">
        <v>46108</v>
      </c>
      <c r="D3506" s="417" t="s">
        <v>317</v>
      </c>
      <c r="E3506">
        <v>1405.6823999999999</v>
      </c>
      <c r="F3506">
        <v>2</v>
      </c>
      <c r="G3506">
        <v>702.84119999999996</v>
      </c>
      <c r="H3506">
        <v>0</v>
      </c>
      <c r="I3506">
        <v>50.420856960776</v>
      </c>
    </row>
    <row r="3507" spans="1:9" x14ac:dyDescent="0.35">
      <c r="A3507" s="417" t="s">
        <v>846</v>
      </c>
      <c r="B3507" s="417" t="s">
        <v>691</v>
      </c>
      <c r="C3507" s="83">
        <v>46108</v>
      </c>
      <c r="D3507" s="417" t="s">
        <v>504</v>
      </c>
      <c r="E3507">
        <v>1440</v>
      </c>
      <c r="F3507">
        <v>1</v>
      </c>
      <c r="G3507">
        <v>1440</v>
      </c>
      <c r="H3507">
        <v>0</v>
      </c>
      <c r="I3507">
        <v>34.681172839506203</v>
      </c>
    </row>
    <row r="3508" spans="1:9" x14ac:dyDescent="0.35">
      <c r="A3508" s="417" t="s">
        <v>846</v>
      </c>
      <c r="B3508" s="417" t="s">
        <v>676</v>
      </c>
      <c r="C3508" s="83">
        <v>46107</v>
      </c>
      <c r="D3508" s="417" t="s">
        <v>677</v>
      </c>
      <c r="E3508">
        <v>1321.2661166666701</v>
      </c>
      <c r="F3508">
        <v>151</v>
      </c>
      <c r="G3508">
        <v>8.7501067328918403</v>
      </c>
      <c r="H3508">
        <v>84.564183333333304</v>
      </c>
      <c r="I3508">
        <v>12.668611111111099</v>
      </c>
    </row>
    <row r="3509" spans="1:9" x14ac:dyDescent="0.35">
      <c r="A3509" s="417" t="s">
        <v>846</v>
      </c>
      <c r="B3509" s="417" t="s">
        <v>676</v>
      </c>
      <c r="C3509" s="83">
        <v>46107</v>
      </c>
      <c r="D3509" s="417" t="s">
        <v>679</v>
      </c>
      <c r="E3509">
        <v>1387.6565333333299</v>
      </c>
      <c r="F3509">
        <v>21</v>
      </c>
      <c r="G3509">
        <v>66.078882539682496</v>
      </c>
      <c r="H3509">
        <v>11.49685</v>
      </c>
      <c r="I3509">
        <v>95.285717006747504</v>
      </c>
    </row>
    <row r="3510" spans="1:9" x14ac:dyDescent="0.35">
      <c r="A3510" s="417" t="s">
        <v>846</v>
      </c>
      <c r="B3510" s="417" t="s">
        <v>680</v>
      </c>
      <c r="C3510" s="83">
        <v>46107</v>
      </c>
      <c r="D3510" s="417" t="s">
        <v>681</v>
      </c>
      <c r="E3510">
        <v>1298.6448333333301</v>
      </c>
      <c r="F3510">
        <v>108</v>
      </c>
      <c r="G3510">
        <v>12.024489197530899</v>
      </c>
      <c r="H3510">
        <v>1.8344499999999999</v>
      </c>
      <c r="I3510">
        <v>14.377827219358601</v>
      </c>
    </row>
    <row r="3511" spans="1:9" x14ac:dyDescent="0.35">
      <c r="A3511" s="417" t="s">
        <v>846</v>
      </c>
      <c r="B3511" s="417" t="s">
        <v>680</v>
      </c>
      <c r="C3511" s="83">
        <v>46107</v>
      </c>
      <c r="D3511" s="417" t="s">
        <v>687</v>
      </c>
      <c r="E3511">
        <v>1298.5343499999999</v>
      </c>
      <c r="F3511">
        <v>46</v>
      </c>
      <c r="G3511">
        <v>28.2290076086956</v>
      </c>
      <c r="H3511">
        <v>73.127700000000004</v>
      </c>
      <c r="I3511">
        <v>6.5947863628786196</v>
      </c>
    </row>
    <row r="3512" spans="1:9" x14ac:dyDescent="0.35">
      <c r="A3512" s="417" t="s">
        <v>846</v>
      </c>
      <c r="B3512" s="417" t="s">
        <v>680</v>
      </c>
      <c r="C3512" s="83">
        <v>46107</v>
      </c>
      <c r="D3512" s="417" t="s">
        <v>683</v>
      </c>
      <c r="E3512">
        <v>1364.86163333333</v>
      </c>
      <c r="F3512">
        <v>37</v>
      </c>
      <c r="G3512">
        <v>36.888152252252198</v>
      </c>
      <c r="H3512">
        <v>0.49211666666666698</v>
      </c>
      <c r="I3512">
        <v>12.349700737374</v>
      </c>
    </row>
    <row r="3513" spans="1:9" x14ac:dyDescent="0.35">
      <c r="A3513" s="417" t="s">
        <v>846</v>
      </c>
      <c r="B3513" s="417" t="s">
        <v>680</v>
      </c>
      <c r="C3513" s="83">
        <v>46107</v>
      </c>
      <c r="D3513" s="417" t="s">
        <v>684</v>
      </c>
      <c r="E3513">
        <v>1427.2904000000001</v>
      </c>
      <c r="F3513">
        <v>24</v>
      </c>
      <c r="G3513">
        <v>59.470433333333297</v>
      </c>
      <c r="H3513">
        <v>6.6965000000000003</v>
      </c>
      <c r="I3513">
        <v>6.43391429379919</v>
      </c>
    </row>
    <row r="3514" spans="1:9" x14ac:dyDescent="0.35">
      <c r="A3514" s="417" t="s">
        <v>846</v>
      </c>
      <c r="B3514" s="417" t="s">
        <v>680</v>
      </c>
      <c r="C3514" s="83">
        <v>46107</v>
      </c>
      <c r="D3514" s="417" t="s">
        <v>689</v>
      </c>
      <c r="E3514">
        <v>1347.8455166666699</v>
      </c>
      <c r="F3514">
        <v>23</v>
      </c>
      <c r="G3514">
        <v>58.601978985507202</v>
      </c>
      <c r="H3514">
        <v>0.66666666666666696</v>
      </c>
      <c r="I3514">
        <v>11.8600910116118</v>
      </c>
    </row>
    <row r="3515" spans="1:9" x14ac:dyDescent="0.35">
      <c r="A3515" s="417" t="s">
        <v>846</v>
      </c>
      <c r="B3515" s="417" t="s">
        <v>680</v>
      </c>
      <c r="C3515" s="83">
        <v>46107</v>
      </c>
      <c r="D3515" s="417" t="s">
        <v>682</v>
      </c>
      <c r="E3515">
        <v>1308.4901833333299</v>
      </c>
      <c r="F3515">
        <v>7</v>
      </c>
      <c r="G3515">
        <v>186.927169047619</v>
      </c>
      <c r="H3515">
        <v>11.509816666666699</v>
      </c>
      <c r="I3515">
        <v>3.1625344352617102</v>
      </c>
    </row>
    <row r="3516" spans="1:9" x14ac:dyDescent="0.35">
      <c r="A3516" s="417" t="s">
        <v>846</v>
      </c>
      <c r="B3516" s="417" t="s">
        <v>680</v>
      </c>
      <c r="C3516" s="83">
        <v>46107</v>
      </c>
      <c r="D3516" s="417" t="s">
        <v>685</v>
      </c>
      <c r="E3516">
        <v>1275.9946666666699</v>
      </c>
      <c r="F3516">
        <v>6</v>
      </c>
      <c r="G3516">
        <v>212.665777777778</v>
      </c>
      <c r="H3516">
        <v>4.1719666666666697</v>
      </c>
      <c r="I3516">
        <v>6.703673961891</v>
      </c>
    </row>
    <row r="3517" spans="1:9" x14ac:dyDescent="0.35">
      <c r="A3517" s="417" t="s">
        <v>846</v>
      </c>
      <c r="B3517" s="417" t="s">
        <v>680</v>
      </c>
      <c r="C3517" s="83">
        <v>46107</v>
      </c>
      <c r="D3517" s="417" t="s">
        <v>688</v>
      </c>
      <c r="E3517">
        <v>1289.55326666667</v>
      </c>
      <c r="F3517">
        <v>2</v>
      </c>
      <c r="G3517">
        <v>644.77663333333305</v>
      </c>
      <c r="H3517">
        <v>1.3254666666666699</v>
      </c>
      <c r="I3517">
        <v>12.310148645702199</v>
      </c>
    </row>
    <row r="3518" spans="1:9" x14ac:dyDescent="0.35">
      <c r="A3518" s="417" t="s">
        <v>846</v>
      </c>
      <c r="B3518" s="417" t="s">
        <v>680</v>
      </c>
      <c r="C3518" s="83">
        <v>46107</v>
      </c>
      <c r="D3518" s="417" t="s">
        <v>686</v>
      </c>
      <c r="E3518">
        <v>1440</v>
      </c>
      <c r="F3518">
        <v>1</v>
      </c>
      <c r="G3518">
        <v>1440</v>
      </c>
      <c r="H3518">
        <v>0</v>
      </c>
      <c r="I3518">
        <v>4.5202020202020297</v>
      </c>
    </row>
    <row r="3519" spans="1:9" x14ac:dyDescent="0.35">
      <c r="A3519" s="417" t="s">
        <v>846</v>
      </c>
      <c r="B3519" s="417" t="s">
        <v>680</v>
      </c>
      <c r="C3519" s="83">
        <v>46107</v>
      </c>
      <c r="D3519" s="417" t="s">
        <v>690</v>
      </c>
      <c r="E3519">
        <v>1437.9965666666701</v>
      </c>
      <c r="F3519">
        <v>1</v>
      </c>
      <c r="G3519">
        <v>1437.9965666666701</v>
      </c>
      <c r="H3519">
        <v>0</v>
      </c>
      <c r="I3519">
        <v>5.85157548327859</v>
      </c>
    </row>
    <row r="3520" spans="1:9" x14ac:dyDescent="0.35">
      <c r="A3520" s="417" t="s">
        <v>846</v>
      </c>
      <c r="B3520" s="417" t="s">
        <v>691</v>
      </c>
      <c r="C3520" s="83">
        <v>46107</v>
      </c>
      <c r="D3520" s="417" t="s">
        <v>305</v>
      </c>
      <c r="E3520">
        <v>1181.75818333333</v>
      </c>
      <c r="F3520">
        <v>352</v>
      </c>
      <c r="G3520">
        <v>3.3572675662878799</v>
      </c>
      <c r="H3520">
        <v>8.8707499999999992</v>
      </c>
      <c r="I3520">
        <v>47.2921993738643</v>
      </c>
    </row>
    <row r="3521" spans="1:9" x14ac:dyDescent="0.35">
      <c r="A3521" s="417" t="s">
        <v>846</v>
      </c>
      <c r="B3521" s="417" t="s">
        <v>691</v>
      </c>
      <c r="C3521" s="83">
        <v>46107</v>
      </c>
      <c r="D3521" s="417" t="s">
        <v>299</v>
      </c>
      <c r="E3521">
        <v>1353.42096666667</v>
      </c>
      <c r="F3521">
        <v>117</v>
      </c>
      <c r="G3521">
        <v>11.5677005698006</v>
      </c>
      <c r="H3521">
        <v>1.2907666666666699</v>
      </c>
      <c r="I3521">
        <v>81.774408816512803</v>
      </c>
    </row>
    <row r="3522" spans="1:9" x14ac:dyDescent="0.35">
      <c r="A3522" s="417" t="s">
        <v>846</v>
      </c>
      <c r="B3522" s="417" t="s">
        <v>691</v>
      </c>
      <c r="C3522" s="83">
        <v>46107</v>
      </c>
      <c r="D3522" s="417" t="s">
        <v>309</v>
      </c>
      <c r="E3522">
        <v>1345.45651666667</v>
      </c>
      <c r="F3522">
        <v>112</v>
      </c>
      <c r="G3522">
        <v>12.0130046130952</v>
      </c>
      <c r="H3522">
        <v>0.52228333333333299</v>
      </c>
      <c r="I3522">
        <v>56.533690598621</v>
      </c>
    </row>
    <row r="3523" spans="1:9" x14ac:dyDescent="0.35">
      <c r="A3523" s="417" t="s">
        <v>846</v>
      </c>
      <c r="B3523" s="417" t="s">
        <v>691</v>
      </c>
      <c r="C3523" s="83">
        <v>46107</v>
      </c>
      <c r="D3523" s="417" t="s">
        <v>301</v>
      </c>
      <c r="E3523">
        <v>1357.9661000000001</v>
      </c>
      <c r="F3523">
        <v>102</v>
      </c>
      <c r="G3523">
        <v>13.3133931372549</v>
      </c>
      <c r="H3523">
        <v>1.3982333333333301</v>
      </c>
      <c r="I3523">
        <v>67.971811517891993</v>
      </c>
    </row>
    <row r="3524" spans="1:9" x14ac:dyDescent="0.35">
      <c r="A3524" s="417" t="s">
        <v>846</v>
      </c>
      <c r="B3524" s="417" t="s">
        <v>691</v>
      </c>
      <c r="C3524" s="83">
        <v>46107</v>
      </c>
      <c r="D3524" s="417" t="s">
        <v>303</v>
      </c>
      <c r="E3524">
        <v>1377.34576666667</v>
      </c>
      <c r="F3524">
        <v>57</v>
      </c>
      <c r="G3524">
        <v>24.163960818713502</v>
      </c>
      <c r="H3524">
        <v>0.49554999999999999</v>
      </c>
      <c r="I3524">
        <v>57.806039319092903</v>
      </c>
    </row>
    <row r="3525" spans="1:9" x14ac:dyDescent="0.35">
      <c r="A3525" s="417" t="s">
        <v>846</v>
      </c>
      <c r="B3525" s="417" t="s">
        <v>691</v>
      </c>
      <c r="C3525" s="83">
        <v>46107</v>
      </c>
      <c r="D3525" s="417" t="s">
        <v>342</v>
      </c>
      <c r="E3525">
        <v>1333.4846</v>
      </c>
      <c r="F3525">
        <v>50</v>
      </c>
      <c r="G3525">
        <v>26.669692000000001</v>
      </c>
      <c r="H3525">
        <v>87.331866666666699</v>
      </c>
      <c r="I3525">
        <v>53.655080893579999</v>
      </c>
    </row>
    <row r="3526" spans="1:9" x14ac:dyDescent="0.35">
      <c r="A3526" s="417" t="s">
        <v>846</v>
      </c>
      <c r="B3526" s="417" t="s">
        <v>691</v>
      </c>
      <c r="C3526" s="83">
        <v>46107</v>
      </c>
      <c r="D3526" s="417" t="s">
        <v>295</v>
      </c>
      <c r="E3526">
        <v>1388.24215</v>
      </c>
      <c r="F3526">
        <v>41</v>
      </c>
      <c r="G3526">
        <v>33.859564634146302</v>
      </c>
      <c r="H3526">
        <v>0.78438333333333299</v>
      </c>
      <c r="I3526">
        <v>81.068391878106496</v>
      </c>
    </row>
    <row r="3527" spans="1:9" x14ac:dyDescent="0.35">
      <c r="A3527" s="417" t="s">
        <v>846</v>
      </c>
      <c r="B3527" s="417" t="s">
        <v>691</v>
      </c>
      <c r="C3527" s="83">
        <v>46107</v>
      </c>
      <c r="D3527" s="417" t="s">
        <v>314</v>
      </c>
      <c r="E3527">
        <v>1399.74798333333</v>
      </c>
      <c r="F3527">
        <v>7</v>
      </c>
      <c r="G3527">
        <v>199.963997619048</v>
      </c>
      <c r="H3527">
        <v>0.99473333333333303</v>
      </c>
      <c r="I3527">
        <v>67.023294066231102</v>
      </c>
    </row>
    <row r="3528" spans="1:9" x14ac:dyDescent="0.35">
      <c r="A3528" s="417" t="s">
        <v>846</v>
      </c>
      <c r="B3528" s="417" t="s">
        <v>691</v>
      </c>
      <c r="C3528" s="83">
        <v>46107</v>
      </c>
      <c r="D3528" s="417" t="s">
        <v>317</v>
      </c>
      <c r="E3528">
        <v>1431.91368333333</v>
      </c>
      <c r="F3528">
        <v>6</v>
      </c>
      <c r="G3528">
        <v>238.65228055555599</v>
      </c>
      <c r="H3528">
        <v>2.9079333333333302</v>
      </c>
      <c r="I3528">
        <v>50.797255319671102</v>
      </c>
    </row>
    <row r="3529" spans="1:9" x14ac:dyDescent="0.35">
      <c r="A3529" s="417" t="s">
        <v>846</v>
      </c>
      <c r="B3529" s="417" t="s">
        <v>691</v>
      </c>
      <c r="C3529" s="83">
        <v>46107</v>
      </c>
      <c r="D3529" s="417" t="s">
        <v>310</v>
      </c>
      <c r="E3529">
        <v>1422.0498666666699</v>
      </c>
      <c r="F3529">
        <v>3</v>
      </c>
      <c r="G3529">
        <v>474.016622222222</v>
      </c>
      <c r="H3529">
        <v>0</v>
      </c>
      <c r="I3529">
        <v>77.564040184368096</v>
      </c>
    </row>
    <row r="3530" spans="1:9" x14ac:dyDescent="0.35">
      <c r="A3530" s="417" t="s">
        <v>846</v>
      </c>
      <c r="B3530" s="417" t="s">
        <v>691</v>
      </c>
      <c r="C3530" s="83">
        <v>46107</v>
      </c>
      <c r="D3530" s="417" t="s">
        <v>313</v>
      </c>
      <c r="E3530">
        <v>1408.66166666667</v>
      </c>
      <c r="F3530">
        <v>3</v>
      </c>
      <c r="G3530">
        <v>469.55388888888899</v>
      </c>
      <c r="H3530">
        <v>5.0883333333333301E-2</v>
      </c>
      <c r="I3530">
        <v>74.686719285052803</v>
      </c>
    </row>
    <row r="3531" spans="1:9" x14ac:dyDescent="0.35">
      <c r="A3531" s="417" t="s">
        <v>846</v>
      </c>
      <c r="B3531" s="417" t="s">
        <v>691</v>
      </c>
      <c r="C3531" s="83">
        <v>46107</v>
      </c>
      <c r="D3531" s="417" t="s">
        <v>504</v>
      </c>
      <c r="E3531">
        <v>1440</v>
      </c>
      <c r="F3531">
        <v>1</v>
      </c>
      <c r="G3531">
        <v>1440</v>
      </c>
      <c r="H3531">
        <v>0</v>
      </c>
      <c r="I3531">
        <v>34.5473765432099</v>
      </c>
    </row>
    <row r="3532" spans="1:9" x14ac:dyDescent="0.35">
      <c r="A3532" s="417" t="s">
        <v>846</v>
      </c>
      <c r="B3532" s="417" t="s">
        <v>676</v>
      </c>
      <c r="C3532" s="83">
        <v>46106</v>
      </c>
      <c r="D3532" s="417" t="s">
        <v>677</v>
      </c>
      <c r="E3532">
        <v>1339.6466166666701</v>
      </c>
      <c r="F3532">
        <v>175</v>
      </c>
      <c r="G3532">
        <v>7.6551235238095297</v>
      </c>
      <c r="H3532">
        <v>100.353383333333</v>
      </c>
      <c r="I3532">
        <v>18.085833333333301</v>
      </c>
    </row>
    <row r="3533" spans="1:9" x14ac:dyDescent="0.35">
      <c r="A3533" s="417" t="s">
        <v>846</v>
      </c>
      <c r="B3533" s="417" t="s">
        <v>676</v>
      </c>
      <c r="C3533" s="83">
        <v>46106</v>
      </c>
      <c r="D3533" s="417" t="s">
        <v>679</v>
      </c>
      <c r="E3533">
        <v>1383.9889166666701</v>
      </c>
      <c r="F3533">
        <v>15</v>
      </c>
      <c r="G3533">
        <v>92.265927777777804</v>
      </c>
      <c r="H3533">
        <v>12.3434166666667</v>
      </c>
      <c r="I3533">
        <v>104.682815480651</v>
      </c>
    </row>
    <row r="3534" spans="1:9" x14ac:dyDescent="0.35">
      <c r="A3534" s="417" t="s">
        <v>846</v>
      </c>
      <c r="B3534" s="417" t="s">
        <v>680</v>
      </c>
      <c r="C3534" s="83">
        <v>46106</v>
      </c>
      <c r="D3534" s="417" t="s">
        <v>684</v>
      </c>
      <c r="E3534">
        <v>1395.1800499999999</v>
      </c>
      <c r="F3534">
        <v>43</v>
      </c>
      <c r="G3534">
        <v>32.446047674418601</v>
      </c>
      <c r="H3534">
        <v>22.9907</v>
      </c>
      <c r="I3534">
        <v>53.1489101000329</v>
      </c>
    </row>
    <row r="3535" spans="1:9" x14ac:dyDescent="0.35">
      <c r="A3535" s="417" t="s">
        <v>846</v>
      </c>
      <c r="B3535" s="417" t="s">
        <v>680</v>
      </c>
      <c r="C3535" s="83">
        <v>46106</v>
      </c>
      <c r="D3535" s="417" t="s">
        <v>681</v>
      </c>
      <c r="E3535">
        <v>1335.37275</v>
      </c>
      <c r="F3535">
        <v>39</v>
      </c>
      <c r="G3535">
        <v>34.2403269230769</v>
      </c>
      <c r="H3535">
        <v>1.6657</v>
      </c>
      <c r="I3535">
        <v>55.9189462075039</v>
      </c>
    </row>
    <row r="3536" spans="1:9" x14ac:dyDescent="0.35">
      <c r="A3536" s="417" t="s">
        <v>846</v>
      </c>
      <c r="B3536" s="417" t="s">
        <v>680</v>
      </c>
      <c r="C3536" s="83">
        <v>46106</v>
      </c>
      <c r="D3536" s="417" t="s">
        <v>689</v>
      </c>
      <c r="E3536">
        <v>1369.5072</v>
      </c>
      <c r="F3536">
        <v>36</v>
      </c>
      <c r="G3536">
        <v>38.041866666666699</v>
      </c>
      <c r="H3536">
        <v>0</v>
      </c>
      <c r="I3536">
        <v>73.073166458006298</v>
      </c>
    </row>
    <row r="3537" spans="1:9" x14ac:dyDescent="0.35">
      <c r="A3537" s="417" t="s">
        <v>846</v>
      </c>
      <c r="B3537" s="417" t="s">
        <v>680</v>
      </c>
      <c r="C3537" s="83">
        <v>46106</v>
      </c>
      <c r="D3537" s="417" t="s">
        <v>685</v>
      </c>
      <c r="E3537">
        <v>1389.66961666667</v>
      </c>
      <c r="F3537">
        <v>22</v>
      </c>
      <c r="G3537">
        <v>63.1668007575757</v>
      </c>
      <c r="H3537">
        <v>10.823133333333301</v>
      </c>
      <c r="I3537">
        <v>69.431829134571103</v>
      </c>
    </row>
    <row r="3538" spans="1:9" x14ac:dyDescent="0.35">
      <c r="A3538" s="417" t="s">
        <v>846</v>
      </c>
      <c r="B3538" s="417" t="s">
        <v>680</v>
      </c>
      <c r="C3538" s="83">
        <v>46106</v>
      </c>
      <c r="D3538" s="417" t="s">
        <v>687</v>
      </c>
      <c r="E3538">
        <v>1356.5155666666701</v>
      </c>
      <c r="F3538">
        <v>21</v>
      </c>
      <c r="G3538">
        <v>64.595979365079401</v>
      </c>
      <c r="H3538">
        <v>25.469200000000001</v>
      </c>
      <c r="I3538">
        <v>34.8168552916975</v>
      </c>
    </row>
    <row r="3539" spans="1:9" x14ac:dyDescent="0.35">
      <c r="A3539" s="417" t="s">
        <v>846</v>
      </c>
      <c r="B3539" s="417" t="s">
        <v>680</v>
      </c>
      <c r="C3539" s="83">
        <v>46106</v>
      </c>
      <c r="D3539" s="417" t="s">
        <v>683</v>
      </c>
      <c r="E3539">
        <v>1409.1715833333301</v>
      </c>
      <c r="F3539">
        <v>19</v>
      </c>
      <c r="G3539">
        <v>74.166925438596493</v>
      </c>
      <c r="H3539">
        <v>4.1671500000000004</v>
      </c>
      <c r="I3539">
        <v>62.994880709833303</v>
      </c>
    </row>
    <row r="3540" spans="1:9" x14ac:dyDescent="0.35">
      <c r="A3540" s="417" t="s">
        <v>846</v>
      </c>
      <c r="B3540" s="417" t="s">
        <v>680</v>
      </c>
      <c r="C3540" s="83">
        <v>46106</v>
      </c>
      <c r="D3540" s="417" t="s">
        <v>688</v>
      </c>
      <c r="E3540">
        <v>1404.18358333333</v>
      </c>
      <c r="F3540">
        <v>12</v>
      </c>
      <c r="G3540">
        <v>117.01529861111101</v>
      </c>
      <c r="H3540">
        <v>8.4876500000000004</v>
      </c>
      <c r="I3540">
        <v>52.510869907945697</v>
      </c>
    </row>
    <row r="3541" spans="1:9" x14ac:dyDescent="0.35">
      <c r="A3541" s="417" t="s">
        <v>846</v>
      </c>
      <c r="B3541" s="417" t="s">
        <v>680</v>
      </c>
      <c r="C3541" s="83">
        <v>46106</v>
      </c>
      <c r="D3541" s="417" t="s">
        <v>682</v>
      </c>
      <c r="E3541">
        <v>1431.0107</v>
      </c>
      <c r="F3541">
        <v>9</v>
      </c>
      <c r="G3541">
        <v>159.001188888889</v>
      </c>
      <c r="H3541">
        <v>8.9893000000000001</v>
      </c>
      <c r="I3541">
        <v>51.974747474747502</v>
      </c>
    </row>
    <row r="3542" spans="1:9" x14ac:dyDescent="0.35">
      <c r="A3542" s="417" t="s">
        <v>846</v>
      </c>
      <c r="B3542" s="417" t="s">
        <v>680</v>
      </c>
      <c r="C3542" s="83">
        <v>46106</v>
      </c>
      <c r="D3542" s="417" t="s">
        <v>690</v>
      </c>
      <c r="E3542">
        <v>1422.16623333333</v>
      </c>
      <c r="F3542">
        <v>5</v>
      </c>
      <c r="G3542">
        <v>284.433246666667</v>
      </c>
      <c r="H3542">
        <v>1.9914499999999999</v>
      </c>
      <c r="I3542">
        <v>61.458475251116802</v>
      </c>
    </row>
    <row r="3543" spans="1:9" x14ac:dyDescent="0.35">
      <c r="A3543" s="417" t="s">
        <v>846</v>
      </c>
      <c r="B3543" s="417" t="s">
        <v>680</v>
      </c>
      <c r="C3543" s="83">
        <v>46106</v>
      </c>
      <c r="D3543" s="417" t="s">
        <v>686</v>
      </c>
      <c r="E3543">
        <v>1440</v>
      </c>
      <c r="F3543">
        <v>1</v>
      </c>
      <c r="G3543">
        <v>1440</v>
      </c>
      <c r="H3543">
        <v>0</v>
      </c>
      <c r="I3543">
        <v>32.121212121212103</v>
      </c>
    </row>
    <row r="3544" spans="1:9" x14ac:dyDescent="0.35">
      <c r="A3544" s="417" t="s">
        <v>846</v>
      </c>
      <c r="B3544" s="417" t="s">
        <v>691</v>
      </c>
      <c r="C3544" s="83">
        <v>46106</v>
      </c>
      <c r="D3544" s="417" t="s">
        <v>305</v>
      </c>
      <c r="E3544">
        <v>1134.8515</v>
      </c>
      <c r="F3544">
        <v>409</v>
      </c>
      <c r="G3544">
        <v>2.7746980440097802</v>
      </c>
      <c r="H3544">
        <v>18.6986833333333</v>
      </c>
      <c r="I3544">
        <v>42.833412851977798</v>
      </c>
    </row>
    <row r="3545" spans="1:9" x14ac:dyDescent="0.35">
      <c r="A3545" s="417" t="s">
        <v>846</v>
      </c>
      <c r="B3545" s="417" t="s">
        <v>691</v>
      </c>
      <c r="C3545" s="83">
        <v>46106</v>
      </c>
      <c r="D3545" s="417" t="s">
        <v>299</v>
      </c>
      <c r="E3545">
        <v>1355.80181666667</v>
      </c>
      <c r="F3545">
        <v>132</v>
      </c>
      <c r="G3545">
        <v>10.271225883838399</v>
      </c>
      <c r="H3545">
        <v>1.97206666666667</v>
      </c>
      <c r="I3545">
        <v>75.404420072099001</v>
      </c>
    </row>
    <row r="3546" spans="1:9" x14ac:dyDescent="0.35">
      <c r="A3546" s="417" t="s">
        <v>846</v>
      </c>
      <c r="B3546" s="417" t="s">
        <v>691</v>
      </c>
      <c r="C3546" s="83">
        <v>46106</v>
      </c>
      <c r="D3546" s="417" t="s">
        <v>309</v>
      </c>
      <c r="E3546">
        <v>1329.7965999999999</v>
      </c>
      <c r="F3546">
        <v>98</v>
      </c>
      <c r="G3546">
        <v>13.569353061224501</v>
      </c>
      <c r="H3546">
        <v>0</v>
      </c>
      <c r="I3546">
        <v>45.919886212337097</v>
      </c>
    </row>
    <row r="3547" spans="1:9" x14ac:dyDescent="0.35">
      <c r="A3547" s="417" t="s">
        <v>846</v>
      </c>
      <c r="B3547" s="417" t="s">
        <v>691</v>
      </c>
      <c r="C3547" s="83">
        <v>46106</v>
      </c>
      <c r="D3547" s="417" t="s">
        <v>301</v>
      </c>
      <c r="E3547">
        <v>1354.6221</v>
      </c>
      <c r="F3547">
        <v>90</v>
      </c>
      <c r="G3547">
        <v>15.051356666666701</v>
      </c>
      <c r="H3547">
        <v>1.01908333333333</v>
      </c>
      <c r="I3547">
        <v>52.8509937811668</v>
      </c>
    </row>
    <row r="3548" spans="1:9" x14ac:dyDescent="0.35">
      <c r="A3548" s="417" t="s">
        <v>846</v>
      </c>
      <c r="B3548" s="417" t="s">
        <v>691</v>
      </c>
      <c r="C3548" s="83">
        <v>46106</v>
      </c>
      <c r="D3548" s="417" t="s">
        <v>303</v>
      </c>
      <c r="E3548">
        <v>1375.79901666667</v>
      </c>
      <c r="F3548">
        <v>44</v>
      </c>
      <c r="G3548">
        <v>31.268159469697</v>
      </c>
      <c r="H3548">
        <v>0.22819999999999999</v>
      </c>
      <c r="I3548">
        <v>56.896707853253403</v>
      </c>
    </row>
    <row r="3549" spans="1:9" x14ac:dyDescent="0.35">
      <c r="A3549" s="417" t="s">
        <v>846</v>
      </c>
      <c r="B3549" s="417" t="s">
        <v>691</v>
      </c>
      <c r="C3549" s="83">
        <v>46106</v>
      </c>
      <c r="D3549" s="417" t="s">
        <v>295</v>
      </c>
      <c r="E3549">
        <v>1353.9177500000001</v>
      </c>
      <c r="F3549">
        <v>39</v>
      </c>
      <c r="G3549">
        <v>34.715839743589697</v>
      </c>
      <c r="H3549">
        <v>0.94668333333333299</v>
      </c>
      <c r="I3549">
        <v>73.710032349980693</v>
      </c>
    </row>
    <row r="3550" spans="1:9" x14ac:dyDescent="0.35">
      <c r="A3550" s="417" t="s">
        <v>846</v>
      </c>
      <c r="B3550" s="417" t="s">
        <v>691</v>
      </c>
      <c r="C3550" s="83">
        <v>46106</v>
      </c>
      <c r="D3550" s="417" t="s">
        <v>342</v>
      </c>
      <c r="E3550">
        <v>1390.5074666666701</v>
      </c>
      <c r="F3550">
        <v>22</v>
      </c>
      <c r="G3550">
        <v>63.204884848484902</v>
      </c>
      <c r="H3550">
        <v>34.550333333333299</v>
      </c>
      <c r="I3550">
        <v>50.843253968253897</v>
      </c>
    </row>
    <row r="3551" spans="1:9" x14ac:dyDescent="0.35">
      <c r="A3551" s="417" t="s">
        <v>846</v>
      </c>
      <c r="B3551" s="417" t="s">
        <v>691</v>
      </c>
      <c r="C3551" s="83">
        <v>46106</v>
      </c>
      <c r="D3551" s="417" t="s">
        <v>314</v>
      </c>
      <c r="E3551">
        <v>1288.9166</v>
      </c>
      <c r="F3551">
        <v>15</v>
      </c>
      <c r="G3551">
        <v>85.927773333333406</v>
      </c>
      <c r="H3551">
        <v>0.67896666666666705</v>
      </c>
      <c r="I3551">
        <v>49.7577189629082</v>
      </c>
    </row>
    <row r="3552" spans="1:9" x14ac:dyDescent="0.35">
      <c r="A3552" s="417" t="s">
        <v>846</v>
      </c>
      <c r="B3552" s="417" t="s">
        <v>691</v>
      </c>
      <c r="C3552" s="83">
        <v>46106</v>
      </c>
      <c r="D3552" s="417" t="s">
        <v>317</v>
      </c>
      <c r="E3552">
        <v>1434.72795</v>
      </c>
      <c r="F3552">
        <v>5</v>
      </c>
      <c r="G3552">
        <v>286.94558999999998</v>
      </c>
      <c r="H3552">
        <v>4.4597833333333297</v>
      </c>
      <c r="I3552">
        <v>52.050193498036101</v>
      </c>
    </row>
    <row r="3553" spans="1:9" x14ac:dyDescent="0.35">
      <c r="A3553" s="417" t="s">
        <v>846</v>
      </c>
      <c r="B3553" s="417" t="s">
        <v>691</v>
      </c>
      <c r="C3553" s="83">
        <v>46106</v>
      </c>
      <c r="D3553" s="417" t="s">
        <v>313</v>
      </c>
      <c r="E3553">
        <v>1433.26573333333</v>
      </c>
      <c r="F3553">
        <v>3</v>
      </c>
      <c r="G3553">
        <v>477.75524444444397</v>
      </c>
      <c r="H3553">
        <v>5.9249999999999997E-2</v>
      </c>
      <c r="I3553">
        <v>74.224718270309396</v>
      </c>
    </row>
    <row r="3554" spans="1:9" x14ac:dyDescent="0.35">
      <c r="A3554" s="417" t="s">
        <v>846</v>
      </c>
      <c r="B3554" s="417" t="s">
        <v>691</v>
      </c>
      <c r="C3554" s="83">
        <v>46106</v>
      </c>
      <c r="D3554" s="417" t="s">
        <v>504</v>
      </c>
      <c r="E3554">
        <v>1440</v>
      </c>
      <c r="F3554">
        <v>1</v>
      </c>
      <c r="G3554">
        <v>1440</v>
      </c>
      <c r="H3554">
        <v>0</v>
      </c>
      <c r="I3554">
        <v>22.824537037037</v>
      </c>
    </row>
    <row r="3555" spans="1:9" x14ac:dyDescent="0.35">
      <c r="A3555" s="417" t="s">
        <v>846</v>
      </c>
      <c r="B3555" s="417" t="s">
        <v>691</v>
      </c>
      <c r="C3555" s="83">
        <v>46106</v>
      </c>
      <c r="D3555" s="417" t="s">
        <v>310</v>
      </c>
      <c r="E3555">
        <v>1418.8227833333301</v>
      </c>
      <c r="F3555">
        <v>1</v>
      </c>
      <c r="G3555">
        <v>1418.8227833333301</v>
      </c>
      <c r="H3555">
        <v>0</v>
      </c>
      <c r="I3555">
        <v>67.721635942623493</v>
      </c>
    </row>
    <row r="3556" spans="1:9" x14ac:dyDescent="0.35">
      <c r="A3556" s="417" t="s">
        <v>846</v>
      </c>
      <c r="B3556" s="417" t="s">
        <v>676</v>
      </c>
      <c r="C3556" s="83">
        <v>46105</v>
      </c>
      <c r="D3556" s="417" t="s">
        <v>677</v>
      </c>
      <c r="E3556">
        <v>1251.12936666667</v>
      </c>
      <c r="F3556">
        <v>242</v>
      </c>
      <c r="G3556">
        <v>5.1699560606060597</v>
      </c>
      <c r="H3556">
        <v>128.69991666666701</v>
      </c>
      <c r="I3556">
        <v>27.185555555555499</v>
      </c>
    </row>
    <row r="3557" spans="1:9" x14ac:dyDescent="0.35">
      <c r="A3557" s="417" t="s">
        <v>846</v>
      </c>
      <c r="B3557" s="417" t="s">
        <v>676</v>
      </c>
      <c r="C3557" s="83">
        <v>46105</v>
      </c>
      <c r="D3557" s="417" t="s">
        <v>679</v>
      </c>
      <c r="E3557">
        <v>1352.5744666666701</v>
      </c>
      <c r="F3557">
        <v>18</v>
      </c>
      <c r="G3557">
        <v>75.143025925925897</v>
      </c>
      <c r="H3557">
        <v>22.375016666666699</v>
      </c>
      <c r="I3557">
        <v>76.052733525276594</v>
      </c>
    </row>
    <row r="3558" spans="1:9" x14ac:dyDescent="0.35">
      <c r="A3558" s="417" t="s">
        <v>846</v>
      </c>
      <c r="B3558" s="417" t="s">
        <v>680</v>
      </c>
      <c r="C3558" s="83">
        <v>46105</v>
      </c>
      <c r="D3558" s="417" t="s">
        <v>689</v>
      </c>
      <c r="E3558">
        <v>1381.2254333333301</v>
      </c>
      <c r="F3558">
        <v>47</v>
      </c>
      <c r="G3558">
        <v>29.387775177304999</v>
      </c>
      <c r="H3558">
        <v>1.82345</v>
      </c>
      <c r="I3558">
        <v>90.345704987361202</v>
      </c>
    </row>
    <row r="3559" spans="1:9" x14ac:dyDescent="0.35">
      <c r="A3559" s="417" t="s">
        <v>846</v>
      </c>
      <c r="B3559" s="417" t="s">
        <v>680</v>
      </c>
      <c r="C3559" s="83">
        <v>46105</v>
      </c>
      <c r="D3559" s="417" t="s">
        <v>681</v>
      </c>
      <c r="E3559">
        <v>1395.2747833333301</v>
      </c>
      <c r="F3559">
        <v>42</v>
      </c>
      <c r="G3559">
        <v>33.220828174603199</v>
      </c>
      <c r="H3559">
        <v>3.2816666666666702E-2</v>
      </c>
      <c r="I3559">
        <v>73.791511121538093</v>
      </c>
    </row>
    <row r="3560" spans="1:9" x14ac:dyDescent="0.35">
      <c r="A3560" s="417" t="s">
        <v>846</v>
      </c>
      <c r="B3560" s="417" t="s">
        <v>680</v>
      </c>
      <c r="C3560" s="83">
        <v>46105</v>
      </c>
      <c r="D3560" s="417" t="s">
        <v>684</v>
      </c>
      <c r="E3560">
        <v>1386.9532833333301</v>
      </c>
      <c r="F3560">
        <v>40</v>
      </c>
      <c r="G3560">
        <v>34.673832083333302</v>
      </c>
      <c r="H3560">
        <v>36.9342166666667</v>
      </c>
      <c r="I3560">
        <v>67.5120799628139</v>
      </c>
    </row>
    <row r="3561" spans="1:9" x14ac:dyDescent="0.35">
      <c r="A3561" s="417" t="s">
        <v>846</v>
      </c>
      <c r="B3561" s="417" t="s">
        <v>680</v>
      </c>
      <c r="C3561" s="83">
        <v>46105</v>
      </c>
      <c r="D3561" s="417" t="s">
        <v>688</v>
      </c>
      <c r="E3561">
        <v>1384.0887499999999</v>
      </c>
      <c r="F3561">
        <v>26</v>
      </c>
      <c r="G3561">
        <v>53.234182692307698</v>
      </c>
      <c r="H3561">
        <v>7.8691500000000003</v>
      </c>
      <c r="I3561">
        <v>73.158123064567306</v>
      </c>
    </row>
    <row r="3562" spans="1:9" x14ac:dyDescent="0.35">
      <c r="A3562" s="417" t="s">
        <v>846</v>
      </c>
      <c r="B3562" s="417" t="s">
        <v>680</v>
      </c>
      <c r="C3562" s="83">
        <v>46105</v>
      </c>
      <c r="D3562" s="417" t="s">
        <v>683</v>
      </c>
      <c r="E3562">
        <v>1348.9426166666699</v>
      </c>
      <c r="F3562">
        <v>21</v>
      </c>
      <c r="G3562">
        <v>64.2353626984127</v>
      </c>
      <c r="H3562">
        <v>3.3339500000000002</v>
      </c>
      <c r="I3562">
        <v>70.291788320592104</v>
      </c>
    </row>
    <row r="3563" spans="1:9" x14ac:dyDescent="0.35">
      <c r="A3563" s="417" t="s">
        <v>846</v>
      </c>
      <c r="B3563" s="417" t="s">
        <v>680</v>
      </c>
      <c r="C3563" s="83">
        <v>46105</v>
      </c>
      <c r="D3563" s="417" t="s">
        <v>685</v>
      </c>
      <c r="E3563">
        <v>1390.6724999999999</v>
      </c>
      <c r="F3563">
        <v>15</v>
      </c>
      <c r="G3563">
        <v>92.711500000000001</v>
      </c>
      <c r="H3563">
        <v>11.2998166666667</v>
      </c>
      <c r="I3563">
        <v>88.450145443523496</v>
      </c>
    </row>
    <row r="3564" spans="1:9" x14ac:dyDescent="0.35">
      <c r="A3564" s="417" t="s">
        <v>846</v>
      </c>
      <c r="B3564" s="417" t="s">
        <v>680</v>
      </c>
      <c r="C3564" s="83">
        <v>46105</v>
      </c>
      <c r="D3564" s="417" t="s">
        <v>682</v>
      </c>
      <c r="E3564">
        <v>1408.6552666666701</v>
      </c>
      <c r="F3564">
        <v>15</v>
      </c>
      <c r="G3564">
        <v>93.910351111111098</v>
      </c>
      <c r="H3564">
        <v>17.6718166666667</v>
      </c>
      <c r="I3564">
        <v>65.035353535353494</v>
      </c>
    </row>
    <row r="3565" spans="1:9" x14ac:dyDescent="0.35">
      <c r="A3565" s="417" t="s">
        <v>846</v>
      </c>
      <c r="B3565" s="417" t="s">
        <v>680</v>
      </c>
      <c r="C3565" s="83">
        <v>46105</v>
      </c>
      <c r="D3565" s="417" t="s">
        <v>690</v>
      </c>
      <c r="E3565">
        <v>1420.9161999999999</v>
      </c>
      <c r="F3565">
        <v>12</v>
      </c>
      <c r="G3565">
        <v>118.40968333333301</v>
      </c>
      <c r="H3565">
        <v>8.4456000000000007</v>
      </c>
      <c r="I3565">
        <v>66.152797765229806</v>
      </c>
    </row>
    <row r="3566" spans="1:9" x14ac:dyDescent="0.35">
      <c r="A3566" s="417" t="s">
        <v>846</v>
      </c>
      <c r="B3566" s="417" t="s">
        <v>680</v>
      </c>
      <c r="C3566" s="83">
        <v>46105</v>
      </c>
      <c r="D3566" s="417" t="s">
        <v>687</v>
      </c>
      <c r="E3566">
        <v>1407.16</v>
      </c>
      <c r="F3566">
        <v>8</v>
      </c>
      <c r="G3566">
        <v>175.89500000000001</v>
      </c>
      <c r="H3566">
        <v>10.5001</v>
      </c>
      <c r="I3566">
        <v>27.537694620234401</v>
      </c>
    </row>
    <row r="3567" spans="1:9" x14ac:dyDescent="0.35">
      <c r="A3567" s="417" t="s">
        <v>846</v>
      </c>
      <c r="B3567" s="417" t="s">
        <v>680</v>
      </c>
      <c r="C3567" s="83">
        <v>46105</v>
      </c>
      <c r="D3567" s="417" t="s">
        <v>686</v>
      </c>
      <c r="E3567">
        <v>1440</v>
      </c>
      <c r="F3567">
        <v>1</v>
      </c>
      <c r="G3567">
        <v>1440</v>
      </c>
      <c r="H3567">
        <v>0</v>
      </c>
      <c r="I3567">
        <v>68.151515151515198</v>
      </c>
    </row>
    <row r="3568" spans="1:9" x14ac:dyDescent="0.35">
      <c r="A3568" s="417" t="s">
        <v>846</v>
      </c>
      <c r="B3568" s="417" t="s">
        <v>691</v>
      </c>
      <c r="C3568" s="83">
        <v>46105</v>
      </c>
      <c r="D3568" s="417" t="s">
        <v>305</v>
      </c>
      <c r="E3568">
        <v>872.73273333333304</v>
      </c>
      <c r="F3568">
        <v>289</v>
      </c>
      <c r="G3568">
        <v>3.0198364475201802</v>
      </c>
      <c r="H3568">
        <v>6.2879833333333304</v>
      </c>
      <c r="I3568">
        <v>33.081439925889804</v>
      </c>
    </row>
    <row r="3569" spans="1:9" x14ac:dyDescent="0.35">
      <c r="A3569" s="417" t="s">
        <v>846</v>
      </c>
      <c r="B3569" s="417" t="s">
        <v>691</v>
      </c>
      <c r="C3569" s="83">
        <v>46105</v>
      </c>
      <c r="D3569" s="417" t="s">
        <v>309</v>
      </c>
      <c r="E3569">
        <v>927.72058333333302</v>
      </c>
      <c r="F3569">
        <v>83</v>
      </c>
      <c r="G3569">
        <v>11.177356425702801</v>
      </c>
      <c r="H3569">
        <v>0</v>
      </c>
      <c r="I3569">
        <v>29.063599264680001</v>
      </c>
    </row>
    <row r="3570" spans="1:9" x14ac:dyDescent="0.35">
      <c r="A3570" s="417" t="s">
        <v>846</v>
      </c>
      <c r="B3570" s="417" t="s">
        <v>691</v>
      </c>
      <c r="C3570" s="83">
        <v>46105</v>
      </c>
      <c r="D3570" s="417" t="s">
        <v>303</v>
      </c>
      <c r="E3570">
        <v>816.85013333333302</v>
      </c>
      <c r="F3570">
        <v>63</v>
      </c>
      <c r="G3570">
        <v>12.9658751322751</v>
      </c>
      <c r="H3570">
        <v>0.60066666666666702</v>
      </c>
      <c r="I3570">
        <v>20.581284577784501</v>
      </c>
    </row>
    <row r="3571" spans="1:9" x14ac:dyDescent="0.35">
      <c r="A3571" s="417" t="s">
        <v>846</v>
      </c>
      <c r="B3571" s="417" t="s">
        <v>691</v>
      </c>
      <c r="C3571" s="83">
        <v>46105</v>
      </c>
      <c r="D3571" s="417" t="s">
        <v>295</v>
      </c>
      <c r="E3571">
        <v>965.74658333333298</v>
      </c>
      <c r="F3571">
        <v>56</v>
      </c>
      <c r="G3571">
        <v>17.245474702380999</v>
      </c>
      <c r="H3571">
        <v>1.0065666666666699</v>
      </c>
      <c r="I3571">
        <v>42.141104719401802</v>
      </c>
    </row>
    <row r="3572" spans="1:9" x14ac:dyDescent="0.35">
      <c r="A3572" s="417" t="s">
        <v>846</v>
      </c>
      <c r="B3572" s="417" t="s">
        <v>691</v>
      </c>
      <c r="C3572" s="83">
        <v>46105</v>
      </c>
      <c r="D3572" s="417" t="s">
        <v>301</v>
      </c>
      <c r="E3572">
        <v>922.631533333334</v>
      </c>
      <c r="F3572">
        <v>51</v>
      </c>
      <c r="G3572">
        <v>18.090814379085</v>
      </c>
      <c r="H3572">
        <v>0.67320000000000002</v>
      </c>
      <c r="I3572">
        <v>36.129407558502102</v>
      </c>
    </row>
    <row r="3573" spans="1:9" x14ac:dyDescent="0.35">
      <c r="A3573" s="417" t="s">
        <v>846</v>
      </c>
      <c r="B3573" s="417" t="s">
        <v>691</v>
      </c>
      <c r="C3573" s="83">
        <v>46105</v>
      </c>
      <c r="D3573" s="417" t="s">
        <v>299</v>
      </c>
      <c r="E3573">
        <v>900.09063333333302</v>
      </c>
      <c r="F3573">
        <v>33</v>
      </c>
      <c r="G3573">
        <v>27.275473737373702</v>
      </c>
      <c r="H3573">
        <v>0.42108333333333298</v>
      </c>
      <c r="I3573">
        <v>32.089145264293599</v>
      </c>
    </row>
    <row r="3574" spans="1:9" x14ac:dyDescent="0.35">
      <c r="A3574" s="417" t="s">
        <v>846</v>
      </c>
      <c r="B3574" s="417" t="s">
        <v>691</v>
      </c>
      <c r="C3574" s="83">
        <v>46105</v>
      </c>
      <c r="D3574" s="417" t="s">
        <v>342</v>
      </c>
      <c r="E3574">
        <v>1425.5379166666701</v>
      </c>
      <c r="F3574">
        <v>9</v>
      </c>
      <c r="G3574">
        <v>158.39310185185201</v>
      </c>
      <c r="H3574">
        <v>14.4620833333333</v>
      </c>
      <c r="I3574">
        <v>27.589285714285701</v>
      </c>
    </row>
    <row r="3575" spans="1:9" x14ac:dyDescent="0.35">
      <c r="A3575" s="417" t="s">
        <v>846</v>
      </c>
      <c r="B3575" s="417" t="s">
        <v>691</v>
      </c>
      <c r="C3575" s="83">
        <v>46105</v>
      </c>
      <c r="D3575" s="417" t="s">
        <v>310</v>
      </c>
      <c r="E3575">
        <v>432.48591666666698</v>
      </c>
      <c r="F3575">
        <v>4</v>
      </c>
      <c r="G3575">
        <v>108.121479166667</v>
      </c>
      <c r="H3575">
        <v>0.18479999999999999</v>
      </c>
      <c r="I3575">
        <v>6.8527863934093398</v>
      </c>
    </row>
    <row r="3576" spans="1:9" x14ac:dyDescent="0.35">
      <c r="A3576" s="417" t="s">
        <v>846</v>
      </c>
      <c r="B3576" s="417" t="s">
        <v>691</v>
      </c>
      <c r="C3576" s="83">
        <v>46105</v>
      </c>
      <c r="D3576" s="417" t="s">
        <v>313</v>
      </c>
      <c r="E3576">
        <v>105.19005</v>
      </c>
      <c r="F3576">
        <v>2</v>
      </c>
      <c r="G3576">
        <v>52.595025</v>
      </c>
      <c r="H3576">
        <v>0</v>
      </c>
      <c r="I3576">
        <v>5.75</v>
      </c>
    </row>
    <row r="3577" spans="1:9" x14ac:dyDescent="0.35">
      <c r="A3577" s="417" t="s">
        <v>846</v>
      </c>
      <c r="B3577" s="417" t="s">
        <v>691</v>
      </c>
      <c r="C3577" s="83">
        <v>46105</v>
      </c>
      <c r="D3577" s="417" t="s">
        <v>317</v>
      </c>
      <c r="E3577">
        <v>595.38481666666701</v>
      </c>
      <c r="F3577">
        <v>2</v>
      </c>
      <c r="G3577">
        <v>297.69240833333299</v>
      </c>
      <c r="H3577">
        <v>4.6151833333333299</v>
      </c>
      <c r="I3577">
        <v>2.8166666666666602</v>
      </c>
    </row>
    <row r="3578" spans="1:9" x14ac:dyDescent="0.35">
      <c r="A3578" s="417" t="s">
        <v>846</v>
      </c>
      <c r="B3578" s="417" t="s">
        <v>691</v>
      </c>
      <c r="C3578" s="83">
        <v>46105</v>
      </c>
      <c r="D3578" s="417" t="s">
        <v>314</v>
      </c>
      <c r="E3578">
        <v>564.77743333333297</v>
      </c>
      <c r="F3578">
        <v>1</v>
      </c>
      <c r="G3578">
        <v>564.77743333333297</v>
      </c>
      <c r="H3578">
        <v>0</v>
      </c>
      <c r="I3578">
        <v>0.43329240832497401</v>
      </c>
    </row>
    <row r="3579" spans="1:9" x14ac:dyDescent="0.35">
      <c r="A3579" s="417" t="s">
        <v>846</v>
      </c>
      <c r="B3579" s="417" t="s">
        <v>691</v>
      </c>
      <c r="C3579" s="83">
        <v>46105</v>
      </c>
      <c r="D3579" s="417" t="s">
        <v>504</v>
      </c>
      <c r="E3579">
        <v>1440</v>
      </c>
      <c r="F3579">
        <v>1</v>
      </c>
      <c r="G3579">
        <v>1440</v>
      </c>
      <c r="H3579">
        <v>0</v>
      </c>
      <c r="I3579">
        <v>19.857098765432099</v>
      </c>
    </row>
    <row r="3580" spans="1:9" x14ac:dyDescent="0.35">
      <c r="A3580" s="417" t="s">
        <v>846</v>
      </c>
      <c r="B3580" s="417" t="s">
        <v>676</v>
      </c>
      <c r="C3580" s="83">
        <v>46104</v>
      </c>
      <c r="D3580" s="417" t="s">
        <v>677</v>
      </c>
      <c r="E3580">
        <v>1338.00395</v>
      </c>
      <c r="F3580">
        <v>155</v>
      </c>
      <c r="G3580">
        <v>8.6322835483871003</v>
      </c>
      <c r="H3580">
        <v>77.160783333333299</v>
      </c>
      <c r="I3580">
        <v>40.679722222222203</v>
      </c>
    </row>
    <row r="3581" spans="1:9" x14ac:dyDescent="0.35">
      <c r="A3581" s="417" t="s">
        <v>846</v>
      </c>
      <c r="B3581" s="417" t="s">
        <v>676</v>
      </c>
      <c r="C3581" s="83">
        <v>46104</v>
      </c>
      <c r="D3581" s="417" t="s">
        <v>679</v>
      </c>
      <c r="E3581">
        <v>1373.5191</v>
      </c>
      <c r="F3581">
        <v>27</v>
      </c>
      <c r="G3581">
        <v>50.871077777777799</v>
      </c>
      <c r="H3581">
        <v>20.646550000000001</v>
      </c>
      <c r="I3581">
        <v>72.156896611723795</v>
      </c>
    </row>
    <row r="3582" spans="1:9" x14ac:dyDescent="0.35">
      <c r="A3582" s="417" t="s">
        <v>846</v>
      </c>
      <c r="B3582" s="417" t="s">
        <v>680</v>
      </c>
      <c r="C3582" s="83">
        <v>46104</v>
      </c>
      <c r="D3582" s="417" t="s">
        <v>690</v>
      </c>
      <c r="E3582">
        <v>1382.1357</v>
      </c>
      <c r="F3582">
        <v>50</v>
      </c>
      <c r="G3582">
        <v>27.642714000000002</v>
      </c>
      <c r="H3582">
        <v>30.645666666666699</v>
      </c>
      <c r="I3582">
        <v>67.630699807338999</v>
      </c>
    </row>
    <row r="3583" spans="1:9" x14ac:dyDescent="0.35">
      <c r="A3583" s="417" t="s">
        <v>846</v>
      </c>
      <c r="B3583" s="417" t="s">
        <v>680</v>
      </c>
      <c r="C3583" s="83">
        <v>46104</v>
      </c>
      <c r="D3583" s="417" t="s">
        <v>688</v>
      </c>
      <c r="E3583">
        <v>1395.02305</v>
      </c>
      <c r="F3583">
        <v>36</v>
      </c>
      <c r="G3583">
        <v>38.750640277777798</v>
      </c>
      <c r="H3583">
        <v>21.314116666666699</v>
      </c>
      <c r="I3583">
        <v>70.6925216512426</v>
      </c>
    </row>
    <row r="3584" spans="1:9" x14ac:dyDescent="0.35">
      <c r="A3584" s="417" t="s">
        <v>846</v>
      </c>
      <c r="B3584" s="417" t="s">
        <v>680</v>
      </c>
      <c r="C3584" s="83">
        <v>46104</v>
      </c>
      <c r="D3584" s="417" t="s">
        <v>684</v>
      </c>
      <c r="E3584">
        <v>1407.3246999999999</v>
      </c>
      <c r="F3584">
        <v>32</v>
      </c>
      <c r="G3584">
        <v>43.978896874999997</v>
      </c>
      <c r="H3584">
        <v>21.49155</v>
      </c>
      <c r="I3584">
        <v>76.233061211915896</v>
      </c>
    </row>
    <row r="3585" spans="1:9" x14ac:dyDescent="0.35">
      <c r="A3585" s="417" t="s">
        <v>846</v>
      </c>
      <c r="B3585" s="417" t="s">
        <v>680</v>
      </c>
      <c r="C3585" s="83">
        <v>46104</v>
      </c>
      <c r="D3585" s="417" t="s">
        <v>681</v>
      </c>
      <c r="E3585">
        <v>1390.1439499999999</v>
      </c>
      <c r="F3585">
        <v>24</v>
      </c>
      <c r="G3585">
        <v>57.922664583333301</v>
      </c>
      <c r="H3585">
        <v>0.15805</v>
      </c>
      <c r="I3585">
        <v>70.897504006502004</v>
      </c>
    </row>
    <row r="3586" spans="1:9" x14ac:dyDescent="0.35">
      <c r="A3586" s="417" t="s">
        <v>846</v>
      </c>
      <c r="B3586" s="417" t="s">
        <v>680</v>
      </c>
      <c r="C3586" s="83">
        <v>46104</v>
      </c>
      <c r="D3586" s="417" t="s">
        <v>689</v>
      </c>
      <c r="E3586">
        <v>1384.32046666667</v>
      </c>
      <c r="F3586">
        <v>21</v>
      </c>
      <c r="G3586">
        <v>65.920022222222201</v>
      </c>
      <c r="H3586">
        <v>0.508083333333333</v>
      </c>
      <c r="I3586">
        <v>84.750304706151596</v>
      </c>
    </row>
    <row r="3587" spans="1:9" x14ac:dyDescent="0.35">
      <c r="A3587" s="417" t="s">
        <v>846</v>
      </c>
      <c r="B3587" s="417" t="s">
        <v>680</v>
      </c>
      <c r="C3587" s="83">
        <v>46104</v>
      </c>
      <c r="D3587" s="417" t="s">
        <v>685</v>
      </c>
      <c r="E3587">
        <v>1395.1595500000001</v>
      </c>
      <c r="F3587">
        <v>19</v>
      </c>
      <c r="G3587">
        <v>73.429450000000003</v>
      </c>
      <c r="H3587">
        <v>13.994149999999999</v>
      </c>
      <c r="I3587">
        <v>82.045811061480194</v>
      </c>
    </row>
    <row r="3588" spans="1:9" x14ac:dyDescent="0.35">
      <c r="A3588" s="417" t="s">
        <v>846</v>
      </c>
      <c r="B3588" s="417" t="s">
        <v>680</v>
      </c>
      <c r="C3588" s="83">
        <v>46104</v>
      </c>
      <c r="D3588" s="417" t="s">
        <v>687</v>
      </c>
      <c r="E3588">
        <v>1397.1658500000001</v>
      </c>
      <c r="F3588">
        <v>18</v>
      </c>
      <c r="G3588">
        <v>77.620324999999994</v>
      </c>
      <c r="H3588">
        <v>32.010583333333301</v>
      </c>
      <c r="I3588">
        <v>29.265042520578799</v>
      </c>
    </row>
    <row r="3589" spans="1:9" x14ac:dyDescent="0.35">
      <c r="A3589" s="417" t="s">
        <v>846</v>
      </c>
      <c r="B3589" s="417" t="s">
        <v>680</v>
      </c>
      <c r="C3589" s="83">
        <v>46104</v>
      </c>
      <c r="D3589" s="417" t="s">
        <v>682</v>
      </c>
      <c r="E3589">
        <v>1424.3244833333299</v>
      </c>
      <c r="F3589">
        <v>17</v>
      </c>
      <c r="G3589">
        <v>83.783793137254904</v>
      </c>
      <c r="H3589">
        <v>15.675516666666701</v>
      </c>
      <c r="I3589">
        <v>74.909090909090907</v>
      </c>
    </row>
    <row r="3590" spans="1:9" x14ac:dyDescent="0.35">
      <c r="A3590" s="417" t="s">
        <v>846</v>
      </c>
      <c r="B3590" s="417" t="s">
        <v>680</v>
      </c>
      <c r="C3590" s="83">
        <v>46104</v>
      </c>
      <c r="D3590" s="417" t="s">
        <v>683</v>
      </c>
      <c r="E3590">
        <v>1421.3455833333301</v>
      </c>
      <c r="F3590">
        <v>9</v>
      </c>
      <c r="G3590">
        <v>157.92728703703699</v>
      </c>
      <c r="H3590">
        <v>1.16798333333333</v>
      </c>
      <c r="I3590">
        <v>68.618721225075603</v>
      </c>
    </row>
    <row r="3591" spans="1:9" x14ac:dyDescent="0.35">
      <c r="A3591" s="417" t="s">
        <v>846</v>
      </c>
      <c r="B3591" s="417" t="s">
        <v>680</v>
      </c>
      <c r="C3591" s="83">
        <v>46104</v>
      </c>
      <c r="D3591" s="417" t="s">
        <v>686</v>
      </c>
      <c r="E3591">
        <v>1440</v>
      </c>
      <c r="F3591">
        <v>1</v>
      </c>
      <c r="G3591">
        <v>1440</v>
      </c>
      <c r="H3591">
        <v>0</v>
      </c>
      <c r="I3591">
        <v>69.459595959595902</v>
      </c>
    </row>
    <row r="3592" spans="1:9" x14ac:dyDescent="0.35">
      <c r="A3592" s="417" t="s">
        <v>846</v>
      </c>
      <c r="B3592" s="417" t="s">
        <v>691</v>
      </c>
      <c r="C3592" s="83">
        <v>46104</v>
      </c>
      <c r="D3592" s="417" t="s">
        <v>305</v>
      </c>
      <c r="E3592">
        <v>1164.00931666667</v>
      </c>
      <c r="F3592">
        <v>240</v>
      </c>
      <c r="G3592">
        <v>4.8500388194444399</v>
      </c>
      <c r="H3592">
        <v>15.802099999999999</v>
      </c>
      <c r="I3592">
        <v>60.444599674833299</v>
      </c>
    </row>
    <row r="3593" spans="1:9" x14ac:dyDescent="0.35">
      <c r="A3593" s="417" t="s">
        <v>846</v>
      </c>
      <c r="B3593" s="417" t="s">
        <v>691</v>
      </c>
      <c r="C3593" s="83">
        <v>46104</v>
      </c>
      <c r="D3593" s="417" t="s">
        <v>301</v>
      </c>
      <c r="E3593">
        <v>1331.8696666666699</v>
      </c>
      <c r="F3593">
        <v>126</v>
      </c>
      <c r="G3593">
        <v>10.570394179894199</v>
      </c>
      <c r="H3593">
        <v>1.3486833333333299</v>
      </c>
      <c r="I3593">
        <v>51.512043923364701</v>
      </c>
    </row>
    <row r="3594" spans="1:9" x14ac:dyDescent="0.35">
      <c r="A3594" s="417" t="s">
        <v>846</v>
      </c>
      <c r="B3594" s="417" t="s">
        <v>691</v>
      </c>
      <c r="C3594" s="83">
        <v>46104</v>
      </c>
      <c r="D3594" s="417" t="s">
        <v>309</v>
      </c>
      <c r="E3594">
        <v>1273.5196000000001</v>
      </c>
      <c r="F3594">
        <v>121</v>
      </c>
      <c r="G3594">
        <v>10.5249553719008</v>
      </c>
      <c r="H3594">
        <v>0.3271</v>
      </c>
      <c r="I3594">
        <v>63.900829213138103</v>
      </c>
    </row>
    <row r="3595" spans="1:9" x14ac:dyDescent="0.35">
      <c r="A3595" s="417" t="s">
        <v>846</v>
      </c>
      <c r="B3595" s="417" t="s">
        <v>691</v>
      </c>
      <c r="C3595" s="83">
        <v>46104</v>
      </c>
      <c r="D3595" s="417" t="s">
        <v>299</v>
      </c>
      <c r="E3595">
        <v>1318.46975</v>
      </c>
      <c r="F3595">
        <v>87</v>
      </c>
      <c r="G3595">
        <v>15.1548247126437</v>
      </c>
      <c r="H3595">
        <v>0.50933333333333297</v>
      </c>
      <c r="I3595">
        <v>62.916683505760602</v>
      </c>
    </row>
    <row r="3596" spans="1:9" x14ac:dyDescent="0.35">
      <c r="A3596" s="417" t="s">
        <v>846</v>
      </c>
      <c r="B3596" s="417" t="s">
        <v>691</v>
      </c>
      <c r="C3596" s="83">
        <v>46104</v>
      </c>
      <c r="D3596" s="417" t="s">
        <v>295</v>
      </c>
      <c r="E3596">
        <v>1293.0177000000001</v>
      </c>
      <c r="F3596">
        <v>86</v>
      </c>
      <c r="G3596">
        <v>15.035089534883699</v>
      </c>
      <c r="H3596">
        <v>1.3768499999999999</v>
      </c>
      <c r="I3596">
        <v>64.776262265204196</v>
      </c>
    </row>
    <row r="3597" spans="1:9" x14ac:dyDescent="0.35">
      <c r="A3597" s="417" t="s">
        <v>846</v>
      </c>
      <c r="B3597" s="417" t="s">
        <v>691</v>
      </c>
      <c r="C3597" s="83">
        <v>46104</v>
      </c>
      <c r="D3597" s="417" t="s">
        <v>303</v>
      </c>
      <c r="E3597">
        <v>1327.07676666667</v>
      </c>
      <c r="F3597">
        <v>63</v>
      </c>
      <c r="G3597">
        <v>21.064710582010601</v>
      </c>
      <c r="H3597">
        <v>0.41208333333333302</v>
      </c>
      <c r="I3597">
        <v>60.308710331847699</v>
      </c>
    </row>
    <row r="3598" spans="1:9" x14ac:dyDescent="0.35">
      <c r="A3598" s="417" t="s">
        <v>846</v>
      </c>
      <c r="B3598" s="417" t="s">
        <v>691</v>
      </c>
      <c r="C3598" s="83">
        <v>46104</v>
      </c>
      <c r="D3598" s="417" t="s">
        <v>342</v>
      </c>
      <c r="E3598">
        <v>581.26025000000004</v>
      </c>
      <c r="F3598">
        <v>7</v>
      </c>
      <c r="G3598">
        <v>83.037178571428598</v>
      </c>
      <c r="H3598">
        <v>18.739750000000001</v>
      </c>
      <c r="I3598">
        <v>7.3809523809524</v>
      </c>
    </row>
    <row r="3599" spans="1:9" x14ac:dyDescent="0.35">
      <c r="A3599" s="417" t="s">
        <v>846</v>
      </c>
      <c r="B3599" s="417" t="s">
        <v>691</v>
      </c>
      <c r="C3599" s="83">
        <v>46104</v>
      </c>
      <c r="D3599" s="417" t="s">
        <v>310</v>
      </c>
      <c r="E3599">
        <v>733.04534999999998</v>
      </c>
      <c r="F3599">
        <v>5</v>
      </c>
      <c r="G3599">
        <v>146.60907</v>
      </c>
      <c r="H3599">
        <v>0.99251666666666605</v>
      </c>
      <c r="I3599">
        <v>74.434713523597495</v>
      </c>
    </row>
    <row r="3600" spans="1:9" x14ac:dyDescent="0.35">
      <c r="A3600" s="417" t="s">
        <v>846</v>
      </c>
      <c r="B3600" s="417" t="s">
        <v>691</v>
      </c>
      <c r="C3600" s="83">
        <v>46104</v>
      </c>
      <c r="D3600" s="417" t="s">
        <v>313</v>
      </c>
      <c r="E3600">
        <v>820.97915</v>
      </c>
      <c r="F3600">
        <v>3</v>
      </c>
      <c r="G3600">
        <v>273.65971666666701</v>
      </c>
      <c r="H3600">
        <v>0</v>
      </c>
      <c r="I3600">
        <v>71.949670968121396</v>
      </c>
    </row>
    <row r="3601" spans="1:9" x14ac:dyDescent="0.35">
      <c r="A3601" s="417" t="s">
        <v>846</v>
      </c>
      <c r="B3601" s="417" t="s">
        <v>691</v>
      </c>
      <c r="C3601" s="83">
        <v>46104</v>
      </c>
      <c r="D3601" s="417" t="s">
        <v>314</v>
      </c>
      <c r="E3601">
        <v>837.87294999999995</v>
      </c>
      <c r="F3601">
        <v>2</v>
      </c>
      <c r="G3601">
        <v>418.93647499999997</v>
      </c>
      <c r="H3601">
        <v>2.5133333333333299E-2</v>
      </c>
      <c r="I3601">
        <v>51.415779147288603</v>
      </c>
    </row>
    <row r="3602" spans="1:9" x14ac:dyDescent="0.35">
      <c r="A3602" s="417" t="s">
        <v>846</v>
      </c>
      <c r="B3602" s="417" t="s">
        <v>691</v>
      </c>
      <c r="C3602" s="83">
        <v>46104</v>
      </c>
      <c r="D3602" s="417" t="s">
        <v>317</v>
      </c>
      <c r="E3602">
        <v>839.81226666666703</v>
      </c>
      <c r="F3602">
        <v>2</v>
      </c>
      <c r="G3602">
        <v>419.906133333333</v>
      </c>
      <c r="H3602">
        <v>0.187733333333333</v>
      </c>
      <c r="I3602">
        <v>43.970238095238102</v>
      </c>
    </row>
    <row r="3603" spans="1:9" x14ac:dyDescent="0.35">
      <c r="A3603" s="417" t="s">
        <v>846</v>
      </c>
      <c r="B3603" s="417" t="s">
        <v>691</v>
      </c>
      <c r="C3603" s="83">
        <v>46104</v>
      </c>
      <c r="D3603" s="417" t="s">
        <v>504</v>
      </c>
      <c r="E3603">
        <v>1440</v>
      </c>
      <c r="F3603">
        <v>1</v>
      </c>
      <c r="G3603">
        <v>1440</v>
      </c>
      <c r="H3603">
        <v>0</v>
      </c>
      <c r="I3603">
        <v>42.956481481481497</v>
      </c>
    </row>
    <row r="3604" spans="1:9" x14ac:dyDescent="0.35">
      <c r="A3604" s="417" t="s">
        <v>846</v>
      </c>
      <c r="B3604" s="417" t="s">
        <v>676</v>
      </c>
      <c r="C3604" s="83">
        <v>46103</v>
      </c>
      <c r="D3604" s="417" t="s">
        <v>677</v>
      </c>
      <c r="E3604">
        <v>1104.79193333333</v>
      </c>
      <c r="F3604">
        <v>236</v>
      </c>
      <c r="G3604">
        <v>4.6813217514124297</v>
      </c>
      <c r="H3604">
        <v>186.877816666667</v>
      </c>
      <c r="I3604">
        <v>20.481388888888901</v>
      </c>
    </row>
    <row r="3605" spans="1:9" x14ac:dyDescent="0.35">
      <c r="A3605" s="417" t="s">
        <v>846</v>
      </c>
      <c r="B3605" s="417" t="s">
        <v>676</v>
      </c>
      <c r="C3605" s="83">
        <v>46103</v>
      </c>
      <c r="D3605" s="417" t="s">
        <v>679</v>
      </c>
      <c r="E3605">
        <v>1273.9471333333299</v>
      </c>
      <c r="F3605">
        <v>33</v>
      </c>
      <c r="G3605">
        <v>38.604458585858602</v>
      </c>
      <c r="H3605">
        <v>29.339916666666699</v>
      </c>
      <c r="I3605">
        <v>54.372263321934099</v>
      </c>
    </row>
    <row r="3606" spans="1:9" x14ac:dyDescent="0.35">
      <c r="A3606" s="417" t="s">
        <v>846</v>
      </c>
      <c r="B3606" s="417" t="s">
        <v>680</v>
      </c>
      <c r="C3606" s="83">
        <v>46103</v>
      </c>
      <c r="D3606" s="417" t="s">
        <v>689</v>
      </c>
      <c r="E3606">
        <v>1319.2096833333301</v>
      </c>
      <c r="F3606">
        <v>60</v>
      </c>
      <c r="G3606">
        <v>21.986828055555598</v>
      </c>
      <c r="H3606">
        <v>0.49204999999999999</v>
      </c>
      <c r="I3606">
        <v>80.839653725476794</v>
      </c>
    </row>
    <row r="3607" spans="1:9" x14ac:dyDescent="0.35">
      <c r="A3607" s="417" t="s">
        <v>846</v>
      </c>
      <c r="B3607" s="417" t="s">
        <v>680</v>
      </c>
      <c r="C3607" s="83">
        <v>46103</v>
      </c>
      <c r="D3607" s="417" t="s">
        <v>681</v>
      </c>
      <c r="E3607">
        <v>1394.64086666667</v>
      </c>
      <c r="F3607">
        <v>47</v>
      </c>
      <c r="G3607">
        <v>29.673209929077998</v>
      </c>
      <c r="H3607">
        <v>0</v>
      </c>
      <c r="I3607">
        <v>69.154311012272998</v>
      </c>
    </row>
    <row r="3608" spans="1:9" x14ac:dyDescent="0.35">
      <c r="A3608" s="417" t="s">
        <v>846</v>
      </c>
      <c r="B3608" s="417" t="s">
        <v>680</v>
      </c>
      <c r="C3608" s="83">
        <v>46103</v>
      </c>
      <c r="D3608" s="417" t="s">
        <v>684</v>
      </c>
      <c r="E3608">
        <v>1359.8080500000001</v>
      </c>
      <c r="F3608">
        <v>41</v>
      </c>
      <c r="G3608">
        <v>33.166049999999998</v>
      </c>
      <c r="H3608">
        <v>31.18355</v>
      </c>
      <c r="I3608">
        <v>71.682998406922707</v>
      </c>
    </row>
    <row r="3609" spans="1:9" x14ac:dyDescent="0.35">
      <c r="A3609" s="417" t="s">
        <v>846</v>
      </c>
      <c r="B3609" s="417" t="s">
        <v>680</v>
      </c>
      <c r="C3609" s="83">
        <v>46103</v>
      </c>
      <c r="D3609" s="417" t="s">
        <v>682</v>
      </c>
      <c r="E3609">
        <v>1399.03685</v>
      </c>
      <c r="F3609">
        <v>40</v>
      </c>
      <c r="G3609">
        <v>34.975921249999999</v>
      </c>
      <c r="H3609">
        <v>40.963149999999999</v>
      </c>
      <c r="I3609">
        <v>67.570707070707101</v>
      </c>
    </row>
    <row r="3610" spans="1:9" x14ac:dyDescent="0.35">
      <c r="A3610" s="417" t="s">
        <v>846</v>
      </c>
      <c r="B3610" s="417" t="s">
        <v>680</v>
      </c>
      <c r="C3610" s="83">
        <v>46103</v>
      </c>
      <c r="D3610" s="417" t="s">
        <v>683</v>
      </c>
      <c r="E3610">
        <v>1367.29655</v>
      </c>
      <c r="F3610">
        <v>39</v>
      </c>
      <c r="G3610">
        <v>35.0588858974359</v>
      </c>
      <c r="H3610">
        <v>0.1668</v>
      </c>
      <c r="I3610">
        <v>61.104465255769902</v>
      </c>
    </row>
    <row r="3611" spans="1:9" x14ac:dyDescent="0.35">
      <c r="A3611" s="417" t="s">
        <v>846</v>
      </c>
      <c r="B3611" s="417" t="s">
        <v>680</v>
      </c>
      <c r="C3611" s="83">
        <v>46103</v>
      </c>
      <c r="D3611" s="417" t="s">
        <v>688</v>
      </c>
      <c r="E3611">
        <v>1418.1406666666701</v>
      </c>
      <c r="F3611">
        <v>15</v>
      </c>
      <c r="G3611">
        <v>94.542711111111103</v>
      </c>
      <c r="H3611">
        <v>1.51301666666667</v>
      </c>
      <c r="I3611">
        <v>68.198249370386193</v>
      </c>
    </row>
    <row r="3612" spans="1:9" x14ac:dyDescent="0.35">
      <c r="A3612" s="417" t="s">
        <v>846</v>
      </c>
      <c r="B3612" s="417" t="s">
        <v>680</v>
      </c>
      <c r="C3612" s="83">
        <v>46103</v>
      </c>
      <c r="D3612" s="417" t="s">
        <v>685</v>
      </c>
      <c r="E3612">
        <v>1347.31968333333</v>
      </c>
      <c r="F3612">
        <v>13</v>
      </c>
      <c r="G3612">
        <v>103.639975641026</v>
      </c>
      <c r="H3612">
        <v>8.5027833333333298</v>
      </c>
      <c r="I3612">
        <v>75.854078863431596</v>
      </c>
    </row>
    <row r="3613" spans="1:9" x14ac:dyDescent="0.35">
      <c r="A3613" s="417" t="s">
        <v>846</v>
      </c>
      <c r="B3613" s="417" t="s">
        <v>680</v>
      </c>
      <c r="C3613" s="83">
        <v>46103</v>
      </c>
      <c r="D3613" s="417" t="s">
        <v>690</v>
      </c>
      <c r="E3613">
        <v>1400.8416666666701</v>
      </c>
      <c r="F3613">
        <v>13</v>
      </c>
      <c r="G3613">
        <v>107.75705128205099</v>
      </c>
      <c r="H3613">
        <v>5.6749833333333299</v>
      </c>
      <c r="I3613">
        <v>56.539017179377701</v>
      </c>
    </row>
    <row r="3614" spans="1:9" x14ac:dyDescent="0.35">
      <c r="A3614" s="417" t="s">
        <v>846</v>
      </c>
      <c r="B3614" s="417" t="s">
        <v>680</v>
      </c>
      <c r="C3614" s="83">
        <v>46103</v>
      </c>
      <c r="D3614" s="417" t="s">
        <v>687</v>
      </c>
      <c r="E3614">
        <v>1389.8284000000001</v>
      </c>
      <c r="F3614">
        <v>13</v>
      </c>
      <c r="G3614">
        <v>106.90987692307699</v>
      </c>
      <c r="H3614">
        <v>12.0024333333333</v>
      </c>
      <c r="I3614">
        <v>36.950733398374801</v>
      </c>
    </row>
    <row r="3615" spans="1:9" x14ac:dyDescent="0.35">
      <c r="A3615" s="417" t="s">
        <v>846</v>
      </c>
      <c r="B3615" s="417" t="s">
        <v>680</v>
      </c>
      <c r="C3615" s="83">
        <v>46103</v>
      </c>
      <c r="D3615" s="417" t="s">
        <v>686</v>
      </c>
      <c r="E3615">
        <v>1440</v>
      </c>
      <c r="F3615">
        <v>1</v>
      </c>
      <c r="G3615">
        <v>1440</v>
      </c>
      <c r="H3615">
        <v>0</v>
      </c>
      <c r="I3615">
        <v>91.696969696969703</v>
      </c>
    </row>
    <row r="3616" spans="1:9" x14ac:dyDescent="0.35">
      <c r="A3616" s="417" t="s">
        <v>846</v>
      </c>
      <c r="B3616" s="417" t="s">
        <v>691</v>
      </c>
      <c r="C3616" s="83">
        <v>46103</v>
      </c>
      <c r="D3616" s="417" t="s">
        <v>309</v>
      </c>
      <c r="E3616">
        <v>1282.44706666667</v>
      </c>
      <c r="F3616">
        <v>173</v>
      </c>
      <c r="G3616">
        <v>7.4129888246628104</v>
      </c>
      <c r="H3616">
        <v>1.3441000000000001</v>
      </c>
      <c r="I3616">
        <v>77.808013471463198</v>
      </c>
    </row>
    <row r="3617" spans="1:9" x14ac:dyDescent="0.35">
      <c r="A3617" s="417" t="s">
        <v>846</v>
      </c>
      <c r="B3617" s="417" t="s">
        <v>691</v>
      </c>
      <c r="C3617" s="83">
        <v>46103</v>
      </c>
      <c r="D3617" s="417" t="s">
        <v>301</v>
      </c>
      <c r="E3617">
        <v>1340.5337500000001</v>
      </c>
      <c r="F3617">
        <v>159</v>
      </c>
      <c r="G3617">
        <v>8.4310298742138396</v>
      </c>
      <c r="H3617">
        <v>0.53786666666666705</v>
      </c>
      <c r="I3617">
        <v>63.745655540263598</v>
      </c>
    </row>
    <row r="3618" spans="1:9" x14ac:dyDescent="0.35">
      <c r="A3618" s="417" t="s">
        <v>846</v>
      </c>
      <c r="B3618" s="417" t="s">
        <v>691</v>
      </c>
      <c r="C3618" s="83">
        <v>46103</v>
      </c>
      <c r="D3618" s="417" t="s">
        <v>305</v>
      </c>
      <c r="E3618">
        <v>1283.4682499999999</v>
      </c>
      <c r="F3618">
        <v>147</v>
      </c>
      <c r="G3618">
        <v>8.7310765306122509</v>
      </c>
      <c r="H3618">
        <v>7.3692833333333301</v>
      </c>
      <c r="I3618">
        <v>80.101306995405196</v>
      </c>
    </row>
    <row r="3619" spans="1:9" x14ac:dyDescent="0.35">
      <c r="A3619" s="417" t="s">
        <v>846</v>
      </c>
      <c r="B3619" s="417" t="s">
        <v>691</v>
      </c>
      <c r="C3619" s="83">
        <v>46103</v>
      </c>
      <c r="D3619" s="417" t="s">
        <v>313</v>
      </c>
      <c r="E3619">
        <v>1265.13196666667</v>
      </c>
      <c r="F3619">
        <v>94</v>
      </c>
      <c r="G3619">
        <v>13.458850709219901</v>
      </c>
      <c r="H3619">
        <v>0.110633333333333</v>
      </c>
      <c r="I3619">
        <v>61.682102463333798</v>
      </c>
    </row>
    <row r="3620" spans="1:9" x14ac:dyDescent="0.35">
      <c r="A3620" s="417" t="s">
        <v>846</v>
      </c>
      <c r="B3620" s="417" t="s">
        <v>691</v>
      </c>
      <c r="C3620" s="83">
        <v>46103</v>
      </c>
      <c r="D3620" s="417" t="s">
        <v>303</v>
      </c>
      <c r="E3620">
        <v>1371.8547333333299</v>
      </c>
      <c r="F3620">
        <v>84</v>
      </c>
      <c r="G3620">
        <v>16.331603968254001</v>
      </c>
      <c r="H3620">
        <v>0.33846666666666703</v>
      </c>
      <c r="I3620">
        <v>57.9961014044518</v>
      </c>
    </row>
    <row r="3621" spans="1:9" x14ac:dyDescent="0.35">
      <c r="A3621" s="417" t="s">
        <v>846</v>
      </c>
      <c r="B3621" s="417" t="s">
        <v>691</v>
      </c>
      <c r="C3621" s="83">
        <v>46103</v>
      </c>
      <c r="D3621" s="417" t="s">
        <v>299</v>
      </c>
      <c r="E3621">
        <v>1378.82488333333</v>
      </c>
      <c r="F3621">
        <v>55</v>
      </c>
      <c r="G3621">
        <v>25.0695433333333</v>
      </c>
      <c r="H3621">
        <v>0.31563333333333299</v>
      </c>
      <c r="I3621">
        <v>64.410524720075898</v>
      </c>
    </row>
    <row r="3622" spans="1:9" x14ac:dyDescent="0.35">
      <c r="A3622" s="417" t="s">
        <v>846</v>
      </c>
      <c r="B3622" s="417" t="s">
        <v>691</v>
      </c>
      <c r="C3622" s="83">
        <v>46103</v>
      </c>
      <c r="D3622" s="417" t="s">
        <v>295</v>
      </c>
      <c r="E3622">
        <v>1371.32735</v>
      </c>
      <c r="F3622">
        <v>49</v>
      </c>
      <c r="G3622">
        <v>27.986272448979602</v>
      </c>
      <c r="H3622">
        <v>0.25378333333333303</v>
      </c>
      <c r="I3622">
        <v>83.985154785843093</v>
      </c>
    </row>
    <row r="3623" spans="1:9" x14ac:dyDescent="0.35">
      <c r="A3623" s="417" t="s">
        <v>846</v>
      </c>
      <c r="B3623" s="417" t="s">
        <v>691</v>
      </c>
      <c r="C3623" s="83">
        <v>46103</v>
      </c>
      <c r="D3623" s="417" t="s">
        <v>314</v>
      </c>
      <c r="E3623">
        <v>1386.73506666667</v>
      </c>
      <c r="F3623">
        <v>8</v>
      </c>
      <c r="G3623">
        <v>173.34188333333299</v>
      </c>
      <c r="H3623">
        <v>0.22275</v>
      </c>
      <c r="I3623">
        <v>61.178962933729103</v>
      </c>
    </row>
    <row r="3624" spans="1:9" x14ac:dyDescent="0.35">
      <c r="A3624" s="417" t="s">
        <v>846</v>
      </c>
      <c r="B3624" s="417" t="s">
        <v>691</v>
      </c>
      <c r="C3624" s="83">
        <v>46103</v>
      </c>
      <c r="D3624" s="417" t="s">
        <v>317</v>
      </c>
      <c r="E3624">
        <v>1439.26178333333</v>
      </c>
      <c r="F3624">
        <v>3</v>
      </c>
      <c r="G3624">
        <v>479.75392777777802</v>
      </c>
      <c r="H3624">
        <v>0.61121666666666696</v>
      </c>
      <c r="I3624">
        <v>54.865949983088797</v>
      </c>
    </row>
    <row r="3625" spans="1:9" x14ac:dyDescent="0.35">
      <c r="A3625" s="417" t="s">
        <v>846</v>
      </c>
      <c r="B3625" s="417" t="s">
        <v>691</v>
      </c>
      <c r="C3625" s="83">
        <v>46103</v>
      </c>
      <c r="D3625" s="417" t="s">
        <v>310</v>
      </c>
      <c r="E3625">
        <v>1428.83025</v>
      </c>
      <c r="F3625">
        <v>2</v>
      </c>
      <c r="G3625">
        <v>714.41512499999999</v>
      </c>
      <c r="H3625">
        <v>0</v>
      </c>
      <c r="I3625">
        <v>80.469528625742598</v>
      </c>
    </row>
    <row r="3626" spans="1:9" x14ac:dyDescent="0.35">
      <c r="A3626" s="417" t="s">
        <v>846</v>
      </c>
      <c r="B3626" s="417" t="s">
        <v>691</v>
      </c>
      <c r="C3626" s="83">
        <v>46103</v>
      </c>
      <c r="D3626" s="417" t="s">
        <v>504</v>
      </c>
      <c r="E3626">
        <v>1440</v>
      </c>
      <c r="F3626">
        <v>1</v>
      </c>
      <c r="G3626">
        <v>1440</v>
      </c>
      <c r="H3626">
        <v>0</v>
      </c>
      <c r="I3626">
        <v>54.5012345679012</v>
      </c>
    </row>
    <row r="3627" spans="1:9" x14ac:dyDescent="0.35">
      <c r="A3627" s="417" t="s">
        <v>846</v>
      </c>
      <c r="B3627" s="417" t="s">
        <v>676</v>
      </c>
      <c r="C3627" s="83">
        <v>46102</v>
      </c>
      <c r="D3627" s="417" t="s">
        <v>677</v>
      </c>
      <c r="E3627">
        <v>1187.69008333333</v>
      </c>
      <c r="F3627">
        <v>273</v>
      </c>
      <c r="G3627">
        <v>4.35051312576313</v>
      </c>
      <c r="H3627">
        <v>155.13683333333299</v>
      </c>
      <c r="I3627">
        <v>17.135000000000002</v>
      </c>
    </row>
    <row r="3628" spans="1:9" x14ac:dyDescent="0.35">
      <c r="A3628" s="417" t="s">
        <v>846</v>
      </c>
      <c r="B3628" s="417" t="s">
        <v>676</v>
      </c>
      <c r="C3628" s="83">
        <v>46102</v>
      </c>
      <c r="D3628" s="417" t="s">
        <v>679</v>
      </c>
      <c r="E3628">
        <v>1397.17626666667</v>
      </c>
      <c r="F3628">
        <v>19</v>
      </c>
      <c r="G3628">
        <v>73.535592982456095</v>
      </c>
      <c r="H3628">
        <v>11.160083333333301</v>
      </c>
      <c r="I3628">
        <v>97.614465464872794</v>
      </c>
    </row>
    <row r="3629" spans="1:9" x14ac:dyDescent="0.35">
      <c r="A3629" s="417" t="s">
        <v>846</v>
      </c>
      <c r="B3629" s="417" t="s">
        <v>680</v>
      </c>
      <c r="C3629" s="83">
        <v>46102</v>
      </c>
      <c r="D3629" s="417" t="s">
        <v>683</v>
      </c>
      <c r="E3629">
        <v>1191.0423166666701</v>
      </c>
      <c r="F3629">
        <v>29</v>
      </c>
      <c r="G3629">
        <v>41.0704247126437</v>
      </c>
      <c r="H3629">
        <v>2.9940500000000001</v>
      </c>
      <c r="I3629">
        <v>29.328417754532399</v>
      </c>
    </row>
    <row r="3630" spans="1:9" x14ac:dyDescent="0.35">
      <c r="A3630" s="417" t="s">
        <v>846</v>
      </c>
      <c r="B3630" s="417" t="s">
        <v>680</v>
      </c>
      <c r="C3630" s="83">
        <v>46102</v>
      </c>
      <c r="D3630" s="417" t="s">
        <v>690</v>
      </c>
      <c r="E3630">
        <v>1425.4639500000001</v>
      </c>
      <c r="F3630">
        <v>22</v>
      </c>
      <c r="G3630">
        <v>64.793815909090895</v>
      </c>
      <c r="H3630">
        <v>8.0070833333333304</v>
      </c>
      <c r="I3630">
        <v>22.992669439643201</v>
      </c>
    </row>
    <row r="3631" spans="1:9" x14ac:dyDescent="0.35">
      <c r="A3631" s="417" t="s">
        <v>846</v>
      </c>
      <c r="B3631" s="417" t="s">
        <v>680</v>
      </c>
      <c r="C3631" s="83">
        <v>46102</v>
      </c>
      <c r="D3631" s="417" t="s">
        <v>681</v>
      </c>
      <c r="E3631">
        <v>1219.8008</v>
      </c>
      <c r="F3631">
        <v>21</v>
      </c>
      <c r="G3631">
        <v>58.0857523809524</v>
      </c>
      <c r="H3631">
        <v>0</v>
      </c>
      <c r="I3631">
        <v>30.714804665229</v>
      </c>
    </row>
    <row r="3632" spans="1:9" x14ac:dyDescent="0.35">
      <c r="A3632" s="417" t="s">
        <v>846</v>
      </c>
      <c r="B3632" s="417" t="s">
        <v>680</v>
      </c>
      <c r="C3632" s="83">
        <v>46102</v>
      </c>
      <c r="D3632" s="417" t="s">
        <v>682</v>
      </c>
      <c r="E3632">
        <v>1381.80721666667</v>
      </c>
      <c r="F3632">
        <v>21</v>
      </c>
      <c r="G3632">
        <v>65.800343650793707</v>
      </c>
      <c r="H3632">
        <v>20.3557666666667</v>
      </c>
      <c r="I3632">
        <v>22.449494949494898</v>
      </c>
    </row>
    <row r="3633" spans="1:9" x14ac:dyDescent="0.35">
      <c r="A3633" s="417" t="s">
        <v>846</v>
      </c>
      <c r="B3633" s="417" t="s">
        <v>680</v>
      </c>
      <c r="C3633" s="83">
        <v>46102</v>
      </c>
      <c r="D3633" s="417" t="s">
        <v>684</v>
      </c>
      <c r="E3633">
        <v>1110.17638333333</v>
      </c>
      <c r="F3633">
        <v>20</v>
      </c>
      <c r="G3633">
        <v>55.508819166666697</v>
      </c>
      <c r="H3633">
        <v>8.4754000000000005</v>
      </c>
      <c r="I3633">
        <v>23.5447488029276</v>
      </c>
    </row>
    <row r="3634" spans="1:9" x14ac:dyDescent="0.35">
      <c r="A3634" s="417" t="s">
        <v>846</v>
      </c>
      <c r="B3634" s="417" t="s">
        <v>680</v>
      </c>
      <c r="C3634" s="83">
        <v>46102</v>
      </c>
      <c r="D3634" s="417" t="s">
        <v>689</v>
      </c>
      <c r="E3634">
        <v>1378.5119666666701</v>
      </c>
      <c r="F3634">
        <v>18</v>
      </c>
      <c r="G3634">
        <v>76.583998148148098</v>
      </c>
      <c r="H3634">
        <v>0.16666666666666699</v>
      </c>
      <c r="I3634">
        <v>35.5007190687476</v>
      </c>
    </row>
    <row r="3635" spans="1:9" x14ac:dyDescent="0.35">
      <c r="A3635" s="417" t="s">
        <v>846</v>
      </c>
      <c r="B3635" s="417" t="s">
        <v>680</v>
      </c>
      <c r="C3635" s="83">
        <v>46102</v>
      </c>
      <c r="D3635" s="417" t="s">
        <v>687</v>
      </c>
      <c r="E3635">
        <v>1422.39208333333</v>
      </c>
      <c r="F3635">
        <v>11</v>
      </c>
      <c r="G3635">
        <v>129.30837121212099</v>
      </c>
      <c r="H3635">
        <v>2.0945999999999998</v>
      </c>
      <c r="I3635">
        <v>8.9994090195554701</v>
      </c>
    </row>
    <row r="3636" spans="1:9" x14ac:dyDescent="0.35">
      <c r="A3636" s="417" t="s">
        <v>846</v>
      </c>
      <c r="B3636" s="417" t="s">
        <v>680</v>
      </c>
      <c r="C3636" s="83">
        <v>46102</v>
      </c>
      <c r="D3636" s="417" t="s">
        <v>688</v>
      </c>
      <c r="E3636">
        <v>1029.6581333333299</v>
      </c>
      <c r="F3636">
        <v>7</v>
      </c>
      <c r="G3636">
        <v>147.09401904761901</v>
      </c>
      <c r="H3636">
        <v>3.4996833333333299</v>
      </c>
      <c r="I3636">
        <v>40.886108740839902</v>
      </c>
    </row>
    <row r="3637" spans="1:9" x14ac:dyDescent="0.35">
      <c r="A3637" s="417" t="s">
        <v>846</v>
      </c>
      <c r="B3637" s="417" t="s">
        <v>680</v>
      </c>
      <c r="C3637" s="83">
        <v>46102</v>
      </c>
      <c r="D3637" s="417" t="s">
        <v>685</v>
      </c>
      <c r="E3637">
        <v>956.50049999999999</v>
      </c>
      <c r="F3637">
        <v>3</v>
      </c>
      <c r="G3637">
        <v>318.83350000000002</v>
      </c>
      <c r="H3637">
        <v>0.50068333333333304</v>
      </c>
      <c r="I3637">
        <v>49.201793966103999</v>
      </c>
    </row>
    <row r="3638" spans="1:9" x14ac:dyDescent="0.35">
      <c r="A3638" s="417" t="s">
        <v>846</v>
      </c>
      <c r="B3638" s="417" t="s">
        <v>680</v>
      </c>
      <c r="C3638" s="83">
        <v>46102</v>
      </c>
      <c r="D3638" s="417" t="s">
        <v>686</v>
      </c>
      <c r="E3638">
        <v>1440</v>
      </c>
      <c r="F3638">
        <v>1</v>
      </c>
      <c r="G3638">
        <v>1440</v>
      </c>
      <c r="H3638">
        <v>0</v>
      </c>
      <c r="I3638">
        <v>22.989898989899</v>
      </c>
    </row>
    <row r="3639" spans="1:9" x14ac:dyDescent="0.35">
      <c r="A3639" s="417" t="s">
        <v>846</v>
      </c>
      <c r="B3639" s="417" t="s">
        <v>691</v>
      </c>
      <c r="C3639" s="83">
        <v>46102</v>
      </c>
      <c r="D3639" s="417" t="s">
        <v>309</v>
      </c>
      <c r="E3639">
        <v>1297.0386000000001</v>
      </c>
      <c r="F3639">
        <v>157</v>
      </c>
      <c r="G3639">
        <v>8.2613923566878995</v>
      </c>
      <c r="H3639">
        <v>0.19969999999999999</v>
      </c>
      <c r="I3639">
        <v>68.033237537795799</v>
      </c>
    </row>
    <row r="3640" spans="1:9" x14ac:dyDescent="0.35">
      <c r="A3640" s="417" t="s">
        <v>846</v>
      </c>
      <c r="B3640" s="417" t="s">
        <v>691</v>
      </c>
      <c r="C3640" s="83">
        <v>46102</v>
      </c>
      <c r="D3640" s="417" t="s">
        <v>301</v>
      </c>
      <c r="E3640">
        <v>1323.7102666666699</v>
      </c>
      <c r="F3640">
        <v>119</v>
      </c>
      <c r="G3640">
        <v>11.123615686274499</v>
      </c>
      <c r="H3640">
        <v>0.443566666666667</v>
      </c>
      <c r="I3640">
        <v>48.544829574746402</v>
      </c>
    </row>
    <row r="3641" spans="1:9" x14ac:dyDescent="0.35">
      <c r="A3641" s="417" t="s">
        <v>846</v>
      </c>
      <c r="B3641" s="417" t="s">
        <v>691</v>
      </c>
      <c r="C3641" s="83">
        <v>46102</v>
      </c>
      <c r="D3641" s="417" t="s">
        <v>305</v>
      </c>
      <c r="E3641">
        <v>1329.21311666667</v>
      </c>
      <c r="F3641">
        <v>115</v>
      </c>
      <c r="G3641">
        <v>11.5583749275362</v>
      </c>
      <c r="H3641">
        <v>4.5559333333333303</v>
      </c>
      <c r="I3641">
        <v>64.949492567619998</v>
      </c>
    </row>
    <row r="3642" spans="1:9" x14ac:dyDescent="0.35">
      <c r="A3642" s="417" t="s">
        <v>846</v>
      </c>
      <c r="B3642" s="417" t="s">
        <v>691</v>
      </c>
      <c r="C3642" s="83">
        <v>46102</v>
      </c>
      <c r="D3642" s="417" t="s">
        <v>303</v>
      </c>
      <c r="E3642">
        <v>1360.3401833333301</v>
      </c>
      <c r="F3642">
        <v>84</v>
      </c>
      <c r="G3642">
        <v>16.1945259920635</v>
      </c>
      <c r="H3642">
        <v>0.692583333333333</v>
      </c>
      <c r="I3642">
        <v>53.437458232377402</v>
      </c>
    </row>
    <row r="3643" spans="1:9" x14ac:dyDescent="0.35">
      <c r="A3643" s="417" t="s">
        <v>846</v>
      </c>
      <c r="B3643" s="417" t="s">
        <v>691</v>
      </c>
      <c r="C3643" s="83">
        <v>46102</v>
      </c>
      <c r="D3643" s="417" t="s">
        <v>299</v>
      </c>
      <c r="E3643">
        <v>1323.3191833333301</v>
      </c>
      <c r="F3643">
        <v>79</v>
      </c>
      <c r="G3643">
        <v>16.750875738396601</v>
      </c>
      <c r="H3643">
        <v>1.1041666666666701</v>
      </c>
      <c r="I3643">
        <v>61.147567754002502</v>
      </c>
    </row>
    <row r="3644" spans="1:9" x14ac:dyDescent="0.35">
      <c r="A3644" s="417" t="s">
        <v>846</v>
      </c>
      <c r="B3644" s="417" t="s">
        <v>691</v>
      </c>
      <c r="C3644" s="83">
        <v>46102</v>
      </c>
      <c r="D3644" s="417" t="s">
        <v>295</v>
      </c>
      <c r="E3644">
        <v>1333.97526666667</v>
      </c>
      <c r="F3644">
        <v>61</v>
      </c>
      <c r="G3644">
        <v>21.8684469945355</v>
      </c>
      <c r="H3644">
        <v>0.25376666666666697</v>
      </c>
      <c r="I3644">
        <v>66.164252117311406</v>
      </c>
    </row>
    <row r="3645" spans="1:9" x14ac:dyDescent="0.35">
      <c r="A3645" s="417" t="s">
        <v>846</v>
      </c>
      <c r="B3645" s="417" t="s">
        <v>691</v>
      </c>
      <c r="C3645" s="83">
        <v>46102</v>
      </c>
      <c r="D3645" s="417" t="s">
        <v>314</v>
      </c>
      <c r="E3645">
        <v>1350.2096166666699</v>
      </c>
      <c r="F3645">
        <v>56</v>
      </c>
      <c r="G3645">
        <v>24.1108860119048</v>
      </c>
      <c r="H3645">
        <v>1.2943833333333301</v>
      </c>
      <c r="I3645">
        <v>44.5506408914312</v>
      </c>
    </row>
    <row r="3646" spans="1:9" x14ac:dyDescent="0.35">
      <c r="A3646" s="417" t="s">
        <v>846</v>
      </c>
      <c r="B3646" s="417" t="s">
        <v>691</v>
      </c>
      <c r="C3646" s="83">
        <v>46102</v>
      </c>
      <c r="D3646" s="417" t="s">
        <v>313</v>
      </c>
      <c r="E3646">
        <v>1384.8512000000001</v>
      </c>
      <c r="F3646">
        <v>15</v>
      </c>
      <c r="G3646">
        <v>92.323413333333306</v>
      </c>
      <c r="H3646">
        <v>0</v>
      </c>
      <c r="I3646">
        <v>57.149997700290697</v>
      </c>
    </row>
    <row r="3647" spans="1:9" x14ac:dyDescent="0.35">
      <c r="A3647" s="417" t="s">
        <v>846</v>
      </c>
      <c r="B3647" s="417" t="s">
        <v>691</v>
      </c>
      <c r="C3647" s="83">
        <v>46102</v>
      </c>
      <c r="D3647" s="417" t="s">
        <v>317</v>
      </c>
      <c r="E3647">
        <v>1437.59228333333</v>
      </c>
      <c r="F3647">
        <v>4</v>
      </c>
      <c r="G3647">
        <v>359.39807083333301</v>
      </c>
      <c r="H3647">
        <v>1.3394666666666699</v>
      </c>
      <c r="I3647">
        <v>45.3496143927605</v>
      </c>
    </row>
    <row r="3648" spans="1:9" x14ac:dyDescent="0.35">
      <c r="A3648" s="417" t="s">
        <v>846</v>
      </c>
      <c r="B3648" s="417" t="s">
        <v>691</v>
      </c>
      <c r="C3648" s="83">
        <v>46102</v>
      </c>
      <c r="D3648" s="417" t="s">
        <v>310</v>
      </c>
      <c r="E3648">
        <v>1369.99988333333</v>
      </c>
      <c r="F3648">
        <v>1</v>
      </c>
      <c r="G3648">
        <v>1369.99988333333</v>
      </c>
      <c r="H3648">
        <v>0</v>
      </c>
      <c r="I3648">
        <v>64.379567526240393</v>
      </c>
    </row>
    <row r="3649" spans="1:9" x14ac:dyDescent="0.35">
      <c r="A3649" s="417" t="s">
        <v>846</v>
      </c>
      <c r="B3649" s="417" t="s">
        <v>691</v>
      </c>
      <c r="C3649" s="83">
        <v>46102</v>
      </c>
      <c r="D3649" s="417" t="s">
        <v>504</v>
      </c>
      <c r="E3649">
        <v>1440</v>
      </c>
      <c r="F3649">
        <v>1</v>
      </c>
      <c r="G3649">
        <v>1440</v>
      </c>
      <c r="H3649">
        <v>0</v>
      </c>
      <c r="I3649">
        <v>52.939660493827098</v>
      </c>
    </row>
    <row r="3650" spans="1:9" x14ac:dyDescent="0.35">
      <c r="A3650" s="417" t="s">
        <v>846</v>
      </c>
      <c r="B3650" s="417" t="s">
        <v>676</v>
      </c>
      <c r="C3650" s="83">
        <v>46101</v>
      </c>
      <c r="D3650" s="417" t="s">
        <v>677</v>
      </c>
      <c r="E3650">
        <v>886.46586666666701</v>
      </c>
      <c r="F3650">
        <v>96</v>
      </c>
      <c r="G3650">
        <v>9.2340194444444492</v>
      </c>
      <c r="H3650">
        <v>47.843516666666702</v>
      </c>
      <c r="I3650">
        <v>13.577777777777801</v>
      </c>
    </row>
    <row r="3651" spans="1:9" x14ac:dyDescent="0.35">
      <c r="A3651" s="417" t="s">
        <v>846</v>
      </c>
      <c r="B3651" s="417" t="s">
        <v>676</v>
      </c>
      <c r="C3651" s="83">
        <v>46101</v>
      </c>
      <c r="D3651" s="417" t="s">
        <v>679</v>
      </c>
      <c r="E3651">
        <v>1112.2980666666699</v>
      </c>
      <c r="F3651">
        <v>15</v>
      </c>
      <c r="G3651">
        <v>74.153204444444398</v>
      </c>
      <c r="H3651">
        <v>9.3299333333333294</v>
      </c>
      <c r="I3651">
        <v>70.122218396094198</v>
      </c>
    </row>
    <row r="3652" spans="1:9" x14ac:dyDescent="0.35">
      <c r="A3652" s="417" t="s">
        <v>846</v>
      </c>
      <c r="B3652" s="417" t="s">
        <v>680</v>
      </c>
      <c r="C3652" s="83">
        <v>46101</v>
      </c>
      <c r="D3652" s="417" t="s">
        <v>684</v>
      </c>
      <c r="E3652">
        <v>1405.16178333333</v>
      </c>
      <c r="F3652">
        <v>44</v>
      </c>
      <c r="G3652">
        <v>31.935495075757601</v>
      </c>
      <c r="H3652">
        <v>25.328983333333301</v>
      </c>
      <c r="I3652">
        <v>102.602075794874</v>
      </c>
    </row>
    <row r="3653" spans="1:9" x14ac:dyDescent="0.35">
      <c r="A3653" s="417" t="s">
        <v>846</v>
      </c>
      <c r="B3653" s="417" t="s">
        <v>680</v>
      </c>
      <c r="C3653" s="83">
        <v>46101</v>
      </c>
      <c r="D3653" s="417" t="s">
        <v>681</v>
      </c>
      <c r="E3653">
        <v>1307.49775</v>
      </c>
      <c r="F3653">
        <v>37</v>
      </c>
      <c r="G3653">
        <v>35.337777027027002</v>
      </c>
      <c r="H3653">
        <v>2.9990666666666699</v>
      </c>
      <c r="I3653">
        <v>84.992335199675196</v>
      </c>
    </row>
    <row r="3654" spans="1:9" x14ac:dyDescent="0.35">
      <c r="A3654" s="417" t="s">
        <v>846</v>
      </c>
      <c r="B3654" s="417" t="s">
        <v>680</v>
      </c>
      <c r="C3654" s="83">
        <v>46101</v>
      </c>
      <c r="D3654" s="417" t="s">
        <v>682</v>
      </c>
      <c r="E3654">
        <v>1411.9919833333299</v>
      </c>
      <c r="F3654">
        <v>35</v>
      </c>
      <c r="G3654">
        <v>40.342628095238098</v>
      </c>
      <c r="H3654">
        <v>28.008016666666698</v>
      </c>
      <c r="I3654">
        <v>75.595959595959599</v>
      </c>
    </row>
    <row r="3655" spans="1:9" x14ac:dyDescent="0.35">
      <c r="A3655" s="417" t="s">
        <v>846</v>
      </c>
      <c r="B3655" s="417" t="s">
        <v>680</v>
      </c>
      <c r="C3655" s="83">
        <v>46101</v>
      </c>
      <c r="D3655" s="417" t="s">
        <v>689</v>
      </c>
      <c r="E3655">
        <v>1388.51606666667</v>
      </c>
      <c r="F3655">
        <v>31</v>
      </c>
      <c r="G3655">
        <v>44.790840860214999</v>
      </c>
      <c r="H3655">
        <v>0.83328333333333304</v>
      </c>
      <c r="I3655">
        <v>82.078660148279297</v>
      </c>
    </row>
    <row r="3656" spans="1:9" x14ac:dyDescent="0.35">
      <c r="A3656" s="417" t="s">
        <v>846</v>
      </c>
      <c r="B3656" s="417" t="s">
        <v>680</v>
      </c>
      <c r="C3656" s="83">
        <v>46101</v>
      </c>
      <c r="D3656" s="417" t="s">
        <v>687</v>
      </c>
      <c r="E3656">
        <v>1325.57868333333</v>
      </c>
      <c r="F3656">
        <v>28</v>
      </c>
      <c r="G3656">
        <v>47.342095833333303</v>
      </c>
      <c r="H3656">
        <v>24.067633333333301</v>
      </c>
      <c r="I3656">
        <v>28.1902376080374</v>
      </c>
    </row>
    <row r="3657" spans="1:9" x14ac:dyDescent="0.35">
      <c r="A3657" s="417" t="s">
        <v>846</v>
      </c>
      <c r="B3657" s="417" t="s">
        <v>680</v>
      </c>
      <c r="C3657" s="83">
        <v>46101</v>
      </c>
      <c r="D3657" s="417" t="s">
        <v>688</v>
      </c>
      <c r="E3657">
        <v>1417.5259166666699</v>
      </c>
      <c r="F3657">
        <v>24</v>
      </c>
      <c r="G3657">
        <v>59.063579861111101</v>
      </c>
      <c r="H3657">
        <v>7.1370833333333303</v>
      </c>
      <c r="I3657">
        <v>80.277101063474802</v>
      </c>
    </row>
    <row r="3658" spans="1:9" x14ac:dyDescent="0.35">
      <c r="A3658" s="417" t="s">
        <v>846</v>
      </c>
      <c r="B3658" s="417" t="s">
        <v>680</v>
      </c>
      <c r="C3658" s="83">
        <v>46101</v>
      </c>
      <c r="D3658" s="417" t="s">
        <v>685</v>
      </c>
      <c r="E3658">
        <v>1364.1648333333301</v>
      </c>
      <c r="F3658">
        <v>19</v>
      </c>
      <c r="G3658">
        <v>71.798149122807004</v>
      </c>
      <c r="H3658">
        <v>16.991250000000001</v>
      </c>
      <c r="I3658">
        <v>81.241487834278203</v>
      </c>
    </row>
    <row r="3659" spans="1:9" x14ac:dyDescent="0.35">
      <c r="A3659" s="417" t="s">
        <v>846</v>
      </c>
      <c r="B3659" s="417" t="s">
        <v>680</v>
      </c>
      <c r="C3659" s="83">
        <v>46101</v>
      </c>
      <c r="D3659" s="417" t="s">
        <v>690</v>
      </c>
      <c r="E3659">
        <v>1419.63985</v>
      </c>
      <c r="F3659">
        <v>15</v>
      </c>
      <c r="G3659">
        <v>94.642656666666696</v>
      </c>
      <c r="H3659">
        <v>3.8281999999999998</v>
      </c>
      <c r="I3659">
        <v>72.861344348236102</v>
      </c>
    </row>
    <row r="3660" spans="1:9" x14ac:dyDescent="0.35">
      <c r="A3660" s="417" t="s">
        <v>846</v>
      </c>
      <c r="B3660" s="417" t="s">
        <v>680</v>
      </c>
      <c r="C3660" s="83">
        <v>46101</v>
      </c>
      <c r="D3660" s="417" t="s">
        <v>683</v>
      </c>
      <c r="E3660">
        <v>1366.81093333333</v>
      </c>
      <c r="F3660">
        <v>12</v>
      </c>
      <c r="G3660">
        <v>113.900911111111</v>
      </c>
      <c r="H3660">
        <v>1.6677999999999999</v>
      </c>
      <c r="I3660">
        <v>83.824358188218696</v>
      </c>
    </row>
    <row r="3661" spans="1:9" x14ac:dyDescent="0.35">
      <c r="A3661" s="417" t="s">
        <v>846</v>
      </c>
      <c r="B3661" s="417" t="s">
        <v>680</v>
      </c>
      <c r="C3661" s="83">
        <v>46101</v>
      </c>
      <c r="D3661" s="417" t="s">
        <v>686</v>
      </c>
      <c r="E3661">
        <v>1396.43145</v>
      </c>
      <c r="F3661">
        <v>1</v>
      </c>
      <c r="G3661">
        <v>1396.43145</v>
      </c>
      <c r="H3661">
        <v>0</v>
      </c>
      <c r="I3661">
        <v>32.1666666666666</v>
      </c>
    </row>
    <row r="3662" spans="1:9" x14ac:dyDescent="0.35">
      <c r="A3662" s="417" t="s">
        <v>846</v>
      </c>
      <c r="B3662" s="417" t="s">
        <v>691</v>
      </c>
      <c r="C3662" s="83">
        <v>46101</v>
      </c>
      <c r="D3662" s="417" t="s">
        <v>305</v>
      </c>
      <c r="E3662">
        <v>1254.36735</v>
      </c>
      <c r="F3662">
        <v>163</v>
      </c>
      <c r="G3662">
        <v>7.69550521472393</v>
      </c>
      <c r="H3662">
        <v>4.9078833333333298</v>
      </c>
      <c r="I3662">
        <v>80.220545120380805</v>
      </c>
    </row>
    <row r="3663" spans="1:9" x14ac:dyDescent="0.35">
      <c r="A3663" s="417" t="s">
        <v>846</v>
      </c>
      <c r="B3663" s="417" t="s">
        <v>691</v>
      </c>
      <c r="C3663" s="83">
        <v>46101</v>
      </c>
      <c r="D3663" s="417" t="s">
        <v>301</v>
      </c>
      <c r="E3663">
        <v>1327.73305</v>
      </c>
      <c r="F3663">
        <v>119</v>
      </c>
      <c r="G3663">
        <v>11.157420588235301</v>
      </c>
      <c r="H3663">
        <v>3.5054833333333302</v>
      </c>
      <c r="I3663">
        <v>55.886383145615902</v>
      </c>
    </row>
    <row r="3664" spans="1:9" x14ac:dyDescent="0.35">
      <c r="A3664" s="417" t="s">
        <v>846</v>
      </c>
      <c r="B3664" s="417" t="s">
        <v>691</v>
      </c>
      <c r="C3664" s="83">
        <v>46101</v>
      </c>
      <c r="D3664" s="417" t="s">
        <v>309</v>
      </c>
      <c r="E3664">
        <v>1306.01518333333</v>
      </c>
      <c r="F3664">
        <v>109</v>
      </c>
      <c r="G3664">
        <v>11.9817906727829</v>
      </c>
      <c r="H3664">
        <v>0</v>
      </c>
      <c r="I3664">
        <v>84.524151200281395</v>
      </c>
    </row>
    <row r="3665" spans="1:9" x14ac:dyDescent="0.35">
      <c r="A3665" s="417" t="s">
        <v>846</v>
      </c>
      <c r="B3665" s="417" t="s">
        <v>691</v>
      </c>
      <c r="C3665" s="83">
        <v>46101</v>
      </c>
      <c r="D3665" s="417" t="s">
        <v>299</v>
      </c>
      <c r="E3665">
        <v>1327.9815333333299</v>
      </c>
      <c r="F3665">
        <v>91</v>
      </c>
      <c r="G3665">
        <v>14.593203663003701</v>
      </c>
      <c r="H3665">
        <v>0.79671666666666696</v>
      </c>
      <c r="I3665">
        <v>75.544848834130704</v>
      </c>
    </row>
    <row r="3666" spans="1:9" x14ac:dyDescent="0.35">
      <c r="A3666" s="417" t="s">
        <v>846</v>
      </c>
      <c r="B3666" s="417" t="s">
        <v>691</v>
      </c>
      <c r="C3666" s="83">
        <v>46101</v>
      </c>
      <c r="D3666" s="417" t="s">
        <v>303</v>
      </c>
      <c r="E3666">
        <v>1384.6864333333299</v>
      </c>
      <c r="F3666">
        <v>69</v>
      </c>
      <c r="G3666">
        <v>20.0679193236715</v>
      </c>
      <c r="H3666">
        <v>0.44753333333333301</v>
      </c>
      <c r="I3666">
        <v>60.468059797976402</v>
      </c>
    </row>
    <row r="3667" spans="1:9" x14ac:dyDescent="0.35">
      <c r="A3667" s="417" t="s">
        <v>846</v>
      </c>
      <c r="B3667" s="417" t="s">
        <v>691</v>
      </c>
      <c r="C3667" s="83">
        <v>46101</v>
      </c>
      <c r="D3667" s="417" t="s">
        <v>295</v>
      </c>
      <c r="E3667">
        <v>1328.7994000000001</v>
      </c>
      <c r="F3667">
        <v>53</v>
      </c>
      <c r="G3667">
        <v>25.071686792452802</v>
      </c>
      <c r="H3667">
        <v>0.389583333333333</v>
      </c>
      <c r="I3667">
        <v>78.252129251924501</v>
      </c>
    </row>
    <row r="3668" spans="1:9" x14ac:dyDescent="0.35">
      <c r="A3668" s="417" t="s">
        <v>846</v>
      </c>
      <c r="B3668" s="417" t="s">
        <v>691</v>
      </c>
      <c r="C3668" s="83">
        <v>46101</v>
      </c>
      <c r="D3668" s="417" t="s">
        <v>313</v>
      </c>
      <c r="E3668">
        <v>1378.18153333333</v>
      </c>
      <c r="F3668">
        <v>19</v>
      </c>
      <c r="G3668">
        <v>72.535870175438603</v>
      </c>
      <c r="H3668">
        <v>0</v>
      </c>
      <c r="I3668">
        <v>60.964312443253199</v>
      </c>
    </row>
    <row r="3669" spans="1:9" x14ac:dyDescent="0.35">
      <c r="A3669" s="417" t="s">
        <v>846</v>
      </c>
      <c r="B3669" s="417" t="s">
        <v>691</v>
      </c>
      <c r="C3669" s="83">
        <v>46101</v>
      </c>
      <c r="D3669" s="417" t="s">
        <v>310</v>
      </c>
      <c r="E3669">
        <v>1385.7688166666701</v>
      </c>
      <c r="F3669">
        <v>18</v>
      </c>
      <c r="G3669">
        <v>76.987156481481506</v>
      </c>
      <c r="H3669">
        <v>2.28066666666667</v>
      </c>
      <c r="I3669">
        <v>58.153897503718802</v>
      </c>
    </row>
    <row r="3670" spans="1:9" x14ac:dyDescent="0.35">
      <c r="A3670" s="417" t="s">
        <v>846</v>
      </c>
      <c r="B3670" s="417" t="s">
        <v>691</v>
      </c>
      <c r="C3670" s="83">
        <v>46101</v>
      </c>
      <c r="D3670" s="417" t="s">
        <v>314</v>
      </c>
      <c r="E3670">
        <v>1309.5201999999999</v>
      </c>
      <c r="F3670">
        <v>10</v>
      </c>
      <c r="G3670">
        <v>130.95202</v>
      </c>
      <c r="H3670">
        <v>0.19485</v>
      </c>
      <c r="I3670">
        <v>44.665752550364402</v>
      </c>
    </row>
    <row r="3671" spans="1:9" x14ac:dyDescent="0.35">
      <c r="A3671" s="417" t="s">
        <v>846</v>
      </c>
      <c r="B3671" s="417" t="s">
        <v>691</v>
      </c>
      <c r="C3671" s="83">
        <v>46101</v>
      </c>
      <c r="D3671" s="417" t="s">
        <v>504</v>
      </c>
      <c r="E3671">
        <v>1440</v>
      </c>
      <c r="F3671">
        <v>1</v>
      </c>
      <c r="G3671">
        <v>1440</v>
      </c>
      <c r="H3671">
        <v>0</v>
      </c>
      <c r="I3671">
        <v>60.836882716049402</v>
      </c>
    </row>
    <row r="3672" spans="1:9" x14ac:dyDescent="0.35">
      <c r="A3672" s="417" t="s">
        <v>846</v>
      </c>
      <c r="B3672" s="417" t="s">
        <v>691</v>
      </c>
      <c r="C3672" s="83">
        <v>46101</v>
      </c>
      <c r="D3672" s="417" t="s">
        <v>317</v>
      </c>
      <c r="E3672">
        <v>1435.49125</v>
      </c>
      <c r="F3672">
        <v>1</v>
      </c>
      <c r="G3672">
        <v>1435.49125</v>
      </c>
      <c r="H3672">
        <v>0</v>
      </c>
      <c r="I3672">
        <v>38.631374451080802</v>
      </c>
    </row>
    <row r="3673" spans="1:9" x14ac:dyDescent="0.35">
      <c r="A3673" s="417" t="s">
        <v>846</v>
      </c>
      <c r="B3673" s="417" t="s">
        <v>676</v>
      </c>
      <c r="C3673" s="83">
        <v>46100</v>
      </c>
      <c r="D3673" s="417" t="s">
        <v>677</v>
      </c>
      <c r="E3673">
        <v>1179.59601666667</v>
      </c>
      <c r="F3673">
        <v>167</v>
      </c>
      <c r="G3673">
        <v>7.0634492015968098</v>
      </c>
      <c r="H3673">
        <v>56.685200000000002</v>
      </c>
      <c r="I3673">
        <v>17.384166666666601</v>
      </c>
    </row>
    <row r="3674" spans="1:9" x14ac:dyDescent="0.35">
      <c r="A3674" s="417" t="s">
        <v>846</v>
      </c>
      <c r="B3674" s="417" t="s">
        <v>676</v>
      </c>
      <c r="C3674" s="83">
        <v>46100</v>
      </c>
      <c r="D3674" s="417" t="s">
        <v>679</v>
      </c>
      <c r="E3674">
        <v>1322.3250499999999</v>
      </c>
      <c r="F3674">
        <v>24</v>
      </c>
      <c r="G3674">
        <v>55.096877083333297</v>
      </c>
      <c r="H3674">
        <v>28.3195333333333</v>
      </c>
      <c r="I3674">
        <v>74.881036739556805</v>
      </c>
    </row>
    <row r="3675" spans="1:9" x14ac:dyDescent="0.35">
      <c r="A3675" s="417" t="s">
        <v>846</v>
      </c>
      <c r="B3675" s="417" t="s">
        <v>680</v>
      </c>
      <c r="C3675" s="83">
        <v>46100</v>
      </c>
      <c r="D3675" s="417" t="s">
        <v>681</v>
      </c>
      <c r="E3675">
        <v>1371.42568333333</v>
      </c>
      <c r="F3675">
        <v>46</v>
      </c>
      <c r="G3675">
        <v>29.8136018115942</v>
      </c>
      <c r="H3675">
        <v>1.16641666666667</v>
      </c>
      <c r="I3675">
        <v>83.792432003750704</v>
      </c>
    </row>
    <row r="3676" spans="1:9" x14ac:dyDescent="0.35">
      <c r="A3676" s="417" t="s">
        <v>846</v>
      </c>
      <c r="B3676" s="417" t="s">
        <v>680</v>
      </c>
      <c r="C3676" s="83">
        <v>46100</v>
      </c>
      <c r="D3676" s="417" t="s">
        <v>684</v>
      </c>
      <c r="E3676">
        <v>1379.7227666666699</v>
      </c>
      <c r="F3676">
        <v>42</v>
      </c>
      <c r="G3676">
        <v>32.850542063492099</v>
      </c>
      <c r="H3676">
        <v>38.367600000000003</v>
      </c>
      <c r="I3676">
        <v>91.614334390354401</v>
      </c>
    </row>
    <row r="3677" spans="1:9" x14ac:dyDescent="0.35">
      <c r="A3677" s="417" t="s">
        <v>846</v>
      </c>
      <c r="B3677" s="417" t="s">
        <v>680</v>
      </c>
      <c r="C3677" s="83">
        <v>46100</v>
      </c>
      <c r="D3677" s="417" t="s">
        <v>689</v>
      </c>
      <c r="E3677">
        <v>1368.4709</v>
      </c>
      <c r="F3677">
        <v>38</v>
      </c>
      <c r="G3677">
        <v>36.012392105263203</v>
      </c>
      <c r="H3677">
        <v>4.3343666666666696</v>
      </c>
      <c r="I3677">
        <v>108.38922053831701</v>
      </c>
    </row>
    <row r="3678" spans="1:9" x14ac:dyDescent="0.35">
      <c r="A3678" s="417" t="s">
        <v>846</v>
      </c>
      <c r="B3678" s="417" t="s">
        <v>680</v>
      </c>
      <c r="C3678" s="83">
        <v>46100</v>
      </c>
      <c r="D3678" s="417" t="s">
        <v>690</v>
      </c>
      <c r="E3678">
        <v>1366.07036666667</v>
      </c>
      <c r="F3678">
        <v>32</v>
      </c>
      <c r="G3678">
        <v>42.689698958333302</v>
      </c>
      <c r="H3678">
        <v>25.49945</v>
      </c>
      <c r="I3678">
        <v>66.011149681221497</v>
      </c>
    </row>
    <row r="3679" spans="1:9" x14ac:dyDescent="0.35">
      <c r="A3679" s="417" t="s">
        <v>846</v>
      </c>
      <c r="B3679" s="417" t="s">
        <v>680</v>
      </c>
      <c r="C3679" s="83">
        <v>46100</v>
      </c>
      <c r="D3679" s="417" t="s">
        <v>682</v>
      </c>
      <c r="E3679">
        <v>1416.40773333333</v>
      </c>
      <c r="F3679">
        <v>31</v>
      </c>
      <c r="G3679">
        <v>45.690572043010697</v>
      </c>
      <c r="H3679">
        <v>22.1925833333333</v>
      </c>
      <c r="I3679">
        <v>78.101010101010104</v>
      </c>
    </row>
    <row r="3680" spans="1:9" x14ac:dyDescent="0.35">
      <c r="A3680" s="417" t="s">
        <v>846</v>
      </c>
      <c r="B3680" s="417" t="s">
        <v>680</v>
      </c>
      <c r="C3680" s="83">
        <v>46100</v>
      </c>
      <c r="D3680" s="417" t="s">
        <v>687</v>
      </c>
      <c r="E3680">
        <v>1368.8635666666701</v>
      </c>
      <c r="F3680">
        <v>28</v>
      </c>
      <c r="G3680">
        <v>48.8879845238095</v>
      </c>
      <c r="H3680">
        <v>36.698300000000003</v>
      </c>
      <c r="I3680">
        <v>33.384752879738699</v>
      </c>
    </row>
    <row r="3681" spans="1:9" x14ac:dyDescent="0.35">
      <c r="A3681" s="417" t="s">
        <v>846</v>
      </c>
      <c r="B3681" s="417" t="s">
        <v>680</v>
      </c>
      <c r="C3681" s="83">
        <v>46100</v>
      </c>
      <c r="D3681" s="417" t="s">
        <v>683</v>
      </c>
      <c r="E3681">
        <v>1320.2198333333299</v>
      </c>
      <c r="F3681">
        <v>26</v>
      </c>
      <c r="G3681">
        <v>50.777685897435902</v>
      </c>
      <c r="H3681">
        <v>1.17346666666667</v>
      </c>
      <c r="I3681">
        <v>69.385671187853802</v>
      </c>
    </row>
    <row r="3682" spans="1:9" x14ac:dyDescent="0.35">
      <c r="A3682" s="417" t="s">
        <v>846</v>
      </c>
      <c r="B3682" s="417" t="s">
        <v>680</v>
      </c>
      <c r="C3682" s="83">
        <v>46100</v>
      </c>
      <c r="D3682" s="417" t="s">
        <v>685</v>
      </c>
      <c r="E3682">
        <v>1371.77968333333</v>
      </c>
      <c r="F3682">
        <v>21</v>
      </c>
      <c r="G3682">
        <v>65.322842063492104</v>
      </c>
      <c r="H3682">
        <v>9.4993499999999997</v>
      </c>
      <c r="I3682">
        <v>90.526831192825099</v>
      </c>
    </row>
    <row r="3683" spans="1:9" x14ac:dyDescent="0.35">
      <c r="A3683" s="417" t="s">
        <v>846</v>
      </c>
      <c r="B3683" s="417" t="s">
        <v>680</v>
      </c>
      <c r="C3683" s="83">
        <v>46100</v>
      </c>
      <c r="D3683" s="417" t="s">
        <v>688</v>
      </c>
      <c r="E3683">
        <v>1405.6010166666699</v>
      </c>
      <c r="F3683">
        <v>18</v>
      </c>
      <c r="G3683">
        <v>78.088945370370396</v>
      </c>
      <c r="H3683">
        <v>10.987683333333299</v>
      </c>
      <c r="I3683">
        <v>79.832754162163297</v>
      </c>
    </row>
    <row r="3684" spans="1:9" x14ac:dyDescent="0.35">
      <c r="A3684" s="417" t="s">
        <v>846</v>
      </c>
      <c r="B3684" s="417" t="s">
        <v>680</v>
      </c>
      <c r="C3684" s="83">
        <v>46100</v>
      </c>
      <c r="D3684" s="417" t="s">
        <v>686</v>
      </c>
      <c r="E3684">
        <v>1352.2583833333299</v>
      </c>
      <c r="F3684">
        <v>1</v>
      </c>
      <c r="G3684">
        <v>1352.2583833333299</v>
      </c>
      <c r="H3684">
        <v>0</v>
      </c>
      <c r="I3684">
        <v>35.1464646464647</v>
      </c>
    </row>
    <row r="3685" spans="1:9" x14ac:dyDescent="0.35">
      <c r="A3685" s="417" t="s">
        <v>846</v>
      </c>
      <c r="B3685" s="417" t="s">
        <v>691</v>
      </c>
      <c r="C3685" s="83">
        <v>46100</v>
      </c>
      <c r="D3685" s="417" t="s">
        <v>305</v>
      </c>
      <c r="E3685">
        <v>1222.01088333333</v>
      </c>
      <c r="F3685">
        <v>160</v>
      </c>
      <c r="G3685">
        <v>7.6375680208333296</v>
      </c>
      <c r="H3685">
        <v>13.313316666666701</v>
      </c>
      <c r="I3685">
        <v>86.690305121786693</v>
      </c>
    </row>
    <row r="3686" spans="1:9" x14ac:dyDescent="0.35">
      <c r="A3686" s="417" t="s">
        <v>846</v>
      </c>
      <c r="B3686" s="417" t="s">
        <v>691</v>
      </c>
      <c r="C3686" s="83">
        <v>46100</v>
      </c>
      <c r="D3686" s="417" t="s">
        <v>309</v>
      </c>
      <c r="E3686">
        <v>1273.7098000000001</v>
      </c>
      <c r="F3686">
        <v>132</v>
      </c>
      <c r="G3686">
        <v>9.6493166666666692</v>
      </c>
      <c r="H3686">
        <v>0</v>
      </c>
      <c r="I3686">
        <v>85.8814057800641</v>
      </c>
    </row>
    <row r="3687" spans="1:9" x14ac:dyDescent="0.35">
      <c r="A3687" s="417" t="s">
        <v>846</v>
      </c>
      <c r="B3687" s="417" t="s">
        <v>691</v>
      </c>
      <c r="C3687" s="83">
        <v>46100</v>
      </c>
      <c r="D3687" s="417" t="s">
        <v>301</v>
      </c>
      <c r="E3687">
        <v>1320.99955</v>
      </c>
      <c r="F3687">
        <v>104</v>
      </c>
      <c r="G3687">
        <v>12.701918750000001</v>
      </c>
      <c r="H3687">
        <v>1.03863333333333</v>
      </c>
      <c r="I3687">
        <v>56.830765999523003</v>
      </c>
    </row>
    <row r="3688" spans="1:9" x14ac:dyDescent="0.35">
      <c r="A3688" s="417" t="s">
        <v>846</v>
      </c>
      <c r="B3688" s="417" t="s">
        <v>691</v>
      </c>
      <c r="C3688" s="83">
        <v>46100</v>
      </c>
      <c r="D3688" s="417" t="s">
        <v>299</v>
      </c>
      <c r="E3688">
        <v>1310.7728</v>
      </c>
      <c r="F3688">
        <v>68</v>
      </c>
      <c r="G3688">
        <v>19.276070588235299</v>
      </c>
      <c r="H3688">
        <v>0.3095</v>
      </c>
      <c r="I3688">
        <v>80.776452000072894</v>
      </c>
    </row>
    <row r="3689" spans="1:9" x14ac:dyDescent="0.35">
      <c r="A3689" s="417" t="s">
        <v>846</v>
      </c>
      <c r="B3689" s="417" t="s">
        <v>691</v>
      </c>
      <c r="C3689" s="83">
        <v>46100</v>
      </c>
      <c r="D3689" s="417" t="s">
        <v>303</v>
      </c>
      <c r="E3689">
        <v>1354.72686666667</v>
      </c>
      <c r="F3689">
        <v>63</v>
      </c>
      <c r="G3689">
        <v>21.503601058201099</v>
      </c>
      <c r="H3689">
        <v>0.49245</v>
      </c>
      <c r="I3689">
        <v>60.822129884440102</v>
      </c>
    </row>
    <row r="3690" spans="1:9" x14ac:dyDescent="0.35">
      <c r="A3690" s="417" t="s">
        <v>846</v>
      </c>
      <c r="B3690" s="417" t="s">
        <v>691</v>
      </c>
      <c r="C3690" s="83">
        <v>46100</v>
      </c>
      <c r="D3690" s="417" t="s">
        <v>295</v>
      </c>
      <c r="E3690">
        <v>1384.4863666666699</v>
      </c>
      <c r="F3690">
        <v>52</v>
      </c>
      <c r="G3690">
        <v>26.624737820512799</v>
      </c>
      <c r="H3690">
        <v>1.0545500000000001</v>
      </c>
      <c r="I3690">
        <v>82.510609102588703</v>
      </c>
    </row>
    <row r="3691" spans="1:9" x14ac:dyDescent="0.35">
      <c r="A3691" s="417" t="s">
        <v>846</v>
      </c>
      <c r="B3691" s="417" t="s">
        <v>691</v>
      </c>
      <c r="C3691" s="83">
        <v>46100</v>
      </c>
      <c r="D3691" s="417" t="s">
        <v>310</v>
      </c>
      <c r="E3691">
        <v>1424.6541</v>
      </c>
      <c r="F3691">
        <v>17</v>
      </c>
      <c r="G3691">
        <v>83.803182352941207</v>
      </c>
      <c r="H3691">
        <v>0.95788333333333298</v>
      </c>
      <c r="I3691">
        <v>45.917146482177998</v>
      </c>
    </row>
    <row r="3692" spans="1:9" x14ac:dyDescent="0.35">
      <c r="A3692" s="417" t="s">
        <v>846</v>
      </c>
      <c r="B3692" s="417" t="s">
        <v>691</v>
      </c>
      <c r="C3692" s="83">
        <v>46100</v>
      </c>
      <c r="D3692" s="417" t="s">
        <v>314</v>
      </c>
      <c r="E3692">
        <v>1368.81351666667</v>
      </c>
      <c r="F3692">
        <v>8</v>
      </c>
      <c r="G3692">
        <v>171.10168958333301</v>
      </c>
      <c r="H3692">
        <v>0.17019999999999999</v>
      </c>
      <c r="I3692">
        <v>33.623766836139801</v>
      </c>
    </row>
    <row r="3693" spans="1:9" x14ac:dyDescent="0.35">
      <c r="A3693" s="417" t="s">
        <v>846</v>
      </c>
      <c r="B3693" s="417" t="s">
        <v>691</v>
      </c>
      <c r="C3693" s="83">
        <v>46100</v>
      </c>
      <c r="D3693" s="417" t="s">
        <v>313</v>
      </c>
      <c r="E3693">
        <v>1357.6616166666699</v>
      </c>
      <c r="F3693">
        <v>3</v>
      </c>
      <c r="G3693">
        <v>452.55387222222203</v>
      </c>
      <c r="H3693">
        <v>0</v>
      </c>
      <c r="I3693">
        <v>48.383239987797602</v>
      </c>
    </row>
    <row r="3694" spans="1:9" x14ac:dyDescent="0.35">
      <c r="A3694" s="417" t="s">
        <v>846</v>
      </c>
      <c r="B3694" s="417" t="s">
        <v>691</v>
      </c>
      <c r="C3694" s="83">
        <v>46100</v>
      </c>
      <c r="D3694" s="417" t="s">
        <v>317</v>
      </c>
      <c r="E3694">
        <v>1437.70178333333</v>
      </c>
      <c r="F3694">
        <v>3</v>
      </c>
      <c r="G3694">
        <v>479.23392777777798</v>
      </c>
      <c r="H3694">
        <v>0.92298333333333304</v>
      </c>
      <c r="I3694">
        <v>35.2176614596954</v>
      </c>
    </row>
    <row r="3695" spans="1:9" x14ac:dyDescent="0.35">
      <c r="A3695" s="417" t="s">
        <v>846</v>
      </c>
      <c r="B3695" s="417" t="s">
        <v>691</v>
      </c>
      <c r="C3695" s="83">
        <v>46100</v>
      </c>
      <c r="D3695" s="417" t="s">
        <v>504</v>
      </c>
      <c r="E3695">
        <v>1440</v>
      </c>
      <c r="F3695">
        <v>1</v>
      </c>
      <c r="G3695">
        <v>1440</v>
      </c>
      <c r="H3695">
        <v>0</v>
      </c>
      <c r="I3695">
        <v>61.193518518518502</v>
      </c>
    </row>
    <row r="3696" spans="1:9" x14ac:dyDescent="0.35">
      <c r="A3696" s="417" t="s">
        <v>846</v>
      </c>
      <c r="B3696" s="417" t="s">
        <v>676</v>
      </c>
      <c r="C3696" s="83">
        <v>46099</v>
      </c>
      <c r="D3696" s="417" t="s">
        <v>677</v>
      </c>
      <c r="E3696">
        <v>548.42131666666705</v>
      </c>
      <c r="F3696">
        <v>54</v>
      </c>
      <c r="G3696">
        <v>10.155950308642</v>
      </c>
      <c r="H3696">
        <v>22.0119333333333</v>
      </c>
      <c r="I3696">
        <v>5.3363888888888997</v>
      </c>
    </row>
    <row r="3697" spans="1:9" x14ac:dyDescent="0.35">
      <c r="A3697" s="417" t="s">
        <v>846</v>
      </c>
      <c r="B3697" s="417" t="s">
        <v>676</v>
      </c>
      <c r="C3697" s="83">
        <v>46099</v>
      </c>
      <c r="D3697" s="417" t="s">
        <v>679</v>
      </c>
      <c r="E3697">
        <v>1388.7111</v>
      </c>
      <c r="F3697">
        <v>16</v>
      </c>
      <c r="G3697">
        <v>86.794443749999999</v>
      </c>
      <c r="H3697">
        <v>17.9994333333333</v>
      </c>
      <c r="I3697">
        <v>28.267601891846201</v>
      </c>
    </row>
    <row r="3698" spans="1:9" x14ac:dyDescent="0.35">
      <c r="A3698" s="417" t="s">
        <v>846</v>
      </c>
      <c r="B3698" s="417" t="s">
        <v>680</v>
      </c>
      <c r="C3698" s="83">
        <v>46099</v>
      </c>
      <c r="D3698" s="417" t="s">
        <v>684</v>
      </c>
      <c r="E3698">
        <v>1388.4840999999999</v>
      </c>
      <c r="F3698">
        <v>43</v>
      </c>
      <c r="G3698">
        <v>32.2903279069767</v>
      </c>
      <c r="H3698">
        <v>36.5211166666667</v>
      </c>
      <c r="I3698">
        <v>75.203915963712703</v>
      </c>
    </row>
    <row r="3699" spans="1:9" x14ac:dyDescent="0.35">
      <c r="A3699" s="417" t="s">
        <v>846</v>
      </c>
      <c r="B3699" s="417" t="s">
        <v>680</v>
      </c>
      <c r="C3699" s="83">
        <v>46099</v>
      </c>
      <c r="D3699" s="417" t="s">
        <v>682</v>
      </c>
      <c r="E3699">
        <v>1403.3492166666699</v>
      </c>
      <c r="F3699">
        <v>41</v>
      </c>
      <c r="G3699">
        <v>34.228029674796701</v>
      </c>
      <c r="H3699">
        <v>36.650783333333301</v>
      </c>
      <c r="I3699">
        <v>73.914141414141397</v>
      </c>
    </row>
    <row r="3700" spans="1:9" x14ac:dyDescent="0.35">
      <c r="A3700" s="417" t="s">
        <v>846</v>
      </c>
      <c r="B3700" s="417" t="s">
        <v>680</v>
      </c>
      <c r="C3700" s="83">
        <v>46099</v>
      </c>
      <c r="D3700" s="417" t="s">
        <v>681</v>
      </c>
      <c r="E3700">
        <v>1370.961</v>
      </c>
      <c r="F3700">
        <v>33</v>
      </c>
      <c r="G3700">
        <v>41.544272727272698</v>
      </c>
      <c r="H3700">
        <v>4.0005499999999996</v>
      </c>
      <c r="I3700">
        <v>87.750164265736103</v>
      </c>
    </row>
    <row r="3701" spans="1:9" x14ac:dyDescent="0.35">
      <c r="A3701" s="417" t="s">
        <v>846</v>
      </c>
      <c r="B3701" s="417" t="s">
        <v>680</v>
      </c>
      <c r="C3701" s="83">
        <v>46099</v>
      </c>
      <c r="D3701" s="417" t="s">
        <v>685</v>
      </c>
      <c r="E3701">
        <v>1390.3222499999999</v>
      </c>
      <c r="F3701">
        <v>27</v>
      </c>
      <c r="G3701">
        <v>51.493416666666697</v>
      </c>
      <c r="H3701">
        <v>24.3447</v>
      </c>
      <c r="I3701">
        <v>95.221037730091396</v>
      </c>
    </row>
    <row r="3702" spans="1:9" x14ac:dyDescent="0.35">
      <c r="A3702" s="417" t="s">
        <v>846</v>
      </c>
      <c r="B3702" s="417" t="s">
        <v>680</v>
      </c>
      <c r="C3702" s="83">
        <v>46099</v>
      </c>
      <c r="D3702" s="417" t="s">
        <v>688</v>
      </c>
      <c r="E3702">
        <v>1387.0003666666701</v>
      </c>
      <c r="F3702">
        <v>23</v>
      </c>
      <c r="G3702">
        <v>60.304363768115898</v>
      </c>
      <c r="H3702">
        <v>2.6687666666666701</v>
      </c>
      <c r="I3702">
        <v>83.307306603469598</v>
      </c>
    </row>
    <row r="3703" spans="1:9" x14ac:dyDescent="0.35">
      <c r="A3703" s="417" t="s">
        <v>846</v>
      </c>
      <c r="B3703" s="417" t="s">
        <v>680</v>
      </c>
      <c r="C3703" s="83">
        <v>46099</v>
      </c>
      <c r="D3703" s="417" t="s">
        <v>689</v>
      </c>
      <c r="E3703">
        <v>1407.4878333333299</v>
      </c>
      <c r="F3703">
        <v>23</v>
      </c>
      <c r="G3703">
        <v>61.195123188405802</v>
      </c>
      <c r="H3703">
        <v>0.67383333333333295</v>
      </c>
      <c r="I3703">
        <v>96.489374887290595</v>
      </c>
    </row>
    <row r="3704" spans="1:9" x14ac:dyDescent="0.35">
      <c r="A3704" s="417" t="s">
        <v>846</v>
      </c>
      <c r="B3704" s="417" t="s">
        <v>680</v>
      </c>
      <c r="C3704" s="83">
        <v>46099</v>
      </c>
      <c r="D3704" s="417" t="s">
        <v>690</v>
      </c>
      <c r="E3704">
        <v>1014.4628166666701</v>
      </c>
      <c r="F3704">
        <v>21</v>
      </c>
      <c r="G3704">
        <v>48.307753174603199</v>
      </c>
      <c r="H3704">
        <v>4.0132666666666701</v>
      </c>
      <c r="I3704">
        <v>47.1379526737772</v>
      </c>
    </row>
    <row r="3705" spans="1:9" x14ac:dyDescent="0.35">
      <c r="A3705" s="417" t="s">
        <v>846</v>
      </c>
      <c r="B3705" s="417" t="s">
        <v>680</v>
      </c>
      <c r="C3705" s="83">
        <v>46099</v>
      </c>
      <c r="D3705" s="417" t="s">
        <v>683</v>
      </c>
      <c r="E3705">
        <v>1335.6516999999999</v>
      </c>
      <c r="F3705">
        <v>21</v>
      </c>
      <c r="G3705">
        <v>63.602461904761903</v>
      </c>
      <c r="H3705">
        <v>1.32646666666667</v>
      </c>
      <c r="I3705">
        <v>56.554296590312802</v>
      </c>
    </row>
    <row r="3706" spans="1:9" x14ac:dyDescent="0.35">
      <c r="A3706" s="417" t="s">
        <v>846</v>
      </c>
      <c r="B3706" s="417" t="s">
        <v>680</v>
      </c>
      <c r="C3706" s="83">
        <v>46099</v>
      </c>
      <c r="D3706" s="417" t="s">
        <v>687</v>
      </c>
      <c r="E3706">
        <v>1414.01575</v>
      </c>
      <c r="F3706">
        <v>17</v>
      </c>
      <c r="G3706">
        <v>83.177397058823502</v>
      </c>
      <c r="H3706">
        <v>15.823933333333301</v>
      </c>
      <c r="I3706">
        <v>36.413491073402199</v>
      </c>
    </row>
    <row r="3707" spans="1:9" x14ac:dyDescent="0.35">
      <c r="A3707" s="417" t="s">
        <v>846</v>
      </c>
      <c r="B3707" s="417" t="s">
        <v>680</v>
      </c>
      <c r="C3707" s="83">
        <v>46099</v>
      </c>
      <c r="D3707" s="417" t="s">
        <v>686</v>
      </c>
      <c r="E3707">
        <v>1440</v>
      </c>
      <c r="F3707">
        <v>1</v>
      </c>
      <c r="G3707">
        <v>1440</v>
      </c>
      <c r="H3707">
        <v>0</v>
      </c>
      <c r="I3707">
        <v>77.790782828282801</v>
      </c>
    </row>
    <row r="3708" spans="1:9" x14ac:dyDescent="0.35">
      <c r="A3708" s="417" t="s">
        <v>846</v>
      </c>
      <c r="B3708" s="417" t="s">
        <v>691</v>
      </c>
      <c r="C3708" s="83">
        <v>46099</v>
      </c>
      <c r="D3708" s="417" t="s">
        <v>309</v>
      </c>
      <c r="E3708">
        <v>1219.8937000000001</v>
      </c>
      <c r="F3708">
        <v>136</v>
      </c>
      <c r="G3708">
        <v>8.9698066176470608</v>
      </c>
      <c r="H3708">
        <v>0</v>
      </c>
      <c r="I3708">
        <v>76.921756682703901</v>
      </c>
    </row>
    <row r="3709" spans="1:9" x14ac:dyDescent="0.35">
      <c r="A3709" s="417" t="s">
        <v>846</v>
      </c>
      <c r="B3709" s="417" t="s">
        <v>691</v>
      </c>
      <c r="C3709" s="83">
        <v>46099</v>
      </c>
      <c r="D3709" s="417" t="s">
        <v>305</v>
      </c>
      <c r="E3709">
        <v>1052.19336666667</v>
      </c>
      <c r="F3709">
        <v>111</v>
      </c>
      <c r="G3709">
        <v>9.4792195195195195</v>
      </c>
      <c r="H3709">
        <v>12.672700000000001</v>
      </c>
      <c r="I3709">
        <v>72.548254851096999</v>
      </c>
    </row>
    <row r="3710" spans="1:9" x14ac:dyDescent="0.35">
      <c r="A3710" s="417" t="s">
        <v>846</v>
      </c>
      <c r="B3710" s="417" t="s">
        <v>691</v>
      </c>
      <c r="C3710" s="83">
        <v>46099</v>
      </c>
      <c r="D3710" s="417" t="s">
        <v>301</v>
      </c>
      <c r="E3710">
        <v>1305.5980999999999</v>
      </c>
      <c r="F3710">
        <v>96</v>
      </c>
      <c r="G3710">
        <v>13.599980208333299</v>
      </c>
      <c r="H3710">
        <v>1.30981666666667</v>
      </c>
      <c r="I3710">
        <v>47.094703118569598</v>
      </c>
    </row>
    <row r="3711" spans="1:9" x14ac:dyDescent="0.35">
      <c r="A3711" s="417" t="s">
        <v>846</v>
      </c>
      <c r="B3711" s="417" t="s">
        <v>691</v>
      </c>
      <c r="C3711" s="83">
        <v>46099</v>
      </c>
      <c r="D3711" s="417" t="s">
        <v>299</v>
      </c>
      <c r="E3711">
        <v>1326.1857</v>
      </c>
      <c r="F3711">
        <v>82</v>
      </c>
      <c r="G3711">
        <v>16.172996341463399</v>
      </c>
      <c r="H3711">
        <v>0.853833333333333</v>
      </c>
      <c r="I3711">
        <v>81.057724140077895</v>
      </c>
    </row>
    <row r="3712" spans="1:9" x14ac:dyDescent="0.35">
      <c r="A3712" s="417" t="s">
        <v>846</v>
      </c>
      <c r="B3712" s="417" t="s">
        <v>691</v>
      </c>
      <c r="C3712" s="83">
        <v>46099</v>
      </c>
      <c r="D3712" s="417" t="s">
        <v>303</v>
      </c>
      <c r="E3712">
        <v>1353.8777500000001</v>
      </c>
      <c r="F3712">
        <v>73</v>
      </c>
      <c r="G3712">
        <v>18.546270547945198</v>
      </c>
      <c r="H3712">
        <v>0.77329999999999999</v>
      </c>
      <c r="I3712">
        <v>58.662279733733598</v>
      </c>
    </row>
    <row r="3713" spans="1:9" x14ac:dyDescent="0.35">
      <c r="A3713" s="417" t="s">
        <v>846</v>
      </c>
      <c r="B3713" s="417" t="s">
        <v>691</v>
      </c>
      <c r="C3713" s="83">
        <v>46099</v>
      </c>
      <c r="D3713" s="417" t="s">
        <v>295</v>
      </c>
      <c r="E3713">
        <v>1334.9468999999999</v>
      </c>
      <c r="F3713">
        <v>63</v>
      </c>
      <c r="G3713">
        <v>21.189633333333301</v>
      </c>
      <c r="H3713">
        <v>0.38855000000000001</v>
      </c>
      <c r="I3713">
        <v>79.326594715145006</v>
      </c>
    </row>
    <row r="3714" spans="1:9" x14ac:dyDescent="0.35">
      <c r="A3714" s="417" t="s">
        <v>846</v>
      </c>
      <c r="B3714" s="417" t="s">
        <v>691</v>
      </c>
      <c r="C3714" s="83">
        <v>46099</v>
      </c>
      <c r="D3714" s="417" t="s">
        <v>317</v>
      </c>
      <c r="E3714">
        <v>1427.0908833333301</v>
      </c>
      <c r="F3714">
        <v>15</v>
      </c>
      <c r="G3714">
        <v>95.139392222222199</v>
      </c>
      <c r="H3714">
        <v>7.9137166666666703</v>
      </c>
      <c r="I3714">
        <v>31.972022946825401</v>
      </c>
    </row>
    <row r="3715" spans="1:9" x14ac:dyDescent="0.35">
      <c r="A3715" s="417" t="s">
        <v>846</v>
      </c>
      <c r="B3715" s="417" t="s">
        <v>691</v>
      </c>
      <c r="C3715" s="83">
        <v>46099</v>
      </c>
      <c r="D3715" s="417" t="s">
        <v>313</v>
      </c>
      <c r="E3715">
        <v>1342.7790833333299</v>
      </c>
      <c r="F3715">
        <v>14</v>
      </c>
      <c r="G3715">
        <v>95.912791666666706</v>
      </c>
      <c r="H3715">
        <v>0</v>
      </c>
      <c r="I3715">
        <v>47.386584237420003</v>
      </c>
    </row>
    <row r="3716" spans="1:9" x14ac:dyDescent="0.35">
      <c r="A3716" s="417" t="s">
        <v>846</v>
      </c>
      <c r="B3716" s="417" t="s">
        <v>691</v>
      </c>
      <c r="C3716" s="83">
        <v>46099</v>
      </c>
      <c r="D3716" s="417" t="s">
        <v>310</v>
      </c>
      <c r="E3716">
        <v>1403.95865</v>
      </c>
      <c r="F3716">
        <v>7</v>
      </c>
      <c r="G3716">
        <v>200.565521428571</v>
      </c>
      <c r="H3716">
        <v>0.923416666666667</v>
      </c>
      <c r="I3716">
        <v>45.069837611599503</v>
      </c>
    </row>
    <row r="3717" spans="1:9" x14ac:dyDescent="0.35">
      <c r="A3717" s="417" t="s">
        <v>846</v>
      </c>
      <c r="B3717" s="417" t="s">
        <v>691</v>
      </c>
      <c r="C3717" s="83">
        <v>46099</v>
      </c>
      <c r="D3717" s="417" t="s">
        <v>314</v>
      </c>
      <c r="E3717">
        <v>1305.2386833333301</v>
      </c>
      <c r="F3717">
        <v>6</v>
      </c>
      <c r="G3717">
        <v>217.53978055555601</v>
      </c>
      <c r="H3717">
        <v>13.211083333333301</v>
      </c>
      <c r="I3717">
        <v>26.7263350059124</v>
      </c>
    </row>
    <row r="3718" spans="1:9" x14ac:dyDescent="0.35">
      <c r="A3718" s="417" t="s">
        <v>846</v>
      </c>
      <c r="B3718" s="417" t="s">
        <v>691</v>
      </c>
      <c r="C3718" s="83">
        <v>46099</v>
      </c>
      <c r="D3718" s="417" t="s">
        <v>504</v>
      </c>
      <c r="E3718">
        <v>1440</v>
      </c>
      <c r="F3718">
        <v>1</v>
      </c>
      <c r="G3718">
        <v>1440</v>
      </c>
      <c r="H3718">
        <v>0</v>
      </c>
      <c r="I3718">
        <v>59.052932098765403</v>
      </c>
    </row>
    <row r="3719" spans="1:9" x14ac:dyDescent="0.35">
      <c r="A3719" s="417" t="s">
        <v>846</v>
      </c>
      <c r="B3719" s="417" t="s">
        <v>676</v>
      </c>
      <c r="C3719" s="83">
        <v>46098</v>
      </c>
      <c r="D3719" s="417" t="s">
        <v>677</v>
      </c>
      <c r="E3719">
        <v>751.06676666666601</v>
      </c>
      <c r="F3719">
        <v>111</v>
      </c>
      <c r="G3719">
        <v>6.7663672672672703</v>
      </c>
      <c r="H3719">
        <v>105.96923333333299</v>
      </c>
      <c r="I3719">
        <v>6.5461111111111103</v>
      </c>
    </row>
    <row r="3720" spans="1:9" x14ac:dyDescent="0.35">
      <c r="A3720" s="417" t="s">
        <v>846</v>
      </c>
      <c r="B3720" s="417" t="s">
        <v>676</v>
      </c>
      <c r="C3720" s="83">
        <v>46098</v>
      </c>
      <c r="D3720" s="417" t="s">
        <v>679</v>
      </c>
      <c r="E3720">
        <v>850.68989999999997</v>
      </c>
      <c r="F3720">
        <v>13</v>
      </c>
      <c r="G3720">
        <v>65.437684615384597</v>
      </c>
      <c r="H3720">
        <v>15.009983333333301</v>
      </c>
      <c r="I3720">
        <v>23.839425724155699</v>
      </c>
    </row>
    <row r="3721" spans="1:9" x14ac:dyDescent="0.35">
      <c r="A3721" s="417" t="s">
        <v>846</v>
      </c>
      <c r="B3721" s="417" t="s">
        <v>680</v>
      </c>
      <c r="C3721" s="83">
        <v>46098</v>
      </c>
      <c r="D3721" s="417" t="s">
        <v>683</v>
      </c>
      <c r="E3721">
        <v>1306.69458333333</v>
      </c>
      <c r="F3721">
        <v>61</v>
      </c>
      <c r="G3721">
        <v>21.421222677595601</v>
      </c>
      <c r="H3721">
        <v>1.33473333333333</v>
      </c>
      <c r="I3721">
        <v>76.127702785318803</v>
      </c>
    </row>
    <row r="3722" spans="1:9" x14ac:dyDescent="0.35">
      <c r="A3722" s="417" t="s">
        <v>846</v>
      </c>
      <c r="B3722" s="417" t="s">
        <v>680</v>
      </c>
      <c r="C3722" s="83">
        <v>46098</v>
      </c>
      <c r="D3722" s="417" t="s">
        <v>689</v>
      </c>
      <c r="E3722">
        <v>1360.65241666667</v>
      </c>
      <c r="F3722">
        <v>45</v>
      </c>
      <c r="G3722">
        <v>30.236720370370399</v>
      </c>
      <c r="H3722">
        <v>0</v>
      </c>
      <c r="I3722">
        <v>95.671302932771894</v>
      </c>
    </row>
    <row r="3723" spans="1:9" x14ac:dyDescent="0.35">
      <c r="A3723" s="417" t="s">
        <v>846</v>
      </c>
      <c r="B3723" s="417" t="s">
        <v>680</v>
      </c>
      <c r="C3723" s="83">
        <v>46098</v>
      </c>
      <c r="D3723" s="417" t="s">
        <v>684</v>
      </c>
      <c r="E3723">
        <v>1404.81666666667</v>
      </c>
      <c r="F3723">
        <v>43</v>
      </c>
      <c r="G3723">
        <v>32.670155038759702</v>
      </c>
      <c r="H3723">
        <v>20.665016666666698</v>
      </c>
      <c r="I3723">
        <v>76.140728708511602</v>
      </c>
    </row>
    <row r="3724" spans="1:9" x14ac:dyDescent="0.35">
      <c r="A3724" s="417" t="s">
        <v>846</v>
      </c>
      <c r="B3724" s="417" t="s">
        <v>680</v>
      </c>
      <c r="C3724" s="83">
        <v>46098</v>
      </c>
      <c r="D3724" s="417" t="s">
        <v>681</v>
      </c>
      <c r="E3724">
        <v>1410.2062333333299</v>
      </c>
      <c r="F3724">
        <v>42</v>
      </c>
      <c r="G3724">
        <v>33.576338888888898</v>
      </c>
      <c r="H3724">
        <v>0.33351666666666702</v>
      </c>
      <c r="I3724">
        <v>85.025824185536607</v>
      </c>
    </row>
    <row r="3725" spans="1:9" x14ac:dyDescent="0.35">
      <c r="A3725" s="417" t="s">
        <v>846</v>
      </c>
      <c r="B3725" s="417" t="s">
        <v>680</v>
      </c>
      <c r="C3725" s="83">
        <v>46098</v>
      </c>
      <c r="D3725" s="417" t="s">
        <v>690</v>
      </c>
      <c r="E3725">
        <v>1381.70033333333</v>
      </c>
      <c r="F3725">
        <v>41</v>
      </c>
      <c r="G3725">
        <v>33.700008130081301</v>
      </c>
      <c r="H3725">
        <v>18.662433333333301</v>
      </c>
      <c r="I3725">
        <v>60.931957517090297</v>
      </c>
    </row>
    <row r="3726" spans="1:9" x14ac:dyDescent="0.35">
      <c r="A3726" s="417" t="s">
        <v>846</v>
      </c>
      <c r="B3726" s="417" t="s">
        <v>680</v>
      </c>
      <c r="C3726" s="83">
        <v>46098</v>
      </c>
      <c r="D3726" s="417" t="s">
        <v>682</v>
      </c>
      <c r="E3726">
        <v>1414.3495</v>
      </c>
      <c r="F3726">
        <v>31</v>
      </c>
      <c r="G3726">
        <v>45.624177419354801</v>
      </c>
      <c r="H3726">
        <v>25.650500000000001</v>
      </c>
      <c r="I3726">
        <v>75.227272727272705</v>
      </c>
    </row>
    <row r="3727" spans="1:9" x14ac:dyDescent="0.35">
      <c r="A3727" s="417" t="s">
        <v>846</v>
      </c>
      <c r="B3727" s="417" t="s">
        <v>680</v>
      </c>
      <c r="C3727" s="83">
        <v>46098</v>
      </c>
      <c r="D3727" s="417" t="s">
        <v>687</v>
      </c>
      <c r="E3727">
        <v>1416.0108499999999</v>
      </c>
      <c r="F3727">
        <v>19</v>
      </c>
      <c r="G3727">
        <v>74.526886842105199</v>
      </c>
      <c r="H3727">
        <v>17.497350000000001</v>
      </c>
      <c r="I3727">
        <v>33.9407640893604</v>
      </c>
    </row>
    <row r="3728" spans="1:9" x14ac:dyDescent="0.35">
      <c r="A3728" s="417" t="s">
        <v>846</v>
      </c>
      <c r="B3728" s="417" t="s">
        <v>680</v>
      </c>
      <c r="C3728" s="83">
        <v>46098</v>
      </c>
      <c r="D3728" s="417" t="s">
        <v>688</v>
      </c>
      <c r="E3728">
        <v>1420.6655166666701</v>
      </c>
      <c r="F3728">
        <v>17</v>
      </c>
      <c r="G3728">
        <v>83.568559803921602</v>
      </c>
      <c r="H3728">
        <v>1.33181666666667</v>
      </c>
      <c r="I3728">
        <v>84.104315250482799</v>
      </c>
    </row>
    <row r="3729" spans="1:9" x14ac:dyDescent="0.35">
      <c r="A3729" s="417" t="s">
        <v>846</v>
      </c>
      <c r="B3729" s="417" t="s">
        <v>680</v>
      </c>
      <c r="C3729" s="83">
        <v>46098</v>
      </c>
      <c r="D3729" s="417" t="s">
        <v>685</v>
      </c>
      <c r="E3729">
        <v>1416.70135</v>
      </c>
      <c r="F3729">
        <v>15</v>
      </c>
      <c r="G3729">
        <v>94.446756666666701</v>
      </c>
      <c r="H3729">
        <v>9.5003166666666701</v>
      </c>
      <c r="I3729">
        <v>93.487735935078007</v>
      </c>
    </row>
    <row r="3730" spans="1:9" x14ac:dyDescent="0.35">
      <c r="A3730" s="417" t="s">
        <v>846</v>
      </c>
      <c r="B3730" s="417" t="s">
        <v>680</v>
      </c>
      <c r="C3730" s="83">
        <v>46098</v>
      </c>
      <c r="D3730" s="417" t="s">
        <v>686</v>
      </c>
      <c r="E3730">
        <v>1440</v>
      </c>
      <c r="F3730">
        <v>1</v>
      </c>
      <c r="G3730">
        <v>1440</v>
      </c>
      <c r="H3730">
        <v>0</v>
      </c>
      <c r="I3730">
        <v>69.424242424242394</v>
      </c>
    </row>
    <row r="3731" spans="1:9" x14ac:dyDescent="0.35">
      <c r="A3731" s="417" t="s">
        <v>846</v>
      </c>
      <c r="B3731" s="417" t="s">
        <v>691</v>
      </c>
      <c r="C3731" s="83">
        <v>46098</v>
      </c>
      <c r="D3731" s="417" t="s">
        <v>309</v>
      </c>
      <c r="E3731">
        <v>1290.2628</v>
      </c>
      <c r="F3731">
        <v>122</v>
      </c>
      <c r="G3731">
        <v>10.575924590163901</v>
      </c>
      <c r="H3731">
        <v>0</v>
      </c>
      <c r="I3731">
        <v>73.660939947242298</v>
      </c>
    </row>
    <row r="3732" spans="1:9" x14ac:dyDescent="0.35">
      <c r="A3732" s="417" t="s">
        <v>846</v>
      </c>
      <c r="B3732" s="417" t="s">
        <v>691</v>
      </c>
      <c r="C3732" s="83">
        <v>46098</v>
      </c>
      <c r="D3732" s="417" t="s">
        <v>305</v>
      </c>
      <c r="E3732">
        <v>1214.72885</v>
      </c>
      <c r="F3732">
        <v>119</v>
      </c>
      <c r="G3732">
        <v>10.207805462184901</v>
      </c>
      <c r="H3732">
        <v>8.9191166666666692</v>
      </c>
      <c r="I3732">
        <v>79.541761817978895</v>
      </c>
    </row>
    <row r="3733" spans="1:9" x14ac:dyDescent="0.35">
      <c r="A3733" s="417" t="s">
        <v>846</v>
      </c>
      <c r="B3733" s="417" t="s">
        <v>691</v>
      </c>
      <c r="C3733" s="83">
        <v>46098</v>
      </c>
      <c r="D3733" s="417" t="s">
        <v>299</v>
      </c>
      <c r="E3733">
        <v>1373.4059833333299</v>
      </c>
      <c r="F3733">
        <v>72</v>
      </c>
      <c r="G3733">
        <v>19.075083101851799</v>
      </c>
      <c r="H3733">
        <v>0.29628333333333301</v>
      </c>
      <c r="I3733">
        <v>82.437025935606201</v>
      </c>
    </row>
    <row r="3734" spans="1:9" x14ac:dyDescent="0.35">
      <c r="A3734" s="417" t="s">
        <v>846</v>
      </c>
      <c r="B3734" s="417" t="s">
        <v>691</v>
      </c>
      <c r="C3734" s="83">
        <v>46098</v>
      </c>
      <c r="D3734" s="417" t="s">
        <v>301</v>
      </c>
      <c r="E3734">
        <v>1347.2824000000001</v>
      </c>
      <c r="F3734">
        <v>68</v>
      </c>
      <c r="G3734">
        <v>19.8129764705882</v>
      </c>
      <c r="H3734">
        <v>7.8762166666666698</v>
      </c>
      <c r="I3734">
        <v>50.680338334836797</v>
      </c>
    </row>
    <row r="3735" spans="1:9" x14ac:dyDescent="0.35">
      <c r="A3735" s="417" t="s">
        <v>846</v>
      </c>
      <c r="B3735" s="417" t="s">
        <v>691</v>
      </c>
      <c r="C3735" s="83">
        <v>46098</v>
      </c>
      <c r="D3735" s="417" t="s">
        <v>295</v>
      </c>
      <c r="E3735">
        <v>1367.8212000000001</v>
      </c>
      <c r="F3735">
        <v>51</v>
      </c>
      <c r="G3735">
        <v>26.820023529411799</v>
      </c>
      <c r="H3735">
        <v>0.45046666666666701</v>
      </c>
      <c r="I3735">
        <v>75.136284406031706</v>
      </c>
    </row>
    <row r="3736" spans="1:9" x14ac:dyDescent="0.35">
      <c r="A3736" s="417" t="s">
        <v>846</v>
      </c>
      <c r="B3736" s="417" t="s">
        <v>691</v>
      </c>
      <c r="C3736" s="83">
        <v>46098</v>
      </c>
      <c r="D3736" s="417" t="s">
        <v>303</v>
      </c>
      <c r="E3736">
        <v>1349.97906666667</v>
      </c>
      <c r="F3736">
        <v>50</v>
      </c>
      <c r="G3736">
        <v>26.9995813333333</v>
      </c>
      <c r="H3736">
        <v>0.67921666666666702</v>
      </c>
      <c r="I3736">
        <v>58.479076413826597</v>
      </c>
    </row>
    <row r="3737" spans="1:9" x14ac:dyDescent="0.35">
      <c r="A3737" s="417" t="s">
        <v>846</v>
      </c>
      <c r="B3737" s="417" t="s">
        <v>691</v>
      </c>
      <c r="C3737" s="83">
        <v>46098</v>
      </c>
      <c r="D3737" s="417" t="s">
        <v>314</v>
      </c>
      <c r="E3737">
        <v>1285.7817500000001</v>
      </c>
      <c r="F3737">
        <v>30</v>
      </c>
      <c r="G3737">
        <v>42.859391666666703</v>
      </c>
      <c r="H3737">
        <v>18.3107333333333</v>
      </c>
      <c r="I3737">
        <v>29.985354743834801</v>
      </c>
    </row>
    <row r="3738" spans="1:9" x14ac:dyDescent="0.35">
      <c r="A3738" s="417" t="s">
        <v>846</v>
      </c>
      <c r="B3738" s="417" t="s">
        <v>691</v>
      </c>
      <c r="C3738" s="83">
        <v>46098</v>
      </c>
      <c r="D3738" s="417" t="s">
        <v>310</v>
      </c>
      <c r="E3738">
        <v>1309.8629000000001</v>
      </c>
      <c r="F3738">
        <v>12</v>
      </c>
      <c r="G3738">
        <v>109.155241666667</v>
      </c>
      <c r="H3738">
        <v>6.7530666666666699</v>
      </c>
      <c r="I3738">
        <v>40.720812780905803</v>
      </c>
    </row>
    <row r="3739" spans="1:9" x14ac:dyDescent="0.35">
      <c r="A3739" s="417" t="s">
        <v>846</v>
      </c>
      <c r="B3739" s="417" t="s">
        <v>691</v>
      </c>
      <c r="C3739" s="83">
        <v>46098</v>
      </c>
      <c r="D3739" s="417" t="s">
        <v>313</v>
      </c>
      <c r="E3739">
        <v>1420.3996</v>
      </c>
      <c r="F3739">
        <v>5</v>
      </c>
      <c r="G3739">
        <v>284.07992000000002</v>
      </c>
      <c r="H3739">
        <v>0</v>
      </c>
      <c r="I3739">
        <v>50.312096228566901</v>
      </c>
    </row>
    <row r="3740" spans="1:9" x14ac:dyDescent="0.35">
      <c r="A3740" s="417" t="s">
        <v>846</v>
      </c>
      <c r="B3740" s="417" t="s">
        <v>691</v>
      </c>
      <c r="C3740" s="83">
        <v>46098</v>
      </c>
      <c r="D3740" s="417" t="s">
        <v>317</v>
      </c>
      <c r="E3740">
        <v>765.69473333333303</v>
      </c>
      <c r="F3740">
        <v>4</v>
      </c>
      <c r="G3740">
        <v>191.423683333333</v>
      </c>
      <c r="H3740">
        <v>0.33684999999999998</v>
      </c>
      <c r="I3740">
        <v>20.7824329262316</v>
      </c>
    </row>
    <row r="3741" spans="1:9" x14ac:dyDescent="0.35">
      <c r="A3741" s="417" t="s">
        <v>846</v>
      </c>
      <c r="B3741" s="417" t="s">
        <v>691</v>
      </c>
      <c r="C3741" s="83">
        <v>46098</v>
      </c>
      <c r="D3741" s="417" t="s">
        <v>504</v>
      </c>
      <c r="E3741">
        <v>1440</v>
      </c>
      <c r="F3741">
        <v>1</v>
      </c>
      <c r="G3741">
        <v>1440</v>
      </c>
      <c r="H3741">
        <v>0</v>
      </c>
      <c r="I3741">
        <v>56.127314814814802</v>
      </c>
    </row>
    <row r="3742" spans="1:9" x14ac:dyDescent="0.35">
      <c r="A3742" s="417" t="s">
        <v>846</v>
      </c>
      <c r="B3742" s="417" t="s">
        <v>676</v>
      </c>
      <c r="C3742" s="83">
        <v>46097</v>
      </c>
      <c r="D3742" s="417" t="s">
        <v>677</v>
      </c>
      <c r="E3742">
        <v>1152.5989</v>
      </c>
      <c r="F3742">
        <v>130</v>
      </c>
      <c r="G3742">
        <v>8.8661453846153897</v>
      </c>
      <c r="H3742">
        <v>79.980800000000002</v>
      </c>
      <c r="I3742">
        <v>31.355555555555501</v>
      </c>
    </row>
    <row r="3743" spans="1:9" x14ac:dyDescent="0.35">
      <c r="A3743" s="417" t="s">
        <v>846</v>
      </c>
      <c r="B3743" s="417" t="s">
        <v>676</v>
      </c>
      <c r="C3743" s="83">
        <v>46097</v>
      </c>
      <c r="D3743" s="417" t="s">
        <v>679</v>
      </c>
      <c r="E3743">
        <v>1328.5802333333299</v>
      </c>
      <c r="F3743">
        <v>17</v>
      </c>
      <c r="G3743">
        <v>78.151778431372506</v>
      </c>
      <c r="H3743">
        <v>11.84915</v>
      </c>
      <c r="I3743">
        <v>79.555353425742496</v>
      </c>
    </row>
    <row r="3744" spans="1:9" x14ac:dyDescent="0.35">
      <c r="A3744" s="417" t="s">
        <v>846</v>
      </c>
      <c r="B3744" s="417" t="s">
        <v>680</v>
      </c>
      <c r="C3744" s="83">
        <v>46097</v>
      </c>
      <c r="D3744" s="417" t="s">
        <v>689</v>
      </c>
      <c r="E3744">
        <v>1331.68076666667</v>
      </c>
      <c r="F3744">
        <v>74</v>
      </c>
      <c r="G3744">
        <v>17.995686036035998</v>
      </c>
      <c r="H3744">
        <v>2.3322166666666702</v>
      </c>
      <c r="I3744">
        <v>87.887335756390499</v>
      </c>
    </row>
    <row r="3745" spans="1:9" x14ac:dyDescent="0.35">
      <c r="A3745" s="417" t="s">
        <v>846</v>
      </c>
      <c r="B3745" s="417" t="s">
        <v>680</v>
      </c>
      <c r="C3745" s="83">
        <v>46097</v>
      </c>
      <c r="D3745" s="417" t="s">
        <v>690</v>
      </c>
      <c r="E3745">
        <v>1356.4903999999999</v>
      </c>
      <c r="F3745">
        <v>60</v>
      </c>
      <c r="G3745">
        <v>22.608173333333301</v>
      </c>
      <c r="H3745">
        <v>32.847933333333302</v>
      </c>
      <c r="I3745">
        <v>47.860641772422099</v>
      </c>
    </row>
    <row r="3746" spans="1:9" x14ac:dyDescent="0.35">
      <c r="A3746" s="417" t="s">
        <v>846</v>
      </c>
      <c r="B3746" s="417" t="s">
        <v>680</v>
      </c>
      <c r="C3746" s="83">
        <v>46097</v>
      </c>
      <c r="D3746" s="417" t="s">
        <v>683</v>
      </c>
      <c r="E3746">
        <v>1269.6181166666699</v>
      </c>
      <c r="F3746">
        <v>57</v>
      </c>
      <c r="G3746">
        <v>22.2740020467836</v>
      </c>
      <c r="H3746">
        <v>12.6892333333333</v>
      </c>
      <c r="I3746">
        <v>54.552707197053699</v>
      </c>
    </row>
    <row r="3747" spans="1:9" x14ac:dyDescent="0.35">
      <c r="A3747" s="417" t="s">
        <v>846</v>
      </c>
      <c r="B3747" s="417" t="s">
        <v>680</v>
      </c>
      <c r="C3747" s="83">
        <v>46097</v>
      </c>
      <c r="D3747" s="417" t="s">
        <v>684</v>
      </c>
      <c r="E3747">
        <v>1407.8079</v>
      </c>
      <c r="F3747">
        <v>37</v>
      </c>
      <c r="G3747">
        <v>38.048862162162202</v>
      </c>
      <c r="H3747">
        <v>19.3456333333333</v>
      </c>
      <c r="I3747">
        <v>74.837701354335493</v>
      </c>
    </row>
    <row r="3748" spans="1:9" x14ac:dyDescent="0.35">
      <c r="A3748" s="417" t="s">
        <v>846</v>
      </c>
      <c r="B3748" s="417" t="s">
        <v>680</v>
      </c>
      <c r="C3748" s="83">
        <v>46097</v>
      </c>
      <c r="D3748" s="417" t="s">
        <v>682</v>
      </c>
      <c r="E3748">
        <v>1411.6257166666701</v>
      </c>
      <c r="F3748">
        <v>36</v>
      </c>
      <c r="G3748">
        <v>39.211825462962999</v>
      </c>
      <c r="H3748">
        <v>28.374283333333299</v>
      </c>
      <c r="I3748">
        <v>73.873737373737399</v>
      </c>
    </row>
    <row r="3749" spans="1:9" x14ac:dyDescent="0.35">
      <c r="A3749" s="417" t="s">
        <v>846</v>
      </c>
      <c r="B3749" s="417" t="s">
        <v>680</v>
      </c>
      <c r="C3749" s="83">
        <v>46097</v>
      </c>
      <c r="D3749" s="417" t="s">
        <v>688</v>
      </c>
      <c r="E3749">
        <v>1343.15825</v>
      </c>
      <c r="F3749">
        <v>36</v>
      </c>
      <c r="G3749">
        <v>37.309951388888898</v>
      </c>
      <c r="H3749">
        <v>11.8434166666667</v>
      </c>
      <c r="I3749">
        <v>81.190539950871297</v>
      </c>
    </row>
    <row r="3750" spans="1:9" x14ac:dyDescent="0.35">
      <c r="A3750" s="417" t="s">
        <v>846</v>
      </c>
      <c r="B3750" s="417" t="s">
        <v>680</v>
      </c>
      <c r="C3750" s="83">
        <v>46097</v>
      </c>
      <c r="D3750" s="417" t="s">
        <v>681</v>
      </c>
      <c r="E3750">
        <v>1407.7368166666699</v>
      </c>
      <c r="F3750">
        <v>33</v>
      </c>
      <c r="G3750">
        <v>42.658691414141401</v>
      </c>
      <c r="H3750">
        <v>0</v>
      </c>
      <c r="I3750">
        <v>85.090444806946905</v>
      </c>
    </row>
    <row r="3751" spans="1:9" x14ac:dyDescent="0.35">
      <c r="A3751" s="417" t="s">
        <v>846</v>
      </c>
      <c r="B3751" s="417" t="s">
        <v>680</v>
      </c>
      <c r="C3751" s="83">
        <v>46097</v>
      </c>
      <c r="D3751" s="417" t="s">
        <v>687</v>
      </c>
      <c r="E3751">
        <v>1369.8291833333301</v>
      </c>
      <c r="F3751">
        <v>23</v>
      </c>
      <c r="G3751">
        <v>59.557790579710201</v>
      </c>
      <c r="H3751">
        <v>23.527450000000002</v>
      </c>
      <c r="I3751">
        <v>39.860604325931</v>
      </c>
    </row>
    <row r="3752" spans="1:9" x14ac:dyDescent="0.35">
      <c r="A3752" s="417" t="s">
        <v>846</v>
      </c>
      <c r="B3752" s="417" t="s">
        <v>680</v>
      </c>
      <c r="C3752" s="83">
        <v>46097</v>
      </c>
      <c r="D3752" s="417" t="s">
        <v>685</v>
      </c>
      <c r="E3752">
        <v>1426.48753333333</v>
      </c>
      <c r="F3752">
        <v>11</v>
      </c>
      <c r="G3752">
        <v>129.68068484848499</v>
      </c>
      <c r="H3752">
        <v>2.5130833333333298</v>
      </c>
      <c r="I3752">
        <v>85.042263760242093</v>
      </c>
    </row>
    <row r="3753" spans="1:9" x14ac:dyDescent="0.35">
      <c r="A3753" s="417" t="s">
        <v>846</v>
      </c>
      <c r="B3753" s="417" t="s">
        <v>680</v>
      </c>
      <c r="C3753" s="83">
        <v>46097</v>
      </c>
      <c r="D3753" s="417" t="s">
        <v>686</v>
      </c>
      <c r="E3753">
        <v>1440</v>
      </c>
      <c r="F3753">
        <v>1</v>
      </c>
      <c r="G3753">
        <v>1440</v>
      </c>
      <c r="H3753">
        <v>0</v>
      </c>
      <c r="I3753">
        <v>80.393939393939405</v>
      </c>
    </row>
    <row r="3754" spans="1:9" x14ac:dyDescent="0.35">
      <c r="A3754" s="417" t="s">
        <v>846</v>
      </c>
      <c r="B3754" s="417" t="s">
        <v>691</v>
      </c>
      <c r="C3754" s="83">
        <v>46097</v>
      </c>
      <c r="D3754" s="417" t="s">
        <v>309</v>
      </c>
      <c r="E3754">
        <v>1210.6273333333299</v>
      </c>
      <c r="F3754">
        <v>155</v>
      </c>
      <c r="G3754">
        <v>7.8104989247311796</v>
      </c>
      <c r="H3754">
        <v>0</v>
      </c>
      <c r="I3754">
        <v>71.592970865598105</v>
      </c>
    </row>
    <row r="3755" spans="1:9" x14ac:dyDescent="0.35">
      <c r="A3755" s="417" t="s">
        <v>846</v>
      </c>
      <c r="B3755" s="417" t="s">
        <v>691</v>
      </c>
      <c r="C3755" s="83">
        <v>46097</v>
      </c>
      <c r="D3755" s="417" t="s">
        <v>305</v>
      </c>
      <c r="E3755">
        <v>1251.2013999999999</v>
      </c>
      <c r="F3755">
        <v>120</v>
      </c>
      <c r="G3755">
        <v>10.4266783333333</v>
      </c>
      <c r="H3755">
        <v>19.778266666666699</v>
      </c>
      <c r="I3755">
        <v>82.565402529033193</v>
      </c>
    </row>
    <row r="3756" spans="1:9" x14ac:dyDescent="0.35">
      <c r="A3756" s="417" t="s">
        <v>846</v>
      </c>
      <c r="B3756" s="417" t="s">
        <v>691</v>
      </c>
      <c r="C3756" s="83">
        <v>46097</v>
      </c>
      <c r="D3756" s="417" t="s">
        <v>299</v>
      </c>
      <c r="E3756">
        <v>1389.01383333333</v>
      </c>
      <c r="F3756">
        <v>70</v>
      </c>
      <c r="G3756">
        <v>19.843054761904799</v>
      </c>
      <c r="H3756">
        <v>0.99381666666666701</v>
      </c>
      <c r="I3756">
        <v>83.940516103407603</v>
      </c>
    </row>
    <row r="3757" spans="1:9" x14ac:dyDescent="0.35">
      <c r="A3757" s="417" t="s">
        <v>846</v>
      </c>
      <c r="B3757" s="417" t="s">
        <v>691</v>
      </c>
      <c r="C3757" s="83">
        <v>46097</v>
      </c>
      <c r="D3757" s="417" t="s">
        <v>301</v>
      </c>
      <c r="E3757">
        <v>1284.7249833333301</v>
      </c>
      <c r="F3757">
        <v>61</v>
      </c>
      <c r="G3757">
        <v>21.061065300546399</v>
      </c>
      <c r="H3757">
        <v>1.46868333333333</v>
      </c>
      <c r="I3757">
        <v>56.934506610631701</v>
      </c>
    </row>
    <row r="3758" spans="1:9" x14ac:dyDescent="0.35">
      <c r="A3758" s="417" t="s">
        <v>846</v>
      </c>
      <c r="B3758" s="417" t="s">
        <v>691</v>
      </c>
      <c r="C3758" s="83">
        <v>46097</v>
      </c>
      <c r="D3758" s="417" t="s">
        <v>303</v>
      </c>
      <c r="E3758">
        <v>1337.5732333333301</v>
      </c>
      <c r="F3758">
        <v>57</v>
      </c>
      <c r="G3758">
        <v>23.466197076023398</v>
      </c>
      <c r="H3758">
        <v>0.45279999999999998</v>
      </c>
      <c r="I3758">
        <v>58.044001779625397</v>
      </c>
    </row>
    <row r="3759" spans="1:9" x14ac:dyDescent="0.35">
      <c r="A3759" s="417" t="s">
        <v>846</v>
      </c>
      <c r="B3759" s="417" t="s">
        <v>691</v>
      </c>
      <c r="C3759" s="83">
        <v>46097</v>
      </c>
      <c r="D3759" s="417" t="s">
        <v>295</v>
      </c>
      <c r="E3759">
        <v>1388.94446666667</v>
      </c>
      <c r="F3759">
        <v>37</v>
      </c>
      <c r="G3759">
        <v>37.539039639639597</v>
      </c>
      <c r="H3759">
        <v>0.21</v>
      </c>
      <c r="I3759">
        <v>81.465347940159106</v>
      </c>
    </row>
    <row r="3760" spans="1:9" x14ac:dyDescent="0.35">
      <c r="A3760" s="417" t="s">
        <v>846</v>
      </c>
      <c r="B3760" s="417" t="s">
        <v>691</v>
      </c>
      <c r="C3760" s="83">
        <v>46097</v>
      </c>
      <c r="D3760" s="417" t="s">
        <v>310</v>
      </c>
      <c r="E3760">
        <v>1397.7753</v>
      </c>
      <c r="F3760">
        <v>16</v>
      </c>
      <c r="G3760">
        <v>87.360956250000001</v>
      </c>
      <c r="H3760">
        <v>1.2373666666666701</v>
      </c>
      <c r="I3760">
        <v>48.731075000620997</v>
      </c>
    </row>
    <row r="3761" spans="1:9" x14ac:dyDescent="0.35">
      <c r="A3761" s="417" t="s">
        <v>846</v>
      </c>
      <c r="B3761" s="417" t="s">
        <v>691</v>
      </c>
      <c r="C3761" s="83">
        <v>46097</v>
      </c>
      <c r="D3761" s="417" t="s">
        <v>317</v>
      </c>
      <c r="E3761">
        <v>1425.7827</v>
      </c>
      <c r="F3761">
        <v>7</v>
      </c>
      <c r="G3761">
        <v>203.683242857143</v>
      </c>
      <c r="H3761">
        <v>10.431316666666699</v>
      </c>
      <c r="I3761">
        <v>32.404641272068503</v>
      </c>
    </row>
    <row r="3762" spans="1:9" x14ac:dyDescent="0.35">
      <c r="A3762" s="417" t="s">
        <v>846</v>
      </c>
      <c r="B3762" s="417" t="s">
        <v>691</v>
      </c>
      <c r="C3762" s="83">
        <v>46097</v>
      </c>
      <c r="D3762" s="417" t="s">
        <v>314</v>
      </c>
      <c r="E3762">
        <v>1380.8803166666701</v>
      </c>
      <c r="F3762">
        <v>6</v>
      </c>
      <c r="G3762">
        <v>230.14671944444399</v>
      </c>
      <c r="H3762">
        <v>0.127283333333333</v>
      </c>
      <c r="I3762">
        <v>31.687199297061198</v>
      </c>
    </row>
    <row r="3763" spans="1:9" x14ac:dyDescent="0.35">
      <c r="A3763" s="417" t="s">
        <v>846</v>
      </c>
      <c r="B3763" s="417" t="s">
        <v>691</v>
      </c>
      <c r="C3763" s="83">
        <v>46097</v>
      </c>
      <c r="D3763" s="417" t="s">
        <v>313</v>
      </c>
      <c r="E3763">
        <v>1411.4142666666701</v>
      </c>
      <c r="F3763">
        <v>1</v>
      </c>
      <c r="G3763">
        <v>1411.4142666666701</v>
      </c>
      <c r="H3763">
        <v>0</v>
      </c>
      <c r="I3763">
        <v>51.9443523644889</v>
      </c>
    </row>
    <row r="3764" spans="1:9" x14ac:dyDescent="0.35">
      <c r="A3764" s="417" t="s">
        <v>846</v>
      </c>
      <c r="B3764" s="417" t="s">
        <v>691</v>
      </c>
      <c r="C3764" s="83">
        <v>46097</v>
      </c>
      <c r="D3764" s="417" t="s">
        <v>504</v>
      </c>
      <c r="E3764">
        <v>1440</v>
      </c>
      <c r="F3764">
        <v>1</v>
      </c>
      <c r="G3764">
        <v>1440</v>
      </c>
      <c r="H3764">
        <v>0</v>
      </c>
      <c r="I3764">
        <v>59.450925925925901</v>
      </c>
    </row>
    <row r="3765" spans="1:9" x14ac:dyDescent="0.35">
      <c r="A3765" s="417" t="s">
        <v>846</v>
      </c>
      <c r="B3765" s="417" t="s">
        <v>676</v>
      </c>
      <c r="C3765" s="83">
        <v>46096</v>
      </c>
      <c r="D3765" s="417" t="s">
        <v>677</v>
      </c>
      <c r="E3765">
        <v>1267.81285</v>
      </c>
      <c r="F3765">
        <v>172</v>
      </c>
      <c r="G3765">
        <v>7.3710049418604697</v>
      </c>
      <c r="H3765">
        <v>108.179583333333</v>
      </c>
      <c r="I3765">
        <v>26.925277777777801</v>
      </c>
    </row>
    <row r="3766" spans="1:9" x14ac:dyDescent="0.35">
      <c r="A3766" s="417" t="s">
        <v>846</v>
      </c>
      <c r="B3766" s="417" t="s">
        <v>676</v>
      </c>
      <c r="C3766" s="83">
        <v>46096</v>
      </c>
      <c r="D3766" s="417" t="s">
        <v>679</v>
      </c>
      <c r="E3766">
        <v>1224.30753333333</v>
      </c>
      <c r="F3766">
        <v>47</v>
      </c>
      <c r="G3766">
        <v>26.049096453900699</v>
      </c>
      <c r="H3766">
        <v>36.189166666666701</v>
      </c>
      <c r="I3766">
        <v>85.671660361002793</v>
      </c>
    </row>
    <row r="3767" spans="1:9" x14ac:dyDescent="0.35">
      <c r="A3767" s="417" t="s">
        <v>846</v>
      </c>
      <c r="B3767" s="417" t="s">
        <v>680</v>
      </c>
      <c r="C3767" s="83">
        <v>46096</v>
      </c>
      <c r="D3767" s="417" t="s">
        <v>683</v>
      </c>
      <c r="E3767">
        <v>1383.9806000000001</v>
      </c>
      <c r="F3767">
        <v>58</v>
      </c>
      <c r="G3767">
        <v>23.8617344827586</v>
      </c>
      <c r="H3767">
        <v>2.66028333333333</v>
      </c>
      <c r="I3767">
        <v>64.553181957744201</v>
      </c>
    </row>
    <row r="3768" spans="1:9" x14ac:dyDescent="0.35">
      <c r="A3768" s="417" t="s">
        <v>846</v>
      </c>
      <c r="B3768" s="417" t="s">
        <v>680</v>
      </c>
      <c r="C3768" s="83">
        <v>46096</v>
      </c>
      <c r="D3768" s="417" t="s">
        <v>684</v>
      </c>
      <c r="E3768">
        <v>1400.3249499999999</v>
      </c>
      <c r="F3768">
        <v>49</v>
      </c>
      <c r="G3768">
        <v>28.578060204081599</v>
      </c>
      <c r="H3768">
        <v>26.1757833333333</v>
      </c>
      <c r="I3768">
        <v>76.879006527694003</v>
      </c>
    </row>
    <row r="3769" spans="1:9" x14ac:dyDescent="0.35">
      <c r="A3769" s="417" t="s">
        <v>846</v>
      </c>
      <c r="B3769" s="417" t="s">
        <v>680</v>
      </c>
      <c r="C3769" s="83">
        <v>46096</v>
      </c>
      <c r="D3769" s="417" t="s">
        <v>685</v>
      </c>
      <c r="E3769">
        <v>1315.1187500000001</v>
      </c>
      <c r="F3769">
        <v>43</v>
      </c>
      <c r="G3769">
        <v>30.5841569767442</v>
      </c>
      <c r="H3769">
        <v>27.324083333333299</v>
      </c>
      <c r="I3769">
        <v>77.556451838024401</v>
      </c>
    </row>
    <row r="3770" spans="1:9" x14ac:dyDescent="0.35">
      <c r="A3770" s="417" t="s">
        <v>846</v>
      </c>
      <c r="B3770" s="417" t="s">
        <v>680</v>
      </c>
      <c r="C3770" s="83">
        <v>46096</v>
      </c>
      <c r="D3770" s="417" t="s">
        <v>688</v>
      </c>
      <c r="E3770">
        <v>1397.50381666667</v>
      </c>
      <c r="F3770">
        <v>39</v>
      </c>
      <c r="G3770">
        <v>35.833431196581202</v>
      </c>
      <c r="H3770">
        <v>12.3333833333333</v>
      </c>
      <c r="I3770">
        <v>67.408800218315605</v>
      </c>
    </row>
    <row r="3771" spans="1:9" x14ac:dyDescent="0.35">
      <c r="A3771" s="417" t="s">
        <v>846</v>
      </c>
      <c r="B3771" s="417" t="s">
        <v>680</v>
      </c>
      <c r="C3771" s="83">
        <v>46096</v>
      </c>
      <c r="D3771" s="417" t="s">
        <v>689</v>
      </c>
      <c r="E3771">
        <v>1353.0143</v>
      </c>
      <c r="F3771">
        <v>37</v>
      </c>
      <c r="G3771">
        <v>36.567954054054098</v>
      </c>
      <c r="H3771">
        <v>0.325133333333333</v>
      </c>
      <c r="I3771">
        <v>83.100970600049394</v>
      </c>
    </row>
    <row r="3772" spans="1:9" x14ac:dyDescent="0.35">
      <c r="A3772" s="417" t="s">
        <v>846</v>
      </c>
      <c r="B3772" s="417" t="s">
        <v>680</v>
      </c>
      <c r="C3772" s="83">
        <v>46096</v>
      </c>
      <c r="D3772" s="417" t="s">
        <v>681</v>
      </c>
      <c r="E3772">
        <v>1396.0184999999999</v>
      </c>
      <c r="F3772">
        <v>36</v>
      </c>
      <c r="G3772">
        <v>38.778291666666703</v>
      </c>
      <c r="H3772">
        <v>6.3491</v>
      </c>
      <c r="I3772">
        <v>69.041693161723202</v>
      </c>
    </row>
    <row r="3773" spans="1:9" x14ac:dyDescent="0.35">
      <c r="A3773" s="417" t="s">
        <v>846</v>
      </c>
      <c r="B3773" s="417" t="s">
        <v>680</v>
      </c>
      <c r="C3773" s="83">
        <v>46096</v>
      </c>
      <c r="D3773" s="417" t="s">
        <v>690</v>
      </c>
      <c r="E3773">
        <v>1369.6587833333299</v>
      </c>
      <c r="F3773">
        <v>35</v>
      </c>
      <c r="G3773">
        <v>39.1331080952381</v>
      </c>
      <c r="H3773">
        <v>15.1635333333333</v>
      </c>
      <c r="I3773">
        <v>64.216261488191606</v>
      </c>
    </row>
    <row r="3774" spans="1:9" x14ac:dyDescent="0.35">
      <c r="A3774" s="417" t="s">
        <v>846</v>
      </c>
      <c r="B3774" s="417" t="s">
        <v>680</v>
      </c>
      <c r="C3774" s="83">
        <v>46096</v>
      </c>
      <c r="D3774" s="417" t="s">
        <v>682</v>
      </c>
      <c r="E3774">
        <v>1411.0148833333301</v>
      </c>
      <c r="F3774">
        <v>34</v>
      </c>
      <c r="G3774">
        <v>41.500437745097997</v>
      </c>
      <c r="H3774">
        <v>28.985116666666698</v>
      </c>
      <c r="I3774">
        <v>75.181818181818201</v>
      </c>
    </row>
    <row r="3775" spans="1:9" x14ac:dyDescent="0.35">
      <c r="A3775" s="417" t="s">
        <v>846</v>
      </c>
      <c r="B3775" s="417" t="s">
        <v>680</v>
      </c>
      <c r="C3775" s="83">
        <v>46096</v>
      </c>
      <c r="D3775" s="417" t="s">
        <v>687</v>
      </c>
      <c r="E3775">
        <v>1404.85208333333</v>
      </c>
      <c r="F3775">
        <v>8</v>
      </c>
      <c r="G3775">
        <v>175.60651041666699</v>
      </c>
      <c r="H3775">
        <v>8.9854500000000002</v>
      </c>
      <c r="I3775">
        <v>42.015033410206797</v>
      </c>
    </row>
    <row r="3776" spans="1:9" x14ac:dyDescent="0.35">
      <c r="A3776" s="417" t="s">
        <v>846</v>
      </c>
      <c r="B3776" s="417" t="s">
        <v>680</v>
      </c>
      <c r="C3776" s="83">
        <v>46096</v>
      </c>
      <c r="D3776" s="417" t="s">
        <v>686</v>
      </c>
      <c r="E3776">
        <v>1440</v>
      </c>
      <c r="F3776">
        <v>1</v>
      </c>
      <c r="G3776">
        <v>1440</v>
      </c>
      <c r="H3776">
        <v>0</v>
      </c>
      <c r="I3776">
        <v>64.373737373737399</v>
      </c>
    </row>
    <row r="3777" spans="1:9" x14ac:dyDescent="0.35">
      <c r="A3777" s="417" t="s">
        <v>846</v>
      </c>
      <c r="B3777" s="417" t="s">
        <v>691</v>
      </c>
      <c r="C3777" s="83">
        <v>46096</v>
      </c>
      <c r="D3777" s="417" t="s">
        <v>305</v>
      </c>
      <c r="E3777">
        <v>1320.83575</v>
      </c>
      <c r="F3777">
        <v>111</v>
      </c>
      <c r="G3777">
        <v>11.8994211711712</v>
      </c>
      <c r="H3777">
        <v>5.9349333333333298</v>
      </c>
      <c r="I3777">
        <v>71.884913119967507</v>
      </c>
    </row>
    <row r="3778" spans="1:9" x14ac:dyDescent="0.35">
      <c r="A3778" s="417" t="s">
        <v>846</v>
      </c>
      <c r="B3778" s="417" t="s">
        <v>691</v>
      </c>
      <c r="C3778" s="83">
        <v>46096</v>
      </c>
      <c r="D3778" s="417" t="s">
        <v>295</v>
      </c>
      <c r="E3778">
        <v>1339.80486666667</v>
      </c>
      <c r="F3778">
        <v>91</v>
      </c>
      <c r="G3778">
        <v>14.7231304029304</v>
      </c>
      <c r="H3778">
        <v>0.11849999999999999</v>
      </c>
      <c r="I3778">
        <v>64.764557004474597</v>
      </c>
    </row>
    <row r="3779" spans="1:9" x14ac:dyDescent="0.35">
      <c r="A3779" s="417" t="s">
        <v>846</v>
      </c>
      <c r="B3779" s="417" t="s">
        <v>691</v>
      </c>
      <c r="C3779" s="83">
        <v>46096</v>
      </c>
      <c r="D3779" s="417" t="s">
        <v>309</v>
      </c>
      <c r="E3779">
        <v>1290.96648333333</v>
      </c>
      <c r="F3779">
        <v>87</v>
      </c>
      <c r="G3779">
        <v>14.838695210728</v>
      </c>
      <c r="H3779">
        <v>0</v>
      </c>
      <c r="I3779">
        <v>82.859914288710002</v>
      </c>
    </row>
    <row r="3780" spans="1:9" x14ac:dyDescent="0.35">
      <c r="A3780" s="417" t="s">
        <v>846</v>
      </c>
      <c r="B3780" s="417" t="s">
        <v>691</v>
      </c>
      <c r="C3780" s="83">
        <v>46096</v>
      </c>
      <c r="D3780" s="417" t="s">
        <v>299</v>
      </c>
      <c r="E3780">
        <v>1365.6276</v>
      </c>
      <c r="F3780">
        <v>64</v>
      </c>
      <c r="G3780">
        <v>21.33793125</v>
      </c>
      <c r="H3780">
        <v>0.30270000000000002</v>
      </c>
      <c r="I3780">
        <v>73.4732799070147</v>
      </c>
    </row>
    <row r="3781" spans="1:9" x14ac:dyDescent="0.35">
      <c r="A3781" s="417" t="s">
        <v>846</v>
      </c>
      <c r="B3781" s="417" t="s">
        <v>691</v>
      </c>
      <c r="C3781" s="83">
        <v>46096</v>
      </c>
      <c r="D3781" s="417" t="s">
        <v>301</v>
      </c>
      <c r="E3781">
        <v>1354.84926666667</v>
      </c>
      <c r="F3781">
        <v>45</v>
      </c>
      <c r="G3781">
        <v>30.1077614814815</v>
      </c>
      <c r="H3781">
        <v>4.1063000000000001</v>
      </c>
      <c r="I3781">
        <v>50.871046965572098</v>
      </c>
    </row>
    <row r="3782" spans="1:9" x14ac:dyDescent="0.35">
      <c r="A3782" s="417" t="s">
        <v>846</v>
      </c>
      <c r="B3782" s="417" t="s">
        <v>691</v>
      </c>
      <c r="C3782" s="83">
        <v>46096</v>
      </c>
      <c r="D3782" s="417" t="s">
        <v>303</v>
      </c>
      <c r="E3782">
        <v>1373.67163333333</v>
      </c>
      <c r="F3782">
        <v>36</v>
      </c>
      <c r="G3782">
        <v>38.1575453703704</v>
      </c>
      <c r="H3782">
        <v>0.19138333333333299</v>
      </c>
      <c r="I3782">
        <v>47.461910475549701</v>
      </c>
    </row>
    <row r="3783" spans="1:9" x14ac:dyDescent="0.35">
      <c r="A3783" s="417" t="s">
        <v>846</v>
      </c>
      <c r="B3783" s="417" t="s">
        <v>691</v>
      </c>
      <c r="C3783" s="83">
        <v>46096</v>
      </c>
      <c r="D3783" s="417" t="s">
        <v>310</v>
      </c>
      <c r="E3783">
        <v>1375.20243333333</v>
      </c>
      <c r="F3783">
        <v>30</v>
      </c>
      <c r="G3783">
        <v>45.840081111111097</v>
      </c>
      <c r="H3783">
        <v>1.64963333333333</v>
      </c>
      <c r="I3783">
        <v>42.675309744992603</v>
      </c>
    </row>
    <row r="3784" spans="1:9" x14ac:dyDescent="0.35">
      <c r="A3784" s="417" t="s">
        <v>846</v>
      </c>
      <c r="B3784" s="417" t="s">
        <v>691</v>
      </c>
      <c r="C3784" s="83">
        <v>46096</v>
      </c>
      <c r="D3784" s="417" t="s">
        <v>314</v>
      </c>
      <c r="E3784">
        <v>1384.11521666667</v>
      </c>
      <c r="F3784">
        <v>12</v>
      </c>
      <c r="G3784">
        <v>115.342934722222</v>
      </c>
      <c r="H3784">
        <v>5.4004000000000003</v>
      </c>
      <c r="I3784">
        <v>30.4903809193634</v>
      </c>
    </row>
    <row r="3785" spans="1:9" x14ac:dyDescent="0.35">
      <c r="A3785" s="417" t="s">
        <v>846</v>
      </c>
      <c r="B3785" s="417" t="s">
        <v>691</v>
      </c>
      <c r="C3785" s="83">
        <v>46096</v>
      </c>
      <c r="D3785" s="417" t="s">
        <v>313</v>
      </c>
      <c r="E3785">
        <v>1387.31758333333</v>
      </c>
      <c r="F3785">
        <v>9</v>
      </c>
      <c r="G3785">
        <v>154.14639814814799</v>
      </c>
      <c r="H3785">
        <v>8.4933333333333305E-2</v>
      </c>
      <c r="I3785">
        <v>48.186680862251897</v>
      </c>
    </row>
    <row r="3786" spans="1:9" x14ac:dyDescent="0.35">
      <c r="A3786" s="417" t="s">
        <v>846</v>
      </c>
      <c r="B3786" s="417" t="s">
        <v>691</v>
      </c>
      <c r="C3786" s="83">
        <v>46096</v>
      </c>
      <c r="D3786" s="417" t="s">
        <v>317</v>
      </c>
      <c r="E3786">
        <v>1415.61116666667</v>
      </c>
      <c r="F3786">
        <v>4</v>
      </c>
      <c r="G3786">
        <v>353.90279166666699</v>
      </c>
      <c r="H3786">
        <v>1.0825166666666699</v>
      </c>
      <c r="I3786">
        <v>26.817388977269299</v>
      </c>
    </row>
    <row r="3787" spans="1:9" x14ac:dyDescent="0.35">
      <c r="A3787" s="417" t="s">
        <v>846</v>
      </c>
      <c r="B3787" s="417" t="s">
        <v>691</v>
      </c>
      <c r="C3787" s="83">
        <v>46096</v>
      </c>
      <c r="D3787" s="417" t="s">
        <v>504</v>
      </c>
      <c r="E3787">
        <v>1440</v>
      </c>
      <c r="F3787">
        <v>1</v>
      </c>
      <c r="G3787">
        <v>1440</v>
      </c>
      <c r="H3787">
        <v>0</v>
      </c>
      <c r="I3787">
        <v>53.658333333333402</v>
      </c>
    </row>
    <row r="3788" spans="1:9" x14ac:dyDescent="0.35">
      <c r="A3788" s="417" t="s">
        <v>846</v>
      </c>
      <c r="B3788" s="417" t="s">
        <v>676</v>
      </c>
      <c r="C3788" s="83">
        <v>46095</v>
      </c>
      <c r="D3788" s="417" t="s">
        <v>677</v>
      </c>
      <c r="E3788">
        <v>1355.8805</v>
      </c>
      <c r="F3788">
        <v>143</v>
      </c>
      <c r="G3788">
        <v>9.4816818181818405</v>
      </c>
      <c r="H3788">
        <v>84.119500000000002</v>
      </c>
      <c r="I3788">
        <v>13.791111111111</v>
      </c>
    </row>
    <row r="3789" spans="1:9" x14ac:dyDescent="0.35">
      <c r="A3789" s="417" t="s">
        <v>846</v>
      </c>
      <c r="B3789" s="417" t="s">
        <v>676</v>
      </c>
      <c r="C3789" s="83">
        <v>46095</v>
      </c>
      <c r="D3789" s="417" t="s">
        <v>679</v>
      </c>
      <c r="E3789">
        <v>1396.3194166666699</v>
      </c>
      <c r="F3789">
        <v>19</v>
      </c>
      <c r="G3789">
        <v>73.490495614035098</v>
      </c>
      <c r="H3789">
        <v>11.1788333333333</v>
      </c>
      <c r="I3789">
        <v>103.80285256719399</v>
      </c>
    </row>
    <row r="3790" spans="1:9" x14ac:dyDescent="0.35">
      <c r="A3790" s="417" t="s">
        <v>846</v>
      </c>
      <c r="B3790" s="417" t="s">
        <v>680</v>
      </c>
      <c r="C3790" s="83">
        <v>46095</v>
      </c>
      <c r="D3790" s="417" t="s">
        <v>683</v>
      </c>
      <c r="E3790">
        <v>1200.4887333333299</v>
      </c>
      <c r="F3790">
        <v>72</v>
      </c>
      <c r="G3790">
        <v>16.6734546296296</v>
      </c>
      <c r="H3790">
        <v>4.6832166666666701</v>
      </c>
      <c r="I3790">
        <v>65.644644885591802</v>
      </c>
    </row>
    <row r="3791" spans="1:9" x14ac:dyDescent="0.35">
      <c r="A3791" s="417" t="s">
        <v>846</v>
      </c>
      <c r="B3791" s="417" t="s">
        <v>680</v>
      </c>
      <c r="C3791" s="83">
        <v>46095</v>
      </c>
      <c r="D3791" s="417" t="s">
        <v>681</v>
      </c>
      <c r="E3791">
        <v>1401.4213999999999</v>
      </c>
      <c r="F3791">
        <v>71</v>
      </c>
      <c r="G3791">
        <v>19.7383295774648</v>
      </c>
      <c r="H3791">
        <v>1.6666000000000001</v>
      </c>
      <c r="I3791">
        <v>60.744638192680199</v>
      </c>
    </row>
    <row r="3792" spans="1:9" x14ac:dyDescent="0.35">
      <c r="A3792" s="417" t="s">
        <v>846</v>
      </c>
      <c r="B3792" s="417" t="s">
        <v>680</v>
      </c>
      <c r="C3792" s="83">
        <v>46095</v>
      </c>
      <c r="D3792" s="417" t="s">
        <v>689</v>
      </c>
      <c r="E3792">
        <v>1317.7574</v>
      </c>
      <c r="F3792">
        <v>39</v>
      </c>
      <c r="G3792">
        <v>33.788651282051298</v>
      </c>
      <c r="H3792">
        <v>3.69498333333333</v>
      </c>
      <c r="I3792">
        <v>71.342811181581993</v>
      </c>
    </row>
    <row r="3793" spans="1:9" x14ac:dyDescent="0.35">
      <c r="A3793" s="417" t="s">
        <v>846</v>
      </c>
      <c r="B3793" s="417" t="s">
        <v>680</v>
      </c>
      <c r="C3793" s="83">
        <v>46095</v>
      </c>
      <c r="D3793" s="417" t="s">
        <v>688</v>
      </c>
      <c r="E3793">
        <v>1327.9848</v>
      </c>
      <c r="F3793">
        <v>38</v>
      </c>
      <c r="G3793">
        <v>34.946968421052603</v>
      </c>
      <c r="H3793">
        <v>25.355</v>
      </c>
      <c r="I3793">
        <v>59.072687680242097</v>
      </c>
    </row>
    <row r="3794" spans="1:9" x14ac:dyDescent="0.35">
      <c r="A3794" s="417" t="s">
        <v>846</v>
      </c>
      <c r="B3794" s="417" t="s">
        <v>680</v>
      </c>
      <c r="C3794" s="83">
        <v>46095</v>
      </c>
      <c r="D3794" s="417" t="s">
        <v>690</v>
      </c>
      <c r="E3794">
        <v>1385.07643333333</v>
      </c>
      <c r="F3794">
        <v>28</v>
      </c>
      <c r="G3794">
        <v>49.467015476190497</v>
      </c>
      <c r="H3794">
        <v>10.2135</v>
      </c>
      <c r="I3794">
        <v>55.452627587453499</v>
      </c>
    </row>
    <row r="3795" spans="1:9" x14ac:dyDescent="0.35">
      <c r="A3795" s="417" t="s">
        <v>846</v>
      </c>
      <c r="B3795" s="417" t="s">
        <v>680</v>
      </c>
      <c r="C3795" s="83">
        <v>46095</v>
      </c>
      <c r="D3795" s="417" t="s">
        <v>684</v>
      </c>
      <c r="E3795">
        <v>1397.4705833333301</v>
      </c>
      <c r="F3795">
        <v>24</v>
      </c>
      <c r="G3795">
        <v>58.2279409722222</v>
      </c>
      <c r="H3795">
        <v>13.4851166666667</v>
      </c>
      <c r="I3795">
        <v>59.640633429153503</v>
      </c>
    </row>
    <row r="3796" spans="1:9" x14ac:dyDescent="0.35">
      <c r="A3796" s="417" t="s">
        <v>846</v>
      </c>
      <c r="B3796" s="417" t="s">
        <v>680</v>
      </c>
      <c r="C3796" s="83">
        <v>46095</v>
      </c>
      <c r="D3796" s="417" t="s">
        <v>687</v>
      </c>
      <c r="E3796">
        <v>1384.2262000000001</v>
      </c>
      <c r="F3796">
        <v>24</v>
      </c>
      <c r="G3796">
        <v>57.6760916666667</v>
      </c>
      <c r="H3796">
        <v>14.3786666666667</v>
      </c>
      <c r="I3796">
        <v>31.071121511657498</v>
      </c>
    </row>
    <row r="3797" spans="1:9" x14ac:dyDescent="0.35">
      <c r="A3797" s="417" t="s">
        <v>846</v>
      </c>
      <c r="B3797" s="417" t="s">
        <v>680</v>
      </c>
      <c r="C3797" s="83">
        <v>46095</v>
      </c>
      <c r="D3797" s="417" t="s">
        <v>685</v>
      </c>
      <c r="E3797">
        <v>1379.31036666667</v>
      </c>
      <c r="F3797">
        <v>22</v>
      </c>
      <c r="G3797">
        <v>62.6959257575758</v>
      </c>
      <c r="H3797">
        <v>9.0008499999999998</v>
      </c>
      <c r="I3797">
        <v>65.369013689914894</v>
      </c>
    </row>
    <row r="3798" spans="1:9" x14ac:dyDescent="0.35">
      <c r="A3798" s="417" t="s">
        <v>846</v>
      </c>
      <c r="B3798" s="417" t="s">
        <v>680</v>
      </c>
      <c r="C3798" s="83">
        <v>46095</v>
      </c>
      <c r="D3798" s="417" t="s">
        <v>682</v>
      </c>
      <c r="E3798">
        <v>1411.79326666667</v>
      </c>
      <c r="F3798">
        <v>19</v>
      </c>
      <c r="G3798">
        <v>74.304908771929803</v>
      </c>
      <c r="H3798">
        <v>26.815466666666701</v>
      </c>
      <c r="I3798">
        <v>57.7115960477554</v>
      </c>
    </row>
    <row r="3799" spans="1:9" x14ac:dyDescent="0.35">
      <c r="A3799" s="417" t="s">
        <v>846</v>
      </c>
      <c r="B3799" s="417" t="s">
        <v>680</v>
      </c>
      <c r="C3799" s="83">
        <v>46095</v>
      </c>
      <c r="D3799" s="417" t="s">
        <v>686</v>
      </c>
      <c r="E3799">
        <v>1423.4635166666701</v>
      </c>
      <c r="F3799">
        <v>1</v>
      </c>
      <c r="G3799">
        <v>1423.4635166666701</v>
      </c>
      <c r="H3799">
        <v>0</v>
      </c>
      <c r="I3799">
        <v>33.795049751226898</v>
      </c>
    </row>
    <row r="3800" spans="1:9" x14ac:dyDescent="0.35">
      <c r="A3800" s="417" t="s">
        <v>846</v>
      </c>
      <c r="B3800" s="417" t="s">
        <v>691</v>
      </c>
      <c r="C3800" s="83">
        <v>46095</v>
      </c>
      <c r="D3800" s="417" t="s">
        <v>305</v>
      </c>
      <c r="E3800">
        <v>1046.7427333333301</v>
      </c>
      <c r="F3800">
        <v>130</v>
      </c>
      <c r="G3800">
        <v>8.0518671794871803</v>
      </c>
      <c r="H3800">
        <v>1.68615</v>
      </c>
      <c r="I3800">
        <v>43.948287803814502</v>
      </c>
    </row>
    <row r="3801" spans="1:9" x14ac:dyDescent="0.35">
      <c r="A3801" s="417" t="s">
        <v>846</v>
      </c>
      <c r="B3801" s="417" t="s">
        <v>691</v>
      </c>
      <c r="C3801" s="83">
        <v>46095</v>
      </c>
      <c r="D3801" s="417" t="s">
        <v>299</v>
      </c>
      <c r="E3801">
        <v>1006.33681666667</v>
      </c>
      <c r="F3801">
        <v>77</v>
      </c>
      <c r="G3801">
        <v>13.069309307359299</v>
      </c>
      <c r="H3801">
        <v>5.0380000000000003</v>
      </c>
      <c r="I3801">
        <v>72.011069253560194</v>
      </c>
    </row>
    <row r="3802" spans="1:9" x14ac:dyDescent="0.35">
      <c r="A3802" s="417" t="s">
        <v>846</v>
      </c>
      <c r="B3802" s="417" t="s">
        <v>691</v>
      </c>
      <c r="C3802" s="83">
        <v>46095</v>
      </c>
      <c r="D3802" s="417" t="s">
        <v>309</v>
      </c>
      <c r="E3802">
        <v>1003.56886666667</v>
      </c>
      <c r="F3802">
        <v>71</v>
      </c>
      <c r="G3802">
        <v>14.1347727699531</v>
      </c>
      <c r="H3802">
        <v>4.24E-2</v>
      </c>
      <c r="I3802">
        <v>56.296145016630803</v>
      </c>
    </row>
    <row r="3803" spans="1:9" x14ac:dyDescent="0.35">
      <c r="A3803" s="417" t="s">
        <v>846</v>
      </c>
      <c r="B3803" s="417" t="s">
        <v>691</v>
      </c>
      <c r="C3803" s="83">
        <v>46095</v>
      </c>
      <c r="D3803" s="417" t="s">
        <v>295</v>
      </c>
      <c r="E3803">
        <v>1017.3574</v>
      </c>
      <c r="F3803">
        <v>65</v>
      </c>
      <c r="G3803">
        <v>15.6516523076923</v>
      </c>
      <c r="H3803">
        <v>0.69320000000000004</v>
      </c>
      <c r="I3803">
        <v>60.151812870261203</v>
      </c>
    </row>
    <row r="3804" spans="1:9" x14ac:dyDescent="0.35">
      <c r="A3804" s="417" t="s">
        <v>846</v>
      </c>
      <c r="B3804" s="417" t="s">
        <v>691</v>
      </c>
      <c r="C3804" s="83">
        <v>46095</v>
      </c>
      <c r="D3804" s="417" t="s">
        <v>301</v>
      </c>
      <c r="E3804">
        <v>1020.98218333333</v>
      </c>
      <c r="F3804">
        <v>47</v>
      </c>
      <c r="G3804">
        <v>21.723025177305001</v>
      </c>
      <c r="H3804">
        <v>1.0193333333333301</v>
      </c>
      <c r="I3804">
        <v>48.292048289128402</v>
      </c>
    </row>
    <row r="3805" spans="1:9" x14ac:dyDescent="0.35">
      <c r="A3805" s="417" t="s">
        <v>846</v>
      </c>
      <c r="B3805" s="417" t="s">
        <v>691</v>
      </c>
      <c r="C3805" s="83">
        <v>46095</v>
      </c>
      <c r="D3805" s="417" t="s">
        <v>303</v>
      </c>
      <c r="E3805">
        <v>1033.68593333333</v>
      </c>
      <c r="F3805">
        <v>33</v>
      </c>
      <c r="G3805">
        <v>31.3238161616162</v>
      </c>
      <c r="H3805">
        <v>0.59551666666666703</v>
      </c>
      <c r="I3805">
        <v>53.686906473458301</v>
      </c>
    </row>
    <row r="3806" spans="1:9" x14ac:dyDescent="0.35">
      <c r="A3806" s="417" t="s">
        <v>846</v>
      </c>
      <c r="B3806" s="417" t="s">
        <v>691</v>
      </c>
      <c r="C3806" s="83">
        <v>46095</v>
      </c>
      <c r="D3806" s="417" t="s">
        <v>342</v>
      </c>
      <c r="E3806">
        <v>820.46870000000001</v>
      </c>
      <c r="F3806">
        <v>17</v>
      </c>
      <c r="G3806">
        <v>48.2628647058824</v>
      </c>
      <c r="H3806">
        <v>19.531300000000002</v>
      </c>
      <c r="I3806">
        <v>35.8333333333333</v>
      </c>
    </row>
    <row r="3807" spans="1:9" x14ac:dyDescent="0.35">
      <c r="A3807" s="417" t="s">
        <v>846</v>
      </c>
      <c r="B3807" s="417" t="s">
        <v>691</v>
      </c>
      <c r="C3807" s="83">
        <v>46095</v>
      </c>
      <c r="D3807" s="417" t="s">
        <v>313</v>
      </c>
      <c r="E3807">
        <v>1386.3095333333299</v>
      </c>
      <c r="F3807">
        <v>12</v>
      </c>
      <c r="G3807">
        <v>115.525794444444</v>
      </c>
      <c r="H3807">
        <v>0</v>
      </c>
      <c r="I3807">
        <v>48.560349668456197</v>
      </c>
    </row>
    <row r="3808" spans="1:9" x14ac:dyDescent="0.35">
      <c r="A3808" s="417" t="s">
        <v>846</v>
      </c>
      <c r="B3808" s="417" t="s">
        <v>691</v>
      </c>
      <c r="C3808" s="83">
        <v>46095</v>
      </c>
      <c r="D3808" s="417" t="s">
        <v>310</v>
      </c>
      <c r="E3808">
        <v>1415.33016666667</v>
      </c>
      <c r="F3808">
        <v>9</v>
      </c>
      <c r="G3808">
        <v>157.25890740740701</v>
      </c>
      <c r="H3808">
        <v>0.71918333333333295</v>
      </c>
      <c r="I3808">
        <v>52.525561775883098</v>
      </c>
    </row>
    <row r="3809" spans="1:9" x14ac:dyDescent="0.35">
      <c r="A3809" s="417" t="s">
        <v>846</v>
      </c>
      <c r="B3809" s="417" t="s">
        <v>691</v>
      </c>
      <c r="C3809" s="83">
        <v>46095</v>
      </c>
      <c r="D3809" s="417" t="s">
        <v>317</v>
      </c>
      <c r="E3809">
        <v>1438.8896</v>
      </c>
      <c r="F3809">
        <v>3</v>
      </c>
      <c r="G3809">
        <v>479.629866666667</v>
      </c>
      <c r="H3809">
        <v>0.68643333333333301</v>
      </c>
      <c r="I3809">
        <v>36.795555617405</v>
      </c>
    </row>
    <row r="3810" spans="1:9" x14ac:dyDescent="0.35">
      <c r="A3810" s="417" t="s">
        <v>846</v>
      </c>
      <c r="B3810" s="417" t="s">
        <v>691</v>
      </c>
      <c r="C3810" s="83">
        <v>46095</v>
      </c>
      <c r="D3810" s="417" t="s">
        <v>504</v>
      </c>
      <c r="E3810">
        <v>1440</v>
      </c>
      <c r="F3810">
        <v>1</v>
      </c>
      <c r="G3810">
        <v>1440</v>
      </c>
      <c r="H3810">
        <v>0</v>
      </c>
      <c r="I3810">
        <v>353.86234567901198</v>
      </c>
    </row>
    <row r="3811" spans="1:9" x14ac:dyDescent="0.35">
      <c r="A3811" s="417" t="s">
        <v>846</v>
      </c>
      <c r="B3811" s="417" t="s">
        <v>691</v>
      </c>
      <c r="C3811" s="83">
        <v>46095</v>
      </c>
      <c r="D3811" s="417" t="s">
        <v>314</v>
      </c>
      <c r="E3811">
        <v>1427.5850333333301</v>
      </c>
      <c r="F3811">
        <v>1</v>
      </c>
      <c r="G3811">
        <v>1427.5850333333301</v>
      </c>
      <c r="H3811">
        <v>0</v>
      </c>
      <c r="I3811">
        <v>31.2871030145992</v>
      </c>
    </row>
    <row r="3812" spans="1:9" x14ac:dyDescent="0.35">
      <c r="A3812" s="417" t="s">
        <v>846</v>
      </c>
      <c r="B3812" s="417" t="s">
        <v>676</v>
      </c>
      <c r="C3812" s="83">
        <v>46094</v>
      </c>
      <c r="D3812" s="417" t="s">
        <v>677</v>
      </c>
      <c r="E3812">
        <v>1376.33001666667</v>
      </c>
      <c r="F3812">
        <v>132</v>
      </c>
      <c r="G3812">
        <v>10.4267425505051</v>
      </c>
      <c r="H3812">
        <v>63.669983333333299</v>
      </c>
      <c r="I3812">
        <v>17.2702777777777</v>
      </c>
    </row>
    <row r="3813" spans="1:9" x14ac:dyDescent="0.35">
      <c r="A3813" s="417" t="s">
        <v>846</v>
      </c>
      <c r="B3813" s="417" t="s">
        <v>676</v>
      </c>
      <c r="C3813" s="83">
        <v>46094</v>
      </c>
      <c r="D3813" s="417" t="s">
        <v>679</v>
      </c>
      <c r="E3813">
        <v>1324.1374333333299</v>
      </c>
      <c r="F3813">
        <v>35</v>
      </c>
      <c r="G3813">
        <v>37.832498095238101</v>
      </c>
      <c r="H3813">
        <v>39.3312666666667</v>
      </c>
      <c r="I3813">
        <v>100.12068060990001</v>
      </c>
    </row>
    <row r="3814" spans="1:9" x14ac:dyDescent="0.35">
      <c r="A3814" s="417" t="s">
        <v>846</v>
      </c>
      <c r="B3814" s="417" t="s">
        <v>680</v>
      </c>
      <c r="C3814" s="83">
        <v>46094</v>
      </c>
      <c r="D3814" s="417" t="s">
        <v>681</v>
      </c>
      <c r="E3814">
        <v>1373.10463333333</v>
      </c>
      <c r="F3814">
        <v>119</v>
      </c>
      <c r="G3814">
        <v>11.5386943977591</v>
      </c>
      <c r="H3814">
        <v>1.34916666666667</v>
      </c>
      <c r="I3814">
        <v>74.085851475325001</v>
      </c>
    </row>
    <row r="3815" spans="1:9" x14ac:dyDescent="0.35">
      <c r="A3815" s="417" t="s">
        <v>846</v>
      </c>
      <c r="B3815" s="417" t="s">
        <v>680</v>
      </c>
      <c r="C3815" s="83">
        <v>46094</v>
      </c>
      <c r="D3815" s="417" t="s">
        <v>682</v>
      </c>
      <c r="E3815">
        <v>1389.2815333333299</v>
      </c>
      <c r="F3815">
        <v>53</v>
      </c>
      <c r="G3815">
        <v>26.212859119496901</v>
      </c>
      <c r="H3815">
        <v>50.7184666666667</v>
      </c>
      <c r="I3815">
        <v>74.325396825396794</v>
      </c>
    </row>
    <row r="3816" spans="1:9" x14ac:dyDescent="0.35">
      <c r="A3816" s="417" t="s">
        <v>846</v>
      </c>
      <c r="B3816" s="417" t="s">
        <v>680</v>
      </c>
      <c r="C3816" s="83">
        <v>46094</v>
      </c>
      <c r="D3816" s="417" t="s">
        <v>684</v>
      </c>
      <c r="E3816">
        <v>1416.8374166666699</v>
      </c>
      <c r="F3816">
        <v>41</v>
      </c>
      <c r="G3816">
        <v>34.5570101626016</v>
      </c>
      <c r="H3816">
        <v>17.986266666666701</v>
      </c>
      <c r="I3816">
        <v>77.362854030009402</v>
      </c>
    </row>
    <row r="3817" spans="1:9" x14ac:dyDescent="0.35">
      <c r="A3817" s="417" t="s">
        <v>846</v>
      </c>
      <c r="B3817" s="417" t="s">
        <v>680</v>
      </c>
      <c r="C3817" s="83">
        <v>46094</v>
      </c>
      <c r="D3817" s="417" t="s">
        <v>683</v>
      </c>
      <c r="E3817">
        <v>1393.7001166666701</v>
      </c>
      <c r="F3817">
        <v>41</v>
      </c>
      <c r="G3817">
        <v>33.992685772357703</v>
      </c>
      <c r="H3817">
        <v>6.1533333333333298</v>
      </c>
      <c r="I3817">
        <v>79.928221469339405</v>
      </c>
    </row>
    <row r="3818" spans="1:9" x14ac:dyDescent="0.35">
      <c r="A3818" s="417" t="s">
        <v>846</v>
      </c>
      <c r="B3818" s="417" t="s">
        <v>680</v>
      </c>
      <c r="C3818" s="83">
        <v>46094</v>
      </c>
      <c r="D3818" s="417" t="s">
        <v>688</v>
      </c>
      <c r="E3818">
        <v>1409.20153333333</v>
      </c>
      <c r="F3818">
        <v>23</v>
      </c>
      <c r="G3818">
        <v>61.269631884058001</v>
      </c>
      <c r="H3818">
        <v>11.1637</v>
      </c>
      <c r="I3818">
        <v>72.894361427682995</v>
      </c>
    </row>
    <row r="3819" spans="1:9" x14ac:dyDescent="0.35">
      <c r="A3819" s="417" t="s">
        <v>846</v>
      </c>
      <c r="B3819" s="417" t="s">
        <v>680</v>
      </c>
      <c r="C3819" s="83">
        <v>46094</v>
      </c>
      <c r="D3819" s="417" t="s">
        <v>690</v>
      </c>
      <c r="E3819">
        <v>1423.34195</v>
      </c>
      <c r="F3819">
        <v>21</v>
      </c>
      <c r="G3819">
        <v>67.778188095238093</v>
      </c>
      <c r="H3819">
        <v>5.6727333333333299</v>
      </c>
      <c r="I3819">
        <v>78.116577062808702</v>
      </c>
    </row>
    <row r="3820" spans="1:9" x14ac:dyDescent="0.35">
      <c r="A3820" s="417" t="s">
        <v>846</v>
      </c>
      <c r="B3820" s="417" t="s">
        <v>680</v>
      </c>
      <c r="C3820" s="83">
        <v>46094</v>
      </c>
      <c r="D3820" s="417" t="s">
        <v>689</v>
      </c>
      <c r="E3820">
        <v>1414.1579833333301</v>
      </c>
      <c r="F3820">
        <v>17</v>
      </c>
      <c r="G3820">
        <v>83.185763725490204</v>
      </c>
      <c r="H3820">
        <v>1.6760999999999999</v>
      </c>
      <c r="I3820">
        <v>92.6698938202493</v>
      </c>
    </row>
    <row r="3821" spans="1:9" x14ac:dyDescent="0.35">
      <c r="A3821" s="417" t="s">
        <v>846</v>
      </c>
      <c r="B3821" s="417" t="s">
        <v>680</v>
      </c>
      <c r="C3821" s="83">
        <v>46094</v>
      </c>
      <c r="D3821" s="417" t="s">
        <v>687</v>
      </c>
      <c r="E3821">
        <v>1422.15323333333</v>
      </c>
      <c r="F3821">
        <v>14</v>
      </c>
      <c r="G3821">
        <v>101.582373809524</v>
      </c>
      <c r="H3821">
        <v>12.673349999999999</v>
      </c>
      <c r="I3821">
        <v>38.588351537204403</v>
      </c>
    </row>
    <row r="3822" spans="1:9" x14ac:dyDescent="0.35">
      <c r="A3822" s="417" t="s">
        <v>846</v>
      </c>
      <c r="B3822" s="417" t="s">
        <v>680</v>
      </c>
      <c r="C3822" s="83">
        <v>46094</v>
      </c>
      <c r="D3822" s="417" t="s">
        <v>685</v>
      </c>
      <c r="E3822">
        <v>1421.81541666667</v>
      </c>
      <c r="F3822">
        <v>9</v>
      </c>
      <c r="G3822">
        <v>157.979490740741</v>
      </c>
      <c r="H3822">
        <v>3.3350166666666698</v>
      </c>
      <c r="I3822">
        <v>89.866695971043399</v>
      </c>
    </row>
    <row r="3823" spans="1:9" x14ac:dyDescent="0.35">
      <c r="A3823" s="417" t="s">
        <v>846</v>
      </c>
      <c r="B3823" s="417" t="s">
        <v>680</v>
      </c>
      <c r="C3823" s="83">
        <v>46094</v>
      </c>
      <c r="D3823" s="417" t="s">
        <v>686</v>
      </c>
      <c r="E3823">
        <v>1440</v>
      </c>
      <c r="F3823">
        <v>1</v>
      </c>
      <c r="G3823">
        <v>1440</v>
      </c>
      <c r="H3823">
        <v>0</v>
      </c>
      <c r="I3823">
        <v>32.628968253968303</v>
      </c>
    </row>
    <row r="3824" spans="1:9" x14ac:dyDescent="0.35">
      <c r="A3824" s="417" t="s">
        <v>846</v>
      </c>
      <c r="B3824" s="417" t="s">
        <v>691</v>
      </c>
      <c r="C3824" s="83">
        <v>46094</v>
      </c>
      <c r="D3824" s="417" t="s">
        <v>305</v>
      </c>
      <c r="E3824">
        <v>1301.56968333333</v>
      </c>
      <c r="F3824">
        <v>172</v>
      </c>
      <c r="G3824">
        <v>7.5672656007751904</v>
      </c>
      <c r="H3824">
        <v>10.298249999999999</v>
      </c>
      <c r="I3824">
        <v>55.612019491538902</v>
      </c>
    </row>
    <row r="3825" spans="1:9" x14ac:dyDescent="0.35">
      <c r="A3825" s="417" t="s">
        <v>846</v>
      </c>
      <c r="B3825" s="417" t="s">
        <v>691</v>
      </c>
      <c r="C3825" s="83">
        <v>46094</v>
      </c>
      <c r="D3825" s="417" t="s">
        <v>309</v>
      </c>
      <c r="E3825">
        <v>1321.7328333333301</v>
      </c>
      <c r="F3825">
        <v>115</v>
      </c>
      <c r="G3825">
        <v>11.493328985507199</v>
      </c>
      <c r="H3825">
        <v>0</v>
      </c>
      <c r="I3825">
        <v>56.8193120136104</v>
      </c>
    </row>
    <row r="3826" spans="1:9" x14ac:dyDescent="0.35">
      <c r="A3826" s="417" t="s">
        <v>846</v>
      </c>
      <c r="B3826" s="417" t="s">
        <v>691</v>
      </c>
      <c r="C3826" s="83">
        <v>46094</v>
      </c>
      <c r="D3826" s="417" t="s">
        <v>299</v>
      </c>
      <c r="E3826">
        <v>1372.75988333333</v>
      </c>
      <c r="F3826">
        <v>88</v>
      </c>
      <c r="G3826">
        <v>15.599544128787899</v>
      </c>
      <c r="H3826">
        <v>1.1509499999999999</v>
      </c>
      <c r="I3826">
        <v>76.067683215528604</v>
      </c>
    </row>
    <row r="3827" spans="1:9" x14ac:dyDescent="0.35">
      <c r="A3827" s="417" t="s">
        <v>846</v>
      </c>
      <c r="B3827" s="417" t="s">
        <v>691</v>
      </c>
      <c r="C3827" s="83">
        <v>46094</v>
      </c>
      <c r="D3827" s="417" t="s">
        <v>295</v>
      </c>
      <c r="E3827">
        <v>1364.7782</v>
      </c>
      <c r="F3827">
        <v>68</v>
      </c>
      <c r="G3827">
        <v>20.070267647058799</v>
      </c>
      <c r="H3827">
        <v>2.7903333333333298</v>
      </c>
      <c r="I3827">
        <v>75.971244860303798</v>
      </c>
    </row>
    <row r="3828" spans="1:9" x14ac:dyDescent="0.35">
      <c r="A3828" s="417" t="s">
        <v>846</v>
      </c>
      <c r="B3828" s="417" t="s">
        <v>691</v>
      </c>
      <c r="C3828" s="83">
        <v>46094</v>
      </c>
      <c r="D3828" s="417" t="s">
        <v>313</v>
      </c>
      <c r="E3828">
        <v>1340.5453666666699</v>
      </c>
      <c r="F3828">
        <v>45</v>
      </c>
      <c r="G3828">
        <v>29.789897037037001</v>
      </c>
      <c r="H3828">
        <v>2.3550000000000001E-2</v>
      </c>
      <c r="I3828">
        <v>74.956064755512202</v>
      </c>
    </row>
    <row r="3829" spans="1:9" x14ac:dyDescent="0.35">
      <c r="A3829" s="417" t="s">
        <v>846</v>
      </c>
      <c r="B3829" s="417" t="s">
        <v>691</v>
      </c>
      <c r="C3829" s="83">
        <v>46094</v>
      </c>
      <c r="D3829" s="417" t="s">
        <v>301</v>
      </c>
      <c r="E3829">
        <v>1341.60298333333</v>
      </c>
      <c r="F3829">
        <v>45</v>
      </c>
      <c r="G3829">
        <v>29.8133996296296</v>
      </c>
      <c r="H3829">
        <v>8.4596999999999998</v>
      </c>
      <c r="I3829">
        <v>55.349980128642997</v>
      </c>
    </row>
    <row r="3830" spans="1:9" x14ac:dyDescent="0.35">
      <c r="A3830" s="417" t="s">
        <v>846</v>
      </c>
      <c r="B3830" s="417" t="s">
        <v>691</v>
      </c>
      <c r="C3830" s="83">
        <v>46094</v>
      </c>
      <c r="D3830" s="417" t="s">
        <v>303</v>
      </c>
      <c r="E3830">
        <v>1372.1872166666701</v>
      </c>
      <c r="F3830">
        <v>37</v>
      </c>
      <c r="G3830">
        <v>37.086140990990998</v>
      </c>
      <c r="H3830">
        <v>0.18103333333333299</v>
      </c>
      <c r="I3830">
        <v>49.922570749250198</v>
      </c>
    </row>
    <row r="3831" spans="1:9" x14ac:dyDescent="0.35">
      <c r="A3831" s="417" t="s">
        <v>846</v>
      </c>
      <c r="B3831" s="417" t="s">
        <v>691</v>
      </c>
      <c r="C3831" s="83">
        <v>46094</v>
      </c>
      <c r="D3831" s="417" t="s">
        <v>342</v>
      </c>
      <c r="E3831">
        <v>1398.1507833333301</v>
      </c>
      <c r="F3831">
        <v>24</v>
      </c>
      <c r="G3831">
        <v>58.256282638888898</v>
      </c>
      <c r="H3831">
        <v>41.849216666666699</v>
      </c>
      <c r="I3831">
        <v>67.440476190476303</v>
      </c>
    </row>
    <row r="3832" spans="1:9" x14ac:dyDescent="0.35">
      <c r="A3832" s="417" t="s">
        <v>846</v>
      </c>
      <c r="B3832" s="417" t="s">
        <v>691</v>
      </c>
      <c r="C3832" s="83">
        <v>46094</v>
      </c>
      <c r="D3832" s="417" t="s">
        <v>310</v>
      </c>
      <c r="E3832">
        <v>1419.89341666667</v>
      </c>
      <c r="F3832">
        <v>8</v>
      </c>
      <c r="G3832">
        <v>177.48667708333301</v>
      </c>
      <c r="H3832">
        <v>0</v>
      </c>
      <c r="I3832">
        <v>77.778335961822407</v>
      </c>
    </row>
    <row r="3833" spans="1:9" x14ac:dyDescent="0.35">
      <c r="A3833" s="417" t="s">
        <v>846</v>
      </c>
      <c r="B3833" s="417" t="s">
        <v>691</v>
      </c>
      <c r="C3833" s="83">
        <v>46094</v>
      </c>
      <c r="D3833" s="417" t="s">
        <v>314</v>
      </c>
      <c r="E3833">
        <v>1400.3289666666701</v>
      </c>
      <c r="F3833">
        <v>8</v>
      </c>
      <c r="G3833">
        <v>175.041120833333</v>
      </c>
      <c r="H3833">
        <v>1.7158166666666701</v>
      </c>
      <c r="I3833">
        <v>52.102960739990699</v>
      </c>
    </row>
    <row r="3834" spans="1:9" x14ac:dyDescent="0.35">
      <c r="A3834" s="417" t="s">
        <v>846</v>
      </c>
      <c r="B3834" s="417" t="s">
        <v>691</v>
      </c>
      <c r="C3834" s="83">
        <v>46094</v>
      </c>
      <c r="D3834" s="417" t="s">
        <v>317</v>
      </c>
      <c r="E3834">
        <v>1439.09466666667</v>
      </c>
      <c r="F3834">
        <v>2</v>
      </c>
      <c r="G3834">
        <v>719.54733333333297</v>
      </c>
      <c r="H3834">
        <v>0.90533333333333299</v>
      </c>
      <c r="I3834">
        <v>37.5659722222222</v>
      </c>
    </row>
    <row r="3835" spans="1:9" x14ac:dyDescent="0.35">
      <c r="A3835" s="417" t="s">
        <v>846</v>
      </c>
      <c r="B3835" s="417" t="s">
        <v>691</v>
      </c>
      <c r="C3835" s="83">
        <v>46094</v>
      </c>
      <c r="D3835" s="417" t="s">
        <v>504</v>
      </c>
      <c r="E3835">
        <v>1440</v>
      </c>
      <c r="F3835">
        <v>1</v>
      </c>
      <c r="G3835">
        <v>1440</v>
      </c>
      <c r="H3835">
        <v>0</v>
      </c>
      <c r="I3835">
        <v>29.4115740740741</v>
      </c>
    </row>
    <row r="3836" spans="1:9" x14ac:dyDescent="0.35">
      <c r="A3836" s="417" t="s">
        <v>846</v>
      </c>
      <c r="B3836" s="417" t="s">
        <v>676</v>
      </c>
      <c r="C3836" s="83">
        <v>46093</v>
      </c>
      <c r="D3836" s="417" t="s">
        <v>677</v>
      </c>
      <c r="E3836">
        <v>1333.0705333333301</v>
      </c>
      <c r="F3836">
        <v>190</v>
      </c>
      <c r="G3836">
        <v>7.0161607017543899</v>
      </c>
      <c r="H3836">
        <v>106.929466666667</v>
      </c>
      <c r="I3836">
        <v>18.8602777777777</v>
      </c>
    </row>
    <row r="3837" spans="1:9" x14ac:dyDescent="0.35">
      <c r="A3837" s="417" t="s">
        <v>846</v>
      </c>
      <c r="B3837" s="417" t="s">
        <v>676</v>
      </c>
      <c r="C3837" s="83">
        <v>46093</v>
      </c>
      <c r="D3837" s="417" t="s">
        <v>679</v>
      </c>
      <c r="E3837">
        <v>1362.1161833333299</v>
      </c>
      <c r="F3837">
        <v>40</v>
      </c>
      <c r="G3837">
        <v>34.052904583333302</v>
      </c>
      <c r="H3837">
        <v>24.517800000000001</v>
      </c>
      <c r="I3837">
        <v>97.228974351186295</v>
      </c>
    </row>
    <row r="3838" spans="1:9" x14ac:dyDescent="0.35">
      <c r="A3838" s="417" t="s">
        <v>846</v>
      </c>
      <c r="B3838" s="417" t="s">
        <v>680</v>
      </c>
      <c r="C3838" s="83">
        <v>46093</v>
      </c>
      <c r="D3838" s="417" t="s">
        <v>681</v>
      </c>
      <c r="E3838">
        <v>1375.65398333333</v>
      </c>
      <c r="F3838">
        <v>148</v>
      </c>
      <c r="G3838">
        <v>9.2949593468468503</v>
      </c>
      <c r="H3838">
        <v>1.3331</v>
      </c>
      <c r="I3838">
        <v>73.776326225771598</v>
      </c>
    </row>
    <row r="3839" spans="1:9" x14ac:dyDescent="0.35">
      <c r="A3839" s="417" t="s">
        <v>846</v>
      </c>
      <c r="B3839" s="417" t="s">
        <v>680</v>
      </c>
      <c r="C3839" s="83">
        <v>46093</v>
      </c>
      <c r="D3839" s="417" t="s">
        <v>682</v>
      </c>
      <c r="E3839">
        <v>1337.17591666667</v>
      </c>
      <c r="F3839">
        <v>80</v>
      </c>
      <c r="G3839">
        <v>16.714698958333301</v>
      </c>
      <c r="H3839">
        <v>89.4904333333333</v>
      </c>
      <c r="I3839">
        <v>58.635912698412703</v>
      </c>
    </row>
    <row r="3840" spans="1:9" x14ac:dyDescent="0.35">
      <c r="A3840" s="417" t="s">
        <v>846</v>
      </c>
      <c r="B3840" s="417" t="s">
        <v>680</v>
      </c>
      <c r="C3840" s="83">
        <v>46093</v>
      </c>
      <c r="D3840" s="417" t="s">
        <v>690</v>
      </c>
      <c r="E3840">
        <v>1348.9140500000001</v>
      </c>
      <c r="F3840">
        <v>58</v>
      </c>
      <c r="G3840">
        <v>23.257138793103401</v>
      </c>
      <c r="H3840">
        <v>31.501483333333301</v>
      </c>
      <c r="I3840">
        <v>63.890321115285403</v>
      </c>
    </row>
    <row r="3841" spans="1:9" x14ac:dyDescent="0.35">
      <c r="A3841" s="417" t="s">
        <v>846</v>
      </c>
      <c r="B3841" s="417" t="s">
        <v>680</v>
      </c>
      <c r="C3841" s="83">
        <v>46093</v>
      </c>
      <c r="D3841" s="417" t="s">
        <v>684</v>
      </c>
      <c r="E3841">
        <v>1412.1829499999999</v>
      </c>
      <c r="F3841">
        <v>50</v>
      </c>
      <c r="G3841">
        <v>28.243659000000001</v>
      </c>
      <c r="H3841">
        <v>12.811833333333301</v>
      </c>
      <c r="I3841">
        <v>66.164970279977993</v>
      </c>
    </row>
    <row r="3842" spans="1:9" x14ac:dyDescent="0.35">
      <c r="A3842" s="417" t="s">
        <v>846</v>
      </c>
      <c r="B3842" s="417" t="s">
        <v>680</v>
      </c>
      <c r="C3842" s="83">
        <v>46093</v>
      </c>
      <c r="D3842" s="417" t="s">
        <v>688</v>
      </c>
      <c r="E3842">
        <v>1388.6282000000001</v>
      </c>
      <c r="F3842">
        <v>39</v>
      </c>
      <c r="G3842">
        <v>35.605851282051297</v>
      </c>
      <c r="H3842">
        <v>17.342833333333299</v>
      </c>
      <c r="I3842">
        <v>72.811462653551999</v>
      </c>
    </row>
    <row r="3843" spans="1:9" x14ac:dyDescent="0.35">
      <c r="A3843" s="417" t="s">
        <v>846</v>
      </c>
      <c r="B3843" s="417" t="s">
        <v>680</v>
      </c>
      <c r="C3843" s="83">
        <v>46093</v>
      </c>
      <c r="D3843" s="417" t="s">
        <v>683</v>
      </c>
      <c r="E3843">
        <v>1379.9137333333299</v>
      </c>
      <c r="F3843">
        <v>31</v>
      </c>
      <c r="G3843">
        <v>44.513346236559101</v>
      </c>
      <c r="H3843">
        <v>1.68415</v>
      </c>
      <c r="I3843">
        <v>69.593785303185399</v>
      </c>
    </row>
    <row r="3844" spans="1:9" x14ac:dyDescent="0.35">
      <c r="A3844" s="417" t="s">
        <v>846</v>
      </c>
      <c r="B3844" s="417" t="s">
        <v>680</v>
      </c>
      <c r="C3844" s="83">
        <v>46093</v>
      </c>
      <c r="D3844" s="417" t="s">
        <v>685</v>
      </c>
      <c r="E3844">
        <v>1404.19445</v>
      </c>
      <c r="F3844">
        <v>24</v>
      </c>
      <c r="G3844">
        <v>58.508102083333299</v>
      </c>
      <c r="H3844">
        <v>1.99325</v>
      </c>
      <c r="I3844">
        <v>87.840779713962405</v>
      </c>
    </row>
    <row r="3845" spans="1:9" x14ac:dyDescent="0.35">
      <c r="A3845" s="417" t="s">
        <v>846</v>
      </c>
      <c r="B3845" s="417" t="s">
        <v>680</v>
      </c>
      <c r="C3845" s="83">
        <v>46093</v>
      </c>
      <c r="D3845" s="417" t="s">
        <v>687</v>
      </c>
      <c r="E3845">
        <v>1396.0210666666701</v>
      </c>
      <c r="F3845">
        <v>22</v>
      </c>
      <c r="G3845">
        <v>63.455503030302999</v>
      </c>
      <c r="H3845">
        <v>39.16225</v>
      </c>
      <c r="I3845">
        <v>44.406601593332098</v>
      </c>
    </row>
    <row r="3846" spans="1:9" x14ac:dyDescent="0.35">
      <c r="A3846" s="417" t="s">
        <v>846</v>
      </c>
      <c r="B3846" s="417" t="s">
        <v>680</v>
      </c>
      <c r="C3846" s="83">
        <v>46093</v>
      </c>
      <c r="D3846" s="417" t="s">
        <v>689</v>
      </c>
      <c r="E3846">
        <v>1413.9697000000001</v>
      </c>
      <c r="F3846">
        <v>20</v>
      </c>
      <c r="G3846">
        <v>70.698485000000005</v>
      </c>
      <c r="H3846">
        <v>1.1749000000000001</v>
      </c>
      <c r="I3846">
        <v>89.835007493589501</v>
      </c>
    </row>
    <row r="3847" spans="1:9" x14ac:dyDescent="0.35">
      <c r="A3847" s="417" t="s">
        <v>846</v>
      </c>
      <c r="B3847" s="417" t="s">
        <v>680</v>
      </c>
      <c r="C3847" s="83">
        <v>46093</v>
      </c>
      <c r="D3847" s="417" t="s">
        <v>686</v>
      </c>
      <c r="E3847">
        <v>1440</v>
      </c>
      <c r="F3847">
        <v>1</v>
      </c>
      <c r="G3847">
        <v>1440</v>
      </c>
      <c r="H3847">
        <v>0</v>
      </c>
      <c r="I3847">
        <v>36.567460317460302</v>
      </c>
    </row>
    <row r="3848" spans="1:9" x14ac:dyDescent="0.35">
      <c r="A3848" s="417" t="s">
        <v>846</v>
      </c>
      <c r="B3848" s="417" t="s">
        <v>691</v>
      </c>
      <c r="C3848" s="83">
        <v>46093</v>
      </c>
      <c r="D3848" s="417" t="s">
        <v>305</v>
      </c>
      <c r="E3848">
        <v>1218.8259333333301</v>
      </c>
      <c r="F3848">
        <v>342</v>
      </c>
      <c r="G3848">
        <v>3.5638185185185201</v>
      </c>
      <c r="H3848">
        <v>25.038083333333301</v>
      </c>
      <c r="I3848">
        <v>51.6055671022364</v>
      </c>
    </row>
    <row r="3849" spans="1:9" x14ac:dyDescent="0.35">
      <c r="A3849" s="417" t="s">
        <v>846</v>
      </c>
      <c r="B3849" s="417" t="s">
        <v>691</v>
      </c>
      <c r="C3849" s="83">
        <v>46093</v>
      </c>
      <c r="D3849" s="417" t="s">
        <v>309</v>
      </c>
      <c r="E3849">
        <v>1352.4539833333299</v>
      </c>
      <c r="F3849">
        <v>108</v>
      </c>
      <c r="G3849">
        <v>12.522722067901199</v>
      </c>
      <c r="H3849">
        <v>0</v>
      </c>
      <c r="I3849">
        <v>55.548703026989401</v>
      </c>
    </row>
    <row r="3850" spans="1:9" x14ac:dyDescent="0.35">
      <c r="A3850" s="417" t="s">
        <v>846</v>
      </c>
      <c r="B3850" s="417" t="s">
        <v>691</v>
      </c>
      <c r="C3850" s="83">
        <v>46093</v>
      </c>
      <c r="D3850" s="417" t="s">
        <v>299</v>
      </c>
      <c r="E3850">
        <v>1342.02988333333</v>
      </c>
      <c r="F3850">
        <v>92</v>
      </c>
      <c r="G3850">
        <v>14.5872813405797</v>
      </c>
      <c r="H3850">
        <v>0.7802</v>
      </c>
      <c r="I3850">
        <v>66.898312272509997</v>
      </c>
    </row>
    <row r="3851" spans="1:9" x14ac:dyDescent="0.35">
      <c r="A3851" s="417" t="s">
        <v>846</v>
      </c>
      <c r="B3851" s="417" t="s">
        <v>691</v>
      </c>
      <c r="C3851" s="83">
        <v>46093</v>
      </c>
      <c r="D3851" s="417" t="s">
        <v>295</v>
      </c>
      <c r="E3851">
        <v>1350.75248333333</v>
      </c>
      <c r="F3851">
        <v>85</v>
      </c>
      <c r="G3851">
        <v>15.8912056862745</v>
      </c>
      <c r="H3851">
        <v>0.21056666666666701</v>
      </c>
      <c r="I3851">
        <v>73.7785287738715</v>
      </c>
    </row>
    <row r="3852" spans="1:9" x14ac:dyDescent="0.35">
      <c r="A3852" s="417" t="s">
        <v>846</v>
      </c>
      <c r="B3852" s="417" t="s">
        <v>691</v>
      </c>
      <c r="C3852" s="83">
        <v>46093</v>
      </c>
      <c r="D3852" s="417" t="s">
        <v>301</v>
      </c>
      <c r="E3852">
        <v>1352.6031166666701</v>
      </c>
      <c r="F3852">
        <v>53</v>
      </c>
      <c r="G3852">
        <v>25.520813522012599</v>
      </c>
      <c r="H3852">
        <v>1.4291</v>
      </c>
      <c r="I3852">
        <v>57.687636088595397</v>
      </c>
    </row>
    <row r="3853" spans="1:9" x14ac:dyDescent="0.35">
      <c r="A3853" s="417" t="s">
        <v>846</v>
      </c>
      <c r="B3853" s="417" t="s">
        <v>691</v>
      </c>
      <c r="C3853" s="83">
        <v>46093</v>
      </c>
      <c r="D3853" s="417" t="s">
        <v>303</v>
      </c>
      <c r="E3853">
        <v>1366.9399333333299</v>
      </c>
      <c r="F3853">
        <v>33</v>
      </c>
      <c r="G3853">
        <v>41.422422222222202</v>
      </c>
      <c r="H3853">
        <v>0.3301</v>
      </c>
      <c r="I3853">
        <v>53.490182364629803</v>
      </c>
    </row>
    <row r="3854" spans="1:9" x14ac:dyDescent="0.35">
      <c r="A3854" s="417" t="s">
        <v>846</v>
      </c>
      <c r="B3854" s="417" t="s">
        <v>691</v>
      </c>
      <c r="C3854" s="83">
        <v>46093</v>
      </c>
      <c r="D3854" s="417" t="s">
        <v>313</v>
      </c>
      <c r="E3854">
        <v>1275.9127166666699</v>
      </c>
      <c r="F3854">
        <v>30</v>
      </c>
      <c r="G3854">
        <v>42.530423888888897</v>
      </c>
      <c r="H3854">
        <v>5.0250666666666701</v>
      </c>
      <c r="I3854">
        <v>63.8476845850576</v>
      </c>
    </row>
    <row r="3855" spans="1:9" x14ac:dyDescent="0.35">
      <c r="A3855" s="417" t="s">
        <v>846</v>
      </c>
      <c r="B3855" s="417" t="s">
        <v>691</v>
      </c>
      <c r="C3855" s="83">
        <v>46093</v>
      </c>
      <c r="D3855" s="417" t="s">
        <v>342</v>
      </c>
      <c r="E3855">
        <v>1404.24818333333</v>
      </c>
      <c r="F3855">
        <v>24</v>
      </c>
      <c r="G3855">
        <v>58.510340972222203</v>
      </c>
      <c r="H3855">
        <v>35.751816666666699</v>
      </c>
      <c r="I3855">
        <v>63.769841269841301</v>
      </c>
    </row>
    <row r="3856" spans="1:9" x14ac:dyDescent="0.35">
      <c r="A3856" s="417" t="s">
        <v>846</v>
      </c>
      <c r="B3856" s="417" t="s">
        <v>691</v>
      </c>
      <c r="C3856" s="83">
        <v>46093</v>
      </c>
      <c r="D3856" s="417" t="s">
        <v>314</v>
      </c>
      <c r="E3856">
        <v>1326.57386666667</v>
      </c>
      <c r="F3856">
        <v>5</v>
      </c>
      <c r="G3856">
        <v>265.31477333333299</v>
      </c>
      <c r="H3856">
        <v>1.37825</v>
      </c>
      <c r="I3856">
        <v>57.008853289949101</v>
      </c>
    </row>
    <row r="3857" spans="1:9" x14ac:dyDescent="0.35">
      <c r="A3857" s="417" t="s">
        <v>846</v>
      </c>
      <c r="B3857" s="417" t="s">
        <v>691</v>
      </c>
      <c r="C3857" s="83">
        <v>46093</v>
      </c>
      <c r="D3857" s="417" t="s">
        <v>317</v>
      </c>
      <c r="E3857">
        <v>1431.9143833333301</v>
      </c>
      <c r="F3857">
        <v>3</v>
      </c>
      <c r="G3857">
        <v>477.30479444444398</v>
      </c>
      <c r="H3857">
        <v>8.0856166666666702</v>
      </c>
      <c r="I3857">
        <v>50.0416666666666</v>
      </c>
    </row>
    <row r="3858" spans="1:9" x14ac:dyDescent="0.35">
      <c r="A3858" s="417" t="s">
        <v>846</v>
      </c>
      <c r="B3858" s="417" t="s">
        <v>691</v>
      </c>
      <c r="C3858" s="83">
        <v>46093</v>
      </c>
      <c r="D3858" s="417" t="s">
        <v>310</v>
      </c>
      <c r="E3858">
        <v>1426.33576666667</v>
      </c>
      <c r="F3858">
        <v>3</v>
      </c>
      <c r="G3858">
        <v>475.445255555556</v>
      </c>
      <c r="H3858">
        <v>0</v>
      </c>
      <c r="I3858">
        <v>74.576893476908495</v>
      </c>
    </row>
    <row r="3859" spans="1:9" x14ac:dyDescent="0.35">
      <c r="A3859" s="417" t="s">
        <v>846</v>
      </c>
      <c r="B3859" s="417" t="s">
        <v>691</v>
      </c>
      <c r="C3859" s="83">
        <v>46093</v>
      </c>
      <c r="D3859" s="417" t="s">
        <v>504</v>
      </c>
      <c r="E3859">
        <v>1440</v>
      </c>
      <c r="F3859">
        <v>1</v>
      </c>
      <c r="G3859">
        <v>1440</v>
      </c>
      <c r="H3859">
        <v>0</v>
      </c>
      <c r="I3859">
        <v>38.221759259259301</v>
      </c>
    </row>
    <row r="3860" spans="1:9" x14ac:dyDescent="0.35">
      <c r="A3860" s="417" t="s">
        <v>846</v>
      </c>
      <c r="B3860" s="417" t="s">
        <v>676</v>
      </c>
      <c r="C3860" s="83">
        <v>46092</v>
      </c>
      <c r="D3860" s="417" t="s">
        <v>677</v>
      </c>
      <c r="E3860">
        <v>432.53190000000001</v>
      </c>
      <c r="F3860">
        <v>127</v>
      </c>
      <c r="G3860">
        <v>3.4057629921259802</v>
      </c>
      <c r="H3860">
        <v>78.408550000000005</v>
      </c>
      <c r="I3860">
        <v>7.5141666666666804</v>
      </c>
    </row>
    <row r="3861" spans="1:9" x14ac:dyDescent="0.35">
      <c r="A3861" s="417" t="s">
        <v>846</v>
      </c>
      <c r="B3861" s="417" t="s">
        <v>676</v>
      </c>
      <c r="C3861" s="83">
        <v>46092</v>
      </c>
      <c r="D3861" s="417" t="s">
        <v>679</v>
      </c>
      <c r="E3861">
        <v>771.91321666666704</v>
      </c>
      <c r="F3861">
        <v>45</v>
      </c>
      <c r="G3861">
        <v>17.153627037037001</v>
      </c>
      <c r="H3861">
        <v>57.01005</v>
      </c>
      <c r="I3861">
        <v>47.400440921002698</v>
      </c>
    </row>
    <row r="3862" spans="1:9" x14ac:dyDescent="0.35">
      <c r="A3862" s="417" t="s">
        <v>846</v>
      </c>
      <c r="B3862" s="417" t="s">
        <v>680</v>
      </c>
      <c r="C3862" s="83">
        <v>46092</v>
      </c>
      <c r="D3862" s="417" t="s">
        <v>681</v>
      </c>
      <c r="E3862">
        <v>1267.4747666666699</v>
      </c>
      <c r="F3862">
        <v>123</v>
      </c>
      <c r="G3862">
        <v>10.304672899729001</v>
      </c>
      <c r="H3862">
        <v>2.8169666666666702</v>
      </c>
      <c r="I3862">
        <v>66.715488646657604</v>
      </c>
    </row>
    <row r="3863" spans="1:9" x14ac:dyDescent="0.35">
      <c r="A3863" s="417" t="s">
        <v>846</v>
      </c>
      <c r="B3863" s="417" t="s">
        <v>680</v>
      </c>
      <c r="C3863" s="83">
        <v>46092</v>
      </c>
      <c r="D3863" s="417" t="s">
        <v>682</v>
      </c>
      <c r="E3863">
        <v>1324.8424333333301</v>
      </c>
      <c r="F3863">
        <v>70</v>
      </c>
      <c r="G3863">
        <v>18.926320476190501</v>
      </c>
      <c r="H3863">
        <v>61.333833333333303</v>
      </c>
      <c r="I3863">
        <v>54.677579365079403</v>
      </c>
    </row>
    <row r="3864" spans="1:9" x14ac:dyDescent="0.35">
      <c r="A3864" s="417" t="s">
        <v>846</v>
      </c>
      <c r="B3864" s="417" t="s">
        <v>680</v>
      </c>
      <c r="C3864" s="83">
        <v>46092</v>
      </c>
      <c r="D3864" s="417" t="s">
        <v>683</v>
      </c>
      <c r="E3864">
        <v>1279.1438000000001</v>
      </c>
      <c r="F3864">
        <v>44</v>
      </c>
      <c r="G3864">
        <v>29.071449999999999</v>
      </c>
      <c r="H3864">
        <v>0</v>
      </c>
      <c r="I3864">
        <v>62.199424658169299</v>
      </c>
    </row>
    <row r="3865" spans="1:9" x14ac:dyDescent="0.35">
      <c r="A3865" s="417" t="s">
        <v>846</v>
      </c>
      <c r="B3865" s="417" t="s">
        <v>680</v>
      </c>
      <c r="C3865" s="83">
        <v>46092</v>
      </c>
      <c r="D3865" s="417" t="s">
        <v>690</v>
      </c>
      <c r="E3865">
        <v>1361.8640166666701</v>
      </c>
      <c r="F3865">
        <v>38</v>
      </c>
      <c r="G3865">
        <v>35.838526754386002</v>
      </c>
      <c r="H3865">
        <v>17.008283333333299</v>
      </c>
      <c r="I3865">
        <v>54.073739341254097</v>
      </c>
    </row>
    <row r="3866" spans="1:9" x14ac:dyDescent="0.35">
      <c r="A3866" s="417" t="s">
        <v>846</v>
      </c>
      <c r="B3866" s="417" t="s">
        <v>680</v>
      </c>
      <c r="C3866" s="83">
        <v>46092</v>
      </c>
      <c r="D3866" s="417" t="s">
        <v>684</v>
      </c>
      <c r="E3866">
        <v>1396.3547000000001</v>
      </c>
      <c r="F3866">
        <v>35</v>
      </c>
      <c r="G3866">
        <v>39.895848571428601</v>
      </c>
      <c r="H3866">
        <v>20.8278</v>
      </c>
      <c r="I3866">
        <v>60.735605783155997</v>
      </c>
    </row>
    <row r="3867" spans="1:9" x14ac:dyDescent="0.35">
      <c r="A3867" s="417" t="s">
        <v>846</v>
      </c>
      <c r="B3867" s="417" t="s">
        <v>680</v>
      </c>
      <c r="C3867" s="83">
        <v>46092</v>
      </c>
      <c r="D3867" s="417" t="s">
        <v>689</v>
      </c>
      <c r="E3867">
        <v>1411.6557</v>
      </c>
      <c r="F3867">
        <v>22</v>
      </c>
      <c r="G3867">
        <v>64.166168181818193</v>
      </c>
      <c r="H3867">
        <v>0.66766666666666696</v>
      </c>
      <c r="I3867">
        <v>74.6111206643494</v>
      </c>
    </row>
    <row r="3868" spans="1:9" x14ac:dyDescent="0.35">
      <c r="A3868" s="417" t="s">
        <v>846</v>
      </c>
      <c r="B3868" s="417" t="s">
        <v>680</v>
      </c>
      <c r="C3868" s="83">
        <v>46092</v>
      </c>
      <c r="D3868" s="417" t="s">
        <v>688</v>
      </c>
      <c r="E3868">
        <v>1399.1556333333299</v>
      </c>
      <c r="F3868">
        <v>21</v>
      </c>
      <c r="G3868">
        <v>66.626458730158703</v>
      </c>
      <c r="H3868">
        <v>16.675916666666701</v>
      </c>
      <c r="I3868">
        <v>61.964269040441202</v>
      </c>
    </row>
    <row r="3869" spans="1:9" x14ac:dyDescent="0.35">
      <c r="A3869" s="417" t="s">
        <v>846</v>
      </c>
      <c r="B3869" s="417" t="s">
        <v>680</v>
      </c>
      <c r="C3869" s="83">
        <v>46092</v>
      </c>
      <c r="D3869" s="417" t="s">
        <v>685</v>
      </c>
      <c r="E3869">
        <v>1408.5014166666699</v>
      </c>
      <c r="F3869">
        <v>20</v>
      </c>
      <c r="G3869">
        <v>70.425070833333294</v>
      </c>
      <c r="H3869">
        <v>7.6628333333333298</v>
      </c>
      <c r="I3869">
        <v>71.549280021553997</v>
      </c>
    </row>
    <row r="3870" spans="1:9" x14ac:dyDescent="0.35">
      <c r="A3870" s="417" t="s">
        <v>846</v>
      </c>
      <c r="B3870" s="417" t="s">
        <v>680</v>
      </c>
      <c r="C3870" s="83">
        <v>46092</v>
      </c>
      <c r="D3870" s="417" t="s">
        <v>687</v>
      </c>
      <c r="E3870">
        <v>1418.48291666667</v>
      </c>
      <c r="F3870">
        <v>11</v>
      </c>
      <c r="G3870">
        <v>128.95299242424201</v>
      </c>
      <c r="H3870">
        <v>8.4944000000000006</v>
      </c>
      <c r="I3870">
        <v>35.668598112109997</v>
      </c>
    </row>
    <row r="3871" spans="1:9" x14ac:dyDescent="0.35">
      <c r="A3871" s="417" t="s">
        <v>846</v>
      </c>
      <c r="B3871" s="417" t="s">
        <v>680</v>
      </c>
      <c r="C3871" s="83">
        <v>46092</v>
      </c>
      <c r="D3871" s="417" t="s">
        <v>686</v>
      </c>
      <c r="E3871">
        <v>1440</v>
      </c>
      <c r="F3871">
        <v>1</v>
      </c>
      <c r="G3871">
        <v>1440</v>
      </c>
      <c r="H3871">
        <v>0</v>
      </c>
      <c r="I3871">
        <v>28.938492063492099</v>
      </c>
    </row>
    <row r="3872" spans="1:9" x14ac:dyDescent="0.35">
      <c r="A3872" s="417" t="s">
        <v>846</v>
      </c>
      <c r="B3872" s="417" t="s">
        <v>691</v>
      </c>
      <c r="C3872" s="83">
        <v>46092</v>
      </c>
      <c r="D3872" s="417" t="s">
        <v>305</v>
      </c>
      <c r="E3872">
        <v>1301.6577666666701</v>
      </c>
      <c r="F3872">
        <v>90</v>
      </c>
      <c r="G3872">
        <v>14.462864074074099</v>
      </c>
      <c r="H3872">
        <v>2.8065166666666701</v>
      </c>
      <c r="I3872">
        <v>52.362466634824003</v>
      </c>
    </row>
    <row r="3873" spans="1:9" x14ac:dyDescent="0.35">
      <c r="A3873" s="417" t="s">
        <v>846</v>
      </c>
      <c r="B3873" s="417" t="s">
        <v>691</v>
      </c>
      <c r="C3873" s="83">
        <v>46092</v>
      </c>
      <c r="D3873" s="417" t="s">
        <v>309</v>
      </c>
      <c r="E3873">
        <v>1365.4893500000001</v>
      </c>
      <c r="F3873">
        <v>71</v>
      </c>
      <c r="G3873">
        <v>19.2322443661972</v>
      </c>
      <c r="H3873">
        <v>0</v>
      </c>
      <c r="I3873">
        <v>56.404315142178397</v>
      </c>
    </row>
    <row r="3874" spans="1:9" x14ac:dyDescent="0.35">
      <c r="A3874" s="417" t="s">
        <v>846</v>
      </c>
      <c r="B3874" s="417" t="s">
        <v>691</v>
      </c>
      <c r="C3874" s="83">
        <v>46092</v>
      </c>
      <c r="D3874" s="417" t="s">
        <v>299</v>
      </c>
      <c r="E3874">
        <v>1357.6960999999999</v>
      </c>
      <c r="F3874">
        <v>67</v>
      </c>
      <c r="G3874">
        <v>20.264120895522399</v>
      </c>
      <c r="H3874">
        <v>1.0017833333333299</v>
      </c>
      <c r="I3874">
        <v>73.113892371022999</v>
      </c>
    </row>
    <row r="3875" spans="1:9" x14ac:dyDescent="0.35">
      <c r="A3875" s="417" t="s">
        <v>846</v>
      </c>
      <c r="B3875" s="417" t="s">
        <v>691</v>
      </c>
      <c r="C3875" s="83">
        <v>46092</v>
      </c>
      <c r="D3875" s="417" t="s">
        <v>295</v>
      </c>
      <c r="E3875">
        <v>1377.8675000000001</v>
      </c>
      <c r="F3875">
        <v>55</v>
      </c>
      <c r="G3875">
        <v>25.0521363636364</v>
      </c>
      <c r="H3875">
        <v>0.32045000000000001</v>
      </c>
      <c r="I3875">
        <v>76.004428738048702</v>
      </c>
    </row>
    <row r="3876" spans="1:9" x14ac:dyDescent="0.35">
      <c r="A3876" s="417" t="s">
        <v>846</v>
      </c>
      <c r="B3876" s="417" t="s">
        <v>691</v>
      </c>
      <c r="C3876" s="83">
        <v>46092</v>
      </c>
      <c r="D3876" s="417" t="s">
        <v>313</v>
      </c>
      <c r="E3876">
        <v>1249.33081666667</v>
      </c>
      <c r="F3876">
        <v>51</v>
      </c>
      <c r="G3876">
        <v>24.496682679738601</v>
      </c>
      <c r="H3876">
        <v>5.9433333333333303E-2</v>
      </c>
      <c r="I3876">
        <v>70.082689386991106</v>
      </c>
    </row>
    <row r="3877" spans="1:9" x14ac:dyDescent="0.35">
      <c r="A3877" s="417" t="s">
        <v>846</v>
      </c>
      <c r="B3877" s="417" t="s">
        <v>691</v>
      </c>
      <c r="C3877" s="83">
        <v>46092</v>
      </c>
      <c r="D3877" s="417" t="s">
        <v>301</v>
      </c>
      <c r="E3877">
        <v>1373.32833333333</v>
      </c>
      <c r="F3877">
        <v>49</v>
      </c>
      <c r="G3877">
        <v>28.027108843537398</v>
      </c>
      <c r="H3877">
        <v>0.36223333333333302</v>
      </c>
      <c r="I3877">
        <v>62.1368198305967</v>
      </c>
    </row>
    <row r="3878" spans="1:9" x14ac:dyDescent="0.35">
      <c r="A3878" s="417" t="s">
        <v>846</v>
      </c>
      <c r="B3878" s="417" t="s">
        <v>691</v>
      </c>
      <c r="C3878" s="83">
        <v>46092</v>
      </c>
      <c r="D3878" s="417" t="s">
        <v>303</v>
      </c>
      <c r="E3878">
        <v>1377.9127000000001</v>
      </c>
      <c r="F3878">
        <v>44</v>
      </c>
      <c r="G3878">
        <v>31.316197727272701</v>
      </c>
      <c r="H3878">
        <v>0.34275</v>
      </c>
      <c r="I3878">
        <v>54.319790687072199</v>
      </c>
    </row>
    <row r="3879" spans="1:9" x14ac:dyDescent="0.35">
      <c r="A3879" s="417" t="s">
        <v>846</v>
      </c>
      <c r="B3879" s="417" t="s">
        <v>691</v>
      </c>
      <c r="C3879" s="83">
        <v>46092</v>
      </c>
      <c r="D3879" s="417" t="s">
        <v>342</v>
      </c>
      <c r="E3879">
        <v>417.79078333333302</v>
      </c>
      <c r="F3879">
        <v>41</v>
      </c>
      <c r="G3879">
        <v>10.1900191056911</v>
      </c>
      <c r="H3879">
        <v>73.817266666666598</v>
      </c>
      <c r="I3879">
        <v>25.4166666666667</v>
      </c>
    </row>
    <row r="3880" spans="1:9" x14ac:dyDescent="0.35">
      <c r="A3880" s="417" t="s">
        <v>846</v>
      </c>
      <c r="B3880" s="417" t="s">
        <v>691</v>
      </c>
      <c r="C3880" s="83">
        <v>46092</v>
      </c>
      <c r="D3880" s="417" t="s">
        <v>310</v>
      </c>
      <c r="E3880">
        <v>1362.04955</v>
      </c>
      <c r="F3880">
        <v>14</v>
      </c>
      <c r="G3880">
        <v>97.289253571428503</v>
      </c>
      <c r="H3880">
        <v>1.3748</v>
      </c>
      <c r="I3880">
        <v>73.021697887691204</v>
      </c>
    </row>
    <row r="3881" spans="1:9" x14ac:dyDescent="0.35">
      <c r="A3881" s="417" t="s">
        <v>846</v>
      </c>
      <c r="B3881" s="417" t="s">
        <v>691</v>
      </c>
      <c r="C3881" s="83">
        <v>46092</v>
      </c>
      <c r="D3881" s="417" t="s">
        <v>314</v>
      </c>
      <c r="E3881">
        <v>1395.30553333333</v>
      </c>
      <c r="F3881">
        <v>9</v>
      </c>
      <c r="G3881">
        <v>155.033948148148</v>
      </c>
      <c r="H3881">
        <v>2.3952</v>
      </c>
      <c r="I3881">
        <v>60.031288778877098</v>
      </c>
    </row>
    <row r="3882" spans="1:9" x14ac:dyDescent="0.35">
      <c r="A3882" s="417" t="s">
        <v>846</v>
      </c>
      <c r="B3882" s="417" t="s">
        <v>691</v>
      </c>
      <c r="C3882" s="83">
        <v>46092</v>
      </c>
      <c r="D3882" s="417" t="s">
        <v>317</v>
      </c>
      <c r="E3882">
        <v>1436.01246666667</v>
      </c>
      <c r="F3882">
        <v>1</v>
      </c>
      <c r="G3882">
        <v>1436.01246666667</v>
      </c>
      <c r="H3882">
        <v>0</v>
      </c>
      <c r="I3882">
        <v>52.663191828371701</v>
      </c>
    </row>
    <row r="3883" spans="1:9" x14ac:dyDescent="0.35">
      <c r="A3883" s="417" t="s">
        <v>846</v>
      </c>
      <c r="B3883" s="417" t="s">
        <v>691</v>
      </c>
      <c r="C3883" s="83">
        <v>46092</v>
      </c>
      <c r="D3883" s="417" t="s">
        <v>504</v>
      </c>
      <c r="E3883">
        <v>1440</v>
      </c>
      <c r="F3883">
        <v>1</v>
      </c>
      <c r="G3883">
        <v>1440</v>
      </c>
      <c r="H3883">
        <v>0</v>
      </c>
      <c r="I3883">
        <v>41.1503086419753</v>
      </c>
    </row>
    <row r="3884" spans="1:9" x14ac:dyDescent="0.35">
      <c r="A3884" s="417" t="s">
        <v>846</v>
      </c>
      <c r="B3884" s="417" t="s">
        <v>676</v>
      </c>
      <c r="C3884" s="83">
        <v>46091</v>
      </c>
      <c r="D3884" s="417" t="s">
        <v>677</v>
      </c>
      <c r="E3884">
        <v>811.57536666666704</v>
      </c>
      <c r="F3884">
        <v>518</v>
      </c>
      <c r="G3884">
        <v>1.56674781209781</v>
      </c>
      <c r="H3884">
        <v>304.01465000000002</v>
      </c>
      <c r="I3884">
        <v>3.58083333333331</v>
      </c>
    </row>
    <row r="3885" spans="1:9" x14ac:dyDescent="0.35">
      <c r="A3885" s="417" t="s">
        <v>846</v>
      </c>
      <c r="B3885" s="417" t="s">
        <v>676</v>
      </c>
      <c r="C3885" s="83">
        <v>46091</v>
      </c>
      <c r="D3885" s="417" t="s">
        <v>679</v>
      </c>
      <c r="E3885">
        <v>1328.00935</v>
      </c>
      <c r="F3885">
        <v>38</v>
      </c>
      <c r="G3885">
        <v>34.947614473684197</v>
      </c>
      <c r="H3885">
        <v>26.503816666666701</v>
      </c>
      <c r="I3885">
        <v>10.8771340314934</v>
      </c>
    </row>
    <row r="3886" spans="1:9" x14ac:dyDescent="0.35">
      <c r="A3886" s="417" t="s">
        <v>846</v>
      </c>
      <c r="B3886" s="417" t="s">
        <v>680</v>
      </c>
      <c r="C3886" s="83">
        <v>46091</v>
      </c>
      <c r="D3886" s="417" t="s">
        <v>681</v>
      </c>
      <c r="E3886">
        <v>1305.3419166666699</v>
      </c>
      <c r="F3886">
        <v>94</v>
      </c>
      <c r="G3886">
        <v>13.886616134751799</v>
      </c>
      <c r="H3886">
        <v>1.1666333333333301</v>
      </c>
      <c r="I3886">
        <v>70.965033704322593</v>
      </c>
    </row>
    <row r="3887" spans="1:9" x14ac:dyDescent="0.35">
      <c r="A3887" s="417" t="s">
        <v>846</v>
      </c>
      <c r="B3887" s="417" t="s">
        <v>680</v>
      </c>
      <c r="C3887" s="83">
        <v>46091</v>
      </c>
      <c r="D3887" s="417" t="s">
        <v>688</v>
      </c>
      <c r="E3887">
        <v>1362.3405666666699</v>
      </c>
      <c r="F3887">
        <v>54</v>
      </c>
      <c r="G3887">
        <v>25.2285290123457</v>
      </c>
      <c r="H3887">
        <v>18.17285</v>
      </c>
      <c r="I3887">
        <v>64.009725990379096</v>
      </c>
    </row>
    <row r="3888" spans="1:9" x14ac:dyDescent="0.35">
      <c r="A3888" s="417" t="s">
        <v>846</v>
      </c>
      <c r="B3888" s="417" t="s">
        <v>680</v>
      </c>
      <c r="C3888" s="83">
        <v>46091</v>
      </c>
      <c r="D3888" s="417" t="s">
        <v>690</v>
      </c>
      <c r="E3888">
        <v>1323.41443333333</v>
      </c>
      <c r="F3888">
        <v>53</v>
      </c>
      <c r="G3888">
        <v>24.970083647798699</v>
      </c>
      <c r="H3888">
        <v>19.4966333333333</v>
      </c>
      <c r="I3888">
        <v>65.648020846576898</v>
      </c>
    </row>
    <row r="3889" spans="1:9" x14ac:dyDescent="0.35">
      <c r="A3889" s="417" t="s">
        <v>846</v>
      </c>
      <c r="B3889" s="417" t="s">
        <v>680</v>
      </c>
      <c r="C3889" s="83">
        <v>46091</v>
      </c>
      <c r="D3889" s="417" t="s">
        <v>682</v>
      </c>
      <c r="E3889">
        <v>1360.15726666667</v>
      </c>
      <c r="F3889">
        <v>47</v>
      </c>
      <c r="G3889">
        <v>28.9395163120567</v>
      </c>
      <c r="H3889">
        <v>49.507800000000003</v>
      </c>
      <c r="I3889">
        <v>73.373015873015902</v>
      </c>
    </row>
    <row r="3890" spans="1:9" x14ac:dyDescent="0.35">
      <c r="A3890" s="417" t="s">
        <v>846</v>
      </c>
      <c r="B3890" s="417" t="s">
        <v>680</v>
      </c>
      <c r="C3890" s="83">
        <v>46091</v>
      </c>
      <c r="D3890" s="417" t="s">
        <v>687</v>
      </c>
      <c r="E3890">
        <v>1398.50853333333</v>
      </c>
      <c r="F3890">
        <v>35</v>
      </c>
      <c r="G3890">
        <v>39.9573866666667</v>
      </c>
      <c r="H3890">
        <v>33.8399</v>
      </c>
      <c r="I3890">
        <v>41.834670951799403</v>
      </c>
    </row>
    <row r="3891" spans="1:9" x14ac:dyDescent="0.35">
      <c r="A3891" s="417" t="s">
        <v>846</v>
      </c>
      <c r="B3891" s="417" t="s">
        <v>680</v>
      </c>
      <c r="C3891" s="83">
        <v>46091</v>
      </c>
      <c r="D3891" s="417" t="s">
        <v>683</v>
      </c>
      <c r="E3891">
        <v>1369.3063</v>
      </c>
      <c r="F3891">
        <v>35</v>
      </c>
      <c r="G3891">
        <v>39.1230371428571</v>
      </c>
      <c r="H3891">
        <v>7.1835833333333303</v>
      </c>
      <c r="I3891">
        <v>67.700853210400894</v>
      </c>
    </row>
    <row r="3892" spans="1:9" x14ac:dyDescent="0.35">
      <c r="A3892" s="417" t="s">
        <v>846</v>
      </c>
      <c r="B3892" s="417" t="s">
        <v>680</v>
      </c>
      <c r="C3892" s="83">
        <v>46091</v>
      </c>
      <c r="D3892" s="417" t="s">
        <v>684</v>
      </c>
      <c r="E3892">
        <v>1421.1558</v>
      </c>
      <c r="F3892">
        <v>23</v>
      </c>
      <c r="G3892">
        <v>61.789382608695703</v>
      </c>
      <c r="H3892">
        <v>13.003450000000001</v>
      </c>
      <c r="I3892">
        <v>76.192908911672504</v>
      </c>
    </row>
    <row r="3893" spans="1:9" x14ac:dyDescent="0.35">
      <c r="A3893" s="417" t="s">
        <v>846</v>
      </c>
      <c r="B3893" s="417" t="s">
        <v>680</v>
      </c>
      <c r="C3893" s="83">
        <v>46091</v>
      </c>
      <c r="D3893" s="417" t="s">
        <v>685</v>
      </c>
      <c r="E3893">
        <v>1376.5038666666701</v>
      </c>
      <c r="F3893">
        <v>19</v>
      </c>
      <c r="G3893">
        <v>72.447571929824605</v>
      </c>
      <c r="H3893">
        <v>26.8319333333333</v>
      </c>
      <c r="I3893">
        <v>76.665741335596095</v>
      </c>
    </row>
    <row r="3894" spans="1:9" x14ac:dyDescent="0.35">
      <c r="A3894" s="417" t="s">
        <v>846</v>
      </c>
      <c r="B3894" s="417" t="s">
        <v>680</v>
      </c>
      <c r="C3894" s="83">
        <v>46091</v>
      </c>
      <c r="D3894" s="417" t="s">
        <v>689</v>
      </c>
      <c r="E3894">
        <v>1378.4673666666699</v>
      </c>
      <c r="F3894">
        <v>11</v>
      </c>
      <c r="G3894">
        <v>125.31521515151501</v>
      </c>
      <c r="H3894">
        <v>5.0073833333333297</v>
      </c>
      <c r="I3894">
        <v>82.254424642441705</v>
      </c>
    </row>
    <row r="3895" spans="1:9" x14ac:dyDescent="0.35">
      <c r="A3895" s="417" t="s">
        <v>846</v>
      </c>
      <c r="B3895" s="417" t="s">
        <v>680</v>
      </c>
      <c r="C3895" s="83">
        <v>46091</v>
      </c>
      <c r="D3895" s="417" t="s">
        <v>686</v>
      </c>
      <c r="E3895">
        <v>1440</v>
      </c>
      <c r="F3895">
        <v>1</v>
      </c>
      <c r="G3895">
        <v>1440</v>
      </c>
      <c r="H3895">
        <v>0</v>
      </c>
      <c r="I3895">
        <v>37.475198412698397</v>
      </c>
    </row>
    <row r="3896" spans="1:9" x14ac:dyDescent="0.35">
      <c r="A3896" s="417" t="s">
        <v>846</v>
      </c>
      <c r="B3896" s="417" t="s">
        <v>691</v>
      </c>
      <c r="C3896" s="83">
        <v>46091</v>
      </c>
      <c r="D3896" s="417" t="s">
        <v>305</v>
      </c>
      <c r="E3896">
        <v>1268.9467833333299</v>
      </c>
      <c r="F3896">
        <v>187</v>
      </c>
      <c r="G3896">
        <v>6.7858116755793203</v>
      </c>
      <c r="H3896">
        <v>4.4276833333333299</v>
      </c>
      <c r="I3896">
        <v>54.150090103363198</v>
      </c>
    </row>
    <row r="3897" spans="1:9" x14ac:dyDescent="0.35">
      <c r="A3897" s="417" t="s">
        <v>846</v>
      </c>
      <c r="B3897" s="417" t="s">
        <v>691</v>
      </c>
      <c r="C3897" s="83">
        <v>46091</v>
      </c>
      <c r="D3897" s="417" t="s">
        <v>299</v>
      </c>
      <c r="E3897">
        <v>1301.8661500000001</v>
      </c>
      <c r="F3897">
        <v>121</v>
      </c>
      <c r="G3897">
        <v>10.7592243801653</v>
      </c>
      <c r="H3897">
        <v>0.82668333333333299</v>
      </c>
      <c r="I3897">
        <v>61.492707748990298</v>
      </c>
    </row>
    <row r="3898" spans="1:9" x14ac:dyDescent="0.35">
      <c r="A3898" s="417" t="s">
        <v>846</v>
      </c>
      <c r="B3898" s="417" t="s">
        <v>691</v>
      </c>
      <c r="C3898" s="83">
        <v>46091</v>
      </c>
      <c r="D3898" s="417" t="s">
        <v>309</v>
      </c>
      <c r="E3898">
        <v>1281.5261166666701</v>
      </c>
      <c r="F3898">
        <v>96</v>
      </c>
      <c r="G3898">
        <v>13.3492303819444</v>
      </c>
      <c r="H3898">
        <v>0.224533333333333</v>
      </c>
      <c r="I3898">
        <v>47.768763476450602</v>
      </c>
    </row>
    <row r="3899" spans="1:9" x14ac:dyDescent="0.35">
      <c r="A3899" s="417" t="s">
        <v>846</v>
      </c>
      <c r="B3899" s="417" t="s">
        <v>691</v>
      </c>
      <c r="C3899" s="83">
        <v>46091</v>
      </c>
      <c r="D3899" s="417" t="s">
        <v>295</v>
      </c>
      <c r="E3899">
        <v>1367.2180166666701</v>
      </c>
      <c r="F3899">
        <v>76</v>
      </c>
      <c r="G3899">
        <v>17.989710745614001</v>
      </c>
      <c r="H3899">
        <v>5.9536666666666704</v>
      </c>
      <c r="I3899">
        <v>63.387419042527803</v>
      </c>
    </row>
    <row r="3900" spans="1:9" x14ac:dyDescent="0.35">
      <c r="A3900" s="417" t="s">
        <v>846</v>
      </c>
      <c r="B3900" s="417" t="s">
        <v>691</v>
      </c>
      <c r="C3900" s="83">
        <v>46091</v>
      </c>
      <c r="D3900" s="417" t="s">
        <v>342</v>
      </c>
      <c r="E3900">
        <v>1245.13105</v>
      </c>
      <c r="F3900">
        <v>64</v>
      </c>
      <c r="G3900">
        <v>19.455172656249999</v>
      </c>
      <c r="H3900">
        <v>121.81213333333299</v>
      </c>
      <c r="I3900">
        <v>46.557539682539698</v>
      </c>
    </row>
    <row r="3901" spans="1:9" x14ac:dyDescent="0.35">
      <c r="A3901" s="417" t="s">
        <v>846</v>
      </c>
      <c r="B3901" s="417" t="s">
        <v>691</v>
      </c>
      <c r="C3901" s="83">
        <v>46091</v>
      </c>
      <c r="D3901" s="417" t="s">
        <v>301</v>
      </c>
      <c r="E3901">
        <v>1343.9139500000001</v>
      </c>
      <c r="F3901">
        <v>64</v>
      </c>
      <c r="G3901">
        <v>20.998655468750002</v>
      </c>
      <c r="H3901">
        <v>0.32843333333333302</v>
      </c>
      <c r="I3901">
        <v>53.3162882144753</v>
      </c>
    </row>
    <row r="3902" spans="1:9" x14ac:dyDescent="0.35">
      <c r="A3902" s="417" t="s">
        <v>846</v>
      </c>
      <c r="B3902" s="417" t="s">
        <v>691</v>
      </c>
      <c r="C3902" s="83">
        <v>46091</v>
      </c>
      <c r="D3902" s="417" t="s">
        <v>313</v>
      </c>
      <c r="E3902">
        <v>1255.02463333333</v>
      </c>
      <c r="F3902">
        <v>58</v>
      </c>
      <c r="G3902">
        <v>21.638355747126401</v>
      </c>
      <c r="H3902">
        <v>9.3200000000000005E-2</v>
      </c>
      <c r="I3902">
        <v>58.968130135254299</v>
      </c>
    </row>
    <row r="3903" spans="1:9" x14ac:dyDescent="0.35">
      <c r="A3903" s="417" t="s">
        <v>846</v>
      </c>
      <c r="B3903" s="417" t="s">
        <v>691</v>
      </c>
      <c r="C3903" s="83">
        <v>46091</v>
      </c>
      <c r="D3903" s="417" t="s">
        <v>303</v>
      </c>
      <c r="E3903">
        <v>1384.7797499999999</v>
      </c>
      <c r="F3903">
        <v>57</v>
      </c>
      <c r="G3903">
        <v>24.294381578947402</v>
      </c>
      <c r="H3903">
        <v>0.51646666666666696</v>
      </c>
      <c r="I3903">
        <v>50.770815941141798</v>
      </c>
    </row>
    <row r="3904" spans="1:9" x14ac:dyDescent="0.35">
      <c r="A3904" s="417" t="s">
        <v>846</v>
      </c>
      <c r="B3904" s="417" t="s">
        <v>691</v>
      </c>
      <c r="C3904" s="83">
        <v>46091</v>
      </c>
      <c r="D3904" s="417" t="s">
        <v>314</v>
      </c>
      <c r="E3904">
        <v>1406.2949000000001</v>
      </c>
      <c r="F3904">
        <v>16</v>
      </c>
      <c r="G3904">
        <v>87.893431250000006</v>
      </c>
      <c r="H3904">
        <v>1.85516666666667</v>
      </c>
      <c r="I3904">
        <v>45.963927948171801</v>
      </c>
    </row>
    <row r="3905" spans="1:9" x14ac:dyDescent="0.35">
      <c r="A3905" s="417" t="s">
        <v>846</v>
      </c>
      <c r="B3905" s="417" t="s">
        <v>691</v>
      </c>
      <c r="C3905" s="83">
        <v>46091</v>
      </c>
      <c r="D3905" s="417" t="s">
        <v>310</v>
      </c>
      <c r="E3905">
        <v>1372.3992333333299</v>
      </c>
      <c r="F3905">
        <v>13</v>
      </c>
      <c r="G3905">
        <v>105.56917179487201</v>
      </c>
      <c r="H3905">
        <v>0</v>
      </c>
      <c r="I3905">
        <v>64.496032028870701</v>
      </c>
    </row>
    <row r="3906" spans="1:9" x14ac:dyDescent="0.35">
      <c r="A3906" s="417" t="s">
        <v>846</v>
      </c>
      <c r="B3906" s="417" t="s">
        <v>691</v>
      </c>
      <c r="C3906" s="83">
        <v>46091</v>
      </c>
      <c r="D3906" s="417" t="s">
        <v>317</v>
      </c>
      <c r="E3906">
        <v>1411.4234166666699</v>
      </c>
      <c r="F3906">
        <v>2</v>
      </c>
      <c r="G3906">
        <v>705.71170833333304</v>
      </c>
      <c r="H3906">
        <v>0</v>
      </c>
      <c r="I3906">
        <v>47.8807317576183</v>
      </c>
    </row>
    <row r="3907" spans="1:9" x14ac:dyDescent="0.35">
      <c r="A3907" s="417" t="s">
        <v>846</v>
      </c>
      <c r="B3907" s="417" t="s">
        <v>691</v>
      </c>
      <c r="C3907" s="83">
        <v>46091</v>
      </c>
      <c r="D3907" s="417" t="s">
        <v>504</v>
      </c>
      <c r="E3907">
        <v>1440</v>
      </c>
      <c r="F3907">
        <v>1</v>
      </c>
      <c r="G3907">
        <v>1440</v>
      </c>
      <c r="H3907">
        <v>0</v>
      </c>
      <c r="I3907">
        <v>36.5625</v>
      </c>
    </row>
    <row r="3908" spans="1:9" x14ac:dyDescent="0.35">
      <c r="A3908" s="417" t="s">
        <v>846</v>
      </c>
      <c r="B3908" s="417" t="s">
        <v>676</v>
      </c>
      <c r="C3908" s="83">
        <v>46090</v>
      </c>
      <c r="D3908" s="417" t="s">
        <v>677</v>
      </c>
      <c r="E3908">
        <v>1025.6812500000001</v>
      </c>
      <c r="F3908">
        <v>697</v>
      </c>
      <c r="G3908">
        <v>1.4715656384505</v>
      </c>
      <c r="H3908">
        <v>348.81448333333299</v>
      </c>
      <c r="I3908">
        <v>6.2791666666666801</v>
      </c>
    </row>
    <row r="3909" spans="1:9" x14ac:dyDescent="0.35">
      <c r="A3909" s="417" t="s">
        <v>846</v>
      </c>
      <c r="B3909" s="417" t="s">
        <v>676</v>
      </c>
      <c r="C3909" s="83">
        <v>46090</v>
      </c>
      <c r="D3909" s="417" t="s">
        <v>679</v>
      </c>
      <c r="E3909">
        <v>1294.9890166666701</v>
      </c>
      <c r="F3909">
        <v>22</v>
      </c>
      <c r="G3909">
        <v>58.863137121212098</v>
      </c>
      <c r="H3909">
        <v>20.4850666666667</v>
      </c>
      <c r="I3909">
        <v>36.489524226116799</v>
      </c>
    </row>
    <row r="3910" spans="1:9" x14ac:dyDescent="0.35">
      <c r="A3910" s="417" t="s">
        <v>846</v>
      </c>
      <c r="B3910" s="417" t="s">
        <v>680</v>
      </c>
      <c r="C3910" s="83">
        <v>46090</v>
      </c>
      <c r="D3910" s="417" t="s">
        <v>681</v>
      </c>
      <c r="E3910">
        <v>1371.80856666667</v>
      </c>
      <c r="F3910">
        <v>125</v>
      </c>
      <c r="G3910">
        <v>10.974468533333299</v>
      </c>
      <c r="H3910">
        <v>2.0052833333333302</v>
      </c>
      <c r="I3910">
        <v>81.018079090604502</v>
      </c>
    </row>
    <row r="3911" spans="1:9" x14ac:dyDescent="0.35">
      <c r="A3911" s="417" t="s">
        <v>846</v>
      </c>
      <c r="B3911" s="417" t="s">
        <v>680</v>
      </c>
      <c r="C3911" s="83">
        <v>46090</v>
      </c>
      <c r="D3911" s="417" t="s">
        <v>684</v>
      </c>
      <c r="E3911">
        <v>1371.1559500000001</v>
      </c>
      <c r="F3911">
        <v>51</v>
      </c>
      <c r="G3911">
        <v>26.885410784313699</v>
      </c>
      <c r="H3911">
        <v>50.501616666666699</v>
      </c>
      <c r="I3911">
        <v>75.082613470617105</v>
      </c>
    </row>
    <row r="3912" spans="1:9" x14ac:dyDescent="0.35">
      <c r="A3912" s="417" t="s">
        <v>846</v>
      </c>
      <c r="B3912" s="417" t="s">
        <v>680</v>
      </c>
      <c r="C3912" s="83">
        <v>46090</v>
      </c>
      <c r="D3912" s="417" t="s">
        <v>683</v>
      </c>
      <c r="E3912">
        <v>1347.3208666666701</v>
      </c>
      <c r="F3912">
        <v>35</v>
      </c>
      <c r="G3912">
        <v>38.494881904761897</v>
      </c>
      <c r="H3912">
        <v>16.318283333333301</v>
      </c>
      <c r="I3912">
        <v>69.776174538472105</v>
      </c>
    </row>
    <row r="3913" spans="1:9" x14ac:dyDescent="0.35">
      <c r="A3913" s="417" t="s">
        <v>846</v>
      </c>
      <c r="B3913" s="417" t="s">
        <v>680</v>
      </c>
      <c r="C3913" s="83">
        <v>46090</v>
      </c>
      <c r="D3913" s="417" t="s">
        <v>682</v>
      </c>
      <c r="E3913">
        <v>1274.9727333333301</v>
      </c>
      <c r="F3913">
        <v>26</v>
      </c>
      <c r="G3913">
        <v>49.037412820512799</v>
      </c>
      <c r="H3913">
        <v>25.680883333333298</v>
      </c>
      <c r="I3913">
        <v>68.452380952381006</v>
      </c>
    </row>
    <row r="3914" spans="1:9" x14ac:dyDescent="0.35">
      <c r="A3914" s="417" t="s">
        <v>846</v>
      </c>
      <c r="B3914" s="417" t="s">
        <v>680</v>
      </c>
      <c r="C3914" s="83">
        <v>46090</v>
      </c>
      <c r="D3914" s="417" t="s">
        <v>685</v>
      </c>
      <c r="E3914">
        <v>1402.3634</v>
      </c>
      <c r="F3914">
        <v>25</v>
      </c>
      <c r="G3914">
        <v>56.094535999999998</v>
      </c>
      <c r="H3914">
        <v>11.486000000000001</v>
      </c>
      <c r="I3914">
        <v>89.857090951419195</v>
      </c>
    </row>
    <row r="3915" spans="1:9" x14ac:dyDescent="0.35">
      <c r="A3915" s="417" t="s">
        <v>846</v>
      </c>
      <c r="B3915" s="417" t="s">
        <v>680</v>
      </c>
      <c r="C3915" s="83">
        <v>46090</v>
      </c>
      <c r="D3915" s="417" t="s">
        <v>689</v>
      </c>
      <c r="E3915">
        <v>1414.8857499999999</v>
      </c>
      <c r="F3915">
        <v>18</v>
      </c>
      <c r="G3915">
        <v>78.604763888888897</v>
      </c>
      <c r="H3915">
        <v>0.83246666666666702</v>
      </c>
      <c r="I3915">
        <v>90.335720573197406</v>
      </c>
    </row>
    <row r="3916" spans="1:9" x14ac:dyDescent="0.35">
      <c r="A3916" s="417" t="s">
        <v>846</v>
      </c>
      <c r="B3916" s="417" t="s">
        <v>680</v>
      </c>
      <c r="C3916" s="83">
        <v>46090</v>
      </c>
      <c r="D3916" s="417" t="s">
        <v>688</v>
      </c>
      <c r="E3916">
        <v>1414.1574333333299</v>
      </c>
      <c r="F3916">
        <v>17</v>
      </c>
      <c r="G3916">
        <v>83.185731372549</v>
      </c>
      <c r="H3916">
        <v>3.49085</v>
      </c>
      <c r="I3916">
        <v>80.357087949561802</v>
      </c>
    </row>
    <row r="3917" spans="1:9" x14ac:dyDescent="0.35">
      <c r="A3917" s="417" t="s">
        <v>846</v>
      </c>
      <c r="B3917" s="417" t="s">
        <v>680</v>
      </c>
      <c r="C3917" s="83">
        <v>46090</v>
      </c>
      <c r="D3917" s="417" t="s">
        <v>690</v>
      </c>
      <c r="E3917">
        <v>1370.2709500000001</v>
      </c>
      <c r="F3917">
        <v>15</v>
      </c>
      <c r="G3917">
        <v>91.351396666666702</v>
      </c>
      <c r="H3917">
        <v>9.0258000000000003</v>
      </c>
      <c r="I3917">
        <v>63.5708989929811</v>
      </c>
    </row>
    <row r="3918" spans="1:9" x14ac:dyDescent="0.35">
      <c r="A3918" s="417" t="s">
        <v>846</v>
      </c>
      <c r="B3918" s="417" t="s">
        <v>680</v>
      </c>
      <c r="C3918" s="83">
        <v>46090</v>
      </c>
      <c r="D3918" s="417" t="s">
        <v>687</v>
      </c>
      <c r="E3918">
        <v>1427.8215499999999</v>
      </c>
      <c r="F3918">
        <v>9</v>
      </c>
      <c r="G3918">
        <v>158.64683888888899</v>
      </c>
      <c r="H3918">
        <v>9.8373333333333406</v>
      </c>
      <c r="I3918">
        <v>39.2235460155431</v>
      </c>
    </row>
    <row r="3919" spans="1:9" x14ac:dyDescent="0.35">
      <c r="A3919" s="417" t="s">
        <v>846</v>
      </c>
      <c r="B3919" s="417" t="s">
        <v>680</v>
      </c>
      <c r="C3919" s="83">
        <v>46090</v>
      </c>
      <c r="D3919" s="417" t="s">
        <v>686</v>
      </c>
      <c r="E3919">
        <v>1440</v>
      </c>
      <c r="F3919">
        <v>1</v>
      </c>
      <c r="G3919">
        <v>1440</v>
      </c>
      <c r="H3919">
        <v>0</v>
      </c>
      <c r="I3919">
        <v>32.807539682539698</v>
      </c>
    </row>
    <row r="3920" spans="1:9" x14ac:dyDescent="0.35">
      <c r="A3920" s="417" t="s">
        <v>846</v>
      </c>
      <c r="B3920" s="417" t="s">
        <v>691</v>
      </c>
      <c r="C3920" s="83">
        <v>46090</v>
      </c>
      <c r="D3920" s="417" t="s">
        <v>305</v>
      </c>
      <c r="E3920">
        <v>1227.99506666667</v>
      </c>
      <c r="F3920">
        <v>219</v>
      </c>
      <c r="G3920">
        <v>5.6072834094368398</v>
      </c>
      <c r="H3920">
        <v>7.1986666666666697</v>
      </c>
      <c r="I3920">
        <v>50.250045167603702</v>
      </c>
    </row>
    <row r="3921" spans="1:9" x14ac:dyDescent="0.35">
      <c r="A3921" s="417" t="s">
        <v>846</v>
      </c>
      <c r="B3921" s="417" t="s">
        <v>691</v>
      </c>
      <c r="C3921" s="83">
        <v>46090</v>
      </c>
      <c r="D3921" s="417" t="s">
        <v>309</v>
      </c>
      <c r="E3921">
        <v>1290.6785</v>
      </c>
      <c r="F3921">
        <v>150</v>
      </c>
      <c r="G3921">
        <v>8.6045233333333293</v>
      </c>
      <c r="H3921">
        <v>0</v>
      </c>
      <c r="I3921">
        <v>59.4146169573065</v>
      </c>
    </row>
    <row r="3922" spans="1:9" x14ac:dyDescent="0.35">
      <c r="A3922" s="417" t="s">
        <v>846</v>
      </c>
      <c r="B3922" s="417" t="s">
        <v>691</v>
      </c>
      <c r="C3922" s="83">
        <v>46090</v>
      </c>
      <c r="D3922" s="417" t="s">
        <v>303</v>
      </c>
      <c r="E3922">
        <v>1309.6443999999999</v>
      </c>
      <c r="F3922">
        <v>79</v>
      </c>
      <c r="G3922">
        <v>16.577777215189901</v>
      </c>
      <c r="H3922">
        <v>0.56423333333333303</v>
      </c>
      <c r="I3922">
        <v>50.018457125142604</v>
      </c>
    </row>
    <row r="3923" spans="1:9" x14ac:dyDescent="0.35">
      <c r="A3923" s="417" t="s">
        <v>846</v>
      </c>
      <c r="B3923" s="417" t="s">
        <v>691</v>
      </c>
      <c r="C3923" s="83">
        <v>46090</v>
      </c>
      <c r="D3923" s="417" t="s">
        <v>342</v>
      </c>
      <c r="E3923">
        <v>1284.4866999999999</v>
      </c>
      <c r="F3923">
        <v>75</v>
      </c>
      <c r="G3923">
        <v>17.1264893333333</v>
      </c>
      <c r="H3923">
        <v>131.66573333333301</v>
      </c>
      <c r="I3923">
        <v>38.249944495842499</v>
      </c>
    </row>
    <row r="3924" spans="1:9" x14ac:dyDescent="0.35">
      <c r="A3924" s="417" t="s">
        <v>846</v>
      </c>
      <c r="B3924" s="417" t="s">
        <v>691</v>
      </c>
      <c r="C3924" s="83">
        <v>46090</v>
      </c>
      <c r="D3924" s="417" t="s">
        <v>313</v>
      </c>
      <c r="E3924">
        <v>1159.2363</v>
      </c>
      <c r="F3924">
        <v>66</v>
      </c>
      <c r="G3924">
        <v>17.564186363636399</v>
      </c>
      <c r="H3924">
        <v>0.41510000000000002</v>
      </c>
      <c r="I3924">
        <v>34.863346725363002</v>
      </c>
    </row>
    <row r="3925" spans="1:9" x14ac:dyDescent="0.35">
      <c r="A3925" s="417" t="s">
        <v>846</v>
      </c>
      <c r="B3925" s="417" t="s">
        <v>691</v>
      </c>
      <c r="C3925" s="83">
        <v>46090</v>
      </c>
      <c r="D3925" s="417" t="s">
        <v>301</v>
      </c>
      <c r="E3925">
        <v>1360.0044166666701</v>
      </c>
      <c r="F3925">
        <v>64</v>
      </c>
      <c r="G3925">
        <v>21.250069010416698</v>
      </c>
      <c r="H3925">
        <v>3.3013166666666698</v>
      </c>
      <c r="I3925">
        <v>48.511339209502701</v>
      </c>
    </row>
    <row r="3926" spans="1:9" x14ac:dyDescent="0.35">
      <c r="A3926" s="417" t="s">
        <v>846</v>
      </c>
      <c r="B3926" s="417" t="s">
        <v>691</v>
      </c>
      <c r="C3926" s="83">
        <v>46090</v>
      </c>
      <c r="D3926" s="417" t="s">
        <v>295</v>
      </c>
      <c r="E3926">
        <v>1381.3573833333301</v>
      </c>
      <c r="F3926">
        <v>46</v>
      </c>
      <c r="G3926">
        <v>30.0295083333333</v>
      </c>
      <c r="H3926">
        <v>0.34148333333333297</v>
      </c>
      <c r="I3926">
        <v>66.605459285805793</v>
      </c>
    </row>
    <row r="3927" spans="1:9" x14ac:dyDescent="0.35">
      <c r="A3927" s="417" t="s">
        <v>846</v>
      </c>
      <c r="B3927" s="417" t="s">
        <v>691</v>
      </c>
      <c r="C3927" s="83">
        <v>46090</v>
      </c>
      <c r="D3927" s="417" t="s">
        <v>299</v>
      </c>
      <c r="E3927">
        <v>1391.9399000000001</v>
      </c>
      <c r="F3927">
        <v>43</v>
      </c>
      <c r="G3927">
        <v>32.370695348837202</v>
      </c>
      <c r="H3927">
        <v>0.26646666666666702</v>
      </c>
      <c r="I3927">
        <v>56.910321020784799</v>
      </c>
    </row>
    <row r="3928" spans="1:9" x14ac:dyDescent="0.35">
      <c r="A3928" s="417" t="s">
        <v>846</v>
      </c>
      <c r="B3928" s="417" t="s">
        <v>691</v>
      </c>
      <c r="C3928" s="83">
        <v>46090</v>
      </c>
      <c r="D3928" s="417" t="s">
        <v>314</v>
      </c>
      <c r="E3928">
        <v>1263.0507500000001</v>
      </c>
      <c r="F3928">
        <v>38</v>
      </c>
      <c r="G3928">
        <v>33.2381776315789</v>
      </c>
      <c r="H3928">
        <v>3.4164166666666702</v>
      </c>
      <c r="I3928">
        <v>25.950331264871501</v>
      </c>
    </row>
    <row r="3929" spans="1:9" x14ac:dyDescent="0.35">
      <c r="A3929" s="417" t="s">
        <v>846</v>
      </c>
      <c r="B3929" s="417" t="s">
        <v>691</v>
      </c>
      <c r="C3929" s="83">
        <v>46090</v>
      </c>
      <c r="D3929" s="417" t="s">
        <v>310</v>
      </c>
      <c r="E3929">
        <v>1383.4474666666699</v>
      </c>
      <c r="F3929">
        <v>15</v>
      </c>
      <c r="G3929">
        <v>92.229831111111096</v>
      </c>
      <c r="H3929">
        <v>1.73658333333333</v>
      </c>
      <c r="I3929">
        <v>41.911916333693803</v>
      </c>
    </row>
    <row r="3930" spans="1:9" x14ac:dyDescent="0.35">
      <c r="A3930" s="417" t="s">
        <v>846</v>
      </c>
      <c r="B3930" s="417" t="s">
        <v>691</v>
      </c>
      <c r="C3930" s="83">
        <v>46090</v>
      </c>
      <c r="D3930" s="417" t="s">
        <v>317</v>
      </c>
      <c r="E3930">
        <v>1410.79011666667</v>
      </c>
      <c r="F3930">
        <v>6</v>
      </c>
      <c r="G3930">
        <v>235.13168611111101</v>
      </c>
      <c r="H3930">
        <v>3.4134333333333302</v>
      </c>
      <c r="I3930">
        <v>27.4394729103884</v>
      </c>
    </row>
    <row r="3931" spans="1:9" x14ac:dyDescent="0.35">
      <c r="A3931" s="417" t="s">
        <v>846</v>
      </c>
      <c r="B3931" s="417" t="s">
        <v>691</v>
      </c>
      <c r="C3931" s="83">
        <v>46090</v>
      </c>
      <c r="D3931" s="417" t="s">
        <v>504</v>
      </c>
      <c r="E3931">
        <v>1440</v>
      </c>
      <c r="F3931">
        <v>1</v>
      </c>
      <c r="G3931">
        <v>1440</v>
      </c>
      <c r="H3931">
        <v>0</v>
      </c>
      <c r="I3931">
        <v>36.112191358024702</v>
      </c>
    </row>
    <row r="3932" spans="1:9" x14ac:dyDescent="0.35">
      <c r="A3932" s="417" t="s">
        <v>846</v>
      </c>
      <c r="B3932" s="417" t="s">
        <v>676</v>
      </c>
      <c r="C3932" s="83">
        <v>46089</v>
      </c>
      <c r="D3932" s="417" t="s">
        <v>677</v>
      </c>
      <c r="E3932">
        <v>592.00218333333305</v>
      </c>
      <c r="F3932">
        <v>481</v>
      </c>
      <c r="G3932">
        <v>1.23077376992377</v>
      </c>
      <c r="H3932">
        <v>302.53983333333298</v>
      </c>
      <c r="I3932">
        <v>2.5297222222222202</v>
      </c>
    </row>
    <row r="3933" spans="1:9" x14ac:dyDescent="0.35">
      <c r="A3933" s="417" t="s">
        <v>846</v>
      </c>
      <c r="B3933" s="417" t="s">
        <v>676</v>
      </c>
      <c r="C3933" s="83">
        <v>46089</v>
      </c>
      <c r="D3933" s="417" t="s">
        <v>679</v>
      </c>
      <c r="E3933">
        <v>1310.50035</v>
      </c>
      <c r="F3933">
        <v>24</v>
      </c>
      <c r="G3933">
        <v>54.604181250000003</v>
      </c>
      <c r="H3933">
        <v>20.833883333333301</v>
      </c>
      <c r="I3933">
        <v>31.126675377846102</v>
      </c>
    </row>
    <row r="3934" spans="1:9" x14ac:dyDescent="0.35">
      <c r="A3934" s="417" t="s">
        <v>846</v>
      </c>
      <c r="B3934" s="417" t="s">
        <v>680</v>
      </c>
      <c r="C3934" s="83">
        <v>46089</v>
      </c>
      <c r="D3934" s="417" t="s">
        <v>681</v>
      </c>
      <c r="E3934">
        <v>1307.8043500000001</v>
      </c>
      <c r="F3934">
        <v>186</v>
      </c>
      <c r="G3934">
        <v>7.0312061827957004</v>
      </c>
      <c r="H3934">
        <v>0</v>
      </c>
      <c r="I3934">
        <v>67.591123667951294</v>
      </c>
    </row>
    <row r="3935" spans="1:9" x14ac:dyDescent="0.35">
      <c r="A3935" s="417" t="s">
        <v>846</v>
      </c>
      <c r="B3935" s="417" t="s">
        <v>680</v>
      </c>
      <c r="C3935" s="83">
        <v>46089</v>
      </c>
      <c r="D3935" s="417" t="s">
        <v>683</v>
      </c>
      <c r="E3935">
        <v>1381.20111666667</v>
      </c>
      <c r="F3935">
        <v>28</v>
      </c>
      <c r="G3935">
        <v>49.328611309523801</v>
      </c>
      <c r="H3935">
        <v>2.48966666666667</v>
      </c>
      <c r="I3935">
        <v>53.113698945087897</v>
      </c>
    </row>
    <row r="3936" spans="1:9" x14ac:dyDescent="0.35">
      <c r="A3936" s="417" t="s">
        <v>846</v>
      </c>
      <c r="B3936" s="417" t="s">
        <v>680</v>
      </c>
      <c r="C3936" s="83">
        <v>46089</v>
      </c>
      <c r="D3936" s="417" t="s">
        <v>690</v>
      </c>
      <c r="E3936">
        <v>1358.6453833333301</v>
      </c>
      <c r="F3936">
        <v>26</v>
      </c>
      <c r="G3936">
        <v>52.255591666666703</v>
      </c>
      <c r="H3936">
        <v>19.3463833333333</v>
      </c>
      <c r="I3936">
        <v>50.632689003798802</v>
      </c>
    </row>
    <row r="3937" spans="1:9" x14ac:dyDescent="0.35">
      <c r="A3937" s="417" t="s">
        <v>846</v>
      </c>
      <c r="B3937" s="417" t="s">
        <v>680</v>
      </c>
      <c r="C3937" s="83">
        <v>46089</v>
      </c>
      <c r="D3937" s="417" t="s">
        <v>684</v>
      </c>
      <c r="E3937">
        <v>1426.00683333333</v>
      </c>
      <c r="F3937">
        <v>23</v>
      </c>
      <c r="G3937">
        <v>62.000297101449299</v>
      </c>
      <c r="H3937">
        <v>9.4857166666666703</v>
      </c>
      <c r="I3937">
        <v>66.103054628150204</v>
      </c>
    </row>
    <row r="3938" spans="1:9" x14ac:dyDescent="0.35">
      <c r="A3938" s="417" t="s">
        <v>846</v>
      </c>
      <c r="B3938" s="417" t="s">
        <v>680</v>
      </c>
      <c r="C3938" s="83">
        <v>46089</v>
      </c>
      <c r="D3938" s="417" t="s">
        <v>689</v>
      </c>
      <c r="E3938">
        <v>1422.19561666667</v>
      </c>
      <c r="F3938">
        <v>22</v>
      </c>
      <c r="G3938">
        <v>64.645255303030297</v>
      </c>
      <c r="H3938">
        <v>1.01515</v>
      </c>
      <c r="I3938">
        <v>73.757970723314401</v>
      </c>
    </row>
    <row r="3939" spans="1:9" x14ac:dyDescent="0.35">
      <c r="A3939" s="417" t="s">
        <v>846</v>
      </c>
      <c r="B3939" s="417" t="s">
        <v>680</v>
      </c>
      <c r="C3939" s="83">
        <v>46089</v>
      </c>
      <c r="D3939" s="417" t="s">
        <v>682</v>
      </c>
      <c r="E3939">
        <v>1423.64691666667</v>
      </c>
      <c r="F3939">
        <v>17</v>
      </c>
      <c r="G3939">
        <v>83.743936274509807</v>
      </c>
      <c r="H3939">
        <v>16.353083333333299</v>
      </c>
      <c r="I3939">
        <v>65.699404761904802</v>
      </c>
    </row>
    <row r="3940" spans="1:9" x14ac:dyDescent="0.35">
      <c r="A3940" s="417" t="s">
        <v>846</v>
      </c>
      <c r="B3940" s="417" t="s">
        <v>680</v>
      </c>
      <c r="C3940" s="83">
        <v>46089</v>
      </c>
      <c r="D3940" s="417" t="s">
        <v>687</v>
      </c>
      <c r="E3940">
        <v>1285.15668333333</v>
      </c>
      <c r="F3940">
        <v>9</v>
      </c>
      <c r="G3940">
        <v>142.79518703703701</v>
      </c>
      <c r="H3940">
        <v>8.3274000000000008</v>
      </c>
      <c r="I3940">
        <v>38.206866386494099</v>
      </c>
    </row>
    <row r="3941" spans="1:9" x14ac:dyDescent="0.35">
      <c r="A3941" s="417" t="s">
        <v>846</v>
      </c>
      <c r="B3941" s="417" t="s">
        <v>680</v>
      </c>
      <c r="C3941" s="83">
        <v>46089</v>
      </c>
      <c r="D3941" s="417" t="s">
        <v>685</v>
      </c>
      <c r="E3941">
        <v>1431.8222000000001</v>
      </c>
      <c r="F3941">
        <v>5</v>
      </c>
      <c r="G3941">
        <v>286.36444</v>
      </c>
      <c r="H3941">
        <v>3.0015666666666698</v>
      </c>
      <c r="I3941">
        <v>72.920851925697406</v>
      </c>
    </row>
    <row r="3942" spans="1:9" x14ac:dyDescent="0.35">
      <c r="A3942" s="417" t="s">
        <v>846</v>
      </c>
      <c r="B3942" s="417" t="s">
        <v>680</v>
      </c>
      <c r="C3942" s="83">
        <v>46089</v>
      </c>
      <c r="D3942" s="417" t="s">
        <v>688</v>
      </c>
      <c r="E3942">
        <v>1425.1647</v>
      </c>
      <c r="F3942">
        <v>4</v>
      </c>
      <c r="G3942">
        <v>356.29117500000001</v>
      </c>
      <c r="H3942">
        <v>8.8406333333333293</v>
      </c>
      <c r="I3942">
        <v>65.072481632531606</v>
      </c>
    </row>
    <row r="3943" spans="1:9" x14ac:dyDescent="0.35">
      <c r="A3943" s="417" t="s">
        <v>846</v>
      </c>
      <c r="B3943" s="417" t="s">
        <v>680</v>
      </c>
      <c r="C3943" s="83">
        <v>46089</v>
      </c>
      <c r="D3943" s="417" t="s">
        <v>686</v>
      </c>
      <c r="E3943">
        <v>1440</v>
      </c>
      <c r="F3943">
        <v>1</v>
      </c>
      <c r="G3943">
        <v>1440</v>
      </c>
      <c r="H3943">
        <v>0</v>
      </c>
      <c r="I3943">
        <v>30.6845238095238</v>
      </c>
    </row>
    <row r="3944" spans="1:9" x14ac:dyDescent="0.35">
      <c r="A3944" s="417" t="s">
        <v>846</v>
      </c>
      <c r="B3944" s="417" t="s">
        <v>691</v>
      </c>
      <c r="C3944" s="83">
        <v>46089</v>
      </c>
      <c r="D3944" s="417" t="s">
        <v>305</v>
      </c>
      <c r="E3944">
        <v>1197.8227999999999</v>
      </c>
      <c r="F3944">
        <v>301</v>
      </c>
      <c r="G3944">
        <v>3.97947774086379</v>
      </c>
      <c r="H3944">
        <v>15.288116666666699</v>
      </c>
      <c r="I3944">
        <v>53.102116198085398</v>
      </c>
    </row>
    <row r="3945" spans="1:9" x14ac:dyDescent="0.35">
      <c r="A3945" s="417" t="s">
        <v>846</v>
      </c>
      <c r="B3945" s="417" t="s">
        <v>691</v>
      </c>
      <c r="C3945" s="83">
        <v>46089</v>
      </c>
      <c r="D3945" s="417" t="s">
        <v>309</v>
      </c>
      <c r="E3945">
        <v>1289.64668333333</v>
      </c>
      <c r="F3945">
        <v>204</v>
      </c>
      <c r="G3945">
        <v>6.3217974673202599</v>
      </c>
      <c r="H3945">
        <v>0.14099999999999999</v>
      </c>
      <c r="I3945">
        <v>53.578063068575297</v>
      </c>
    </row>
    <row r="3946" spans="1:9" x14ac:dyDescent="0.35">
      <c r="A3946" s="417" t="s">
        <v>846</v>
      </c>
      <c r="B3946" s="417" t="s">
        <v>691</v>
      </c>
      <c r="C3946" s="83">
        <v>46089</v>
      </c>
      <c r="D3946" s="417" t="s">
        <v>301</v>
      </c>
      <c r="E3946">
        <v>1301.4209333333299</v>
      </c>
      <c r="F3946">
        <v>82</v>
      </c>
      <c r="G3946">
        <v>15.8709869918699</v>
      </c>
      <c r="H3946">
        <v>0.99956666666666705</v>
      </c>
      <c r="I3946">
        <v>64.156150591594795</v>
      </c>
    </row>
    <row r="3947" spans="1:9" x14ac:dyDescent="0.35">
      <c r="A3947" s="417" t="s">
        <v>846</v>
      </c>
      <c r="B3947" s="417" t="s">
        <v>691</v>
      </c>
      <c r="C3947" s="83">
        <v>46089</v>
      </c>
      <c r="D3947" s="417" t="s">
        <v>295</v>
      </c>
      <c r="E3947">
        <v>1384.5099</v>
      </c>
      <c r="F3947">
        <v>78</v>
      </c>
      <c r="G3947">
        <v>17.750126923076898</v>
      </c>
      <c r="H3947">
        <v>0.61480000000000001</v>
      </c>
      <c r="I3947">
        <v>71.951523483158795</v>
      </c>
    </row>
    <row r="3948" spans="1:9" x14ac:dyDescent="0.35">
      <c r="A3948" s="417" t="s">
        <v>846</v>
      </c>
      <c r="B3948" s="417" t="s">
        <v>691</v>
      </c>
      <c r="C3948" s="83">
        <v>46089</v>
      </c>
      <c r="D3948" s="417" t="s">
        <v>303</v>
      </c>
      <c r="E3948">
        <v>1372.22796666667</v>
      </c>
      <c r="F3948">
        <v>60</v>
      </c>
      <c r="G3948">
        <v>22.870466111111099</v>
      </c>
      <c r="H3948">
        <v>0.42131666666666701</v>
      </c>
      <c r="I3948">
        <v>53.813607022823902</v>
      </c>
    </row>
    <row r="3949" spans="1:9" x14ac:dyDescent="0.35">
      <c r="A3949" s="417" t="s">
        <v>846</v>
      </c>
      <c r="B3949" s="417" t="s">
        <v>691</v>
      </c>
      <c r="C3949" s="83">
        <v>46089</v>
      </c>
      <c r="D3949" s="417" t="s">
        <v>313</v>
      </c>
      <c r="E3949">
        <v>1339.9304</v>
      </c>
      <c r="F3949">
        <v>55</v>
      </c>
      <c r="G3949">
        <v>24.362370909090899</v>
      </c>
      <c r="H3949">
        <v>0.25281666666666702</v>
      </c>
      <c r="I3949">
        <v>44.054318606886802</v>
      </c>
    </row>
    <row r="3950" spans="1:9" x14ac:dyDescent="0.35">
      <c r="A3950" s="417" t="s">
        <v>846</v>
      </c>
      <c r="B3950" s="417" t="s">
        <v>691</v>
      </c>
      <c r="C3950" s="83">
        <v>46089</v>
      </c>
      <c r="D3950" s="417" t="s">
        <v>342</v>
      </c>
      <c r="E3950">
        <v>1337.01336666667</v>
      </c>
      <c r="F3950">
        <v>52</v>
      </c>
      <c r="G3950">
        <v>25.711795512820501</v>
      </c>
      <c r="H3950">
        <v>76.178833333333301</v>
      </c>
      <c r="I3950">
        <v>58.6805555555556</v>
      </c>
    </row>
    <row r="3951" spans="1:9" x14ac:dyDescent="0.35">
      <c r="A3951" s="417" t="s">
        <v>846</v>
      </c>
      <c r="B3951" s="417" t="s">
        <v>691</v>
      </c>
      <c r="C3951" s="83">
        <v>46089</v>
      </c>
      <c r="D3951" s="417" t="s">
        <v>314</v>
      </c>
      <c r="E3951">
        <v>1325.0016499999999</v>
      </c>
      <c r="F3951">
        <v>45</v>
      </c>
      <c r="G3951">
        <v>29.444481111111099</v>
      </c>
      <c r="H3951">
        <v>1.2350333333333301</v>
      </c>
      <c r="I3951">
        <v>35.671581006432497</v>
      </c>
    </row>
    <row r="3952" spans="1:9" x14ac:dyDescent="0.35">
      <c r="A3952" s="417" t="s">
        <v>846</v>
      </c>
      <c r="B3952" s="417" t="s">
        <v>691</v>
      </c>
      <c r="C3952" s="83">
        <v>46089</v>
      </c>
      <c r="D3952" s="417" t="s">
        <v>299</v>
      </c>
      <c r="E3952">
        <v>1383.0615333333301</v>
      </c>
      <c r="F3952">
        <v>43</v>
      </c>
      <c r="G3952">
        <v>32.164221705426399</v>
      </c>
      <c r="H3952">
        <v>0.59806666666666697</v>
      </c>
      <c r="I3952">
        <v>74.319980399011399</v>
      </c>
    </row>
    <row r="3953" spans="1:9" x14ac:dyDescent="0.35">
      <c r="A3953" s="417" t="s">
        <v>846</v>
      </c>
      <c r="B3953" s="417" t="s">
        <v>691</v>
      </c>
      <c r="C3953" s="83">
        <v>46089</v>
      </c>
      <c r="D3953" s="417" t="s">
        <v>310</v>
      </c>
      <c r="E3953">
        <v>1413.1121333333299</v>
      </c>
      <c r="F3953">
        <v>27</v>
      </c>
      <c r="G3953">
        <v>52.337486419753098</v>
      </c>
      <c r="H3953">
        <v>1.3738666666666699</v>
      </c>
      <c r="I3953">
        <v>44.281733045571002</v>
      </c>
    </row>
    <row r="3954" spans="1:9" x14ac:dyDescent="0.35">
      <c r="A3954" s="417" t="s">
        <v>846</v>
      </c>
      <c r="B3954" s="417" t="s">
        <v>691</v>
      </c>
      <c r="C3954" s="83">
        <v>46089</v>
      </c>
      <c r="D3954" s="417" t="s">
        <v>317</v>
      </c>
      <c r="E3954">
        <v>1435.09793333333</v>
      </c>
      <c r="F3954">
        <v>6</v>
      </c>
      <c r="G3954">
        <v>239.18298888888901</v>
      </c>
      <c r="H3954">
        <v>4.39408333333333</v>
      </c>
      <c r="I3954">
        <v>29.955034832252899</v>
      </c>
    </row>
    <row r="3955" spans="1:9" x14ac:dyDescent="0.35">
      <c r="A3955" s="417" t="s">
        <v>846</v>
      </c>
      <c r="B3955" s="417" t="s">
        <v>691</v>
      </c>
      <c r="C3955" s="83">
        <v>46089</v>
      </c>
      <c r="D3955" s="417" t="s">
        <v>504</v>
      </c>
      <c r="E3955">
        <v>1440</v>
      </c>
      <c r="F3955">
        <v>1</v>
      </c>
      <c r="G3955">
        <v>1440</v>
      </c>
      <c r="H3955">
        <v>0</v>
      </c>
      <c r="I3955">
        <v>37.574691358024701</v>
      </c>
    </row>
    <row r="3956" spans="1:9" x14ac:dyDescent="0.35">
      <c r="A3956" s="417" t="s">
        <v>846</v>
      </c>
      <c r="B3956" s="417" t="s">
        <v>676</v>
      </c>
      <c r="C3956" s="83">
        <v>46088</v>
      </c>
      <c r="D3956" s="417" t="s">
        <v>677</v>
      </c>
      <c r="E3956">
        <v>526.13248333333297</v>
      </c>
      <c r="F3956">
        <v>492</v>
      </c>
      <c r="G3956">
        <v>1.0693749661246601</v>
      </c>
      <c r="H3956">
        <v>402.5686</v>
      </c>
      <c r="I3956">
        <v>1.5419444444444701</v>
      </c>
    </row>
    <row r="3957" spans="1:9" x14ac:dyDescent="0.35">
      <c r="A3957" s="417" t="s">
        <v>846</v>
      </c>
      <c r="B3957" s="417" t="s">
        <v>676</v>
      </c>
      <c r="C3957" s="83">
        <v>46088</v>
      </c>
      <c r="D3957" s="417" t="s">
        <v>679</v>
      </c>
      <c r="E3957">
        <v>1358.6512166666701</v>
      </c>
      <c r="F3957">
        <v>30</v>
      </c>
      <c r="G3957">
        <v>45.288373888888898</v>
      </c>
      <c r="H3957">
        <v>35.168066666666697</v>
      </c>
      <c r="I3957">
        <v>51.5296357704526</v>
      </c>
    </row>
    <row r="3958" spans="1:9" x14ac:dyDescent="0.35">
      <c r="A3958" s="417" t="s">
        <v>846</v>
      </c>
      <c r="B3958" s="417" t="s">
        <v>680</v>
      </c>
      <c r="C3958" s="83">
        <v>46088</v>
      </c>
      <c r="D3958" s="417" t="s">
        <v>681</v>
      </c>
      <c r="E3958">
        <v>978.57105000000001</v>
      </c>
      <c r="F3958">
        <v>70</v>
      </c>
      <c r="G3958">
        <v>13.9795864285714</v>
      </c>
      <c r="H3958">
        <v>0.83306666666666696</v>
      </c>
      <c r="I3958">
        <v>36.792296634616399</v>
      </c>
    </row>
    <row r="3959" spans="1:9" x14ac:dyDescent="0.35">
      <c r="A3959" s="417" t="s">
        <v>846</v>
      </c>
      <c r="B3959" s="417" t="s">
        <v>680</v>
      </c>
      <c r="C3959" s="83">
        <v>46088</v>
      </c>
      <c r="D3959" s="417" t="s">
        <v>689</v>
      </c>
      <c r="E3959">
        <v>981.34431666666705</v>
      </c>
      <c r="F3959">
        <v>45</v>
      </c>
      <c r="G3959">
        <v>21.8076514814815</v>
      </c>
      <c r="H3959">
        <v>1.1608833333333299</v>
      </c>
      <c r="I3959">
        <v>36.254379158708197</v>
      </c>
    </row>
    <row r="3960" spans="1:9" x14ac:dyDescent="0.35">
      <c r="A3960" s="417" t="s">
        <v>846</v>
      </c>
      <c r="B3960" s="417" t="s">
        <v>680</v>
      </c>
      <c r="C3960" s="83">
        <v>46088</v>
      </c>
      <c r="D3960" s="417" t="s">
        <v>683</v>
      </c>
      <c r="E3960">
        <v>1017.6420000000001</v>
      </c>
      <c r="F3960">
        <v>42</v>
      </c>
      <c r="G3960">
        <v>24.229571428571401</v>
      </c>
      <c r="H3960">
        <v>0.67401666666666704</v>
      </c>
      <c r="I3960">
        <v>23.7211626373808</v>
      </c>
    </row>
    <row r="3961" spans="1:9" x14ac:dyDescent="0.35">
      <c r="A3961" s="417" t="s">
        <v>846</v>
      </c>
      <c r="B3961" s="417" t="s">
        <v>680</v>
      </c>
      <c r="C3961" s="83">
        <v>46088</v>
      </c>
      <c r="D3961" s="417" t="s">
        <v>684</v>
      </c>
      <c r="E3961">
        <v>829.67904999999996</v>
      </c>
      <c r="F3961">
        <v>29</v>
      </c>
      <c r="G3961">
        <v>28.609622413793101</v>
      </c>
      <c r="H3961">
        <v>16.170449999999999</v>
      </c>
      <c r="I3961">
        <v>24.222540587588899</v>
      </c>
    </row>
    <row r="3962" spans="1:9" x14ac:dyDescent="0.35">
      <c r="A3962" s="417" t="s">
        <v>846</v>
      </c>
      <c r="B3962" s="417" t="s">
        <v>680</v>
      </c>
      <c r="C3962" s="83">
        <v>46088</v>
      </c>
      <c r="D3962" s="417" t="s">
        <v>690</v>
      </c>
      <c r="E3962">
        <v>1044.37048333333</v>
      </c>
      <c r="F3962">
        <v>18</v>
      </c>
      <c r="G3962">
        <v>58.020582407407403</v>
      </c>
      <c r="H3962">
        <v>14.6502</v>
      </c>
      <c r="I3962">
        <v>19.268884896642</v>
      </c>
    </row>
    <row r="3963" spans="1:9" x14ac:dyDescent="0.35">
      <c r="A3963" s="417" t="s">
        <v>846</v>
      </c>
      <c r="B3963" s="417" t="s">
        <v>680</v>
      </c>
      <c r="C3963" s="83">
        <v>46088</v>
      </c>
      <c r="D3963" s="417" t="s">
        <v>688</v>
      </c>
      <c r="E3963">
        <v>981.12943333333305</v>
      </c>
      <c r="F3963">
        <v>15</v>
      </c>
      <c r="G3963">
        <v>65.408628888888899</v>
      </c>
      <c r="H3963">
        <v>6.3354499999999998</v>
      </c>
      <c r="I3963">
        <v>30.830972468840798</v>
      </c>
    </row>
    <row r="3964" spans="1:9" x14ac:dyDescent="0.35">
      <c r="A3964" s="417" t="s">
        <v>846</v>
      </c>
      <c r="B3964" s="417" t="s">
        <v>680</v>
      </c>
      <c r="C3964" s="83">
        <v>46088</v>
      </c>
      <c r="D3964" s="417" t="s">
        <v>687</v>
      </c>
      <c r="E3964">
        <v>1019.16495</v>
      </c>
      <c r="F3964">
        <v>11</v>
      </c>
      <c r="G3964">
        <v>92.651359090909096</v>
      </c>
      <c r="H3964">
        <v>10.846349999999999</v>
      </c>
      <c r="I3964">
        <v>24.013708912117298</v>
      </c>
    </row>
    <row r="3965" spans="1:9" x14ac:dyDescent="0.35">
      <c r="A3965" s="417" t="s">
        <v>846</v>
      </c>
      <c r="B3965" s="417" t="s">
        <v>680</v>
      </c>
      <c r="C3965" s="83">
        <v>46088</v>
      </c>
      <c r="D3965" s="417" t="s">
        <v>682</v>
      </c>
      <c r="E3965">
        <v>1078.3396333333301</v>
      </c>
      <c r="F3965">
        <v>3</v>
      </c>
      <c r="G3965">
        <v>359.44654444444399</v>
      </c>
      <c r="H3965">
        <v>1.6603666666666701</v>
      </c>
      <c r="I3965">
        <v>31.593915343915299</v>
      </c>
    </row>
    <row r="3966" spans="1:9" x14ac:dyDescent="0.35">
      <c r="A3966" s="417" t="s">
        <v>846</v>
      </c>
      <c r="B3966" s="417" t="s">
        <v>680</v>
      </c>
      <c r="C3966" s="83">
        <v>46088</v>
      </c>
      <c r="D3966" s="417" t="s">
        <v>686</v>
      </c>
      <c r="E3966">
        <v>600</v>
      </c>
      <c r="F3966">
        <v>1</v>
      </c>
      <c r="G3966">
        <v>600</v>
      </c>
      <c r="H3966">
        <v>0</v>
      </c>
      <c r="I3966">
        <v>31.1904761904762</v>
      </c>
    </row>
    <row r="3967" spans="1:9" x14ac:dyDescent="0.35">
      <c r="A3967" s="417" t="s">
        <v>846</v>
      </c>
      <c r="B3967" s="417" t="s">
        <v>680</v>
      </c>
      <c r="C3967" s="83">
        <v>46088</v>
      </c>
      <c r="D3967" s="417" t="s">
        <v>685</v>
      </c>
      <c r="E3967">
        <v>1067.3383166666699</v>
      </c>
      <c r="F3967">
        <v>1</v>
      </c>
      <c r="G3967">
        <v>1067.3383166666699</v>
      </c>
      <c r="H3967">
        <v>0</v>
      </c>
      <c r="I3967">
        <v>29.813816364063399</v>
      </c>
    </row>
    <row r="3968" spans="1:9" x14ac:dyDescent="0.35">
      <c r="A3968" s="417" t="s">
        <v>846</v>
      </c>
      <c r="B3968" s="417" t="s">
        <v>691</v>
      </c>
      <c r="C3968" s="83">
        <v>46088</v>
      </c>
      <c r="D3968" s="417" t="s">
        <v>305</v>
      </c>
      <c r="E3968">
        <v>1315.2079333333299</v>
      </c>
      <c r="F3968">
        <v>174</v>
      </c>
      <c r="G3968">
        <v>7.5586662835249099</v>
      </c>
      <c r="H3968">
        <v>5.1554833333333301</v>
      </c>
      <c r="I3968">
        <v>52.080540423475902</v>
      </c>
    </row>
    <row r="3969" spans="1:9" x14ac:dyDescent="0.35">
      <c r="A3969" s="417" t="s">
        <v>846</v>
      </c>
      <c r="B3969" s="417" t="s">
        <v>691</v>
      </c>
      <c r="C3969" s="83">
        <v>46088</v>
      </c>
      <c r="D3969" s="417" t="s">
        <v>301</v>
      </c>
      <c r="E3969">
        <v>1301.3829166666701</v>
      </c>
      <c r="F3969">
        <v>143</v>
      </c>
      <c r="G3969">
        <v>9.1005798368298407</v>
      </c>
      <c r="H3969">
        <v>5.68868333333333</v>
      </c>
      <c r="I3969">
        <v>70.451482377178493</v>
      </c>
    </row>
    <row r="3970" spans="1:9" x14ac:dyDescent="0.35">
      <c r="A3970" s="417" t="s">
        <v>846</v>
      </c>
      <c r="B3970" s="417" t="s">
        <v>691</v>
      </c>
      <c r="C3970" s="83">
        <v>46088</v>
      </c>
      <c r="D3970" s="417" t="s">
        <v>309</v>
      </c>
      <c r="E3970">
        <v>1285.51248333333</v>
      </c>
      <c r="F3970">
        <v>142</v>
      </c>
      <c r="G3970">
        <v>9.0529048122065703</v>
      </c>
      <c r="H3970">
        <v>0</v>
      </c>
      <c r="I3970">
        <v>53.889838008946398</v>
      </c>
    </row>
    <row r="3971" spans="1:9" x14ac:dyDescent="0.35">
      <c r="A3971" s="417" t="s">
        <v>846</v>
      </c>
      <c r="B3971" s="417" t="s">
        <v>691</v>
      </c>
      <c r="C3971" s="83">
        <v>46088</v>
      </c>
      <c r="D3971" s="417" t="s">
        <v>303</v>
      </c>
      <c r="E3971">
        <v>1317.48426666667</v>
      </c>
      <c r="F3971">
        <v>107</v>
      </c>
      <c r="G3971">
        <v>12.312937071651101</v>
      </c>
      <c r="H3971">
        <v>0.61103333333333298</v>
      </c>
      <c r="I3971">
        <v>56.166693878161198</v>
      </c>
    </row>
    <row r="3972" spans="1:9" x14ac:dyDescent="0.35">
      <c r="A3972" s="417" t="s">
        <v>846</v>
      </c>
      <c r="B3972" s="417" t="s">
        <v>691</v>
      </c>
      <c r="C3972" s="83">
        <v>46088</v>
      </c>
      <c r="D3972" s="417" t="s">
        <v>299</v>
      </c>
      <c r="E3972">
        <v>1364.0578166666701</v>
      </c>
      <c r="F3972">
        <v>56</v>
      </c>
      <c r="G3972">
        <v>24.358175297618999</v>
      </c>
      <c r="H3972">
        <v>0.54146666666666698</v>
      </c>
      <c r="I3972">
        <v>75.836456721181804</v>
      </c>
    </row>
    <row r="3973" spans="1:9" x14ac:dyDescent="0.35">
      <c r="A3973" s="417" t="s">
        <v>846</v>
      </c>
      <c r="B3973" s="417" t="s">
        <v>691</v>
      </c>
      <c r="C3973" s="83">
        <v>46088</v>
      </c>
      <c r="D3973" s="417" t="s">
        <v>295</v>
      </c>
      <c r="E3973">
        <v>1372.7190000000001</v>
      </c>
      <c r="F3973">
        <v>52</v>
      </c>
      <c r="G3973">
        <v>26.398442307692299</v>
      </c>
      <c r="H3973">
        <v>0.24156666666666701</v>
      </c>
      <c r="I3973">
        <v>72.859373380393095</v>
      </c>
    </row>
    <row r="3974" spans="1:9" x14ac:dyDescent="0.35">
      <c r="A3974" s="417" t="s">
        <v>846</v>
      </c>
      <c r="B3974" s="417" t="s">
        <v>691</v>
      </c>
      <c r="C3974" s="83">
        <v>46088</v>
      </c>
      <c r="D3974" s="417" t="s">
        <v>313</v>
      </c>
      <c r="E3974">
        <v>1310.81586666667</v>
      </c>
      <c r="F3974">
        <v>49</v>
      </c>
      <c r="G3974">
        <v>26.751344217687102</v>
      </c>
      <c r="H3974">
        <v>0</v>
      </c>
      <c r="I3974">
        <v>56.1550727048729</v>
      </c>
    </row>
    <row r="3975" spans="1:9" x14ac:dyDescent="0.35">
      <c r="A3975" s="417" t="s">
        <v>846</v>
      </c>
      <c r="B3975" s="417" t="s">
        <v>691</v>
      </c>
      <c r="C3975" s="83">
        <v>46088</v>
      </c>
      <c r="D3975" s="417" t="s">
        <v>342</v>
      </c>
      <c r="E3975">
        <v>1381.4823833333301</v>
      </c>
      <c r="F3975">
        <v>36</v>
      </c>
      <c r="G3975">
        <v>38.374510648148103</v>
      </c>
      <c r="H3975">
        <v>45.006700000000002</v>
      </c>
      <c r="I3975">
        <v>55.992063492063401</v>
      </c>
    </row>
    <row r="3976" spans="1:9" x14ac:dyDescent="0.35">
      <c r="A3976" s="417" t="s">
        <v>846</v>
      </c>
      <c r="B3976" s="417" t="s">
        <v>691</v>
      </c>
      <c r="C3976" s="83">
        <v>46088</v>
      </c>
      <c r="D3976" s="417" t="s">
        <v>314</v>
      </c>
      <c r="E3976">
        <v>1407.36745</v>
      </c>
      <c r="F3976">
        <v>32</v>
      </c>
      <c r="G3976">
        <v>43.980232812499999</v>
      </c>
      <c r="H3976">
        <v>2.3274499999999998</v>
      </c>
      <c r="I3976">
        <v>46.594860374941597</v>
      </c>
    </row>
    <row r="3977" spans="1:9" x14ac:dyDescent="0.35">
      <c r="A3977" s="417" t="s">
        <v>846</v>
      </c>
      <c r="B3977" s="417" t="s">
        <v>691</v>
      </c>
      <c r="C3977" s="83">
        <v>46088</v>
      </c>
      <c r="D3977" s="417" t="s">
        <v>310</v>
      </c>
      <c r="E3977">
        <v>1333.9726333333299</v>
      </c>
      <c r="F3977">
        <v>16</v>
      </c>
      <c r="G3977">
        <v>83.373289583333303</v>
      </c>
      <c r="H3977">
        <v>0.52164999999999995</v>
      </c>
      <c r="I3977">
        <v>52.183519778470902</v>
      </c>
    </row>
    <row r="3978" spans="1:9" x14ac:dyDescent="0.35">
      <c r="A3978" s="417" t="s">
        <v>846</v>
      </c>
      <c r="B3978" s="417" t="s">
        <v>691</v>
      </c>
      <c r="C3978" s="83">
        <v>46088</v>
      </c>
      <c r="D3978" s="417" t="s">
        <v>317</v>
      </c>
      <c r="E3978">
        <v>1437.4599499999999</v>
      </c>
      <c r="F3978">
        <v>5</v>
      </c>
      <c r="G3978">
        <v>287.49198999999999</v>
      </c>
      <c r="H3978">
        <v>1.26853333333333</v>
      </c>
      <c r="I3978">
        <v>38.527074873485802</v>
      </c>
    </row>
    <row r="3979" spans="1:9" x14ac:dyDescent="0.35">
      <c r="A3979" s="417" t="s">
        <v>846</v>
      </c>
      <c r="B3979" s="417" t="s">
        <v>691</v>
      </c>
      <c r="C3979" s="83">
        <v>46088</v>
      </c>
      <c r="D3979" s="417" t="s">
        <v>504</v>
      </c>
      <c r="E3979">
        <v>1440</v>
      </c>
      <c r="F3979">
        <v>1</v>
      </c>
      <c r="G3979">
        <v>1440</v>
      </c>
      <c r="H3979">
        <v>0</v>
      </c>
      <c r="I3979">
        <v>34.691049382716002</v>
      </c>
    </row>
    <row r="3980" spans="1:9" x14ac:dyDescent="0.35">
      <c r="A3980" s="417" t="s">
        <v>846</v>
      </c>
      <c r="B3980" s="417" t="s">
        <v>676</v>
      </c>
      <c r="C3980" s="83">
        <v>46087</v>
      </c>
      <c r="D3980" s="417" t="s">
        <v>677</v>
      </c>
      <c r="E3980">
        <v>428.045866666667</v>
      </c>
      <c r="F3980">
        <v>586</v>
      </c>
      <c r="G3980">
        <v>0.73045369738339005</v>
      </c>
      <c r="H3980">
        <v>423.57810000000001</v>
      </c>
      <c r="I3980">
        <v>2.1241666666666501</v>
      </c>
    </row>
    <row r="3981" spans="1:9" x14ac:dyDescent="0.35">
      <c r="A3981" s="417" t="s">
        <v>846</v>
      </c>
      <c r="B3981" s="417" t="s">
        <v>676</v>
      </c>
      <c r="C3981" s="83">
        <v>46087</v>
      </c>
      <c r="D3981" s="417" t="s">
        <v>679</v>
      </c>
      <c r="E3981">
        <v>1217.17243333333</v>
      </c>
      <c r="F3981">
        <v>42</v>
      </c>
      <c r="G3981">
        <v>28.980296031746001</v>
      </c>
      <c r="H3981">
        <v>46.336950000000002</v>
      </c>
      <c r="I3981">
        <v>36.519998771124698</v>
      </c>
    </row>
    <row r="3982" spans="1:9" x14ac:dyDescent="0.35">
      <c r="A3982" s="417" t="s">
        <v>846</v>
      </c>
      <c r="B3982" s="417" t="s">
        <v>680</v>
      </c>
      <c r="C3982" s="83">
        <v>46087</v>
      </c>
      <c r="D3982" s="417" t="s">
        <v>684</v>
      </c>
      <c r="E3982">
        <v>1268.1065000000001</v>
      </c>
      <c r="F3982">
        <v>65</v>
      </c>
      <c r="G3982">
        <v>19.5093307692308</v>
      </c>
      <c r="H3982">
        <v>7.1498999999999997</v>
      </c>
      <c r="I3982">
        <v>5.9250992063492101</v>
      </c>
    </row>
    <row r="3983" spans="1:9" x14ac:dyDescent="0.35">
      <c r="A3983" s="417" t="s">
        <v>846</v>
      </c>
      <c r="B3983" s="417" t="s">
        <v>680</v>
      </c>
      <c r="C3983" s="83">
        <v>46087</v>
      </c>
      <c r="D3983" s="417" t="s">
        <v>681</v>
      </c>
      <c r="E3983">
        <v>804.82696666666595</v>
      </c>
      <c r="F3983">
        <v>27</v>
      </c>
      <c r="G3983">
        <v>29.808406172839501</v>
      </c>
      <c r="H3983">
        <v>0</v>
      </c>
      <c r="I3983">
        <v>11.594735799354099</v>
      </c>
    </row>
    <row r="3984" spans="1:9" x14ac:dyDescent="0.35">
      <c r="A3984" s="417" t="s">
        <v>846</v>
      </c>
      <c r="B3984" s="417" t="s">
        <v>680</v>
      </c>
      <c r="C3984" s="83">
        <v>46087</v>
      </c>
      <c r="D3984" s="417" t="s">
        <v>689</v>
      </c>
      <c r="E3984">
        <v>1229.62185</v>
      </c>
      <c r="F3984">
        <v>24</v>
      </c>
      <c r="G3984">
        <v>51.234243749999997</v>
      </c>
      <c r="H3984">
        <v>4.5076166666666699</v>
      </c>
      <c r="I3984">
        <v>7.6454981045802102</v>
      </c>
    </row>
    <row r="3985" spans="1:9" x14ac:dyDescent="0.35">
      <c r="A3985" s="417" t="s">
        <v>846</v>
      </c>
      <c r="B3985" s="417" t="s">
        <v>680</v>
      </c>
      <c r="C3985" s="83">
        <v>46087</v>
      </c>
      <c r="D3985" s="417" t="s">
        <v>683</v>
      </c>
      <c r="E3985">
        <v>830.49023333333298</v>
      </c>
      <c r="F3985">
        <v>15</v>
      </c>
      <c r="G3985">
        <v>55.366015555555599</v>
      </c>
      <c r="H3985">
        <v>0</v>
      </c>
      <c r="I3985">
        <v>7.5597904862253102</v>
      </c>
    </row>
    <row r="3986" spans="1:9" x14ac:dyDescent="0.35">
      <c r="A3986" s="417" t="s">
        <v>846</v>
      </c>
      <c r="B3986" s="417" t="s">
        <v>680</v>
      </c>
      <c r="C3986" s="83">
        <v>46087</v>
      </c>
      <c r="D3986" s="417" t="s">
        <v>687</v>
      </c>
      <c r="E3986">
        <v>1291.28608333333</v>
      </c>
      <c r="F3986">
        <v>12</v>
      </c>
      <c r="G3986">
        <v>107.60717361111099</v>
      </c>
      <c r="H3986">
        <v>15.81335</v>
      </c>
      <c r="I3986">
        <v>7.2130507922653599</v>
      </c>
    </row>
    <row r="3987" spans="1:9" x14ac:dyDescent="0.35">
      <c r="A3987" s="417" t="s">
        <v>846</v>
      </c>
      <c r="B3987" s="417" t="s">
        <v>680</v>
      </c>
      <c r="C3987" s="83">
        <v>46087</v>
      </c>
      <c r="D3987" s="417" t="s">
        <v>690</v>
      </c>
      <c r="E3987">
        <v>360</v>
      </c>
      <c r="F3987">
        <v>1</v>
      </c>
      <c r="G3987">
        <v>360</v>
      </c>
      <c r="H3987">
        <v>0</v>
      </c>
      <c r="I3987">
        <v>0</v>
      </c>
    </row>
    <row r="3988" spans="1:9" x14ac:dyDescent="0.35">
      <c r="A3988" s="417" t="s">
        <v>846</v>
      </c>
      <c r="B3988" s="417" t="s">
        <v>691</v>
      </c>
      <c r="C3988" s="83">
        <v>46087</v>
      </c>
      <c r="D3988" s="417" t="s">
        <v>305</v>
      </c>
      <c r="E3988">
        <v>1248.1912500000001</v>
      </c>
      <c r="F3988">
        <v>205</v>
      </c>
      <c r="G3988">
        <v>6.0887378048780496</v>
      </c>
      <c r="H3988">
        <v>11.6054333333333</v>
      </c>
      <c r="I3988">
        <v>45.118331455699597</v>
      </c>
    </row>
    <row r="3989" spans="1:9" x14ac:dyDescent="0.35">
      <c r="A3989" s="417" t="s">
        <v>846</v>
      </c>
      <c r="B3989" s="417" t="s">
        <v>691</v>
      </c>
      <c r="C3989" s="83">
        <v>46087</v>
      </c>
      <c r="D3989" s="417" t="s">
        <v>309</v>
      </c>
      <c r="E3989">
        <v>1338.3755000000001</v>
      </c>
      <c r="F3989">
        <v>156</v>
      </c>
      <c r="G3989">
        <v>8.5793301282051306</v>
      </c>
      <c r="H3989">
        <v>0</v>
      </c>
      <c r="I3989">
        <v>46.114142290044398</v>
      </c>
    </row>
    <row r="3990" spans="1:9" x14ac:dyDescent="0.35">
      <c r="A3990" s="417" t="s">
        <v>846</v>
      </c>
      <c r="B3990" s="417" t="s">
        <v>691</v>
      </c>
      <c r="C3990" s="83">
        <v>46087</v>
      </c>
      <c r="D3990" s="417" t="s">
        <v>301</v>
      </c>
      <c r="E3990">
        <v>1306.10038333333</v>
      </c>
      <c r="F3990">
        <v>106</v>
      </c>
      <c r="G3990">
        <v>12.321701729559701</v>
      </c>
      <c r="H3990">
        <v>3.7599499999999999</v>
      </c>
      <c r="I3990">
        <v>67.786247472134605</v>
      </c>
    </row>
    <row r="3991" spans="1:9" x14ac:dyDescent="0.35">
      <c r="A3991" s="417" t="s">
        <v>846</v>
      </c>
      <c r="B3991" s="417" t="s">
        <v>691</v>
      </c>
      <c r="C3991" s="83">
        <v>46087</v>
      </c>
      <c r="D3991" s="417" t="s">
        <v>299</v>
      </c>
      <c r="E3991">
        <v>1368.9333666666701</v>
      </c>
      <c r="F3991">
        <v>67</v>
      </c>
      <c r="G3991">
        <v>20.431841293532301</v>
      </c>
      <c r="H3991">
        <v>0.431483333333333</v>
      </c>
      <c r="I3991">
        <v>62.547221465746802</v>
      </c>
    </row>
    <row r="3992" spans="1:9" x14ac:dyDescent="0.35">
      <c r="A3992" s="417" t="s">
        <v>846</v>
      </c>
      <c r="B3992" s="417" t="s">
        <v>691</v>
      </c>
      <c r="C3992" s="83">
        <v>46087</v>
      </c>
      <c r="D3992" s="417" t="s">
        <v>295</v>
      </c>
      <c r="E3992">
        <v>1366.1469</v>
      </c>
      <c r="F3992">
        <v>67</v>
      </c>
      <c r="G3992">
        <v>20.390252238805999</v>
      </c>
      <c r="H3992">
        <v>0.78548333333333298</v>
      </c>
      <c r="I3992">
        <v>68.155616671272995</v>
      </c>
    </row>
    <row r="3993" spans="1:9" x14ac:dyDescent="0.35">
      <c r="A3993" s="417" t="s">
        <v>846</v>
      </c>
      <c r="B3993" s="417" t="s">
        <v>691</v>
      </c>
      <c r="C3993" s="83">
        <v>46087</v>
      </c>
      <c r="D3993" s="417" t="s">
        <v>342</v>
      </c>
      <c r="E3993">
        <v>1363.78981666667</v>
      </c>
      <c r="F3993">
        <v>52</v>
      </c>
      <c r="G3993">
        <v>26.2267272435897</v>
      </c>
      <c r="H3993">
        <v>76.210183333333305</v>
      </c>
      <c r="I3993">
        <v>46.418650793650698</v>
      </c>
    </row>
    <row r="3994" spans="1:9" x14ac:dyDescent="0.35">
      <c r="A3994" s="417" t="s">
        <v>846</v>
      </c>
      <c r="B3994" s="417" t="s">
        <v>691</v>
      </c>
      <c r="C3994" s="83">
        <v>46087</v>
      </c>
      <c r="D3994" s="417" t="s">
        <v>303</v>
      </c>
      <c r="E3994">
        <v>1378.5379</v>
      </c>
      <c r="F3994">
        <v>37</v>
      </c>
      <c r="G3994">
        <v>37.257781081081099</v>
      </c>
      <c r="H3994">
        <v>0.29641666666666699</v>
      </c>
      <c r="I3994">
        <v>52.887002508157302</v>
      </c>
    </row>
    <row r="3995" spans="1:9" x14ac:dyDescent="0.35">
      <c r="A3995" s="417" t="s">
        <v>846</v>
      </c>
      <c r="B3995" s="417" t="s">
        <v>691</v>
      </c>
      <c r="C3995" s="83">
        <v>46087</v>
      </c>
      <c r="D3995" s="417" t="s">
        <v>314</v>
      </c>
      <c r="E3995">
        <v>1373.3946333333299</v>
      </c>
      <c r="F3995">
        <v>10</v>
      </c>
      <c r="G3995">
        <v>137.33946333333299</v>
      </c>
      <c r="H3995">
        <v>0.47858333333333303</v>
      </c>
      <c r="I3995">
        <v>49.364272214648601</v>
      </c>
    </row>
    <row r="3996" spans="1:9" x14ac:dyDescent="0.35">
      <c r="A3996" s="417" t="s">
        <v>846</v>
      </c>
      <c r="B3996" s="417" t="s">
        <v>691</v>
      </c>
      <c r="C3996" s="83">
        <v>46087</v>
      </c>
      <c r="D3996" s="417" t="s">
        <v>313</v>
      </c>
      <c r="E3996">
        <v>1366.2301833333299</v>
      </c>
      <c r="F3996">
        <v>8</v>
      </c>
      <c r="G3996">
        <v>170.77877291666701</v>
      </c>
      <c r="H3996">
        <v>0</v>
      </c>
      <c r="I3996">
        <v>59.896944415367997</v>
      </c>
    </row>
    <row r="3997" spans="1:9" x14ac:dyDescent="0.35">
      <c r="A3997" s="417" t="s">
        <v>846</v>
      </c>
      <c r="B3997" s="417" t="s">
        <v>691</v>
      </c>
      <c r="C3997" s="83">
        <v>46087</v>
      </c>
      <c r="D3997" s="417" t="s">
        <v>310</v>
      </c>
      <c r="E3997">
        <v>1415.9272000000001</v>
      </c>
      <c r="F3997">
        <v>4</v>
      </c>
      <c r="G3997">
        <v>353.98180000000002</v>
      </c>
      <c r="H3997">
        <v>0.31535000000000002</v>
      </c>
      <c r="I3997">
        <v>69.529050655906303</v>
      </c>
    </row>
    <row r="3998" spans="1:9" x14ac:dyDescent="0.35">
      <c r="A3998" s="417" t="s">
        <v>846</v>
      </c>
      <c r="B3998" s="417" t="s">
        <v>691</v>
      </c>
      <c r="C3998" s="83">
        <v>46087</v>
      </c>
      <c r="D3998" s="417" t="s">
        <v>317</v>
      </c>
      <c r="E3998">
        <v>1439.7114166666699</v>
      </c>
      <c r="F3998">
        <v>2</v>
      </c>
      <c r="G3998">
        <v>719.85570833333304</v>
      </c>
      <c r="H3998">
        <v>0.28858333333333303</v>
      </c>
      <c r="I3998">
        <v>49.6319444444445</v>
      </c>
    </row>
    <row r="3999" spans="1:9" x14ac:dyDescent="0.35">
      <c r="A3999" s="417" t="s">
        <v>846</v>
      </c>
      <c r="B3999" s="417" t="s">
        <v>691</v>
      </c>
      <c r="C3999" s="83">
        <v>46087</v>
      </c>
      <c r="D3999" s="417" t="s">
        <v>504</v>
      </c>
      <c r="E3999">
        <v>1440</v>
      </c>
      <c r="F3999">
        <v>1</v>
      </c>
      <c r="G3999">
        <v>1440</v>
      </c>
      <c r="H3999">
        <v>0</v>
      </c>
      <c r="I3999">
        <v>28.372376543209899</v>
      </c>
    </row>
    <row r="4000" spans="1:9" x14ac:dyDescent="0.35">
      <c r="A4000" s="417" t="s">
        <v>846</v>
      </c>
      <c r="B4000" s="417" t="s">
        <v>676</v>
      </c>
      <c r="C4000" s="83">
        <v>46086</v>
      </c>
      <c r="D4000" s="417" t="s">
        <v>677</v>
      </c>
      <c r="E4000">
        <v>653.81551666666701</v>
      </c>
      <c r="F4000">
        <v>168</v>
      </c>
      <c r="G4000">
        <v>3.89175902777778</v>
      </c>
      <c r="H4000">
        <v>126.151783333333</v>
      </c>
      <c r="I4000">
        <v>7.9048148148147899</v>
      </c>
    </row>
    <row r="4001" spans="1:9" x14ac:dyDescent="0.35">
      <c r="A4001" s="417" t="s">
        <v>846</v>
      </c>
      <c r="B4001" s="417" t="s">
        <v>676</v>
      </c>
      <c r="C4001" s="83">
        <v>46086</v>
      </c>
      <c r="D4001" s="417" t="s">
        <v>679</v>
      </c>
      <c r="E4001">
        <v>701.90553333333298</v>
      </c>
      <c r="F4001">
        <v>21</v>
      </c>
      <c r="G4001">
        <v>33.424073015872999</v>
      </c>
      <c r="H4001">
        <v>17.1640333333333</v>
      </c>
      <c r="I4001">
        <v>32.031434793692398</v>
      </c>
    </row>
    <row r="4002" spans="1:9" x14ac:dyDescent="0.35">
      <c r="A4002" s="417" t="s">
        <v>846</v>
      </c>
      <c r="B4002" s="417" t="s">
        <v>680</v>
      </c>
      <c r="C4002" s="83">
        <v>46086</v>
      </c>
      <c r="D4002" s="417" t="s">
        <v>684</v>
      </c>
      <c r="E4002">
        <v>803.25268333333304</v>
      </c>
      <c r="F4002">
        <v>30</v>
      </c>
      <c r="G4002">
        <v>26.775089444444401</v>
      </c>
      <c r="H4002">
        <v>13.822050000000001</v>
      </c>
      <c r="I4002">
        <v>3.2682812194373398</v>
      </c>
    </row>
    <row r="4003" spans="1:9" x14ac:dyDescent="0.35">
      <c r="A4003" s="417" t="s">
        <v>846</v>
      </c>
      <c r="B4003" s="417" t="s">
        <v>680</v>
      </c>
      <c r="C4003" s="83">
        <v>46086</v>
      </c>
      <c r="D4003" s="417" t="s">
        <v>681</v>
      </c>
      <c r="E4003">
        <v>751.576866666667</v>
      </c>
      <c r="F4003">
        <v>19</v>
      </c>
      <c r="G4003">
        <v>39.556677192982498</v>
      </c>
      <c r="H4003">
        <v>0</v>
      </c>
      <c r="I4003">
        <v>3.8386333842631699</v>
      </c>
    </row>
    <row r="4004" spans="1:9" x14ac:dyDescent="0.35">
      <c r="A4004" s="417" t="s">
        <v>846</v>
      </c>
      <c r="B4004" s="417" t="s">
        <v>680</v>
      </c>
      <c r="C4004" s="83">
        <v>46086</v>
      </c>
      <c r="D4004" s="417" t="s">
        <v>689</v>
      </c>
      <c r="E4004">
        <v>850.25464999999997</v>
      </c>
      <c r="F4004">
        <v>8</v>
      </c>
      <c r="G4004">
        <v>106.28183125</v>
      </c>
      <c r="H4004">
        <v>0</v>
      </c>
      <c r="I4004">
        <v>5.1508338066436101</v>
      </c>
    </row>
    <row r="4005" spans="1:9" x14ac:dyDescent="0.35">
      <c r="A4005" s="417" t="s">
        <v>846</v>
      </c>
      <c r="B4005" s="417" t="s">
        <v>680</v>
      </c>
      <c r="C4005" s="83">
        <v>46086</v>
      </c>
      <c r="D4005" s="417" t="s">
        <v>688</v>
      </c>
      <c r="E4005">
        <v>472.68231666666702</v>
      </c>
      <c r="F4005">
        <v>5</v>
      </c>
      <c r="G4005">
        <v>94.536463333333302</v>
      </c>
      <c r="H4005">
        <v>0</v>
      </c>
      <c r="I4005">
        <v>0.16495101119917899</v>
      </c>
    </row>
    <row r="4006" spans="1:9" x14ac:dyDescent="0.35">
      <c r="A4006" s="417" t="s">
        <v>846</v>
      </c>
      <c r="B4006" s="417" t="s">
        <v>680</v>
      </c>
      <c r="C4006" s="83">
        <v>46086</v>
      </c>
      <c r="D4006" s="417" t="s">
        <v>683</v>
      </c>
      <c r="E4006">
        <v>299.19561666666698</v>
      </c>
      <c r="F4006">
        <v>4</v>
      </c>
      <c r="G4006">
        <v>74.798904166666702</v>
      </c>
      <c r="H4006">
        <v>0</v>
      </c>
      <c r="I4006">
        <v>2.2218396151024402</v>
      </c>
    </row>
    <row r="4007" spans="1:9" x14ac:dyDescent="0.35">
      <c r="A4007" s="417" t="s">
        <v>846</v>
      </c>
      <c r="B4007" s="417" t="s">
        <v>680</v>
      </c>
      <c r="C4007" s="83">
        <v>46086</v>
      </c>
      <c r="D4007" s="417" t="s">
        <v>687</v>
      </c>
      <c r="E4007">
        <v>1049.3250166666701</v>
      </c>
      <c r="F4007">
        <v>4</v>
      </c>
      <c r="G4007">
        <v>262.33125416666701</v>
      </c>
      <c r="H4007">
        <v>0.33356666666666701</v>
      </c>
      <c r="I4007">
        <v>8.0111022578883002</v>
      </c>
    </row>
    <row r="4008" spans="1:9" x14ac:dyDescent="0.35">
      <c r="A4008" s="417" t="s">
        <v>846</v>
      </c>
      <c r="B4008" s="417" t="s">
        <v>680</v>
      </c>
      <c r="C4008" s="83">
        <v>46086</v>
      </c>
      <c r="D4008" s="417" t="s">
        <v>682</v>
      </c>
      <c r="E4008">
        <v>479.00040000000001</v>
      </c>
      <c r="F4008">
        <v>2</v>
      </c>
      <c r="G4008">
        <v>239.50020000000001</v>
      </c>
      <c r="H4008">
        <v>0.99960000000000004</v>
      </c>
      <c r="I4008">
        <v>0.476190476190473</v>
      </c>
    </row>
    <row r="4009" spans="1:9" x14ac:dyDescent="0.35">
      <c r="A4009" s="417" t="s">
        <v>846</v>
      </c>
      <c r="B4009" s="417" t="s">
        <v>680</v>
      </c>
      <c r="C4009" s="83">
        <v>46086</v>
      </c>
      <c r="D4009" s="417" t="s">
        <v>685</v>
      </c>
      <c r="E4009">
        <v>931.10408333333305</v>
      </c>
      <c r="F4009">
        <v>2</v>
      </c>
      <c r="G4009">
        <v>465.55204166666698</v>
      </c>
      <c r="H4009">
        <v>0</v>
      </c>
      <c r="I4009">
        <v>0.32190978632040701</v>
      </c>
    </row>
    <row r="4010" spans="1:9" x14ac:dyDescent="0.35">
      <c r="A4010" s="417" t="s">
        <v>846</v>
      </c>
      <c r="B4010" s="417" t="s">
        <v>680</v>
      </c>
      <c r="C4010" s="83">
        <v>46086</v>
      </c>
      <c r="D4010" s="417" t="s">
        <v>690</v>
      </c>
      <c r="E4010">
        <v>342.44323333333301</v>
      </c>
      <c r="F4010">
        <v>1</v>
      </c>
      <c r="G4010">
        <v>342.44323333333301</v>
      </c>
      <c r="H4010">
        <v>0</v>
      </c>
      <c r="I4010">
        <v>2.6698898541112301</v>
      </c>
    </row>
    <row r="4011" spans="1:9" x14ac:dyDescent="0.35">
      <c r="A4011" s="417" t="s">
        <v>846</v>
      </c>
      <c r="B4011" s="417" t="s">
        <v>691</v>
      </c>
      <c r="C4011" s="83">
        <v>46086</v>
      </c>
      <c r="D4011" s="417" t="s">
        <v>301</v>
      </c>
      <c r="E4011">
        <v>806.26681666666695</v>
      </c>
      <c r="F4011">
        <v>126</v>
      </c>
      <c r="G4011">
        <v>6.3989429894179901</v>
      </c>
      <c r="H4011">
        <v>3.3025333333333302</v>
      </c>
      <c r="I4011">
        <v>46.702048309248703</v>
      </c>
    </row>
    <row r="4012" spans="1:9" x14ac:dyDescent="0.35">
      <c r="A4012" s="417" t="s">
        <v>846</v>
      </c>
      <c r="B4012" s="417" t="s">
        <v>691</v>
      </c>
      <c r="C4012" s="83">
        <v>46086</v>
      </c>
      <c r="D4012" s="417" t="s">
        <v>305</v>
      </c>
      <c r="E4012">
        <v>841.73138333333304</v>
      </c>
      <c r="F4012">
        <v>109</v>
      </c>
      <c r="G4012">
        <v>7.7223062691131501</v>
      </c>
      <c r="H4012">
        <v>9.6864500000000007</v>
      </c>
      <c r="I4012">
        <v>24.704174096950599</v>
      </c>
    </row>
    <row r="4013" spans="1:9" x14ac:dyDescent="0.35">
      <c r="A4013" s="417" t="s">
        <v>846</v>
      </c>
      <c r="B4013" s="417" t="s">
        <v>691</v>
      </c>
      <c r="C4013" s="83">
        <v>46086</v>
      </c>
      <c r="D4013" s="417" t="s">
        <v>309</v>
      </c>
      <c r="E4013">
        <v>856.84145000000001</v>
      </c>
      <c r="F4013">
        <v>68</v>
      </c>
      <c r="G4013">
        <v>12.6006095588235</v>
      </c>
      <c r="H4013">
        <v>0.97153333333333303</v>
      </c>
      <c r="I4013">
        <v>52.532616332968701</v>
      </c>
    </row>
    <row r="4014" spans="1:9" x14ac:dyDescent="0.35">
      <c r="A4014" s="417" t="s">
        <v>846</v>
      </c>
      <c r="B4014" s="417" t="s">
        <v>691</v>
      </c>
      <c r="C4014" s="83">
        <v>46086</v>
      </c>
      <c r="D4014" s="417" t="s">
        <v>342</v>
      </c>
      <c r="E4014">
        <v>1015.35005</v>
      </c>
      <c r="F4014">
        <v>50</v>
      </c>
      <c r="G4014">
        <v>20.307001</v>
      </c>
      <c r="H4014">
        <v>64.649950000000004</v>
      </c>
      <c r="I4014">
        <v>38.267195767195702</v>
      </c>
    </row>
    <row r="4015" spans="1:9" x14ac:dyDescent="0.35">
      <c r="A4015" s="417" t="s">
        <v>846</v>
      </c>
      <c r="B4015" s="417" t="s">
        <v>691</v>
      </c>
      <c r="C4015" s="83">
        <v>46086</v>
      </c>
      <c r="D4015" s="417" t="s">
        <v>295</v>
      </c>
      <c r="E4015">
        <v>1027.0112999999999</v>
      </c>
      <c r="F4015">
        <v>42</v>
      </c>
      <c r="G4015">
        <v>24.452649999999998</v>
      </c>
      <c r="H4015">
        <v>0.79525000000000001</v>
      </c>
      <c r="I4015">
        <v>50.093072613204399</v>
      </c>
    </row>
    <row r="4016" spans="1:9" x14ac:dyDescent="0.35">
      <c r="A4016" s="417" t="s">
        <v>846</v>
      </c>
      <c r="B4016" s="417" t="s">
        <v>691</v>
      </c>
      <c r="C4016" s="83">
        <v>46086</v>
      </c>
      <c r="D4016" s="417" t="s">
        <v>299</v>
      </c>
      <c r="E4016">
        <v>870.37073333333399</v>
      </c>
      <c r="F4016">
        <v>24</v>
      </c>
      <c r="G4016">
        <v>36.2654472222222</v>
      </c>
      <c r="H4016">
        <v>8.4783333333333294E-2</v>
      </c>
      <c r="I4016">
        <v>60.820211760245698</v>
      </c>
    </row>
    <row r="4017" spans="1:9" x14ac:dyDescent="0.35">
      <c r="A4017" s="417" t="s">
        <v>846</v>
      </c>
      <c r="B4017" s="417" t="s">
        <v>691</v>
      </c>
      <c r="C4017" s="83">
        <v>46086</v>
      </c>
      <c r="D4017" s="417" t="s">
        <v>303</v>
      </c>
      <c r="E4017">
        <v>876.13570000000004</v>
      </c>
      <c r="F4017">
        <v>23</v>
      </c>
      <c r="G4017">
        <v>38.092856521739101</v>
      </c>
      <c r="H4017">
        <v>0.17021666666666699</v>
      </c>
      <c r="I4017">
        <v>51.009204761162103</v>
      </c>
    </row>
    <row r="4018" spans="1:9" x14ac:dyDescent="0.35">
      <c r="A4018" s="417" t="s">
        <v>846</v>
      </c>
      <c r="B4018" s="417" t="s">
        <v>691</v>
      </c>
      <c r="C4018" s="83">
        <v>46086</v>
      </c>
      <c r="D4018" s="417" t="s">
        <v>313</v>
      </c>
      <c r="E4018">
        <v>1036.9376500000001</v>
      </c>
      <c r="F4018">
        <v>10</v>
      </c>
      <c r="G4018">
        <v>103.693765</v>
      </c>
      <c r="H4018">
        <v>4.2823000000000002</v>
      </c>
      <c r="I4018">
        <v>46.551949207723801</v>
      </c>
    </row>
    <row r="4019" spans="1:9" x14ac:dyDescent="0.35">
      <c r="A4019" s="417" t="s">
        <v>846</v>
      </c>
      <c r="B4019" s="417" t="s">
        <v>691</v>
      </c>
      <c r="C4019" s="83">
        <v>46086</v>
      </c>
      <c r="D4019" s="417" t="s">
        <v>314</v>
      </c>
      <c r="E4019">
        <v>1062.62408333333</v>
      </c>
      <c r="F4019">
        <v>6</v>
      </c>
      <c r="G4019">
        <v>177.104013888889</v>
      </c>
      <c r="H4019">
        <v>5.6992333333333303</v>
      </c>
      <c r="I4019">
        <v>36.377154151240802</v>
      </c>
    </row>
    <row r="4020" spans="1:9" x14ac:dyDescent="0.35">
      <c r="A4020" s="417" t="s">
        <v>846</v>
      </c>
      <c r="B4020" s="417" t="s">
        <v>691</v>
      </c>
      <c r="C4020" s="83">
        <v>46086</v>
      </c>
      <c r="D4020" s="417" t="s">
        <v>310</v>
      </c>
      <c r="E4020">
        <v>956.43503333333297</v>
      </c>
      <c r="F4020">
        <v>5</v>
      </c>
      <c r="G4020">
        <v>191.287006666667</v>
      </c>
      <c r="H4020">
        <v>0.5776</v>
      </c>
      <c r="I4020">
        <v>55.440654127697499</v>
      </c>
    </row>
    <row r="4021" spans="1:9" x14ac:dyDescent="0.35">
      <c r="A4021" s="417" t="s">
        <v>846</v>
      </c>
      <c r="B4021" s="417" t="s">
        <v>691</v>
      </c>
      <c r="C4021" s="83">
        <v>46086</v>
      </c>
      <c r="D4021" s="417" t="s">
        <v>317</v>
      </c>
      <c r="E4021">
        <v>1079.2121999999999</v>
      </c>
      <c r="F4021">
        <v>2</v>
      </c>
      <c r="G4021">
        <v>539.60609999999997</v>
      </c>
      <c r="H4021">
        <v>0.16071666666666701</v>
      </c>
      <c r="I4021">
        <v>40.023238801850603</v>
      </c>
    </row>
    <row r="4022" spans="1:9" x14ac:dyDescent="0.35">
      <c r="A4022" s="417" t="s">
        <v>846</v>
      </c>
      <c r="B4022" s="417" t="s">
        <v>691</v>
      </c>
      <c r="C4022" s="83">
        <v>46086</v>
      </c>
      <c r="D4022" s="417" t="s">
        <v>504</v>
      </c>
      <c r="E4022">
        <v>1080</v>
      </c>
      <c r="F4022">
        <v>1</v>
      </c>
      <c r="G4022">
        <v>1080</v>
      </c>
      <c r="H4022">
        <v>0</v>
      </c>
      <c r="I4022">
        <v>21.5820987654321</v>
      </c>
    </row>
    <row r="4023" spans="1:9" x14ac:dyDescent="0.35">
      <c r="A4023" s="417" t="s">
        <v>846</v>
      </c>
      <c r="B4023" s="417" t="s">
        <v>676</v>
      </c>
      <c r="C4023" s="83">
        <v>46085</v>
      </c>
      <c r="D4023" s="417" t="s">
        <v>677</v>
      </c>
      <c r="E4023">
        <v>326.16514999999998</v>
      </c>
      <c r="F4023">
        <v>28</v>
      </c>
      <c r="G4023">
        <v>11.6487553571429</v>
      </c>
      <c r="H4023">
        <v>33.834850000000003</v>
      </c>
      <c r="I4023">
        <v>21.426666666666701</v>
      </c>
    </row>
    <row r="4024" spans="1:9" x14ac:dyDescent="0.35">
      <c r="A4024" s="417" t="s">
        <v>846</v>
      </c>
      <c r="B4024" s="417" t="s">
        <v>676</v>
      </c>
      <c r="C4024" s="83">
        <v>46085</v>
      </c>
      <c r="D4024" s="417" t="s">
        <v>679</v>
      </c>
      <c r="E4024">
        <v>271.745833333333</v>
      </c>
      <c r="F4024">
        <v>5</v>
      </c>
      <c r="G4024">
        <v>54.349166666666598</v>
      </c>
      <c r="H4024">
        <v>2.3427166666666701</v>
      </c>
      <c r="I4024">
        <v>61.950781964441802</v>
      </c>
    </row>
    <row r="4025" spans="1:9" x14ac:dyDescent="0.35">
      <c r="A4025" s="417" t="s">
        <v>846</v>
      </c>
      <c r="B4025" s="417" t="s">
        <v>680</v>
      </c>
      <c r="C4025" s="83">
        <v>46085</v>
      </c>
      <c r="D4025" s="417" t="s">
        <v>681</v>
      </c>
      <c r="E4025">
        <v>277.18256666666701</v>
      </c>
      <c r="F4025">
        <v>18</v>
      </c>
      <c r="G4025">
        <v>15.399031481481501</v>
      </c>
      <c r="H4025">
        <v>0</v>
      </c>
      <c r="I4025">
        <v>81.365812133148097</v>
      </c>
    </row>
    <row r="4026" spans="1:9" x14ac:dyDescent="0.35">
      <c r="A4026" s="417" t="s">
        <v>846</v>
      </c>
      <c r="B4026" s="417" t="s">
        <v>680</v>
      </c>
      <c r="C4026" s="83">
        <v>46085</v>
      </c>
      <c r="D4026" s="417" t="s">
        <v>690</v>
      </c>
      <c r="E4026">
        <v>278.8322</v>
      </c>
      <c r="F4026">
        <v>13</v>
      </c>
      <c r="G4026">
        <v>21.4486307692308</v>
      </c>
      <c r="H4026">
        <v>5.6571833333333297</v>
      </c>
      <c r="I4026">
        <v>26.678000045348401</v>
      </c>
    </row>
    <row r="4027" spans="1:9" x14ac:dyDescent="0.35">
      <c r="A4027" s="417" t="s">
        <v>846</v>
      </c>
      <c r="B4027" s="417" t="s">
        <v>680</v>
      </c>
      <c r="C4027" s="83">
        <v>46085</v>
      </c>
      <c r="D4027" s="417" t="s">
        <v>689</v>
      </c>
      <c r="E4027">
        <v>272.09010000000001</v>
      </c>
      <c r="F4027">
        <v>11</v>
      </c>
      <c r="G4027">
        <v>24.735463636363601</v>
      </c>
      <c r="H4027">
        <v>0.99985000000000002</v>
      </c>
      <c r="I4027">
        <v>75.067134003747498</v>
      </c>
    </row>
    <row r="4028" spans="1:9" x14ac:dyDescent="0.35">
      <c r="A4028" s="417" t="s">
        <v>846</v>
      </c>
      <c r="B4028" s="417" t="s">
        <v>680</v>
      </c>
      <c r="C4028" s="83">
        <v>46085</v>
      </c>
      <c r="D4028" s="417" t="s">
        <v>684</v>
      </c>
      <c r="E4028">
        <v>280.74103333333301</v>
      </c>
      <c r="F4028">
        <v>10</v>
      </c>
      <c r="G4028">
        <v>28.074103333333301</v>
      </c>
      <c r="H4028">
        <v>6.3464499999999999</v>
      </c>
      <c r="I4028">
        <v>58.880812374614401</v>
      </c>
    </row>
    <row r="4029" spans="1:9" x14ac:dyDescent="0.35">
      <c r="A4029" s="417" t="s">
        <v>846</v>
      </c>
      <c r="B4029" s="417" t="s">
        <v>680</v>
      </c>
      <c r="C4029" s="83">
        <v>46085</v>
      </c>
      <c r="D4029" s="417" t="s">
        <v>682</v>
      </c>
      <c r="E4029">
        <v>282.2577</v>
      </c>
      <c r="F4029">
        <v>9</v>
      </c>
      <c r="G4029">
        <v>31.361966666666699</v>
      </c>
      <c r="H4029">
        <v>9.4972999999999992</v>
      </c>
      <c r="I4029">
        <v>57.619047619047599</v>
      </c>
    </row>
    <row r="4030" spans="1:9" x14ac:dyDescent="0.35">
      <c r="A4030" s="417" t="s">
        <v>846</v>
      </c>
      <c r="B4030" s="417" t="s">
        <v>680</v>
      </c>
      <c r="C4030" s="83">
        <v>46085</v>
      </c>
      <c r="D4030" s="417" t="s">
        <v>683</v>
      </c>
      <c r="E4030">
        <v>276.72686666666698</v>
      </c>
      <c r="F4030">
        <v>9</v>
      </c>
      <c r="G4030">
        <v>30.7474296296296</v>
      </c>
      <c r="H4030">
        <v>0.166566666666667</v>
      </c>
      <c r="I4030">
        <v>43.831890100094498</v>
      </c>
    </row>
    <row r="4031" spans="1:9" x14ac:dyDescent="0.35">
      <c r="A4031" s="417" t="s">
        <v>846</v>
      </c>
      <c r="B4031" s="417" t="s">
        <v>680</v>
      </c>
      <c r="C4031" s="83">
        <v>46085</v>
      </c>
      <c r="D4031" s="417" t="s">
        <v>688</v>
      </c>
      <c r="E4031">
        <v>351.519133333333</v>
      </c>
      <c r="F4031">
        <v>6</v>
      </c>
      <c r="G4031">
        <v>58.5865222222222</v>
      </c>
      <c r="H4031">
        <v>0.16673333333333301</v>
      </c>
      <c r="I4031">
        <v>64.992408328620897</v>
      </c>
    </row>
    <row r="4032" spans="1:9" x14ac:dyDescent="0.35">
      <c r="A4032" s="417" t="s">
        <v>846</v>
      </c>
      <c r="B4032" s="417" t="s">
        <v>680</v>
      </c>
      <c r="C4032" s="83">
        <v>46085</v>
      </c>
      <c r="D4032" s="417" t="s">
        <v>687</v>
      </c>
      <c r="E4032">
        <v>356.49973333333298</v>
      </c>
      <c r="F4032">
        <v>4</v>
      </c>
      <c r="G4032">
        <v>89.124933333333402</v>
      </c>
      <c r="H4032">
        <v>1.83365</v>
      </c>
      <c r="I4032">
        <v>44.448498781272598</v>
      </c>
    </row>
    <row r="4033" spans="1:9" x14ac:dyDescent="0.35">
      <c r="A4033" s="417" t="s">
        <v>846</v>
      </c>
      <c r="B4033" s="417" t="s">
        <v>680</v>
      </c>
      <c r="C4033" s="83">
        <v>46085</v>
      </c>
      <c r="D4033" s="417" t="s">
        <v>686</v>
      </c>
      <c r="E4033">
        <v>360</v>
      </c>
      <c r="F4033">
        <v>1</v>
      </c>
      <c r="G4033">
        <v>360</v>
      </c>
      <c r="H4033">
        <v>0</v>
      </c>
      <c r="I4033">
        <v>33.650793650793602</v>
      </c>
    </row>
    <row r="4034" spans="1:9" x14ac:dyDescent="0.35">
      <c r="A4034" s="417" t="s">
        <v>846</v>
      </c>
      <c r="B4034" s="417" t="s">
        <v>680</v>
      </c>
      <c r="C4034" s="83">
        <v>46085</v>
      </c>
      <c r="D4034" s="417" t="s">
        <v>685</v>
      </c>
      <c r="E4034">
        <v>287.25470000000001</v>
      </c>
      <c r="F4034">
        <v>1</v>
      </c>
      <c r="G4034">
        <v>287.25470000000001</v>
      </c>
      <c r="H4034">
        <v>0</v>
      </c>
      <c r="I4034">
        <v>71.489567570919803</v>
      </c>
    </row>
    <row r="4035" spans="1:9" x14ac:dyDescent="0.35">
      <c r="A4035" s="417" t="s">
        <v>846</v>
      </c>
      <c r="B4035" s="417" t="s">
        <v>691</v>
      </c>
      <c r="C4035" s="83">
        <v>46085</v>
      </c>
      <c r="D4035" s="417" t="s">
        <v>305</v>
      </c>
      <c r="E4035">
        <v>208.26171666666701</v>
      </c>
      <c r="F4035">
        <v>44</v>
      </c>
      <c r="G4035">
        <v>4.7332208333333297</v>
      </c>
      <c r="H4035">
        <v>1.09608333333333</v>
      </c>
      <c r="I4035">
        <v>7.5523460318120197</v>
      </c>
    </row>
    <row r="4036" spans="1:9" x14ac:dyDescent="0.35">
      <c r="A4036" s="417" t="s">
        <v>846</v>
      </c>
      <c r="B4036" s="417" t="s">
        <v>691</v>
      </c>
      <c r="C4036" s="83">
        <v>46085</v>
      </c>
      <c r="D4036" s="417" t="s">
        <v>309</v>
      </c>
      <c r="E4036">
        <v>340.90688333333298</v>
      </c>
      <c r="F4036">
        <v>20</v>
      </c>
      <c r="G4036">
        <v>17.045344166666698</v>
      </c>
      <c r="H4036">
        <v>0</v>
      </c>
      <c r="I4036">
        <v>37.185117197699697</v>
      </c>
    </row>
    <row r="4037" spans="1:9" x14ac:dyDescent="0.35">
      <c r="A4037" s="417" t="s">
        <v>846</v>
      </c>
      <c r="B4037" s="417" t="s">
        <v>691</v>
      </c>
      <c r="C4037" s="83">
        <v>46085</v>
      </c>
      <c r="D4037" s="417" t="s">
        <v>301</v>
      </c>
      <c r="E4037">
        <v>211.44978333333299</v>
      </c>
      <c r="F4037">
        <v>15</v>
      </c>
      <c r="G4037">
        <v>14.0966522222222</v>
      </c>
      <c r="H4037">
        <v>0</v>
      </c>
      <c r="I4037">
        <v>66.920949432281105</v>
      </c>
    </row>
    <row r="4038" spans="1:9" x14ac:dyDescent="0.35">
      <c r="A4038" s="417" t="s">
        <v>846</v>
      </c>
      <c r="B4038" s="417" t="s">
        <v>691</v>
      </c>
      <c r="C4038" s="83">
        <v>46085</v>
      </c>
      <c r="D4038" s="417" t="s">
        <v>295</v>
      </c>
      <c r="E4038">
        <v>352.26311666666697</v>
      </c>
      <c r="F4038">
        <v>9</v>
      </c>
      <c r="G4038">
        <v>39.1403462962963</v>
      </c>
      <c r="H4038">
        <v>0</v>
      </c>
      <c r="I4038">
        <v>54.808248271606097</v>
      </c>
    </row>
    <row r="4039" spans="1:9" x14ac:dyDescent="0.35">
      <c r="A4039" s="417" t="s">
        <v>846</v>
      </c>
      <c r="B4039" s="417" t="s">
        <v>691</v>
      </c>
      <c r="C4039" s="83">
        <v>46085</v>
      </c>
      <c r="D4039" s="417" t="s">
        <v>342</v>
      </c>
      <c r="E4039">
        <v>350.49871666666701</v>
      </c>
      <c r="F4039">
        <v>7</v>
      </c>
      <c r="G4039">
        <v>50.071245238095202</v>
      </c>
      <c r="H4039">
        <v>9.5012833333333298</v>
      </c>
      <c r="I4039">
        <v>41.349206349206398</v>
      </c>
    </row>
    <row r="4040" spans="1:9" x14ac:dyDescent="0.35">
      <c r="A4040" s="417" t="s">
        <v>846</v>
      </c>
      <c r="B4040" s="417" t="s">
        <v>691</v>
      </c>
      <c r="C4040" s="83">
        <v>46085</v>
      </c>
      <c r="D4040" s="417" t="s">
        <v>299</v>
      </c>
      <c r="E4040">
        <v>220.66966666666701</v>
      </c>
      <c r="F4040">
        <v>5</v>
      </c>
      <c r="G4040">
        <v>44.133933333333303</v>
      </c>
      <c r="H4040">
        <v>0</v>
      </c>
      <c r="I4040">
        <v>91.107783928714596</v>
      </c>
    </row>
    <row r="4041" spans="1:9" x14ac:dyDescent="0.35">
      <c r="A4041" s="417" t="s">
        <v>846</v>
      </c>
      <c r="B4041" s="417" t="s">
        <v>691</v>
      </c>
      <c r="C4041" s="83">
        <v>46085</v>
      </c>
      <c r="D4041" s="417" t="s">
        <v>314</v>
      </c>
      <c r="E4041">
        <v>356.09141666666699</v>
      </c>
      <c r="F4041">
        <v>4</v>
      </c>
      <c r="G4041">
        <v>89.022854166666704</v>
      </c>
      <c r="H4041">
        <v>9.5200000000000007E-2</v>
      </c>
      <c r="I4041">
        <v>40.6666666666667</v>
      </c>
    </row>
    <row r="4042" spans="1:9" x14ac:dyDescent="0.35">
      <c r="A4042" s="417" t="s">
        <v>846</v>
      </c>
      <c r="B4042" s="417" t="s">
        <v>691</v>
      </c>
      <c r="C4042" s="83">
        <v>46085</v>
      </c>
      <c r="D4042" s="417" t="s">
        <v>310</v>
      </c>
      <c r="E4042">
        <v>357.25555000000003</v>
      </c>
      <c r="F4042">
        <v>2</v>
      </c>
      <c r="G4042">
        <v>178.62777500000001</v>
      </c>
      <c r="H4042">
        <v>0</v>
      </c>
      <c r="I4042">
        <v>55.935275866548402</v>
      </c>
    </row>
    <row r="4043" spans="1:9" x14ac:dyDescent="0.35">
      <c r="A4043" s="417" t="s">
        <v>846</v>
      </c>
      <c r="B4043" s="417" t="s">
        <v>691</v>
      </c>
      <c r="C4043" s="83">
        <v>46085</v>
      </c>
      <c r="D4043" s="417" t="s">
        <v>303</v>
      </c>
      <c r="E4043">
        <v>229.58430000000001</v>
      </c>
      <c r="F4043">
        <v>2</v>
      </c>
      <c r="G4043">
        <v>114.79215000000001</v>
      </c>
      <c r="H4043">
        <v>0</v>
      </c>
      <c r="I4043">
        <v>49.458436718926897</v>
      </c>
    </row>
    <row r="4044" spans="1:9" x14ac:dyDescent="0.35">
      <c r="A4044" s="417" t="s">
        <v>846</v>
      </c>
      <c r="B4044" s="417" t="s">
        <v>691</v>
      </c>
      <c r="C4044" s="83">
        <v>46085</v>
      </c>
      <c r="D4044" s="417" t="s">
        <v>313</v>
      </c>
      <c r="E4044">
        <v>350.72215</v>
      </c>
      <c r="F4044">
        <v>1</v>
      </c>
      <c r="G4044">
        <v>350.72215</v>
      </c>
      <c r="H4044">
        <v>0</v>
      </c>
      <c r="I4044">
        <v>57.623962444345302</v>
      </c>
    </row>
    <row r="4045" spans="1:9" x14ac:dyDescent="0.35">
      <c r="A4045" s="417" t="s">
        <v>846</v>
      </c>
      <c r="B4045" s="417" t="s">
        <v>691</v>
      </c>
      <c r="C4045" s="83">
        <v>46085</v>
      </c>
      <c r="D4045" s="417" t="s">
        <v>317</v>
      </c>
      <c r="E4045">
        <v>360</v>
      </c>
      <c r="F4045">
        <v>1</v>
      </c>
      <c r="G4045">
        <v>360</v>
      </c>
      <c r="H4045">
        <v>0</v>
      </c>
      <c r="I4045">
        <v>31.125</v>
      </c>
    </row>
    <row r="4046" spans="1:9" x14ac:dyDescent="0.35">
      <c r="A4046" s="417" t="s">
        <v>846</v>
      </c>
      <c r="B4046" s="417" t="s">
        <v>691</v>
      </c>
      <c r="C4046" s="83">
        <v>46085</v>
      </c>
      <c r="D4046" s="417" t="s">
        <v>504</v>
      </c>
      <c r="E4046">
        <v>360</v>
      </c>
      <c r="F4046">
        <v>1</v>
      </c>
      <c r="G4046">
        <v>360</v>
      </c>
      <c r="H4046">
        <v>0</v>
      </c>
      <c r="I4046">
        <v>18.2259259259259</v>
      </c>
    </row>
    <row r="4047" spans="1:9" x14ac:dyDescent="0.35">
      <c r="A4047" s="417" t="s">
        <v>846</v>
      </c>
      <c r="B4047" s="417" t="s">
        <v>676</v>
      </c>
      <c r="C4047" s="83">
        <v>46084</v>
      </c>
      <c r="D4047" s="417" t="s">
        <v>677</v>
      </c>
      <c r="E4047">
        <v>1262.71055</v>
      </c>
      <c r="F4047">
        <v>240</v>
      </c>
      <c r="G4047">
        <v>5.2612939583333302</v>
      </c>
      <c r="H4047">
        <v>158.453683333333</v>
      </c>
      <c r="I4047">
        <v>33.419722222222198</v>
      </c>
    </row>
    <row r="4048" spans="1:9" x14ac:dyDescent="0.35">
      <c r="A4048" s="417" t="s">
        <v>846</v>
      </c>
      <c r="B4048" s="417" t="s">
        <v>676</v>
      </c>
      <c r="C4048" s="83">
        <v>46084</v>
      </c>
      <c r="D4048" s="417" t="s">
        <v>679</v>
      </c>
      <c r="E4048">
        <v>1364.7208499999999</v>
      </c>
      <c r="F4048">
        <v>23</v>
      </c>
      <c r="G4048">
        <v>59.335689130434801</v>
      </c>
      <c r="H4048">
        <v>20.665383333333299</v>
      </c>
      <c r="I4048">
        <v>71.133231750750994</v>
      </c>
    </row>
    <row r="4049" spans="1:9" x14ac:dyDescent="0.35">
      <c r="A4049" s="417" t="s">
        <v>846</v>
      </c>
      <c r="B4049" s="417" t="s">
        <v>680</v>
      </c>
      <c r="C4049" s="83">
        <v>46084</v>
      </c>
      <c r="D4049" s="417" t="s">
        <v>681</v>
      </c>
      <c r="E4049">
        <v>1363.82836666667</v>
      </c>
      <c r="F4049">
        <v>97</v>
      </c>
      <c r="G4049">
        <v>14.0600862542955</v>
      </c>
      <c r="H4049">
        <v>1.8347166666666701</v>
      </c>
      <c r="I4049">
        <v>78.999819499136606</v>
      </c>
    </row>
    <row r="4050" spans="1:9" x14ac:dyDescent="0.35">
      <c r="A4050" s="417" t="s">
        <v>846</v>
      </c>
      <c r="B4050" s="417" t="s">
        <v>680</v>
      </c>
      <c r="C4050" s="83">
        <v>46084</v>
      </c>
      <c r="D4050" s="417" t="s">
        <v>683</v>
      </c>
      <c r="E4050">
        <v>1300.49673333333</v>
      </c>
      <c r="F4050">
        <v>87</v>
      </c>
      <c r="G4050">
        <v>14.9482383141762</v>
      </c>
      <c r="H4050">
        <v>8.8332166666666705</v>
      </c>
      <c r="I4050">
        <v>63.091313580099097</v>
      </c>
    </row>
    <row r="4051" spans="1:9" x14ac:dyDescent="0.35">
      <c r="A4051" s="417" t="s">
        <v>846</v>
      </c>
      <c r="B4051" s="417" t="s">
        <v>680</v>
      </c>
      <c r="C4051" s="83">
        <v>46084</v>
      </c>
      <c r="D4051" s="417" t="s">
        <v>690</v>
      </c>
      <c r="E4051">
        <v>1325.5580333333301</v>
      </c>
      <c r="F4051">
        <v>49</v>
      </c>
      <c r="G4051">
        <v>27.0522047619048</v>
      </c>
      <c r="H4051">
        <v>17.337350000000001</v>
      </c>
      <c r="I4051">
        <v>54.363969173944199</v>
      </c>
    </row>
    <row r="4052" spans="1:9" x14ac:dyDescent="0.35">
      <c r="A4052" s="417" t="s">
        <v>846</v>
      </c>
      <c r="B4052" s="417" t="s">
        <v>680</v>
      </c>
      <c r="C4052" s="83">
        <v>46084</v>
      </c>
      <c r="D4052" s="417" t="s">
        <v>689</v>
      </c>
      <c r="E4052">
        <v>1343.4609666666699</v>
      </c>
      <c r="F4052">
        <v>38</v>
      </c>
      <c r="G4052">
        <v>35.354235964912299</v>
      </c>
      <c r="H4052">
        <v>1.83345</v>
      </c>
      <c r="I4052">
        <v>83.9166025902298</v>
      </c>
    </row>
    <row r="4053" spans="1:9" x14ac:dyDescent="0.35">
      <c r="A4053" s="417" t="s">
        <v>846</v>
      </c>
      <c r="B4053" s="417" t="s">
        <v>680</v>
      </c>
      <c r="C4053" s="83">
        <v>46084</v>
      </c>
      <c r="D4053" s="417" t="s">
        <v>688</v>
      </c>
      <c r="E4053">
        <v>1379.24213333333</v>
      </c>
      <c r="F4053">
        <v>26</v>
      </c>
      <c r="G4053">
        <v>53.047774358974401</v>
      </c>
      <c r="H4053">
        <v>22.658716666666699</v>
      </c>
      <c r="I4053">
        <v>76.693347828261295</v>
      </c>
    </row>
    <row r="4054" spans="1:9" x14ac:dyDescent="0.35">
      <c r="A4054" s="417" t="s">
        <v>846</v>
      </c>
      <c r="B4054" s="417" t="s">
        <v>680</v>
      </c>
      <c r="C4054" s="83">
        <v>46084</v>
      </c>
      <c r="D4054" s="417" t="s">
        <v>684</v>
      </c>
      <c r="E4054">
        <v>1408.11838333333</v>
      </c>
      <c r="F4054">
        <v>25</v>
      </c>
      <c r="G4054">
        <v>56.324735333333301</v>
      </c>
      <c r="H4054">
        <v>22.0339833333333</v>
      </c>
      <c r="I4054">
        <v>78.7962358191551</v>
      </c>
    </row>
    <row r="4055" spans="1:9" x14ac:dyDescent="0.35">
      <c r="A4055" s="417" t="s">
        <v>846</v>
      </c>
      <c r="B4055" s="417" t="s">
        <v>680</v>
      </c>
      <c r="C4055" s="83">
        <v>46084</v>
      </c>
      <c r="D4055" s="417" t="s">
        <v>687</v>
      </c>
      <c r="E4055">
        <v>1375.9812999999999</v>
      </c>
      <c r="F4055">
        <v>17</v>
      </c>
      <c r="G4055">
        <v>80.940076470588195</v>
      </c>
      <c r="H4055">
        <v>27.6535166666667</v>
      </c>
      <c r="I4055">
        <v>46.368087811060903</v>
      </c>
    </row>
    <row r="4056" spans="1:9" x14ac:dyDescent="0.35">
      <c r="A4056" s="417" t="s">
        <v>846</v>
      </c>
      <c r="B4056" s="417" t="s">
        <v>680</v>
      </c>
      <c r="C4056" s="83">
        <v>46084</v>
      </c>
      <c r="D4056" s="417" t="s">
        <v>682</v>
      </c>
      <c r="E4056">
        <v>1422.5001666666701</v>
      </c>
      <c r="F4056">
        <v>16</v>
      </c>
      <c r="G4056">
        <v>88.906260416666697</v>
      </c>
      <c r="H4056">
        <v>17.499833333333299</v>
      </c>
      <c r="I4056">
        <v>78.204365079365104</v>
      </c>
    </row>
    <row r="4057" spans="1:9" x14ac:dyDescent="0.35">
      <c r="A4057" s="417" t="s">
        <v>846</v>
      </c>
      <c r="B4057" s="417" t="s">
        <v>680</v>
      </c>
      <c r="C4057" s="83">
        <v>46084</v>
      </c>
      <c r="D4057" s="417" t="s">
        <v>685</v>
      </c>
      <c r="E4057">
        <v>1425.3479666666699</v>
      </c>
      <c r="F4057">
        <v>6</v>
      </c>
      <c r="G4057">
        <v>237.55799444444401</v>
      </c>
      <c r="H4057">
        <v>1.15385</v>
      </c>
      <c r="I4057">
        <v>79.7034560746946</v>
      </c>
    </row>
    <row r="4058" spans="1:9" x14ac:dyDescent="0.35">
      <c r="A4058" s="417" t="s">
        <v>846</v>
      </c>
      <c r="B4058" s="417" t="s">
        <v>680</v>
      </c>
      <c r="C4058" s="83">
        <v>46084</v>
      </c>
      <c r="D4058" s="417" t="s">
        <v>686</v>
      </c>
      <c r="E4058">
        <v>1440</v>
      </c>
      <c r="F4058">
        <v>1</v>
      </c>
      <c r="G4058">
        <v>1440</v>
      </c>
      <c r="H4058">
        <v>0</v>
      </c>
      <c r="I4058">
        <v>42.584325396825399</v>
      </c>
    </row>
    <row r="4059" spans="1:9" x14ac:dyDescent="0.35">
      <c r="A4059" s="417" t="s">
        <v>846</v>
      </c>
      <c r="B4059" s="417" t="s">
        <v>691</v>
      </c>
      <c r="C4059" s="83">
        <v>46084</v>
      </c>
      <c r="D4059" s="417" t="s">
        <v>317</v>
      </c>
      <c r="E4059">
        <v>1368.1730833333299</v>
      </c>
      <c r="F4059">
        <v>246</v>
      </c>
      <c r="G4059">
        <v>5.5616792005420104</v>
      </c>
      <c r="H4059">
        <v>57.132383333333301</v>
      </c>
      <c r="I4059">
        <v>33.708563619251301</v>
      </c>
    </row>
    <row r="4060" spans="1:9" x14ac:dyDescent="0.35">
      <c r="A4060" s="417" t="s">
        <v>846</v>
      </c>
      <c r="B4060" s="417" t="s">
        <v>691</v>
      </c>
      <c r="C4060" s="83">
        <v>46084</v>
      </c>
      <c r="D4060" s="417" t="s">
        <v>305</v>
      </c>
      <c r="E4060">
        <v>1146.85038333333</v>
      </c>
      <c r="F4060">
        <v>177</v>
      </c>
      <c r="G4060">
        <v>6.4793806967984899</v>
      </c>
      <c r="H4060">
        <v>6.0783666666666702</v>
      </c>
      <c r="I4060">
        <v>39.591801495340903</v>
      </c>
    </row>
    <row r="4061" spans="1:9" x14ac:dyDescent="0.35">
      <c r="A4061" s="417" t="s">
        <v>846</v>
      </c>
      <c r="B4061" s="417" t="s">
        <v>691</v>
      </c>
      <c r="C4061" s="83">
        <v>46084</v>
      </c>
      <c r="D4061" s="417" t="s">
        <v>309</v>
      </c>
      <c r="E4061">
        <v>1298.0163666666699</v>
      </c>
      <c r="F4061">
        <v>93</v>
      </c>
      <c r="G4061">
        <v>13.9571652329749</v>
      </c>
      <c r="H4061">
        <v>0</v>
      </c>
      <c r="I4061">
        <v>47.942451192100997</v>
      </c>
    </row>
    <row r="4062" spans="1:9" x14ac:dyDescent="0.35">
      <c r="A4062" s="417" t="s">
        <v>846</v>
      </c>
      <c r="B4062" s="417" t="s">
        <v>691</v>
      </c>
      <c r="C4062" s="83">
        <v>46084</v>
      </c>
      <c r="D4062" s="417" t="s">
        <v>301</v>
      </c>
      <c r="E4062">
        <v>1265.44885</v>
      </c>
      <c r="F4062">
        <v>76</v>
      </c>
      <c r="G4062">
        <v>16.650642763157901</v>
      </c>
      <c r="H4062">
        <v>5.0477833333333297</v>
      </c>
      <c r="I4062">
        <v>49.955245167060603</v>
      </c>
    </row>
    <row r="4063" spans="1:9" x14ac:dyDescent="0.35">
      <c r="A4063" s="417" t="s">
        <v>846</v>
      </c>
      <c r="B4063" s="417" t="s">
        <v>691</v>
      </c>
      <c r="C4063" s="83">
        <v>46084</v>
      </c>
      <c r="D4063" s="417" t="s">
        <v>295</v>
      </c>
      <c r="E4063">
        <v>1258.40941666667</v>
      </c>
      <c r="F4063">
        <v>73</v>
      </c>
      <c r="G4063">
        <v>17.238485159817401</v>
      </c>
      <c r="H4063">
        <v>0.13568333333333299</v>
      </c>
      <c r="I4063">
        <v>61.395832591333999</v>
      </c>
    </row>
    <row r="4064" spans="1:9" x14ac:dyDescent="0.35">
      <c r="A4064" s="417" t="s">
        <v>846</v>
      </c>
      <c r="B4064" s="417" t="s">
        <v>691</v>
      </c>
      <c r="C4064" s="83">
        <v>46084</v>
      </c>
      <c r="D4064" s="417" t="s">
        <v>303</v>
      </c>
      <c r="E4064">
        <v>1233.0685000000001</v>
      </c>
      <c r="F4064">
        <v>69</v>
      </c>
      <c r="G4064">
        <v>17.870557971014499</v>
      </c>
      <c r="H4064">
        <v>0.54153333333333298</v>
      </c>
      <c r="I4064">
        <v>35.435202201272602</v>
      </c>
    </row>
    <row r="4065" spans="1:9" x14ac:dyDescent="0.35">
      <c r="A4065" s="417" t="s">
        <v>846</v>
      </c>
      <c r="B4065" s="417" t="s">
        <v>691</v>
      </c>
      <c r="C4065" s="83">
        <v>46084</v>
      </c>
      <c r="D4065" s="417" t="s">
        <v>299</v>
      </c>
      <c r="E4065">
        <v>1273.2724333333299</v>
      </c>
      <c r="F4065">
        <v>37</v>
      </c>
      <c r="G4065">
        <v>34.412768468468499</v>
      </c>
      <c r="H4065">
        <v>0.23176666666666701</v>
      </c>
      <c r="I4065">
        <v>62.900022860367201</v>
      </c>
    </row>
    <row r="4066" spans="1:9" x14ac:dyDescent="0.35">
      <c r="A4066" s="417" t="s">
        <v>846</v>
      </c>
      <c r="B4066" s="417" t="s">
        <v>691</v>
      </c>
      <c r="C4066" s="83">
        <v>46084</v>
      </c>
      <c r="D4066" s="417" t="s">
        <v>342</v>
      </c>
      <c r="E4066">
        <v>968.61048333333304</v>
      </c>
      <c r="F4066">
        <v>34</v>
      </c>
      <c r="G4066">
        <v>28.488543627451001</v>
      </c>
      <c r="H4066">
        <v>53.815166666666698</v>
      </c>
      <c r="I4066">
        <v>3719.6031746031699</v>
      </c>
    </row>
    <row r="4067" spans="1:9" x14ac:dyDescent="0.35">
      <c r="A4067" s="417" t="s">
        <v>846</v>
      </c>
      <c r="B4067" s="417" t="s">
        <v>691</v>
      </c>
      <c r="C4067" s="83">
        <v>46084</v>
      </c>
      <c r="D4067" s="417" t="s">
        <v>313</v>
      </c>
      <c r="E4067">
        <v>935.98871666666696</v>
      </c>
      <c r="F4067">
        <v>9</v>
      </c>
      <c r="G4067">
        <v>103.99874629629601</v>
      </c>
      <c r="H4067">
        <v>0</v>
      </c>
      <c r="I4067">
        <v>61.563095573513401</v>
      </c>
    </row>
    <row r="4068" spans="1:9" x14ac:dyDescent="0.35">
      <c r="A4068" s="417" t="s">
        <v>846</v>
      </c>
      <c r="B4068" s="417" t="s">
        <v>691</v>
      </c>
      <c r="C4068" s="83">
        <v>46084</v>
      </c>
      <c r="D4068" s="417" t="s">
        <v>310</v>
      </c>
      <c r="E4068">
        <v>1352.6626333333299</v>
      </c>
      <c r="F4068">
        <v>5</v>
      </c>
      <c r="G4068">
        <v>270.53252666666702</v>
      </c>
      <c r="H4068">
        <v>0</v>
      </c>
      <c r="I4068">
        <v>62.409731177242698</v>
      </c>
    </row>
    <row r="4069" spans="1:9" x14ac:dyDescent="0.35">
      <c r="A4069" s="417" t="s">
        <v>846</v>
      </c>
      <c r="B4069" s="417" t="s">
        <v>691</v>
      </c>
      <c r="C4069" s="83">
        <v>46084</v>
      </c>
      <c r="D4069" s="417" t="s">
        <v>314</v>
      </c>
      <c r="E4069">
        <v>1429.09206666667</v>
      </c>
      <c r="F4069">
        <v>5</v>
      </c>
      <c r="G4069">
        <v>285.81841333333301</v>
      </c>
      <c r="H4069">
        <v>0.10136666666666699</v>
      </c>
      <c r="I4069">
        <v>41.210447705298101</v>
      </c>
    </row>
    <row r="4070" spans="1:9" x14ac:dyDescent="0.35">
      <c r="A4070" s="417" t="s">
        <v>846</v>
      </c>
      <c r="B4070" s="417" t="s">
        <v>691</v>
      </c>
      <c r="C4070" s="83">
        <v>46084</v>
      </c>
      <c r="D4070" s="417" t="s">
        <v>504</v>
      </c>
      <c r="E4070">
        <v>1440</v>
      </c>
      <c r="F4070">
        <v>1</v>
      </c>
      <c r="G4070">
        <v>1440</v>
      </c>
      <c r="H4070">
        <v>0</v>
      </c>
      <c r="I4070">
        <v>24.9930555555555</v>
      </c>
    </row>
    <row r="4071" spans="1:9" x14ac:dyDescent="0.35">
      <c r="A4071" s="417" t="s">
        <v>846</v>
      </c>
      <c r="B4071" s="417" t="s">
        <v>676</v>
      </c>
      <c r="C4071" s="83">
        <v>46083</v>
      </c>
      <c r="D4071" s="417" t="s">
        <v>677</v>
      </c>
      <c r="E4071">
        <v>1197.7174333333301</v>
      </c>
      <c r="F4071">
        <v>106</v>
      </c>
      <c r="G4071">
        <v>11.2992210691824</v>
      </c>
      <c r="H4071">
        <v>88.929699999999997</v>
      </c>
      <c r="I4071">
        <v>24.275833333333299</v>
      </c>
    </row>
    <row r="4072" spans="1:9" x14ac:dyDescent="0.35">
      <c r="A4072" s="417" t="s">
        <v>846</v>
      </c>
      <c r="B4072" s="417" t="s">
        <v>676</v>
      </c>
      <c r="C4072" s="83">
        <v>46083</v>
      </c>
      <c r="D4072" s="417" t="s">
        <v>679</v>
      </c>
      <c r="E4072">
        <v>1143.47673333333</v>
      </c>
      <c r="F4072">
        <v>24</v>
      </c>
      <c r="G4072">
        <v>47.644863888888899</v>
      </c>
      <c r="H4072">
        <v>24.2486</v>
      </c>
      <c r="I4072">
        <v>52.398410229931699</v>
      </c>
    </row>
    <row r="4073" spans="1:9" x14ac:dyDescent="0.35">
      <c r="A4073" s="417" t="s">
        <v>846</v>
      </c>
      <c r="B4073" s="417" t="s">
        <v>680</v>
      </c>
      <c r="C4073" s="83">
        <v>46083</v>
      </c>
      <c r="D4073" s="417" t="s">
        <v>681</v>
      </c>
      <c r="E4073">
        <v>1349.76856666667</v>
      </c>
      <c r="F4073">
        <v>142</v>
      </c>
      <c r="G4073">
        <v>9.5054124413145509</v>
      </c>
      <c r="H4073">
        <v>3.2740999999999998</v>
      </c>
      <c r="I4073">
        <v>81.870660872839096</v>
      </c>
    </row>
    <row r="4074" spans="1:9" x14ac:dyDescent="0.35">
      <c r="A4074" s="417" t="s">
        <v>846</v>
      </c>
      <c r="B4074" s="417" t="s">
        <v>680</v>
      </c>
      <c r="C4074" s="83">
        <v>46083</v>
      </c>
      <c r="D4074" s="417" t="s">
        <v>682</v>
      </c>
      <c r="E4074">
        <v>1280.2592666666701</v>
      </c>
      <c r="F4074">
        <v>106</v>
      </c>
      <c r="G4074">
        <v>12.077917610062901</v>
      </c>
      <c r="H4074">
        <v>120.976716666667</v>
      </c>
      <c r="I4074">
        <v>66.443452380952394</v>
      </c>
    </row>
    <row r="4075" spans="1:9" x14ac:dyDescent="0.35">
      <c r="A4075" s="417" t="s">
        <v>846</v>
      </c>
      <c r="B4075" s="417" t="s">
        <v>680</v>
      </c>
      <c r="C4075" s="83">
        <v>46083</v>
      </c>
      <c r="D4075" s="417" t="s">
        <v>683</v>
      </c>
      <c r="E4075">
        <v>1314.6037166666699</v>
      </c>
      <c r="F4075">
        <v>52</v>
      </c>
      <c r="G4075">
        <v>25.280840705128199</v>
      </c>
      <c r="H4075">
        <v>8.2293000000000003</v>
      </c>
      <c r="I4075">
        <v>61.848060354994601</v>
      </c>
    </row>
    <row r="4076" spans="1:9" x14ac:dyDescent="0.35">
      <c r="A4076" s="417" t="s">
        <v>846</v>
      </c>
      <c r="B4076" s="417" t="s">
        <v>680</v>
      </c>
      <c r="C4076" s="83">
        <v>46083</v>
      </c>
      <c r="D4076" s="417" t="s">
        <v>689</v>
      </c>
      <c r="E4076">
        <v>1372.9123833333299</v>
      </c>
      <c r="F4076">
        <v>45</v>
      </c>
      <c r="G4076">
        <v>30.5091640740741</v>
      </c>
      <c r="H4076">
        <v>2.7023333333333301</v>
      </c>
      <c r="I4076">
        <v>81.276437405696299</v>
      </c>
    </row>
    <row r="4077" spans="1:9" x14ac:dyDescent="0.35">
      <c r="A4077" s="417" t="s">
        <v>846</v>
      </c>
      <c r="B4077" s="417" t="s">
        <v>680</v>
      </c>
      <c r="C4077" s="83">
        <v>46083</v>
      </c>
      <c r="D4077" s="417" t="s">
        <v>690</v>
      </c>
      <c r="E4077">
        <v>1360.7874833333301</v>
      </c>
      <c r="F4077">
        <v>41</v>
      </c>
      <c r="G4077">
        <v>33.189938617886199</v>
      </c>
      <c r="H4077">
        <v>22.0289</v>
      </c>
      <c r="I4077">
        <v>55.970489782917703</v>
      </c>
    </row>
    <row r="4078" spans="1:9" x14ac:dyDescent="0.35">
      <c r="A4078" s="417" t="s">
        <v>846</v>
      </c>
      <c r="B4078" s="417" t="s">
        <v>680</v>
      </c>
      <c r="C4078" s="83">
        <v>46083</v>
      </c>
      <c r="D4078" s="417" t="s">
        <v>685</v>
      </c>
      <c r="E4078">
        <v>1398.0844999999999</v>
      </c>
      <c r="F4078">
        <v>37</v>
      </c>
      <c r="G4078">
        <v>37.786067567567599</v>
      </c>
      <c r="H4078">
        <v>15.64165</v>
      </c>
      <c r="I4078">
        <v>77.7030932960039</v>
      </c>
    </row>
    <row r="4079" spans="1:9" x14ac:dyDescent="0.35">
      <c r="A4079" s="417" t="s">
        <v>846</v>
      </c>
      <c r="B4079" s="417" t="s">
        <v>680</v>
      </c>
      <c r="C4079" s="83">
        <v>46083</v>
      </c>
      <c r="D4079" s="417" t="s">
        <v>684</v>
      </c>
      <c r="E4079">
        <v>1402.33171666667</v>
      </c>
      <c r="F4079">
        <v>35</v>
      </c>
      <c r="G4079">
        <v>40.066620476190501</v>
      </c>
      <c r="H4079">
        <v>29.195216666666699</v>
      </c>
      <c r="I4079">
        <v>68.618692638652902</v>
      </c>
    </row>
    <row r="4080" spans="1:9" x14ac:dyDescent="0.35">
      <c r="A4080" s="417" t="s">
        <v>846</v>
      </c>
      <c r="B4080" s="417" t="s">
        <v>680</v>
      </c>
      <c r="C4080" s="83">
        <v>46083</v>
      </c>
      <c r="D4080" s="417" t="s">
        <v>688</v>
      </c>
      <c r="E4080">
        <v>1377.68436666667</v>
      </c>
      <c r="F4080">
        <v>30</v>
      </c>
      <c r="G4080">
        <v>45.922812222222198</v>
      </c>
      <c r="H4080">
        <v>7.9984999999999999</v>
      </c>
      <c r="I4080">
        <v>75.789963041070294</v>
      </c>
    </row>
    <row r="4081" spans="1:9" x14ac:dyDescent="0.35">
      <c r="A4081" s="417" t="s">
        <v>846</v>
      </c>
      <c r="B4081" s="417" t="s">
        <v>680</v>
      </c>
      <c r="C4081" s="83">
        <v>46083</v>
      </c>
      <c r="D4081" s="417" t="s">
        <v>687</v>
      </c>
      <c r="E4081">
        <v>1375.3741833333299</v>
      </c>
      <c r="F4081">
        <v>28</v>
      </c>
      <c r="G4081">
        <v>49.120506547619101</v>
      </c>
      <c r="H4081">
        <v>37.798099999999998</v>
      </c>
      <c r="I4081">
        <v>48.623764720093</v>
      </c>
    </row>
    <row r="4082" spans="1:9" x14ac:dyDescent="0.35">
      <c r="A4082" s="417" t="s">
        <v>846</v>
      </c>
      <c r="B4082" s="417" t="s">
        <v>680</v>
      </c>
      <c r="C4082" s="83">
        <v>46083</v>
      </c>
      <c r="D4082" s="417" t="s">
        <v>686</v>
      </c>
      <c r="E4082">
        <v>1440</v>
      </c>
      <c r="F4082">
        <v>1</v>
      </c>
      <c r="G4082">
        <v>1440</v>
      </c>
      <c r="H4082">
        <v>0</v>
      </c>
      <c r="I4082">
        <v>44.176587301587297</v>
      </c>
    </row>
    <row r="4083" spans="1:9" x14ac:dyDescent="0.35">
      <c r="A4083" s="417" t="s">
        <v>846</v>
      </c>
      <c r="B4083" s="417" t="s">
        <v>691</v>
      </c>
      <c r="C4083" s="83">
        <v>46083</v>
      </c>
      <c r="D4083" s="417" t="s">
        <v>299</v>
      </c>
      <c r="E4083">
        <v>76.293266666666696</v>
      </c>
      <c r="F4083">
        <v>1</v>
      </c>
      <c r="G4083">
        <v>76.293266666666696</v>
      </c>
      <c r="H4083">
        <v>0</v>
      </c>
      <c r="I4083">
        <v>0</v>
      </c>
    </row>
    <row r="4084" spans="1:9" x14ac:dyDescent="0.35">
      <c r="A4084" s="417" t="s">
        <v>846</v>
      </c>
      <c r="B4084" s="417" t="s">
        <v>691</v>
      </c>
      <c r="C4084" s="83">
        <v>46083</v>
      </c>
      <c r="D4084" s="417" t="s">
        <v>310</v>
      </c>
      <c r="E4084">
        <v>110.53208333333301</v>
      </c>
      <c r="F4084">
        <v>1</v>
      </c>
      <c r="G4084">
        <v>110.53208333333301</v>
      </c>
      <c r="H4084">
        <v>0</v>
      </c>
      <c r="I4084">
        <v>0</v>
      </c>
    </row>
    <row r="4085" spans="1:9" x14ac:dyDescent="0.35">
      <c r="A4085" s="417" t="s">
        <v>846</v>
      </c>
      <c r="B4085" s="417" t="s">
        <v>691</v>
      </c>
      <c r="C4085" s="83">
        <v>46083</v>
      </c>
      <c r="D4085" s="417" t="s">
        <v>314</v>
      </c>
      <c r="E4085">
        <v>114.15888333333299</v>
      </c>
      <c r="F4085">
        <v>1</v>
      </c>
      <c r="G4085">
        <v>114.15888333333299</v>
      </c>
      <c r="H4085">
        <v>0</v>
      </c>
      <c r="I4085">
        <v>0</v>
      </c>
    </row>
    <row r="4086" spans="1:9" x14ac:dyDescent="0.35">
      <c r="A4086" s="417" t="s">
        <v>846</v>
      </c>
      <c r="B4086" s="417" t="s">
        <v>691</v>
      </c>
      <c r="C4086" s="83">
        <v>46083</v>
      </c>
      <c r="D4086" s="417" t="s">
        <v>303</v>
      </c>
      <c r="E4086">
        <v>120</v>
      </c>
      <c r="F4086">
        <v>1</v>
      </c>
      <c r="G4086">
        <v>120</v>
      </c>
      <c r="H4086">
        <v>0</v>
      </c>
      <c r="I4086">
        <v>0</v>
      </c>
    </row>
    <row r="4087" spans="1:9" x14ac:dyDescent="0.35">
      <c r="A4087" s="417" t="s">
        <v>846</v>
      </c>
      <c r="B4087" s="417" t="s">
        <v>691</v>
      </c>
      <c r="C4087" s="83">
        <v>46083</v>
      </c>
      <c r="D4087" s="417" t="s">
        <v>301</v>
      </c>
      <c r="E4087">
        <v>120</v>
      </c>
      <c r="F4087">
        <v>1</v>
      </c>
      <c r="G4087">
        <v>120</v>
      </c>
      <c r="H4087">
        <v>0</v>
      </c>
      <c r="I4087">
        <v>0</v>
      </c>
    </row>
    <row r="4088" spans="1:9" x14ac:dyDescent="0.35">
      <c r="A4088" s="417" t="s">
        <v>846</v>
      </c>
      <c r="B4088" s="417" t="s">
        <v>691</v>
      </c>
      <c r="C4088" s="83">
        <v>46083</v>
      </c>
      <c r="D4088" s="417" t="s">
        <v>317</v>
      </c>
      <c r="E4088">
        <v>120</v>
      </c>
      <c r="F4088">
        <v>1</v>
      </c>
      <c r="G4088">
        <v>120</v>
      </c>
      <c r="H4088">
        <v>0</v>
      </c>
      <c r="I4088">
        <v>0</v>
      </c>
    </row>
    <row r="4089" spans="1:9" x14ac:dyDescent="0.35">
      <c r="A4089" s="417" t="s">
        <v>846</v>
      </c>
      <c r="B4089" s="417" t="s">
        <v>691</v>
      </c>
      <c r="C4089" s="83">
        <v>46083</v>
      </c>
      <c r="D4089" s="417" t="s">
        <v>309</v>
      </c>
      <c r="E4089">
        <v>120</v>
      </c>
      <c r="F4089">
        <v>1</v>
      </c>
      <c r="G4089">
        <v>120</v>
      </c>
      <c r="H4089">
        <v>0</v>
      </c>
      <c r="I4089">
        <v>0</v>
      </c>
    </row>
    <row r="4090" spans="1:9" x14ac:dyDescent="0.35">
      <c r="A4090" s="417" t="s">
        <v>846</v>
      </c>
      <c r="B4090" s="417" t="s">
        <v>691</v>
      </c>
      <c r="C4090" s="83">
        <v>46083</v>
      </c>
      <c r="D4090" s="417" t="s">
        <v>504</v>
      </c>
      <c r="E4090">
        <v>120</v>
      </c>
      <c r="F4090">
        <v>1</v>
      </c>
      <c r="G4090">
        <v>120</v>
      </c>
      <c r="H4090">
        <v>0</v>
      </c>
      <c r="I4090">
        <v>0</v>
      </c>
    </row>
    <row r="4091" spans="1:9" x14ac:dyDescent="0.35">
      <c r="A4091" s="417" t="s">
        <v>846</v>
      </c>
      <c r="B4091" s="417" t="s">
        <v>691</v>
      </c>
      <c r="C4091" s="83">
        <v>46083</v>
      </c>
      <c r="D4091" s="417" t="s">
        <v>305</v>
      </c>
      <c r="E4091">
        <v>120</v>
      </c>
      <c r="F4091">
        <v>1</v>
      </c>
      <c r="G4091">
        <v>120</v>
      </c>
      <c r="H4091">
        <v>0</v>
      </c>
      <c r="I4091">
        <v>0</v>
      </c>
    </row>
    <row r="4092" spans="1:9" x14ac:dyDescent="0.35">
      <c r="A4092" s="417" t="s">
        <v>846</v>
      </c>
      <c r="B4092" s="417" t="s">
        <v>691</v>
      </c>
      <c r="C4092" s="83">
        <v>46083</v>
      </c>
      <c r="D4092" s="417" t="s">
        <v>295</v>
      </c>
      <c r="E4092">
        <v>97.840766666666696</v>
      </c>
      <c r="F4092">
        <v>1</v>
      </c>
      <c r="G4092">
        <v>97.840766666666696</v>
      </c>
      <c r="H4092">
        <v>0</v>
      </c>
      <c r="I4092">
        <v>0</v>
      </c>
    </row>
    <row r="4093" spans="1:9" x14ac:dyDescent="0.35">
      <c r="A4093" s="417" t="s">
        <v>846</v>
      </c>
      <c r="B4093" s="417" t="s">
        <v>676</v>
      </c>
      <c r="C4093" s="83">
        <v>46082</v>
      </c>
      <c r="D4093" s="417" t="s">
        <v>677</v>
      </c>
      <c r="E4093">
        <v>1378.8650500000001</v>
      </c>
      <c r="F4093">
        <v>121</v>
      </c>
      <c r="G4093">
        <v>11.3955789256198</v>
      </c>
      <c r="H4093">
        <v>61.134950000000003</v>
      </c>
      <c r="I4093">
        <v>54.584722222222197</v>
      </c>
    </row>
    <row r="4094" spans="1:9" x14ac:dyDescent="0.35">
      <c r="A4094" s="417" t="s">
        <v>846</v>
      </c>
      <c r="B4094" s="417" t="s">
        <v>676</v>
      </c>
      <c r="C4094" s="83">
        <v>46082</v>
      </c>
      <c r="D4094" s="417" t="s">
        <v>679</v>
      </c>
      <c r="E4094">
        <v>1383.1938500000001</v>
      </c>
      <c r="F4094">
        <v>19</v>
      </c>
      <c r="G4094">
        <v>72.799676315789497</v>
      </c>
      <c r="H4094">
        <v>11.37895</v>
      </c>
      <c r="I4094">
        <v>81.436169317705506</v>
      </c>
    </row>
    <row r="4095" spans="1:9" x14ac:dyDescent="0.35">
      <c r="A4095" s="417" t="s">
        <v>846</v>
      </c>
      <c r="B4095" s="417" t="s">
        <v>680</v>
      </c>
      <c r="C4095" s="83">
        <v>46082</v>
      </c>
      <c r="D4095" s="417" t="s">
        <v>681</v>
      </c>
      <c r="E4095">
        <v>1272.30633333333</v>
      </c>
      <c r="F4095">
        <v>116</v>
      </c>
      <c r="G4095">
        <v>10.968158045977001</v>
      </c>
      <c r="H4095">
        <v>2.5767333333333302</v>
      </c>
      <c r="I4095">
        <v>70.002206482657201</v>
      </c>
    </row>
    <row r="4096" spans="1:9" x14ac:dyDescent="0.35">
      <c r="A4096" s="417" t="s">
        <v>846</v>
      </c>
      <c r="B4096" s="417" t="s">
        <v>680</v>
      </c>
      <c r="C4096" s="83">
        <v>46082</v>
      </c>
      <c r="D4096" s="417" t="s">
        <v>682</v>
      </c>
      <c r="E4096">
        <v>1217.57958333333</v>
      </c>
      <c r="F4096">
        <v>83</v>
      </c>
      <c r="G4096">
        <v>14.6696335341365</v>
      </c>
      <c r="H4096">
        <v>98.987899999999897</v>
      </c>
      <c r="I4096">
        <v>42.117274011007602</v>
      </c>
    </row>
    <row r="4097" spans="1:9" x14ac:dyDescent="0.35">
      <c r="A4097" s="417" t="s">
        <v>846</v>
      </c>
      <c r="B4097" s="417" t="s">
        <v>680</v>
      </c>
      <c r="C4097" s="83">
        <v>46082</v>
      </c>
      <c r="D4097" s="417" t="s">
        <v>689</v>
      </c>
      <c r="E4097">
        <v>1304.63681666667</v>
      </c>
      <c r="F4097">
        <v>57</v>
      </c>
      <c r="G4097">
        <v>22.888365204678401</v>
      </c>
      <c r="H4097">
        <v>0.16703333333333301</v>
      </c>
      <c r="I4097">
        <v>77.869929497022497</v>
      </c>
    </row>
    <row r="4098" spans="1:9" x14ac:dyDescent="0.35">
      <c r="A4098" s="417" t="s">
        <v>846</v>
      </c>
      <c r="B4098" s="417" t="s">
        <v>680</v>
      </c>
      <c r="C4098" s="83">
        <v>46082</v>
      </c>
      <c r="D4098" s="417" t="s">
        <v>684</v>
      </c>
      <c r="E4098">
        <v>1303.0779333333301</v>
      </c>
      <c r="F4098">
        <v>51</v>
      </c>
      <c r="G4098">
        <v>25.5505477124183</v>
      </c>
      <c r="H4098">
        <v>19.077266666666699</v>
      </c>
      <c r="I4098">
        <v>48.725868138862197</v>
      </c>
    </row>
    <row r="4099" spans="1:9" x14ac:dyDescent="0.35">
      <c r="A4099" s="417" t="s">
        <v>846</v>
      </c>
      <c r="B4099" s="417" t="s">
        <v>680</v>
      </c>
      <c r="C4099" s="83">
        <v>46082</v>
      </c>
      <c r="D4099" s="417" t="s">
        <v>683</v>
      </c>
      <c r="E4099">
        <v>1227.4420333333301</v>
      </c>
      <c r="F4099">
        <v>48</v>
      </c>
      <c r="G4099">
        <v>25.5717090277778</v>
      </c>
      <c r="H4099">
        <v>6.0545666666666698</v>
      </c>
      <c r="I4099">
        <v>61.955863225999302</v>
      </c>
    </row>
    <row r="4100" spans="1:9" x14ac:dyDescent="0.35">
      <c r="A4100" s="417" t="s">
        <v>846</v>
      </c>
      <c r="B4100" s="417" t="s">
        <v>680</v>
      </c>
      <c r="C4100" s="83">
        <v>46082</v>
      </c>
      <c r="D4100" s="417" t="s">
        <v>688</v>
      </c>
      <c r="E4100">
        <v>1142.2421833333301</v>
      </c>
      <c r="F4100">
        <v>22</v>
      </c>
      <c r="G4100">
        <v>51.9200992424243</v>
      </c>
      <c r="H4100">
        <v>11.2548333333333</v>
      </c>
      <c r="I4100">
        <v>62.679547756047398</v>
      </c>
    </row>
    <row r="4101" spans="1:9" x14ac:dyDescent="0.35">
      <c r="A4101" s="417" t="s">
        <v>846</v>
      </c>
      <c r="B4101" s="417" t="s">
        <v>680</v>
      </c>
      <c r="C4101" s="83">
        <v>46082</v>
      </c>
      <c r="D4101" s="417" t="s">
        <v>690</v>
      </c>
      <c r="E4101">
        <v>1179.41388333333</v>
      </c>
      <c r="F4101">
        <v>22</v>
      </c>
      <c r="G4101">
        <v>53.609721969696999</v>
      </c>
      <c r="H4101">
        <v>7.2339333333333302</v>
      </c>
      <c r="I4101">
        <v>50.960410383271302</v>
      </c>
    </row>
    <row r="4102" spans="1:9" x14ac:dyDescent="0.35">
      <c r="A4102" s="417" t="s">
        <v>846</v>
      </c>
      <c r="B4102" s="417" t="s">
        <v>680</v>
      </c>
      <c r="C4102" s="83">
        <v>46082</v>
      </c>
      <c r="D4102" s="417" t="s">
        <v>687</v>
      </c>
      <c r="E4102">
        <v>1368.6693166666701</v>
      </c>
      <c r="F4102">
        <v>20</v>
      </c>
      <c r="G4102">
        <v>68.433465833333301</v>
      </c>
      <c r="H4102">
        <v>26.798383333333302</v>
      </c>
      <c r="I4102">
        <v>29.751069017142299</v>
      </c>
    </row>
    <row r="4103" spans="1:9" x14ac:dyDescent="0.35">
      <c r="A4103" s="417" t="s">
        <v>846</v>
      </c>
      <c r="B4103" s="417" t="s">
        <v>680</v>
      </c>
      <c r="C4103" s="83">
        <v>46082</v>
      </c>
      <c r="D4103" s="417" t="s">
        <v>685</v>
      </c>
      <c r="E4103">
        <v>1227.0979666666699</v>
      </c>
      <c r="F4103">
        <v>6</v>
      </c>
      <c r="G4103">
        <v>204.516327777778</v>
      </c>
      <c r="H4103">
        <v>1.2062666666666699</v>
      </c>
      <c r="I4103">
        <v>71.852862151490896</v>
      </c>
    </row>
    <row r="4104" spans="1:9" x14ac:dyDescent="0.35">
      <c r="A4104" s="417" t="s">
        <v>846</v>
      </c>
      <c r="B4104" s="417" t="s">
        <v>680</v>
      </c>
      <c r="C4104" s="83">
        <v>46082</v>
      </c>
      <c r="D4104" s="417" t="s">
        <v>686</v>
      </c>
      <c r="E4104">
        <v>1342.70908333333</v>
      </c>
      <c r="F4104">
        <v>1</v>
      </c>
      <c r="G4104">
        <v>1342.70908333333</v>
      </c>
      <c r="H4104">
        <v>0</v>
      </c>
      <c r="I4104">
        <v>26.041657718396401</v>
      </c>
    </row>
    <row r="4105" spans="1:9" x14ac:dyDescent="0.35">
      <c r="A4105" s="417" t="s">
        <v>846</v>
      </c>
      <c r="B4105" s="417" t="s">
        <v>676</v>
      </c>
      <c r="C4105" s="83">
        <v>46081</v>
      </c>
      <c r="D4105" s="417" t="s">
        <v>677</v>
      </c>
      <c r="E4105">
        <v>1310.4373333333299</v>
      </c>
      <c r="F4105">
        <v>302</v>
      </c>
      <c r="G4105">
        <v>4.3391964679911696</v>
      </c>
      <c r="H4105">
        <v>119.502366666667</v>
      </c>
      <c r="I4105">
        <v>48.3327777777778</v>
      </c>
    </row>
    <row r="4106" spans="1:9" x14ac:dyDescent="0.35">
      <c r="A4106" s="417" t="s">
        <v>846</v>
      </c>
      <c r="B4106" s="417" t="s">
        <v>676</v>
      </c>
      <c r="C4106" s="83">
        <v>46081</v>
      </c>
      <c r="D4106" s="417" t="s">
        <v>679</v>
      </c>
      <c r="E4106">
        <v>1363.1160500000001</v>
      </c>
      <c r="F4106">
        <v>32</v>
      </c>
      <c r="G4106">
        <v>42.597376562499903</v>
      </c>
      <c r="H4106">
        <v>26.631250000000001</v>
      </c>
      <c r="I4106">
        <v>44.254808050355599</v>
      </c>
    </row>
    <row r="4107" spans="1:9" x14ac:dyDescent="0.35">
      <c r="A4107" s="417" t="s">
        <v>846</v>
      </c>
      <c r="B4107" s="417" t="s">
        <v>680</v>
      </c>
      <c r="C4107" s="83">
        <v>46081</v>
      </c>
      <c r="D4107" s="417" t="s">
        <v>681</v>
      </c>
      <c r="E4107">
        <v>1345.4972499999999</v>
      </c>
      <c r="F4107">
        <v>67</v>
      </c>
      <c r="G4107">
        <v>20.082048507462702</v>
      </c>
      <c r="H4107">
        <v>1.2385999999999999</v>
      </c>
      <c r="I4107">
        <v>84.2023232240889</v>
      </c>
    </row>
    <row r="4108" spans="1:9" x14ac:dyDescent="0.35">
      <c r="A4108" s="417" t="s">
        <v>846</v>
      </c>
      <c r="B4108" s="417" t="s">
        <v>680</v>
      </c>
      <c r="C4108" s="83">
        <v>46081</v>
      </c>
      <c r="D4108" s="417" t="s">
        <v>689</v>
      </c>
      <c r="E4108">
        <v>1392.0846166666699</v>
      </c>
      <c r="F4108">
        <v>55</v>
      </c>
      <c r="G4108">
        <v>25.310629393939401</v>
      </c>
      <c r="H4108">
        <v>0.82493333333333296</v>
      </c>
      <c r="I4108">
        <v>96.388917984136896</v>
      </c>
    </row>
    <row r="4109" spans="1:9" x14ac:dyDescent="0.35">
      <c r="A4109" s="417" t="s">
        <v>846</v>
      </c>
      <c r="B4109" s="417" t="s">
        <v>680</v>
      </c>
      <c r="C4109" s="83">
        <v>46081</v>
      </c>
      <c r="D4109" s="417" t="s">
        <v>683</v>
      </c>
      <c r="E4109">
        <v>1358.36138333333</v>
      </c>
      <c r="F4109">
        <v>38</v>
      </c>
      <c r="G4109">
        <v>35.7463521929824</v>
      </c>
      <c r="H4109">
        <v>16.019600000000001</v>
      </c>
      <c r="I4109">
        <v>78.769805246990501</v>
      </c>
    </row>
    <row r="4110" spans="1:9" x14ac:dyDescent="0.35">
      <c r="A4110" s="417" t="s">
        <v>846</v>
      </c>
      <c r="B4110" s="417" t="s">
        <v>680</v>
      </c>
      <c r="C4110" s="83">
        <v>46081</v>
      </c>
      <c r="D4110" s="417" t="s">
        <v>684</v>
      </c>
      <c r="E4110">
        <v>1395.25731666667</v>
      </c>
      <c r="F4110">
        <v>35</v>
      </c>
      <c r="G4110">
        <v>39.864494761904801</v>
      </c>
      <c r="H4110">
        <v>36.2861166666667</v>
      </c>
      <c r="I4110">
        <v>74.915742497273897</v>
      </c>
    </row>
    <row r="4111" spans="1:9" x14ac:dyDescent="0.35">
      <c r="A4111" s="417" t="s">
        <v>846</v>
      </c>
      <c r="B4111" s="417" t="s">
        <v>680</v>
      </c>
      <c r="C4111" s="83">
        <v>46081</v>
      </c>
      <c r="D4111" s="417" t="s">
        <v>690</v>
      </c>
      <c r="E4111">
        <v>1400.0823166666701</v>
      </c>
      <c r="F4111">
        <v>14</v>
      </c>
      <c r="G4111">
        <v>100.00587976190501</v>
      </c>
      <c r="H4111">
        <v>2.2320500000000001</v>
      </c>
      <c r="I4111">
        <v>76.747570247554606</v>
      </c>
    </row>
    <row r="4112" spans="1:9" x14ac:dyDescent="0.35">
      <c r="A4112" s="417" t="s">
        <v>846</v>
      </c>
      <c r="B4112" s="417" t="s">
        <v>680</v>
      </c>
      <c r="C4112" s="83">
        <v>46081</v>
      </c>
      <c r="D4112" s="417" t="s">
        <v>688</v>
      </c>
      <c r="E4112">
        <v>1430.5599500000001</v>
      </c>
      <c r="F4112">
        <v>11</v>
      </c>
      <c r="G4112">
        <v>130.05090454545501</v>
      </c>
      <c r="H4112">
        <v>2.5650666666666702</v>
      </c>
      <c r="I4112">
        <v>80.051932534656004</v>
      </c>
    </row>
    <row r="4113" spans="1:9" x14ac:dyDescent="0.35">
      <c r="A4113" s="417" t="s">
        <v>846</v>
      </c>
      <c r="B4113" s="417" t="s">
        <v>680</v>
      </c>
      <c r="C4113" s="83">
        <v>46081</v>
      </c>
      <c r="D4113" s="417" t="s">
        <v>687</v>
      </c>
      <c r="E4113">
        <v>1388.5354</v>
      </c>
      <c r="F4113">
        <v>10</v>
      </c>
      <c r="G4113">
        <v>138.85354000000001</v>
      </c>
      <c r="H4113">
        <v>15.1323666666667</v>
      </c>
      <c r="I4113">
        <v>32.761620722848903</v>
      </c>
    </row>
    <row r="4114" spans="1:9" x14ac:dyDescent="0.35">
      <c r="A4114" s="417" t="s">
        <v>846</v>
      </c>
      <c r="B4114" s="417" t="s">
        <v>680</v>
      </c>
      <c r="C4114" s="83">
        <v>46081</v>
      </c>
      <c r="D4114" s="417" t="s">
        <v>682</v>
      </c>
      <c r="E4114">
        <v>1435.0524666666699</v>
      </c>
      <c r="F4114">
        <v>5</v>
      </c>
      <c r="G4114">
        <v>287.01049333333299</v>
      </c>
      <c r="H4114">
        <v>4.9475333333333298</v>
      </c>
      <c r="I4114">
        <v>70.232323232323196</v>
      </c>
    </row>
    <row r="4115" spans="1:9" x14ac:dyDescent="0.35">
      <c r="A4115" s="417" t="s">
        <v>846</v>
      </c>
      <c r="B4115" s="417" t="s">
        <v>680</v>
      </c>
      <c r="C4115" s="83">
        <v>46081</v>
      </c>
      <c r="D4115" s="417" t="s">
        <v>685</v>
      </c>
      <c r="E4115">
        <v>1436.2136499999999</v>
      </c>
      <c r="F4115">
        <v>2</v>
      </c>
      <c r="G4115">
        <v>718.10682499999996</v>
      </c>
      <c r="H4115">
        <v>0</v>
      </c>
      <c r="I4115">
        <v>94.329269382036102</v>
      </c>
    </row>
    <row r="4116" spans="1:9" x14ac:dyDescent="0.35">
      <c r="A4116" s="417" t="s">
        <v>846</v>
      </c>
      <c r="B4116" s="417" t="s">
        <v>680</v>
      </c>
      <c r="C4116" s="83">
        <v>46081</v>
      </c>
      <c r="D4116" s="417" t="s">
        <v>686</v>
      </c>
      <c r="E4116">
        <v>1440</v>
      </c>
      <c r="F4116">
        <v>1</v>
      </c>
      <c r="G4116">
        <v>1440</v>
      </c>
      <c r="H4116">
        <v>0</v>
      </c>
      <c r="I4116">
        <v>31.919191919191899</v>
      </c>
    </row>
    <row r="4117" spans="1:9" x14ac:dyDescent="0.35">
      <c r="A4117" s="417" t="s">
        <v>846</v>
      </c>
      <c r="B4117" s="417" t="s">
        <v>691</v>
      </c>
      <c r="C4117" s="83">
        <v>46081</v>
      </c>
      <c r="D4117" s="417" t="s">
        <v>303</v>
      </c>
      <c r="E4117">
        <v>69.295733333333303</v>
      </c>
      <c r="F4117">
        <v>1</v>
      </c>
      <c r="G4117">
        <v>69.295733333333303</v>
      </c>
      <c r="H4117">
        <v>0</v>
      </c>
      <c r="I4117">
        <v>0</v>
      </c>
    </row>
    <row r="4118" spans="1:9" x14ac:dyDescent="0.35">
      <c r="A4118" s="417" t="s">
        <v>846</v>
      </c>
      <c r="B4118" s="417" t="s">
        <v>676</v>
      </c>
      <c r="C4118" s="83">
        <v>46080</v>
      </c>
      <c r="D4118" s="417" t="s">
        <v>677</v>
      </c>
      <c r="E4118">
        <v>1199.3442500000001</v>
      </c>
      <c r="F4118">
        <v>327</v>
      </c>
      <c r="G4118">
        <v>3.66771941896025</v>
      </c>
      <c r="H4118">
        <v>202.96106666666699</v>
      </c>
      <c r="I4118">
        <v>26.9294444444444</v>
      </c>
    </row>
    <row r="4119" spans="1:9" x14ac:dyDescent="0.35">
      <c r="A4119" s="417" t="s">
        <v>846</v>
      </c>
      <c r="B4119" s="417" t="s">
        <v>676</v>
      </c>
      <c r="C4119" s="83">
        <v>46080</v>
      </c>
      <c r="D4119" s="417" t="s">
        <v>679</v>
      </c>
      <c r="E4119">
        <v>1371.96651666667</v>
      </c>
      <c r="F4119">
        <v>24</v>
      </c>
      <c r="G4119">
        <v>57.165271527777797</v>
      </c>
      <c r="H4119">
        <v>29.132850000000001</v>
      </c>
      <c r="I4119">
        <v>79.091226006549505</v>
      </c>
    </row>
    <row r="4120" spans="1:9" x14ac:dyDescent="0.35">
      <c r="A4120" s="417" t="s">
        <v>846</v>
      </c>
      <c r="B4120" s="417" t="s">
        <v>680</v>
      </c>
      <c r="C4120" s="83">
        <v>46080</v>
      </c>
      <c r="D4120" s="417" t="s">
        <v>684</v>
      </c>
      <c r="E4120">
        <v>1396.3577</v>
      </c>
      <c r="F4120">
        <v>47</v>
      </c>
      <c r="G4120">
        <v>29.709738297872299</v>
      </c>
      <c r="H4120">
        <v>22.587666666666699</v>
      </c>
      <c r="I4120">
        <v>68.693607681550901</v>
      </c>
    </row>
    <row r="4121" spans="1:9" x14ac:dyDescent="0.35">
      <c r="A4121" s="417" t="s">
        <v>846</v>
      </c>
      <c r="B4121" s="417" t="s">
        <v>680</v>
      </c>
      <c r="C4121" s="83">
        <v>46080</v>
      </c>
      <c r="D4121" s="417" t="s">
        <v>689</v>
      </c>
      <c r="E4121">
        <v>1382.4176500000001</v>
      </c>
      <c r="F4121">
        <v>45</v>
      </c>
      <c r="G4121">
        <v>30.720392222222198</v>
      </c>
      <c r="H4121">
        <v>2.0682</v>
      </c>
      <c r="I4121">
        <v>97.632095856708801</v>
      </c>
    </row>
    <row r="4122" spans="1:9" x14ac:dyDescent="0.35">
      <c r="A4122" s="417" t="s">
        <v>846</v>
      </c>
      <c r="B4122" s="417" t="s">
        <v>680</v>
      </c>
      <c r="C4122" s="83">
        <v>46080</v>
      </c>
      <c r="D4122" s="417" t="s">
        <v>681</v>
      </c>
      <c r="E4122">
        <v>1403.2892833333301</v>
      </c>
      <c r="F4122">
        <v>44</v>
      </c>
      <c r="G4122">
        <v>31.8929382575758</v>
      </c>
      <c r="H4122">
        <v>0</v>
      </c>
      <c r="I4122">
        <v>83.955166706814893</v>
      </c>
    </row>
    <row r="4123" spans="1:9" x14ac:dyDescent="0.35">
      <c r="A4123" s="417" t="s">
        <v>846</v>
      </c>
      <c r="B4123" s="417" t="s">
        <v>680</v>
      </c>
      <c r="C4123" s="83">
        <v>46080</v>
      </c>
      <c r="D4123" s="417" t="s">
        <v>683</v>
      </c>
      <c r="E4123">
        <v>1327.7606499999999</v>
      </c>
      <c r="F4123">
        <v>42</v>
      </c>
      <c r="G4123">
        <v>31.613348809523799</v>
      </c>
      <c r="H4123">
        <v>6.9972333333333303</v>
      </c>
      <c r="I4123">
        <v>64.839006086408006</v>
      </c>
    </row>
    <row r="4124" spans="1:9" x14ac:dyDescent="0.35">
      <c r="A4124" s="417" t="s">
        <v>846</v>
      </c>
      <c r="B4124" s="417" t="s">
        <v>680</v>
      </c>
      <c r="C4124" s="83">
        <v>46080</v>
      </c>
      <c r="D4124" s="417" t="s">
        <v>687</v>
      </c>
      <c r="E4124">
        <v>1366.25728333333</v>
      </c>
      <c r="F4124">
        <v>32</v>
      </c>
      <c r="G4124">
        <v>42.695540104166703</v>
      </c>
      <c r="H4124">
        <v>47.949249999999999</v>
      </c>
      <c r="I4124">
        <v>38.989132554311901</v>
      </c>
    </row>
    <row r="4125" spans="1:9" x14ac:dyDescent="0.35">
      <c r="A4125" s="417" t="s">
        <v>846</v>
      </c>
      <c r="B4125" s="417" t="s">
        <v>680</v>
      </c>
      <c r="C4125" s="83">
        <v>46080</v>
      </c>
      <c r="D4125" s="417" t="s">
        <v>685</v>
      </c>
      <c r="E4125">
        <v>1381.6967500000001</v>
      </c>
      <c r="F4125">
        <v>31</v>
      </c>
      <c r="G4125">
        <v>44.570862903225802</v>
      </c>
      <c r="H4125">
        <v>14.7029833333333</v>
      </c>
      <c r="I4125">
        <v>95.603108219567801</v>
      </c>
    </row>
    <row r="4126" spans="1:9" x14ac:dyDescent="0.35">
      <c r="A4126" s="417" t="s">
        <v>846</v>
      </c>
      <c r="B4126" s="417" t="s">
        <v>680</v>
      </c>
      <c r="C4126" s="83">
        <v>46080</v>
      </c>
      <c r="D4126" s="417" t="s">
        <v>688</v>
      </c>
      <c r="E4126">
        <v>1423.59406666667</v>
      </c>
      <c r="F4126">
        <v>18</v>
      </c>
      <c r="G4126">
        <v>79.088559259259299</v>
      </c>
      <c r="H4126">
        <v>4.8330833333333301</v>
      </c>
      <c r="I4126">
        <v>83.460060487639595</v>
      </c>
    </row>
    <row r="4127" spans="1:9" x14ac:dyDescent="0.35">
      <c r="A4127" s="417" t="s">
        <v>846</v>
      </c>
      <c r="B4127" s="417" t="s">
        <v>680</v>
      </c>
      <c r="C4127" s="83">
        <v>46080</v>
      </c>
      <c r="D4127" s="417" t="s">
        <v>690</v>
      </c>
      <c r="E4127">
        <v>1420.8926166666699</v>
      </c>
      <c r="F4127">
        <v>10</v>
      </c>
      <c r="G4127">
        <v>142.089261666667</v>
      </c>
      <c r="H4127">
        <v>7.8198833333333297</v>
      </c>
      <c r="I4127">
        <v>59.903909016808498</v>
      </c>
    </row>
    <row r="4128" spans="1:9" x14ac:dyDescent="0.35">
      <c r="A4128" s="417" t="s">
        <v>846</v>
      </c>
      <c r="B4128" s="417" t="s">
        <v>680</v>
      </c>
      <c r="C4128" s="83">
        <v>46080</v>
      </c>
      <c r="D4128" s="417" t="s">
        <v>682</v>
      </c>
      <c r="E4128">
        <v>1430.5581999999999</v>
      </c>
      <c r="F4128">
        <v>9</v>
      </c>
      <c r="G4128">
        <v>158.950911111111</v>
      </c>
      <c r="H4128">
        <v>9.4418000000000006</v>
      </c>
      <c r="I4128">
        <v>64.040404040403999</v>
      </c>
    </row>
    <row r="4129" spans="1:9" x14ac:dyDescent="0.35">
      <c r="A4129" s="417" t="s">
        <v>846</v>
      </c>
      <c r="B4129" s="417" t="s">
        <v>680</v>
      </c>
      <c r="C4129" s="83">
        <v>46080</v>
      </c>
      <c r="D4129" s="417" t="s">
        <v>686</v>
      </c>
      <c r="E4129">
        <v>1440</v>
      </c>
      <c r="F4129">
        <v>1</v>
      </c>
      <c r="G4129">
        <v>1440</v>
      </c>
      <c r="H4129">
        <v>0</v>
      </c>
      <c r="I4129">
        <v>36.954545454545404</v>
      </c>
    </row>
    <row r="4130" spans="1:9" x14ac:dyDescent="0.35">
      <c r="A4130" s="417" t="s">
        <v>846</v>
      </c>
      <c r="B4130" s="417" t="s">
        <v>691</v>
      </c>
      <c r="C4130" s="83">
        <v>46080</v>
      </c>
      <c r="D4130" s="417" t="s">
        <v>309</v>
      </c>
      <c r="E4130">
        <v>813.903183333333</v>
      </c>
      <c r="F4130">
        <v>27</v>
      </c>
      <c r="G4130">
        <v>30.144562345678999</v>
      </c>
      <c r="H4130">
        <v>0</v>
      </c>
      <c r="I4130">
        <v>16.0817876987538</v>
      </c>
    </row>
    <row r="4131" spans="1:9" x14ac:dyDescent="0.35">
      <c r="A4131" s="417" t="s">
        <v>846</v>
      </c>
      <c r="B4131" s="417" t="s">
        <v>691</v>
      </c>
      <c r="C4131" s="83">
        <v>46080</v>
      </c>
      <c r="D4131" s="417" t="s">
        <v>305</v>
      </c>
      <c r="E4131">
        <v>325.53165000000001</v>
      </c>
      <c r="F4131">
        <v>19</v>
      </c>
      <c r="G4131">
        <v>17.133244736842101</v>
      </c>
      <c r="H4131">
        <v>2.3694833333333301</v>
      </c>
      <c r="I4131">
        <v>43.068614598652097</v>
      </c>
    </row>
    <row r="4132" spans="1:9" x14ac:dyDescent="0.35">
      <c r="A4132" s="417" t="s">
        <v>846</v>
      </c>
      <c r="B4132" s="417" t="s">
        <v>691</v>
      </c>
      <c r="C4132" s="83">
        <v>46080</v>
      </c>
      <c r="D4132" s="417" t="s">
        <v>295</v>
      </c>
      <c r="E4132">
        <v>255.746483333333</v>
      </c>
      <c r="F4132">
        <v>19</v>
      </c>
      <c r="G4132">
        <v>13.460341228070201</v>
      </c>
      <c r="H4132">
        <v>0.14355000000000001</v>
      </c>
      <c r="I4132">
        <v>87.109852521247205</v>
      </c>
    </row>
    <row r="4133" spans="1:9" x14ac:dyDescent="0.35">
      <c r="A4133" s="417" t="s">
        <v>846</v>
      </c>
      <c r="B4133" s="417" t="s">
        <v>691</v>
      </c>
      <c r="C4133" s="83">
        <v>46080</v>
      </c>
      <c r="D4133" s="417" t="s">
        <v>299</v>
      </c>
      <c r="E4133">
        <v>253.47114999999999</v>
      </c>
      <c r="F4133">
        <v>12</v>
      </c>
      <c r="G4133">
        <v>21.1225958333333</v>
      </c>
      <c r="H4133">
        <v>2.6507666666666698</v>
      </c>
      <c r="I4133">
        <v>89.200283421701599</v>
      </c>
    </row>
    <row r="4134" spans="1:9" x14ac:dyDescent="0.35">
      <c r="A4134" s="417" t="s">
        <v>846</v>
      </c>
      <c r="B4134" s="417" t="s">
        <v>691</v>
      </c>
      <c r="C4134" s="83">
        <v>46080</v>
      </c>
      <c r="D4134" s="417" t="s">
        <v>303</v>
      </c>
      <c r="E4134">
        <v>262.04496666666699</v>
      </c>
      <c r="F4134">
        <v>10</v>
      </c>
      <c r="G4134">
        <v>26.204496666666699</v>
      </c>
      <c r="H4134">
        <v>6.7699999999999996E-2</v>
      </c>
      <c r="I4134">
        <v>46.364198940002701</v>
      </c>
    </row>
    <row r="4135" spans="1:9" x14ac:dyDescent="0.35">
      <c r="A4135" s="417" t="s">
        <v>846</v>
      </c>
      <c r="B4135" s="417" t="s">
        <v>691</v>
      </c>
      <c r="C4135" s="83">
        <v>46080</v>
      </c>
      <c r="D4135" s="417" t="s">
        <v>301</v>
      </c>
      <c r="E4135">
        <v>452.46426666666702</v>
      </c>
      <c r="F4135">
        <v>9</v>
      </c>
      <c r="G4135">
        <v>50.273807407407404</v>
      </c>
      <c r="H4135">
        <v>9.0383333333333302E-2</v>
      </c>
      <c r="I4135">
        <v>41.863152549988499</v>
      </c>
    </row>
    <row r="4136" spans="1:9" x14ac:dyDescent="0.35">
      <c r="A4136" s="417" t="s">
        <v>846</v>
      </c>
      <c r="B4136" s="417" t="s">
        <v>691</v>
      </c>
      <c r="C4136" s="83">
        <v>46080</v>
      </c>
      <c r="D4136" s="417" t="s">
        <v>310</v>
      </c>
      <c r="E4136">
        <v>538.29918333333296</v>
      </c>
      <c r="F4136">
        <v>3</v>
      </c>
      <c r="G4136">
        <v>179.43306111111099</v>
      </c>
      <c r="H4136">
        <v>0.40029999999999999</v>
      </c>
      <c r="I4136">
        <v>41.210360668311999</v>
      </c>
    </row>
    <row r="4137" spans="1:9" x14ac:dyDescent="0.35">
      <c r="A4137" s="417" t="s">
        <v>846</v>
      </c>
      <c r="B4137" s="417" t="s">
        <v>691</v>
      </c>
      <c r="C4137" s="83">
        <v>46080</v>
      </c>
      <c r="D4137" s="417" t="s">
        <v>317</v>
      </c>
      <c r="E4137">
        <v>359.01748333333302</v>
      </c>
      <c r="F4137">
        <v>2</v>
      </c>
      <c r="G4137">
        <v>179.50874166666699</v>
      </c>
      <c r="H4137">
        <v>0.98251666666666704</v>
      </c>
      <c r="I4137">
        <v>30.6944444444444</v>
      </c>
    </row>
    <row r="4138" spans="1:9" x14ac:dyDescent="0.35">
      <c r="A4138" s="417" t="s">
        <v>846</v>
      </c>
      <c r="B4138" s="417" t="s">
        <v>691</v>
      </c>
      <c r="C4138" s="83">
        <v>46080</v>
      </c>
      <c r="D4138" s="417" t="s">
        <v>314</v>
      </c>
      <c r="E4138">
        <v>357.61200000000002</v>
      </c>
      <c r="F4138">
        <v>2</v>
      </c>
      <c r="G4138">
        <v>178.80600000000001</v>
      </c>
      <c r="H4138">
        <v>2.5149999999999999E-2</v>
      </c>
      <c r="I4138">
        <v>50.956134075899001</v>
      </c>
    </row>
    <row r="4139" spans="1:9" x14ac:dyDescent="0.35">
      <c r="A4139" s="417" t="s">
        <v>846</v>
      </c>
      <c r="B4139" s="417" t="s">
        <v>691</v>
      </c>
      <c r="C4139" s="83">
        <v>46080</v>
      </c>
      <c r="D4139" s="417" t="s">
        <v>313</v>
      </c>
      <c r="E4139">
        <v>357.25745000000001</v>
      </c>
      <c r="F4139">
        <v>2</v>
      </c>
      <c r="G4139">
        <v>178.628725</v>
      </c>
      <c r="H4139">
        <v>2.74255</v>
      </c>
      <c r="I4139">
        <v>62.2083333333333</v>
      </c>
    </row>
    <row r="4140" spans="1:9" x14ac:dyDescent="0.35">
      <c r="A4140" s="417" t="s">
        <v>846</v>
      </c>
      <c r="B4140" s="417" t="s">
        <v>691</v>
      </c>
      <c r="C4140" s="83">
        <v>46080</v>
      </c>
      <c r="D4140" s="417" t="s">
        <v>504</v>
      </c>
      <c r="E4140">
        <v>840</v>
      </c>
      <c r="F4140">
        <v>1</v>
      </c>
      <c r="G4140">
        <v>840</v>
      </c>
      <c r="H4140">
        <v>0</v>
      </c>
      <c r="I4140">
        <v>17.3915343915344</v>
      </c>
    </row>
    <row r="4141" spans="1:9" x14ac:dyDescent="0.35">
      <c r="A4141" s="417" t="s">
        <v>846</v>
      </c>
      <c r="B4141" s="417" t="s">
        <v>676</v>
      </c>
      <c r="C4141" s="83">
        <v>46079</v>
      </c>
      <c r="D4141" s="417" t="s">
        <v>677</v>
      </c>
      <c r="E4141">
        <v>1156.5436833333299</v>
      </c>
      <c r="F4141">
        <v>276</v>
      </c>
      <c r="G4141">
        <v>4.19037566425121</v>
      </c>
      <c r="H4141">
        <v>163.44691666666699</v>
      </c>
      <c r="I4141">
        <v>15.0208333333333</v>
      </c>
    </row>
    <row r="4142" spans="1:9" x14ac:dyDescent="0.35">
      <c r="A4142" s="417" t="s">
        <v>846</v>
      </c>
      <c r="B4142" s="417" t="s">
        <v>676</v>
      </c>
      <c r="C4142" s="83">
        <v>46079</v>
      </c>
      <c r="D4142" s="417" t="s">
        <v>679</v>
      </c>
      <c r="E4142">
        <v>1369.1663333333299</v>
      </c>
      <c r="F4142">
        <v>16</v>
      </c>
      <c r="G4142">
        <v>85.572895833333305</v>
      </c>
      <c r="H4142">
        <v>16.849066666666701</v>
      </c>
      <c r="I4142">
        <v>72.031426683041701</v>
      </c>
    </row>
    <row r="4143" spans="1:9" x14ac:dyDescent="0.35">
      <c r="A4143" s="417" t="s">
        <v>846</v>
      </c>
      <c r="B4143" s="417" t="s">
        <v>680</v>
      </c>
      <c r="C4143" s="83">
        <v>46079</v>
      </c>
      <c r="D4143" s="417" t="s">
        <v>681</v>
      </c>
      <c r="E4143">
        <v>1390.1993333333301</v>
      </c>
      <c r="F4143">
        <v>48</v>
      </c>
      <c r="G4143">
        <v>28.962486111111101</v>
      </c>
      <c r="H4143">
        <v>4.6727666666666696</v>
      </c>
      <c r="I4143">
        <v>80.647778796380507</v>
      </c>
    </row>
    <row r="4144" spans="1:9" x14ac:dyDescent="0.35">
      <c r="A4144" s="417" t="s">
        <v>846</v>
      </c>
      <c r="B4144" s="417" t="s">
        <v>680</v>
      </c>
      <c r="C4144" s="83">
        <v>46079</v>
      </c>
      <c r="D4144" s="417" t="s">
        <v>689</v>
      </c>
      <c r="E4144">
        <v>1371.8507</v>
      </c>
      <c r="F4144">
        <v>41</v>
      </c>
      <c r="G4144">
        <v>33.459773170731701</v>
      </c>
      <c r="H4144">
        <v>0.67381666666666695</v>
      </c>
      <c r="I4144">
        <v>85.276772452628293</v>
      </c>
    </row>
    <row r="4145" spans="1:9" x14ac:dyDescent="0.35">
      <c r="A4145" s="417" t="s">
        <v>846</v>
      </c>
      <c r="B4145" s="417" t="s">
        <v>680</v>
      </c>
      <c r="C4145" s="83">
        <v>46079</v>
      </c>
      <c r="D4145" s="417" t="s">
        <v>682</v>
      </c>
      <c r="E4145">
        <v>1413.30733333333</v>
      </c>
      <c r="F4145">
        <v>26</v>
      </c>
      <c r="G4145">
        <v>54.357974358974403</v>
      </c>
      <c r="H4145">
        <v>19.643183333333301</v>
      </c>
      <c r="I4145">
        <v>81.898989898989896</v>
      </c>
    </row>
    <row r="4146" spans="1:9" x14ac:dyDescent="0.35">
      <c r="A4146" s="417" t="s">
        <v>846</v>
      </c>
      <c r="B4146" s="417" t="s">
        <v>680</v>
      </c>
      <c r="C4146" s="83">
        <v>46079</v>
      </c>
      <c r="D4146" s="417" t="s">
        <v>685</v>
      </c>
      <c r="E4146">
        <v>1363.05755</v>
      </c>
      <c r="F4146">
        <v>25</v>
      </c>
      <c r="G4146">
        <v>54.522302000000003</v>
      </c>
      <c r="H4146">
        <v>23.154966666666699</v>
      </c>
      <c r="I4146">
        <v>83.226153247256505</v>
      </c>
    </row>
    <row r="4147" spans="1:9" x14ac:dyDescent="0.35">
      <c r="A4147" s="417" t="s">
        <v>846</v>
      </c>
      <c r="B4147" s="417" t="s">
        <v>680</v>
      </c>
      <c r="C4147" s="83">
        <v>46079</v>
      </c>
      <c r="D4147" s="417" t="s">
        <v>684</v>
      </c>
      <c r="E4147">
        <v>1407.6432833333299</v>
      </c>
      <c r="F4147">
        <v>24</v>
      </c>
      <c r="G4147">
        <v>58.651803472222198</v>
      </c>
      <c r="H4147">
        <v>26.334250000000001</v>
      </c>
      <c r="I4147">
        <v>91.056675619193399</v>
      </c>
    </row>
    <row r="4148" spans="1:9" x14ac:dyDescent="0.35">
      <c r="A4148" s="417" t="s">
        <v>846</v>
      </c>
      <c r="B4148" s="417" t="s">
        <v>680</v>
      </c>
      <c r="C4148" s="83">
        <v>46079</v>
      </c>
      <c r="D4148" s="417" t="s">
        <v>688</v>
      </c>
      <c r="E4148">
        <v>1406.7285666666701</v>
      </c>
      <c r="F4148">
        <v>22</v>
      </c>
      <c r="G4148">
        <v>63.9422075757576</v>
      </c>
      <c r="H4148">
        <v>2.8390833333333299</v>
      </c>
      <c r="I4148">
        <v>80.024831556367701</v>
      </c>
    </row>
    <row r="4149" spans="1:9" x14ac:dyDescent="0.35">
      <c r="A4149" s="417" t="s">
        <v>846</v>
      </c>
      <c r="B4149" s="417" t="s">
        <v>680</v>
      </c>
      <c r="C4149" s="83">
        <v>46079</v>
      </c>
      <c r="D4149" s="417" t="s">
        <v>690</v>
      </c>
      <c r="E4149">
        <v>1377.1223666666699</v>
      </c>
      <c r="F4149">
        <v>22</v>
      </c>
      <c r="G4149">
        <v>62.596471212121202</v>
      </c>
      <c r="H4149">
        <v>8.3188333333333304</v>
      </c>
      <c r="I4149">
        <v>69.7015512400598</v>
      </c>
    </row>
    <row r="4150" spans="1:9" x14ac:dyDescent="0.35">
      <c r="A4150" s="417" t="s">
        <v>846</v>
      </c>
      <c r="B4150" s="417" t="s">
        <v>680</v>
      </c>
      <c r="C4150" s="83">
        <v>46079</v>
      </c>
      <c r="D4150" s="417" t="s">
        <v>683</v>
      </c>
      <c r="E4150">
        <v>1354.0992166666699</v>
      </c>
      <c r="F4150">
        <v>22</v>
      </c>
      <c r="G4150">
        <v>61.549964393939398</v>
      </c>
      <c r="H4150">
        <v>3.8282833333333302</v>
      </c>
      <c r="I4150">
        <v>80.213704642579202</v>
      </c>
    </row>
    <row r="4151" spans="1:9" x14ac:dyDescent="0.35">
      <c r="A4151" s="417" t="s">
        <v>846</v>
      </c>
      <c r="B4151" s="417" t="s">
        <v>680</v>
      </c>
      <c r="C4151" s="83">
        <v>46079</v>
      </c>
      <c r="D4151" s="417" t="s">
        <v>687</v>
      </c>
      <c r="E4151">
        <v>1427.1656499999999</v>
      </c>
      <c r="F4151">
        <v>9</v>
      </c>
      <c r="G4151">
        <v>158.573961111111</v>
      </c>
      <c r="H4151">
        <v>6.8362166666666697</v>
      </c>
      <c r="I4151">
        <v>32.761844002164104</v>
      </c>
    </row>
    <row r="4152" spans="1:9" x14ac:dyDescent="0.35">
      <c r="A4152" s="417" t="s">
        <v>846</v>
      </c>
      <c r="B4152" s="417" t="s">
        <v>680</v>
      </c>
      <c r="C4152" s="83">
        <v>46079</v>
      </c>
      <c r="D4152" s="417" t="s">
        <v>686</v>
      </c>
      <c r="E4152">
        <v>1413.4486666666701</v>
      </c>
      <c r="F4152">
        <v>1</v>
      </c>
      <c r="G4152">
        <v>1413.4486666666701</v>
      </c>
      <c r="H4152">
        <v>0</v>
      </c>
      <c r="I4152">
        <v>30.656565656565601</v>
      </c>
    </row>
    <row r="4153" spans="1:9" x14ac:dyDescent="0.35">
      <c r="A4153" s="417" t="s">
        <v>846</v>
      </c>
      <c r="B4153" s="417" t="s">
        <v>691</v>
      </c>
      <c r="C4153" s="83">
        <v>46079</v>
      </c>
      <c r="D4153" s="417" t="s">
        <v>309</v>
      </c>
      <c r="E4153">
        <v>1253.8305666666699</v>
      </c>
      <c r="F4153">
        <v>180</v>
      </c>
      <c r="G4153">
        <v>6.9657253703703699</v>
      </c>
      <c r="H4153">
        <v>7.6133333333333303E-2</v>
      </c>
      <c r="I4153">
        <v>65.919185373975097</v>
      </c>
    </row>
    <row r="4154" spans="1:9" x14ac:dyDescent="0.35">
      <c r="A4154" s="417" t="s">
        <v>846</v>
      </c>
      <c r="B4154" s="417" t="s">
        <v>691</v>
      </c>
      <c r="C4154" s="83">
        <v>46079</v>
      </c>
      <c r="D4154" s="417" t="s">
        <v>305</v>
      </c>
      <c r="E4154">
        <v>1213.0553</v>
      </c>
      <c r="F4154">
        <v>177</v>
      </c>
      <c r="G4154">
        <v>6.8534197740113001</v>
      </c>
      <c r="H4154">
        <v>8.5386666666666695</v>
      </c>
      <c r="I4154">
        <v>81.9310066396325</v>
      </c>
    </row>
    <row r="4155" spans="1:9" x14ac:dyDescent="0.35">
      <c r="A4155" s="417" t="s">
        <v>846</v>
      </c>
      <c r="B4155" s="417" t="s">
        <v>691</v>
      </c>
      <c r="C4155" s="83">
        <v>46079</v>
      </c>
      <c r="D4155" s="417" t="s">
        <v>295</v>
      </c>
      <c r="E4155">
        <v>1324.029</v>
      </c>
      <c r="F4155">
        <v>75</v>
      </c>
      <c r="G4155">
        <v>17.65372</v>
      </c>
      <c r="H4155">
        <v>0.29628333333333301</v>
      </c>
      <c r="I4155">
        <v>71.924772618050895</v>
      </c>
    </row>
    <row r="4156" spans="1:9" x14ac:dyDescent="0.35">
      <c r="A4156" s="417" t="s">
        <v>846</v>
      </c>
      <c r="B4156" s="417" t="s">
        <v>691</v>
      </c>
      <c r="C4156" s="83">
        <v>46079</v>
      </c>
      <c r="D4156" s="417" t="s">
        <v>299</v>
      </c>
      <c r="E4156">
        <v>1367.8434666666701</v>
      </c>
      <c r="F4156">
        <v>63</v>
      </c>
      <c r="G4156">
        <v>21.7118010582011</v>
      </c>
      <c r="H4156">
        <v>4.9753166666666697</v>
      </c>
      <c r="I4156">
        <v>97.501770005797397</v>
      </c>
    </row>
    <row r="4157" spans="1:9" x14ac:dyDescent="0.35">
      <c r="A4157" s="417" t="s">
        <v>846</v>
      </c>
      <c r="B4157" s="417" t="s">
        <v>691</v>
      </c>
      <c r="C4157" s="83">
        <v>46079</v>
      </c>
      <c r="D4157" s="417" t="s">
        <v>303</v>
      </c>
      <c r="E4157">
        <v>1362.2862</v>
      </c>
      <c r="F4157">
        <v>52</v>
      </c>
      <c r="G4157">
        <v>26.197811538461501</v>
      </c>
      <c r="H4157">
        <v>0.43445</v>
      </c>
      <c r="I4157">
        <v>72.703099288684001</v>
      </c>
    </row>
    <row r="4158" spans="1:9" x14ac:dyDescent="0.35">
      <c r="A4158" s="417" t="s">
        <v>846</v>
      </c>
      <c r="B4158" s="417" t="s">
        <v>691</v>
      </c>
      <c r="C4158" s="83">
        <v>46079</v>
      </c>
      <c r="D4158" s="417" t="s">
        <v>301</v>
      </c>
      <c r="E4158">
        <v>1373.9511666666699</v>
      </c>
      <c r="F4158">
        <v>38</v>
      </c>
      <c r="G4158">
        <v>36.1566096491228</v>
      </c>
      <c r="H4158">
        <v>0.30033333333333301</v>
      </c>
      <c r="I4158">
        <v>62.368885440351598</v>
      </c>
    </row>
    <row r="4159" spans="1:9" x14ac:dyDescent="0.35">
      <c r="A4159" s="417" t="s">
        <v>846</v>
      </c>
      <c r="B4159" s="417" t="s">
        <v>691</v>
      </c>
      <c r="C4159" s="83">
        <v>46079</v>
      </c>
      <c r="D4159" s="417" t="s">
        <v>310</v>
      </c>
      <c r="E4159">
        <v>1292.1898000000001</v>
      </c>
      <c r="F4159">
        <v>18</v>
      </c>
      <c r="G4159">
        <v>71.788322222222206</v>
      </c>
      <c r="H4159">
        <v>4.4553833333333301</v>
      </c>
      <c r="I4159">
        <v>54.535956431758301</v>
      </c>
    </row>
    <row r="4160" spans="1:9" x14ac:dyDescent="0.35">
      <c r="A4160" s="417" t="s">
        <v>846</v>
      </c>
      <c r="B4160" s="417" t="s">
        <v>691</v>
      </c>
      <c r="C4160" s="83">
        <v>46079</v>
      </c>
      <c r="D4160" s="417" t="s">
        <v>313</v>
      </c>
      <c r="E4160">
        <v>1346.0292999999999</v>
      </c>
      <c r="F4160">
        <v>14</v>
      </c>
      <c r="G4160">
        <v>96.144949999999994</v>
      </c>
      <c r="H4160">
        <v>5.0081166666666697</v>
      </c>
      <c r="I4160">
        <v>57.971229919100402</v>
      </c>
    </row>
    <row r="4161" spans="1:9" x14ac:dyDescent="0.35">
      <c r="A4161" s="417" t="s">
        <v>846</v>
      </c>
      <c r="B4161" s="417" t="s">
        <v>691</v>
      </c>
      <c r="C4161" s="83">
        <v>46079</v>
      </c>
      <c r="D4161" s="417" t="s">
        <v>314</v>
      </c>
      <c r="E4161">
        <v>1407.84901666667</v>
      </c>
      <c r="F4161">
        <v>10</v>
      </c>
      <c r="G4161">
        <v>140.784901666667</v>
      </c>
      <c r="H4161">
        <v>0.20298333333333299</v>
      </c>
      <c r="I4161">
        <v>56.586914926598702</v>
      </c>
    </row>
    <row r="4162" spans="1:9" x14ac:dyDescent="0.35">
      <c r="A4162" s="417" t="s">
        <v>846</v>
      </c>
      <c r="B4162" s="417" t="s">
        <v>691</v>
      </c>
      <c r="C4162" s="83">
        <v>46079</v>
      </c>
      <c r="D4162" s="417" t="s">
        <v>317</v>
      </c>
      <c r="E4162">
        <v>1429.1949500000001</v>
      </c>
      <c r="F4162">
        <v>2</v>
      </c>
      <c r="G4162">
        <v>714.59747500000003</v>
      </c>
      <c r="H4162">
        <v>2.7209166666666702</v>
      </c>
      <c r="I4162">
        <v>64.371798752794504</v>
      </c>
    </row>
    <row r="4163" spans="1:9" x14ac:dyDescent="0.35">
      <c r="A4163" s="417" t="s">
        <v>846</v>
      </c>
      <c r="B4163" s="417" t="s">
        <v>691</v>
      </c>
      <c r="C4163" s="83">
        <v>46079</v>
      </c>
      <c r="D4163" s="417" t="s">
        <v>504</v>
      </c>
      <c r="E4163">
        <v>1440</v>
      </c>
      <c r="F4163">
        <v>1</v>
      </c>
      <c r="G4163">
        <v>1440</v>
      </c>
      <c r="H4163">
        <v>0</v>
      </c>
      <c r="I4163">
        <v>52.805246913580199</v>
      </c>
    </row>
    <row r="4164" spans="1:9" x14ac:dyDescent="0.35">
      <c r="A4164" s="417" t="s">
        <v>846</v>
      </c>
      <c r="B4164" s="417" t="s">
        <v>676</v>
      </c>
      <c r="C4164" s="83">
        <v>46078</v>
      </c>
      <c r="D4164" s="417" t="s">
        <v>677</v>
      </c>
      <c r="E4164">
        <v>702.38395000000003</v>
      </c>
      <c r="F4164">
        <v>147</v>
      </c>
      <c r="G4164">
        <v>4.7781221088435402</v>
      </c>
      <c r="H4164">
        <v>81.731816666666703</v>
      </c>
      <c r="I4164">
        <v>13.779166666666599</v>
      </c>
    </row>
    <row r="4165" spans="1:9" x14ac:dyDescent="0.35">
      <c r="A4165" s="417" t="s">
        <v>846</v>
      </c>
      <c r="B4165" s="417" t="s">
        <v>676</v>
      </c>
      <c r="C4165" s="83">
        <v>46078</v>
      </c>
      <c r="D4165" s="417" t="s">
        <v>679</v>
      </c>
      <c r="E4165">
        <v>1058.43828333333</v>
      </c>
      <c r="F4165">
        <v>18</v>
      </c>
      <c r="G4165">
        <v>58.802126851851803</v>
      </c>
      <c r="H4165">
        <v>16.846083333333301</v>
      </c>
      <c r="I4165">
        <v>29.7636503014255</v>
      </c>
    </row>
    <row r="4166" spans="1:9" x14ac:dyDescent="0.35">
      <c r="A4166" s="417" t="s">
        <v>846</v>
      </c>
      <c r="B4166" s="417" t="s">
        <v>680</v>
      </c>
      <c r="C4166" s="83">
        <v>46078</v>
      </c>
      <c r="D4166" s="417" t="s">
        <v>681</v>
      </c>
      <c r="E4166">
        <v>1370.8562999999999</v>
      </c>
      <c r="F4166">
        <v>85</v>
      </c>
      <c r="G4166">
        <v>16.127721176470601</v>
      </c>
      <c r="H4166">
        <v>5.8336499999999996</v>
      </c>
      <c r="I4166">
        <v>63.801258986611302</v>
      </c>
    </row>
    <row r="4167" spans="1:9" x14ac:dyDescent="0.35">
      <c r="A4167" s="417" t="s">
        <v>846</v>
      </c>
      <c r="B4167" s="417" t="s">
        <v>680</v>
      </c>
      <c r="C4167" s="83">
        <v>46078</v>
      </c>
      <c r="D4167" s="417" t="s">
        <v>689</v>
      </c>
      <c r="E4167">
        <v>1354.3660195800001</v>
      </c>
      <c r="F4167">
        <v>70</v>
      </c>
      <c r="G4167">
        <v>19.348085994000002</v>
      </c>
      <c r="H4167">
        <v>6.1602833333333296</v>
      </c>
      <c r="I4167">
        <v>67.558435900693894</v>
      </c>
    </row>
    <row r="4168" spans="1:9" x14ac:dyDescent="0.35">
      <c r="A4168" s="417" t="s">
        <v>846</v>
      </c>
      <c r="B4168" s="417" t="s">
        <v>680</v>
      </c>
      <c r="C4168" s="83">
        <v>46078</v>
      </c>
      <c r="D4168" s="417" t="s">
        <v>690</v>
      </c>
      <c r="E4168">
        <v>1266.8297500000001</v>
      </c>
      <c r="F4168">
        <v>52</v>
      </c>
      <c r="G4168">
        <v>24.362110576923101</v>
      </c>
      <c r="H4168">
        <v>12.290850000000001</v>
      </c>
      <c r="I4168">
        <v>66.447799159141994</v>
      </c>
    </row>
    <row r="4169" spans="1:9" x14ac:dyDescent="0.35">
      <c r="A4169" s="417" t="s">
        <v>846</v>
      </c>
      <c r="B4169" s="417" t="s">
        <v>680</v>
      </c>
      <c r="C4169" s="83">
        <v>46078</v>
      </c>
      <c r="D4169" s="417" t="s">
        <v>682</v>
      </c>
      <c r="E4169">
        <v>1303.30968333333</v>
      </c>
      <c r="F4169">
        <v>45</v>
      </c>
      <c r="G4169">
        <v>28.9624374074074</v>
      </c>
      <c r="H4169">
        <v>42.522750000000002</v>
      </c>
      <c r="I4169">
        <v>62.286635949054997</v>
      </c>
    </row>
    <row r="4170" spans="1:9" x14ac:dyDescent="0.35">
      <c r="A4170" s="417" t="s">
        <v>846</v>
      </c>
      <c r="B4170" s="417" t="s">
        <v>680</v>
      </c>
      <c r="C4170" s="83">
        <v>46078</v>
      </c>
      <c r="D4170" s="417" t="s">
        <v>685</v>
      </c>
      <c r="E4170">
        <v>1385.2832166666699</v>
      </c>
      <c r="F4170">
        <v>36</v>
      </c>
      <c r="G4170">
        <v>38.480089351851902</v>
      </c>
      <c r="H4170">
        <v>7.5142333333333298</v>
      </c>
      <c r="I4170">
        <v>66.339926545000495</v>
      </c>
    </row>
    <row r="4171" spans="1:9" x14ac:dyDescent="0.35">
      <c r="A4171" s="417" t="s">
        <v>846</v>
      </c>
      <c r="B4171" s="417" t="s">
        <v>680</v>
      </c>
      <c r="C4171" s="83">
        <v>46078</v>
      </c>
      <c r="D4171" s="417" t="s">
        <v>683</v>
      </c>
      <c r="E4171">
        <v>1387.3344833333299</v>
      </c>
      <c r="F4171">
        <v>28</v>
      </c>
      <c r="G4171">
        <v>49.547660119047599</v>
      </c>
      <c r="H4171">
        <v>6.5212666666666701</v>
      </c>
      <c r="I4171">
        <v>78.612737678575996</v>
      </c>
    </row>
    <row r="4172" spans="1:9" x14ac:dyDescent="0.35">
      <c r="A4172" s="417" t="s">
        <v>846</v>
      </c>
      <c r="B4172" s="417" t="s">
        <v>680</v>
      </c>
      <c r="C4172" s="83">
        <v>46078</v>
      </c>
      <c r="D4172" s="417" t="s">
        <v>684</v>
      </c>
      <c r="E4172">
        <v>1412.9944499999999</v>
      </c>
      <c r="F4172">
        <v>24</v>
      </c>
      <c r="G4172">
        <v>58.874768750000001</v>
      </c>
      <c r="H4172">
        <v>8.8299833333333293</v>
      </c>
      <c r="I4172">
        <v>67.329202984527001</v>
      </c>
    </row>
    <row r="4173" spans="1:9" x14ac:dyDescent="0.35">
      <c r="A4173" s="417" t="s">
        <v>846</v>
      </c>
      <c r="B4173" s="417" t="s">
        <v>680</v>
      </c>
      <c r="C4173" s="83">
        <v>46078</v>
      </c>
      <c r="D4173" s="417" t="s">
        <v>687</v>
      </c>
      <c r="E4173">
        <v>1397.63355</v>
      </c>
      <c r="F4173">
        <v>10</v>
      </c>
      <c r="G4173">
        <v>139.76335499999999</v>
      </c>
      <c r="H4173">
        <v>11.673216666666701</v>
      </c>
      <c r="I4173">
        <v>26.913211597099501</v>
      </c>
    </row>
    <row r="4174" spans="1:9" x14ac:dyDescent="0.35">
      <c r="A4174" s="417" t="s">
        <v>846</v>
      </c>
      <c r="B4174" s="417" t="s">
        <v>680</v>
      </c>
      <c r="C4174" s="83">
        <v>46078</v>
      </c>
      <c r="D4174" s="417" t="s">
        <v>688</v>
      </c>
      <c r="E4174">
        <v>1383.9767666666701</v>
      </c>
      <c r="F4174">
        <v>6</v>
      </c>
      <c r="G4174">
        <v>230.66279444444399</v>
      </c>
      <c r="H4174">
        <v>0.16641666666666699</v>
      </c>
      <c r="I4174">
        <v>64.980272140308202</v>
      </c>
    </row>
    <row r="4175" spans="1:9" x14ac:dyDescent="0.35">
      <c r="A4175" s="417" t="s">
        <v>846</v>
      </c>
      <c r="B4175" s="417" t="s">
        <v>680</v>
      </c>
      <c r="C4175" s="83">
        <v>46078</v>
      </c>
      <c r="D4175" s="417" t="s">
        <v>686</v>
      </c>
      <c r="E4175">
        <v>1430.1404666666699</v>
      </c>
      <c r="F4175">
        <v>1</v>
      </c>
      <c r="G4175">
        <v>1430.1404666666699</v>
      </c>
      <c r="H4175">
        <v>0</v>
      </c>
      <c r="I4175">
        <v>24.348690256304199</v>
      </c>
    </row>
    <row r="4176" spans="1:9" x14ac:dyDescent="0.35">
      <c r="A4176" s="417" t="s">
        <v>846</v>
      </c>
      <c r="B4176" s="417" t="s">
        <v>691</v>
      </c>
      <c r="C4176" s="83">
        <v>46078</v>
      </c>
      <c r="D4176" s="417" t="s">
        <v>309</v>
      </c>
      <c r="E4176">
        <v>1309.97933333333</v>
      </c>
      <c r="F4176">
        <v>106</v>
      </c>
      <c r="G4176">
        <v>12.3582955974843</v>
      </c>
      <c r="H4176">
        <v>0</v>
      </c>
      <c r="I4176">
        <v>71.871681220546705</v>
      </c>
    </row>
    <row r="4177" spans="1:9" x14ac:dyDescent="0.35">
      <c r="A4177" s="417" t="s">
        <v>846</v>
      </c>
      <c r="B4177" s="417" t="s">
        <v>691</v>
      </c>
      <c r="C4177" s="83">
        <v>46078</v>
      </c>
      <c r="D4177" s="417" t="s">
        <v>305</v>
      </c>
      <c r="E4177">
        <v>1254.01283333333</v>
      </c>
      <c r="F4177">
        <v>98</v>
      </c>
      <c r="G4177">
        <v>12.796049319727899</v>
      </c>
      <c r="H4177">
        <v>3.99</v>
      </c>
      <c r="I4177">
        <v>76.609781201962903</v>
      </c>
    </row>
    <row r="4178" spans="1:9" x14ac:dyDescent="0.35">
      <c r="A4178" s="417" t="s">
        <v>846</v>
      </c>
      <c r="B4178" s="417" t="s">
        <v>691</v>
      </c>
      <c r="C4178" s="83">
        <v>46078</v>
      </c>
      <c r="D4178" s="417" t="s">
        <v>299</v>
      </c>
      <c r="E4178">
        <v>1370.10488333333</v>
      </c>
      <c r="F4178">
        <v>71</v>
      </c>
      <c r="G4178">
        <v>19.297251877934301</v>
      </c>
      <c r="H4178">
        <v>2.5661166666666699</v>
      </c>
      <c r="I4178">
        <v>89.741903118930097</v>
      </c>
    </row>
    <row r="4179" spans="1:9" x14ac:dyDescent="0.35">
      <c r="A4179" s="417" t="s">
        <v>846</v>
      </c>
      <c r="B4179" s="417" t="s">
        <v>691</v>
      </c>
      <c r="C4179" s="83">
        <v>46078</v>
      </c>
      <c r="D4179" s="417" t="s">
        <v>301</v>
      </c>
      <c r="E4179">
        <v>1308.7718833333299</v>
      </c>
      <c r="F4179">
        <v>60</v>
      </c>
      <c r="G4179">
        <v>21.812864722222201</v>
      </c>
      <c r="H4179">
        <v>5.4071999999999996</v>
      </c>
      <c r="I4179">
        <v>67.324356608162603</v>
      </c>
    </row>
    <row r="4180" spans="1:9" x14ac:dyDescent="0.35">
      <c r="A4180" s="417" t="s">
        <v>846</v>
      </c>
      <c r="B4180" s="417" t="s">
        <v>691</v>
      </c>
      <c r="C4180" s="83">
        <v>46078</v>
      </c>
      <c r="D4180" s="417" t="s">
        <v>295</v>
      </c>
      <c r="E4180">
        <v>1364.3958833333299</v>
      </c>
      <c r="F4180">
        <v>57</v>
      </c>
      <c r="G4180">
        <v>23.936769883040899</v>
      </c>
      <c r="H4180">
        <v>0.16055</v>
      </c>
      <c r="I4180">
        <v>79.642972464952194</v>
      </c>
    </row>
    <row r="4181" spans="1:9" x14ac:dyDescent="0.35">
      <c r="A4181" s="417" t="s">
        <v>846</v>
      </c>
      <c r="B4181" s="417" t="s">
        <v>691</v>
      </c>
      <c r="C4181" s="83">
        <v>46078</v>
      </c>
      <c r="D4181" s="417" t="s">
        <v>303</v>
      </c>
      <c r="E4181">
        <v>1379.9649666666701</v>
      </c>
      <c r="F4181">
        <v>31</v>
      </c>
      <c r="G4181">
        <v>44.514998924731202</v>
      </c>
      <c r="H4181">
        <v>6.7449999999999996E-2</v>
      </c>
      <c r="I4181">
        <v>65.404615628439402</v>
      </c>
    </row>
    <row r="4182" spans="1:9" x14ac:dyDescent="0.35">
      <c r="A4182" s="417" t="s">
        <v>846</v>
      </c>
      <c r="B4182" s="417" t="s">
        <v>691</v>
      </c>
      <c r="C4182" s="83">
        <v>46078</v>
      </c>
      <c r="D4182" s="417" t="s">
        <v>310</v>
      </c>
      <c r="E4182">
        <v>1378.6780333333299</v>
      </c>
      <c r="F4182">
        <v>15</v>
      </c>
      <c r="G4182">
        <v>91.911868888888904</v>
      </c>
      <c r="H4182">
        <v>2.5589666666666702</v>
      </c>
      <c r="I4182">
        <v>75.045057034893901</v>
      </c>
    </row>
    <row r="4183" spans="1:9" x14ac:dyDescent="0.35">
      <c r="A4183" s="417" t="s">
        <v>846</v>
      </c>
      <c r="B4183" s="417" t="s">
        <v>691</v>
      </c>
      <c r="C4183" s="83">
        <v>46078</v>
      </c>
      <c r="D4183" s="417" t="s">
        <v>313</v>
      </c>
      <c r="E4183">
        <v>1405.60823333333</v>
      </c>
      <c r="F4183">
        <v>10</v>
      </c>
      <c r="G4183">
        <v>140.56082333333299</v>
      </c>
      <c r="H4183">
        <v>0</v>
      </c>
      <c r="I4183">
        <v>76.445209935156996</v>
      </c>
    </row>
    <row r="4184" spans="1:9" x14ac:dyDescent="0.35">
      <c r="A4184" s="417" t="s">
        <v>846</v>
      </c>
      <c r="B4184" s="417" t="s">
        <v>691</v>
      </c>
      <c r="C4184" s="83">
        <v>46078</v>
      </c>
      <c r="D4184" s="417" t="s">
        <v>314</v>
      </c>
      <c r="E4184">
        <v>1428.27033333333</v>
      </c>
      <c r="F4184">
        <v>5</v>
      </c>
      <c r="G4184">
        <v>285.65406666666701</v>
      </c>
      <c r="H4184">
        <v>0.1022</v>
      </c>
      <c r="I4184">
        <v>61.879764133940903</v>
      </c>
    </row>
    <row r="4185" spans="1:9" x14ac:dyDescent="0.35">
      <c r="A4185" s="417" t="s">
        <v>846</v>
      </c>
      <c r="B4185" s="417" t="s">
        <v>691</v>
      </c>
      <c r="C4185" s="83">
        <v>46078</v>
      </c>
      <c r="D4185" s="417" t="s">
        <v>317</v>
      </c>
      <c r="E4185">
        <v>1096.1383000000001</v>
      </c>
      <c r="F4185">
        <v>1</v>
      </c>
      <c r="G4185">
        <v>1096.1383000000001</v>
      </c>
      <c r="H4185">
        <v>0</v>
      </c>
      <c r="I4185">
        <v>59.185049915690399</v>
      </c>
    </row>
    <row r="4186" spans="1:9" x14ac:dyDescent="0.35">
      <c r="A4186" s="417" t="s">
        <v>846</v>
      </c>
      <c r="B4186" s="417" t="s">
        <v>691</v>
      </c>
      <c r="C4186" s="83">
        <v>46078</v>
      </c>
      <c r="D4186" s="417" t="s">
        <v>504</v>
      </c>
      <c r="E4186">
        <v>1440</v>
      </c>
      <c r="F4186">
        <v>1</v>
      </c>
      <c r="G4186">
        <v>1440</v>
      </c>
      <c r="H4186">
        <v>0</v>
      </c>
      <c r="I4186">
        <v>49.790123456790099</v>
      </c>
    </row>
    <row r="4187" spans="1:9" x14ac:dyDescent="0.35">
      <c r="A4187" s="417" t="s">
        <v>846</v>
      </c>
      <c r="B4187" s="417" t="s">
        <v>676</v>
      </c>
      <c r="C4187" s="83">
        <v>46077</v>
      </c>
      <c r="D4187" s="417" t="s">
        <v>677</v>
      </c>
      <c r="E4187">
        <v>1322.9492166666701</v>
      </c>
      <c r="F4187">
        <v>113</v>
      </c>
      <c r="G4187">
        <v>11.7075151917404</v>
      </c>
      <c r="H4187">
        <v>95.711566666666698</v>
      </c>
      <c r="I4187">
        <v>37.131666666666597</v>
      </c>
    </row>
    <row r="4188" spans="1:9" x14ac:dyDescent="0.35">
      <c r="A4188" s="417" t="s">
        <v>846</v>
      </c>
      <c r="B4188" s="417" t="s">
        <v>676</v>
      </c>
      <c r="C4188" s="83">
        <v>46077</v>
      </c>
      <c r="D4188" s="417" t="s">
        <v>679</v>
      </c>
      <c r="E4188">
        <v>1327.68685</v>
      </c>
      <c r="F4188">
        <v>27</v>
      </c>
      <c r="G4188">
        <v>49.173587037037002</v>
      </c>
      <c r="H4188">
        <v>32.6613166666667</v>
      </c>
      <c r="I4188">
        <v>58.043195486156201</v>
      </c>
    </row>
    <row r="4189" spans="1:9" x14ac:dyDescent="0.35">
      <c r="A4189" s="417" t="s">
        <v>846</v>
      </c>
      <c r="B4189" s="417" t="s">
        <v>680</v>
      </c>
      <c r="C4189" s="83">
        <v>46077</v>
      </c>
      <c r="D4189" s="417" t="s">
        <v>681</v>
      </c>
      <c r="E4189">
        <v>915.83423333333303</v>
      </c>
      <c r="F4189">
        <v>42</v>
      </c>
      <c r="G4189">
        <v>21.805576984127001</v>
      </c>
      <c r="H4189">
        <v>0</v>
      </c>
      <c r="I4189">
        <v>44.890941846922601</v>
      </c>
    </row>
    <row r="4190" spans="1:9" x14ac:dyDescent="0.35">
      <c r="A4190" s="417" t="s">
        <v>846</v>
      </c>
      <c r="B4190" s="417" t="s">
        <v>680</v>
      </c>
      <c r="C4190" s="83">
        <v>46077</v>
      </c>
      <c r="D4190" s="417" t="s">
        <v>684</v>
      </c>
      <c r="E4190">
        <v>1394.00833333333</v>
      </c>
      <c r="F4190">
        <v>21</v>
      </c>
      <c r="G4190">
        <v>66.381349206349199</v>
      </c>
      <c r="H4190">
        <v>12.146183333333299</v>
      </c>
      <c r="I4190">
        <v>25.086504688697499</v>
      </c>
    </row>
    <row r="4191" spans="1:9" x14ac:dyDescent="0.35">
      <c r="A4191" s="417" t="s">
        <v>846</v>
      </c>
      <c r="B4191" s="417" t="s">
        <v>680</v>
      </c>
      <c r="C4191" s="83">
        <v>46077</v>
      </c>
      <c r="D4191" s="417" t="s">
        <v>689</v>
      </c>
      <c r="E4191">
        <v>899.97280000000001</v>
      </c>
      <c r="F4191">
        <v>19</v>
      </c>
      <c r="G4191">
        <v>47.3669894736842</v>
      </c>
      <c r="H4191">
        <v>3.8485833333333299</v>
      </c>
      <c r="I4191">
        <v>44.4861500856642</v>
      </c>
    </row>
    <row r="4192" spans="1:9" x14ac:dyDescent="0.35">
      <c r="A4192" s="417" t="s">
        <v>846</v>
      </c>
      <c r="B4192" s="417" t="s">
        <v>680</v>
      </c>
      <c r="C4192" s="83">
        <v>46077</v>
      </c>
      <c r="D4192" s="417" t="s">
        <v>690</v>
      </c>
      <c r="E4192">
        <v>1431.15611666667</v>
      </c>
      <c r="F4192">
        <v>9</v>
      </c>
      <c r="G4192">
        <v>159.01734629629601</v>
      </c>
      <c r="H4192">
        <v>0.83414999999999995</v>
      </c>
      <c r="I4192">
        <v>22.690441490229901</v>
      </c>
    </row>
    <row r="4193" spans="1:9" x14ac:dyDescent="0.35">
      <c r="A4193" s="417" t="s">
        <v>846</v>
      </c>
      <c r="B4193" s="417" t="s">
        <v>680</v>
      </c>
      <c r="C4193" s="83">
        <v>46077</v>
      </c>
      <c r="D4193" s="417" t="s">
        <v>683</v>
      </c>
      <c r="E4193">
        <v>951.99448333333305</v>
      </c>
      <c r="F4193">
        <v>6</v>
      </c>
      <c r="G4193">
        <v>158.665747222222</v>
      </c>
      <c r="H4193">
        <v>0</v>
      </c>
      <c r="I4193">
        <v>35.278124906879803</v>
      </c>
    </row>
    <row r="4194" spans="1:9" x14ac:dyDescent="0.35">
      <c r="A4194" s="417" t="s">
        <v>846</v>
      </c>
      <c r="B4194" s="417" t="s">
        <v>680</v>
      </c>
      <c r="C4194" s="83">
        <v>46077</v>
      </c>
      <c r="D4194" s="417" t="s">
        <v>687</v>
      </c>
      <c r="E4194">
        <v>947.32433333333302</v>
      </c>
      <c r="F4194">
        <v>6</v>
      </c>
      <c r="G4194">
        <v>157.88738888888901</v>
      </c>
      <c r="H4194">
        <v>4.8396333333333299</v>
      </c>
      <c r="I4194">
        <v>17.434944512805298</v>
      </c>
    </row>
    <row r="4195" spans="1:9" x14ac:dyDescent="0.35">
      <c r="A4195" s="417" t="s">
        <v>846</v>
      </c>
      <c r="B4195" s="417" t="s">
        <v>680</v>
      </c>
      <c r="C4195" s="83">
        <v>46077</v>
      </c>
      <c r="D4195" s="417" t="s">
        <v>682</v>
      </c>
      <c r="E4195">
        <v>959.33333333333303</v>
      </c>
      <c r="F4195">
        <v>3</v>
      </c>
      <c r="G4195">
        <v>319.777777777778</v>
      </c>
      <c r="H4195">
        <v>0.66666666666666696</v>
      </c>
      <c r="I4195">
        <v>36.249999999999901</v>
      </c>
    </row>
    <row r="4196" spans="1:9" x14ac:dyDescent="0.35">
      <c r="A4196" s="417" t="s">
        <v>846</v>
      </c>
      <c r="B4196" s="417" t="s">
        <v>680</v>
      </c>
      <c r="C4196" s="83">
        <v>46077</v>
      </c>
      <c r="D4196" s="417" t="s">
        <v>686</v>
      </c>
      <c r="E4196">
        <v>960</v>
      </c>
      <c r="F4196">
        <v>1</v>
      </c>
      <c r="G4196">
        <v>960</v>
      </c>
      <c r="H4196">
        <v>0</v>
      </c>
      <c r="I4196">
        <v>10.691964285714301</v>
      </c>
    </row>
    <row r="4197" spans="1:9" x14ac:dyDescent="0.35">
      <c r="A4197" s="417" t="s">
        <v>846</v>
      </c>
      <c r="B4197" s="417" t="s">
        <v>680</v>
      </c>
      <c r="C4197" s="83">
        <v>46077</v>
      </c>
      <c r="D4197" s="417" t="s">
        <v>688</v>
      </c>
      <c r="E4197">
        <v>1435.0000500000001</v>
      </c>
      <c r="F4197">
        <v>1</v>
      </c>
      <c r="G4197">
        <v>1435.0000500000001</v>
      </c>
      <c r="H4197">
        <v>0</v>
      </c>
      <c r="I4197">
        <v>29.303134867486602</v>
      </c>
    </row>
    <row r="4198" spans="1:9" x14ac:dyDescent="0.35">
      <c r="A4198" s="417" t="s">
        <v>846</v>
      </c>
      <c r="B4198" s="417" t="s">
        <v>680</v>
      </c>
      <c r="C4198" s="83">
        <v>46077</v>
      </c>
      <c r="D4198" s="417" t="s">
        <v>685</v>
      </c>
      <c r="E4198">
        <v>957.66589999999997</v>
      </c>
      <c r="F4198">
        <v>1</v>
      </c>
      <c r="G4198">
        <v>957.66589999999997</v>
      </c>
      <c r="H4198">
        <v>0</v>
      </c>
      <c r="I4198">
        <v>44.147516820397897</v>
      </c>
    </row>
    <row r="4199" spans="1:9" x14ac:dyDescent="0.35">
      <c r="A4199" s="417" t="s">
        <v>846</v>
      </c>
      <c r="B4199" s="417" t="s">
        <v>691</v>
      </c>
      <c r="C4199" s="83">
        <v>46077</v>
      </c>
      <c r="D4199" s="417" t="s">
        <v>305</v>
      </c>
      <c r="E4199">
        <v>1286.27011666667</v>
      </c>
      <c r="F4199">
        <v>118</v>
      </c>
      <c r="G4199">
        <v>10.9005942090395</v>
      </c>
      <c r="H4199">
        <v>13.476150000000001</v>
      </c>
      <c r="I4199">
        <v>73.129310685374406</v>
      </c>
    </row>
    <row r="4200" spans="1:9" x14ac:dyDescent="0.35">
      <c r="A4200" s="417" t="s">
        <v>846</v>
      </c>
      <c r="B4200" s="417" t="s">
        <v>691</v>
      </c>
      <c r="C4200" s="83">
        <v>46077</v>
      </c>
      <c r="D4200" s="417" t="s">
        <v>309</v>
      </c>
      <c r="E4200">
        <v>1282.8614500000001</v>
      </c>
      <c r="F4200">
        <v>116</v>
      </c>
      <c r="G4200">
        <v>11.059150431034499</v>
      </c>
      <c r="H4200">
        <v>0</v>
      </c>
      <c r="I4200">
        <v>67.726000148766602</v>
      </c>
    </row>
    <row r="4201" spans="1:9" x14ac:dyDescent="0.35">
      <c r="A4201" s="417" t="s">
        <v>846</v>
      </c>
      <c r="B4201" s="417" t="s">
        <v>691</v>
      </c>
      <c r="C4201" s="83">
        <v>46077</v>
      </c>
      <c r="D4201" s="417" t="s">
        <v>299</v>
      </c>
      <c r="E4201">
        <v>1378.64948333333</v>
      </c>
      <c r="F4201">
        <v>54</v>
      </c>
      <c r="G4201">
        <v>25.5305459876543</v>
      </c>
      <c r="H4201">
        <v>0.47189999999999999</v>
      </c>
      <c r="I4201">
        <v>85.183991660827701</v>
      </c>
    </row>
    <row r="4202" spans="1:9" x14ac:dyDescent="0.35">
      <c r="A4202" s="417" t="s">
        <v>846</v>
      </c>
      <c r="B4202" s="417" t="s">
        <v>691</v>
      </c>
      <c r="C4202" s="83">
        <v>46077</v>
      </c>
      <c r="D4202" s="417" t="s">
        <v>301</v>
      </c>
      <c r="E4202">
        <v>1345.0000500000001</v>
      </c>
      <c r="F4202">
        <v>49</v>
      </c>
      <c r="G4202">
        <v>27.448980612244899</v>
      </c>
      <c r="H4202">
        <v>2.52253333333333</v>
      </c>
      <c r="I4202">
        <v>70.164211058989906</v>
      </c>
    </row>
    <row r="4203" spans="1:9" x14ac:dyDescent="0.35">
      <c r="A4203" s="417" t="s">
        <v>846</v>
      </c>
      <c r="B4203" s="417" t="s">
        <v>691</v>
      </c>
      <c r="C4203" s="83">
        <v>46077</v>
      </c>
      <c r="D4203" s="417" t="s">
        <v>303</v>
      </c>
      <c r="E4203">
        <v>1366.6309833333301</v>
      </c>
      <c r="F4203">
        <v>46</v>
      </c>
      <c r="G4203">
        <v>29.7093692028985</v>
      </c>
      <c r="H4203">
        <v>0.1353</v>
      </c>
      <c r="I4203">
        <v>54.202046776585597</v>
      </c>
    </row>
    <row r="4204" spans="1:9" x14ac:dyDescent="0.35">
      <c r="A4204" s="417" t="s">
        <v>846</v>
      </c>
      <c r="B4204" s="417" t="s">
        <v>691</v>
      </c>
      <c r="C4204" s="83">
        <v>46077</v>
      </c>
      <c r="D4204" s="417" t="s">
        <v>295</v>
      </c>
      <c r="E4204">
        <v>1400.4985666666701</v>
      </c>
      <c r="F4204">
        <v>45</v>
      </c>
      <c r="G4204">
        <v>31.122190370370401</v>
      </c>
      <c r="H4204">
        <v>1.0046666666666699</v>
      </c>
      <c r="I4204">
        <v>81.348332678249704</v>
      </c>
    </row>
    <row r="4205" spans="1:9" x14ac:dyDescent="0.35">
      <c r="A4205" s="417" t="s">
        <v>846</v>
      </c>
      <c r="B4205" s="417" t="s">
        <v>691</v>
      </c>
      <c r="C4205" s="83">
        <v>46077</v>
      </c>
      <c r="D4205" s="417" t="s">
        <v>310</v>
      </c>
      <c r="E4205">
        <v>1381.3928166666699</v>
      </c>
      <c r="F4205">
        <v>16</v>
      </c>
      <c r="G4205">
        <v>86.337051041666697</v>
      </c>
      <c r="H4205">
        <v>1.1979</v>
      </c>
      <c r="I4205">
        <v>79.063320157194099</v>
      </c>
    </row>
    <row r="4206" spans="1:9" x14ac:dyDescent="0.35">
      <c r="A4206" s="417" t="s">
        <v>846</v>
      </c>
      <c r="B4206" s="417" t="s">
        <v>691</v>
      </c>
      <c r="C4206" s="83">
        <v>46077</v>
      </c>
      <c r="D4206" s="417" t="s">
        <v>313</v>
      </c>
      <c r="E4206">
        <v>1402.1572333333299</v>
      </c>
      <c r="F4206">
        <v>8</v>
      </c>
      <c r="G4206">
        <v>175.26965416666701</v>
      </c>
      <c r="H4206">
        <v>0</v>
      </c>
      <c r="I4206">
        <v>81.9333698586846</v>
      </c>
    </row>
    <row r="4207" spans="1:9" x14ac:dyDescent="0.35">
      <c r="A4207" s="417" t="s">
        <v>846</v>
      </c>
      <c r="B4207" s="417" t="s">
        <v>691</v>
      </c>
      <c r="C4207" s="83">
        <v>46077</v>
      </c>
      <c r="D4207" s="417" t="s">
        <v>317</v>
      </c>
      <c r="E4207">
        <v>1437.65478333333</v>
      </c>
      <c r="F4207">
        <v>3</v>
      </c>
      <c r="G4207">
        <v>479.21826111111102</v>
      </c>
      <c r="H4207">
        <v>0.48243333333333299</v>
      </c>
      <c r="I4207">
        <v>48.840958418977003</v>
      </c>
    </row>
    <row r="4208" spans="1:9" x14ac:dyDescent="0.35">
      <c r="A4208" s="417" t="s">
        <v>846</v>
      </c>
      <c r="B4208" s="417" t="s">
        <v>691</v>
      </c>
      <c r="C4208" s="83">
        <v>46077</v>
      </c>
      <c r="D4208" s="417" t="s">
        <v>314</v>
      </c>
      <c r="E4208">
        <v>1432.66701666667</v>
      </c>
      <c r="F4208">
        <v>2</v>
      </c>
      <c r="G4208">
        <v>716.33350833333304</v>
      </c>
      <c r="H4208">
        <v>0.21804999999999999</v>
      </c>
      <c r="I4208">
        <v>58.863758135334997</v>
      </c>
    </row>
    <row r="4209" spans="1:9" x14ac:dyDescent="0.35">
      <c r="A4209" s="417" t="s">
        <v>846</v>
      </c>
      <c r="B4209" s="417" t="s">
        <v>691</v>
      </c>
      <c r="C4209" s="83">
        <v>46077</v>
      </c>
      <c r="D4209" s="417" t="s">
        <v>504</v>
      </c>
      <c r="E4209">
        <v>1440</v>
      </c>
      <c r="F4209">
        <v>1</v>
      </c>
      <c r="G4209">
        <v>1440</v>
      </c>
      <c r="H4209">
        <v>0</v>
      </c>
      <c r="I4209">
        <v>43.996913580246897</v>
      </c>
    </row>
    <row r="4210" spans="1:9" x14ac:dyDescent="0.35">
      <c r="A4210" s="417" t="s">
        <v>846</v>
      </c>
      <c r="B4210" s="417" t="s">
        <v>676</v>
      </c>
      <c r="C4210" s="83">
        <v>46076</v>
      </c>
      <c r="D4210" s="417" t="s">
        <v>677</v>
      </c>
      <c r="E4210">
        <v>1238.0488666666699</v>
      </c>
      <c r="F4210">
        <v>256</v>
      </c>
      <c r="G4210">
        <v>4.8361283854166697</v>
      </c>
      <c r="H4210">
        <v>156.94818333333299</v>
      </c>
      <c r="I4210">
        <v>38.695555555555501</v>
      </c>
    </row>
    <row r="4211" spans="1:9" x14ac:dyDescent="0.35">
      <c r="A4211" s="417" t="s">
        <v>846</v>
      </c>
      <c r="B4211" s="417" t="s">
        <v>676</v>
      </c>
      <c r="C4211" s="83">
        <v>46076</v>
      </c>
      <c r="D4211" s="417" t="s">
        <v>679</v>
      </c>
      <c r="E4211">
        <v>1369.46671666667</v>
      </c>
      <c r="F4211">
        <v>17</v>
      </c>
      <c r="G4211">
        <v>80.556865686274506</v>
      </c>
      <c r="H4211">
        <v>15.833916666666701</v>
      </c>
      <c r="I4211">
        <v>74.141066708047205</v>
      </c>
    </row>
    <row r="4212" spans="1:9" x14ac:dyDescent="0.35">
      <c r="A4212" s="417" t="s">
        <v>846</v>
      </c>
      <c r="B4212" s="417" t="s">
        <v>680</v>
      </c>
      <c r="C4212" s="83">
        <v>46076</v>
      </c>
      <c r="D4212" s="417" t="s">
        <v>681</v>
      </c>
      <c r="E4212">
        <v>1310.5396000000001</v>
      </c>
      <c r="F4212">
        <v>72</v>
      </c>
      <c r="G4212">
        <v>18.2019388888889</v>
      </c>
      <c r="H4212">
        <v>2.4925999999999999</v>
      </c>
      <c r="I4212">
        <v>87.330787269492603</v>
      </c>
    </row>
    <row r="4213" spans="1:9" x14ac:dyDescent="0.35">
      <c r="A4213" s="417" t="s">
        <v>846</v>
      </c>
      <c r="B4213" s="417" t="s">
        <v>680</v>
      </c>
      <c r="C4213" s="83">
        <v>46076</v>
      </c>
      <c r="D4213" s="417" t="s">
        <v>684</v>
      </c>
      <c r="E4213">
        <v>1376.5078166666699</v>
      </c>
      <c r="F4213">
        <v>54</v>
      </c>
      <c r="G4213">
        <v>25.4908854938272</v>
      </c>
      <c r="H4213">
        <v>39.493766666666701</v>
      </c>
      <c r="I4213">
        <v>75.274271419637103</v>
      </c>
    </row>
    <row r="4214" spans="1:9" x14ac:dyDescent="0.35">
      <c r="A4214" s="417" t="s">
        <v>846</v>
      </c>
      <c r="B4214" s="417" t="s">
        <v>680</v>
      </c>
      <c r="C4214" s="83">
        <v>46076</v>
      </c>
      <c r="D4214" s="417" t="s">
        <v>683</v>
      </c>
      <c r="E4214">
        <v>1374.31935</v>
      </c>
      <c r="F4214">
        <v>46</v>
      </c>
      <c r="G4214">
        <v>29.8765076086957</v>
      </c>
      <c r="H4214">
        <v>1.4990666666666701</v>
      </c>
      <c r="I4214">
        <v>73.8918056801283</v>
      </c>
    </row>
    <row r="4215" spans="1:9" x14ac:dyDescent="0.35">
      <c r="A4215" s="417" t="s">
        <v>846</v>
      </c>
      <c r="B4215" s="417" t="s">
        <v>680</v>
      </c>
      <c r="C4215" s="83">
        <v>46076</v>
      </c>
      <c r="D4215" s="417" t="s">
        <v>689</v>
      </c>
      <c r="E4215">
        <v>1404.8613333333301</v>
      </c>
      <c r="F4215">
        <v>25</v>
      </c>
      <c r="G4215">
        <v>56.1944533333333</v>
      </c>
      <c r="H4215">
        <v>0</v>
      </c>
      <c r="I4215">
        <v>88.022198205680596</v>
      </c>
    </row>
    <row r="4216" spans="1:9" x14ac:dyDescent="0.35">
      <c r="A4216" s="417" t="s">
        <v>846</v>
      </c>
      <c r="B4216" s="417" t="s">
        <v>680</v>
      </c>
      <c r="C4216" s="83">
        <v>46076</v>
      </c>
      <c r="D4216" s="417" t="s">
        <v>682</v>
      </c>
      <c r="E4216">
        <v>1427.34081666667</v>
      </c>
      <c r="F4216">
        <v>24</v>
      </c>
      <c r="G4216">
        <v>59.472534027777797</v>
      </c>
      <c r="H4216">
        <v>12.659183333333299</v>
      </c>
      <c r="I4216">
        <v>72.405753968253904</v>
      </c>
    </row>
    <row r="4217" spans="1:9" x14ac:dyDescent="0.35">
      <c r="A4217" s="417" t="s">
        <v>846</v>
      </c>
      <c r="B4217" s="417" t="s">
        <v>680</v>
      </c>
      <c r="C4217" s="83">
        <v>46076</v>
      </c>
      <c r="D4217" s="417" t="s">
        <v>688</v>
      </c>
      <c r="E4217">
        <v>1417.51731666667</v>
      </c>
      <c r="F4217">
        <v>22</v>
      </c>
      <c r="G4217">
        <v>64.4326053030303</v>
      </c>
      <c r="H4217">
        <v>7.1616499999999998</v>
      </c>
      <c r="I4217">
        <v>85.444788126100093</v>
      </c>
    </row>
    <row r="4218" spans="1:9" x14ac:dyDescent="0.35">
      <c r="A4218" s="417" t="s">
        <v>846</v>
      </c>
      <c r="B4218" s="417" t="s">
        <v>680</v>
      </c>
      <c r="C4218" s="83">
        <v>46076</v>
      </c>
      <c r="D4218" s="417" t="s">
        <v>687</v>
      </c>
      <c r="E4218">
        <v>1416.3307</v>
      </c>
      <c r="F4218">
        <v>13</v>
      </c>
      <c r="G4218">
        <v>108.94851538461501</v>
      </c>
      <c r="H4218">
        <v>19.827733333333299</v>
      </c>
      <c r="I4218">
        <v>38.280215991806898</v>
      </c>
    </row>
    <row r="4219" spans="1:9" x14ac:dyDescent="0.35">
      <c r="A4219" s="417" t="s">
        <v>846</v>
      </c>
      <c r="B4219" s="417" t="s">
        <v>680</v>
      </c>
      <c r="C4219" s="83">
        <v>46076</v>
      </c>
      <c r="D4219" s="417" t="s">
        <v>685</v>
      </c>
      <c r="E4219">
        <v>1386.6452666666701</v>
      </c>
      <c r="F4219">
        <v>11</v>
      </c>
      <c r="G4219">
        <v>126.058660606061</v>
      </c>
      <c r="H4219">
        <v>3.9934333333333298</v>
      </c>
      <c r="I4219">
        <v>87.247407877498006</v>
      </c>
    </row>
    <row r="4220" spans="1:9" x14ac:dyDescent="0.35">
      <c r="A4220" s="417" t="s">
        <v>846</v>
      </c>
      <c r="B4220" s="417" t="s">
        <v>680</v>
      </c>
      <c r="C4220" s="83">
        <v>46076</v>
      </c>
      <c r="D4220" s="417" t="s">
        <v>690</v>
      </c>
      <c r="E4220">
        <v>1412.82013333333</v>
      </c>
      <c r="F4220">
        <v>8</v>
      </c>
      <c r="G4220">
        <v>176.60251666666699</v>
      </c>
      <c r="H4220">
        <v>2.0157333333333298</v>
      </c>
      <c r="I4220">
        <v>72.370154476991402</v>
      </c>
    </row>
    <row r="4221" spans="1:9" x14ac:dyDescent="0.35">
      <c r="A4221" s="417" t="s">
        <v>846</v>
      </c>
      <c r="B4221" s="417" t="s">
        <v>680</v>
      </c>
      <c r="C4221" s="83">
        <v>46076</v>
      </c>
      <c r="D4221" s="417" t="s">
        <v>686</v>
      </c>
      <c r="E4221">
        <v>1440</v>
      </c>
      <c r="F4221">
        <v>1</v>
      </c>
      <c r="G4221">
        <v>1440</v>
      </c>
      <c r="H4221">
        <v>0</v>
      </c>
      <c r="I4221">
        <v>36.056547619047599</v>
      </c>
    </row>
    <row r="4222" spans="1:9" x14ac:dyDescent="0.35">
      <c r="A4222" s="417" t="s">
        <v>846</v>
      </c>
      <c r="B4222" s="417" t="s">
        <v>691</v>
      </c>
      <c r="C4222" s="83">
        <v>46076</v>
      </c>
      <c r="D4222" s="417" t="s">
        <v>309</v>
      </c>
      <c r="E4222">
        <v>1233.70606666667</v>
      </c>
      <c r="F4222">
        <v>112</v>
      </c>
      <c r="G4222">
        <v>11.0152327380952</v>
      </c>
      <c r="H4222">
        <v>0</v>
      </c>
      <c r="I4222">
        <v>56.4930297974445</v>
      </c>
    </row>
    <row r="4223" spans="1:9" x14ac:dyDescent="0.35">
      <c r="A4223" s="417" t="s">
        <v>846</v>
      </c>
      <c r="B4223" s="417" t="s">
        <v>691</v>
      </c>
      <c r="C4223" s="83">
        <v>46076</v>
      </c>
      <c r="D4223" s="417" t="s">
        <v>305</v>
      </c>
      <c r="E4223">
        <v>1216.8637333333299</v>
      </c>
      <c r="F4223">
        <v>74</v>
      </c>
      <c r="G4223">
        <v>16.444104504504502</v>
      </c>
      <c r="H4223">
        <v>10.726366666666699</v>
      </c>
      <c r="I4223">
        <v>70.000934307159895</v>
      </c>
    </row>
    <row r="4224" spans="1:9" x14ac:dyDescent="0.35">
      <c r="A4224" s="417" t="s">
        <v>846</v>
      </c>
      <c r="B4224" s="417" t="s">
        <v>691</v>
      </c>
      <c r="C4224" s="83">
        <v>46076</v>
      </c>
      <c r="D4224" s="417" t="s">
        <v>301</v>
      </c>
      <c r="E4224">
        <v>1365.55521666667</v>
      </c>
      <c r="F4224">
        <v>59</v>
      </c>
      <c r="G4224">
        <v>23.145003672316399</v>
      </c>
      <c r="H4224">
        <v>1.0548666666666699</v>
      </c>
      <c r="I4224">
        <v>76.432016525233607</v>
      </c>
    </row>
    <row r="4225" spans="1:9" x14ac:dyDescent="0.35">
      <c r="A4225" s="417" t="s">
        <v>846</v>
      </c>
      <c r="B4225" s="417" t="s">
        <v>691</v>
      </c>
      <c r="C4225" s="83">
        <v>46076</v>
      </c>
      <c r="D4225" s="417" t="s">
        <v>295</v>
      </c>
      <c r="E4225">
        <v>1401.0532499999999</v>
      </c>
      <c r="F4225">
        <v>55</v>
      </c>
      <c r="G4225">
        <v>25.473695454545499</v>
      </c>
      <c r="H4225">
        <v>0.2999</v>
      </c>
      <c r="I4225">
        <v>83.395526968147706</v>
      </c>
    </row>
    <row r="4226" spans="1:9" x14ac:dyDescent="0.35">
      <c r="A4226" s="417" t="s">
        <v>846</v>
      </c>
      <c r="B4226" s="417" t="s">
        <v>691</v>
      </c>
      <c r="C4226" s="83">
        <v>46076</v>
      </c>
      <c r="D4226" s="417" t="s">
        <v>299</v>
      </c>
      <c r="E4226">
        <v>1367.5357833333301</v>
      </c>
      <c r="F4226">
        <v>40</v>
      </c>
      <c r="G4226">
        <v>34.188394583333299</v>
      </c>
      <c r="H4226">
        <v>0.45084999999999997</v>
      </c>
      <c r="I4226">
        <v>88.773054575173902</v>
      </c>
    </row>
    <row r="4227" spans="1:9" x14ac:dyDescent="0.35">
      <c r="A4227" s="417" t="s">
        <v>846</v>
      </c>
      <c r="B4227" s="417" t="s">
        <v>691</v>
      </c>
      <c r="C4227" s="83">
        <v>46076</v>
      </c>
      <c r="D4227" s="417" t="s">
        <v>303</v>
      </c>
      <c r="E4227">
        <v>1396.8795833333299</v>
      </c>
      <c r="F4227">
        <v>26</v>
      </c>
      <c r="G4227">
        <v>53.726137820512797</v>
      </c>
      <c r="H4227">
        <v>0.17765</v>
      </c>
      <c r="I4227">
        <v>55.933882770563599</v>
      </c>
    </row>
    <row r="4228" spans="1:9" x14ac:dyDescent="0.35">
      <c r="A4228" s="417" t="s">
        <v>846</v>
      </c>
      <c r="B4228" s="417" t="s">
        <v>691</v>
      </c>
      <c r="C4228" s="83">
        <v>46076</v>
      </c>
      <c r="D4228" s="417" t="s">
        <v>310</v>
      </c>
      <c r="E4228">
        <v>1394.9867999999999</v>
      </c>
      <c r="F4228">
        <v>17</v>
      </c>
      <c r="G4228">
        <v>82.058047058823504</v>
      </c>
      <c r="H4228">
        <v>0.459666666666667</v>
      </c>
      <c r="I4228">
        <v>80.131306291039905</v>
      </c>
    </row>
    <row r="4229" spans="1:9" x14ac:dyDescent="0.35">
      <c r="A4229" s="417" t="s">
        <v>846</v>
      </c>
      <c r="B4229" s="417" t="s">
        <v>691</v>
      </c>
      <c r="C4229" s="83">
        <v>46076</v>
      </c>
      <c r="D4229" s="417" t="s">
        <v>314</v>
      </c>
      <c r="E4229">
        <v>1432.21481666667</v>
      </c>
      <c r="F4229">
        <v>3</v>
      </c>
      <c r="G4229">
        <v>477.40493888888898</v>
      </c>
      <c r="H4229">
        <v>5.0733333333333297E-2</v>
      </c>
      <c r="I4229">
        <v>73.0078672520916</v>
      </c>
    </row>
    <row r="4230" spans="1:9" x14ac:dyDescent="0.35">
      <c r="A4230" s="417" t="s">
        <v>846</v>
      </c>
      <c r="B4230" s="417" t="s">
        <v>691</v>
      </c>
      <c r="C4230" s="83">
        <v>46076</v>
      </c>
      <c r="D4230" s="417" t="s">
        <v>313</v>
      </c>
      <c r="E4230">
        <v>1395.4670000000001</v>
      </c>
      <c r="F4230">
        <v>2</v>
      </c>
      <c r="G4230">
        <v>697.73350000000005</v>
      </c>
      <c r="H4230">
        <v>0</v>
      </c>
      <c r="I4230">
        <v>82.472184700272607</v>
      </c>
    </row>
    <row r="4231" spans="1:9" x14ac:dyDescent="0.35">
      <c r="A4231" s="417" t="s">
        <v>846</v>
      </c>
      <c r="B4231" s="417" t="s">
        <v>691</v>
      </c>
      <c r="C4231" s="83">
        <v>46076</v>
      </c>
      <c r="D4231" s="417" t="s">
        <v>504</v>
      </c>
      <c r="E4231">
        <v>1440</v>
      </c>
      <c r="F4231">
        <v>1</v>
      </c>
      <c r="G4231">
        <v>1440</v>
      </c>
      <c r="H4231">
        <v>0</v>
      </c>
      <c r="I4231">
        <v>35.237191358024702</v>
      </c>
    </row>
    <row r="4232" spans="1:9" x14ac:dyDescent="0.35">
      <c r="A4232" s="417" t="s">
        <v>846</v>
      </c>
      <c r="B4232" s="417" t="s">
        <v>691</v>
      </c>
      <c r="C4232" s="83">
        <v>46076</v>
      </c>
      <c r="D4232" s="417" t="s">
        <v>317</v>
      </c>
      <c r="E4232">
        <v>1439.6699000000001</v>
      </c>
      <c r="F4232">
        <v>1</v>
      </c>
      <c r="G4232">
        <v>1439.6699000000001</v>
      </c>
      <c r="H4232">
        <v>0</v>
      </c>
      <c r="I4232">
        <v>52.814190252918401</v>
      </c>
    </row>
    <row r="4233" spans="1:9" x14ac:dyDescent="0.35">
      <c r="A4233" s="417" t="s">
        <v>846</v>
      </c>
      <c r="B4233" s="417" t="s">
        <v>676</v>
      </c>
      <c r="C4233" s="83">
        <v>46075</v>
      </c>
      <c r="D4233" s="417" t="s">
        <v>677</v>
      </c>
      <c r="E4233">
        <v>1153.6413500000001</v>
      </c>
      <c r="F4233">
        <v>201</v>
      </c>
      <c r="G4233">
        <v>5.7395092039801003</v>
      </c>
      <c r="H4233">
        <v>171.68271666666701</v>
      </c>
      <c r="I4233">
        <v>9.8099999999999898</v>
      </c>
    </row>
    <row r="4234" spans="1:9" x14ac:dyDescent="0.35">
      <c r="A4234" s="417" t="s">
        <v>846</v>
      </c>
      <c r="B4234" s="417" t="s">
        <v>676</v>
      </c>
      <c r="C4234" s="83">
        <v>46075</v>
      </c>
      <c r="D4234" s="417" t="s">
        <v>679</v>
      </c>
      <c r="E4234">
        <v>1130.60171666667</v>
      </c>
      <c r="F4234">
        <v>23</v>
      </c>
      <c r="G4234">
        <v>49.156596376811599</v>
      </c>
      <c r="H4234">
        <v>25.004283333333301</v>
      </c>
      <c r="I4234">
        <v>45.0126960498675</v>
      </c>
    </row>
    <row r="4235" spans="1:9" x14ac:dyDescent="0.35">
      <c r="A4235" s="417" t="s">
        <v>846</v>
      </c>
      <c r="B4235" s="417" t="s">
        <v>680</v>
      </c>
      <c r="C4235" s="83">
        <v>46075</v>
      </c>
      <c r="D4235" s="417" t="s">
        <v>684</v>
      </c>
      <c r="E4235">
        <v>1401.3231333333299</v>
      </c>
      <c r="F4235">
        <v>72</v>
      </c>
      <c r="G4235">
        <v>19.462821296296301</v>
      </c>
      <c r="H4235">
        <v>30.1688166666667</v>
      </c>
      <c r="I4235">
        <v>80.972293218122999</v>
      </c>
    </row>
    <row r="4236" spans="1:9" x14ac:dyDescent="0.35">
      <c r="A4236" s="417" t="s">
        <v>846</v>
      </c>
      <c r="B4236" s="417" t="s">
        <v>680</v>
      </c>
      <c r="C4236" s="83">
        <v>46075</v>
      </c>
      <c r="D4236" s="417" t="s">
        <v>681</v>
      </c>
      <c r="E4236">
        <v>1375.86218333333</v>
      </c>
      <c r="F4236">
        <v>62</v>
      </c>
      <c r="G4236">
        <v>22.191325537634398</v>
      </c>
      <c r="H4236">
        <v>0.49175000000000002</v>
      </c>
      <c r="I4236">
        <v>83.760400250469303</v>
      </c>
    </row>
    <row r="4237" spans="1:9" x14ac:dyDescent="0.35">
      <c r="A4237" s="417" t="s">
        <v>846</v>
      </c>
      <c r="B4237" s="417" t="s">
        <v>680</v>
      </c>
      <c r="C4237" s="83">
        <v>46075</v>
      </c>
      <c r="D4237" s="417" t="s">
        <v>683</v>
      </c>
      <c r="E4237">
        <v>1371.8589999999999</v>
      </c>
      <c r="F4237">
        <v>40</v>
      </c>
      <c r="G4237">
        <v>34.296475000000001</v>
      </c>
      <c r="H4237">
        <v>3.3405833333333299</v>
      </c>
      <c r="I4237">
        <v>76.025407495452797</v>
      </c>
    </row>
    <row r="4238" spans="1:9" x14ac:dyDescent="0.35">
      <c r="A4238" s="417" t="s">
        <v>846</v>
      </c>
      <c r="B4238" s="417" t="s">
        <v>680</v>
      </c>
      <c r="C4238" s="83">
        <v>46075</v>
      </c>
      <c r="D4238" s="417" t="s">
        <v>689</v>
      </c>
      <c r="E4238">
        <v>1406.3647000000001</v>
      </c>
      <c r="F4238">
        <v>35</v>
      </c>
      <c r="G4238">
        <v>40.181848571428603</v>
      </c>
      <c r="H4238">
        <v>0</v>
      </c>
      <c r="I4238">
        <v>89.724054639717096</v>
      </c>
    </row>
    <row r="4239" spans="1:9" x14ac:dyDescent="0.35">
      <c r="A4239" s="417" t="s">
        <v>846</v>
      </c>
      <c r="B4239" s="417" t="s">
        <v>680</v>
      </c>
      <c r="C4239" s="83">
        <v>46075</v>
      </c>
      <c r="D4239" s="417" t="s">
        <v>682</v>
      </c>
      <c r="E4239">
        <v>1420.6605500000001</v>
      </c>
      <c r="F4239">
        <v>20</v>
      </c>
      <c r="G4239">
        <v>71.033027500000003</v>
      </c>
      <c r="H4239">
        <v>19.339449999999999</v>
      </c>
      <c r="I4239">
        <v>79.7916666666666</v>
      </c>
    </row>
    <row r="4240" spans="1:9" x14ac:dyDescent="0.35">
      <c r="A4240" s="417" t="s">
        <v>846</v>
      </c>
      <c r="B4240" s="417" t="s">
        <v>680</v>
      </c>
      <c r="C4240" s="83">
        <v>46075</v>
      </c>
      <c r="D4240" s="417" t="s">
        <v>685</v>
      </c>
      <c r="E4240">
        <v>1414.4840833333301</v>
      </c>
      <c r="F4240">
        <v>19</v>
      </c>
      <c r="G4240">
        <v>74.446530701754398</v>
      </c>
      <c r="H4240">
        <v>11.1693833333333</v>
      </c>
      <c r="I4240">
        <v>89.788399390237103</v>
      </c>
    </row>
    <row r="4241" spans="1:9" x14ac:dyDescent="0.35">
      <c r="A4241" s="417" t="s">
        <v>846</v>
      </c>
      <c r="B4241" s="417" t="s">
        <v>680</v>
      </c>
      <c r="C4241" s="83">
        <v>46075</v>
      </c>
      <c r="D4241" s="417" t="s">
        <v>687</v>
      </c>
      <c r="E4241">
        <v>1403.9926</v>
      </c>
      <c r="F4241">
        <v>14</v>
      </c>
      <c r="G4241">
        <v>100.285185714286</v>
      </c>
      <c r="H4241">
        <v>17.345216666666701</v>
      </c>
      <c r="I4241">
        <v>42.671717599243898</v>
      </c>
    </row>
    <row r="4242" spans="1:9" x14ac:dyDescent="0.35">
      <c r="A4242" s="417" t="s">
        <v>846</v>
      </c>
      <c r="B4242" s="417" t="s">
        <v>680</v>
      </c>
      <c r="C4242" s="83">
        <v>46075</v>
      </c>
      <c r="D4242" s="417" t="s">
        <v>688</v>
      </c>
      <c r="E4242">
        <v>1398.6665166666701</v>
      </c>
      <c r="F4242">
        <v>14</v>
      </c>
      <c r="G4242">
        <v>99.904751190476205</v>
      </c>
      <c r="H4242">
        <v>7.9869000000000003</v>
      </c>
      <c r="I4242">
        <v>81.730275797240097</v>
      </c>
    </row>
    <row r="4243" spans="1:9" x14ac:dyDescent="0.35">
      <c r="A4243" s="417" t="s">
        <v>846</v>
      </c>
      <c r="B4243" s="417" t="s">
        <v>680</v>
      </c>
      <c r="C4243" s="83">
        <v>46075</v>
      </c>
      <c r="D4243" s="417" t="s">
        <v>690</v>
      </c>
      <c r="E4243">
        <v>1389.8494499999999</v>
      </c>
      <c r="F4243">
        <v>14</v>
      </c>
      <c r="G4243">
        <v>99.274960714285697</v>
      </c>
      <c r="H4243">
        <v>14.0042833333333</v>
      </c>
      <c r="I4243">
        <v>73.071213214452001</v>
      </c>
    </row>
    <row r="4244" spans="1:9" x14ac:dyDescent="0.35">
      <c r="A4244" s="417" t="s">
        <v>846</v>
      </c>
      <c r="B4244" s="417" t="s">
        <v>680</v>
      </c>
      <c r="C4244" s="83">
        <v>46075</v>
      </c>
      <c r="D4244" s="417" t="s">
        <v>686</v>
      </c>
      <c r="E4244">
        <v>1440</v>
      </c>
      <c r="F4244">
        <v>1</v>
      </c>
      <c r="G4244">
        <v>1440</v>
      </c>
      <c r="H4244">
        <v>0</v>
      </c>
      <c r="I4244">
        <v>39.8263888888889</v>
      </c>
    </row>
    <row r="4245" spans="1:9" x14ac:dyDescent="0.35">
      <c r="A4245" s="417" t="s">
        <v>846</v>
      </c>
      <c r="B4245" s="417" t="s">
        <v>691</v>
      </c>
      <c r="C4245" s="83">
        <v>46075</v>
      </c>
      <c r="D4245" s="417" t="s">
        <v>309</v>
      </c>
      <c r="E4245">
        <v>1248.83508333333</v>
      </c>
      <c r="F4245">
        <v>170</v>
      </c>
      <c r="G4245">
        <v>7.3460887254902003</v>
      </c>
      <c r="H4245">
        <v>6.7299999999999999E-2</v>
      </c>
      <c r="I4245">
        <v>46.263018615719297</v>
      </c>
    </row>
    <row r="4246" spans="1:9" x14ac:dyDescent="0.35">
      <c r="A4246" s="417" t="s">
        <v>846</v>
      </c>
      <c r="B4246" s="417" t="s">
        <v>691</v>
      </c>
      <c r="C4246" s="83">
        <v>46075</v>
      </c>
      <c r="D4246" s="417" t="s">
        <v>305</v>
      </c>
      <c r="E4246">
        <v>1175.76788333333</v>
      </c>
      <c r="F4246">
        <v>137</v>
      </c>
      <c r="G4246">
        <v>8.5822473236009706</v>
      </c>
      <c r="H4246">
        <v>5.3197666666666699</v>
      </c>
      <c r="I4246">
        <v>43.906165938364403</v>
      </c>
    </row>
    <row r="4247" spans="1:9" x14ac:dyDescent="0.35">
      <c r="A4247" s="417" t="s">
        <v>846</v>
      </c>
      <c r="B4247" s="417" t="s">
        <v>691</v>
      </c>
      <c r="C4247" s="83">
        <v>46075</v>
      </c>
      <c r="D4247" s="417" t="s">
        <v>301</v>
      </c>
      <c r="E4247">
        <v>1364.7847666666701</v>
      </c>
      <c r="F4247">
        <v>68</v>
      </c>
      <c r="G4247">
        <v>20.0703642156863</v>
      </c>
      <c r="H4247">
        <v>1.5579666666666701</v>
      </c>
      <c r="I4247">
        <v>63.803848947905003</v>
      </c>
    </row>
    <row r="4248" spans="1:9" x14ac:dyDescent="0.35">
      <c r="A4248" s="417" t="s">
        <v>846</v>
      </c>
      <c r="B4248" s="417" t="s">
        <v>691</v>
      </c>
      <c r="C4248" s="83">
        <v>46075</v>
      </c>
      <c r="D4248" s="417" t="s">
        <v>299</v>
      </c>
      <c r="E4248">
        <v>1368.4807499999999</v>
      </c>
      <c r="F4248">
        <v>57</v>
      </c>
      <c r="G4248">
        <v>24.0084342105263</v>
      </c>
      <c r="H4248">
        <v>2.47061666666667</v>
      </c>
      <c r="I4248">
        <v>76.132223971005104</v>
      </c>
    </row>
    <row r="4249" spans="1:9" x14ac:dyDescent="0.35">
      <c r="A4249" s="417" t="s">
        <v>846</v>
      </c>
      <c r="B4249" s="417" t="s">
        <v>691</v>
      </c>
      <c r="C4249" s="83">
        <v>46075</v>
      </c>
      <c r="D4249" s="417" t="s">
        <v>295</v>
      </c>
      <c r="E4249">
        <v>1366.97381666667</v>
      </c>
      <c r="F4249">
        <v>50</v>
      </c>
      <c r="G4249">
        <v>27.339476333333302</v>
      </c>
      <c r="H4249">
        <v>0.46163333333333301</v>
      </c>
      <c r="I4249">
        <v>77.180815044712304</v>
      </c>
    </row>
    <row r="4250" spans="1:9" x14ac:dyDescent="0.35">
      <c r="A4250" s="417" t="s">
        <v>846</v>
      </c>
      <c r="B4250" s="417" t="s">
        <v>691</v>
      </c>
      <c r="C4250" s="83">
        <v>46075</v>
      </c>
      <c r="D4250" s="417" t="s">
        <v>342</v>
      </c>
      <c r="E4250">
        <v>966.89798333333397</v>
      </c>
      <c r="F4250">
        <v>46</v>
      </c>
      <c r="G4250">
        <v>21.0195213768116</v>
      </c>
      <c r="H4250">
        <v>84.042816666666695</v>
      </c>
      <c r="I4250">
        <v>31.880287878787801</v>
      </c>
    </row>
    <row r="4251" spans="1:9" x14ac:dyDescent="0.35">
      <c r="A4251" s="417" t="s">
        <v>846</v>
      </c>
      <c r="B4251" s="417" t="s">
        <v>691</v>
      </c>
      <c r="C4251" s="83">
        <v>46075</v>
      </c>
      <c r="D4251" s="417" t="s">
        <v>303</v>
      </c>
      <c r="E4251">
        <v>1385.15335</v>
      </c>
      <c r="F4251">
        <v>41</v>
      </c>
      <c r="G4251">
        <v>33.784228048780498</v>
      </c>
      <c r="H4251">
        <v>0.21124999999999999</v>
      </c>
      <c r="I4251">
        <v>63.253647031004398</v>
      </c>
    </row>
    <row r="4252" spans="1:9" x14ac:dyDescent="0.35">
      <c r="A4252" s="417" t="s">
        <v>846</v>
      </c>
      <c r="B4252" s="417" t="s">
        <v>691</v>
      </c>
      <c r="C4252" s="83">
        <v>46075</v>
      </c>
      <c r="D4252" s="417" t="s">
        <v>314</v>
      </c>
      <c r="E4252">
        <v>1350.1640666666699</v>
      </c>
      <c r="F4252">
        <v>32</v>
      </c>
      <c r="G4252">
        <v>42.192627083333299</v>
      </c>
      <c r="H4252">
        <v>3.4805666666666699</v>
      </c>
      <c r="I4252">
        <v>56.519546756486498</v>
      </c>
    </row>
    <row r="4253" spans="1:9" x14ac:dyDescent="0.35">
      <c r="A4253" s="417" t="s">
        <v>846</v>
      </c>
      <c r="B4253" s="417" t="s">
        <v>691</v>
      </c>
      <c r="C4253" s="83">
        <v>46075</v>
      </c>
      <c r="D4253" s="417" t="s">
        <v>310</v>
      </c>
      <c r="E4253">
        <v>1381.1412333333301</v>
      </c>
      <c r="F4253">
        <v>9</v>
      </c>
      <c r="G4253">
        <v>153.46013703703699</v>
      </c>
      <c r="H4253">
        <v>0.31336666666666702</v>
      </c>
      <c r="I4253">
        <v>70.805851141017101</v>
      </c>
    </row>
    <row r="4254" spans="1:9" x14ac:dyDescent="0.35">
      <c r="A4254" s="417" t="s">
        <v>846</v>
      </c>
      <c r="B4254" s="417" t="s">
        <v>691</v>
      </c>
      <c r="C4254" s="83">
        <v>46075</v>
      </c>
      <c r="D4254" s="417" t="s">
        <v>313</v>
      </c>
      <c r="E4254">
        <v>1365.92425</v>
      </c>
      <c r="F4254">
        <v>5</v>
      </c>
      <c r="G4254">
        <v>273.18484999999998</v>
      </c>
      <c r="H4254">
        <v>0</v>
      </c>
      <c r="I4254">
        <v>68.155877413974096</v>
      </c>
    </row>
    <row r="4255" spans="1:9" x14ac:dyDescent="0.35">
      <c r="A4255" s="417" t="s">
        <v>846</v>
      </c>
      <c r="B4255" s="417" t="s">
        <v>691</v>
      </c>
      <c r="C4255" s="83">
        <v>46075</v>
      </c>
      <c r="D4255" s="417" t="s">
        <v>317</v>
      </c>
      <c r="E4255">
        <v>1438.9259999999999</v>
      </c>
      <c r="F4255">
        <v>2</v>
      </c>
      <c r="G4255">
        <v>719.46299999999997</v>
      </c>
      <c r="H4255">
        <v>0.17774999999999999</v>
      </c>
      <c r="I4255">
        <v>55.812515254720097</v>
      </c>
    </row>
    <row r="4256" spans="1:9" x14ac:dyDescent="0.35">
      <c r="A4256" s="417" t="s">
        <v>846</v>
      </c>
      <c r="B4256" s="417" t="s">
        <v>691</v>
      </c>
      <c r="C4256" s="83">
        <v>46075</v>
      </c>
      <c r="D4256" s="417" t="s">
        <v>504</v>
      </c>
      <c r="E4256">
        <v>1440</v>
      </c>
      <c r="F4256">
        <v>1</v>
      </c>
      <c r="G4256">
        <v>1440</v>
      </c>
      <c r="H4256">
        <v>0</v>
      </c>
      <c r="I4256">
        <v>36.3087962962963</v>
      </c>
    </row>
    <row r="4257" spans="1:9" x14ac:dyDescent="0.35">
      <c r="A4257" s="417" t="s">
        <v>846</v>
      </c>
      <c r="B4257" s="417" t="s">
        <v>676</v>
      </c>
      <c r="C4257" s="83">
        <v>46074</v>
      </c>
      <c r="D4257" s="417" t="s">
        <v>677</v>
      </c>
      <c r="E4257">
        <v>1290.51598333333</v>
      </c>
      <c r="F4257">
        <v>160</v>
      </c>
      <c r="G4257">
        <v>8.0657248958333394</v>
      </c>
      <c r="H4257">
        <v>124.81935</v>
      </c>
      <c r="I4257">
        <v>2.88472222222219</v>
      </c>
    </row>
    <row r="4258" spans="1:9" x14ac:dyDescent="0.35">
      <c r="A4258" s="417" t="s">
        <v>846</v>
      </c>
      <c r="B4258" s="417" t="s">
        <v>676</v>
      </c>
      <c r="C4258" s="83">
        <v>46074</v>
      </c>
      <c r="D4258" s="417" t="s">
        <v>679</v>
      </c>
      <c r="E4258">
        <v>1370.48605</v>
      </c>
      <c r="F4258">
        <v>23</v>
      </c>
      <c r="G4258">
        <v>59.586350000000003</v>
      </c>
      <c r="H4258">
        <v>14.680199999999999</v>
      </c>
      <c r="I4258">
        <v>102.94745005036999</v>
      </c>
    </row>
    <row r="4259" spans="1:9" x14ac:dyDescent="0.35">
      <c r="A4259" s="417" t="s">
        <v>846</v>
      </c>
      <c r="B4259" s="417" t="s">
        <v>680</v>
      </c>
      <c r="C4259" s="83">
        <v>46074</v>
      </c>
      <c r="D4259" s="417" t="s">
        <v>682</v>
      </c>
      <c r="E4259">
        <v>1379.1717000000001</v>
      </c>
      <c r="F4259">
        <v>57</v>
      </c>
      <c r="G4259">
        <v>24.195994736842099</v>
      </c>
      <c r="H4259">
        <v>60.828299999999999</v>
      </c>
      <c r="I4259">
        <v>79.012896825396794</v>
      </c>
    </row>
    <row r="4260" spans="1:9" x14ac:dyDescent="0.35">
      <c r="A4260" s="417" t="s">
        <v>846</v>
      </c>
      <c r="B4260" s="417" t="s">
        <v>680</v>
      </c>
      <c r="C4260" s="83">
        <v>46074</v>
      </c>
      <c r="D4260" s="417" t="s">
        <v>683</v>
      </c>
      <c r="E4260">
        <v>1283.3260666666699</v>
      </c>
      <c r="F4260">
        <v>44</v>
      </c>
      <c r="G4260">
        <v>29.166501515151499</v>
      </c>
      <c r="H4260">
        <v>1.5024166666666701</v>
      </c>
      <c r="I4260">
        <v>79.810502153690607</v>
      </c>
    </row>
    <row r="4261" spans="1:9" x14ac:dyDescent="0.35">
      <c r="A4261" s="417" t="s">
        <v>846</v>
      </c>
      <c r="B4261" s="417" t="s">
        <v>680</v>
      </c>
      <c r="C4261" s="83">
        <v>46074</v>
      </c>
      <c r="D4261" s="417" t="s">
        <v>690</v>
      </c>
      <c r="E4261">
        <v>1393.72066666667</v>
      </c>
      <c r="F4261">
        <v>40</v>
      </c>
      <c r="G4261">
        <v>34.843016666666699</v>
      </c>
      <c r="H4261">
        <v>13.5067166666667</v>
      </c>
      <c r="I4261">
        <v>79.338756286951195</v>
      </c>
    </row>
    <row r="4262" spans="1:9" x14ac:dyDescent="0.35">
      <c r="A4262" s="417" t="s">
        <v>846</v>
      </c>
      <c r="B4262" s="417" t="s">
        <v>680</v>
      </c>
      <c r="C4262" s="83">
        <v>46074</v>
      </c>
      <c r="D4262" s="417" t="s">
        <v>685</v>
      </c>
      <c r="E4262">
        <v>1384.6817000000001</v>
      </c>
      <c r="F4262">
        <v>33</v>
      </c>
      <c r="G4262">
        <v>41.960051515151498</v>
      </c>
      <c r="H4262">
        <v>26.1597166666667</v>
      </c>
      <c r="I4262">
        <v>85.072527254457498</v>
      </c>
    </row>
    <row r="4263" spans="1:9" x14ac:dyDescent="0.35">
      <c r="A4263" s="417" t="s">
        <v>846</v>
      </c>
      <c r="B4263" s="417" t="s">
        <v>680</v>
      </c>
      <c r="C4263" s="83">
        <v>46074</v>
      </c>
      <c r="D4263" s="417" t="s">
        <v>689</v>
      </c>
      <c r="E4263">
        <v>1412.87296666667</v>
      </c>
      <c r="F4263">
        <v>31</v>
      </c>
      <c r="G4263">
        <v>45.576547311828001</v>
      </c>
      <c r="H4263">
        <v>1.48321666666667</v>
      </c>
      <c r="I4263">
        <v>85.114962401552106</v>
      </c>
    </row>
    <row r="4264" spans="1:9" x14ac:dyDescent="0.35">
      <c r="A4264" s="417" t="s">
        <v>846</v>
      </c>
      <c r="B4264" s="417" t="s">
        <v>680</v>
      </c>
      <c r="C4264" s="83">
        <v>46074</v>
      </c>
      <c r="D4264" s="417" t="s">
        <v>681</v>
      </c>
      <c r="E4264">
        <v>1399.99335</v>
      </c>
      <c r="F4264">
        <v>28</v>
      </c>
      <c r="G4264">
        <v>49.999762500000003</v>
      </c>
      <c r="H4264">
        <v>0.16678333333333301</v>
      </c>
      <c r="I4264">
        <v>82.499622923242796</v>
      </c>
    </row>
    <row r="4265" spans="1:9" x14ac:dyDescent="0.35">
      <c r="A4265" s="417" t="s">
        <v>846</v>
      </c>
      <c r="B4265" s="417" t="s">
        <v>680</v>
      </c>
      <c r="C4265" s="83">
        <v>46074</v>
      </c>
      <c r="D4265" s="417" t="s">
        <v>684</v>
      </c>
      <c r="E4265">
        <v>1415.16005</v>
      </c>
      <c r="F4265">
        <v>25</v>
      </c>
      <c r="G4265">
        <v>56.606402000000003</v>
      </c>
      <c r="H4265">
        <v>18.186966666666699</v>
      </c>
      <c r="I4265">
        <v>80.738947906364103</v>
      </c>
    </row>
    <row r="4266" spans="1:9" x14ac:dyDescent="0.35">
      <c r="A4266" s="417" t="s">
        <v>846</v>
      </c>
      <c r="B4266" s="417" t="s">
        <v>680</v>
      </c>
      <c r="C4266" s="83">
        <v>46074</v>
      </c>
      <c r="D4266" s="417" t="s">
        <v>688</v>
      </c>
      <c r="E4266">
        <v>1401.3186333333299</v>
      </c>
      <c r="F4266">
        <v>20</v>
      </c>
      <c r="G4266">
        <v>70.0659316666667</v>
      </c>
      <c r="H4266">
        <v>6.5157166666666697</v>
      </c>
      <c r="I4266">
        <v>76.055069350572595</v>
      </c>
    </row>
    <row r="4267" spans="1:9" x14ac:dyDescent="0.35">
      <c r="A4267" s="417" t="s">
        <v>846</v>
      </c>
      <c r="B4267" s="417" t="s">
        <v>680</v>
      </c>
      <c r="C4267" s="83">
        <v>46074</v>
      </c>
      <c r="D4267" s="417" t="s">
        <v>687</v>
      </c>
      <c r="E4267">
        <v>1394.84273333333</v>
      </c>
      <c r="F4267">
        <v>16</v>
      </c>
      <c r="G4267">
        <v>87.177670833333295</v>
      </c>
      <c r="H4267">
        <v>19.478649999999998</v>
      </c>
      <c r="I4267">
        <v>45.547859863000802</v>
      </c>
    </row>
    <row r="4268" spans="1:9" x14ac:dyDescent="0.35">
      <c r="A4268" s="417" t="s">
        <v>846</v>
      </c>
      <c r="B4268" s="417" t="s">
        <v>680</v>
      </c>
      <c r="C4268" s="83">
        <v>46074</v>
      </c>
      <c r="D4268" s="417" t="s">
        <v>686</v>
      </c>
      <c r="E4268">
        <v>1440</v>
      </c>
      <c r="F4268">
        <v>1</v>
      </c>
      <c r="G4268">
        <v>1440</v>
      </c>
      <c r="H4268">
        <v>0</v>
      </c>
      <c r="I4268">
        <v>43.606150793650798</v>
      </c>
    </row>
    <row r="4269" spans="1:9" x14ac:dyDescent="0.35">
      <c r="A4269" s="417" t="s">
        <v>846</v>
      </c>
      <c r="B4269" s="417" t="s">
        <v>691</v>
      </c>
      <c r="C4269" s="83">
        <v>46074</v>
      </c>
      <c r="D4269" s="417" t="s">
        <v>305</v>
      </c>
      <c r="E4269">
        <v>1250.56585</v>
      </c>
      <c r="F4269">
        <v>167</v>
      </c>
      <c r="G4269">
        <v>7.4884182634730596</v>
      </c>
      <c r="H4269">
        <v>10.891999999999999</v>
      </c>
      <c r="I4269">
        <v>57.006675603580199</v>
      </c>
    </row>
    <row r="4270" spans="1:9" x14ac:dyDescent="0.35">
      <c r="A4270" s="417" t="s">
        <v>846</v>
      </c>
      <c r="B4270" s="417" t="s">
        <v>691</v>
      </c>
      <c r="C4270" s="83">
        <v>46074</v>
      </c>
      <c r="D4270" s="417" t="s">
        <v>309</v>
      </c>
      <c r="E4270">
        <v>1307.0765833333301</v>
      </c>
      <c r="F4270">
        <v>121</v>
      </c>
      <c r="G4270">
        <v>10.802285812672199</v>
      </c>
      <c r="H4270">
        <v>0</v>
      </c>
      <c r="I4270">
        <v>52.649733220498597</v>
      </c>
    </row>
    <row r="4271" spans="1:9" x14ac:dyDescent="0.35">
      <c r="A4271" s="417" t="s">
        <v>846</v>
      </c>
      <c r="B4271" s="417" t="s">
        <v>691</v>
      </c>
      <c r="C4271" s="83">
        <v>46074</v>
      </c>
      <c r="D4271" s="417" t="s">
        <v>301</v>
      </c>
      <c r="E4271">
        <v>1361.1710166666701</v>
      </c>
      <c r="F4271">
        <v>81</v>
      </c>
      <c r="G4271">
        <v>16.804580452674902</v>
      </c>
      <c r="H4271">
        <v>1.4363999999999999</v>
      </c>
      <c r="I4271">
        <v>68.263468351280196</v>
      </c>
    </row>
    <row r="4272" spans="1:9" x14ac:dyDescent="0.35">
      <c r="A4272" s="417" t="s">
        <v>846</v>
      </c>
      <c r="B4272" s="417" t="s">
        <v>691</v>
      </c>
      <c r="C4272" s="83">
        <v>46074</v>
      </c>
      <c r="D4272" s="417" t="s">
        <v>342</v>
      </c>
      <c r="E4272">
        <v>771.08666666666704</v>
      </c>
      <c r="F4272">
        <v>79</v>
      </c>
      <c r="G4272">
        <v>9.7605907172995803</v>
      </c>
      <c r="H4272">
        <v>118.463916666667</v>
      </c>
      <c r="I4272">
        <v>11.4980158730159</v>
      </c>
    </row>
    <row r="4273" spans="1:9" x14ac:dyDescent="0.35">
      <c r="A4273" s="417" t="s">
        <v>846</v>
      </c>
      <c r="B4273" s="417" t="s">
        <v>691</v>
      </c>
      <c r="C4273" s="83">
        <v>46074</v>
      </c>
      <c r="D4273" s="417" t="s">
        <v>295</v>
      </c>
      <c r="E4273">
        <v>1332.6197999999999</v>
      </c>
      <c r="F4273">
        <v>77</v>
      </c>
      <c r="G4273">
        <v>17.3067506493507</v>
      </c>
      <c r="H4273">
        <v>0.17615</v>
      </c>
      <c r="I4273">
        <v>80.322299865987802</v>
      </c>
    </row>
    <row r="4274" spans="1:9" x14ac:dyDescent="0.35">
      <c r="A4274" s="417" t="s">
        <v>846</v>
      </c>
      <c r="B4274" s="417" t="s">
        <v>691</v>
      </c>
      <c r="C4274" s="83">
        <v>46074</v>
      </c>
      <c r="D4274" s="417" t="s">
        <v>314</v>
      </c>
      <c r="E4274">
        <v>1361.66356666667</v>
      </c>
      <c r="F4274">
        <v>70</v>
      </c>
      <c r="G4274">
        <v>19.452336666666699</v>
      </c>
      <c r="H4274">
        <v>1.72235</v>
      </c>
      <c r="I4274">
        <v>40.3062924138409</v>
      </c>
    </row>
    <row r="4275" spans="1:9" x14ac:dyDescent="0.35">
      <c r="A4275" s="417" t="s">
        <v>846</v>
      </c>
      <c r="B4275" s="417" t="s">
        <v>691</v>
      </c>
      <c r="C4275" s="83">
        <v>46074</v>
      </c>
      <c r="D4275" s="417" t="s">
        <v>299</v>
      </c>
      <c r="E4275">
        <v>1378.21675</v>
      </c>
      <c r="F4275">
        <v>42</v>
      </c>
      <c r="G4275">
        <v>32.814684523809497</v>
      </c>
      <c r="H4275">
        <v>0.65685000000000004</v>
      </c>
      <c r="I4275">
        <v>79.213525768243201</v>
      </c>
    </row>
    <row r="4276" spans="1:9" x14ac:dyDescent="0.35">
      <c r="A4276" s="417" t="s">
        <v>846</v>
      </c>
      <c r="B4276" s="417" t="s">
        <v>691</v>
      </c>
      <c r="C4276" s="83">
        <v>46074</v>
      </c>
      <c r="D4276" s="417" t="s">
        <v>303</v>
      </c>
      <c r="E4276">
        <v>1391.3042666666699</v>
      </c>
      <c r="F4276">
        <v>33</v>
      </c>
      <c r="G4276">
        <v>42.160735353535401</v>
      </c>
      <c r="H4276">
        <v>0.20369999999999999</v>
      </c>
      <c r="I4276">
        <v>63.126050660609501</v>
      </c>
    </row>
    <row r="4277" spans="1:9" x14ac:dyDescent="0.35">
      <c r="A4277" s="417" t="s">
        <v>846</v>
      </c>
      <c r="B4277" s="417" t="s">
        <v>691</v>
      </c>
      <c r="C4277" s="83">
        <v>46074</v>
      </c>
      <c r="D4277" s="417" t="s">
        <v>310</v>
      </c>
      <c r="E4277">
        <v>1400.0097166666701</v>
      </c>
      <c r="F4277">
        <v>4</v>
      </c>
      <c r="G4277">
        <v>350.00242916666701</v>
      </c>
      <c r="H4277">
        <v>0</v>
      </c>
      <c r="I4277">
        <v>46.0954123624849</v>
      </c>
    </row>
    <row r="4278" spans="1:9" x14ac:dyDescent="0.35">
      <c r="A4278" s="417" t="s">
        <v>846</v>
      </c>
      <c r="B4278" s="417" t="s">
        <v>691</v>
      </c>
      <c r="C4278" s="83">
        <v>46074</v>
      </c>
      <c r="D4278" s="417" t="s">
        <v>313</v>
      </c>
      <c r="E4278">
        <v>1324.75708333333</v>
      </c>
      <c r="F4278">
        <v>2</v>
      </c>
      <c r="G4278">
        <v>662.37854166666705</v>
      </c>
      <c r="H4278">
        <v>0</v>
      </c>
      <c r="I4278">
        <v>49.407128917175598</v>
      </c>
    </row>
    <row r="4279" spans="1:9" x14ac:dyDescent="0.35">
      <c r="A4279" s="417" t="s">
        <v>846</v>
      </c>
      <c r="B4279" s="417" t="s">
        <v>691</v>
      </c>
      <c r="C4279" s="83">
        <v>46074</v>
      </c>
      <c r="D4279" s="417" t="s">
        <v>317</v>
      </c>
      <c r="E4279">
        <v>1401.07668333333</v>
      </c>
      <c r="F4279">
        <v>1</v>
      </c>
      <c r="G4279">
        <v>1401.07668333333</v>
      </c>
      <c r="H4279">
        <v>0</v>
      </c>
      <c r="I4279">
        <v>36.165044071285202</v>
      </c>
    </row>
    <row r="4280" spans="1:9" x14ac:dyDescent="0.35">
      <c r="A4280" s="417" t="s">
        <v>846</v>
      </c>
      <c r="B4280" s="417" t="s">
        <v>691</v>
      </c>
      <c r="C4280" s="83">
        <v>46074</v>
      </c>
      <c r="D4280" s="417" t="s">
        <v>504</v>
      </c>
      <c r="E4280">
        <v>1440</v>
      </c>
      <c r="F4280">
        <v>1</v>
      </c>
      <c r="G4280">
        <v>1440</v>
      </c>
      <c r="H4280">
        <v>0</v>
      </c>
      <c r="I4280">
        <v>36.589351851851802</v>
      </c>
    </row>
    <row r="4281" spans="1:9" x14ac:dyDescent="0.35">
      <c r="A4281" s="417" t="s">
        <v>846</v>
      </c>
      <c r="B4281" s="417" t="s">
        <v>676</v>
      </c>
      <c r="C4281" s="83">
        <v>46073</v>
      </c>
      <c r="D4281" s="417" t="s">
        <v>677</v>
      </c>
      <c r="E4281">
        <v>1320.6415999999999</v>
      </c>
      <c r="F4281">
        <v>153</v>
      </c>
      <c r="G4281">
        <v>8.63164444444444</v>
      </c>
      <c r="H4281">
        <v>107.8578</v>
      </c>
      <c r="I4281">
        <v>5.6597222222222099</v>
      </c>
    </row>
    <row r="4282" spans="1:9" x14ac:dyDescent="0.35">
      <c r="A4282" s="417" t="s">
        <v>846</v>
      </c>
      <c r="B4282" s="417" t="s">
        <v>676</v>
      </c>
      <c r="C4282" s="83">
        <v>46073</v>
      </c>
      <c r="D4282" s="417" t="s">
        <v>679</v>
      </c>
      <c r="E4282">
        <v>1404.82833333333</v>
      </c>
      <c r="F4282">
        <v>13</v>
      </c>
      <c r="G4282">
        <v>108.06371794871799</v>
      </c>
      <c r="H4282">
        <v>8.17946666666667</v>
      </c>
      <c r="I4282">
        <v>92.424118253275097</v>
      </c>
    </row>
    <row r="4283" spans="1:9" x14ac:dyDescent="0.35">
      <c r="A4283" s="417" t="s">
        <v>846</v>
      </c>
      <c r="B4283" s="417" t="s">
        <v>680</v>
      </c>
      <c r="C4283" s="83">
        <v>46073</v>
      </c>
      <c r="D4283" s="417" t="s">
        <v>689</v>
      </c>
      <c r="E4283">
        <v>1398.2000166666701</v>
      </c>
      <c r="F4283">
        <v>63</v>
      </c>
      <c r="G4283">
        <v>22.193651058201102</v>
      </c>
      <c r="H4283">
        <v>1.4908333333333299</v>
      </c>
      <c r="I4283">
        <v>80.290257267410396</v>
      </c>
    </row>
    <row r="4284" spans="1:9" x14ac:dyDescent="0.35">
      <c r="A4284" s="417" t="s">
        <v>846</v>
      </c>
      <c r="B4284" s="417" t="s">
        <v>680</v>
      </c>
      <c r="C4284" s="83">
        <v>46073</v>
      </c>
      <c r="D4284" s="417" t="s">
        <v>683</v>
      </c>
      <c r="E4284">
        <v>1359.1359666666699</v>
      </c>
      <c r="F4284">
        <v>43</v>
      </c>
      <c r="G4284">
        <v>31.607813178294599</v>
      </c>
      <c r="H4284">
        <v>20.014566666666699</v>
      </c>
      <c r="I4284">
        <v>71.623973284877493</v>
      </c>
    </row>
    <row r="4285" spans="1:9" x14ac:dyDescent="0.35">
      <c r="A4285" s="417" t="s">
        <v>846</v>
      </c>
      <c r="B4285" s="417" t="s">
        <v>680</v>
      </c>
      <c r="C4285" s="83">
        <v>46073</v>
      </c>
      <c r="D4285" s="417" t="s">
        <v>681</v>
      </c>
      <c r="E4285">
        <v>1393.8161666666699</v>
      </c>
      <c r="F4285">
        <v>41</v>
      </c>
      <c r="G4285">
        <v>33.995516260162603</v>
      </c>
      <c r="H4285">
        <v>0.66666666666666696</v>
      </c>
      <c r="I4285">
        <v>82.755405644953299</v>
      </c>
    </row>
    <row r="4286" spans="1:9" x14ac:dyDescent="0.35">
      <c r="A4286" s="417" t="s">
        <v>846</v>
      </c>
      <c r="B4286" s="417" t="s">
        <v>680</v>
      </c>
      <c r="C4286" s="83">
        <v>46073</v>
      </c>
      <c r="D4286" s="417" t="s">
        <v>684</v>
      </c>
      <c r="E4286">
        <v>1397.51518333333</v>
      </c>
      <c r="F4286">
        <v>41</v>
      </c>
      <c r="G4286">
        <v>34.085736178861801</v>
      </c>
      <c r="H4286">
        <v>34.988533333333301</v>
      </c>
      <c r="I4286">
        <v>70.098490930198196</v>
      </c>
    </row>
    <row r="4287" spans="1:9" x14ac:dyDescent="0.35">
      <c r="A4287" s="417" t="s">
        <v>846</v>
      </c>
      <c r="B4287" s="417" t="s">
        <v>680</v>
      </c>
      <c r="C4287" s="83">
        <v>46073</v>
      </c>
      <c r="D4287" s="417" t="s">
        <v>682</v>
      </c>
      <c r="E4287">
        <v>1414.5098</v>
      </c>
      <c r="F4287">
        <v>29</v>
      </c>
      <c r="G4287">
        <v>48.776200000000003</v>
      </c>
      <c r="H4287">
        <v>25.490200000000002</v>
      </c>
      <c r="I4287">
        <v>68.878968253968296</v>
      </c>
    </row>
    <row r="4288" spans="1:9" x14ac:dyDescent="0.35">
      <c r="A4288" s="417" t="s">
        <v>846</v>
      </c>
      <c r="B4288" s="417" t="s">
        <v>680</v>
      </c>
      <c r="C4288" s="83">
        <v>46073</v>
      </c>
      <c r="D4288" s="417" t="s">
        <v>685</v>
      </c>
      <c r="E4288">
        <v>1404.31385</v>
      </c>
      <c r="F4288">
        <v>24</v>
      </c>
      <c r="G4288">
        <v>58.5130770833333</v>
      </c>
      <c r="H4288">
        <v>13.851933333333299</v>
      </c>
      <c r="I4288">
        <v>77.292493973468396</v>
      </c>
    </row>
    <row r="4289" spans="1:9" x14ac:dyDescent="0.35">
      <c r="A4289" s="417" t="s">
        <v>846</v>
      </c>
      <c r="B4289" s="417" t="s">
        <v>680</v>
      </c>
      <c r="C4289" s="83">
        <v>46073</v>
      </c>
      <c r="D4289" s="417" t="s">
        <v>688</v>
      </c>
      <c r="E4289">
        <v>1413.46528333333</v>
      </c>
      <c r="F4289">
        <v>23</v>
      </c>
      <c r="G4289">
        <v>61.455012318840602</v>
      </c>
      <c r="H4289">
        <v>9.1688666666666592</v>
      </c>
      <c r="I4289">
        <v>80.789241773892499</v>
      </c>
    </row>
    <row r="4290" spans="1:9" x14ac:dyDescent="0.35">
      <c r="A4290" s="417" t="s">
        <v>846</v>
      </c>
      <c r="B4290" s="417" t="s">
        <v>680</v>
      </c>
      <c r="C4290" s="83">
        <v>46073</v>
      </c>
      <c r="D4290" s="417" t="s">
        <v>690</v>
      </c>
      <c r="E4290">
        <v>1381.6593166666701</v>
      </c>
      <c r="F4290">
        <v>21</v>
      </c>
      <c r="G4290">
        <v>65.793300793650801</v>
      </c>
      <c r="H4290">
        <v>15.6534833333333</v>
      </c>
      <c r="I4290">
        <v>72.359384746916305</v>
      </c>
    </row>
    <row r="4291" spans="1:9" x14ac:dyDescent="0.35">
      <c r="A4291" s="417" t="s">
        <v>846</v>
      </c>
      <c r="B4291" s="417" t="s">
        <v>680</v>
      </c>
      <c r="C4291" s="83">
        <v>46073</v>
      </c>
      <c r="D4291" s="417" t="s">
        <v>687</v>
      </c>
      <c r="E4291">
        <v>1398.3279666666699</v>
      </c>
      <c r="F4291">
        <v>18</v>
      </c>
      <c r="G4291">
        <v>77.684887037037001</v>
      </c>
      <c r="H4291">
        <v>26.803633333333298</v>
      </c>
      <c r="I4291">
        <v>35.919823959047797</v>
      </c>
    </row>
    <row r="4292" spans="1:9" x14ac:dyDescent="0.35">
      <c r="A4292" s="417" t="s">
        <v>846</v>
      </c>
      <c r="B4292" s="417" t="s">
        <v>680</v>
      </c>
      <c r="C4292" s="83">
        <v>46073</v>
      </c>
      <c r="D4292" s="417" t="s">
        <v>686</v>
      </c>
      <c r="E4292">
        <v>1440</v>
      </c>
      <c r="F4292">
        <v>1</v>
      </c>
      <c r="G4292">
        <v>1440</v>
      </c>
      <c r="H4292">
        <v>0</v>
      </c>
      <c r="I4292">
        <v>33.338293650793602</v>
      </c>
    </row>
    <row r="4293" spans="1:9" x14ac:dyDescent="0.35">
      <c r="A4293" s="417" t="s">
        <v>846</v>
      </c>
      <c r="B4293" s="417" t="s">
        <v>691</v>
      </c>
      <c r="C4293" s="83">
        <v>46073</v>
      </c>
      <c r="D4293" s="417" t="s">
        <v>305</v>
      </c>
      <c r="E4293">
        <v>1282.36565</v>
      </c>
      <c r="F4293">
        <v>175</v>
      </c>
      <c r="G4293">
        <v>7.3278037142857197</v>
      </c>
      <c r="H4293">
        <v>11.538</v>
      </c>
      <c r="I4293">
        <v>57.112196493801598</v>
      </c>
    </row>
    <row r="4294" spans="1:9" x14ac:dyDescent="0.35">
      <c r="A4294" s="417" t="s">
        <v>846</v>
      </c>
      <c r="B4294" s="417" t="s">
        <v>691</v>
      </c>
      <c r="C4294" s="83">
        <v>46073</v>
      </c>
      <c r="D4294" s="417" t="s">
        <v>342</v>
      </c>
      <c r="E4294">
        <v>964.51379999999995</v>
      </c>
      <c r="F4294">
        <v>92</v>
      </c>
      <c r="G4294">
        <v>10.483845652173899</v>
      </c>
      <c r="H4294">
        <v>159.68385000000001</v>
      </c>
      <c r="I4294">
        <v>28.343253968254</v>
      </c>
    </row>
    <row r="4295" spans="1:9" x14ac:dyDescent="0.35">
      <c r="A4295" s="417" t="s">
        <v>846</v>
      </c>
      <c r="B4295" s="417" t="s">
        <v>691</v>
      </c>
      <c r="C4295" s="83">
        <v>46073</v>
      </c>
      <c r="D4295" s="417" t="s">
        <v>309</v>
      </c>
      <c r="E4295">
        <v>1324.4894999999999</v>
      </c>
      <c r="F4295">
        <v>87</v>
      </c>
      <c r="G4295">
        <v>15.2240172413793</v>
      </c>
      <c r="H4295">
        <v>0</v>
      </c>
      <c r="I4295">
        <v>51.1273905339945</v>
      </c>
    </row>
    <row r="4296" spans="1:9" x14ac:dyDescent="0.35">
      <c r="A4296" s="417" t="s">
        <v>846</v>
      </c>
      <c r="B4296" s="417" t="s">
        <v>691</v>
      </c>
      <c r="C4296" s="83">
        <v>46073</v>
      </c>
      <c r="D4296" s="417" t="s">
        <v>301</v>
      </c>
      <c r="E4296">
        <v>1373.70225</v>
      </c>
      <c r="F4296">
        <v>74</v>
      </c>
      <c r="G4296">
        <v>18.563543918918899</v>
      </c>
      <c r="H4296">
        <v>1.6661999999999999</v>
      </c>
      <c r="I4296">
        <v>72.345113730654802</v>
      </c>
    </row>
    <row r="4297" spans="1:9" x14ac:dyDescent="0.35">
      <c r="A4297" s="417" t="s">
        <v>846</v>
      </c>
      <c r="B4297" s="417" t="s">
        <v>691</v>
      </c>
      <c r="C4297" s="83">
        <v>46073</v>
      </c>
      <c r="D4297" s="417" t="s">
        <v>314</v>
      </c>
      <c r="E4297">
        <v>1378.3174166666699</v>
      </c>
      <c r="F4297">
        <v>51</v>
      </c>
      <c r="G4297">
        <v>27.025831699346401</v>
      </c>
      <c r="H4297">
        <v>1.3775500000000001</v>
      </c>
      <c r="I4297">
        <v>43.030332606179797</v>
      </c>
    </row>
    <row r="4298" spans="1:9" x14ac:dyDescent="0.35">
      <c r="A4298" s="417" t="s">
        <v>846</v>
      </c>
      <c r="B4298" s="417" t="s">
        <v>691</v>
      </c>
      <c r="C4298" s="83">
        <v>46073</v>
      </c>
      <c r="D4298" s="417" t="s">
        <v>295</v>
      </c>
      <c r="E4298">
        <v>1373.0329999999999</v>
      </c>
      <c r="F4298">
        <v>50</v>
      </c>
      <c r="G4298">
        <v>27.460660000000001</v>
      </c>
      <c r="H4298">
        <v>0.10995000000000001</v>
      </c>
      <c r="I4298">
        <v>76.964698892501104</v>
      </c>
    </row>
    <row r="4299" spans="1:9" x14ac:dyDescent="0.35">
      <c r="A4299" s="417" t="s">
        <v>846</v>
      </c>
      <c r="B4299" s="417" t="s">
        <v>691</v>
      </c>
      <c r="C4299" s="83">
        <v>46073</v>
      </c>
      <c r="D4299" s="417" t="s">
        <v>299</v>
      </c>
      <c r="E4299">
        <v>1381.57465</v>
      </c>
      <c r="F4299">
        <v>47</v>
      </c>
      <c r="G4299">
        <v>29.3952053191489</v>
      </c>
      <c r="H4299">
        <v>0.32496666666666701</v>
      </c>
      <c r="I4299">
        <v>83.749318456478704</v>
      </c>
    </row>
    <row r="4300" spans="1:9" x14ac:dyDescent="0.35">
      <c r="A4300" s="417" t="s">
        <v>846</v>
      </c>
      <c r="B4300" s="417" t="s">
        <v>691</v>
      </c>
      <c r="C4300" s="83">
        <v>46073</v>
      </c>
      <c r="D4300" s="417" t="s">
        <v>303</v>
      </c>
      <c r="E4300">
        <v>1379.4522666666701</v>
      </c>
      <c r="F4300">
        <v>35</v>
      </c>
      <c r="G4300">
        <v>39.412921904761902</v>
      </c>
      <c r="H4300">
        <v>0.26771666666666699</v>
      </c>
      <c r="I4300">
        <v>66.611410438304503</v>
      </c>
    </row>
    <row r="4301" spans="1:9" x14ac:dyDescent="0.35">
      <c r="A4301" s="417" t="s">
        <v>846</v>
      </c>
      <c r="B4301" s="417" t="s">
        <v>691</v>
      </c>
      <c r="C4301" s="83">
        <v>46073</v>
      </c>
      <c r="D4301" s="417" t="s">
        <v>310</v>
      </c>
      <c r="E4301">
        <v>1281.92468333333</v>
      </c>
      <c r="F4301">
        <v>18</v>
      </c>
      <c r="G4301">
        <v>71.218037962962995</v>
      </c>
      <c r="H4301">
        <v>2.22576666666667</v>
      </c>
      <c r="I4301">
        <v>42.349098675870003</v>
      </c>
    </row>
    <row r="4302" spans="1:9" x14ac:dyDescent="0.35">
      <c r="A4302" s="417" t="s">
        <v>846</v>
      </c>
      <c r="B4302" s="417" t="s">
        <v>691</v>
      </c>
      <c r="C4302" s="83">
        <v>46073</v>
      </c>
      <c r="D4302" s="417" t="s">
        <v>317</v>
      </c>
      <c r="E4302">
        <v>1436.2547666666701</v>
      </c>
      <c r="F4302">
        <v>5</v>
      </c>
      <c r="G4302">
        <v>287.25095333333297</v>
      </c>
      <c r="H4302">
        <v>2.2703833333333301</v>
      </c>
      <c r="I4302">
        <v>38.233603354102002</v>
      </c>
    </row>
    <row r="4303" spans="1:9" x14ac:dyDescent="0.35">
      <c r="A4303" s="417" t="s">
        <v>846</v>
      </c>
      <c r="B4303" s="417" t="s">
        <v>691</v>
      </c>
      <c r="C4303" s="83">
        <v>46073</v>
      </c>
      <c r="D4303" s="417" t="s">
        <v>313</v>
      </c>
      <c r="E4303">
        <v>1347.5019666666699</v>
      </c>
      <c r="F4303">
        <v>3</v>
      </c>
      <c r="G4303">
        <v>449.16732222222203</v>
      </c>
      <c r="H4303">
        <v>0</v>
      </c>
      <c r="I4303">
        <v>50.634461095781603</v>
      </c>
    </row>
    <row r="4304" spans="1:9" x14ac:dyDescent="0.35">
      <c r="A4304" s="417" t="s">
        <v>846</v>
      </c>
      <c r="B4304" s="417" t="s">
        <v>691</v>
      </c>
      <c r="C4304" s="83">
        <v>46073</v>
      </c>
      <c r="D4304" s="417" t="s">
        <v>504</v>
      </c>
      <c r="E4304">
        <v>1440</v>
      </c>
      <c r="F4304">
        <v>1</v>
      </c>
      <c r="G4304">
        <v>1440</v>
      </c>
      <c r="H4304">
        <v>0</v>
      </c>
      <c r="I4304">
        <v>41.961882716049402</v>
      </c>
    </row>
    <row r="4305" spans="1:9" x14ac:dyDescent="0.35">
      <c r="A4305" s="417" t="s">
        <v>846</v>
      </c>
      <c r="B4305" s="417" t="s">
        <v>676</v>
      </c>
      <c r="C4305" s="83">
        <v>46072</v>
      </c>
      <c r="D4305" s="417" t="s">
        <v>677</v>
      </c>
      <c r="E4305">
        <v>971.15446666666696</v>
      </c>
      <c r="F4305">
        <v>235</v>
      </c>
      <c r="G4305">
        <v>4.1325721985815598</v>
      </c>
      <c r="H4305">
        <v>150.4956</v>
      </c>
      <c r="I4305">
        <v>2.8816666666666801</v>
      </c>
    </row>
    <row r="4306" spans="1:9" x14ac:dyDescent="0.35">
      <c r="A4306" s="417" t="s">
        <v>846</v>
      </c>
      <c r="B4306" s="417" t="s">
        <v>676</v>
      </c>
      <c r="C4306" s="83">
        <v>46072</v>
      </c>
      <c r="D4306" s="417" t="s">
        <v>679</v>
      </c>
      <c r="E4306">
        <v>1086.5729833333301</v>
      </c>
      <c r="F4306">
        <v>45</v>
      </c>
      <c r="G4306">
        <v>24.146066296296301</v>
      </c>
      <c r="H4306">
        <v>48.665799999999997</v>
      </c>
      <c r="I4306">
        <v>55.746116620647797</v>
      </c>
    </row>
    <row r="4307" spans="1:9" x14ac:dyDescent="0.35">
      <c r="A4307" s="417" t="s">
        <v>846</v>
      </c>
      <c r="B4307" s="417" t="s">
        <v>680</v>
      </c>
      <c r="C4307" s="83">
        <v>46072</v>
      </c>
      <c r="D4307" s="417" t="s">
        <v>689</v>
      </c>
      <c r="E4307">
        <v>1354.3368166666701</v>
      </c>
      <c r="F4307">
        <v>85</v>
      </c>
      <c r="G4307">
        <v>15.9333743137255</v>
      </c>
      <c r="H4307">
        <v>1.6746000000000001</v>
      </c>
      <c r="I4307">
        <v>70.446287492135198</v>
      </c>
    </row>
    <row r="4308" spans="1:9" x14ac:dyDescent="0.35">
      <c r="A4308" s="417" t="s">
        <v>846</v>
      </c>
      <c r="B4308" s="417" t="s">
        <v>680</v>
      </c>
      <c r="C4308" s="83">
        <v>46072</v>
      </c>
      <c r="D4308" s="417" t="s">
        <v>683</v>
      </c>
      <c r="E4308">
        <v>1373.6732833333299</v>
      </c>
      <c r="F4308">
        <v>62</v>
      </c>
      <c r="G4308">
        <v>22.156020698924699</v>
      </c>
      <c r="H4308">
        <v>2.1829499999999999</v>
      </c>
      <c r="I4308">
        <v>68.668150286031207</v>
      </c>
    </row>
    <row r="4309" spans="1:9" x14ac:dyDescent="0.35">
      <c r="A4309" s="417" t="s">
        <v>846</v>
      </c>
      <c r="B4309" s="417" t="s">
        <v>680</v>
      </c>
      <c r="C4309" s="83">
        <v>46072</v>
      </c>
      <c r="D4309" s="417" t="s">
        <v>682</v>
      </c>
      <c r="E4309">
        <v>1317.4213666666701</v>
      </c>
      <c r="F4309">
        <v>45</v>
      </c>
      <c r="G4309">
        <v>29.2760303703704</v>
      </c>
      <c r="H4309">
        <v>40.573616666666702</v>
      </c>
      <c r="I4309">
        <v>64.856150793650798</v>
      </c>
    </row>
    <row r="4310" spans="1:9" x14ac:dyDescent="0.35">
      <c r="A4310" s="417" t="s">
        <v>846</v>
      </c>
      <c r="B4310" s="417" t="s">
        <v>680</v>
      </c>
      <c r="C4310" s="83">
        <v>46072</v>
      </c>
      <c r="D4310" s="417" t="s">
        <v>684</v>
      </c>
      <c r="E4310">
        <v>1324.18863333333</v>
      </c>
      <c r="F4310">
        <v>41</v>
      </c>
      <c r="G4310">
        <v>32.297283739837397</v>
      </c>
      <c r="H4310">
        <v>13.465350000000001</v>
      </c>
      <c r="I4310">
        <v>66.288681766741007</v>
      </c>
    </row>
    <row r="4311" spans="1:9" x14ac:dyDescent="0.35">
      <c r="A4311" s="417" t="s">
        <v>846</v>
      </c>
      <c r="B4311" s="417" t="s">
        <v>680</v>
      </c>
      <c r="C4311" s="83">
        <v>46072</v>
      </c>
      <c r="D4311" s="417" t="s">
        <v>681</v>
      </c>
      <c r="E4311">
        <v>1397.16365</v>
      </c>
      <c r="F4311">
        <v>40</v>
      </c>
      <c r="G4311">
        <v>34.929091249999999</v>
      </c>
      <c r="H4311">
        <v>0</v>
      </c>
      <c r="I4311">
        <v>76.177754920702796</v>
      </c>
    </row>
    <row r="4312" spans="1:9" x14ac:dyDescent="0.35">
      <c r="A4312" s="417" t="s">
        <v>846</v>
      </c>
      <c r="B4312" s="417" t="s">
        <v>680</v>
      </c>
      <c r="C4312" s="83">
        <v>46072</v>
      </c>
      <c r="D4312" s="417" t="s">
        <v>690</v>
      </c>
      <c r="E4312">
        <v>1360.89615</v>
      </c>
      <c r="F4312">
        <v>31</v>
      </c>
      <c r="G4312">
        <v>43.899875806451597</v>
      </c>
      <c r="H4312">
        <v>20.6490333333333</v>
      </c>
      <c r="I4312">
        <v>64.500461426774095</v>
      </c>
    </row>
    <row r="4313" spans="1:9" x14ac:dyDescent="0.35">
      <c r="A4313" s="417" t="s">
        <v>846</v>
      </c>
      <c r="B4313" s="417" t="s">
        <v>680</v>
      </c>
      <c r="C4313" s="83">
        <v>46072</v>
      </c>
      <c r="D4313" s="417" t="s">
        <v>687</v>
      </c>
      <c r="E4313">
        <v>1376.1933166666699</v>
      </c>
      <c r="F4313">
        <v>26</v>
      </c>
      <c r="G4313">
        <v>52.930512179487202</v>
      </c>
      <c r="H4313">
        <v>37.159683333333298</v>
      </c>
      <c r="I4313">
        <v>38.117075916549901</v>
      </c>
    </row>
    <row r="4314" spans="1:9" x14ac:dyDescent="0.35">
      <c r="A4314" s="417" t="s">
        <v>846</v>
      </c>
      <c r="B4314" s="417" t="s">
        <v>680</v>
      </c>
      <c r="C4314" s="83">
        <v>46072</v>
      </c>
      <c r="D4314" s="417" t="s">
        <v>688</v>
      </c>
      <c r="E4314">
        <v>1396.1788166666699</v>
      </c>
      <c r="F4314">
        <v>14</v>
      </c>
      <c r="G4314">
        <v>99.727058333333304</v>
      </c>
      <c r="H4314">
        <v>3.6640999999999999</v>
      </c>
      <c r="I4314">
        <v>74.956043318222498</v>
      </c>
    </row>
    <row r="4315" spans="1:9" x14ac:dyDescent="0.35">
      <c r="A4315" s="417" t="s">
        <v>846</v>
      </c>
      <c r="B4315" s="417" t="s">
        <v>680</v>
      </c>
      <c r="C4315" s="83">
        <v>46072</v>
      </c>
      <c r="D4315" s="417" t="s">
        <v>685</v>
      </c>
      <c r="E4315">
        <v>1425.1885</v>
      </c>
      <c r="F4315">
        <v>8</v>
      </c>
      <c r="G4315">
        <v>178.1485625</v>
      </c>
      <c r="H4315">
        <v>4.9855833333333299</v>
      </c>
      <c r="I4315">
        <v>67.911086657608493</v>
      </c>
    </row>
    <row r="4316" spans="1:9" x14ac:dyDescent="0.35">
      <c r="A4316" s="417" t="s">
        <v>846</v>
      </c>
      <c r="B4316" s="417" t="s">
        <v>680</v>
      </c>
      <c r="C4316" s="83">
        <v>46072</v>
      </c>
      <c r="D4316" s="417" t="s">
        <v>686</v>
      </c>
      <c r="E4316">
        <v>1440</v>
      </c>
      <c r="F4316">
        <v>1</v>
      </c>
      <c r="G4316">
        <v>1440</v>
      </c>
      <c r="H4316">
        <v>0</v>
      </c>
      <c r="I4316">
        <v>34.3402777777778</v>
      </c>
    </row>
    <row r="4317" spans="1:9" x14ac:dyDescent="0.35">
      <c r="A4317" s="417" t="s">
        <v>846</v>
      </c>
      <c r="B4317" s="417" t="s">
        <v>691</v>
      </c>
      <c r="C4317" s="83">
        <v>46072</v>
      </c>
      <c r="D4317" s="417" t="s">
        <v>305</v>
      </c>
      <c r="E4317">
        <v>1325.9166666666699</v>
      </c>
      <c r="F4317">
        <v>126</v>
      </c>
      <c r="G4317">
        <v>10.523148148148101</v>
      </c>
      <c r="H4317">
        <v>8.38981666666667</v>
      </c>
      <c r="I4317">
        <v>58.0977734089576</v>
      </c>
    </row>
    <row r="4318" spans="1:9" x14ac:dyDescent="0.35">
      <c r="A4318" s="417" t="s">
        <v>846</v>
      </c>
      <c r="B4318" s="417" t="s">
        <v>691</v>
      </c>
      <c r="C4318" s="83">
        <v>46072</v>
      </c>
      <c r="D4318" s="417" t="s">
        <v>342</v>
      </c>
      <c r="E4318">
        <v>903.7627</v>
      </c>
      <c r="F4318">
        <v>119</v>
      </c>
      <c r="G4318">
        <v>7.5946445378151299</v>
      </c>
      <c r="H4318">
        <v>243.82066666666699</v>
      </c>
      <c r="I4318">
        <v>34.9305555555556</v>
      </c>
    </row>
    <row r="4319" spans="1:9" x14ac:dyDescent="0.35">
      <c r="A4319" s="417" t="s">
        <v>846</v>
      </c>
      <c r="B4319" s="417" t="s">
        <v>691</v>
      </c>
      <c r="C4319" s="83">
        <v>46072</v>
      </c>
      <c r="D4319" s="417" t="s">
        <v>309</v>
      </c>
      <c r="E4319">
        <v>1308.3580833333299</v>
      </c>
      <c r="F4319">
        <v>110</v>
      </c>
      <c r="G4319">
        <v>11.8941643939394</v>
      </c>
      <c r="H4319">
        <v>0.16591666666666699</v>
      </c>
      <c r="I4319">
        <v>51.331129518397397</v>
      </c>
    </row>
    <row r="4320" spans="1:9" x14ac:dyDescent="0.35">
      <c r="A4320" s="417" t="s">
        <v>846</v>
      </c>
      <c r="B4320" s="417" t="s">
        <v>691</v>
      </c>
      <c r="C4320" s="83">
        <v>46072</v>
      </c>
      <c r="D4320" s="417" t="s">
        <v>301</v>
      </c>
      <c r="E4320">
        <v>1304.8507</v>
      </c>
      <c r="F4320">
        <v>58</v>
      </c>
      <c r="G4320">
        <v>22.497425862069001</v>
      </c>
      <c r="H4320">
        <v>5.1891999999999996</v>
      </c>
      <c r="I4320">
        <v>55.939102610117402</v>
      </c>
    </row>
    <row r="4321" spans="1:9" x14ac:dyDescent="0.35">
      <c r="A4321" s="417" t="s">
        <v>846</v>
      </c>
      <c r="B4321" s="417" t="s">
        <v>691</v>
      </c>
      <c r="C4321" s="83">
        <v>46072</v>
      </c>
      <c r="D4321" s="417" t="s">
        <v>295</v>
      </c>
      <c r="E4321">
        <v>1381.89241666667</v>
      </c>
      <c r="F4321">
        <v>51</v>
      </c>
      <c r="G4321">
        <v>27.095929738562099</v>
      </c>
      <c r="H4321">
        <v>0.76186666666666703</v>
      </c>
      <c r="I4321">
        <v>78.640057374338497</v>
      </c>
    </row>
    <row r="4322" spans="1:9" x14ac:dyDescent="0.35">
      <c r="A4322" s="417" t="s">
        <v>846</v>
      </c>
      <c r="B4322" s="417" t="s">
        <v>691</v>
      </c>
      <c r="C4322" s="83">
        <v>46072</v>
      </c>
      <c r="D4322" s="417" t="s">
        <v>314</v>
      </c>
      <c r="E4322">
        <v>1373.0173500000001</v>
      </c>
      <c r="F4322">
        <v>48</v>
      </c>
      <c r="G4322">
        <v>28.604528125000002</v>
      </c>
      <c r="H4322">
        <v>2.2222</v>
      </c>
      <c r="I4322">
        <v>37.9138360863546</v>
      </c>
    </row>
    <row r="4323" spans="1:9" x14ac:dyDescent="0.35">
      <c r="A4323" s="417" t="s">
        <v>846</v>
      </c>
      <c r="B4323" s="417" t="s">
        <v>691</v>
      </c>
      <c r="C4323" s="83">
        <v>46072</v>
      </c>
      <c r="D4323" s="417" t="s">
        <v>310</v>
      </c>
      <c r="E4323">
        <v>1263.8465333333299</v>
      </c>
      <c r="F4323">
        <v>42</v>
      </c>
      <c r="G4323">
        <v>30.091584126984099</v>
      </c>
      <c r="H4323">
        <v>6.8762333333333299</v>
      </c>
      <c r="I4323">
        <v>58.259866449634302</v>
      </c>
    </row>
    <row r="4324" spans="1:9" x14ac:dyDescent="0.35">
      <c r="A4324" s="417" t="s">
        <v>846</v>
      </c>
      <c r="B4324" s="417" t="s">
        <v>691</v>
      </c>
      <c r="C4324" s="83">
        <v>46072</v>
      </c>
      <c r="D4324" s="417" t="s">
        <v>299</v>
      </c>
      <c r="E4324">
        <v>1384.4758999999999</v>
      </c>
      <c r="F4324">
        <v>34</v>
      </c>
      <c r="G4324">
        <v>40.719879411764701</v>
      </c>
      <c r="H4324">
        <v>1.0137499999999999</v>
      </c>
      <c r="I4324">
        <v>88.520741649257303</v>
      </c>
    </row>
    <row r="4325" spans="1:9" x14ac:dyDescent="0.35">
      <c r="A4325" s="417" t="s">
        <v>846</v>
      </c>
      <c r="B4325" s="417" t="s">
        <v>691</v>
      </c>
      <c r="C4325" s="83">
        <v>46072</v>
      </c>
      <c r="D4325" s="417" t="s">
        <v>303</v>
      </c>
      <c r="E4325">
        <v>1395.3764000000001</v>
      </c>
      <c r="F4325">
        <v>28</v>
      </c>
      <c r="G4325">
        <v>49.834871428571397</v>
      </c>
      <c r="H4325">
        <v>0.184266666666667</v>
      </c>
      <c r="I4325">
        <v>60.461872381938697</v>
      </c>
    </row>
    <row r="4326" spans="1:9" x14ac:dyDescent="0.35">
      <c r="A4326" s="417" t="s">
        <v>846</v>
      </c>
      <c r="B4326" s="417" t="s">
        <v>691</v>
      </c>
      <c r="C4326" s="83">
        <v>46072</v>
      </c>
      <c r="D4326" s="417" t="s">
        <v>313</v>
      </c>
      <c r="E4326">
        <v>1324.43761666667</v>
      </c>
      <c r="F4326">
        <v>13</v>
      </c>
      <c r="G4326">
        <v>101.879816666667</v>
      </c>
      <c r="H4326">
        <v>3.5666666666666701E-2</v>
      </c>
      <c r="I4326">
        <v>65.603470700319406</v>
      </c>
    </row>
    <row r="4327" spans="1:9" x14ac:dyDescent="0.35">
      <c r="A4327" s="417" t="s">
        <v>846</v>
      </c>
      <c r="B4327" s="417" t="s">
        <v>691</v>
      </c>
      <c r="C4327" s="83">
        <v>46072</v>
      </c>
      <c r="D4327" s="417" t="s">
        <v>317</v>
      </c>
      <c r="E4327">
        <v>1411.33296666667</v>
      </c>
      <c r="F4327">
        <v>9</v>
      </c>
      <c r="G4327">
        <v>156.81477407407399</v>
      </c>
      <c r="H4327">
        <v>19.110033333333298</v>
      </c>
      <c r="I4327">
        <v>41.812221808209102</v>
      </c>
    </row>
    <row r="4328" spans="1:9" x14ac:dyDescent="0.35">
      <c r="A4328" s="417" t="s">
        <v>846</v>
      </c>
      <c r="B4328" s="417" t="s">
        <v>691</v>
      </c>
      <c r="C4328" s="83">
        <v>46072</v>
      </c>
      <c r="D4328" s="417" t="s">
        <v>504</v>
      </c>
      <c r="E4328">
        <v>1440</v>
      </c>
      <c r="F4328">
        <v>1</v>
      </c>
      <c r="G4328">
        <v>1440</v>
      </c>
      <c r="H4328">
        <v>0</v>
      </c>
      <c r="I4328">
        <v>39.6135802469136</v>
      </c>
    </row>
    <row r="4329" spans="1:9" x14ac:dyDescent="0.35">
      <c r="A4329" s="417" t="s">
        <v>846</v>
      </c>
      <c r="B4329" s="417" t="s">
        <v>676</v>
      </c>
      <c r="C4329" s="83">
        <v>46071</v>
      </c>
      <c r="D4329" s="417" t="s">
        <v>677</v>
      </c>
      <c r="E4329">
        <v>1170.3614333333301</v>
      </c>
      <c r="F4329">
        <v>386</v>
      </c>
      <c r="G4329">
        <v>3.0320244386873898</v>
      </c>
      <c r="H4329">
        <v>182.96453333333301</v>
      </c>
      <c r="I4329">
        <v>0.28749999999997</v>
      </c>
    </row>
    <row r="4330" spans="1:9" x14ac:dyDescent="0.35">
      <c r="A4330" s="417" t="s">
        <v>846</v>
      </c>
      <c r="B4330" s="417" t="s">
        <v>676</v>
      </c>
      <c r="C4330" s="83">
        <v>46071</v>
      </c>
      <c r="D4330" s="417" t="s">
        <v>679</v>
      </c>
      <c r="E4330">
        <v>1214.7874833333301</v>
      </c>
      <c r="F4330">
        <v>17</v>
      </c>
      <c r="G4330">
        <v>71.458087254901997</v>
      </c>
      <c r="H4330">
        <v>15.8328166666667</v>
      </c>
      <c r="I4330">
        <v>62.984679913925</v>
      </c>
    </row>
    <row r="4331" spans="1:9" x14ac:dyDescent="0.35">
      <c r="A4331" s="417" t="s">
        <v>846</v>
      </c>
      <c r="B4331" s="417" t="s">
        <v>680</v>
      </c>
      <c r="C4331" s="83">
        <v>46071</v>
      </c>
      <c r="D4331" s="417" t="s">
        <v>682</v>
      </c>
      <c r="E4331">
        <v>1378.61421666667</v>
      </c>
      <c r="F4331">
        <v>52</v>
      </c>
      <c r="G4331">
        <v>26.511811858974401</v>
      </c>
      <c r="H4331">
        <v>61.385783333333301</v>
      </c>
      <c r="I4331">
        <v>57.356150793650798</v>
      </c>
    </row>
    <row r="4332" spans="1:9" x14ac:dyDescent="0.35">
      <c r="A4332" s="417" t="s">
        <v>846</v>
      </c>
      <c r="B4332" s="417" t="s">
        <v>680</v>
      </c>
      <c r="C4332" s="83">
        <v>46071</v>
      </c>
      <c r="D4332" s="417" t="s">
        <v>687</v>
      </c>
      <c r="E4332">
        <v>1349.2271000000001</v>
      </c>
      <c r="F4332">
        <v>49</v>
      </c>
      <c r="G4332">
        <v>27.535246938775501</v>
      </c>
      <c r="H4332">
        <v>70.763800000000003</v>
      </c>
      <c r="I4332">
        <v>43.600771253321703</v>
      </c>
    </row>
    <row r="4333" spans="1:9" x14ac:dyDescent="0.35">
      <c r="A4333" s="417" t="s">
        <v>846</v>
      </c>
      <c r="B4333" s="417" t="s">
        <v>680</v>
      </c>
      <c r="C4333" s="83">
        <v>46071</v>
      </c>
      <c r="D4333" s="417" t="s">
        <v>690</v>
      </c>
      <c r="E4333">
        <v>1319.52283333333</v>
      </c>
      <c r="F4333">
        <v>40</v>
      </c>
      <c r="G4333">
        <v>32.988070833333303</v>
      </c>
      <c r="H4333">
        <v>18.8158833333333</v>
      </c>
      <c r="I4333">
        <v>72.639480100583299</v>
      </c>
    </row>
    <row r="4334" spans="1:9" x14ac:dyDescent="0.35">
      <c r="A4334" s="417" t="s">
        <v>846</v>
      </c>
      <c r="B4334" s="417" t="s">
        <v>680</v>
      </c>
      <c r="C4334" s="83">
        <v>46071</v>
      </c>
      <c r="D4334" s="417" t="s">
        <v>683</v>
      </c>
      <c r="E4334">
        <v>1381.8344666666701</v>
      </c>
      <c r="F4334">
        <v>39</v>
      </c>
      <c r="G4334">
        <v>35.431652991452999</v>
      </c>
      <c r="H4334">
        <v>5.1689333333333298</v>
      </c>
      <c r="I4334">
        <v>72.721123711291099</v>
      </c>
    </row>
    <row r="4335" spans="1:9" x14ac:dyDescent="0.35">
      <c r="A4335" s="417" t="s">
        <v>846</v>
      </c>
      <c r="B4335" s="417" t="s">
        <v>680</v>
      </c>
      <c r="C4335" s="83">
        <v>46071</v>
      </c>
      <c r="D4335" s="417" t="s">
        <v>681</v>
      </c>
      <c r="E4335">
        <v>1404.4809333333301</v>
      </c>
      <c r="F4335">
        <v>31</v>
      </c>
      <c r="G4335">
        <v>45.305836559139799</v>
      </c>
      <c r="H4335">
        <v>2.5008333333333299</v>
      </c>
      <c r="I4335">
        <v>82.194823154519199</v>
      </c>
    </row>
    <row r="4336" spans="1:9" x14ac:dyDescent="0.35">
      <c r="A4336" s="417" t="s">
        <v>846</v>
      </c>
      <c r="B4336" s="417" t="s">
        <v>680</v>
      </c>
      <c r="C4336" s="83">
        <v>46071</v>
      </c>
      <c r="D4336" s="417" t="s">
        <v>684</v>
      </c>
      <c r="E4336">
        <v>1420.5056</v>
      </c>
      <c r="F4336">
        <v>27</v>
      </c>
      <c r="G4336">
        <v>52.611318518518502</v>
      </c>
      <c r="H4336">
        <v>15.4866833333333</v>
      </c>
      <c r="I4336">
        <v>65.662526340180406</v>
      </c>
    </row>
    <row r="4337" spans="1:9" x14ac:dyDescent="0.35">
      <c r="A4337" s="417" t="s">
        <v>846</v>
      </c>
      <c r="B4337" s="417" t="s">
        <v>680</v>
      </c>
      <c r="C4337" s="83">
        <v>46071</v>
      </c>
      <c r="D4337" s="417" t="s">
        <v>689</v>
      </c>
      <c r="E4337">
        <v>1412.83316666667</v>
      </c>
      <c r="F4337">
        <v>25</v>
      </c>
      <c r="G4337">
        <v>56.5133266666667</v>
      </c>
      <c r="H4337">
        <v>0</v>
      </c>
      <c r="I4337">
        <v>69.323818799060405</v>
      </c>
    </row>
    <row r="4338" spans="1:9" x14ac:dyDescent="0.35">
      <c r="A4338" s="417" t="s">
        <v>846</v>
      </c>
      <c r="B4338" s="417" t="s">
        <v>680</v>
      </c>
      <c r="C4338" s="83">
        <v>46071</v>
      </c>
      <c r="D4338" s="417" t="s">
        <v>688</v>
      </c>
      <c r="E4338">
        <v>1309.88646666667</v>
      </c>
      <c r="F4338">
        <v>24</v>
      </c>
      <c r="G4338">
        <v>54.578602777777803</v>
      </c>
      <c r="H4338">
        <v>12.468500000000001</v>
      </c>
      <c r="I4338">
        <v>82.022434439002694</v>
      </c>
    </row>
    <row r="4339" spans="1:9" x14ac:dyDescent="0.35">
      <c r="A4339" s="417" t="s">
        <v>846</v>
      </c>
      <c r="B4339" s="417" t="s">
        <v>680</v>
      </c>
      <c r="C4339" s="83">
        <v>46071</v>
      </c>
      <c r="D4339" s="417" t="s">
        <v>685</v>
      </c>
      <c r="E4339">
        <v>1363.6324999999999</v>
      </c>
      <c r="F4339">
        <v>21</v>
      </c>
      <c r="G4339">
        <v>64.934880952380993</v>
      </c>
      <c r="H4339">
        <v>19.024750000000001</v>
      </c>
      <c r="I4339">
        <v>62.695392403413003</v>
      </c>
    </row>
    <row r="4340" spans="1:9" x14ac:dyDescent="0.35">
      <c r="A4340" s="417" t="s">
        <v>846</v>
      </c>
      <c r="B4340" s="417" t="s">
        <v>680</v>
      </c>
      <c r="C4340" s="83">
        <v>46071</v>
      </c>
      <c r="D4340" s="417" t="s">
        <v>686</v>
      </c>
      <c r="E4340">
        <v>1440</v>
      </c>
      <c r="F4340">
        <v>1</v>
      </c>
      <c r="G4340">
        <v>1440</v>
      </c>
      <c r="H4340">
        <v>0</v>
      </c>
      <c r="I4340">
        <v>38.318452380952401</v>
      </c>
    </row>
    <row r="4341" spans="1:9" x14ac:dyDescent="0.35">
      <c r="A4341" s="417" t="s">
        <v>846</v>
      </c>
      <c r="B4341" s="417" t="s">
        <v>691</v>
      </c>
      <c r="C4341" s="83">
        <v>46071</v>
      </c>
      <c r="D4341" s="417" t="s">
        <v>305</v>
      </c>
      <c r="E4341">
        <v>1331.5978500000001</v>
      </c>
      <c r="F4341">
        <v>129</v>
      </c>
      <c r="G4341">
        <v>10.3224639534884</v>
      </c>
      <c r="H4341">
        <v>2.3884833333333302</v>
      </c>
      <c r="I4341">
        <v>56.075885204320201</v>
      </c>
    </row>
    <row r="4342" spans="1:9" x14ac:dyDescent="0.35">
      <c r="A4342" s="417" t="s">
        <v>846</v>
      </c>
      <c r="B4342" s="417" t="s">
        <v>691</v>
      </c>
      <c r="C4342" s="83">
        <v>46071</v>
      </c>
      <c r="D4342" s="417" t="s">
        <v>342</v>
      </c>
      <c r="E4342">
        <v>1199.5676000000001</v>
      </c>
      <c r="F4342">
        <v>90</v>
      </c>
      <c r="G4342">
        <v>13.328528888888901</v>
      </c>
      <c r="H4342">
        <v>224.88833333333301</v>
      </c>
      <c r="I4342">
        <v>27.519841269841301</v>
      </c>
    </row>
    <row r="4343" spans="1:9" x14ac:dyDescent="0.35">
      <c r="A4343" s="417" t="s">
        <v>846</v>
      </c>
      <c r="B4343" s="417" t="s">
        <v>691</v>
      </c>
      <c r="C4343" s="83">
        <v>46071</v>
      </c>
      <c r="D4343" s="417" t="s">
        <v>309</v>
      </c>
      <c r="E4343">
        <v>1328.8786500000001</v>
      </c>
      <c r="F4343">
        <v>87</v>
      </c>
      <c r="G4343">
        <v>15.2744672413793</v>
      </c>
      <c r="H4343">
        <v>0</v>
      </c>
      <c r="I4343">
        <v>52.269314935827197</v>
      </c>
    </row>
    <row r="4344" spans="1:9" x14ac:dyDescent="0.35">
      <c r="A4344" s="417" t="s">
        <v>846</v>
      </c>
      <c r="B4344" s="417" t="s">
        <v>691</v>
      </c>
      <c r="C4344" s="83">
        <v>46071</v>
      </c>
      <c r="D4344" s="417" t="s">
        <v>301</v>
      </c>
      <c r="E4344">
        <v>933.83473333333302</v>
      </c>
      <c r="F4344">
        <v>39</v>
      </c>
      <c r="G4344">
        <v>23.944480341880301</v>
      </c>
      <c r="H4344">
        <v>1.4545666666666699</v>
      </c>
      <c r="I4344">
        <v>62.674664169997399</v>
      </c>
    </row>
    <row r="4345" spans="1:9" x14ac:dyDescent="0.35">
      <c r="A4345" s="417" t="s">
        <v>846</v>
      </c>
      <c r="B4345" s="417" t="s">
        <v>691</v>
      </c>
      <c r="C4345" s="83">
        <v>46071</v>
      </c>
      <c r="D4345" s="417" t="s">
        <v>299</v>
      </c>
      <c r="E4345">
        <v>1390.1460666666701</v>
      </c>
      <c r="F4345">
        <v>32</v>
      </c>
      <c r="G4345">
        <v>43.442064583333298</v>
      </c>
      <c r="H4345">
        <v>1.3176666666666701</v>
      </c>
      <c r="I4345">
        <v>96.361548299440202</v>
      </c>
    </row>
    <row r="4346" spans="1:9" x14ac:dyDescent="0.35">
      <c r="A4346" s="417" t="s">
        <v>846</v>
      </c>
      <c r="B4346" s="417" t="s">
        <v>691</v>
      </c>
      <c r="C4346" s="83">
        <v>46071</v>
      </c>
      <c r="D4346" s="417" t="s">
        <v>295</v>
      </c>
      <c r="E4346">
        <v>1396.80966666667</v>
      </c>
      <c r="F4346">
        <v>23</v>
      </c>
      <c r="G4346">
        <v>60.730855072463797</v>
      </c>
      <c r="H4346">
        <v>0.33406666666666701</v>
      </c>
      <c r="I4346">
        <v>84.527599983532298</v>
      </c>
    </row>
    <row r="4347" spans="1:9" x14ac:dyDescent="0.35">
      <c r="A4347" s="417" t="s">
        <v>846</v>
      </c>
      <c r="B4347" s="417" t="s">
        <v>691</v>
      </c>
      <c r="C4347" s="83">
        <v>46071</v>
      </c>
      <c r="D4347" s="417" t="s">
        <v>310</v>
      </c>
      <c r="E4347">
        <v>1368.0374999999999</v>
      </c>
      <c r="F4347">
        <v>22</v>
      </c>
      <c r="G4347">
        <v>62.183522727272702</v>
      </c>
      <c r="H4347">
        <v>1.7207333333333299</v>
      </c>
      <c r="I4347">
        <v>81.583086303402197</v>
      </c>
    </row>
    <row r="4348" spans="1:9" x14ac:dyDescent="0.35">
      <c r="A4348" s="417" t="s">
        <v>846</v>
      </c>
      <c r="B4348" s="417" t="s">
        <v>691</v>
      </c>
      <c r="C4348" s="83">
        <v>46071</v>
      </c>
      <c r="D4348" s="417" t="s">
        <v>314</v>
      </c>
      <c r="E4348">
        <v>1392.70111666667</v>
      </c>
      <c r="F4348">
        <v>20</v>
      </c>
      <c r="G4348">
        <v>69.635055833333297</v>
      </c>
      <c r="H4348">
        <v>0.43211666666666698</v>
      </c>
      <c r="I4348">
        <v>39.896635239900498</v>
      </c>
    </row>
    <row r="4349" spans="1:9" x14ac:dyDescent="0.35">
      <c r="A4349" s="417" t="s">
        <v>846</v>
      </c>
      <c r="B4349" s="417" t="s">
        <v>691</v>
      </c>
      <c r="C4349" s="83">
        <v>46071</v>
      </c>
      <c r="D4349" s="417" t="s">
        <v>303</v>
      </c>
      <c r="E4349">
        <v>1416.89368333333</v>
      </c>
      <c r="F4349">
        <v>17</v>
      </c>
      <c r="G4349">
        <v>83.346687254901994</v>
      </c>
      <c r="H4349">
        <v>0.34488333333333299</v>
      </c>
      <c r="I4349">
        <v>66.4342950018452</v>
      </c>
    </row>
    <row r="4350" spans="1:9" x14ac:dyDescent="0.35">
      <c r="A4350" s="417" t="s">
        <v>846</v>
      </c>
      <c r="B4350" s="417" t="s">
        <v>691</v>
      </c>
      <c r="C4350" s="83">
        <v>46071</v>
      </c>
      <c r="D4350" s="417" t="s">
        <v>313</v>
      </c>
      <c r="E4350">
        <v>1404.0344833333299</v>
      </c>
      <c r="F4350">
        <v>6</v>
      </c>
      <c r="G4350">
        <v>234.005747222222</v>
      </c>
      <c r="H4350">
        <v>0</v>
      </c>
      <c r="I4350">
        <v>86.084137862115895</v>
      </c>
    </row>
    <row r="4351" spans="1:9" x14ac:dyDescent="0.35">
      <c r="A4351" s="417" t="s">
        <v>846</v>
      </c>
      <c r="B4351" s="417" t="s">
        <v>691</v>
      </c>
      <c r="C4351" s="83">
        <v>46071</v>
      </c>
      <c r="D4351" s="417" t="s">
        <v>317</v>
      </c>
      <c r="E4351">
        <v>1428.65488333333</v>
      </c>
      <c r="F4351">
        <v>4</v>
      </c>
      <c r="G4351">
        <v>357.163720833333</v>
      </c>
      <c r="H4351">
        <v>3.43825</v>
      </c>
      <c r="I4351">
        <v>62.160761704650803</v>
      </c>
    </row>
    <row r="4352" spans="1:9" x14ac:dyDescent="0.35">
      <c r="A4352" s="417" t="s">
        <v>846</v>
      </c>
      <c r="B4352" s="417" t="s">
        <v>691</v>
      </c>
      <c r="C4352" s="83">
        <v>46071</v>
      </c>
      <c r="D4352" s="417" t="s">
        <v>504</v>
      </c>
      <c r="E4352">
        <v>1440</v>
      </c>
      <c r="F4352">
        <v>1</v>
      </c>
      <c r="G4352">
        <v>1440</v>
      </c>
      <c r="H4352">
        <v>0</v>
      </c>
      <c r="I4352">
        <v>40.979629629629599</v>
      </c>
    </row>
    <row r="4353" spans="1:9" x14ac:dyDescent="0.35">
      <c r="A4353" s="417" t="s">
        <v>846</v>
      </c>
      <c r="B4353" s="417" t="s">
        <v>676</v>
      </c>
      <c r="C4353" s="83">
        <v>46070</v>
      </c>
      <c r="D4353" s="417" t="s">
        <v>677</v>
      </c>
      <c r="E4353">
        <v>1116.5263333333301</v>
      </c>
      <c r="F4353">
        <v>476</v>
      </c>
      <c r="G4353">
        <v>2.3456435574229699</v>
      </c>
      <c r="H4353">
        <v>273.33076666666699</v>
      </c>
      <c r="I4353">
        <v>0.48500000000000199</v>
      </c>
    </row>
    <row r="4354" spans="1:9" x14ac:dyDescent="0.35">
      <c r="A4354" s="417" t="s">
        <v>846</v>
      </c>
      <c r="B4354" s="417" t="s">
        <v>676</v>
      </c>
      <c r="C4354" s="83">
        <v>46070</v>
      </c>
      <c r="D4354" s="417" t="s">
        <v>679</v>
      </c>
      <c r="E4354">
        <v>1211.24303333333</v>
      </c>
      <c r="F4354">
        <v>49</v>
      </c>
      <c r="G4354">
        <v>24.719245578231298</v>
      </c>
      <c r="H4354">
        <v>60.026883333333302</v>
      </c>
      <c r="I4354">
        <v>63.519763251019299</v>
      </c>
    </row>
    <row r="4355" spans="1:9" x14ac:dyDescent="0.35">
      <c r="A4355" s="417" t="s">
        <v>846</v>
      </c>
      <c r="B4355" s="417" t="s">
        <v>680</v>
      </c>
      <c r="C4355" s="83">
        <v>46070</v>
      </c>
      <c r="D4355" s="417" t="s">
        <v>687</v>
      </c>
      <c r="E4355">
        <v>1181.99291666667</v>
      </c>
      <c r="F4355">
        <v>86</v>
      </c>
      <c r="G4355">
        <v>13.7441036821705</v>
      </c>
      <c r="H4355">
        <v>99.527500000000003</v>
      </c>
      <c r="I4355">
        <v>18.771600585097399</v>
      </c>
    </row>
    <row r="4356" spans="1:9" x14ac:dyDescent="0.35">
      <c r="A4356" s="417" t="s">
        <v>846</v>
      </c>
      <c r="B4356" s="417" t="s">
        <v>680</v>
      </c>
      <c r="C4356" s="83">
        <v>46070</v>
      </c>
      <c r="D4356" s="417" t="s">
        <v>689</v>
      </c>
      <c r="E4356">
        <v>1347.9915333333299</v>
      </c>
      <c r="F4356">
        <v>59</v>
      </c>
      <c r="G4356">
        <v>22.847314124293799</v>
      </c>
      <c r="H4356">
        <v>0.67479999999999996</v>
      </c>
      <c r="I4356">
        <v>65.851922212547507</v>
      </c>
    </row>
    <row r="4357" spans="1:9" x14ac:dyDescent="0.35">
      <c r="A4357" s="417" t="s">
        <v>846</v>
      </c>
      <c r="B4357" s="417" t="s">
        <v>680</v>
      </c>
      <c r="C4357" s="83">
        <v>46070</v>
      </c>
      <c r="D4357" s="417" t="s">
        <v>681</v>
      </c>
      <c r="E4357">
        <v>1319.6884</v>
      </c>
      <c r="F4357">
        <v>41</v>
      </c>
      <c r="G4357">
        <v>32.187521951219502</v>
      </c>
      <c r="H4357">
        <v>0</v>
      </c>
      <c r="I4357">
        <v>63.566682067268097</v>
      </c>
    </row>
    <row r="4358" spans="1:9" x14ac:dyDescent="0.35">
      <c r="A4358" s="417" t="s">
        <v>846</v>
      </c>
      <c r="B4358" s="417" t="s">
        <v>680</v>
      </c>
      <c r="C4358" s="83">
        <v>46070</v>
      </c>
      <c r="D4358" s="417" t="s">
        <v>683</v>
      </c>
      <c r="E4358">
        <v>1370.19625</v>
      </c>
      <c r="F4358">
        <v>38</v>
      </c>
      <c r="G4358">
        <v>36.057796052631602</v>
      </c>
      <c r="H4358">
        <v>4.9914666666666703</v>
      </c>
      <c r="I4358">
        <v>57.750565049013098</v>
      </c>
    </row>
    <row r="4359" spans="1:9" x14ac:dyDescent="0.35">
      <c r="A4359" s="417" t="s">
        <v>846</v>
      </c>
      <c r="B4359" s="417" t="s">
        <v>680</v>
      </c>
      <c r="C4359" s="83">
        <v>46070</v>
      </c>
      <c r="D4359" s="417" t="s">
        <v>690</v>
      </c>
      <c r="E4359">
        <v>1378.6486833333299</v>
      </c>
      <c r="F4359">
        <v>33</v>
      </c>
      <c r="G4359">
        <v>41.777232828282798</v>
      </c>
      <c r="H4359">
        <v>14.1650833333333</v>
      </c>
      <c r="I4359">
        <v>53.329533082449601</v>
      </c>
    </row>
    <row r="4360" spans="1:9" x14ac:dyDescent="0.35">
      <c r="A4360" s="417" t="s">
        <v>846</v>
      </c>
      <c r="B4360" s="417" t="s">
        <v>680</v>
      </c>
      <c r="C4360" s="83">
        <v>46070</v>
      </c>
      <c r="D4360" s="417" t="s">
        <v>682</v>
      </c>
      <c r="E4360">
        <v>1403.50788333333</v>
      </c>
      <c r="F4360">
        <v>31</v>
      </c>
      <c r="G4360">
        <v>45.274447849462398</v>
      </c>
      <c r="H4360">
        <v>36.492116666666703</v>
      </c>
      <c r="I4360">
        <v>40.747159671968802</v>
      </c>
    </row>
    <row r="4361" spans="1:9" x14ac:dyDescent="0.35">
      <c r="A4361" s="417" t="s">
        <v>846</v>
      </c>
      <c r="B4361" s="417" t="s">
        <v>680</v>
      </c>
      <c r="C4361" s="83">
        <v>46070</v>
      </c>
      <c r="D4361" s="417" t="s">
        <v>688</v>
      </c>
      <c r="E4361">
        <v>1387.02328333333</v>
      </c>
      <c r="F4361">
        <v>29</v>
      </c>
      <c r="G4361">
        <v>47.8283890804598</v>
      </c>
      <c r="H4361">
        <v>10.9934333333333</v>
      </c>
      <c r="I4361">
        <v>61.004426383256998</v>
      </c>
    </row>
    <row r="4362" spans="1:9" x14ac:dyDescent="0.35">
      <c r="A4362" s="417" t="s">
        <v>846</v>
      </c>
      <c r="B4362" s="417" t="s">
        <v>680</v>
      </c>
      <c r="C4362" s="83">
        <v>46070</v>
      </c>
      <c r="D4362" s="417" t="s">
        <v>684</v>
      </c>
      <c r="E4362">
        <v>1410.6277666666699</v>
      </c>
      <c r="F4362">
        <v>27</v>
      </c>
      <c r="G4362">
        <v>52.245472839506199</v>
      </c>
      <c r="H4362">
        <v>20.368933333333299</v>
      </c>
      <c r="I4362">
        <v>43.055644343459797</v>
      </c>
    </row>
    <row r="4363" spans="1:9" x14ac:dyDescent="0.35">
      <c r="A4363" s="417" t="s">
        <v>846</v>
      </c>
      <c r="B4363" s="417" t="s">
        <v>680</v>
      </c>
      <c r="C4363" s="83">
        <v>46070</v>
      </c>
      <c r="D4363" s="417" t="s">
        <v>685</v>
      </c>
      <c r="E4363">
        <v>1391.66975</v>
      </c>
      <c r="F4363">
        <v>16</v>
      </c>
      <c r="G4363">
        <v>86.979359375000001</v>
      </c>
      <c r="H4363">
        <v>9.8240666666666705</v>
      </c>
      <c r="I4363">
        <v>50.8481115198258</v>
      </c>
    </row>
    <row r="4364" spans="1:9" x14ac:dyDescent="0.35">
      <c r="A4364" s="417" t="s">
        <v>846</v>
      </c>
      <c r="B4364" s="417" t="s">
        <v>680</v>
      </c>
      <c r="C4364" s="83">
        <v>46070</v>
      </c>
      <c r="D4364" s="417" t="s">
        <v>686</v>
      </c>
      <c r="E4364">
        <v>1372.2854833333299</v>
      </c>
      <c r="F4364">
        <v>1</v>
      </c>
      <c r="G4364">
        <v>1372.2854833333299</v>
      </c>
      <c r="H4364">
        <v>0</v>
      </c>
      <c r="I4364">
        <v>15.6594087875465</v>
      </c>
    </row>
    <row r="4365" spans="1:9" x14ac:dyDescent="0.35">
      <c r="A4365" s="417" t="s">
        <v>846</v>
      </c>
      <c r="B4365" s="417" t="s">
        <v>691</v>
      </c>
      <c r="C4365" s="83">
        <v>46070</v>
      </c>
      <c r="D4365" s="417" t="s">
        <v>305</v>
      </c>
      <c r="E4365">
        <v>1324.16748333333</v>
      </c>
      <c r="F4365">
        <v>115</v>
      </c>
      <c r="G4365">
        <v>11.514499855072501</v>
      </c>
      <c r="H4365">
        <v>7.5563166666666701</v>
      </c>
      <c r="I4365">
        <v>58.798610955596203</v>
      </c>
    </row>
    <row r="4366" spans="1:9" x14ac:dyDescent="0.35">
      <c r="A4366" s="417" t="s">
        <v>846</v>
      </c>
      <c r="B4366" s="417" t="s">
        <v>691</v>
      </c>
      <c r="C4366" s="83">
        <v>46070</v>
      </c>
      <c r="D4366" s="417" t="s">
        <v>309</v>
      </c>
      <c r="E4366">
        <v>1329.10938333333</v>
      </c>
      <c r="F4366">
        <v>91</v>
      </c>
      <c r="G4366">
        <v>14.6055976190476</v>
      </c>
      <c r="H4366">
        <v>0</v>
      </c>
      <c r="I4366">
        <v>51.408420191889803</v>
      </c>
    </row>
    <row r="4367" spans="1:9" x14ac:dyDescent="0.35">
      <c r="A4367" s="417" t="s">
        <v>846</v>
      </c>
      <c r="B4367" s="417" t="s">
        <v>691</v>
      </c>
      <c r="C4367" s="83">
        <v>46070</v>
      </c>
      <c r="D4367" s="417" t="s">
        <v>342</v>
      </c>
      <c r="E4367">
        <v>1139.3109999999999</v>
      </c>
      <c r="F4367">
        <v>70</v>
      </c>
      <c r="G4367">
        <v>16.275871428571399</v>
      </c>
      <c r="H4367">
        <v>134.12123333333301</v>
      </c>
      <c r="I4367">
        <v>27.519841269841301</v>
      </c>
    </row>
    <row r="4368" spans="1:9" x14ac:dyDescent="0.35">
      <c r="A4368" s="417" t="s">
        <v>846</v>
      </c>
      <c r="B4368" s="417" t="s">
        <v>691</v>
      </c>
      <c r="C4368" s="83">
        <v>46070</v>
      </c>
      <c r="D4368" s="417" t="s">
        <v>301</v>
      </c>
      <c r="E4368">
        <v>1350.51931666667</v>
      </c>
      <c r="F4368">
        <v>43</v>
      </c>
      <c r="G4368">
        <v>31.4074259689922</v>
      </c>
      <c r="H4368">
        <v>2.5438666666666698</v>
      </c>
      <c r="I4368">
        <v>73.216979038395607</v>
      </c>
    </row>
    <row r="4369" spans="1:9" x14ac:dyDescent="0.35">
      <c r="A4369" s="417" t="s">
        <v>846</v>
      </c>
      <c r="B4369" s="417" t="s">
        <v>691</v>
      </c>
      <c r="C4369" s="83">
        <v>46070</v>
      </c>
      <c r="D4369" s="417" t="s">
        <v>299</v>
      </c>
      <c r="E4369">
        <v>1371.4956500000001</v>
      </c>
      <c r="F4369">
        <v>36</v>
      </c>
      <c r="G4369">
        <v>38.097101388888902</v>
      </c>
      <c r="H4369">
        <v>0.73983333333333301</v>
      </c>
      <c r="I4369">
        <v>82.340563573844904</v>
      </c>
    </row>
    <row r="4370" spans="1:9" x14ac:dyDescent="0.35">
      <c r="A4370" s="417" t="s">
        <v>846</v>
      </c>
      <c r="B4370" s="417" t="s">
        <v>691</v>
      </c>
      <c r="C4370" s="83">
        <v>46070</v>
      </c>
      <c r="D4370" s="417" t="s">
        <v>303</v>
      </c>
      <c r="E4370">
        <v>1388.01395</v>
      </c>
      <c r="F4370">
        <v>35</v>
      </c>
      <c r="G4370">
        <v>39.657541428571399</v>
      </c>
      <c r="H4370">
        <v>8.4449999999999997E-2</v>
      </c>
      <c r="I4370">
        <v>58.638412889413601</v>
      </c>
    </row>
    <row r="4371" spans="1:9" x14ac:dyDescent="0.35">
      <c r="A4371" s="417" t="s">
        <v>846</v>
      </c>
      <c r="B4371" s="417" t="s">
        <v>691</v>
      </c>
      <c r="C4371" s="83">
        <v>46070</v>
      </c>
      <c r="D4371" s="417" t="s">
        <v>295</v>
      </c>
      <c r="E4371">
        <v>1398.44055</v>
      </c>
      <c r="F4371">
        <v>31</v>
      </c>
      <c r="G4371">
        <v>45.110985483870998</v>
      </c>
      <c r="H4371">
        <v>0.388566666666667</v>
      </c>
      <c r="I4371">
        <v>81.2617955670881</v>
      </c>
    </row>
    <row r="4372" spans="1:9" x14ac:dyDescent="0.35">
      <c r="A4372" s="417" t="s">
        <v>846</v>
      </c>
      <c r="B4372" s="417" t="s">
        <v>691</v>
      </c>
      <c r="C4372" s="83">
        <v>46070</v>
      </c>
      <c r="D4372" s="417" t="s">
        <v>310</v>
      </c>
      <c r="E4372">
        <v>1328.6795666666701</v>
      </c>
      <c r="F4372">
        <v>11</v>
      </c>
      <c r="G4372">
        <v>120.789051515152</v>
      </c>
      <c r="H4372">
        <v>1.48471666666667</v>
      </c>
      <c r="I4372">
        <v>79.8328317574734</v>
      </c>
    </row>
    <row r="4373" spans="1:9" x14ac:dyDescent="0.35">
      <c r="A4373" s="417" t="s">
        <v>846</v>
      </c>
      <c r="B4373" s="417" t="s">
        <v>691</v>
      </c>
      <c r="C4373" s="83">
        <v>46070</v>
      </c>
      <c r="D4373" s="417" t="s">
        <v>313</v>
      </c>
      <c r="E4373">
        <v>1376.8181999999999</v>
      </c>
      <c r="F4373">
        <v>5</v>
      </c>
      <c r="G4373">
        <v>275.36363999999998</v>
      </c>
      <c r="H4373">
        <v>2.5366666666666701E-2</v>
      </c>
      <c r="I4373">
        <v>74.2158975229693</v>
      </c>
    </row>
    <row r="4374" spans="1:9" x14ac:dyDescent="0.35">
      <c r="A4374" s="417" t="s">
        <v>846</v>
      </c>
      <c r="B4374" s="417" t="s">
        <v>691</v>
      </c>
      <c r="C4374" s="83">
        <v>46070</v>
      </c>
      <c r="D4374" s="417" t="s">
        <v>317</v>
      </c>
      <c r="E4374">
        <v>1428.5617999999999</v>
      </c>
      <c r="F4374">
        <v>5</v>
      </c>
      <c r="G4374">
        <v>285.71235999999999</v>
      </c>
      <c r="H4374">
        <v>5.2675333333333301</v>
      </c>
      <c r="I4374">
        <v>54.595061057940903</v>
      </c>
    </row>
    <row r="4375" spans="1:9" x14ac:dyDescent="0.35">
      <c r="A4375" s="417" t="s">
        <v>846</v>
      </c>
      <c r="B4375" s="417" t="s">
        <v>691</v>
      </c>
      <c r="C4375" s="83">
        <v>46070</v>
      </c>
      <c r="D4375" s="417" t="s">
        <v>314</v>
      </c>
      <c r="E4375">
        <v>1418.93626666667</v>
      </c>
      <c r="F4375">
        <v>3</v>
      </c>
      <c r="G4375">
        <v>472.97875555555601</v>
      </c>
      <c r="H4375">
        <v>5.0549999999999998E-2</v>
      </c>
      <c r="I4375">
        <v>69.271068882098405</v>
      </c>
    </row>
    <row r="4376" spans="1:9" x14ac:dyDescent="0.35">
      <c r="A4376" s="417" t="s">
        <v>846</v>
      </c>
      <c r="B4376" s="417" t="s">
        <v>691</v>
      </c>
      <c r="C4376" s="83">
        <v>46070</v>
      </c>
      <c r="D4376" s="417" t="s">
        <v>504</v>
      </c>
      <c r="E4376">
        <v>1440</v>
      </c>
      <c r="F4376">
        <v>1</v>
      </c>
      <c r="G4376">
        <v>1440</v>
      </c>
      <c r="H4376">
        <v>0</v>
      </c>
      <c r="I4376">
        <v>33.165740740740802</v>
      </c>
    </row>
    <row r="4377" spans="1:9" x14ac:dyDescent="0.35">
      <c r="A4377" s="417" t="s">
        <v>846</v>
      </c>
      <c r="B4377" s="417" t="s">
        <v>676</v>
      </c>
      <c r="C4377" s="83">
        <v>46069</v>
      </c>
      <c r="D4377" s="417" t="s">
        <v>677</v>
      </c>
      <c r="E4377">
        <v>1199.47323333333</v>
      </c>
      <c r="F4377">
        <v>569</v>
      </c>
      <c r="G4377">
        <v>2.10803731693029</v>
      </c>
      <c r="H4377">
        <v>170.99006666666699</v>
      </c>
      <c r="I4377">
        <v>8.2272222222222204</v>
      </c>
    </row>
    <row r="4378" spans="1:9" x14ac:dyDescent="0.35">
      <c r="A4378" s="417" t="s">
        <v>846</v>
      </c>
      <c r="B4378" s="417" t="s">
        <v>676</v>
      </c>
      <c r="C4378" s="83">
        <v>46069</v>
      </c>
      <c r="D4378" s="417" t="s">
        <v>679</v>
      </c>
      <c r="E4378">
        <v>1143.4353333333299</v>
      </c>
      <c r="F4378">
        <v>33</v>
      </c>
      <c r="G4378">
        <v>34.649555555555601</v>
      </c>
      <c r="H4378">
        <v>21.358133333333299</v>
      </c>
      <c r="I4378">
        <v>39.358572925948501</v>
      </c>
    </row>
    <row r="4379" spans="1:9" x14ac:dyDescent="0.35">
      <c r="A4379" s="417" t="s">
        <v>846</v>
      </c>
      <c r="B4379" s="417" t="s">
        <v>680</v>
      </c>
      <c r="C4379" s="83">
        <v>46069</v>
      </c>
      <c r="D4379" s="417" t="s">
        <v>689</v>
      </c>
      <c r="E4379">
        <v>1397.67053333333</v>
      </c>
      <c r="F4379">
        <v>39</v>
      </c>
      <c r="G4379">
        <v>35.837705982906002</v>
      </c>
      <c r="H4379">
        <v>1.1658666666666699</v>
      </c>
      <c r="I4379">
        <v>86.876860174166893</v>
      </c>
    </row>
    <row r="4380" spans="1:9" x14ac:dyDescent="0.35">
      <c r="A4380" s="417" t="s">
        <v>846</v>
      </c>
      <c r="B4380" s="417" t="s">
        <v>680</v>
      </c>
      <c r="C4380" s="83">
        <v>46069</v>
      </c>
      <c r="D4380" s="417" t="s">
        <v>681</v>
      </c>
      <c r="E4380">
        <v>1407.50395</v>
      </c>
      <c r="F4380">
        <v>28</v>
      </c>
      <c r="G4380">
        <v>50.267998214285697</v>
      </c>
      <c r="H4380">
        <v>0</v>
      </c>
      <c r="I4380">
        <v>76.494597291691903</v>
      </c>
    </row>
    <row r="4381" spans="1:9" x14ac:dyDescent="0.35">
      <c r="A4381" s="417" t="s">
        <v>846</v>
      </c>
      <c r="B4381" s="417" t="s">
        <v>680</v>
      </c>
      <c r="C4381" s="83">
        <v>46069</v>
      </c>
      <c r="D4381" s="417" t="s">
        <v>683</v>
      </c>
      <c r="E4381">
        <v>1388.5109666666699</v>
      </c>
      <c r="F4381">
        <v>26</v>
      </c>
      <c r="G4381">
        <v>53.404267948717902</v>
      </c>
      <c r="H4381">
        <v>1.6724000000000001</v>
      </c>
      <c r="I4381">
        <v>67.914653677953098</v>
      </c>
    </row>
    <row r="4382" spans="1:9" x14ac:dyDescent="0.35">
      <c r="A4382" s="417" t="s">
        <v>846</v>
      </c>
      <c r="B4382" s="417" t="s">
        <v>680</v>
      </c>
      <c r="C4382" s="83">
        <v>46069</v>
      </c>
      <c r="D4382" s="417" t="s">
        <v>684</v>
      </c>
      <c r="E4382">
        <v>1415.1742833333301</v>
      </c>
      <c r="F4382">
        <v>21</v>
      </c>
      <c r="G4382">
        <v>67.389251587301601</v>
      </c>
      <c r="H4382">
        <v>16.992566666666701</v>
      </c>
      <c r="I4382">
        <v>60.912879041209202</v>
      </c>
    </row>
    <row r="4383" spans="1:9" x14ac:dyDescent="0.35">
      <c r="A4383" s="417" t="s">
        <v>846</v>
      </c>
      <c r="B4383" s="417" t="s">
        <v>680</v>
      </c>
      <c r="C4383" s="83">
        <v>46069</v>
      </c>
      <c r="D4383" s="417" t="s">
        <v>690</v>
      </c>
      <c r="E4383">
        <v>1425.01291666667</v>
      </c>
      <c r="F4383">
        <v>13</v>
      </c>
      <c r="G4383">
        <v>109.616378205128</v>
      </c>
      <c r="H4383">
        <v>3.9857666666666698</v>
      </c>
      <c r="I4383">
        <v>64.915954154187105</v>
      </c>
    </row>
    <row r="4384" spans="1:9" x14ac:dyDescent="0.35">
      <c r="A4384" s="417" t="s">
        <v>846</v>
      </c>
      <c r="B4384" s="417" t="s">
        <v>680</v>
      </c>
      <c r="C4384" s="83">
        <v>46069</v>
      </c>
      <c r="D4384" s="417" t="s">
        <v>687</v>
      </c>
      <c r="E4384">
        <v>1419.1376333333301</v>
      </c>
      <c r="F4384">
        <v>12</v>
      </c>
      <c r="G4384">
        <v>118.261469444444</v>
      </c>
      <c r="H4384">
        <v>7.3533833333333298</v>
      </c>
      <c r="I4384">
        <v>26.1765023531662</v>
      </c>
    </row>
    <row r="4385" spans="1:9" x14ac:dyDescent="0.35">
      <c r="A4385" s="417" t="s">
        <v>846</v>
      </c>
      <c r="B4385" s="417" t="s">
        <v>680</v>
      </c>
      <c r="C4385" s="83">
        <v>46069</v>
      </c>
      <c r="D4385" s="417" t="s">
        <v>688</v>
      </c>
      <c r="E4385">
        <v>1426.1939666666699</v>
      </c>
      <c r="F4385">
        <v>10</v>
      </c>
      <c r="G4385">
        <v>142.619396666667</v>
      </c>
      <c r="H4385">
        <v>5.9923500000000001</v>
      </c>
      <c r="I4385">
        <v>75.575631194394205</v>
      </c>
    </row>
    <row r="4386" spans="1:9" x14ac:dyDescent="0.35">
      <c r="A4386" s="417" t="s">
        <v>846</v>
      </c>
      <c r="B4386" s="417" t="s">
        <v>680</v>
      </c>
      <c r="C4386" s="83">
        <v>46069</v>
      </c>
      <c r="D4386" s="417" t="s">
        <v>685</v>
      </c>
      <c r="E4386">
        <v>1427.00425</v>
      </c>
      <c r="F4386">
        <v>7</v>
      </c>
      <c r="G4386">
        <v>203.85775000000001</v>
      </c>
      <c r="H4386">
        <v>1.33463333333333</v>
      </c>
      <c r="I4386">
        <v>85.266542782367907</v>
      </c>
    </row>
    <row r="4387" spans="1:9" x14ac:dyDescent="0.35">
      <c r="A4387" s="417" t="s">
        <v>846</v>
      </c>
      <c r="B4387" s="417" t="s">
        <v>680</v>
      </c>
      <c r="C4387" s="83">
        <v>46069</v>
      </c>
      <c r="D4387" s="417" t="s">
        <v>682</v>
      </c>
      <c r="E4387">
        <v>1437.8378</v>
      </c>
      <c r="F4387">
        <v>5</v>
      </c>
      <c r="G4387">
        <v>287.56756000000001</v>
      </c>
      <c r="H4387">
        <v>2.1621999999999999</v>
      </c>
      <c r="I4387">
        <v>59.792929292929301</v>
      </c>
    </row>
    <row r="4388" spans="1:9" x14ac:dyDescent="0.35">
      <c r="A4388" s="417" t="s">
        <v>846</v>
      </c>
      <c r="B4388" s="417" t="s">
        <v>680</v>
      </c>
      <c r="C4388" s="83">
        <v>46069</v>
      </c>
      <c r="D4388" s="417" t="s">
        <v>686</v>
      </c>
      <c r="E4388">
        <v>1440</v>
      </c>
      <c r="F4388">
        <v>1</v>
      </c>
      <c r="G4388">
        <v>1440</v>
      </c>
      <c r="H4388">
        <v>0</v>
      </c>
      <c r="I4388">
        <v>62.538888888888899</v>
      </c>
    </row>
    <row r="4389" spans="1:9" x14ac:dyDescent="0.35">
      <c r="A4389" s="417" t="s">
        <v>846</v>
      </c>
      <c r="B4389" s="417" t="s">
        <v>691</v>
      </c>
      <c r="C4389" s="83">
        <v>46069</v>
      </c>
      <c r="D4389" s="417" t="s">
        <v>305</v>
      </c>
      <c r="E4389">
        <v>1273.61048333333</v>
      </c>
      <c r="F4389">
        <v>153</v>
      </c>
      <c r="G4389">
        <v>8.3242515250544695</v>
      </c>
      <c r="H4389">
        <v>7.9672833333333299</v>
      </c>
      <c r="I4389">
        <v>57.167386617942498</v>
      </c>
    </row>
    <row r="4390" spans="1:9" x14ac:dyDescent="0.35">
      <c r="A4390" s="417" t="s">
        <v>846</v>
      </c>
      <c r="B4390" s="417" t="s">
        <v>691</v>
      </c>
      <c r="C4390" s="83">
        <v>46069</v>
      </c>
      <c r="D4390" s="417" t="s">
        <v>342</v>
      </c>
      <c r="E4390">
        <v>1077.2513833333301</v>
      </c>
      <c r="F4390">
        <v>130</v>
      </c>
      <c r="G4390">
        <v>8.2865491025641003</v>
      </c>
      <c r="H4390">
        <v>261.84415000000001</v>
      </c>
      <c r="I4390">
        <v>44.4444444444445</v>
      </c>
    </row>
    <row r="4391" spans="1:9" x14ac:dyDescent="0.35">
      <c r="A4391" s="417" t="s">
        <v>846</v>
      </c>
      <c r="B4391" s="417" t="s">
        <v>691</v>
      </c>
      <c r="C4391" s="83">
        <v>46069</v>
      </c>
      <c r="D4391" s="417" t="s">
        <v>309</v>
      </c>
      <c r="E4391">
        <v>1322.62905</v>
      </c>
      <c r="F4391">
        <v>127</v>
      </c>
      <c r="G4391">
        <v>10.414401968503901</v>
      </c>
      <c r="H4391">
        <v>5.1016666666666703E-2</v>
      </c>
      <c r="I4391">
        <v>54.866932165083</v>
      </c>
    </row>
    <row r="4392" spans="1:9" x14ac:dyDescent="0.35">
      <c r="A4392" s="417" t="s">
        <v>846</v>
      </c>
      <c r="B4392" s="417" t="s">
        <v>691</v>
      </c>
      <c r="C4392" s="83">
        <v>46069</v>
      </c>
      <c r="D4392" s="417" t="s">
        <v>301</v>
      </c>
      <c r="E4392">
        <v>1343.1629499999999</v>
      </c>
      <c r="F4392">
        <v>86</v>
      </c>
      <c r="G4392">
        <v>15.6181738372093</v>
      </c>
      <c r="H4392">
        <v>0.68596666666666695</v>
      </c>
      <c r="I4392">
        <v>62.167055575111497</v>
      </c>
    </row>
    <row r="4393" spans="1:9" x14ac:dyDescent="0.35">
      <c r="A4393" s="417" t="s">
        <v>846</v>
      </c>
      <c r="B4393" s="417" t="s">
        <v>691</v>
      </c>
      <c r="C4393" s="83">
        <v>46069</v>
      </c>
      <c r="D4393" s="417" t="s">
        <v>303</v>
      </c>
      <c r="E4393">
        <v>1386.4854666666699</v>
      </c>
      <c r="F4393">
        <v>37</v>
      </c>
      <c r="G4393">
        <v>37.472580180180202</v>
      </c>
      <c r="H4393">
        <v>0.23443333333333299</v>
      </c>
      <c r="I4393">
        <v>50.2076087408064</v>
      </c>
    </row>
    <row r="4394" spans="1:9" x14ac:dyDescent="0.35">
      <c r="A4394" s="417" t="s">
        <v>846</v>
      </c>
      <c r="B4394" s="417" t="s">
        <v>691</v>
      </c>
      <c r="C4394" s="83">
        <v>46069</v>
      </c>
      <c r="D4394" s="417" t="s">
        <v>295</v>
      </c>
      <c r="E4394">
        <v>1383.85688333333</v>
      </c>
      <c r="F4394">
        <v>34</v>
      </c>
      <c r="G4394">
        <v>40.701673039215699</v>
      </c>
      <c r="H4394">
        <v>5.8367666666666702</v>
      </c>
      <c r="I4394">
        <v>77.827155915149802</v>
      </c>
    </row>
    <row r="4395" spans="1:9" x14ac:dyDescent="0.35">
      <c r="A4395" s="417" t="s">
        <v>846</v>
      </c>
      <c r="B4395" s="417" t="s">
        <v>691</v>
      </c>
      <c r="C4395" s="83">
        <v>46069</v>
      </c>
      <c r="D4395" s="417" t="s">
        <v>299</v>
      </c>
      <c r="E4395">
        <v>1369.08228333333</v>
      </c>
      <c r="F4395">
        <v>30</v>
      </c>
      <c r="G4395">
        <v>45.636076111111102</v>
      </c>
      <c r="H4395">
        <v>2.9988666666666699</v>
      </c>
      <c r="I4395">
        <v>71.601341112559396</v>
      </c>
    </row>
    <row r="4396" spans="1:9" x14ac:dyDescent="0.35">
      <c r="A4396" s="417" t="s">
        <v>846</v>
      </c>
      <c r="B4396" s="417" t="s">
        <v>691</v>
      </c>
      <c r="C4396" s="83">
        <v>46069</v>
      </c>
      <c r="D4396" s="417" t="s">
        <v>310</v>
      </c>
      <c r="E4396">
        <v>1361.8177499999999</v>
      </c>
      <c r="F4396">
        <v>12</v>
      </c>
      <c r="G4396">
        <v>113.4848125</v>
      </c>
      <c r="H4396">
        <v>0.56648333333333301</v>
      </c>
      <c r="I4396">
        <v>72.411749405784093</v>
      </c>
    </row>
    <row r="4397" spans="1:9" x14ac:dyDescent="0.35">
      <c r="A4397" s="417" t="s">
        <v>846</v>
      </c>
      <c r="B4397" s="417" t="s">
        <v>691</v>
      </c>
      <c r="C4397" s="83">
        <v>46069</v>
      </c>
      <c r="D4397" s="417" t="s">
        <v>317</v>
      </c>
      <c r="E4397">
        <v>1433.1840500000001</v>
      </c>
      <c r="F4397">
        <v>5</v>
      </c>
      <c r="G4397">
        <v>286.63681000000003</v>
      </c>
      <c r="H4397">
        <v>1.3236333333333301</v>
      </c>
      <c r="I4397">
        <v>46.932477798625897</v>
      </c>
    </row>
    <row r="4398" spans="1:9" x14ac:dyDescent="0.35">
      <c r="A4398" s="417" t="s">
        <v>846</v>
      </c>
      <c r="B4398" s="417" t="s">
        <v>691</v>
      </c>
      <c r="C4398" s="83">
        <v>46069</v>
      </c>
      <c r="D4398" s="417" t="s">
        <v>313</v>
      </c>
      <c r="E4398">
        <v>1409.4920666666701</v>
      </c>
      <c r="F4398">
        <v>2</v>
      </c>
      <c r="G4398">
        <v>704.746033333333</v>
      </c>
      <c r="H4398">
        <v>0</v>
      </c>
      <c r="I4398">
        <v>66.547085616880096</v>
      </c>
    </row>
    <row r="4399" spans="1:9" x14ac:dyDescent="0.35">
      <c r="A4399" s="417" t="s">
        <v>846</v>
      </c>
      <c r="B4399" s="417" t="s">
        <v>691</v>
      </c>
      <c r="C4399" s="83">
        <v>46069</v>
      </c>
      <c r="D4399" s="417" t="s">
        <v>314</v>
      </c>
      <c r="E4399">
        <v>1433.86343333333</v>
      </c>
      <c r="F4399">
        <v>2</v>
      </c>
      <c r="G4399">
        <v>716.93171666666694</v>
      </c>
      <c r="H4399">
        <v>2.5399999999999999E-2</v>
      </c>
      <c r="I4399">
        <v>59.228661020486001</v>
      </c>
    </row>
    <row r="4400" spans="1:9" x14ac:dyDescent="0.35">
      <c r="A4400" s="417" t="s">
        <v>846</v>
      </c>
      <c r="B4400" s="417" t="s">
        <v>691</v>
      </c>
      <c r="C4400" s="83">
        <v>46069</v>
      </c>
      <c r="D4400" s="417" t="s">
        <v>504</v>
      </c>
      <c r="E4400">
        <v>1440</v>
      </c>
      <c r="F4400">
        <v>1</v>
      </c>
      <c r="G4400">
        <v>1440</v>
      </c>
      <c r="H4400">
        <v>0</v>
      </c>
      <c r="I4400">
        <v>31.036419753086399</v>
      </c>
    </row>
    <row r="4401" spans="1:9" x14ac:dyDescent="0.35">
      <c r="A4401" s="417" t="s">
        <v>846</v>
      </c>
      <c r="B4401" s="417" t="s">
        <v>676</v>
      </c>
      <c r="C4401" s="83">
        <v>46068</v>
      </c>
      <c r="D4401" s="417" t="s">
        <v>677</v>
      </c>
      <c r="E4401">
        <v>1271.15836666667</v>
      </c>
      <c r="F4401">
        <v>440</v>
      </c>
      <c r="G4401">
        <v>2.8889962878787898</v>
      </c>
      <c r="H4401">
        <v>168.84163333333299</v>
      </c>
      <c r="I4401">
        <v>9.3174999999999795</v>
      </c>
    </row>
    <row r="4402" spans="1:9" x14ac:dyDescent="0.35">
      <c r="A4402" s="417" t="s">
        <v>846</v>
      </c>
      <c r="B4402" s="417" t="s">
        <v>676</v>
      </c>
      <c r="C4402" s="83">
        <v>46068</v>
      </c>
      <c r="D4402" s="417" t="s">
        <v>679</v>
      </c>
      <c r="E4402">
        <v>1334.3126</v>
      </c>
      <c r="F4402">
        <v>21</v>
      </c>
      <c r="G4402">
        <v>63.538695238095201</v>
      </c>
      <c r="H4402">
        <v>12.8458666666667</v>
      </c>
      <c r="I4402">
        <v>70.630641473161006</v>
      </c>
    </row>
    <row r="4403" spans="1:9" x14ac:dyDescent="0.35">
      <c r="A4403" s="417" t="s">
        <v>846</v>
      </c>
      <c r="B4403" s="417" t="s">
        <v>680</v>
      </c>
      <c r="C4403" s="83">
        <v>46068</v>
      </c>
      <c r="D4403" s="417" t="s">
        <v>681</v>
      </c>
      <c r="E4403">
        <v>1386.5389500000001</v>
      </c>
      <c r="F4403">
        <v>47</v>
      </c>
      <c r="G4403">
        <v>29.5008287234043</v>
      </c>
      <c r="H4403">
        <v>4.6682833333333296</v>
      </c>
      <c r="I4403">
        <v>75.583177371622</v>
      </c>
    </row>
    <row r="4404" spans="1:9" x14ac:dyDescent="0.35">
      <c r="A4404" s="417" t="s">
        <v>846</v>
      </c>
      <c r="B4404" s="417" t="s">
        <v>680</v>
      </c>
      <c r="C4404" s="83">
        <v>46068</v>
      </c>
      <c r="D4404" s="417" t="s">
        <v>689</v>
      </c>
      <c r="E4404">
        <v>1408.5128500000001</v>
      </c>
      <c r="F4404">
        <v>39</v>
      </c>
      <c r="G4404">
        <v>36.115714102564098</v>
      </c>
      <c r="H4404">
        <v>0.16714999999999999</v>
      </c>
      <c r="I4404">
        <v>91.527058391227598</v>
      </c>
    </row>
    <row r="4405" spans="1:9" x14ac:dyDescent="0.35">
      <c r="A4405" s="417" t="s">
        <v>846</v>
      </c>
      <c r="B4405" s="417" t="s">
        <v>680</v>
      </c>
      <c r="C4405" s="83">
        <v>46068</v>
      </c>
      <c r="D4405" s="417" t="s">
        <v>684</v>
      </c>
      <c r="E4405">
        <v>1413.0252666666699</v>
      </c>
      <c r="F4405">
        <v>26</v>
      </c>
      <c r="G4405">
        <v>54.347125641025599</v>
      </c>
      <c r="H4405">
        <v>24.149100000000001</v>
      </c>
      <c r="I4405">
        <v>55.896165244651101</v>
      </c>
    </row>
    <row r="4406" spans="1:9" x14ac:dyDescent="0.35">
      <c r="A4406" s="417" t="s">
        <v>846</v>
      </c>
      <c r="B4406" s="417" t="s">
        <v>680</v>
      </c>
      <c r="C4406" s="83">
        <v>46068</v>
      </c>
      <c r="D4406" s="417" t="s">
        <v>688</v>
      </c>
      <c r="E4406">
        <v>1400.6511</v>
      </c>
      <c r="F4406">
        <v>23</v>
      </c>
      <c r="G4406">
        <v>60.897873913043497</v>
      </c>
      <c r="H4406">
        <v>10.677049999999999</v>
      </c>
      <c r="I4406">
        <v>74.642466312882902</v>
      </c>
    </row>
    <row r="4407" spans="1:9" x14ac:dyDescent="0.35">
      <c r="A4407" s="417" t="s">
        <v>846</v>
      </c>
      <c r="B4407" s="417" t="s">
        <v>680</v>
      </c>
      <c r="C4407" s="83">
        <v>46068</v>
      </c>
      <c r="D4407" s="417" t="s">
        <v>690</v>
      </c>
      <c r="E4407">
        <v>1421.31416666667</v>
      </c>
      <c r="F4407">
        <v>17</v>
      </c>
      <c r="G4407">
        <v>83.606715686274498</v>
      </c>
      <c r="H4407">
        <v>11.1786333333333</v>
      </c>
      <c r="I4407">
        <v>77.2467607274627</v>
      </c>
    </row>
    <row r="4408" spans="1:9" x14ac:dyDescent="0.35">
      <c r="A4408" s="417" t="s">
        <v>846</v>
      </c>
      <c r="B4408" s="417" t="s">
        <v>680</v>
      </c>
      <c r="C4408" s="83">
        <v>46068</v>
      </c>
      <c r="D4408" s="417" t="s">
        <v>683</v>
      </c>
      <c r="E4408">
        <v>1410.0044499999999</v>
      </c>
      <c r="F4408">
        <v>16</v>
      </c>
      <c r="G4408">
        <v>88.125278124999994</v>
      </c>
      <c r="H4408">
        <v>0.34053333333333302</v>
      </c>
      <c r="I4408">
        <v>78.954806779391205</v>
      </c>
    </row>
    <row r="4409" spans="1:9" x14ac:dyDescent="0.35">
      <c r="A4409" s="417" t="s">
        <v>846</v>
      </c>
      <c r="B4409" s="417" t="s">
        <v>680</v>
      </c>
      <c r="C4409" s="83">
        <v>46068</v>
      </c>
      <c r="D4409" s="417" t="s">
        <v>687</v>
      </c>
      <c r="E4409">
        <v>1398.8171833333299</v>
      </c>
      <c r="F4409">
        <v>13</v>
      </c>
      <c r="G4409">
        <v>107.60132179487201</v>
      </c>
      <c r="H4409">
        <v>20.340216666666699</v>
      </c>
      <c r="I4409">
        <v>16.562196438790799</v>
      </c>
    </row>
    <row r="4410" spans="1:9" x14ac:dyDescent="0.35">
      <c r="A4410" s="417" t="s">
        <v>846</v>
      </c>
      <c r="B4410" s="417" t="s">
        <v>680</v>
      </c>
      <c r="C4410" s="83">
        <v>46068</v>
      </c>
      <c r="D4410" s="417" t="s">
        <v>682</v>
      </c>
      <c r="E4410">
        <v>1437.6657499999999</v>
      </c>
      <c r="F4410">
        <v>4</v>
      </c>
      <c r="G4410">
        <v>359.41643749999997</v>
      </c>
      <c r="H4410">
        <v>2.3342499999999999</v>
      </c>
      <c r="I4410">
        <v>55.464646464646499</v>
      </c>
    </row>
    <row r="4411" spans="1:9" x14ac:dyDescent="0.35">
      <c r="A4411" s="417" t="s">
        <v>846</v>
      </c>
      <c r="B4411" s="417" t="s">
        <v>680</v>
      </c>
      <c r="C4411" s="83">
        <v>46068</v>
      </c>
      <c r="D4411" s="417" t="s">
        <v>685</v>
      </c>
      <c r="E4411">
        <v>1424.1938666666699</v>
      </c>
      <c r="F4411">
        <v>4</v>
      </c>
      <c r="G4411">
        <v>356.04846666666703</v>
      </c>
      <c r="H4411">
        <v>4.8276666666666701</v>
      </c>
      <c r="I4411">
        <v>91.6685722228424</v>
      </c>
    </row>
    <row r="4412" spans="1:9" x14ac:dyDescent="0.35">
      <c r="A4412" s="417" t="s">
        <v>846</v>
      </c>
      <c r="B4412" s="417" t="s">
        <v>680</v>
      </c>
      <c r="C4412" s="83">
        <v>46068</v>
      </c>
      <c r="D4412" s="417" t="s">
        <v>686</v>
      </c>
      <c r="E4412">
        <v>1440</v>
      </c>
      <c r="F4412">
        <v>1</v>
      </c>
      <c r="G4412">
        <v>1440</v>
      </c>
      <c r="H4412">
        <v>0</v>
      </c>
      <c r="I4412">
        <v>30.5015151515152</v>
      </c>
    </row>
    <row r="4413" spans="1:9" x14ac:dyDescent="0.35">
      <c r="A4413" s="417" t="s">
        <v>846</v>
      </c>
      <c r="B4413" s="417" t="s">
        <v>691</v>
      </c>
      <c r="C4413" s="83">
        <v>46068</v>
      </c>
      <c r="D4413" s="417" t="s">
        <v>305</v>
      </c>
      <c r="E4413">
        <v>1278.1019833333301</v>
      </c>
      <c r="F4413">
        <v>143</v>
      </c>
      <c r="G4413">
        <v>8.9377761072261102</v>
      </c>
      <c r="H4413">
        <v>8.7143499999999996</v>
      </c>
      <c r="I4413">
        <v>44.889501465421397</v>
      </c>
    </row>
    <row r="4414" spans="1:9" x14ac:dyDescent="0.35">
      <c r="A4414" s="417" t="s">
        <v>846</v>
      </c>
      <c r="B4414" s="417" t="s">
        <v>691</v>
      </c>
      <c r="C4414" s="83">
        <v>46068</v>
      </c>
      <c r="D4414" s="417" t="s">
        <v>342</v>
      </c>
      <c r="E4414">
        <v>1087.4442833333301</v>
      </c>
      <c r="F4414">
        <v>120</v>
      </c>
      <c r="G4414">
        <v>9.0620356944444396</v>
      </c>
      <c r="H4414">
        <v>191.98033333333299</v>
      </c>
      <c r="I4414">
        <v>37.926587301587297</v>
      </c>
    </row>
    <row r="4415" spans="1:9" x14ac:dyDescent="0.35">
      <c r="A4415" s="417" t="s">
        <v>846</v>
      </c>
      <c r="B4415" s="417" t="s">
        <v>691</v>
      </c>
      <c r="C4415" s="83">
        <v>46068</v>
      </c>
      <c r="D4415" s="417" t="s">
        <v>299</v>
      </c>
      <c r="E4415">
        <v>1342.10241666667</v>
      </c>
      <c r="F4415">
        <v>85</v>
      </c>
      <c r="G4415">
        <v>15.789440196078401</v>
      </c>
      <c r="H4415">
        <v>0.51866666666666705</v>
      </c>
      <c r="I4415">
        <v>61.845722930115699</v>
      </c>
    </row>
    <row r="4416" spans="1:9" x14ac:dyDescent="0.35">
      <c r="A4416" s="417" t="s">
        <v>846</v>
      </c>
      <c r="B4416" s="417" t="s">
        <v>691</v>
      </c>
      <c r="C4416" s="83">
        <v>46068</v>
      </c>
      <c r="D4416" s="417" t="s">
        <v>309</v>
      </c>
      <c r="E4416">
        <v>1340.41368333333</v>
      </c>
      <c r="F4416">
        <v>81</v>
      </c>
      <c r="G4416">
        <v>16.548317078189299</v>
      </c>
      <c r="H4416">
        <v>0</v>
      </c>
      <c r="I4416">
        <v>49.711930851867201</v>
      </c>
    </row>
    <row r="4417" spans="1:9" x14ac:dyDescent="0.35">
      <c r="A4417" s="417" t="s">
        <v>846</v>
      </c>
      <c r="B4417" s="417" t="s">
        <v>691</v>
      </c>
      <c r="C4417" s="83">
        <v>46068</v>
      </c>
      <c r="D4417" s="417" t="s">
        <v>301</v>
      </c>
      <c r="E4417">
        <v>1351.9176833333299</v>
      </c>
      <c r="F4417">
        <v>75</v>
      </c>
      <c r="G4417">
        <v>18.0255691111111</v>
      </c>
      <c r="H4417">
        <v>3.4309166666666702</v>
      </c>
      <c r="I4417">
        <v>60.7238820983629</v>
      </c>
    </row>
    <row r="4418" spans="1:9" x14ac:dyDescent="0.35">
      <c r="A4418" s="417" t="s">
        <v>846</v>
      </c>
      <c r="B4418" s="417" t="s">
        <v>691</v>
      </c>
      <c r="C4418" s="83">
        <v>46068</v>
      </c>
      <c r="D4418" s="417" t="s">
        <v>295</v>
      </c>
      <c r="E4418">
        <v>1382.41941666667</v>
      </c>
      <c r="F4418">
        <v>28</v>
      </c>
      <c r="G4418">
        <v>49.372122023809503</v>
      </c>
      <c r="H4418">
        <v>9.3316666666666701E-2</v>
      </c>
      <c r="I4418">
        <v>64.757670383461303</v>
      </c>
    </row>
    <row r="4419" spans="1:9" x14ac:dyDescent="0.35">
      <c r="A4419" s="417" t="s">
        <v>846</v>
      </c>
      <c r="B4419" s="417" t="s">
        <v>691</v>
      </c>
      <c r="C4419" s="83">
        <v>46068</v>
      </c>
      <c r="D4419" s="417" t="s">
        <v>303</v>
      </c>
      <c r="E4419">
        <v>1395.5347999999999</v>
      </c>
      <c r="F4419">
        <v>25</v>
      </c>
      <c r="G4419">
        <v>55.821392000000003</v>
      </c>
      <c r="H4419">
        <v>0.109633333333333</v>
      </c>
      <c r="I4419">
        <v>57.160886579336299</v>
      </c>
    </row>
    <row r="4420" spans="1:9" x14ac:dyDescent="0.35">
      <c r="A4420" s="417" t="s">
        <v>846</v>
      </c>
      <c r="B4420" s="417" t="s">
        <v>691</v>
      </c>
      <c r="C4420" s="83">
        <v>46068</v>
      </c>
      <c r="D4420" s="417" t="s">
        <v>310</v>
      </c>
      <c r="E4420">
        <v>1311.3494499999999</v>
      </c>
      <c r="F4420">
        <v>11</v>
      </c>
      <c r="G4420">
        <v>119.213586363636</v>
      </c>
      <c r="H4420">
        <v>1.2483500000000001</v>
      </c>
      <c r="I4420">
        <v>58.552599638070397</v>
      </c>
    </row>
    <row r="4421" spans="1:9" x14ac:dyDescent="0.35">
      <c r="A4421" s="417" t="s">
        <v>846</v>
      </c>
      <c r="B4421" s="417" t="s">
        <v>691</v>
      </c>
      <c r="C4421" s="83">
        <v>46068</v>
      </c>
      <c r="D4421" s="417" t="s">
        <v>313</v>
      </c>
      <c r="E4421">
        <v>1412.3052666666699</v>
      </c>
      <c r="F4421">
        <v>5</v>
      </c>
      <c r="G4421">
        <v>282.46105333333298</v>
      </c>
      <c r="H4421">
        <v>8.5925333333333302</v>
      </c>
      <c r="I4421">
        <v>55.130332168134402</v>
      </c>
    </row>
    <row r="4422" spans="1:9" x14ac:dyDescent="0.35">
      <c r="A4422" s="417" t="s">
        <v>846</v>
      </c>
      <c r="B4422" s="417" t="s">
        <v>691</v>
      </c>
      <c r="C4422" s="83">
        <v>46068</v>
      </c>
      <c r="D4422" s="417" t="s">
        <v>314</v>
      </c>
      <c r="E4422">
        <v>1431.8733500000001</v>
      </c>
      <c r="F4422">
        <v>4</v>
      </c>
      <c r="G4422">
        <v>357.96833750000002</v>
      </c>
      <c r="H4422">
        <v>7.6300000000000007E-2</v>
      </c>
      <c r="I4422">
        <v>57.2287355205669</v>
      </c>
    </row>
    <row r="4423" spans="1:9" x14ac:dyDescent="0.35">
      <c r="A4423" s="417" t="s">
        <v>846</v>
      </c>
      <c r="B4423" s="417" t="s">
        <v>691</v>
      </c>
      <c r="C4423" s="83">
        <v>46068</v>
      </c>
      <c r="D4423" s="417" t="s">
        <v>317</v>
      </c>
      <c r="E4423">
        <v>1436.7730833333301</v>
      </c>
      <c r="F4423">
        <v>1</v>
      </c>
      <c r="G4423">
        <v>1436.7730833333301</v>
      </c>
      <c r="H4423">
        <v>0</v>
      </c>
      <c r="I4423">
        <v>52.120269281677899</v>
      </c>
    </row>
    <row r="4424" spans="1:9" x14ac:dyDescent="0.35">
      <c r="A4424" s="417" t="s">
        <v>846</v>
      </c>
      <c r="B4424" s="417" t="s">
        <v>691</v>
      </c>
      <c r="C4424" s="83">
        <v>46068</v>
      </c>
      <c r="D4424" s="417" t="s">
        <v>504</v>
      </c>
      <c r="E4424">
        <v>1440</v>
      </c>
      <c r="F4424">
        <v>1</v>
      </c>
      <c r="G4424">
        <v>1440</v>
      </c>
      <c r="H4424">
        <v>0</v>
      </c>
      <c r="I4424">
        <v>30.218055555555601</v>
      </c>
    </row>
    <row r="4425" spans="1:9" x14ac:dyDescent="0.35">
      <c r="A4425" s="417" t="s">
        <v>846</v>
      </c>
      <c r="B4425" s="417" t="s">
        <v>676</v>
      </c>
      <c r="C4425" s="83">
        <v>46067</v>
      </c>
      <c r="D4425" s="417" t="s">
        <v>677</v>
      </c>
      <c r="E4425">
        <v>1139.1436000000001</v>
      </c>
      <c r="F4425">
        <v>374</v>
      </c>
      <c r="G4425">
        <v>3.0458385026738002</v>
      </c>
      <c r="H4425">
        <v>179.49469999999999</v>
      </c>
      <c r="I4425">
        <v>6.7116666666666704</v>
      </c>
    </row>
    <row r="4426" spans="1:9" x14ac:dyDescent="0.35">
      <c r="A4426" s="417" t="s">
        <v>846</v>
      </c>
      <c r="B4426" s="417" t="s">
        <v>676</v>
      </c>
      <c r="C4426" s="83">
        <v>46067</v>
      </c>
      <c r="D4426" s="417" t="s">
        <v>679</v>
      </c>
      <c r="E4426">
        <v>1360.0000666666699</v>
      </c>
      <c r="F4426">
        <v>15</v>
      </c>
      <c r="G4426">
        <v>90.6666711111111</v>
      </c>
      <c r="H4426">
        <v>17.685583333333302</v>
      </c>
      <c r="I4426">
        <v>65.6262430644707</v>
      </c>
    </row>
    <row r="4427" spans="1:9" x14ac:dyDescent="0.35">
      <c r="A4427" s="417" t="s">
        <v>846</v>
      </c>
      <c r="B4427" s="417" t="s">
        <v>680</v>
      </c>
      <c r="C4427" s="83">
        <v>46067</v>
      </c>
      <c r="D4427" s="417" t="s">
        <v>681</v>
      </c>
      <c r="E4427">
        <v>1379.6890333333299</v>
      </c>
      <c r="F4427">
        <v>60</v>
      </c>
      <c r="G4427">
        <v>22.994817222222199</v>
      </c>
      <c r="H4427">
        <v>1.83148333333333</v>
      </c>
      <c r="I4427">
        <v>80.841065122019899</v>
      </c>
    </row>
    <row r="4428" spans="1:9" x14ac:dyDescent="0.35">
      <c r="A4428" s="417" t="s">
        <v>846</v>
      </c>
      <c r="B4428" s="417" t="s">
        <v>680</v>
      </c>
      <c r="C4428" s="83">
        <v>46067</v>
      </c>
      <c r="D4428" s="417" t="s">
        <v>689</v>
      </c>
      <c r="E4428">
        <v>1409.3341</v>
      </c>
      <c r="F4428">
        <v>36</v>
      </c>
      <c r="G4428">
        <v>39.148169444444399</v>
      </c>
      <c r="H4428">
        <v>0.16663333333333299</v>
      </c>
      <c r="I4428">
        <v>92.120645792696095</v>
      </c>
    </row>
    <row r="4429" spans="1:9" x14ac:dyDescent="0.35">
      <c r="A4429" s="417" t="s">
        <v>846</v>
      </c>
      <c r="B4429" s="417" t="s">
        <v>680</v>
      </c>
      <c r="C4429" s="83">
        <v>46067</v>
      </c>
      <c r="D4429" s="417" t="s">
        <v>688</v>
      </c>
      <c r="E4429">
        <v>1410.5803333333299</v>
      </c>
      <c r="F4429">
        <v>34</v>
      </c>
      <c r="G4429">
        <v>41.487656862745098</v>
      </c>
      <c r="H4429">
        <v>13.185233333333301</v>
      </c>
      <c r="I4429">
        <v>79.904776582099402</v>
      </c>
    </row>
    <row r="4430" spans="1:9" x14ac:dyDescent="0.35">
      <c r="A4430" s="417" t="s">
        <v>846</v>
      </c>
      <c r="B4430" s="417" t="s">
        <v>680</v>
      </c>
      <c r="C4430" s="83">
        <v>46067</v>
      </c>
      <c r="D4430" s="417" t="s">
        <v>684</v>
      </c>
      <c r="E4430">
        <v>1389.1176</v>
      </c>
      <c r="F4430">
        <v>31</v>
      </c>
      <c r="G4430">
        <v>44.810245161290297</v>
      </c>
      <c r="H4430">
        <v>33.297400000000003</v>
      </c>
      <c r="I4430">
        <v>55.279634907798602</v>
      </c>
    </row>
    <row r="4431" spans="1:9" x14ac:dyDescent="0.35">
      <c r="A4431" s="417" t="s">
        <v>846</v>
      </c>
      <c r="B4431" s="417" t="s">
        <v>680</v>
      </c>
      <c r="C4431" s="83">
        <v>46067</v>
      </c>
      <c r="D4431" s="417" t="s">
        <v>683</v>
      </c>
      <c r="E4431">
        <v>1391.18278333333</v>
      </c>
      <c r="F4431">
        <v>27</v>
      </c>
      <c r="G4431">
        <v>51.5252882716049</v>
      </c>
      <c r="H4431">
        <v>4.6690500000000004</v>
      </c>
      <c r="I4431">
        <v>82.081229714939795</v>
      </c>
    </row>
    <row r="4432" spans="1:9" x14ac:dyDescent="0.35">
      <c r="A4432" s="417" t="s">
        <v>846</v>
      </c>
      <c r="B4432" s="417" t="s">
        <v>680</v>
      </c>
      <c r="C4432" s="83">
        <v>46067</v>
      </c>
      <c r="D4432" s="417" t="s">
        <v>687</v>
      </c>
      <c r="E4432">
        <v>1357.2011333333301</v>
      </c>
      <c r="F4432">
        <v>25</v>
      </c>
      <c r="G4432">
        <v>54.288045333333301</v>
      </c>
      <c r="H4432">
        <v>26.273233333333302</v>
      </c>
      <c r="I4432">
        <v>21.242708252846299</v>
      </c>
    </row>
    <row r="4433" spans="1:9" x14ac:dyDescent="0.35">
      <c r="A4433" s="417" t="s">
        <v>846</v>
      </c>
      <c r="B4433" s="417" t="s">
        <v>680</v>
      </c>
      <c r="C4433" s="83">
        <v>46067</v>
      </c>
      <c r="D4433" s="417" t="s">
        <v>690</v>
      </c>
      <c r="E4433">
        <v>1422.501</v>
      </c>
      <c r="F4433">
        <v>19</v>
      </c>
      <c r="G4433">
        <v>74.8684736842105</v>
      </c>
      <c r="H4433">
        <v>3.62726666666667</v>
      </c>
      <c r="I4433">
        <v>79.619906556924406</v>
      </c>
    </row>
    <row r="4434" spans="1:9" x14ac:dyDescent="0.35">
      <c r="A4434" s="417" t="s">
        <v>846</v>
      </c>
      <c r="B4434" s="417" t="s">
        <v>680</v>
      </c>
      <c r="C4434" s="83">
        <v>46067</v>
      </c>
      <c r="D4434" s="417" t="s">
        <v>685</v>
      </c>
      <c r="E4434">
        <v>1423.3634666666701</v>
      </c>
      <c r="F4434">
        <v>7</v>
      </c>
      <c r="G4434">
        <v>203.33763809523799</v>
      </c>
      <c r="H4434">
        <v>9.7278000000000002</v>
      </c>
      <c r="I4434">
        <v>91.530045672533703</v>
      </c>
    </row>
    <row r="4435" spans="1:9" x14ac:dyDescent="0.35">
      <c r="A4435" s="417" t="s">
        <v>846</v>
      </c>
      <c r="B4435" s="417" t="s">
        <v>680</v>
      </c>
      <c r="C4435" s="83">
        <v>46067</v>
      </c>
      <c r="D4435" s="417" t="s">
        <v>682</v>
      </c>
      <c r="E4435">
        <v>1437.3207</v>
      </c>
      <c r="F4435">
        <v>4</v>
      </c>
      <c r="G4435">
        <v>359.330175</v>
      </c>
      <c r="H4435">
        <v>2.6793</v>
      </c>
      <c r="I4435">
        <v>55.020202020201999</v>
      </c>
    </row>
    <row r="4436" spans="1:9" x14ac:dyDescent="0.35">
      <c r="A4436" s="417" t="s">
        <v>846</v>
      </c>
      <c r="B4436" s="417" t="s">
        <v>680</v>
      </c>
      <c r="C4436" s="83">
        <v>46067</v>
      </c>
      <c r="D4436" s="417" t="s">
        <v>686</v>
      </c>
      <c r="E4436">
        <v>1440</v>
      </c>
      <c r="F4436">
        <v>1</v>
      </c>
      <c r="G4436">
        <v>1440</v>
      </c>
      <c r="H4436">
        <v>0</v>
      </c>
      <c r="I4436">
        <v>34.714267676767697</v>
      </c>
    </row>
    <row r="4437" spans="1:9" x14ac:dyDescent="0.35">
      <c r="A4437" s="417" t="s">
        <v>846</v>
      </c>
      <c r="B4437" s="417" t="s">
        <v>691</v>
      </c>
      <c r="C4437" s="83">
        <v>46067</v>
      </c>
      <c r="D4437" s="417" t="s">
        <v>305</v>
      </c>
      <c r="E4437">
        <v>936.59261666666703</v>
      </c>
      <c r="F4437">
        <v>79</v>
      </c>
      <c r="G4437">
        <v>11.855602742616</v>
      </c>
      <c r="H4437">
        <v>3.8641999999999999</v>
      </c>
      <c r="I4437">
        <v>56.6230124286242</v>
      </c>
    </row>
    <row r="4438" spans="1:9" x14ac:dyDescent="0.35">
      <c r="A4438" s="417" t="s">
        <v>846</v>
      </c>
      <c r="B4438" s="417" t="s">
        <v>691</v>
      </c>
      <c r="C4438" s="83">
        <v>46067</v>
      </c>
      <c r="D4438" s="417" t="s">
        <v>309</v>
      </c>
      <c r="E4438">
        <v>864.28948333333301</v>
      </c>
      <c r="F4438">
        <v>65</v>
      </c>
      <c r="G4438">
        <v>13.2967612820513</v>
      </c>
      <c r="H4438">
        <v>0</v>
      </c>
      <c r="I4438">
        <v>56.052584684200802</v>
      </c>
    </row>
    <row r="4439" spans="1:9" x14ac:dyDescent="0.35">
      <c r="A4439" s="417" t="s">
        <v>846</v>
      </c>
      <c r="B4439" s="417" t="s">
        <v>691</v>
      </c>
      <c r="C4439" s="83">
        <v>46067</v>
      </c>
      <c r="D4439" s="417" t="s">
        <v>299</v>
      </c>
      <c r="E4439">
        <v>756.55169999999998</v>
      </c>
      <c r="F4439">
        <v>32</v>
      </c>
      <c r="G4439">
        <v>23.642240624999999</v>
      </c>
      <c r="H4439">
        <v>0.37831666666666702</v>
      </c>
      <c r="I4439">
        <v>57.482974104977899</v>
      </c>
    </row>
    <row r="4440" spans="1:9" x14ac:dyDescent="0.35">
      <c r="A4440" s="417" t="s">
        <v>846</v>
      </c>
      <c r="B4440" s="417" t="s">
        <v>691</v>
      </c>
      <c r="C4440" s="83">
        <v>46067</v>
      </c>
      <c r="D4440" s="417" t="s">
        <v>303</v>
      </c>
      <c r="E4440">
        <v>1351.36275</v>
      </c>
      <c r="F4440">
        <v>32</v>
      </c>
      <c r="G4440">
        <v>42.2300859375</v>
      </c>
      <c r="H4440">
        <v>0.41766666666666702</v>
      </c>
      <c r="I4440">
        <v>30.458529664501398</v>
      </c>
    </row>
    <row r="4441" spans="1:9" x14ac:dyDescent="0.35">
      <c r="A4441" s="417" t="s">
        <v>846</v>
      </c>
      <c r="B4441" s="417" t="s">
        <v>691</v>
      </c>
      <c r="C4441" s="83">
        <v>46067</v>
      </c>
      <c r="D4441" s="417" t="s">
        <v>295</v>
      </c>
      <c r="E4441">
        <v>1354.4782666666699</v>
      </c>
      <c r="F4441">
        <v>31</v>
      </c>
      <c r="G4441">
        <v>43.692847311827997</v>
      </c>
      <c r="H4441">
        <v>0.19416666666666699</v>
      </c>
      <c r="I4441">
        <v>30.6111664475821</v>
      </c>
    </row>
    <row r="4442" spans="1:9" x14ac:dyDescent="0.35">
      <c r="A4442" s="417" t="s">
        <v>846</v>
      </c>
      <c r="B4442" s="417" t="s">
        <v>691</v>
      </c>
      <c r="C4442" s="83">
        <v>46067</v>
      </c>
      <c r="D4442" s="417" t="s">
        <v>342</v>
      </c>
      <c r="E4442">
        <v>533.287916666667</v>
      </c>
      <c r="F4442">
        <v>31</v>
      </c>
      <c r="G4442">
        <v>17.202836021505401</v>
      </c>
      <c r="H4442">
        <v>66.712083333333297</v>
      </c>
      <c r="I4442">
        <v>20.904761904761902</v>
      </c>
    </row>
    <row r="4443" spans="1:9" x14ac:dyDescent="0.35">
      <c r="A4443" s="417" t="s">
        <v>846</v>
      </c>
      <c r="B4443" s="417" t="s">
        <v>691</v>
      </c>
      <c r="C4443" s="83">
        <v>46067</v>
      </c>
      <c r="D4443" s="417" t="s">
        <v>301</v>
      </c>
      <c r="E4443">
        <v>1401.6609166666699</v>
      </c>
      <c r="F4443">
        <v>21</v>
      </c>
      <c r="G4443">
        <v>66.7457579365079</v>
      </c>
      <c r="H4443">
        <v>3.0382500000000001</v>
      </c>
      <c r="I4443">
        <v>27.935425871433502</v>
      </c>
    </row>
    <row r="4444" spans="1:9" x14ac:dyDescent="0.35">
      <c r="A4444" s="417" t="s">
        <v>846</v>
      </c>
      <c r="B4444" s="417" t="s">
        <v>691</v>
      </c>
      <c r="C4444" s="83">
        <v>46067</v>
      </c>
      <c r="D4444" s="417" t="s">
        <v>310</v>
      </c>
      <c r="E4444">
        <v>738.39801666666699</v>
      </c>
      <c r="F4444">
        <v>8</v>
      </c>
      <c r="G4444">
        <v>92.299752083333303</v>
      </c>
      <c r="H4444">
        <v>1.8173333333333299</v>
      </c>
      <c r="I4444">
        <v>43.978061809746599</v>
      </c>
    </row>
    <row r="4445" spans="1:9" x14ac:dyDescent="0.35">
      <c r="A4445" s="417" t="s">
        <v>846</v>
      </c>
      <c r="B4445" s="417" t="s">
        <v>691</v>
      </c>
      <c r="C4445" s="83">
        <v>46067</v>
      </c>
      <c r="D4445" s="417" t="s">
        <v>314</v>
      </c>
      <c r="E4445">
        <v>1391.3234333333301</v>
      </c>
      <c r="F4445">
        <v>5</v>
      </c>
      <c r="G4445">
        <v>278.26468666666699</v>
      </c>
      <c r="H4445">
        <v>0.101583333333333</v>
      </c>
      <c r="I4445">
        <v>23.444512179247599</v>
      </c>
    </row>
    <row r="4446" spans="1:9" x14ac:dyDescent="0.35">
      <c r="A4446" s="417" t="s">
        <v>846</v>
      </c>
      <c r="B4446" s="417" t="s">
        <v>691</v>
      </c>
      <c r="C4446" s="83">
        <v>46067</v>
      </c>
      <c r="D4446" s="417" t="s">
        <v>313</v>
      </c>
      <c r="E4446">
        <v>1292.6903666666699</v>
      </c>
      <c r="F4446">
        <v>3</v>
      </c>
      <c r="G4446">
        <v>430.89678888888898</v>
      </c>
      <c r="H4446">
        <v>0</v>
      </c>
      <c r="I4446">
        <v>28.101332008995399</v>
      </c>
    </row>
    <row r="4447" spans="1:9" x14ac:dyDescent="0.35">
      <c r="A4447" s="417" t="s">
        <v>846</v>
      </c>
      <c r="B4447" s="417" t="s">
        <v>691</v>
      </c>
      <c r="C4447" s="83">
        <v>46067</v>
      </c>
      <c r="D4447" s="417" t="s">
        <v>317</v>
      </c>
      <c r="E4447">
        <v>1436.9777833333301</v>
      </c>
      <c r="F4447">
        <v>2</v>
      </c>
      <c r="G4447">
        <v>718.48889166666697</v>
      </c>
      <c r="H4447">
        <v>1.86046666666667</v>
      </c>
      <c r="I4447">
        <v>27.035700503513802</v>
      </c>
    </row>
    <row r="4448" spans="1:9" x14ac:dyDescent="0.35">
      <c r="A4448" s="417" t="s">
        <v>846</v>
      </c>
      <c r="B4448" s="417" t="s">
        <v>691</v>
      </c>
      <c r="C4448" s="83">
        <v>46067</v>
      </c>
      <c r="D4448" s="417" t="s">
        <v>504</v>
      </c>
      <c r="E4448">
        <v>1440</v>
      </c>
      <c r="F4448">
        <v>1</v>
      </c>
      <c r="G4448">
        <v>1440</v>
      </c>
      <c r="H4448">
        <v>0</v>
      </c>
      <c r="I4448">
        <v>22.711265432098799</v>
      </c>
    </row>
    <row r="4449" spans="1:9" x14ac:dyDescent="0.35">
      <c r="A4449" s="417" t="s">
        <v>846</v>
      </c>
      <c r="B4449" s="417" t="s">
        <v>676</v>
      </c>
      <c r="C4449" s="83">
        <v>46066</v>
      </c>
      <c r="D4449" s="417" t="s">
        <v>677</v>
      </c>
      <c r="E4449">
        <v>1118.7173666666699</v>
      </c>
      <c r="F4449">
        <v>425</v>
      </c>
      <c r="G4449">
        <v>2.63227615686275</v>
      </c>
      <c r="H4449">
        <v>222.44091666666699</v>
      </c>
      <c r="I4449">
        <v>4.2080555555555703</v>
      </c>
    </row>
    <row r="4450" spans="1:9" x14ac:dyDescent="0.35">
      <c r="A4450" s="417" t="s">
        <v>846</v>
      </c>
      <c r="B4450" s="417" t="s">
        <v>676</v>
      </c>
      <c r="C4450" s="83">
        <v>46066</v>
      </c>
      <c r="D4450" s="417" t="s">
        <v>679</v>
      </c>
      <c r="E4450">
        <v>1338.15298333333</v>
      </c>
      <c r="F4450">
        <v>12</v>
      </c>
      <c r="G4450">
        <v>111.51274861111099</v>
      </c>
      <c r="H4450">
        <v>17.154416666666702</v>
      </c>
      <c r="I4450">
        <v>67.333555964253307</v>
      </c>
    </row>
    <row r="4451" spans="1:9" x14ac:dyDescent="0.35">
      <c r="A4451" s="417" t="s">
        <v>846</v>
      </c>
      <c r="B4451" s="417" t="s">
        <v>680</v>
      </c>
      <c r="C4451" s="83">
        <v>46066</v>
      </c>
      <c r="D4451" s="417" t="s">
        <v>687</v>
      </c>
      <c r="E4451">
        <v>1367.26373333333</v>
      </c>
      <c r="F4451">
        <v>45</v>
      </c>
      <c r="G4451">
        <v>30.383638518518499</v>
      </c>
      <c r="H4451">
        <v>54.9029666666667</v>
      </c>
      <c r="I4451">
        <v>24.590008266324102</v>
      </c>
    </row>
    <row r="4452" spans="1:9" x14ac:dyDescent="0.35">
      <c r="A4452" s="417" t="s">
        <v>846</v>
      </c>
      <c r="B4452" s="417" t="s">
        <v>680</v>
      </c>
      <c r="C4452" s="83">
        <v>46066</v>
      </c>
      <c r="D4452" s="417" t="s">
        <v>688</v>
      </c>
      <c r="E4452">
        <v>1389.15255</v>
      </c>
      <c r="F4452">
        <v>43</v>
      </c>
      <c r="G4452">
        <v>32.305873255813999</v>
      </c>
      <c r="H4452">
        <v>22.183800000000002</v>
      </c>
      <c r="I4452">
        <v>75.110915073523998</v>
      </c>
    </row>
    <row r="4453" spans="1:9" x14ac:dyDescent="0.35">
      <c r="A4453" s="417" t="s">
        <v>846</v>
      </c>
      <c r="B4453" s="417" t="s">
        <v>680</v>
      </c>
      <c r="C4453" s="83">
        <v>46066</v>
      </c>
      <c r="D4453" s="417" t="s">
        <v>689</v>
      </c>
      <c r="E4453">
        <v>1406.19198333333</v>
      </c>
      <c r="F4453">
        <v>38</v>
      </c>
      <c r="G4453">
        <v>37.005052192982497</v>
      </c>
      <c r="H4453">
        <v>1.84175</v>
      </c>
      <c r="I4453">
        <v>92.259772834125698</v>
      </c>
    </row>
    <row r="4454" spans="1:9" x14ac:dyDescent="0.35">
      <c r="A4454" s="417" t="s">
        <v>846</v>
      </c>
      <c r="B4454" s="417" t="s">
        <v>680</v>
      </c>
      <c r="C4454" s="83">
        <v>46066</v>
      </c>
      <c r="D4454" s="417" t="s">
        <v>681</v>
      </c>
      <c r="E4454">
        <v>1417.25628333333</v>
      </c>
      <c r="F4454">
        <v>33</v>
      </c>
      <c r="G4454">
        <v>42.947160101010098</v>
      </c>
      <c r="H4454">
        <v>1.1751833333333299</v>
      </c>
      <c r="I4454">
        <v>75.766167863510105</v>
      </c>
    </row>
    <row r="4455" spans="1:9" x14ac:dyDescent="0.35">
      <c r="A4455" s="417" t="s">
        <v>846</v>
      </c>
      <c r="B4455" s="417" t="s">
        <v>680</v>
      </c>
      <c r="C4455" s="83">
        <v>46066</v>
      </c>
      <c r="D4455" s="417" t="s">
        <v>683</v>
      </c>
      <c r="E4455">
        <v>1398.7935500000001</v>
      </c>
      <c r="F4455">
        <v>28</v>
      </c>
      <c r="G4455">
        <v>49.956912500000001</v>
      </c>
      <c r="H4455">
        <v>8.3327500000000008</v>
      </c>
      <c r="I4455">
        <v>85.853931435767606</v>
      </c>
    </row>
    <row r="4456" spans="1:9" x14ac:dyDescent="0.35">
      <c r="A4456" s="417" t="s">
        <v>846</v>
      </c>
      <c r="B4456" s="417" t="s">
        <v>680</v>
      </c>
      <c r="C4456" s="83">
        <v>46066</v>
      </c>
      <c r="D4456" s="417" t="s">
        <v>684</v>
      </c>
      <c r="E4456">
        <v>1412.67816666667</v>
      </c>
      <c r="F4456">
        <v>21</v>
      </c>
      <c r="G4456">
        <v>67.270388888888903</v>
      </c>
      <c r="H4456">
        <v>25.488849999999999</v>
      </c>
      <c r="I4456">
        <v>64.201798553908603</v>
      </c>
    </row>
    <row r="4457" spans="1:9" x14ac:dyDescent="0.35">
      <c r="A4457" s="417" t="s">
        <v>846</v>
      </c>
      <c r="B4457" s="417" t="s">
        <v>680</v>
      </c>
      <c r="C4457" s="83">
        <v>46066</v>
      </c>
      <c r="D4457" s="417" t="s">
        <v>690</v>
      </c>
      <c r="E4457">
        <v>1427.5207166666701</v>
      </c>
      <c r="F4457">
        <v>16</v>
      </c>
      <c r="G4457">
        <v>89.220044791666695</v>
      </c>
      <c r="H4457">
        <v>4.8251833333333298</v>
      </c>
      <c r="I4457">
        <v>83.896323163600499</v>
      </c>
    </row>
    <row r="4458" spans="1:9" x14ac:dyDescent="0.35">
      <c r="A4458" s="417" t="s">
        <v>846</v>
      </c>
      <c r="B4458" s="417" t="s">
        <v>680</v>
      </c>
      <c r="C4458" s="83">
        <v>46066</v>
      </c>
      <c r="D4458" s="417" t="s">
        <v>682</v>
      </c>
      <c r="E4458">
        <v>1433.50755</v>
      </c>
      <c r="F4458">
        <v>12</v>
      </c>
      <c r="G4458">
        <v>119.4589625</v>
      </c>
      <c r="H4458">
        <v>6.4924499999999998</v>
      </c>
      <c r="I4458">
        <v>62.545454545454497</v>
      </c>
    </row>
    <row r="4459" spans="1:9" x14ac:dyDescent="0.35">
      <c r="A4459" s="417" t="s">
        <v>846</v>
      </c>
      <c r="B4459" s="417" t="s">
        <v>680</v>
      </c>
      <c r="C4459" s="83">
        <v>46066</v>
      </c>
      <c r="D4459" s="417" t="s">
        <v>685</v>
      </c>
      <c r="E4459">
        <v>1430.6728166666701</v>
      </c>
      <c r="F4459">
        <v>10</v>
      </c>
      <c r="G4459">
        <v>143.06728166666699</v>
      </c>
      <c r="H4459">
        <v>3.3344999999999998</v>
      </c>
      <c r="I4459">
        <v>90.631974698953101</v>
      </c>
    </row>
    <row r="4460" spans="1:9" x14ac:dyDescent="0.35">
      <c r="A4460" s="417" t="s">
        <v>846</v>
      </c>
      <c r="B4460" s="417" t="s">
        <v>680</v>
      </c>
      <c r="C4460" s="83">
        <v>46066</v>
      </c>
      <c r="D4460" s="417" t="s">
        <v>686</v>
      </c>
      <c r="E4460">
        <v>1440</v>
      </c>
      <c r="F4460">
        <v>1</v>
      </c>
      <c r="G4460">
        <v>1440</v>
      </c>
      <c r="H4460">
        <v>0</v>
      </c>
      <c r="I4460">
        <v>41.934343434343397</v>
      </c>
    </row>
    <row r="4461" spans="1:9" x14ac:dyDescent="0.35">
      <c r="A4461" s="417" t="s">
        <v>846</v>
      </c>
      <c r="B4461" s="417" t="s">
        <v>691</v>
      </c>
      <c r="C4461" s="83">
        <v>46066</v>
      </c>
      <c r="D4461" s="417" t="s">
        <v>309</v>
      </c>
      <c r="E4461">
        <v>1019.7582</v>
      </c>
      <c r="F4461">
        <v>99</v>
      </c>
      <c r="G4461">
        <v>10.300587878787899</v>
      </c>
      <c r="H4461">
        <v>0</v>
      </c>
      <c r="I4461">
        <v>52.458193975599798</v>
      </c>
    </row>
    <row r="4462" spans="1:9" x14ac:dyDescent="0.35">
      <c r="A4462" s="417" t="s">
        <v>846</v>
      </c>
      <c r="B4462" s="417" t="s">
        <v>691</v>
      </c>
      <c r="C4462" s="83">
        <v>46066</v>
      </c>
      <c r="D4462" s="417" t="s">
        <v>305</v>
      </c>
      <c r="E4462">
        <v>1158.26516666667</v>
      </c>
      <c r="F4462">
        <v>66</v>
      </c>
      <c r="G4462">
        <v>17.549472222222199</v>
      </c>
      <c r="H4462">
        <v>11.9116</v>
      </c>
      <c r="I4462">
        <v>63.849185018506198</v>
      </c>
    </row>
    <row r="4463" spans="1:9" x14ac:dyDescent="0.35">
      <c r="A4463" s="417" t="s">
        <v>846</v>
      </c>
      <c r="B4463" s="417" t="s">
        <v>691</v>
      </c>
      <c r="C4463" s="83">
        <v>46066</v>
      </c>
      <c r="D4463" s="417" t="s">
        <v>301</v>
      </c>
      <c r="E4463">
        <v>1325.9898333333299</v>
      </c>
      <c r="F4463">
        <v>61</v>
      </c>
      <c r="G4463">
        <v>21.7375382513661</v>
      </c>
      <c r="H4463">
        <v>4.41231666666667</v>
      </c>
      <c r="I4463">
        <v>68.749204634705805</v>
      </c>
    </row>
    <row r="4464" spans="1:9" x14ac:dyDescent="0.35">
      <c r="A4464" s="417" t="s">
        <v>846</v>
      </c>
      <c r="B4464" s="417" t="s">
        <v>691</v>
      </c>
      <c r="C4464" s="83">
        <v>46066</v>
      </c>
      <c r="D4464" s="417" t="s">
        <v>299</v>
      </c>
      <c r="E4464">
        <v>1369.82621666667</v>
      </c>
      <c r="F4464">
        <v>60</v>
      </c>
      <c r="G4464">
        <v>22.830436944444401</v>
      </c>
      <c r="H4464">
        <v>0.144133333333333</v>
      </c>
      <c r="I4464">
        <v>99.577506726500104</v>
      </c>
    </row>
    <row r="4465" spans="1:9" x14ac:dyDescent="0.35">
      <c r="A4465" s="417" t="s">
        <v>846</v>
      </c>
      <c r="B4465" s="417" t="s">
        <v>691</v>
      </c>
      <c r="C4465" s="83">
        <v>46066</v>
      </c>
      <c r="D4465" s="417" t="s">
        <v>303</v>
      </c>
      <c r="E4465">
        <v>1367.51685</v>
      </c>
      <c r="F4465">
        <v>59</v>
      </c>
      <c r="G4465">
        <v>23.1782516949153</v>
      </c>
      <c r="H4465">
        <v>0.30408333333333298</v>
      </c>
      <c r="I4465">
        <v>66.379676355163596</v>
      </c>
    </row>
    <row r="4466" spans="1:9" x14ac:dyDescent="0.35">
      <c r="A4466" s="417" t="s">
        <v>846</v>
      </c>
      <c r="B4466" s="417" t="s">
        <v>691</v>
      </c>
      <c r="C4466" s="83">
        <v>46066</v>
      </c>
      <c r="D4466" s="417" t="s">
        <v>295</v>
      </c>
      <c r="E4466">
        <v>1355.59631666667</v>
      </c>
      <c r="F4466">
        <v>45</v>
      </c>
      <c r="G4466">
        <v>30.1243625925926</v>
      </c>
      <c r="H4466">
        <v>1.0133000000000001</v>
      </c>
      <c r="I4466">
        <v>68.106329597589095</v>
      </c>
    </row>
    <row r="4467" spans="1:9" x14ac:dyDescent="0.35">
      <c r="A4467" s="417" t="s">
        <v>846</v>
      </c>
      <c r="B4467" s="417" t="s">
        <v>691</v>
      </c>
      <c r="C4467" s="83">
        <v>46066</v>
      </c>
      <c r="D4467" s="417" t="s">
        <v>310</v>
      </c>
      <c r="E4467">
        <v>1199.95166666667</v>
      </c>
      <c r="F4467">
        <v>26</v>
      </c>
      <c r="G4467">
        <v>46.1519871794872</v>
      </c>
      <c r="H4467">
        <v>0.59871666666666701</v>
      </c>
      <c r="I4467">
        <v>57.217446814931797</v>
      </c>
    </row>
    <row r="4468" spans="1:9" x14ac:dyDescent="0.35">
      <c r="A4468" s="417" t="s">
        <v>846</v>
      </c>
      <c r="B4468" s="417" t="s">
        <v>691</v>
      </c>
      <c r="C4468" s="83">
        <v>46066</v>
      </c>
      <c r="D4468" s="417" t="s">
        <v>314</v>
      </c>
      <c r="E4468">
        <v>1401.1630500000001</v>
      </c>
      <c r="F4468">
        <v>13</v>
      </c>
      <c r="G4468">
        <v>107.781773076923</v>
      </c>
      <c r="H4468">
        <v>0.3392</v>
      </c>
      <c r="I4468">
        <v>63.427601238623801</v>
      </c>
    </row>
    <row r="4469" spans="1:9" x14ac:dyDescent="0.35">
      <c r="A4469" s="417" t="s">
        <v>846</v>
      </c>
      <c r="B4469" s="417" t="s">
        <v>691</v>
      </c>
      <c r="C4469" s="83">
        <v>46066</v>
      </c>
      <c r="D4469" s="417" t="s">
        <v>313</v>
      </c>
      <c r="E4469">
        <v>1399.8458499999999</v>
      </c>
      <c r="F4469">
        <v>9</v>
      </c>
      <c r="G4469">
        <v>155.538427777778</v>
      </c>
      <c r="H4469">
        <v>0</v>
      </c>
      <c r="I4469">
        <v>68.658907121466697</v>
      </c>
    </row>
    <row r="4470" spans="1:9" x14ac:dyDescent="0.35">
      <c r="A4470" s="417" t="s">
        <v>846</v>
      </c>
      <c r="B4470" s="417" t="s">
        <v>691</v>
      </c>
      <c r="C4470" s="83">
        <v>46066</v>
      </c>
      <c r="D4470" s="417" t="s">
        <v>317</v>
      </c>
      <c r="E4470">
        <v>1428.4471166666699</v>
      </c>
      <c r="F4470">
        <v>5</v>
      </c>
      <c r="G4470">
        <v>285.68942333333302</v>
      </c>
      <c r="H4470">
        <v>4.8081166666666704</v>
      </c>
      <c r="I4470">
        <v>60.502133872085203</v>
      </c>
    </row>
    <row r="4471" spans="1:9" x14ac:dyDescent="0.35">
      <c r="A4471" s="417" t="s">
        <v>846</v>
      </c>
      <c r="B4471" s="417" t="s">
        <v>691</v>
      </c>
      <c r="C4471" s="83">
        <v>46066</v>
      </c>
      <c r="D4471" s="417" t="s">
        <v>504</v>
      </c>
      <c r="E4471">
        <v>960</v>
      </c>
      <c r="F4471">
        <v>1</v>
      </c>
      <c r="G4471">
        <v>960</v>
      </c>
      <c r="H4471">
        <v>0</v>
      </c>
      <c r="I4471">
        <v>16.513425925925901</v>
      </c>
    </row>
    <row r="4472" spans="1:9" x14ac:dyDescent="0.35">
      <c r="A4472" s="417" t="s">
        <v>846</v>
      </c>
      <c r="B4472" s="417" t="s">
        <v>676</v>
      </c>
      <c r="C4472" s="83">
        <v>46065</v>
      </c>
      <c r="D4472" s="417" t="s">
        <v>677</v>
      </c>
      <c r="E4472">
        <v>1340.5159166666699</v>
      </c>
      <c r="F4472">
        <v>181</v>
      </c>
      <c r="G4472">
        <v>7.4061652854512001</v>
      </c>
      <c r="H4472">
        <v>99.484083333333402</v>
      </c>
      <c r="I4472">
        <v>0.97472222222224902</v>
      </c>
    </row>
    <row r="4473" spans="1:9" x14ac:dyDescent="0.35">
      <c r="A4473" s="417" t="s">
        <v>846</v>
      </c>
      <c r="B4473" s="417" t="s">
        <v>676</v>
      </c>
      <c r="C4473" s="83">
        <v>46065</v>
      </c>
      <c r="D4473" s="417" t="s">
        <v>679</v>
      </c>
      <c r="E4473">
        <v>1384.45975</v>
      </c>
      <c r="F4473">
        <v>25</v>
      </c>
      <c r="G4473">
        <v>55.378390000000003</v>
      </c>
      <c r="H4473">
        <v>16.676950000000001</v>
      </c>
      <c r="I4473">
        <v>100.700857144536</v>
      </c>
    </row>
    <row r="4474" spans="1:9" x14ac:dyDescent="0.35">
      <c r="A4474" s="417" t="s">
        <v>846</v>
      </c>
      <c r="B4474" s="417" t="s">
        <v>680</v>
      </c>
      <c r="C4474" s="83">
        <v>46065</v>
      </c>
      <c r="D4474" s="417" t="s">
        <v>681</v>
      </c>
      <c r="E4474">
        <v>1353.1711666666699</v>
      </c>
      <c r="F4474">
        <v>86</v>
      </c>
      <c r="G4474">
        <v>15.734548449612401</v>
      </c>
      <c r="H4474">
        <v>1.8306833333333301</v>
      </c>
      <c r="I4474">
        <v>47.579850731709499</v>
      </c>
    </row>
    <row r="4475" spans="1:9" x14ac:dyDescent="0.35">
      <c r="A4475" s="417" t="s">
        <v>846</v>
      </c>
      <c r="B4475" s="417" t="s">
        <v>680</v>
      </c>
      <c r="C4475" s="83">
        <v>46065</v>
      </c>
      <c r="D4475" s="417" t="s">
        <v>684</v>
      </c>
      <c r="E4475">
        <v>1317.9963499999999</v>
      </c>
      <c r="F4475">
        <v>81</v>
      </c>
      <c r="G4475">
        <v>16.271559876543201</v>
      </c>
      <c r="H4475">
        <v>64.680149999999998</v>
      </c>
      <c r="I4475">
        <v>34.6107908954178</v>
      </c>
    </row>
    <row r="4476" spans="1:9" x14ac:dyDescent="0.35">
      <c r="A4476" s="417" t="s">
        <v>846</v>
      </c>
      <c r="B4476" s="417" t="s">
        <v>680</v>
      </c>
      <c r="C4476" s="83">
        <v>46065</v>
      </c>
      <c r="D4476" s="417" t="s">
        <v>683</v>
      </c>
      <c r="E4476">
        <v>1339.4531500000001</v>
      </c>
      <c r="F4476">
        <v>72</v>
      </c>
      <c r="G4476">
        <v>18.603515972222201</v>
      </c>
      <c r="H4476">
        <v>11.841416666666699</v>
      </c>
      <c r="I4476">
        <v>61.326206023163003</v>
      </c>
    </row>
    <row r="4477" spans="1:9" x14ac:dyDescent="0.35">
      <c r="A4477" s="417" t="s">
        <v>846</v>
      </c>
      <c r="B4477" s="417" t="s">
        <v>680</v>
      </c>
      <c r="C4477" s="83">
        <v>46065</v>
      </c>
      <c r="D4477" s="417" t="s">
        <v>689</v>
      </c>
      <c r="E4477">
        <v>1368.8236666666701</v>
      </c>
      <c r="F4477">
        <v>50</v>
      </c>
      <c r="G4477">
        <v>27.376473333333301</v>
      </c>
      <c r="H4477">
        <v>0.992916666666667</v>
      </c>
      <c r="I4477">
        <v>65.912862520122204</v>
      </c>
    </row>
    <row r="4478" spans="1:9" x14ac:dyDescent="0.35">
      <c r="A4478" s="417" t="s">
        <v>846</v>
      </c>
      <c r="B4478" s="417" t="s">
        <v>680</v>
      </c>
      <c r="C4478" s="83">
        <v>46065</v>
      </c>
      <c r="D4478" s="417" t="s">
        <v>687</v>
      </c>
      <c r="E4478">
        <v>1238.83196666667</v>
      </c>
      <c r="F4478">
        <v>46</v>
      </c>
      <c r="G4478">
        <v>26.931129710144901</v>
      </c>
      <c r="H4478">
        <v>50.500716666666698</v>
      </c>
      <c r="I4478">
        <v>22.4935245484183</v>
      </c>
    </row>
    <row r="4479" spans="1:9" x14ac:dyDescent="0.35">
      <c r="A4479" s="417" t="s">
        <v>846</v>
      </c>
      <c r="B4479" s="417" t="s">
        <v>680</v>
      </c>
      <c r="C4479" s="83">
        <v>46065</v>
      </c>
      <c r="D4479" s="417" t="s">
        <v>688</v>
      </c>
      <c r="E4479">
        <v>1424.6666</v>
      </c>
      <c r="F4479">
        <v>18</v>
      </c>
      <c r="G4479">
        <v>79.148144444444398</v>
      </c>
      <c r="H4479">
        <v>3.8423166666666702</v>
      </c>
      <c r="I4479">
        <v>44.041708083188801</v>
      </c>
    </row>
    <row r="4480" spans="1:9" x14ac:dyDescent="0.35">
      <c r="A4480" s="417" t="s">
        <v>846</v>
      </c>
      <c r="B4480" s="417" t="s">
        <v>680</v>
      </c>
      <c r="C4480" s="83">
        <v>46065</v>
      </c>
      <c r="D4480" s="417" t="s">
        <v>690</v>
      </c>
      <c r="E4480">
        <v>1419.64848333333</v>
      </c>
      <c r="F4480">
        <v>14</v>
      </c>
      <c r="G4480">
        <v>101.403463095238</v>
      </c>
      <c r="H4480">
        <v>7.00115</v>
      </c>
      <c r="I4480">
        <v>51.472429984162801</v>
      </c>
    </row>
    <row r="4481" spans="1:9" x14ac:dyDescent="0.35">
      <c r="A4481" s="417" t="s">
        <v>846</v>
      </c>
      <c r="B4481" s="417" t="s">
        <v>680</v>
      </c>
      <c r="C4481" s="83">
        <v>46065</v>
      </c>
      <c r="D4481" s="417" t="s">
        <v>682</v>
      </c>
      <c r="E4481">
        <v>1077.5021999999999</v>
      </c>
      <c r="F4481">
        <v>6</v>
      </c>
      <c r="G4481">
        <v>179.58369999999999</v>
      </c>
      <c r="H4481">
        <v>2.4977999999999998</v>
      </c>
      <c r="I4481">
        <v>39.286195286195301</v>
      </c>
    </row>
    <row r="4482" spans="1:9" x14ac:dyDescent="0.35">
      <c r="A4482" s="417" t="s">
        <v>846</v>
      </c>
      <c r="B4482" s="417" t="s">
        <v>680</v>
      </c>
      <c r="C4482" s="83">
        <v>46065</v>
      </c>
      <c r="D4482" s="417" t="s">
        <v>685</v>
      </c>
      <c r="E4482">
        <v>1410.1679666666701</v>
      </c>
      <c r="F4482">
        <v>4</v>
      </c>
      <c r="G4482">
        <v>352.541991666667</v>
      </c>
      <c r="H4482">
        <v>2.8272666666666701</v>
      </c>
      <c r="I4482">
        <v>56.565847386986498</v>
      </c>
    </row>
    <row r="4483" spans="1:9" x14ac:dyDescent="0.35">
      <c r="A4483" s="417" t="s">
        <v>846</v>
      </c>
      <c r="B4483" s="417" t="s">
        <v>680</v>
      </c>
      <c r="C4483" s="83">
        <v>46065</v>
      </c>
      <c r="D4483" s="417" t="s">
        <v>686</v>
      </c>
      <c r="E4483">
        <v>1080</v>
      </c>
      <c r="F4483">
        <v>1</v>
      </c>
      <c r="G4483">
        <v>1080</v>
      </c>
      <c r="H4483">
        <v>0</v>
      </c>
      <c r="I4483">
        <v>27.959595959595902</v>
      </c>
    </row>
    <row r="4484" spans="1:9" x14ac:dyDescent="0.35">
      <c r="A4484" s="417" t="s">
        <v>846</v>
      </c>
      <c r="B4484" s="417" t="s">
        <v>691</v>
      </c>
      <c r="C4484" s="83">
        <v>46065</v>
      </c>
      <c r="D4484" s="417" t="s">
        <v>305</v>
      </c>
      <c r="E4484">
        <v>1344.77698333333</v>
      </c>
      <c r="F4484">
        <v>98</v>
      </c>
      <c r="G4484">
        <v>13.722214115646301</v>
      </c>
      <c r="H4484">
        <v>2.9366833333333302</v>
      </c>
      <c r="I4484">
        <v>77.350098108109705</v>
      </c>
    </row>
    <row r="4485" spans="1:9" x14ac:dyDescent="0.35">
      <c r="A4485" s="417" t="s">
        <v>846</v>
      </c>
      <c r="B4485" s="417" t="s">
        <v>691</v>
      </c>
      <c r="C4485" s="83">
        <v>46065</v>
      </c>
      <c r="D4485" s="417" t="s">
        <v>309</v>
      </c>
      <c r="E4485">
        <v>1292.21131666667</v>
      </c>
      <c r="F4485">
        <v>97</v>
      </c>
      <c r="G4485">
        <v>13.3217661512027</v>
      </c>
      <c r="H4485">
        <v>1.85158333333333</v>
      </c>
      <c r="I4485">
        <v>54.730355355675897</v>
      </c>
    </row>
    <row r="4486" spans="1:9" x14ac:dyDescent="0.35">
      <c r="A4486" s="417" t="s">
        <v>846</v>
      </c>
      <c r="B4486" s="417" t="s">
        <v>691</v>
      </c>
      <c r="C4486" s="83">
        <v>46065</v>
      </c>
      <c r="D4486" s="417" t="s">
        <v>299</v>
      </c>
      <c r="E4486">
        <v>1352.0631166666701</v>
      </c>
      <c r="F4486">
        <v>77</v>
      </c>
      <c r="G4486">
        <v>17.5592612554113</v>
      </c>
      <c r="H4486">
        <v>0.54563333333333297</v>
      </c>
      <c r="I4486">
        <v>85.306468419869702</v>
      </c>
    </row>
    <row r="4487" spans="1:9" x14ac:dyDescent="0.35">
      <c r="A4487" s="417" t="s">
        <v>846</v>
      </c>
      <c r="B4487" s="417" t="s">
        <v>691</v>
      </c>
      <c r="C4487" s="83">
        <v>46065</v>
      </c>
      <c r="D4487" s="417" t="s">
        <v>301</v>
      </c>
      <c r="E4487">
        <v>1353.1775333333301</v>
      </c>
      <c r="F4487">
        <v>75</v>
      </c>
      <c r="G4487">
        <v>18.042367111111101</v>
      </c>
      <c r="H4487">
        <v>1.51135</v>
      </c>
      <c r="I4487">
        <v>63.773576645083097</v>
      </c>
    </row>
    <row r="4488" spans="1:9" x14ac:dyDescent="0.35">
      <c r="A4488" s="417" t="s">
        <v>846</v>
      </c>
      <c r="B4488" s="417" t="s">
        <v>691</v>
      </c>
      <c r="C4488" s="83">
        <v>46065</v>
      </c>
      <c r="D4488" s="417" t="s">
        <v>303</v>
      </c>
      <c r="E4488">
        <v>1375.5707</v>
      </c>
      <c r="F4488">
        <v>53</v>
      </c>
      <c r="G4488">
        <v>25.954164150943399</v>
      </c>
      <c r="H4488">
        <v>0.161083333333333</v>
      </c>
      <c r="I4488">
        <v>56.0206982880986</v>
      </c>
    </row>
    <row r="4489" spans="1:9" x14ac:dyDescent="0.35">
      <c r="A4489" s="417" t="s">
        <v>846</v>
      </c>
      <c r="B4489" s="417" t="s">
        <v>691</v>
      </c>
      <c r="C4489" s="83">
        <v>46065</v>
      </c>
      <c r="D4489" s="417" t="s">
        <v>314</v>
      </c>
      <c r="E4489">
        <v>1305.0705499999999</v>
      </c>
      <c r="F4489">
        <v>45</v>
      </c>
      <c r="G4489">
        <v>29.001567777777801</v>
      </c>
      <c r="H4489">
        <v>1.5845</v>
      </c>
      <c r="I4489">
        <v>35.475523686102797</v>
      </c>
    </row>
    <row r="4490" spans="1:9" x14ac:dyDescent="0.35">
      <c r="A4490" s="417" t="s">
        <v>846</v>
      </c>
      <c r="B4490" s="417" t="s">
        <v>691</v>
      </c>
      <c r="C4490" s="83">
        <v>46065</v>
      </c>
      <c r="D4490" s="417" t="s">
        <v>295</v>
      </c>
      <c r="E4490">
        <v>1360.06036666667</v>
      </c>
      <c r="F4490">
        <v>42</v>
      </c>
      <c r="G4490">
        <v>32.382389682539703</v>
      </c>
      <c r="H4490">
        <v>7.5899999999999995E-2</v>
      </c>
      <c r="I4490">
        <v>73.783693757717003</v>
      </c>
    </row>
    <row r="4491" spans="1:9" x14ac:dyDescent="0.35">
      <c r="A4491" s="417" t="s">
        <v>846</v>
      </c>
      <c r="B4491" s="417" t="s">
        <v>691</v>
      </c>
      <c r="C4491" s="83">
        <v>46065</v>
      </c>
      <c r="D4491" s="417" t="s">
        <v>313</v>
      </c>
      <c r="E4491">
        <v>1382.2018166666701</v>
      </c>
      <c r="F4491">
        <v>28</v>
      </c>
      <c r="G4491">
        <v>49.364350595238101</v>
      </c>
      <c r="H4491">
        <v>0</v>
      </c>
      <c r="I4491">
        <v>42.153203165349098</v>
      </c>
    </row>
    <row r="4492" spans="1:9" x14ac:dyDescent="0.35">
      <c r="A4492" s="417" t="s">
        <v>846</v>
      </c>
      <c r="B4492" s="417" t="s">
        <v>691</v>
      </c>
      <c r="C4492" s="83">
        <v>46065</v>
      </c>
      <c r="D4492" s="417" t="s">
        <v>310</v>
      </c>
      <c r="E4492">
        <v>1347.34676666667</v>
      </c>
      <c r="F4492">
        <v>22</v>
      </c>
      <c r="G4492">
        <v>61.243034848484797</v>
      </c>
      <c r="H4492">
        <v>0.65581666666666705</v>
      </c>
      <c r="I4492">
        <v>37.7919916683203</v>
      </c>
    </row>
    <row r="4493" spans="1:9" x14ac:dyDescent="0.35">
      <c r="A4493" s="417" t="s">
        <v>846</v>
      </c>
      <c r="B4493" s="417" t="s">
        <v>691</v>
      </c>
      <c r="C4493" s="83">
        <v>46065</v>
      </c>
      <c r="D4493" s="417" t="s">
        <v>317</v>
      </c>
      <c r="E4493">
        <v>1371.6604500000001</v>
      </c>
      <c r="F4493">
        <v>5</v>
      </c>
      <c r="G4493">
        <v>274.33208999999999</v>
      </c>
      <c r="H4493">
        <v>1.01833333333333</v>
      </c>
      <c r="I4493">
        <v>29.640147146848399</v>
      </c>
    </row>
    <row r="4494" spans="1:9" x14ac:dyDescent="0.35">
      <c r="A4494" s="417" t="s">
        <v>846</v>
      </c>
      <c r="B4494" s="417" t="s">
        <v>691</v>
      </c>
      <c r="C4494" s="83">
        <v>46065</v>
      </c>
      <c r="D4494" s="417" t="s">
        <v>504</v>
      </c>
      <c r="E4494">
        <v>1440</v>
      </c>
      <c r="F4494">
        <v>1</v>
      </c>
      <c r="G4494">
        <v>1440</v>
      </c>
      <c r="H4494">
        <v>0</v>
      </c>
      <c r="I4494">
        <v>2.5138888888888702</v>
      </c>
    </row>
    <row r="4495" spans="1:9" x14ac:dyDescent="0.35">
      <c r="A4495" s="417" t="s">
        <v>846</v>
      </c>
      <c r="B4495" s="417" t="s">
        <v>676</v>
      </c>
      <c r="C4495" s="83">
        <v>46064</v>
      </c>
      <c r="D4495" s="417" t="s">
        <v>677</v>
      </c>
      <c r="E4495">
        <v>954.41046666666705</v>
      </c>
      <c r="F4495">
        <v>228</v>
      </c>
      <c r="G4495">
        <v>4.1860108187134504</v>
      </c>
      <c r="H4495">
        <v>164.18615</v>
      </c>
      <c r="I4495">
        <v>18.388055555555599</v>
      </c>
    </row>
    <row r="4496" spans="1:9" x14ac:dyDescent="0.35">
      <c r="A4496" s="417" t="s">
        <v>846</v>
      </c>
      <c r="B4496" s="417" t="s">
        <v>676</v>
      </c>
      <c r="C4496" s="83">
        <v>46064</v>
      </c>
      <c r="D4496" s="417" t="s">
        <v>679</v>
      </c>
      <c r="E4496">
        <v>1199.3133666666699</v>
      </c>
      <c r="F4496">
        <v>47</v>
      </c>
      <c r="G4496">
        <v>25.517305673758901</v>
      </c>
      <c r="H4496">
        <v>40.309750000000001</v>
      </c>
      <c r="I4496">
        <v>73.577070454884904</v>
      </c>
    </row>
    <row r="4497" spans="1:9" x14ac:dyDescent="0.35">
      <c r="A4497" s="417" t="s">
        <v>846</v>
      </c>
      <c r="B4497" s="417" t="s">
        <v>680</v>
      </c>
      <c r="C4497" s="83">
        <v>46064</v>
      </c>
      <c r="D4497" s="417" t="s">
        <v>681</v>
      </c>
      <c r="E4497">
        <v>1214.13105</v>
      </c>
      <c r="F4497">
        <v>46</v>
      </c>
      <c r="G4497">
        <v>26.394153260869601</v>
      </c>
      <c r="H4497">
        <v>7.3581833333333302</v>
      </c>
      <c r="I4497">
        <v>12.467024856118799</v>
      </c>
    </row>
    <row r="4498" spans="1:9" x14ac:dyDescent="0.35">
      <c r="A4498" s="417" t="s">
        <v>846</v>
      </c>
      <c r="B4498" s="417" t="s">
        <v>680</v>
      </c>
      <c r="C4498" s="83">
        <v>46064</v>
      </c>
      <c r="D4498" s="417" t="s">
        <v>687</v>
      </c>
      <c r="E4498">
        <v>1264.9884833333299</v>
      </c>
      <c r="F4498">
        <v>16</v>
      </c>
      <c r="G4498">
        <v>79.061780208333303</v>
      </c>
      <c r="H4498">
        <v>13.660166666666701</v>
      </c>
      <c r="I4498">
        <v>5.3443264336709397</v>
      </c>
    </row>
    <row r="4499" spans="1:9" x14ac:dyDescent="0.35">
      <c r="A4499" s="417" t="s">
        <v>846</v>
      </c>
      <c r="B4499" s="417" t="s">
        <v>680</v>
      </c>
      <c r="C4499" s="83">
        <v>46064</v>
      </c>
      <c r="D4499" s="417" t="s">
        <v>683</v>
      </c>
      <c r="E4499">
        <v>910.18938333333301</v>
      </c>
      <c r="F4499">
        <v>15</v>
      </c>
      <c r="G4499">
        <v>60.679292222222202</v>
      </c>
      <c r="H4499">
        <v>0</v>
      </c>
      <c r="I4499">
        <v>6.5821744082373899</v>
      </c>
    </row>
    <row r="4500" spans="1:9" x14ac:dyDescent="0.35">
      <c r="A4500" s="417" t="s">
        <v>846</v>
      </c>
      <c r="B4500" s="417" t="s">
        <v>680</v>
      </c>
      <c r="C4500" s="83">
        <v>46064</v>
      </c>
      <c r="D4500" s="417" t="s">
        <v>689</v>
      </c>
      <c r="E4500">
        <v>60.633283333333303</v>
      </c>
      <c r="F4500">
        <v>4</v>
      </c>
      <c r="G4500">
        <v>15.158320833333301</v>
      </c>
      <c r="H4500">
        <v>0</v>
      </c>
      <c r="I4500">
        <v>3.0818216225430102</v>
      </c>
    </row>
    <row r="4501" spans="1:9" x14ac:dyDescent="0.35">
      <c r="A4501" s="417" t="s">
        <v>846</v>
      </c>
      <c r="B4501" s="417" t="s">
        <v>680</v>
      </c>
      <c r="C4501" s="83">
        <v>46064</v>
      </c>
      <c r="D4501" s="417" t="s">
        <v>685</v>
      </c>
      <c r="E4501">
        <v>193.542683333333</v>
      </c>
      <c r="F4501">
        <v>2</v>
      </c>
      <c r="G4501">
        <v>96.7713416666667</v>
      </c>
      <c r="H4501">
        <v>0</v>
      </c>
      <c r="I4501">
        <v>-3.4694469519536099E-15</v>
      </c>
    </row>
    <row r="4502" spans="1:9" x14ac:dyDescent="0.35">
      <c r="A4502" s="417" t="s">
        <v>846</v>
      </c>
      <c r="B4502" s="417" t="s">
        <v>680</v>
      </c>
      <c r="C4502" s="83">
        <v>46064</v>
      </c>
      <c r="D4502" s="417" t="s">
        <v>690</v>
      </c>
      <c r="E4502">
        <v>118.83211666666701</v>
      </c>
      <c r="F4502">
        <v>2</v>
      </c>
      <c r="G4502">
        <v>59.416058333333297</v>
      </c>
      <c r="H4502">
        <v>0</v>
      </c>
      <c r="I4502">
        <v>6.7272727272727302</v>
      </c>
    </row>
    <row r="4503" spans="1:9" x14ac:dyDescent="0.35">
      <c r="A4503" s="417" t="s">
        <v>846</v>
      </c>
      <c r="B4503" s="417" t="s">
        <v>680</v>
      </c>
      <c r="C4503" s="83">
        <v>46064</v>
      </c>
      <c r="D4503" s="417" t="s">
        <v>688</v>
      </c>
      <c r="E4503">
        <v>478.50173333333299</v>
      </c>
      <c r="F4503">
        <v>1</v>
      </c>
      <c r="G4503">
        <v>478.50173333333299</v>
      </c>
      <c r="H4503">
        <v>0</v>
      </c>
      <c r="I4503">
        <v>2.76621017528121</v>
      </c>
    </row>
    <row r="4504" spans="1:9" x14ac:dyDescent="0.35">
      <c r="A4504" s="417" t="s">
        <v>846</v>
      </c>
      <c r="B4504" s="417" t="s">
        <v>680</v>
      </c>
      <c r="C4504" s="83">
        <v>46064</v>
      </c>
      <c r="D4504" s="417" t="s">
        <v>686</v>
      </c>
      <c r="E4504">
        <v>480</v>
      </c>
      <c r="F4504">
        <v>1</v>
      </c>
      <c r="G4504">
        <v>480</v>
      </c>
      <c r="H4504">
        <v>0</v>
      </c>
      <c r="I4504">
        <v>1.1818181818181801</v>
      </c>
    </row>
    <row r="4505" spans="1:9" x14ac:dyDescent="0.35">
      <c r="A4505" s="417" t="s">
        <v>846</v>
      </c>
      <c r="B4505" s="417" t="s">
        <v>680</v>
      </c>
      <c r="C4505" s="83">
        <v>46064</v>
      </c>
      <c r="D4505" s="417" t="s">
        <v>684</v>
      </c>
      <c r="E4505">
        <v>120</v>
      </c>
      <c r="F4505">
        <v>1</v>
      </c>
      <c r="G4505">
        <v>120</v>
      </c>
      <c r="H4505">
        <v>0</v>
      </c>
      <c r="I4505">
        <v>0</v>
      </c>
    </row>
    <row r="4506" spans="1:9" x14ac:dyDescent="0.35">
      <c r="A4506" s="417" t="s">
        <v>846</v>
      </c>
      <c r="B4506" s="417" t="s">
        <v>691</v>
      </c>
      <c r="C4506" s="83">
        <v>46064</v>
      </c>
      <c r="D4506" s="417" t="s">
        <v>299</v>
      </c>
      <c r="E4506">
        <v>1371.96266666667</v>
      </c>
      <c r="F4506">
        <v>89</v>
      </c>
      <c r="G4506">
        <v>15.415310861423199</v>
      </c>
      <c r="H4506">
        <v>0.33810000000000001</v>
      </c>
      <c r="I4506">
        <v>62.018551777368501</v>
      </c>
    </row>
    <row r="4507" spans="1:9" x14ac:dyDescent="0.35">
      <c r="A4507" s="417" t="s">
        <v>846</v>
      </c>
      <c r="B4507" s="417" t="s">
        <v>691</v>
      </c>
      <c r="C4507" s="83">
        <v>46064</v>
      </c>
      <c r="D4507" s="417" t="s">
        <v>301</v>
      </c>
      <c r="E4507">
        <v>1361.62253333333</v>
      </c>
      <c r="F4507">
        <v>71</v>
      </c>
      <c r="G4507">
        <v>19.1777821596244</v>
      </c>
      <c r="H4507">
        <v>0.61383333333333301</v>
      </c>
      <c r="I4507">
        <v>44.1589922909534</v>
      </c>
    </row>
    <row r="4508" spans="1:9" x14ac:dyDescent="0.35">
      <c r="A4508" s="417" t="s">
        <v>846</v>
      </c>
      <c r="B4508" s="417" t="s">
        <v>691</v>
      </c>
      <c r="C4508" s="83">
        <v>46064</v>
      </c>
      <c r="D4508" s="417" t="s">
        <v>305</v>
      </c>
      <c r="E4508">
        <v>1370.5996500000001</v>
      </c>
      <c r="F4508">
        <v>58</v>
      </c>
      <c r="G4508">
        <v>23.631028448275899</v>
      </c>
      <c r="H4508">
        <v>0.83765000000000001</v>
      </c>
      <c r="I4508">
        <v>61.973612166429298</v>
      </c>
    </row>
    <row r="4509" spans="1:9" x14ac:dyDescent="0.35">
      <c r="A4509" s="417" t="s">
        <v>846</v>
      </c>
      <c r="B4509" s="417" t="s">
        <v>691</v>
      </c>
      <c r="C4509" s="83">
        <v>46064</v>
      </c>
      <c r="D4509" s="417" t="s">
        <v>303</v>
      </c>
      <c r="E4509">
        <v>1309.2302666666701</v>
      </c>
      <c r="F4509">
        <v>42</v>
      </c>
      <c r="G4509">
        <v>31.1721492063492</v>
      </c>
      <c r="H4509">
        <v>0.13541666666666699</v>
      </c>
      <c r="I4509">
        <v>49.986930623771897</v>
      </c>
    </row>
    <row r="4510" spans="1:9" x14ac:dyDescent="0.35">
      <c r="A4510" s="417" t="s">
        <v>846</v>
      </c>
      <c r="B4510" s="417" t="s">
        <v>691</v>
      </c>
      <c r="C4510" s="83">
        <v>46064</v>
      </c>
      <c r="D4510" s="417" t="s">
        <v>309</v>
      </c>
      <c r="E4510">
        <v>1330.1784333333301</v>
      </c>
      <c r="F4510">
        <v>41</v>
      </c>
      <c r="G4510">
        <v>32.443376422764203</v>
      </c>
      <c r="H4510">
        <v>0</v>
      </c>
      <c r="I4510">
        <v>48.2366036663161</v>
      </c>
    </row>
    <row r="4511" spans="1:9" x14ac:dyDescent="0.35">
      <c r="A4511" s="417" t="s">
        <v>846</v>
      </c>
      <c r="B4511" s="417" t="s">
        <v>691</v>
      </c>
      <c r="C4511" s="83">
        <v>46064</v>
      </c>
      <c r="D4511" s="417" t="s">
        <v>295</v>
      </c>
      <c r="E4511">
        <v>1370.27616666667</v>
      </c>
      <c r="F4511">
        <v>40</v>
      </c>
      <c r="G4511">
        <v>34.2569041666667</v>
      </c>
      <c r="H4511">
        <v>0.30314999999999998</v>
      </c>
      <c r="I4511">
        <v>56.259458911725503</v>
      </c>
    </row>
    <row r="4512" spans="1:9" x14ac:dyDescent="0.35">
      <c r="A4512" s="417" t="s">
        <v>846</v>
      </c>
      <c r="B4512" s="417" t="s">
        <v>691</v>
      </c>
      <c r="C4512" s="83">
        <v>46064</v>
      </c>
      <c r="D4512" s="417" t="s">
        <v>314</v>
      </c>
      <c r="E4512">
        <v>1098.89243333333</v>
      </c>
      <c r="F4512">
        <v>31</v>
      </c>
      <c r="G4512">
        <v>35.448143010752702</v>
      </c>
      <c r="H4512">
        <v>0.70993333333333297</v>
      </c>
      <c r="I4512">
        <v>30.3604709846886</v>
      </c>
    </row>
    <row r="4513" spans="1:9" x14ac:dyDescent="0.35">
      <c r="A4513" s="417" t="s">
        <v>846</v>
      </c>
      <c r="B4513" s="417" t="s">
        <v>691</v>
      </c>
      <c r="C4513" s="83">
        <v>46064</v>
      </c>
      <c r="D4513" s="417" t="s">
        <v>310</v>
      </c>
      <c r="E4513">
        <v>1313.66163333333</v>
      </c>
      <c r="F4513">
        <v>25</v>
      </c>
      <c r="G4513">
        <v>52.546465333333302</v>
      </c>
      <c r="H4513">
        <v>1.38445</v>
      </c>
      <c r="I4513">
        <v>31.6373325217982</v>
      </c>
    </row>
    <row r="4514" spans="1:9" x14ac:dyDescent="0.35">
      <c r="A4514" s="417" t="s">
        <v>846</v>
      </c>
      <c r="B4514" s="417" t="s">
        <v>691</v>
      </c>
      <c r="C4514" s="83">
        <v>46064</v>
      </c>
      <c r="D4514" s="417" t="s">
        <v>313</v>
      </c>
      <c r="E4514">
        <v>1391.2973833333299</v>
      </c>
      <c r="F4514">
        <v>13</v>
      </c>
      <c r="G4514">
        <v>107.022875641026</v>
      </c>
      <c r="H4514">
        <v>0</v>
      </c>
      <c r="I4514">
        <v>34.3469041091222</v>
      </c>
    </row>
    <row r="4515" spans="1:9" x14ac:dyDescent="0.35">
      <c r="A4515" s="417" t="s">
        <v>846</v>
      </c>
      <c r="B4515" s="417" t="s">
        <v>691</v>
      </c>
      <c r="C4515" s="83">
        <v>46064</v>
      </c>
      <c r="D4515" s="417" t="s">
        <v>317</v>
      </c>
      <c r="E4515">
        <v>1431.62703333333</v>
      </c>
      <c r="F4515">
        <v>5</v>
      </c>
      <c r="G4515">
        <v>286.32540666666699</v>
      </c>
      <c r="H4515">
        <v>3.0660166666666702</v>
      </c>
      <c r="I4515">
        <v>25.385220901432501</v>
      </c>
    </row>
    <row r="4516" spans="1:9" x14ac:dyDescent="0.35">
      <c r="A4516" s="417" t="s">
        <v>846</v>
      </c>
      <c r="B4516" s="417" t="s">
        <v>691</v>
      </c>
      <c r="C4516" s="83">
        <v>46064</v>
      </c>
      <c r="D4516" s="417" t="s">
        <v>504</v>
      </c>
      <c r="E4516">
        <v>960</v>
      </c>
      <c r="F4516">
        <v>1</v>
      </c>
      <c r="G4516">
        <v>960</v>
      </c>
      <c r="H4516">
        <v>0</v>
      </c>
      <c r="I4516">
        <v>10.599537037037001</v>
      </c>
    </row>
    <row r="4517" spans="1:9" x14ac:dyDescent="0.35">
      <c r="A4517" s="417" t="s">
        <v>846</v>
      </c>
      <c r="B4517" s="417" t="s">
        <v>676</v>
      </c>
      <c r="C4517" s="83">
        <v>46063</v>
      </c>
      <c r="D4517" s="417" t="s">
        <v>677</v>
      </c>
      <c r="E4517">
        <v>946.28511666666702</v>
      </c>
      <c r="F4517">
        <v>347</v>
      </c>
      <c r="G4517">
        <v>2.7270464457252701</v>
      </c>
      <c r="H4517">
        <v>230.55805000000001</v>
      </c>
      <c r="I4517">
        <v>26.052222222222198</v>
      </c>
    </row>
    <row r="4518" spans="1:9" x14ac:dyDescent="0.35">
      <c r="A4518" s="417" t="s">
        <v>846</v>
      </c>
      <c r="B4518" s="417" t="s">
        <v>676</v>
      </c>
      <c r="C4518" s="83">
        <v>46063</v>
      </c>
      <c r="D4518" s="417" t="s">
        <v>679</v>
      </c>
      <c r="E4518">
        <v>1120.52776666667</v>
      </c>
      <c r="F4518">
        <v>28</v>
      </c>
      <c r="G4518">
        <v>40.018848809523803</v>
      </c>
      <c r="H4518">
        <v>15.6597333333333</v>
      </c>
      <c r="I4518">
        <v>51.939736775728797</v>
      </c>
    </row>
    <row r="4519" spans="1:9" x14ac:dyDescent="0.35">
      <c r="A4519" s="417" t="s">
        <v>846</v>
      </c>
      <c r="B4519" s="417" t="s">
        <v>680</v>
      </c>
      <c r="C4519" s="83">
        <v>46063</v>
      </c>
      <c r="D4519" s="417" t="s">
        <v>689</v>
      </c>
      <c r="E4519">
        <v>906.14940000000001</v>
      </c>
      <c r="F4519">
        <v>48</v>
      </c>
      <c r="G4519">
        <v>18.8781125</v>
      </c>
      <c r="H4519">
        <v>0.99978333333333302</v>
      </c>
      <c r="I4519">
        <v>35.316493719352103</v>
      </c>
    </row>
    <row r="4520" spans="1:9" x14ac:dyDescent="0.35">
      <c r="A4520" s="417" t="s">
        <v>846</v>
      </c>
      <c r="B4520" s="417" t="s">
        <v>680</v>
      </c>
      <c r="C4520" s="83">
        <v>46063</v>
      </c>
      <c r="D4520" s="417" t="s">
        <v>683</v>
      </c>
      <c r="E4520">
        <v>962.16594999999995</v>
      </c>
      <c r="F4520">
        <v>33</v>
      </c>
      <c r="G4520">
        <v>29.156543939393899</v>
      </c>
      <c r="H4520">
        <v>6.00186666666667</v>
      </c>
      <c r="I4520">
        <v>39.502942574200297</v>
      </c>
    </row>
    <row r="4521" spans="1:9" x14ac:dyDescent="0.35">
      <c r="A4521" s="417" t="s">
        <v>846</v>
      </c>
      <c r="B4521" s="417" t="s">
        <v>680</v>
      </c>
      <c r="C4521" s="83">
        <v>46063</v>
      </c>
      <c r="D4521" s="417" t="s">
        <v>681</v>
      </c>
      <c r="E4521">
        <v>980.28523333333396</v>
      </c>
      <c r="F4521">
        <v>26</v>
      </c>
      <c r="G4521">
        <v>37.7032782051282</v>
      </c>
      <c r="H4521">
        <v>0</v>
      </c>
      <c r="I4521">
        <v>31.217565636121201</v>
      </c>
    </row>
    <row r="4522" spans="1:9" x14ac:dyDescent="0.35">
      <c r="A4522" s="417" t="s">
        <v>846</v>
      </c>
      <c r="B4522" s="417" t="s">
        <v>680</v>
      </c>
      <c r="C4522" s="83">
        <v>46063</v>
      </c>
      <c r="D4522" s="417" t="s">
        <v>687</v>
      </c>
      <c r="E4522">
        <v>1228.8214333333301</v>
      </c>
      <c r="F4522">
        <v>13</v>
      </c>
      <c r="G4522">
        <v>94.524725641025697</v>
      </c>
      <c r="H4522">
        <v>6.1471999999999998</v>
      </c>
      <c r="I4522">
        <v>17.104004523496101</v>
      </c>
    </row>
    <row r="4523" spans="1:9" x14ac:dyDescent="0.35">
      <c r="A4523" s="417" t="s">
        <v>846</v>
      </c>
      <c r="B4523" s="417" t="s">
        <v>680</v>
      </c>
      <c r="C4523" s="83">
        <v>46063</v>
      </c>
      <c r="D4523" s="417" t="s">
        <v>688</v>
      </c>
      <c r="E4523">
        <v>1401.33691666667</v>
      </c>
      <c r="F4523">
        <v>9</v>
      </c>
      <c r="G4523">
        <v>155.70410185185199</v>
      </c>
      <c r="H4523">
        <v>0</v>
      </c>
      <c r="I4523">
        <v>28.740880985323798</v>
      </c>
    </row>
    <row r="4524" spans="1:9" x14ac:dyDescent="0.35">
      <c r="A4524" s="417" t="s">
        <v>846</v>
      </c>
      <c r="B4524" s="417" t="s">
        <v>680</v>
      </c>
      <c r="C4524" s="83">
        <v>46063</v>
      </c>
      <c r="D4524" s="417" t="s">
        <v>684</v>
      </c>
      <c r="E4524">
        <v>898.45330000000001</v>
      </c>
      <c r="F4524">
        <v>6</v>
      </c>
      <c r="G4524">
        <v>149.74221666666699</v>
      </c>
      <c r="H4524">
        <v>0</v>
      </c>
      <c r="I4524">
        <v>8.4480239188316403E-2</v>
      </c>
    </row>
    <row r="4525" spans="1:9" x14ac:dyDescent="0.35">
      <c r="A4525" s="417" t="s">
        <v>846</v>
      </c>
      <c r="B4525" s="417" t="s">
        <v>680</v>
      </c>
      <c r="C4525" s="83">
        <v>46063</v>
      </c>
      <c r="D4525" s="417" t="s">
        <v>685</v>
      </c>
      <c r="E4525">
        <v>1434.82848333333</v>
      </c>
      <c r="F4525">
        <v>4</v>
      </c>
      <c r="G4525">
        <v>358.70712083333302</v>
      </c>
      <c r="H4525">
        <v>0</v>
      </c>
      <c r="I4525">
        <v>31.414322127694799</v>
      </c>
    </row>
    <row r="4526" spans="1:9" x14ac:dyDescent="0.35">
      <c r="A4526" s="417" t="s">
        <v>846</v>
      </c>
      <c r="B4526" s="417" t="s">
        <v>680</v>
      </c>
      <c r="C4526" s="83">
        <v>46063</v>
      </c>
      <c r="D4526" s="417" t="s">
        <v>682</v>
      </c>
      <c r="E4526">
        <v>786.82815000000005</v>
      </c>
      <c r="F4526">
        <v>3</v>
      </c>
      <c r="G4526">
        <v>262.27605</v>
      </c>
      <c r="H4526">
        <v>4.4992000000000001</v>
      </c>
      <c r="I4526">
        <v>36.484848484848499</v>
      </c>
    </row>
    <row r="4527" spans="1:9" x14ac:dyDescent="0.35">
      <c r="A4527" s="417" t="s">
        <v>846</v>
      </c>
      <c r="B4527" s="417" t="s">
        <v>680</v>
      </c>
      <c r="C4527" s="83">
        <v>46063</v>
      </c>
      <c r="D4527" s="417" t="s">
        <v>690</v>
      </c>
      <c r="E4527">
        <v>818.30431666666698</v>
      </c>
      <c r="F4527">
        <v>2</v>
      </c>
      <c r="G4527">
        <v>409.15215833333298</v>
      </c>
      <c r="H4527">
        <v>0.33378333333333299</v>
      </c>
      <c r="I4527">
        <v>46.285298828516602</v>
      </c>
    </row>
    <row r="4528" spans="1:9" x14ac:dyDescent="0.35">
      <c r="A4528" s="417" t="s">
        <v>846</v>
      </c>
      <c r="B4528" s="417" t="s">
        <v>691</v>
      </c>
      <c r="C4528" s="83">
        <v>46063</v>
      </c>
      <c r="D4528" s="417" t="s">
        <v>309</v>
      </c>
      <c r="E4528">
        <v>1263.87285</v>
      </c>
      <c r="F4528">
        <v>112</v>
      </c>
      <c r="G4528">
        <v>11.2845790178571</v>
      </c>
      <c r="H4528">
        <v>0</v>
      </c>
      <c r="I4528">
        <v>69.733018272741901</v>
      </c>
    </row>
    <row r="4529" spans="1:9" x14ac:dyDescent="0.35">
      <c r="A4529" s="417" t="s">
        <v>846</v>
      </c>
      <c r="B4529" s="417" t="s">
        <v>691</v>
      </c>
      <c r="C4529" s="83">
        <v>46063</v>
      </c>
      <c r="D4529" s="417" t="s">
        <v>305</v>
      </c>
      <c r="E4529">
        <v>1312.3291833333301</v>
      </c>
      <c r="F4529">
        <v>108</v>
      </c>
      <c r="G4529">
        <v>12.1511961419753</v>
      </c>
      <c r="H4529">
        <v>3.4092333333333298</v>
      </c>
      <c r="I4529">
        <v>79.314761595509594</v>
      </c>
    </row>
    <row r="4530" spans="1:9" x14ac:dyDescent="0.35">
      <c r="A4530" s="417" t="s">
        <v>846</v>
      </c>
      <c r="B4530" s="417" t="s">
        <v>691</v>
      </c>
      <c r="C4530" s="83">
        <v>46063</v>
      </c>
      <c r="D4530" s="417" t="s">
        <v>301</v>
      </c>
      <c r="E4530">
        <v>1310.0676333333299</v>
      </c>
      <c r="F4530">
        <v>81</v>
      </c>
      <c r="G4530">
        <v>16.173674485596699</v>
      </c>
      <c r="H4530">
        <v>4.1851000000000003</v>
      </c>
      <c r="I4530">
        <v>66.575367023841295</v>
      </c>
    </row>
    <row r="4531" spans="1:9" x14ac:dyDescent="0.35">
      <c r="A4531" s="417" t="s">
        <v>846</v>
      </c>
      <c r="B4531" s="417" t="s">
        <v>691</v>
      </c>
      <c r="C4531" s="83">
        <v>46063</v>
      </c>
      <c r="D4531" s="417" t="s">
        <v>299</v>
      </c>
      <c r="E4531">
        <v>1347.6330333333301</v>
      </c>
      <c r="F4531">
        <v>71</v>
      </c>
      <c r="G4531">
        <v>18.980746948356799</v>
      </c>
      <c r="H4531">
        <v>0.32401666666666701</v>
      </c>
      <c r="I4531">
        <v>54.050470009423698</v>
      </c>
    </row>
    <row r="4532" spans="1:9" x14ac:dyDescent="0.35">
      <c r="A4532" s="417" t="s">
        <v>846</v>
      </c>
      <c r="B4532" s="417" t="s">
        <v>691</v>
      </c>
      <c r="C4532" s="83">
        <v>46063</v>
      </c>
      <c r="D4532" s="417" t="s">
        <v>303</v>
      </c>
      <c r="E4532">
        <v>1346.1404333333301</v>
      </c>
      <c r="F4532">
        <v>51</v>
      </c>
      <c r="G4532">
        <v>26.3949104575163</v>
      </c>
      <c r="H4532">
        <v>7.5883333333333303E-2</v>
      </c>
      <c r="I4532">
        <v>55.373624092653699</v>
      </c>
    </row>
    <row r="4533" spans="1:9" x14ac:dyDescent="0.35">
      <c r="A4533" s="417" t="s">
        <v>846</v>
      </c>
      <c r="B4533" s="417" t="s">
        <v>691</v>
      </c>
      <c r="C4533" s="83">
        <v>46063</v>
      </c>
      <c r="D4533" s="417" t="s">
        <v>295</v>
      </c>
      <c r="E4533">
        <v>1343.7273666666699</v>
      </c>
      <c r="F4533">
        <v>42</v>
      </c>
      <c r="G4533">
        <v>31.993508730158702</v>
      </c>
      <c r="H4533">
        <v>5.9183333333333303E-2</v>
      </c>
      <c r="I4533">
        <v>78.466955694145895</v>
      </c>
    </row>
    <row r="4534" spans="1:9" x14ac:dyDescent="0.35">
      <c r="A4534" s="417" t="s">
        <v>846</v>
      </c>
      <c r="B4534" s="417" t="s">
        <v>691</v>
      </c>
      <c r="C4534" s="83">
        <v>46063</v>
      </c>
      <c r="D4534" s="417" t="s">
        <v>310</v>
      </c>
      <c r="E4534">
        <v>1316.52721666667</v>
      </c>
      <c r="F4534">
        <v>31</v>
      </c>
      <c r="G4534">
        <v>42.4686198924731</v>
      </c>
      <c r="H4534">
        <v>0.34706666666666702</v>
      </c>
      <c r="I4534">
        <v>45.716915487122399</v>
      </c>
    </row>
    <row r="4535" spans="1:9" x14ac:dyDescent="0.35">
      <c r="A4535" s="417" t="s">
        <v>846</v>
      </c>
      <c r="B4535" s="417" t="s">
        <v>691</v>
      </c>
      <c r="C4535" s="83">
        <v>46063</v>
      </c>
      <c r="D4535" s="417" t="s">
        <v>314</v>
      </c>
      <c r="E4535">
        <v>1397.0761833333299</v>
      </c>
      <c r="F4535">
        <v>18</v>
      </c>
      <c r="G4535">
        <v>77.6153435185185</v>
      </c>
      <c r="H4535">
        <v>0.386083333333333</v>
      </c>
      <c r="I4535">
        <v>38.958490078090101</v>
      </c>
    </row>
    <row r="4536" spans="1:9" x14ac:dyDescent="0.35">
      <c r="A4536" s="417" t="s">
        <v>846</v>
      </c>
      <c r="B4536" s="417" t="s">
        <v>691</v>
      </c>
      <c r="C4536" s="83">
        <v>46063</v>
      </c>
      <c r="D4536" s="417" t="s">
        <v>313</v>
      </c>
      <c r="E4536">
        <v>1407.4180833333301</v>
      </c>
      <c r="F4536">
        <v>14</v>
      </c>
      <c r="G4536">
        <v>100.529863095238</v>
      </c>
      <c r="H4536">
        <v>0</v>
      </c>
      <c r="I4536">
        <v>44.469752217364999</v>
      </c>
    </row>
    <row r="4537" spans="1:9" x14ac:dyDescent="0.35">
      <c r="A4537" s="417" t="s">
        <v>846</v>
      </c>
      <c r="B4537" s="417" t="s">
        <v>691</v>
      </c>
      <c r="C4537" s="83">
        <v>46063</v>
      </c>
      <c r="D4537" s="417" t="s">
        <v>317</v>
      </c>
      <c r="E4537">
        <v>1398.1581166666699</v>
      </c>
      <c r="F4537">
        <v>4</v>
      </c>
      <c r="G4537">
        <v>349.53952916666702</v>
      </c>
      <c r="H4537">
        <v>10.0903333333333</v>
      </c>
      <c r="I4537">
        <v>29.979227610429501</v>
      </c>
    </row>
    <row r="4538" spans="1:9" x14ac:dyDescent="0.35">
      <c r="A4538" s="417" t="s">
        <v>846</v>
      </c>
      <c r="B4538" s="417" t="s">
        <v>691</v>
      </c>
      <c r="C4538" s="83">
        <v>46063</v>
      </c>
      <c r="D4538" s="417" t="s">
        <v>504</v>
      </c>
      <c r="E4538">
        <v>1440</v>
      </c>
      <c r="F4538">
        <v>1</v>
      </c>
      <c r="G4538">
        <v>1440</v>
      </c>
      <c r="H4538">
        <v>0</v>
      </c>
      <c r="I4538">
        <v>54.321296296296303</v>
      </c>
    </row>
    <row r="4539" spans="1:9" x14ac:dyDescent="0.35">
      <c r="A4539" s="417" t="s">
        <v>846</v>
      </c>
      <c r="B4539" s="417" t="s">
        <v>676</v>
      </c>
      <c r="C4539" s="83">
        <v>46062</v>
      </c>
      <c r="D4539" s="417" t="s">
        <v>677</v>
      </c>
      <c r="E4539">
        <v>1276.50135</v>
      </c>
      <c r="F4539">
        <v>292</v>
      </c>
      <c r="G4539">
        <v>4.3715799657534298</v>
      </c>
      <c r="H4539">
        <v>135.66421666666699</v>
      </c>
      <c r="I4539">
        <v>39.562777777777697</v>
      </c>
    </row>
    <row r="4540" spans="1:9" x14ac:dyDescent="0.35">
      <c r="A4540" s="417" t="s">
        <v>846</v>
      </c>
      <c r="B4540" s="417" t="s">
        <v>676</v>
      </c>
      <c r="C4540" s="83">
        <v>46062</v>
      </c>
      <c r="D4540" s="417" t="s">
        <v>679</v>
      </c>
      <c r="E4540">
        <v>1352.34665</v>
      </c>
      <c r="F4540">
        <v>51</v>
      </c>
      <c r="G4540">
        <v>26.516600980392099</v>
      </c>
      <c r="H4540">
        <v>34.832416666666703</v>
      </c>
      <c r="I4540">
        <v>92.438457555854299</v>
      </c>
    </row>
    <row r="4541" spans="1:9" x14ac:dyDescent="0.35">
      <c r="A4541" s="417" t="s">
        <v>846</v>
      </c>
      <c r="B4541" s="417" t="s">
        <v>680</v>
      </c>
      <c r="C4541" s="83">
        <v>46062</v>
      </c>
      <c r="D4541" s="417" t="s">
        <v>689</v>
      </c>
      <c r="E4541">
        <v>1336.4459833333301</v>
      </c>
      <c r="F4541">
        <v>68</v>
      </c>
      <c r="G4541">
        <v>19.653617401960801</v>
      </c>
      <c r="H4541">
        <v>3.5086666666666702</v>
      </c>
      <c r="I4541">
        <v>68.829554348548299</v>
      </c>
    </row>
    <row r="4542" spans="1:9" x14ac:dyDescent="0.35">
      <c r="A4542" s="417" t="s">
        <v>846</v>
      </c>
      <c r="B4542" s="417" t="s">
        <v>680</v>
      </c>
      <c r="C4542" s="83">
        <v>46062</v>
      </c>
      <c r="D4542" s="417" t="s">
        <v>687</v>
      </c>
      <c r="E4542">
        <v>1374.9590333333299</v>
      </c>
      <c r="F4542">
        <v>43</v>
      </c>
      <c r="G4542">
        <v>31.975791472868199</v>
      </c>
      <c r="H4542">
        <v>32.870616666666699</v>
      </c>
      <c r="I4542">
        <v>35.4662839258406</v>
      </c>
    </row>
    <row r="4543" spans="1:9" x14ac:dyDescent="0.35">
      <c r="A4543" s="417" t="s">
        <v>846</v>
      </c>
      <c r="B4543" s="417" t="s">
        <v>680</v>
      </c>
      <c r="C4543" s="83">
        <v>46062</v>
      </c>
      <c r="D4543" s="417" t="s">
        <v>681</v>
      </c>
      <c r="E4543">
        <v>1365.1167</v>
      </c>
      <c r="F4543">
        <v>41</v>
      </c>
      <c r="G4543">
        <v>33.295529268292697</v>
      </c>
      <c r="H4543">
        <v>2.3347500000000001</v>
      </c>
      <c r="I4543">
        <v>65.241915561514105</v>
      </c>
    </row>
    <row r="4544" spans="1:9" x14ac:dyDescent="0.35">
      <c r="A4544" s="417" t="s">
        <v>846</v>
      </c>
      <c r="B4544" s="417" t="s">
        <v>680</v>
      </c>
      <c r="C4544" s="83">
        <v>46062</v>
      </c>
      <c r="D4544" s="417" t="s">
        <v>684</v>
      </c>
      <c r="E4544">
        <v>1387.3079166666701</v>
      </c>
      <c r="F4544">
        <v>38</v>
      </c>
      <c r="G4544">
        <v>36.508103070175402</v>
      </c>
      <c r="H4544">
        <v>30.1587833333333</v>
      </c>
      <c r="I4544">
        <v>19.224121414034901</v>
      </c>
    </row>
    <row r="4545" spans="1:9" x14ac:dyDescent="0.35">
      <c r="A4545" s="417" t="s">
        <v>846</v>
      </c>
      <c r="B4545" s="417" t="s">
        <v>680</v>
      </c>
      <c r="C4545" s="83">
        <v>46062</v>
      </c>
      <c r="D4545" s="417" t="s">
        <v>683</v>
      </c>
      <c r="E4545">
        <v>1381.5135166666701</v>
      </c>
      <c r="F4545">
        <v>34</v>
      </c>
      <c r="G4545">
        <v>40.632750490196102</v>
      </c>
      <c r="H4545">
        <v>10.0078</v>
      </c>
      <c r="I4545">
        <v>67.0823315713657</v>
      </c>
    </row>
    <row r="4546" spans="1:9" x14ac:dyDescent="0.35">
      <c r="A4546" s="417" t="s">
        <v>846</v>
      </c>
      <c r="B4546" s="417" t="s">
        <v>680</v>
      </c>
      <c r="C4546" s="83">
        <v>46062</v>
      </c>
      <c r="D4546" s="417" t="s">
        <v>690</v>
      </c>
      <c r="E4546">
        <v>1404.3499833333301</v>
      </c>
      <c r="F4546">
        <v>23</v>
      </c>
      <c r="G4546">
        <v>61.058694927536202</v>
      </c>
      <c r="H4546">
        <v>10.665516666666701</v>
      </c>
      <c r="I4546">
        <v>64.472629143575105</v>
      </c>
    </row>
    <row r="4547" spans="1:9" x14ac:dyDescent="0.35">
      <c r="A4547" s="417" t="s">
        <v>846</v>
      </c>
      <c r="B4547" s="417" t="s">
        <v>680</v>
      </c>
      <c r="C4547" s="83">
        <v>46062</v>
      </c>
      <c r="D4547" s="417" t="s">
        <v>688</v>
      </c>
      <c r="E4547">
        <v>1396.7850333333299</v>
      </c>
      <c r="F4547">
        <v>20</v>
      </c>
      <c r="G4547">
        <v>69.839251666666698</v>
      </c>
      <c r="H4547">
        <v>15.842750000000001</v>
      </c>
      <c r="I4547">
        <v>63.5635005468204</v>
      </c>
    </row>
    <row r="4548" spans="1:9" x14ac:dyDescent="0.35">
      <c r="A4548" s="417" t="s">
        <v>846</v>
      </c>
      <c r="B4548" s="417" t="s">
        <v>680</v>
      </c>
      <c r="C4548" s="83">
        <v>46062</v>
      </c>
      <c r="D4548" s="417" t="s">
        <v>685</v>
      </c>
      <c r="E4548">
        <v>1405.7983666666701</v>
      </c>
      <c r="F4548">
        <v>11</v>
      </c>
      <c r="G4548">
        <v>127.799851515152</v>
      </c>
      <c r="H4548">
        <v>8.8393499999999996</v>
      </c>
      <c r="I4548">
        <v>66.889013541488495</v>
      </c>
    </row>
    <row r="4549" spans="1:9" x14ac:dyDescent="0.35">
      <c r="A4549" s="417" t="s">
        <v>846</v>
      </c>
      <c r="B4549" s="417" t="s">
        <v>680</v>
      </c>
      <c r="C4549" s="83">
        <v>46062</v>
      </c>
      <c r="D4549" s="417" t="s">
        <v>682</v>
      </c>
      <c r="E4549">
        <v>1431.00608333333</v>
      </c>
      <c r="F4549">
        <v>10</v>
      </c>
      <c r="G4549">
        <v>143.10060833333301</v>
      </c>
      <c r="H4549">
        <v>8.9939166666666708</v>
      </c>
      <c r="I4549">
        <v>50.343434343434303</v>
      </c>
    </row>
    <row r="4550" spans="1:9" x14ac:dyDescent="0.35">
      <c r="A4550" s="417" t="s">
        <v>846</v>
      </c>
      <c r="B4550" s="417" t="s">
        <v>691</v>
      </c>
      <c r="C4550" s="83">
        <v>46062</v>
      </c>
      <c r="D4550" s="417" t="s">
        <v>299</v>
      </c>
      <c r="E4550">
        <v>1344.13163333333</v>
      </c>
      <c r="F4550">
        <v>112</v>
      </c>
      <c r="G4550">
        <v>12.001175297619</v>
      </c>
      <c r="H4550">
        <v>0.51370000000000005</v>
      </c>
      <c r="I4550">
        <v>105.46211761078899</v>
      </c>
    </row>
    <row r="4551" spans="1:9" x14ac:dyDescent="0.35">
      <c r="A4551" s="417" t="s">
        <v>846</v>
      </c>
      <c r="B4551" s="417" t="s">
        <v>691</v>
      </c>
      <c r="C4551" s="83">
        <v>46062</v>
      </c>
      <c r="D4551" s="417" t="s">
        <v>309</v>
      </c>
      <c r="E4551">
        <v>1305.7736</v>
      </c>
      <c r="F4551">
        <v>92</v>
      </c>
      <c r="G4551">
        <v>14.193191304347801</v>
      </c>
      <c r="H4551">
        <v>0</v>
      </c>
      <c r="I4551">
        <v>73.105454082743094</v>
      </c>
    </row>
    <row r="4552" spans="1:9" x14ac:dyDescent="0.35">
      <c r="A4552" s="417" t="s">
        <v>846</v>
      </c>
      <c r="B4552" s="417" t="s">
        <v>691</v>
      </c>
      <c r="C4552" s="83">
        <v>46062</v>
      </c>
      <c r="D4552" s="417" t="s">
        <v>314</v>
      </c>
      <c r="E4552">
        <v>1309.8541166666701</v>
      </c>
      <c r="F4552">
        <v>85</v>
      </c>
      <c r="G4552">
        <v>15.4100484313725</v>
      </c>
      <c r="H4552">
        <v>2.2149000000000001</v>
      </c>
      <c r="I4552">
        <v>36.9549700993811</v>
      </c>
    </row>
    <row r="4553" spans="1:9" x14ac:dyDescent="0.35">
      <c r="A4553" s="417" t="s">
        <v>846</v>
      </c>
      <c r="B4553" s="417" t="s">
        <v>691</v>
      </c>
      <c r="C4553" s="83">
        <v>46062</v>
      </c>
      <c r="D4553" s="417" t="s">
        <v>305</v>
      </c>
      <c r="E4553">
        <v>1277.3306666666699</v>
      </c>
      <c r="F4553">
        <v>80</v>
      </c>
      <c r="G4553">
        <v>15.9666333333333</v>
      </c>
      <c r="H4553">
        <v>3.9813666666666698</v>
      </c>
      <c r="I4553">
        <v>76.793301237469393</v>
      </c>
    </row>
    <row r="4554" spans="1:9" x14ac:dyDescent="0.35">
      <c r="A4554" s="417" t="s">
        <v>846</v>
      </c>
      <c r="B4554" s="417" t="s">
        <v>691</v>
      </c>
      <c r="C4554" s="83">
        <v>46062</v>
      </c>
      <c r="D4554" s="417" t="s">
        <v>301</v>
      </c>
      <c r="E4554">
        <v>1327.6190166666699</v>
      </c>
      <c r="F4554">
        <v>72</v>
      </c>
      <c r="G4554">
        <v>18.4391530092593</v>
      </c>
      <c r="H4554">
        <v>1.02406666666667</v>
      </c>
      <c r="I4554">
        <v>63.5466916426643</v>
      </c>
    </row>
    <row r="4555" spans="1:9" x14ac:dyDescent="0.35">
      <c r="A4555" s="417" t="s">
        <v>846</v>
      </c>
      <c r="B4555" s="417" t="s">
        <v>691</v>
      </c>
      <c r="C4555" s="83">
        <v>46062</v>
      </c>
      <c r="D4555" s="417" t="s">
        <v>295</v>
      </c>
      <c r="E4555">
        <v>1395.19625</v>
      </c>
      <c r="F4555">
        <v>49</v>
      </c>
      <c r="G4555">
        <v>28.473392857142901</v>
      </c>
      <c r="H4555">
        <v>0.32074999999999998</v>
      </c>
      <c r="I4555">
        <v>70.892725439929904</v>
      </c>
    </row>
    <row r="4556" spans="1:9" x14ac:dyDescent="0.35">
      <c r="A4556" s="417" t="s">
        <v>846</v>
      </c>
      <c r="B4556" s="417" t="s">
        <v>691</v>
      </c>
      <c r="C4556" s="83">
        <v>46062</v>
      </c>
      <c r="D4556" s="417" t="s">
        <v>303</v>
      </c>
      <c r="E4556">
        <v>1374.35161666667</v>
      </c>
      <c r="F4556">
        <v>38</v>
      </c>
      <c r="G4556">
        <v>36.1671478070175</v>
      </c>
      <c r="H4556">
        <v>0.62014999999999998</v>
      </c>
      <c r="I4556">
        <v>64.691944170316106</v>
      </c>
    </row>
    <row r="4557" spans="1:9" x14ac:dyDescent="0.35">
      <c r="A4557" s="417" t="s">
        <v>846</v>
      </c>
      <c r="B4557" s="417" t="s">
        <v>691</v>
      </c>
      <c r="C4557" s="83">
        <v>46062</v>
      </c>
      <c r="D4557" s="417" t="s">
        <v>310</v>
      </c>
      <c r="E4557">
        <v>1148.09925</v>
      </c>
      <c r="F4557">
        <v>25</v>
      </c>
      <c r="G4557">
        <v>45.923969999999997</v>
      </c>
      <c r="H4557">
        <v>2.8753000000000002</v>
      </c>
      <c r="I4557">
        <v>43.143876376473003</v>
      </c>
    </row>
    <row r="4558" spans="1:9" x14ac:dyDescent="0.35">
      <c r="A4558" s="417" t="s">
        <v>846</v>
      </c>
      <c r="B4558" s="417" t="s">
        <v>691</v>
      </c>
      <c r="C4558" s="83">
        <v>46062</v>
      </c>
      <c r="D4558" s="417" t="s">
        <v>313</v>
      </c>
      <c r="E4558">
        <v>1370.7593666666701</v>
      </c>
      <c r="F4558">
        <v>8</v>
      </c>
      <c r="G4558">
        <v>171.34492083333299</v>
      </c>
      <c r="H4558">
        <v>0</v>
      </c>
      <c r="I4558">
        <v>47.060220784849797</v>
      </c>
    </row>
    <row r="4559" spans="1:9" x14ac:dyDescent="0.35">
      <c r="A4559" s="417" t="s">
        <v>846</v>
      </c>
      <c r="B4559" s="417" t="s">
        <v>691</v>
      </c>
      <c r="C4559" s="83">
        <v>46062</v>
      </c>
      <c r="D4559" s="417" t="s">
        <v>317</v>
      </c>
      <c r="E4559">
        <v>1438.95943333333</v>
      </c>
      <c r="F4559">
        <v>2</v>
      </c>
      <c r="G4559">
        <v>719.47971666666695</v>
      </c>
      <c r="H4559">
        <v>0.41476666666666701</v>
      </c>
      <c r="I4559">
        <v>34.897110146895798</v>
      </c>
    </row>
    <row r="4560" spans="1:9" x14ac:dyDescent="0.35">
      <c r="A4560" s="417" t="s">
        <v>846</v>
      </c>
      <c r="B4560" s="417" t="s">
        <v>691</v>
      </c>
      <c r="C4560" s="83">
        <v>46062</v>
      </c>
      <c r="D4560" s="417" t="s">
        <v>504</v>
      </c>
      <c r="E4560">
        <v>1440</v>
      </c>
      <c r="F4560">
        <v>1</v>
      </c>
      <c r="G4560">
        <v>1440</v>
      </c>
      <c r="H4560">
        <v>0</v>
      </c>
      <c r="I4560">
        <v>53.766975308642003</v>
      </c>
    </row>
    <row r="4561" spans="1:9" x14ac:dyDescent="0.35">
      <c r="A4561" s="417" t="s">
        <v>846</v>
      </c>
      <c r="B4561" s="417" t="s">
        <v>676</v>
      </c>
      <c r="C4561" s="83">
        <v>46061</v>
      </c>
      <c r="D4561" s="417" t="s">
        <v>677</v>
      </c>
      <c r="E4561">
        <v>1024.8433833333299</v>
      </c>
      <c r="F4561">
        <v>364</v>
      </c>
      <c r="G4561">
        <v>2.8155038003663</v>
      </c>
      <c r="H4561">
        <v>173.46850000000001</v>
      </c>
      <c r="I4561">
        <v>33.234166666666702</v>
      </c>
    </row>
    <row r="4562" spans="1:9" x14ac:dyDescent="0.35">
      <c r="A4562" s="417" t="s">
        <v>846</v>
      </c>
      <c r="B4562" s="417" t="s">
        <v>676</v>
      </c>
      <c r="C4562" s="83">
        <v>46061</v>
      </c>
      <c r="D4562" s="417" t="s">
        <v>679</v>
      </c>
      <c r="E4562">
        <v>1118.83556666667</v>
      </c>
      <c r="F4562">
        <v>24</v>
      </c>
      <c r="G4562">
        <v>46.618148611111103</v>
      </c>
      <c r="H4562">
        <v>11.661199999999999</v>
      </c>
      <c r="I4562">
        <v>70.866851508960295</v>
      </c>
    </row>
    <row r="4563" spans="1:9" x14ac:dyDescent="0.35">
      <c r="A4563" s="417" t="s">
        <v>846</v>
      </c>
      <c r="B4563" s="417" t="s">
        <v>680</v>
      </c>
      <c r="C4563" s="83">
        <v>46061</v>
      </c>
      <c r="D4563" s="417" t="s">
        <v>689</v>
      </c>
      <c r="E4563">
        <v>1325.65118333333</v>
      </c>
      <c r="F4563">
        <v>109</v>
      </c>
      <c r="G4563">
        <v>12.1619374617737</v>
      </c>
      <c r="H4563">
        <v>6.8198999999999996</v>
      </c>
      <c r="I4563">
        <v>73.703577448086904</v>
      </c>
    </row>
    <row r="4564" spans="1:9" x14ac:dyDescent="0.35">
      <c r="A4564" s="417" t="s">
        <v>846</v>
      </c>
      <c r="B4564" s="417" t="s">
        <v>680</v>
      </c>
      <c r="C4564" s="83">
        <v>46061</v>
      </c>
      <c r="D4564" s="417" t="s">
        <v>683</v>
      </c>
      <c r="E4564">
        <v>1369.85048333333</v>
      </c>
      <c r="F4564">
        <v>63</v>
      </c>
      <c r="G4564">
        <v>21.743658465608501</v>
      </c>
      <c r="H4564">
        <v>17.516749999999998</v>
      </c>
      <c r="I4564">
        <v>86.606290378087706</v>
      </c>
    </row>
    <row r="4565" spans="1:9" x14ac:dyDescent="0.35">
      <c r="A4565" s="417" t="s">
        <v>846</v>
      </c>
      <c r="B4565" s="417" t="s">
        <v>680</v>
      </c>
      <c r="C4565" s="83">
        <v>46061</v>
      </c>
      <c r="D4565" s="417" t="s">
        <v>687</v>
      </c>
      <c r="E4565">
        <v>1314.644</v>
      </c>
      <c r="F4565">
        <v>55</v>
      </c>
      <c r="G4565">
        <v>23.902618181818202</v>
      </c>
      <c r="H4565">
        <v>58.664650000000002</v>
      </c>
      <c r="I4565">
        <v>36.361271902482002</v>
      </c>
    </row>
    <row r="4566" spans="1:9" x14ac:dyDescent="0.35">
      <c r="A4566" s="417" t="s">
        <v>846</v>
      </c>
      <c r="B4566" s="417" t="s">
        <v>680</v>
      </c>
      <c r="C4566" s="83">
        <v>46061</v>
      </c>
      <c r="D4566" s="417" t="s">
        <v>688</v>
      </c>
      <c r="E4566">
        <v>1036.49471666667</v>
      </c>
      <c r="F4566">
        <v>55</v>
      </c>
      <c r="G4566">
        <v>18.8453584848485</v>
      </c>
      <c r="H4566">
        <v>47.18665</v>
      </c>
      <c r="I4566">
        <v>51.022648654233599</v>
      </c>
    </row>
    <row r="4567" spans="1:9" x14ac:dyDescent="0.35">
      <c r="A4567" s="417" t="s">
        <v>846</v>
      </c>
      <c r="B4567" s="417" t="s">
        <v>680</v>
      </c>
      <c r="C4567" s="83">
        <v>46061</v>
      </c>
      <c r="D4567" s="417" t="s">
        <v>684</v>
      </c>
      <c r="E4567">
        <v>1402.83665</v>
      </c>
      <c r="F4567">
        <v>40</v>
      </c>
      <c r="G4567">
        <v>35.070916250000003</v>
      </c>
      <c r="H4567">
        <v>23.49465</v>
      </c>
      <c r="I4567">
        <v>56.1102654837117</v>
      </c>
    </row>
    <row r="4568" spans="1:9" x14ac:dyDescent="0.35">
      <c r="A4568" s="417" t="s">
        <v>846</v>
      </c>
      <c r="B4568" s="417" t="s">
        <v>680</v>
      </c>
      <c r="C4568" s="83">
        <v>46061</v>
      </c>
      <c r="D4568" s="417" t="s">
        <v>681</v>
      </c>
      <c r="E4568">
        <v>1387.1182833333301</v>
      </c>
      <c r="F4568">
        <v>29</v>
      </c>
      <c r="G4568">
        <v>47.831664942528697</v>
      </c>
      <c r="H4568">
        <v>0.1666</v>
      </c>
      <c r="I4568">
        <v>56.761880022625398</v>
      </c>
    </row>
    <row r="4569" spans="1:9" x14ac:dyDescent="0.35">
      <c r="A4569" s="417" t="s">
        <v>846</v>
      </c>
      <c r="B4569" s="417" t="s">
        <v>680</v>
      </c>
      <c r="C4569" s="83">
        <v>46061</v>
      </c>
      <c r="D4569" s="417" t="s">
        <v>682</v>
      </c>
      <c r="E4569">
        <v>1411.9912833333301</v>
      </c>
      <c r="F4569">
        <v>15</v>
      </c>
      <c r="G4569">
        <v>94.132752222222194</v>
      </c>
      <c r="H4569">
        <v>28.0087166666667</v>
      </c>
      <c r="I4569">
        <v>55.287878787878803</v>
      </c>
    </row>
    <row r="4570" spans="1:9" x14ac:dyDescent="0.35">
      <c r="A4570" s="417" t="s">
        <v>846</v>
      </c>
      <c r="B4570" s="417" t="s">
        <v>680</v>
      </c>
      <c r="C4570" s="83">
        <v>46061</v>
      </c>
      <c r="D4570" s="417" t="s">
        <v>690</v>
      </c>
      <c r="E4570">
        <v>1413.0094999999999</v>
      </c>
      <c r="F4570">
        <v>14</v>
      </c>
      <c r="G4570">
        <v>100.92925</v>
      </c>
      <c r="H4570">
        <v>2.34303333333333</v>
      </c>
      <c r="I4570">
        <v>80.819352167308395</v>
      </c>
    </row>
    <row r="4571" spans="1:9" x14ac:dyDescent="0.35">
      <c r="A4571" s="417" t="s">
        <v>846</v>
      </c>
      <c r="B4571" s="417" t="s">
        <v>680</v>
      </c>
      <c r="C4571" s="83">
        <v>46061</v>
      </c>
      <c r="D4571" s="417" t="s">
        <v>685</v>
      </c>
      <c r="E4571">
        <v>1427.1513666666699</v>
      </c>
      <c r="F4571">
        <v>8</v>
      </c>
      <c r="G4571">
        <v>178.393920833333</v>
      </c>
      <c r="H4571">
        <v>2.5085333333333302</v>
      </c>
      <c r="I4571">
        <v>70.944254195170402</v>
      </c>
    </row>
    <row r="4572" spans="1:9" x14ac:dyDescent="0.35">
      <c r="A4572" s="417" t="s">
        <v>846</v>
      </c>
      <c r="B4572" s="417" t="s">
        <v>691</v>
      </c>
      <c r="C4572" s="83">
        <v>46061</v>
      </c>
      <c r="D4572" s="417" t="s">
        <v>305</v>
      </c>
      <c r="E4572">
        <v>1309.6944000000001</v>
      </c>
      <c r="F4572">
        <v>107</v>
      </c>
      <c r="G4572">
        <v>12.2401345794393</v>
      </c>
      <c r="H4572">
        <v>6.4565333333333301</v>
      </c>
      <c r="I4572">
        <v>76.871270235670295</v>
      </c>
    </row>
    <row r="4573" spans="1:9" x14ac:dyDescent="0.35">
      <c r="A4573" s="417" t="s">
        <v>846</v>
      </c>
      <c r="B4573" s="417" t="s">
        <v>691</v>
      </c>
      <c r="C4573" s="83">
        <v>46061</v>
      </c>
      <c r="D4573" s="417" t="s">
        <v>299</v>
      </c>
      <c r="E4573">
        <v>1351.40593333333</v>
      </c>
      <c r="F4573">
        <v>99</v>
      </c>
      <c r="G4573">
        <v>13.650564983164999</v>
      </c>
      <c r="H4573">
        <v>0.55401666666666705</v>
      </c>
      <c r="I4573">
        <v>62.3206047441506</v>
      </c>
    </row>
    <row r="4574" spans="1:9" x14ac:dyDescent="0.35">
      <c r="A4574" s="417" t="s">
        <v>846</v>
      </c>
      <c r="B4574" s="417" t="s">
        <v>691</v>
      </c>
      <c r="C4574" s="83">
        <v>46061</v>
      </c>
      <c r="D4574" s="417" t="s">
        <v>301</v>
      </c>
      <c r="E4574">
        <v>1356.6056000000001</v>
      </c>
      <c r="F4574">
        <v>95</v>
      </c>
      <c r="G4574">
        <v>14.280058947368399</v>
      </c>
      <c r="H4574">
        <v>1.2294499999999999</v>
      </c>
      <c r="I4574">
        <v>58.889794281827001</v>
      </c>
    </row>
    <row r="4575" spans="1:9" x14ac:dyDescent="0.35">
      <c r="A4575" s="417" t="s">
        <v>846</v>
      </c>
      <c r="B4575" s="417" t="s">
        <v>691</v>
      </c>
      <c r="C4575" s="83">
        <v>46061</v>
      </c>
      <c r="D4575" s="417" t="s">
        <v>295</v>
      </c>
      <c r="E4575">
        <v>1369.72225</v>
      </c>
      <c r="F4575">
        <v>79</v>
      </c>
      <c r="G4575">
        <v>17.3382563291139</v>
      </c>
      <c r="H4575">
        <v>0.48811666666666698</v>
      </c>
      <c r="I4575">
        <v>57.702970287653699</v>
      </c>
    </row>
    <row r="4576" spans="1:9" x14ac:dyDescent="0.35">
      <c r="A4576" s="417" t="s">
        <v>846</v>
      </c>
      <c r="B4576" s="417" t="s">
        <v>691</v>
      </c>
      <c r="C4576" s="83">
        <v>46061</v>
      </c>
      <c r="D4576" s="417" t="s">
        <v>309</v>
      </c>
      <c r="E4576">
        <v>1341.7654333333301</v>
      </c>
      <c r="F4576">
        <v>54</v>
      </c>
      <c r="G4576">
        <v>24.8475080246914</v>
      </c>
      <c r="H4576">
        <v>0</v>
      </c>
      <c r="I4576">
        <v>57.058658438502498</v>
      </c>
    </row>
    <row r="4577" spans="1:9" x14ac:dyDescent="0.35">
      <c r="A4577" s="417" t="s">
        <v>846</v>
      </c>
      <c r="B4577" s="417" t="s">
        <v>691</v>
      </c>
      <c r="C4577" s="83">
        <v>46061</v>
      </c>
      <c r="D4577" s="417" t="s">
        <v>310</v>
      </c>
      <c r="E4577">
        <v>1221.7236166666701</v>
      </c>
      <c r="F4577">
        <v>47</v>
      </c>
      <c r="G4577">
        <v>25.994119503546099</v>
      </c>
      <c r="H4577">
        <v>13.231949999999999</v>
      </c>
      <c r="I4577">
        <v>29.205391358678899</v>
      </c>
    </row>
    <row r="4578" spans="1:9" x14ac:dyDescent="0.35">
      <c r="A4578" s="417" t="s">
        <v>846</v>
      </c>
      <c r="B4578" s="417" t="s">
        <v>691</v>
      </c>
      <c r="C4578" s="83">
        <v>46061</v>
      </c>
      <c r="D4578" s="417" t="s">
        <v>303</v>
      </c>
      <c r="E4578">
        <v>1395.23233333333</v>
      </c>
      <c r="F4578">
        <v>46</v>
      </c>
      <c r="G4578">
        <v>30.331137681159401</v>
      </c>
      <c r="H4578">
        <v>0.31421666666666698</v>
      </c>
      <c r="I4578">
        <v>58.678703097054097</v>
      </c>
    </row>
    <row r="4579" spans="1:9" x14ac:dyDescent="0.35">
      <c r="A4579" s="417" t="s">
        <v>846</v>
      </c>
      <c r="B4579" s="417" t="s">
        <v>691</v>
      </c>
      <c r="C4579" s="83">
        <v>46061</v>
      </c>
      <c r="D4579" s="417" t="s">
        <v>314</v>
      </c>
      <c r="E4579">
        <v>1378.0424166666701</v>
      </c>
      <c r="F4579">
        <v>37</v>
      </c>
      <c r="G4579">
        <v>37.2443896396396</v>
      </c>
      <c r="H4579">
        <v>0.75313333333333299</v>
      </c>
      <c r="I4579">
        <v>42.879474218419702</v>
      </c>
    </row>
    <row r="4580" spans="1:9" x14ac:dyDescent="0.35">
      <c r="A4580" s="417" t="s">
        <v>846</v>
      </c>
      <c r="B4580" s="417" t="s">
        <v>691</v>
      </c>
      <c r="C4580" s="83">
        <v>46061</v>
      </c>
      <c r="D4580" s="417" t="s">
        <v>313</v>
      </c>
      <c r="E4580">
        <v>1311.68941666667</v>
      </c>
      <c r="F4580">
        <v>21</v>
      </c>
      <c r="G4580">
        <v>62.461400793650803</v>
      </c>
      <c r="H4580">
        <v>0</v>
      </c>
      <c r="I4580">
        <v>44.127032198133499</v>
      </c>
    </row>
    <row r="4581" spans="1:9" x14ac:dyDescent="0.35">
      <c r="A4581" s="417" t="s">
        <v>846</v>
      </c>
      <c r="B4581" s="417" t="s">
        <v>691</v>
      </c>
      <c r="C4581" s="83">
        <v>46061</v>
      </c>
      <c r="D4581" s="417" t="s">
        <v>317</v>
      </c>
      <c r="E4581">
        <v>1427.0750333333301</v>
      </c>
      <c r="F4581">
        <v>6</v>
      </c>
      <c r="G4581">
        <v>237.84583888888901</v>
      </c>
      <c r="H4581">
        <v>1.7656166666666699</v>
      </c>
      <c r="I4581">
        <v>41.935927848438503</v>
      </c>
    </row>
    <row r="4582" spans="1:9" x14ac:dyDescent="0.35">
      <c r="A4582" s="417" t="s">
        <v>846</v>
      </c>
      <c r="B4582" s="417" t="s">
        <v>691</v>
      </c>
      <c r="C4582" s="83">
        <v>46061</v>
      </c>
      <c r="D4582" s="417" t="s">
        <v>504</v>
      </c>
      <c r="E4582">
        <v>1440</v>
      </c>
      <c r="F4582">
        <v>1</v>
      </c>
      <c r="G4582">
        <v>1440</v>
      </c>
      <c r="H4582">
        <v>0</v>
      </c>
      <c r="I4582">
        <v>16.974228395061701</v>
      </c>
    </row>
    <row r="4583" spans="1:9" x14ac:dyDescent="0.35">
      <c r="A4583" s="417" t="s">
        <v>846</v>
      </c>
      <c r="B4583" s="417" t="s">
        <v>676</v>
      </c>
      <c r="C4583" s="83">
        <v>46060</v>
      </c>
      <c r="D4583" s="417" t="s">
        <v>677</v>
      </c>
      <c r="E4583">
        <v>1347.86275</v>
      </c>
      <c r="F4583">
        <v>204</v>
      </c>
      <c r="G4583">
        <v>6.6071703431372599</v>
      </c>
      <c r="H4583">
        <v>81.635833333333395</v>
      </c>
      <c r="I4583">
        <v>41.220277777777802</v>
      </c>
    </row>
    <row r="4584" spans="1:9" x14ac:dyDescent="0.35">
      <c r="A4584" s="417" t="s">
        <v>846</v>
      </c>
      <c r="B4584" s="417" t="s">
        <v>676</v>
      </c>
      <c r="C4584" s="83">
        <v>46060</v>
      </c>
      <c r="D4584" s="417" t="s">
        <v>679</v>
      </c>
      <c r="E4584">
        <v>1290.89053333333</v>
      </c>
      <c r="F4584">
        <v>52</v>
      </c>
      <c r="G4584">
        <v>24.824817948718</v>
      </c>
      <c r="H4584">
        <v>71.834249999999997</v>
      </c>
      <c r="I4584">
        <v>79.929321018317097</v>
      </c>
    </row>
    <row r="4585" spans="1:9" x14ac:dyDescent="0.35">
      <c r="A4585" s="417" t="s">
        <v>846</v>
      </c>
      <c r="B4585" s="417" t="s">
        <v>680</v>
      </c>
      <c r="C4585" s="83">
        <v>46060</v>
      </c>
      <c r="D4585" s="417" t="s">
        <v>687</v>
      </c>
      <c r="E4585">
        <v>1241.63635</v>
      </c>
      <c r="F4585">
        <v>91</v>
      </c>
      <c r="G4585">
        <v>13.644355494505501</v>
      </c>
      <c r="H4585">
        <v>114.002433333333</v>
      </c>
      <c r="I4585">
        <v>36.339210938383502</v>
      </c>
    </row>
    <row r="4586" spans="1:9" x14ac:dyDescent="0.35">
      <c r="A4586" s="417" t="s">
        <v>846</v>
      </c>
      <c r="B4586" s="417" t="s">
        <v>680</v>
      </c>
      <c r="C4586" s="83">
        <v>46060</v>
      </c>
      <c r="D4586" s="417" t="s">
        <v>689</v>
      </c>
      <c r="E4586">
        <v>1324.7083333333301</v>
      </c>
      <c r="F4586">
        <v>52</v>
      </c>
      <c r="G4586">
        <v>25.475160256410302</v>
      </c>
      <c r="H4586">
        <v>9.3170666666666708</v>
      </c>
      <c r="I4586">
        <v>84.052012347086304</v>
      </c>
    </row>
    <row r="4587" spans="1:9" x14ac:dyDescent="0.35">
      <c r="A4587" s="417" t="s">
        <v>846</v>
      </c>
      <c r="B4587" s="417" t="s">
        <v>680</v>
      </c>
      <c r="C4587" s="83">
        <v>46060</v>
      </c>
      <c r="D4587" s="417" t="s">
        <v>688</v>
      </c>
      <c r="E4587">
        <v>1329.3133166666701</v>
      </c>
      <c r="F4587">
        <v>43</v>
      </c>
      <c r="G4587">
        <v>30.9142631782946</v>
      </c>
      <c r="H4587">
        <v>46.1666666666667</v>
      </c>
      <c r="I4587">
        <v>67.629189808159097</v>
      </c>
    </row>
    <row r="4588" spans="1:9" x14ac:dyDescent="0.35">
      <c r="A4588" s="417" t="s">
        <v>846</v>
      </c>
      <c r="B4588" s="417" t="s">
        <v>680</v>
      </c>
      <c r="C4588" s="83">
        <v>46060</v>
      </c>
      <c r="D4588" s="417" t="s">
        <v>681</v>
      </c>
      <c r="E4588">
        <v>1347.6625166666699</v>
      </c>
      <c r="F4588">
        <v>36</v>
      </c>
      <c r="G4588">
        <v>37.435069907407403</v>
      </c>
      <c r="H4588">
        <v>5.15086666666667</v>
      </c>
      <c r="I4588">
        <v>73.292208035688304</v>
      </c>
    </row>
    <row r="4589" spans="1:9" x14ac:dyDescent="0.35">
      <c r="A4589" s="417" t="s">
        <v>846</v>
      </c>
      <c r="B4589" s="417" t="s">
        <v>680</v>
      </c>
      <c r="C4589" s="83">
        <v>46060</v>
      </c>
      <c r="D4589" s="417" t="s">
        <v>683</v>
      </c>
      <c r="E4589">
        <v>1378.2950333333299</v>
      </c>
      <c r="F4589">
        <v>35</v>
      </c>
      <c r="G4589">
        <v>39.379858095238099</v>
      </c>
      <c r="H4589">
        <v>10.142383333333299</v>
      </c>
      <c r="I4589">
        <v>83.749979023661894</v>
      </c>
    </row>
    <row r="4590" spans="1:9" x14ac:dyDescent="0.35">
      <c r="A4590" s="417" t="s">
        <v>846</v>
      </c>
      <c r="B4590" s="417" t="s">
        <v>680</v>
      </c>
      <c r="C4590" s="83">
        <v>46060</v>
      </c>
      <c r="D4590" s="417" t="s">
        <v>684</v>
      </c>
      <c r="E4590">
        <v>1409.4629500000001</v>
      </c>
      <c r="F4590">
        <v>34</v>
      </c>
      <c r="G4590">
        <v>41.454792647058802</v>
      </c>
      <c r="H4590">
        <v>20.0002666666667</v>
      </c>
      <c r="I4590">
        <v>63.531340684614896</v>
      </c>
    </row>
    <row r="4591" spans="1:9" x14ac:dyDescent="0.35">
      <c r="A4591" s="417" t="s">
        <v>846</v>
      </c>
      <c r="B4591" s="417" t="s">
        <v>680</v>
      </c>
      <c r="C4591" s="83">
        <v>46060</v>
      </c>
      <c r="D4591" s="417" t="s">
        <v>690</v>
      </c>
      <c r="E4591">
        <v>1412.16613333333</v>
      </c>
      <c r="F4591">
        <v>9</v>
      </c>
      <c r="G4591">
        <v>156.907348148148</v>
      </c>
      <c r="H4591">
        <v>2.17628333333333</v>
      </c>
      <c r="I4591">
        <v>81.875186264528594</v>
      </c>
    </row>
    <row r="4592" spans="1:9" x14ac:dyDescent="0.35">
      <c r="A4592" s="417" t="s">
        <v>846</v>
      </c>
      <c r="B4592" s="417" t="s">
        <v>680</v>
      </c>
      <c r="C4592" s="83">
        <v>46060</v>
      </c>
      <c r="D4592" s="417" t="s">
        <v>682</v>
      </c>
      <c r="E4592">
        <v>1430.83903333333</v>
      </c>
      <c r="F4592">
        <v>5</v>
      </c>
      <c r="G4592">
        <v>286.16780666666699</v>
      </c>
      <c r="H4592">
        <v>9.1609666666666705</v>
      </c>
      <c r="I4592">
        <v>63.2222222222222</v>
      </c>
    </row>
    <row r="4593" spans="1:9" x14ac:dyDescent="0.35">
      <c r="A4593" s="417" t="s">
        <v>846</v>
      </c>
      <c r="B4593" s="417" t="s">
        <v>680</v>
      </c>
      <c r="C4593" s="83">
        <v>46060</v>
      </c>
      <c r="D4593" s="417" t="s">
        <v>685</v>
      </c>
      <c r="E4593">
        <v>1424.4916499999999</v>
      </c>
      <c r="F4593">
        <v>3</v>
      </c>
      <c r="G4593">
        <v>474.83055000000002</v>
      </c>
      <c r="H4593">
        <v>0</v>
      </c>
      <c r="I4593">
        <v>73.876399114067596</v>
      </c>
    </row>
    <row r="4594" spans="1:9" x14ac:dyDescent="0.35">
      <c r="A4594" s="417" t="s">
        <v>846</v>
      </c>
      <c r="B4594" s="417" t="s">
        <v>691</v>
      </c>
      <c r="C4594" s="83">
        <v>46060</v>
      </c>
      <c r="D4594" s="417" t="s">
        <v>305</v>
      </c>
      <c r="E4594">
        <v>1279.7571499999999</v>
      </c>
      <c r="F4594">
        <v>131</v>
      </c>
      <c r="G4594">
        <v>9.7691385496183205</v>
      </c>
      <c r="H4594">
        <v>8.4102999999999994</v>
      </c>
      <c r="I4594">
        <v>85.254437449308298</v>
      </c>
    </row>
    <row r="4595" spans="1:9" x14ac:dyDescent="0.35">
      <c r="A4595" s="417" t="s">
        <v>846</v>
      </c>
      <c r="B4595" s="417" t="s">
        <v>691</v>
      </c>
      <c r="C4595" s="83">
        <v>46060</v>
      </c>
      <c r="D4595" s="417" t="s">
        <v>295</v>
      </c>
      <c r="E4595">
        <v>1340.0691999999999</v>
      </c>
      <c r="F4595">
        <v>100</v>
      </c>
      <c r="G4595">
        <v>13.400691999999999</v>
      </c>
      <c r="H4595">
        <v>1.94353333333333</v>
      </c>
      <c r="I4595">
        <v>70.960818526194402</v>
      </c>
    </row>
    <row r="4596" spans="1:9" x14ac:dyDescent="0.35">
      <c r="A4596" s="417" t="s">
        <v>846</v>
      </c>
      <c r="B4596" s="417" t="s">
        <v>691</v>
      </c>
      <c r="C4596" s="83">
        <v>46060</v>
      </c>
      <c r="D4596" s="417" t="s">
        <v>301</v>
      </c>
      <c r="E4596">
        <v>1364.9201333333301</v>
      </c>
      <c r="F4596">
        <v>86</v>
      </c>
      <c r="G4596">
        <v>15.871164341085301</v>
      </c>
      <c r="H4596">
        <v>5.8318000000000003</v>
      </c>
      <c r="I4596">
        <v>67.959915399636998</v>
      </c>
    </row>
    <row r="4597" spans="1:9" x14ac:dyDescent="0.35">
      <c r="A4597" s="417" t="s">
        <v>846</v>
      </c>
      <c r="B4597" s="417" t="s">
        <v>691</v>
      </c>
      <c r="C4597" s="83">
        <v>46060</v>
      </c>
      <c r="D4597" s="417" t="s">
        <v>299</v>
      </c>
      <c r="E4597">
        <v>1345.78633333333</v>
      </c>
      <c r="F4597">
        <v>76</v>
      </c>
      <c r="G4597">
        <v>17.7077149122807</v>
      </c>
      <c r="H4597">
        <v>0.292383333333333</v>
      </c>
      <c r="I4597">
        <v>59.941494363875101</v>
      </c>
    </row>
    <row r="4598" spans="1:9" x14ac:dyDescent="0.35">
      <c r="A4598" s="417" t="s">
        <v>846</v>
      </c>
      <c r="B4598" s="417" t="s">
        <v>691</v>
      </c>
      <c r="C4598" s="83">
        <v>46060</v>
      </c>
      <c r="D4598" s="417" t="s">
        <v>309</v>
      </c>
      <c r="E4598">
        <v>1365.2193500000001</v>
      </c>
      <c r="F4598">
        <v>46</v>
      </c>
      <c r="G4598">
        <v>29.678681521739101</v>
      </c>
      <c r="H4598">
        <v>0</v>
      </c>
      <c r="I4598">
        <v>71.3011063861195</v>
      </c>
    </row>
    <row r="4599" spans="1:9" x14ac:dyDescent="0.35">
      <c r="A4599" s="417" t="s">
        <v>846</v>
      </c>
      <c r="B4599" s="417" t="s">
        <v>691</v>
      </c>
      <c r="C4599" s="83">
        <v>46060</v>
      </c>
      <c r="D4599" s="417" t="s">
        <v>303</v>
      </c>
      <c r="E4599">
        <v>1365.9032500000001</v>
      </c>
      <c r="F4599">
        <v>38</v>
      </c>
      <c r="G4599">
        <v>35.9448223684211</v>
      </c>
      <c r="H4599">
        <v>9.0016666666666703E-2</v>
      </c>
      <c r="I4599">
        <v>67.487767161950998</v>
      </c>
    </row>
    <row r="4600" spans="1:9" x14ac:dyDescent="0.35">
      <c r="A4600" s="417" t="s">
        <v>846</v>
      </c>
      <c r="B4600" s="417" t="s">
        <v>691</v>
      </c>
      <c r="C4600" s="83">
        <v>46060</v>
      </c>
      <c r="D4600" s="417" t="s">
        <v>310</v>
      </c>
      <c r="E4600">
        <v>1249.8086499999999</v>
      </c>
      <c r="F4600">
        <v>23</v>
      </c>
      <c r="G4600">
        <v>54.339506521739104</v>
      </c>
      <c r="H4600">
        <v>1.4835166666666699</v>
      </c>
      <c r="I4600">
        <v>44.800921829421398</v>
      </c>
    </row>
    <row r="4601" spans="1:9" x14ac:dyDescent="0.35">
      <c r="A4601" s="417" t="s">
        <v>846</v>
      </c>
      <c r="B4601" s="417" t="s">
        <v>691</v>
      </c>
      <c r="C4601" s="83">
        <v>46060</v>
      </c>
      <c r="D4601" s="417" t="s">
        <v>314</v>
      </c>
      <c r="E4601">
        <v>1400.4645166666701</v>
      </c>
      <c r="F4601">
        <v>8</v>
      </c>
      <c r="G4601">
        <v>175.05806458333299</v>
      </c>
      <c r="H4601">
        <v>0.15204999999999999</v>
      </c>
      <c r="I4601">
        <v>64.227116452452805</v>
      </c>
    </row>
    <row r="4602" spans="1:9" x14ac:dyDescent="0.35">
      <c r="A4602" s="417" t="s">
        <v>846</v>
      </c>
      <c r="B4602" s="417" t="s">
        <v>691</v>
      </c>
      <c r="C4602" s="83">
        <v>46060</v>
      </c>
      <c r="D4602" s="417" t="s">
        <v>313</v>
      </c>
      <c r="E4602">
        <v>1199.44478333333</v>
      </c>
      <c r="F4602">
        <v>5</v>
      </c>
      <c r="G4602">
        <v>239.88895666666701</v>
      </c>
      <c r="H4602">
        <v>5.9116666666666699E-2</v>
      </c>
      <c r="I4602">
        <v>61.0042166954848</v>
      </c>
    </row>
    <row r="4603" spans="1:9" x14ac:dyDescent="0.35">
      <c r="A4603" s="417" t="s">
        <v>846</v>
      </c>
      <c r="B4603" s="417" t="s">
        <v>691</v>
      </c>
      <c r="C4603" s="83">
        <v>46060</v>
      </c>
      <c r="D4603" s="417" t="s">
        <v>317</v>
      </c>
      <c r="E4603">
        <v>1433.44795</v>
      </c>
      <c r="F4603">
        <v>4</v>
      </c>
      <c r="G4603">
        <v>358.3619875</v>
      </c>
      <c r="H4603">
        <v>3.6234500000000001</v>
      </c>
      <c r="I4603">
        <v>51.803271570222599</v>
      </c>
    </row>
    <row r="4604" spans="1:9" x14ac:dyDescent="0.35">
      <c r="A4604" s="417" t="s">
        <v>846</v>
      </c>
      <c r="B4604" s="417" t="s">
        <v>691</v>
      </c>
      <c r="C4604" s="83">
        <v>46060</v>
      </c>
      <c r="D4604" s="417" t="s">
        <v>504</v>
      </c>
      <c r="E4604">
        <v>1440</v>
      </c>
      <c r="F4604">
        <v>1</v>
      </c>
      <c r="G4604">
        <v>1440</v>
      </c>
      <c r="H4604">
        <v>0</v>
      </c>
      <c r="I4604">
        <v>22.699691358024701</v>
      </c>
    </row>
    <row r="4605" spans="1:9" x14ac:dyDescent="0.35">
      <c r="A4605" s="417" t="s">
        <v>846</v>
      </c>
      <c r="B4605" s="417" t="s">
        <v>676</v>
      </c>
      <c r="C4605" s="83">
        <v>46059</v>
      </c>
      <c r="D4605" s="417" t="s">
        <v>677</v>
      </c>
      <c r="E4605">
        <v>1299.1638333333301</v>
      </c>
      <c r="F4605">
        <v>93</v>
      </c>
      <c r="G4605">
        <v>13.9695035842294</v>
      </c>
      <c r="H4605">
        <v>79.335316666666699</v>
      </c>
      <c r="I4605">
        <v>40.323888888888803</v>
      </c>
    </row>
    <row r="4606" spans="1:9" x14ac:dyDescent="0.35">
      <c r="A4606" s="417" t="s">
        <v>846</v>
      </c>
      <c r="B4606" s="417" t="s">
        <v>676</v>
      </c>
      <c r="C4606" s="83">
        <v>46059</v>
      </c>
      <c r="D4606" s="417" t="s">
        <v>679</v>
      </c>
      <c r="E4606">
        <v>1288.6505500000001</v>
      </c>
      <c r="F4606">
        <v>28</v>
      </c>
      <c r="G4606">
        <v>46.0232339285714</v>
      </c>
      <c r="H4606">
        <v>18.176916666666699</v>
      </c>
      <c r="I4606">
        <v>85.995570160161407</v>
      </c>
    </row>
    <row r="4607" spans="1:9" x14ac:dyDescent="0.35">
      <c r="A4607" s="417" t="s">
        <v>846</v>
      </c>
      <c r="B4607" s="417" t="s">
        <v>680</v>
      </c>
      <c r="C4607" s="83">
        <v>46059</v>
      </c>
      <c r="D4607" s="417" t="s">
        <v>689</v>
      </c>
      <c r="E4607">
        <v>1352.1442999999999</v>
      </c>
      <c r="F4607">
        <v>54</v>
      </c>
      <c r="G4607">
        <v>25.0397092592593</v>
      </c>
      <c r="H4607">
        <v>9.1666166666666697</v>
      </c>
      <c r="I4607">
        <v>86.283614284403797</v>
      </c>
    </row>
    <row r="4608" spans="1:9" x14ac:dyDescent="0.35">
      <c r="A4608" s="417" t="s">
        <v>846</v>
      </c>
      <c r="B4608" s="417" t="s">
        <v>680</v>
      </c>
      <c r="C4608" s="83">
        <v>46059</v>
      </c>
      <c r="D4608" s="417" t="s">
        <v>681</v>
      </c>
      <c r="E4608">
        <v>1367.4447</v>
      </c>
      <c r="F4608">
        <v>36</v>
      </c>
      <c r="G4608">
        <v>37.984575</v>
      </c>
      <c r="H4608">
        <v>1.6871833333333299</v>
      </c>
      <c r="I4608">
        <v>80.939474445978206</v>
      </c>
    </row>
    <row r="4609" spans="1:9" x14ac:dyDescent="0.35">
      <c r="A4609" s="417" t="s">
        <v>846</v>
      </c>
      <c r="B4609" s="417" t="s">
        <v>680</v>
      </c>
      <c r="C4609" s="83">
        <v>46059</v>
      </c>
      <c r="D4609" s="417" t="s">
        <v>687</v>
      </c>
      <c r="E4609">
        <v>1390.00193333333</v>
      </c>
      <c r="F4609">
        <v>26</v>
      </c>
      <c r="G4609">
        <v>53.461612820512798</v>
      </c>
      <c r="H4609">
        <v>29.317450000000001</v>
      </c>
      <c r="I4609">
        <v>33.022229851477697</v>
      </c>
    </row>
    <row r="4610" spans="1:9" x14ac:dyDescent="0.35">
      <c r="A4610" s="417" t="s">
        <v>846</v>
      </c>
      <c r="B4610" s="417" t="s">
        <v>680</v>
      </c>
      <c r="C4610" s="83">
        <v>46059</v>
      </c>
      <c r="D4610" s="417" t="s">
        <v>690</v>
      </c>
      <c r="E4610">
        <v>1400.01178333333</v>
      </c>
      <c r="F4610">
        <v>25</v>
      </c>
      <c r="G4610">
        <v>56.000471333333302</v>
      </c>
      <c r="H4610">
        <v>11.3396166666667</v>
      </c>
      <c r="I4610">
        <v>85.272917549377397</v>
      </c>
    </row>
    <row r="4611" spans="1:9" x14ac:dyDescent="0.35">
      <c r="A4611" s="417" t="s">
        <v>846</v>
      </c>
      <c r="B4611" s="417" t="s">
        <v>680</v>
      </c>
      <c r="C4611" s="83">
        <v>46059</v>
      </c>
      <c r="D4611" s="417" t="s">
        <v>684</v>
      </c>
      <c r="E4611">
        <v>1423.8224499999999</v>
      </c>
      <c r="F4611">
        <v>23</v>
      </c>
      <c r="G4611">
        <v>61.905323913043503</v>
      </c>
      <c r="H4611">
        <v>13.343966666666701</v>
      </c>
      <c r="I4611">
        <v>65.936573677732895</v>
      </c>
    </row>
    <row r="4612" spans="1:9" x14ac:dyDescent="0.35">
      <c r="A4612" s="417" t="s">
        <v>846</v>
      </c>
      <c r="B4612" s="417" t="s">
        <v>680</v>
      </c>
      <c r="C4612" s="83">
        <v>46059</v>
      </c>
      <c r="D4612" s="417" t="s">
        <v>688</v>
      </c>
      <c r="E4612">
        <v>1420.1302166666701</v>
      </c>
      <c r="F4612">
        <v>17</v>
      </c>
      <c r="G4612">
        <v>83.537071568627496</v>
      </c>
      <c r="H4612">
        <v>1.0068999999999999</v>
      </c>
      <c r="I4612">
        <v>78.815245545560401</v>
      </c>
    </row>
    <row r="4613" spans="1:9" x14ac:dyDescent="0.35">
      <c r="A4613" s="417" t="s">
        <v>846</v>
      </c>
      <c r="B4613" s="417" t="s">
        <v>680</v>
      </c>
      <c r="C4613" s="83">
        <v>46059</v>
      </c>
      <c r="D4613" s="417" t="s">
        <v>683</v>
      </c>
      <c r="E4613">
        <v>1416.31125</v>
      </c>
      <c r="F4613">
        <v>16</v>
      </c>
      <c r="G4613">
        <v>88.519453124999998</v>
      </c>
      <c r="H4613">
        <v>6.03311666666667</v>
      </c>
      <c r="I4613">
        <v>88.800389458511404</v>
      </c>
    </row>
    <row r="4614" spans="1:9" x14ac:dyDescent="0.35">
      <c r="A4614" s="417" t="s">
        <v>846</v>
      </c>
      <c r="B4614" s="417" t="s">
        <v>680</v>
      </c>
      <c r="C4614" s="83">
        <v>46059</v>
      </c>
      <c r="D4614" s="417" t="s">
        <v>682</v>
      </c>
      <c r="E4614">
        <v>1422.6743166666699</v>
      </c>
      <c r="F4614">
        <v>6</v>
      </c>
      <c r="G4614">
        <v>237.11238611111099</v>
      </c>
      <c r="H4614">
        <v>17.325683333333298</v>
      </c>
      <c r="I4614">
        <v>65.328282828282894</v>
      </c>
    </row>
    <row r="4615" spans="1:9" x14ac:dyDescent="0.35">
      <c r="A4615" s="417" t="s">
        <v>846</v>
      </c>
      <c r="B4615" s="417" t="s">
        <v>680</v>
      </c>
      <c r="C4615" s="83">
        <v>46059</v>
      </c>
      <c r="D4615" s="417" t="s">
        <v>685</v>
      </c>
      <c r="E4615">
        <v>1423.3243833333299</v>
      </c>
      <c r="F4615">
        <v>5</v>
      </c>
      <c r="G4615">
        <v>284.664876666667</v>
      </c>
      <c r="H4615">
        <v>0</v>
      </c>
      <c r="I4615">
        <v>77.544674636144194</v>
      </c>
    </row>
    <row r="4616" spans="1:9" x14ac:dyDescent="0.35">
      <c r="A4616" s="417" t="s">
        <v>846</v>
      </c>
      <c r="B4616" s="417" t="s">
        <v>680</v>
      </c>
      <c r="C4616" s="83">
        <v>46059</v>
      </c>
      <c r="D4616" s="417" t="s">
        <v>686</v>
      </c>
      <c r="E4616">
        <v>480</v>
      </c>
      <c r="F4616">
        <v>1</v>
      </c>
      <c r="G4616">
        <v>480</v>
      </c>
      <c r="H4616">
        <v>0</v>
      </c>
      <c r="I4616">
        <v>4.5231308410654502E-15</v>
      </c>
    </row>
    <row r="4617" spans="1:9" x14ac:dyDescent="0.35">
      <c r="A4617" s="417" t="s">
        <v>846</v>
      </c>
      <c r="B4617" s="417" t="s">
        <v>691</v>
      </c>
      <c r="C4617" s="83">
        <v>46059</v>
      </c>
      <c r="D4617" s="417" t="s">
        <v>305</v>
      </c>
      <c r="E4617">
        <v>1318.83451666667</v>
      </c>
      <c r="F4617">
        <v>123</v>
      </c>
      <c r="G4617">
        <v>10.722231842818401</v>
      </c>
      <c r="H4617">
        <v>7.0866166666666697</v>
      </c>
      <c r="I4617">
        <v>81.468270201876294</v>
      </c>
    </row>
    <row r="4618" spans="1:9" x14ac:dyDescent="0.35">
      <c r="A4618" s="417" t="s">
        <v>846</v>
      </c>
      <c r="B4618" s="417" t="s">
        <v>691</v>
      </c>
      <c r="C4618" s="83">
        <v>46059</v>
      </c>
      <c r="D4618" s="417" t="s">
        <v>299</v>
      </c>
      <c r="E4618">
        <v>1348.59655</v>
      </c>
      <c r="F4618">
        <v>94</v>
      </c>
      <c r="G4618">
        <v>14.346771808510599</v>
      </c>
      <c r="H4618">
        <v>0.64890000000000003</v>
      </c>
      <c r="I4618">
        <v>53.366291135590998</v>
      </c>
    </row>
    <row r="4619" spans="1:9" x14ac:dyDescent="0.35">
      <c r="A4619" s="417" t="s">
        <v>846</v>
      </c>
      <c r="B4619" s="417" t="s">
        <v>691</v>
      </c>
      <c r="C4619" s="83">
        <v>46059</v>
      </c>
      <c r="D4619" s="417" t="s">
        <v>301</v>
      </c>
      <c r="E4619">
        <v>1386.7802999999999</v>
      </c>
      <c r="F4619">
        <v>88</v>
      </c>
      <c r="G4619">
        <v>15.758867045454499</v>
      </c>
      <c r="H4619">
        <v>1.3976666666666699</v>
      </c>
      <c r="I4619">
        <v>65.921252579649206</v>
      </c>
    </row>
    <row r="4620" spans="1:9" x14ac:dyDescent="0.35">
      <c r="A4620" s="417" t="s">
        <v>846</v>
      </c>
      <c r="B4620" s="417" t="s">
        <v>691</v>
      </c>
      <c r="C4620" s="83">
        <v>46059</v>
      </c>
      <c r="D4620" s="417" t="s">
        <v>295</v>
      </c>
      <c r="E4620">
        <v>1305.8655000000001</v>
      </c>
      <c r="F4620">
        <v>88</v>
      </c>
      <c r="G4620">
        <v>14.8393806818182</v>
      </c>
      <c r="H4620">
        <v>1.5108666666666699</v>
      </c>
      <c r="I4620">
        <v>61.591275119776</v>
      </c>
    </row>
    <row r="4621" spans="1:9" x14ac:dyDescent="0.35">
      <c r="A4621" s="417" t="s">
        <v>846</v>
      </c>
      <c r="B4621" s="417" t="s">
        <v>691</v>
      </c>
      <c r="C4621" s="83">
        <v>46059</v>
      </c>
      <c r="D4621" s="417" t="s">
        <v>309</v>
      </c>
      <c r="E4621">
        <v>1319.64803333333</v>
      </c>
      <c r="F4621">
        <v>80</v>
      </c>
      <c r="G4621">
        <v>16.495600416666701</v>
      </c>
      <c r="H4621">
        <v>0</v>
      </c>
      <c r="I4621">
        <v>77.749806453099893</v>
      </c>
    </row>
    <row r="4622" spans="1:9" x14ac:dyDescent="0.35">
      <c r="A4622" s="417" t="s">
        <v>846</v>
      </c>
      <c r="B4622" s="417" t="s">
        <v>691</v>
      </c>
      <c r="C4622" s="83">
        <v>46059</v>
      </c>
      <c r="D4622" s="417" t="s">
        <v>303</v>
      </c>
      <c r="E4622">
        <v>1382.47345</v>
      </c>
      <c r="F4622">
        <v>40</v>
      </c>
      <c r="G4622">
        <v>34.561836249999999</v>
      </c>
      <c r="H4622">
        <v>0.31273333333333297</v>
      </c>
      <c r="I4622">
        <v>60.682921879185599</v>
      </c>
    </row>
    <row r="4623" spans="1:9" x14ac:dyDescent="0.35">
      <c r="A4623" s="417" t="s">
        <v>846</v>
      </c>
      <c r="B4623" s="417" t="s">
        <v>691</v>
      </c>
      <c r="C4623" s="83">
        <v>46059</v>
      </c>
      <c r="D4623" s="417" t="s">
        <v>313</v>
      </c>
      <c r="E4623">
        <v>1346.2228666666699</v>
      </c>
      <c r="F4623">
        <v>32</v>
      </c>
      <c r="G4623">
        <v>42.0694645833333</v>
      </c>
      <c r="H4623">
        <v>5.0700000000000002E-2</v>
      </c>
      <c r="I4623">
        <v>64.175518998316505</v>
      </c>
    </row>
    <row r="4624" spans="1:9" x14ac:dyDescent="0.35">
      <c r="A4624" s="417" t="s">
        <v>846</v>
      </c>
      <c r="B4624" s="417" t="s">
        <v>691</v>
      </c>
      <c r="C4624" s="83">
        <v>46059</v>
      </c>
      <c r="D4624" s="417" t="s">
        <v>310</v>
      </c>
      <c r="E4624">
        <v>1256.8676333333301</v>
      </c>
      <c r="F4624">
        <v>30</v>
      </c>
      <c r="G4624">
        <v>41.895587777777799</v>
      </c>
      <c r="H4624">
        <v>0.55793333333333295</v>
      </c>
      <c r="I4624">
        <v>47.360291502101099</v>
      </c>
    </row>
    <row r="4625" spans="1:9" x14ac:dyDescent="0.35">
      <c r="A4625" s="417" t="s">
        <v>846</v>
      </c>
      <c r="B4625" s="417" t="s">
        <v>691</v>
      </c>
      <c r="C4625" s="83">
        <v>46059</v>
      </c>
      <c r="D4625" s="417" t="s">
        <v>314</v>
      </c>
      <c r="E4625">
        <v>1385.29485</v>
      </c>
      <c r="F4625">
        <v>9</v>
      </c>
      <c r="G4625">
        <v>153.92165</v>
      </c>
      <c r="H4625">
        <v>4.4261833333333298</v>
      </c>
      <c r="I4625">
        <v>64.498579595554304</v>
      </c>
    </row>
    <row r="4626" spans="1:9" x14ac:dyDescent="0.35">
      <c r="A4626" s="417" t="s">
        <v>846</v>
      </c>
      <c r="B4626" s="417" t="s">
        <v>691</v>
      </c>
      <c r="C4626" s="83">
        <v>46059</v>
      </c>
      <c r="D4626" s="417" t="s">
        <v>317</v>
      </c>
      <c r="E4626">
        <v>1438.85555</v>
      </c>
      <c r="F4626">
        <v>2</v>
      </c>
      <c r="G4626">
        <v>719.427775</v>
      </c>
      <c r="H4626">
        <v>0.60318333333333296</v>
      </c>
      <c r="I4626">
        <v>55.913377810854001</v>
      </c>
    </row>
    <row r="4627" spans="1:9" x14ac:dyDescent="0.35">
      <c r="A4627" s="417" t="s">
        <v>846</v>
      </c>
      <c r="B4627" s="417" t="s">
        <v>691</v>
      </c>
      <c r="C4627" s="83">
        <v>46059</v>
      </c>
      <c r="D4627" s="417" t="s">
        <v>504</v>
      </c>
      <c r="E4627">
        <v>1440</v>
      </c>
      <c r="F4627">
        <v>1</v>
      </c>
      <c r="G4627">
        <v>1440</v>
      </c>
      <c r="H4627">
        <v>0</v>
      </c>
      <c r="I4627">
        <v>40.206481481481497</v>
      </c>
    </row>
    <row r="4628" spans="1:9" x14ac:dyDescent="0.35">
      <c r="A4628" s="417" t="s">
        <v>846</v>
      </c>
      <c r="B4628" s="417" t="s">
        <v>676</v>
      </c>
      <c r="C4628" s="83">
        <v>46058</v>
      </c>
      <c r="D4628" s="417" t="s">
        <v>677</v>
      </c>
      <c r="E4628">
        <v>646.82271666666702</v>
      </c>
      <c r="F4628">
        <v>77</v>
      </c>
      <c r="G4628">
        <v>8.4002950216450198</v>
      </c>
      <c r="H4628">
        <v>33.989383333333301</v>
      </c>
      <c r="I4628">
        <v>14.4522222222223</v>
      </c>
    </row>
    <row r="4629" spans="1:9" x14ac:dyDescent="0.35">
      <c r="A4629" s="417" t="s">
        <v>846</v>
      </c>
      <c r="B4629" s="417" t="s">
        <v>676</v>
      </c>
      <c r="C4629" s="83">
        <v>46058</v>
      </c>
      <c r="D4629" s="417" t="s">
        <v>679</v>
      </c>
      <c r="E4629">
        <v>671.15335000000005</v>
      </c>
      <c r="F4629">
        <v>24</v>
      </c>
      <c r="G4629">
        <v>27.964722916666702</v>
      </c>
      <c r="H4629">
        <v>18.662116666666702</v>
      </c>
      <c r="I4629">
        <v>42.895077270834001</v>
      </c>
    </row>
    <row r="4630" spans="1:9" x14ac:dyDescent="0.35">
      <c r="A4630" s="417" t="s">
        <v>846</v>
      </c>
      <c r="B4630" s="417" t="s">
        <v>680</v>
      </c>
      <c r="C4630" s="83">
        <v>46058</v>
      </c>
      <c r="D4630" s="417" t="s">
        <v>689</v>
      </c>
      <c r="E4630">
        <v>1357.472</v>
      </c>
      <c r="F4630">
        <v>68</v>
      </c>
      <c r="G4630">
        <v>19.9628235294118</v>
      </c>
      <c r="H4630">
        <v>6.1715833333333299</v>
      </c>
      <c r="I4630">
        <v>89.029258520680301</v>
      </c>
    </row>
    <row r="4631" spans="1:9" x14ac:dyDescent="0.35">
      <c r="A4631" s="417" t="s">
        <v>846</v>
      </c>
      <c r="B4631" s="417" t="s">
        <v>680</v>
      </c>
      <c r="C4631" s="83">
        <v>46058</v>
      </c>
      <c r="D4631" s="417" t="s">
        <v>684</v>
      </c>
      <c r="E4631">
        <v>1385.3049166666699</v>
      </c>
      <c r="F4631">
        <v>59</v>
      </c>
      <c r="G4631">
        <v>23.479744350282498</v>
      </c>
      <c r="H4631">
        <v>40.7074</v>
      </c>
      <c r="I4631">
        <v>67.445261278054303</v>
      </c>
    </row>
    <row r="4632" spans="1:9" x14ac:dyDescent="0.35">
      <c r="A4632" s="417" t="s">
        <v>846</v>
      </c>
      <c r="B4632" s="417" t="s">
        <v>680</v>
      </c>
      <c r="C4632" s="83">
        <v>46058</v>
      </c>
      <c r="D4632" s="417" t="s">
        <v>681</v>
      </c>
      <c r="E4632">
        <v>1392.0052499999999</v>
      </c>
      <c r="F4632">
        <v>50</v>
      </c>
      <c r="G4632">
        <v>27.840105000000001</v>
      </c>
      <c r="H4632">
        <v>0.99611666666666698</v>
      </c>
      <c r="I4632">
        <v>87.524039074162602</v>
      </c>
    </row>
    <row r="4633" spans="1:9" x14ac:dyDescent="0.35">
      <c r="A4633" s="417" t="s">
        <v>846</v>
      </c>
      <c r="B4633" s="417" t="s">
        <v>680</v>
      </c>
      <c r="C4633" s="83">
        <v>46058</v>
      </c>
      <c r="D4633" s="417" t="s">
        <v>687</v>
      </c>
      <c r="E4633">
        <v>1338.8330166666699</v>
      </c>
      <c r="F4633">
        <v>42</v>
      </c>
      <c r="G4633">
        <v>31.876976587301598</v>
      </c>
      <c r="H4633">
        <v>48.993733333333303</v>
      </c>
      <c r="I4633">
        <v>30.814870019373299</v>
      </c>
    </row>
    <row r="4634" spans="1:9" x14ac:dyDescent="0.35">
      <c r="A4634" s="417" t="s">
        <v>846</v>
      </c>
      <c r="B4634" s="417" t="s">
        <v>680</v>
      </c>
      <c r="C4634" s="83">
        <v>46058</v>
      </c>
      <c r="D4634" s="417" t="s">
        <v>690</v>
      </c>
      <c r="E4634">
        <v>1384.30263333333</v>
      </c>
      <c r="F4634">
        <v>35</v>
      </c>
      <c r="G4634">
        <v>39.551503809523801</v>
      </c>
      <c r="H4634">
        <v>10.357416666666699</v>
      </c>
      <c r="I4634">
        <v>77.515958764637503</v>
      </c>
    </row>
    <row r="4635" spans="1:9" x14ac:dyDescent="0.35">
      <c r="A4635" s="417" t="s">
        <v>846</v>
      </c>
      <c r="B4635" s="417" t="s">
        <v>680</v>
      </c>
      <c r="C4635" s="83">
        <v>46058</v>
      </c>
      <c r="D4635" s="417" t="s">
        <v>683</v>
      </c>
      <c r="E4635">
        <v>1389.4586666666701</v>
      </c>
      <c r="F4635">
        <v>30</v>
      </c>
      <c r="G4635">
        <v>46.315288888888901</v>
      </c>
      <c r="H4635">
        <v>10.166600000000001</v>
      </c>
      <c r="I4635">
        <v>78.494449985143902</v>
      </c>
    </row>
    <row r="4636" spans="1:9" x14ac:dyDescent="0.35">
      <c r="A4636" s="417" t="s">
        <v>846</v>
      </c>
      <c r="B4636" s="417" t="s">
        <v>680</v>
      </c>
      <c r="C4636" s="83">
        <v>46058</v>
      </c>
      <c r="D4636" s="417" t="s">
        <v>688</v>
      </c>
      <c r="E4636">
        <v>1425.9897333333299</v>
      </c>
      <c r="F4636">
        <v>20</v>
      </c>
      <c r="G4636">
        <v>71.299486666666695</v>
      </c>
      <c r="H4636">
        <v>4.16468333333333</v>
      </c>
      <c r="I4636">
        <v>85.758759113740595</v>
      </c>
    </row>
    <row r="4637" spans="1:9" x14ac:dyDescent="0.35">
      <c r="A4637" s="417" t="s">
        <v>846</v>
      </c>
      <c r="B4637" s="417" t="s">
        <v>680</v>
      </c>
      <c r="C4637" s="83">
        <v>46058</v>
      </c>
      <c r="D4637" s="417" t="s">
        <v>685</v>
      </c>
      <c r="E4637">
        <v>1420.5159000000001</v>
      </c>
      <c r="F4637">
        <v>8</v>
      </c>
      <c r="G4637">
        <v>177.56448750000001</v>
      </c>
      <c r="H4637">
        <v>0</v>
      </c>
      <c r="I4637">
        <v>87.940037206604003</v>
      </c>
    </row>
    <row r="4638" spans="1:9" x14ac:dyDescent="0.35">
      <c r="A4638" s="417" t="s">
        <v>846</v>
      </c>
      <c r="B4638" s="417" t="s">
        <v>680</v>
      </c>
      <c r="C4638" s="83">
        <v>46058</v>
      </c>
      <c r="D4638" s="417" t="s">
        <v>682</v>
      </c>
      <c r="E4638">
        <v>1434.50451666667</v>
      </c>
      <c r="F4638">
        <v>8</v>
      </c>
      <c r="G4638">
        <v>179.31306458333299</v>
      </c>
      <c r="H4638">
        <v>5.4954833333333299</v>
      </c>
      <c r="I4638">
        <v>65.772727272727295</v>
      </c>
    </row>
    <row r="4639" spans="1:9" x14ac:dyDescent="0.35">
      <c r="A4639" s="417" t="s">
        <v>846</v>
      </c>
      <c r="B4639" s="417" t="s">
        <v>680</v>
      </c>
      <c r="C4639" s="83">
        <v>46058</v>
      </c>
      <c r="D4639" s="417" t="s">
        <v>686</v>
      </c>
      <c r="E4639">
        <v>0</v>
      </c>
      <c r="F4639">
        <v>1</v>
      </c>
      <c r="G4639">
        <v>0</v>
      </c>
      <c r="H4639">
        <v>0</v>
      </c>
      <c r="I4639">
        <v>0</v>
      </c>
    </row>
    <row r="4640" spans="1:9" x14ac:dyDescent="0.35">
      <c r="A4640" s="417" t="s">
        <v>846</v>
      </c>
      <c r="B4640" s="417" t="s">
        <v>691</v>
      </c>
      <c r="C4640" s="83">
        <v>46058</v>
      </c>
      <c r="D4640" s="417" t="s">
        <v>305</v>
      </c>
      <c r="E4640">
        <v>1261.92085</v>
      </c>
      <c r="F4640">
        <v>132</v>
      </c>
      <c r="G4640">
        <v>9.5600064393939395</v>
      </c>
      <c r="H4640">
        <v>5.5467833333333303</v>
      </c>
      <c r="I4640">
        <v>76.264839557075803</v>
      </c>
    </row>
    <row r="4641" spans="1:9" x14ac:dyDescent="0.35">
      <c r="A4641" s="417" t="s">
        <v>846</v>
      </c>
      <c r="B4641" s="417" t="s">
        <v>691</v>
      </c>
      <c r="C4641" s="83">
        <v>46058</v>
      </c>
      <c r="D4641" s="417" t="s">
        <v>299</v>
      </c>
      <c r="E4641">
        <v>1355.7129666666699</v>
      </c>
      <c r="F4641">
        <v>121</v>
      </c>
      <c r="G4641">
        <v>11.2042393939394</v>
      </c>
      <c r="H4641">
        <v>0.79616666666666702</v>
      </c>
      <c r="I4641">
        <v>94.6652892761375</v>
      </c>
    </row>
    <row r="4642" spans="1:9" x14ac:dyDescent="0.35">
      <c r="A4642" s="417" t="s">
        <v>846</v>
      </c>
      <c r="B4642" s="417" t="s">
        <v>691</v>
      </c>
      <c r="C4642" s="83">
        <v>46058</v>
      </c>
      <c r="D4642" s="417" t="s">
        <v>295</v>
      </c>
      <c r="E4642">
        <v>1290.2135499999999</v>
      </c>
      <c r="F4642">
        <v>104</v>
      </c>
      <c r="G4642">
        <v>12.4058995192308</v>
      </c>
      <c r="H4642">
        <v>1.1894166666666699</v>
      </c>
      <c r="I4642">
        <v>57.6879207250105</v>
      </c>
    </row>
    <row r="4643" spans="1:9" x14ac:dyDescent="0.35">
      <c r="A4643" s="417" t="s">
        <v>846</v>
      </c>
      <c r="B4643" s="417" t="s">
        <v>691</v>
      </c>
      <c r="C4643" s="83">
        <v>46058</v>
      </c>
      <c r="D4643" s="417" t="s">
        <v>301</v>
      </c>
      <c r="E4643">
        <v>1361.72211666667</v>
      </c>
      <c r="F4643">
        <v>97</v>
      </c>
      <c r="G4643">
        <v>14.0383723367698</v>
      </c>
      <c r="H4643">
        <v>2.6826166666666702</v>
      </c>
      <c r="I4643">
        <v>66.246915296636601</v>
      </c>
    </row>
    <row r="4644" spans="1:9" x14ac:dyDescent="0.35">
      <c r="A4644" s="417" t="s">
        <v>846</v>
      </c>
      <c r="B4644" s="417" t="s">
        <v>691</v>
      </c>
      <c r="C4644" s="83">
        <v>46058</v>
      </c>
      <c r="D4644" s="417" t="s">
        <v>309</v>
      </c>
      <c r="E4644">
        <v>1291.8846000000001</v>
      </c>
      <c r="F4644">
        <v>83</v>
      </c>
      <c r="G4644">
        <v>15.564874698795199</v>
      </c>
      <c r="H4644">
        <v>0</v>
      </c>
      <c r="I4644">
        <v>72.146298463438995</v>
      </c>
    </row>
    <row r="4645" spans="1:9" x14ac:dyDescent="0.35">
      <c r="A4645" s="417" t="s">
        <v>846</v>
      </c>
      <c r="B4645" s="417" t="s">
        <v>691</v>
      </c>
      <c r="C4645" s="83">
        <v>46058</v>
      </c>
      <c r="D4645" s="417" t="s">
        <v>303</v>
      </c>
      <c r="E4645">
        <v>1384.8395333333301</v>
      </c>
      <c r="F4645">
        <v>35</v>
      </c>
      <c r="G4645">
        <v>39.566843809523803</v>
      </c>
      <c r="H4645">
        <v>0.40910000000000002</v>
      </c>
      <c r="I4645">
        <v>64.163713548117101</v>
      </c>
    </row>
    <row r="4646" spans="1:9" x14ac:dyDescent="0.35">
      <c r="A4646" s="417" t="s">
        <v>846</v>
      </c>
      <c r="B4646" s="417" t="s">
        <v>691</v>
      </c>
      <c r="C4646" s="83">
        <v>46058</v>
      </c>
      <c r="D4646" s="417" t="s">
        <v>310</v>
      </c>
      <c r="E4646">
        <v>1328.5339833333301</v>
      </c>
      <c r="F4646">
        <v>14</v>
      </c>
      <c r="G4646">
        <v>94.895284523809494</v>
      </c>
      <c r="H4646">
        <v>7.6100000000000001E-2</v>
      </c>
      <c r="I4646">
        <v>51.633311176094502</v>
      </c>
    </row>
    <row r="4647" spans="1:9" x14ac:dyDescent="0.35">
      <c r="A4647" s="417" t="s">
        <v>846</v>
      </c>
      <c r="B4647" s="417" t="s">
        <v>691</v>
      </c>
      <c r="C4647" s="83">
        <v>46058</v>
      </c>
      <c r="D4647" s="417" t="s">
        <v>313</v>
      </c>
      <c r="E4647">
        <v>1399.5388666666699</v>
      </c>
      <c r="F4647">
        <v>6</v>
      </c>
      <c r="G4647">
        <v>233.256477777778</v>
      </c>
      <c r="H4647">
        <v>0</v>
      </c>
      <c r="I4647">
        <v>71.682772974778104</v>
      </c>
    </row>
    <row r="4648" spans="1:9" x14ac:dyDescent="0.35">
      <c r="A4648" s="417" t="s">
        <v>846</v>
      </c>
      <c r="B4648" s="417" t="s">
        <v>691</v>
      </c>
      <c r="C4648" s="83">
        <v>46058</v>
      </c>
      <c r="D4648" s="417" t="s">
        <v>317</v>
      </c>
      <c r="E4648">
        <v>1438.1647166666701</v>
      </c>
      <c r="F4648">
        <v>1</v>
      </c>
      <c r="G4648">
        <v>1438.1647166666701</v>
      </c>
      <c r="H4648">
        <v>0</v>
      </c>
      <c r="I4648">
        <v>59.655892684429801</v>
      </c>
    </row>
    <row r="4649" spans="1:9" x14ac:dyDescent="0.35">
      <c r="A4649" s="417" t="s">
        <v>846</v>
      </c>
      <c r="B4649" s="417" t="s">
        <v>691</v>
      </c>
      <c r="C4649" s="83">
        <v>46058</v>
      </c>
      <c r="D4649" s="417" t="s">
        <v>504</v>
      </c>
      <c r="E4649">
        <v>1440</v>
      </c>
      <c r="F4649">
        <v>1</v>
      </c>
      <c r="G4649">
        <v>1440</v>
      </c>
      <c r="H4649">
        <v>0</v>
      </c>
      <c r="I4649">
        <v>47.634259259259302</v>
      </c>
    </row>
    <row r="4650" spans="1:9" x14ac:dyDescent="0.35">
      <c r="A4650" s="417" t="s">
        <v>846</v>
      </c>
      <c r="B4650" s="417" t="s">
        <v>691</v>
      </c>
      <c r="C4650" s="83">
        <v>46058</v>
      </c>
      <c r="D4650" s="417" t="s">
        <v>314</v>
      </c>
      <c r="E4650">
        <v>1433.22493333333</v>
      </c>
      <c r="F4650">
        <v>1</v>
      </c>
      <c r="G4650">
        <v>1433.22493333333</v>
      </c>
      <c r="H4650">
        <v>0</v>
      </c>
      <c r="I4650">
        <v>63.402469414663599</v>
      </c>
    </row>
    <row r="4651" spans="1:9" x14ac:dyDescent="0.35">
      <c r="A4651" s="417" t="s">
        <v>846</v>
      </c>
      <c r="B4651" s="417" t="s">
        <v>676</v>
      </c>
      <c r="C4651" s="83">
        <v>46057</v>
      </c>
      <c r="D4651" s="417" t="s">
        <v>677</v>
      </c>
      <c r="E4651">
        <v>1057.5745666666701</v>
      </c>
      <c r="F4651">
        <v>178</v>
      </c>
      <c r="G4651">
        <v>5.9414301498127298</v>
      </c>
      <c r="H4651">
        <v>94.019049999999993</v>
      </c>
      <c r="I4651">
        <v>10.8861111111111</v>
      </c>
    </row>
    <row r="4652" spans="1:9" x14ac:dyDescent="0.35">
      <c r="A4652" s="417" t="s">
        <v>846</v>
      </c>
      <c r="B4652" s="417" t="s">
        <v>676</v>
      </c>
      <c r="C4652" s="83">
        <v>46057</v>
      </c>
      <c r="D4652" s="417" t="s">
        <v>679</v>
      </c>
      <c r="E4652">
        <v>919.94704999999999</v>
      </c>
      <c r="F4652">
        <v>34</v>
      </c>
      <c r="G4652">
        <v>27.057266176470598</v>
      </c>
      <c r="H4652">
        <v>15.9603</v>
      </c>
      <c r="I4652">
        <v>43.548288361544003</v>
      </c>
    </row>
    <row r="4653" spans="1:9" x14ac:dyDescent="0.35">
      <c r="A4653" s="417" t="s">
        <v>846</v>
      </c>
      <c r="B4653" s="417" t="s">
        <v>680</v>
      </c>
      <c r="C4653" s="83">
        <v>46057</v>
      </c>
      <c r="D4653" s="417" t="s">
        <v>689</v>
      </c>
      <c r="E4653">
        <v>1339.8731333333301</v>
      </c>
      <c r="F4653">
        <v>82</v>
      </c>
      <c r="G4653">
        <v>16.3399162601626</v>
      </c>
      <c r="H4653">
        <v>1.6818833333333301</v>
      </c>
      <c r="I4653">
        <v>90.375286065707499</v>
      </c>
    </row>
    <row r="4654" spans="1:9" x14ac:dyDescent="0.35">
      <c r="A4654" s="417" t="s">
        <v>846</v>
      </c>
      <c r="B4654" s="417" t="s">
        <v>680</v>
      </c>
      <c r="C4654" s="83">
        <v>46057</v>
      </c>
      <c r="D4654" s="417" t="s">
        <v>684</v>
      </c>
      <c r="E4654">
        <v>1352.4303</v>
      </c>
      <c r="F4654">
        <v>54</v>
      </c>
      <c r="G4654">
        <v>25.045005555555601</v>
      </c>
      <c r="H4654">
        <v>48.035333333333298</v>
      </c>
      <c r="I4654">
        <v>62.212707704855198</v>
      </c>
    </row>
    <row r="4655" spans="1:9" x14ac:dyDescent="0.35">
      <c r="A4655" s="417" t="s">
        <v>846</v>
      </c>
      <c r="B4655" s="417" t="s">
        <v>680</v>
      </c>
      <c r="C4655" s="83">
        <v>46057</v>
      </c>
      <c r="D4655" s="417" t="s">
        <v>683</v>
      </c>
      <c r="E4655">
        <v>1331.61298333333</v>
      </c>
      <c r="F4655">
        <v>52</v>
      </c>
      <c r="G4655">
        <v>25.607941987179501</v>
      </c>
      <c r="H4655">
        <v>11.1739</v>
      </c>
      <c r="I4655">
        <v>93.838920751824006</v>
      </c>
    </row>
    <row r="4656" spans="1:9" x14ac:dyDescent="0.35">
      <c r="A4656" s="417" t="s">
        <v>846</v>
      </c>
      <c r="B4656" s="417" t="s">
        <v>680</v>
      </c>
      <c r="C4656" s="83">
        <v>46057</v>
      </c>
      <c r="D4656" s="417" t="s">
        <v>687</v>
      </c>
      <c r="E4656">
        <v>1359.8560666666699</v>
      </c>
      <c r="F4656">
        <v>48</v>
      </c>
      <c r="G4656">
        <v>28.330334722222201</v>
      </c>
      <c r="H4656">
        <v>51.644866666666701</v>
      </c>
      <c r="I4656">
        <v>36.545108350468901</v>
      </c>
    </row>
    <row r="4657" spans="1:9" x14ac:dyDescent="0.35">
      <c r="A4657" s="417" t="s">
        <v>846</v>
      </c>
      <c r="B4657" s="417" t="s">
        <v>680</v>
      </c>
      <c r="C4657" s="83">
        <v>46057</v>
      </c>
      <c r="D4657" s="417" t="s">
        <v>688</v>
      </c>
      <c r="E4657">
        <v>1389.31506666667</v>
      </c>
      <c r="F4657">
        <v>45</v>
      </c>
      <c r="G4657">
        <v>30.873668148148202</v>
      </c>
      <c r="H4657">
        <v>9.5146999999999995</v>
      </c>
      <c r="I4657">
        <v>78.788107701631503</v>
      </c>
    </row>
    <row r="4658" spans="1:9" x14ac:dyDescent="0.35">
      <c r="A4658" s="417" t="s">
        <v>846</v>
      </c>
      <c r="B4658" s="417" t="s">
        <v>680</v>
      </c>
      <c r="C4658" s="83">
        <v>46057</v>
      </c>
      <c r="D4658" s="417" t="s">
        <v>681</v>
      </c>
      <c r="E4658">
        <v>1361.652</v>
      </c>
      <c r="F4658">
        <v>31</v>
      </c>
      <c r="G4658">
        <v>43.924258064516103</v>
      </c>
      <c r="H4658">
        <v>0.50051666666666705</v>
      </c>
      <c r="I4658">
        <v>82.359923323027502</v>
      </c>
    </row>
    <row r="4659" spans="1:9" x14ac:dyDescent="0.35">
      <c r="A4659" s="417" t="s">
        <v>846</v>
      </c>
      <c r="B4659" s="417" t="s">
        <v>680</v>
      </c>
      <c r="C4659" s="83">
        <v>46057</v>
      </c>
      <c r="D4659" s="417" t="s">
        <v>690</v>
      </c>
      <c r="E4659">
        <v>1394.9413833333299</v>
      </c>
      <c r="F4659">
        <v>30</v>
      </c>
      <c r="G4659">
        <v>46.498046111111101</v>
      </c>
      <c r="H4659">
        <v>6.0212000000000003</v>
      </c>
      <c r="I4659">
        <v>72.844721811578196</v>
      </c>
    </row>
    <row r="4660" spans="1:9" x14ac:dyDescent="0.35">
      <c r="A4660" s="417" t="s">
        <v>846</v>
      </c>
      <c r="B4660" s="417" t="s">
        <v>680</v>
      </c>
      <c r="C4660" s="83">
        <v>46057</v>
      </c>
      <c r="D4660" s="417" t="s">
        <v>682</v>
      </c>
      <c r="E4660">
        <v>1377.1537333333299</v>
      </c>
      <c r="F4660">
        <v>25</v>
      </c>
      <c r="G4660">
        <v>55.086149333333303</v>
      </c>
      <c r="H4660">
        <v>22.965916666666701</v>
      </c>
      <c r="I4660">
        <v>58.8333333333333</v>
      </c>
    </row>
    <row r="4661" spans="1:9" x14ac:dyDescent="0.35">
      <c r="A4661" s="417" t="s">
        <v>846</v>
      </c>
      <c r="B4661" s="417" t="s">
        <v>680</v>
      </c>
      <c r="C4661" s="83">
        <v>46057</v>
      </c>
      <c r="D4661" s="417" t="s">
        <v>685</v>
      </c>
      <c r="E4661">
        <v>1410.83271666667</v>
      </c>
      <c r="F4661">
        <v>23</v>
      </c>
      <c r="G4661">
        <v>61.340552898550698</v>
      </c>
      <c r="H4661">
        <v>6.9852333333333299</v>
      </c>
      <c r="I4661">
        <v>87.277701649505204</v>
      </c>
    </row>
    <row r="4662" spans="1:9" x14ac:dyDescent="0.35">
      <c r="A4662" s="417" t="s">
        <v>846</v>
      </c>
      <c r="B4662" s="417" t="s">
        <v>680</v>
      </c>
      <c r="C4662" s="83">
        <v>46057</v>
      </c>
      <c r="D4662" s="417" t="s">
        <v>686</v>
      </c>
      <c r="E4662">
        <v>720</v>
      </c>
      <c r="F4662">
        <v>1</v>
      </c>
      <c r="G4662">
        <v>720</v>
      </c>
      <c r="H4662">
        <v>0</v>
      </c>
      <c r="I4662">
        <v>14.6666666666667</v>
      </c>
    </row>
    <row r="4663" spans="1:9" x14ac:dyDescent="0.35">
      <c r="A4663" s="417" t="s">
        <v>846</v>
      </c>
      <c r="B4663" s="417" t="s">
        <v>691</v>
      </c>
      <c r="C4663" s="83">
        <v>46057</v>
      </c>
      <c r="D4663" s="417" t="s">
        <v>309</v>
      </c>
      <c r="E4663">
        <v>1235.61093333333</v>
      </c>
      <c r="F4663">
        <v>211</v>
      </c>
      <c r="G4663">
        <v>5.8559759873617701</v>
      </c>
      <c r="H4663">
        <v>0</v>
      </c>
      <c r="I4663">
        <v>74.7930352771385</v>
      </c>
    </row>
    <row r="4664" spans="1:9" x14ac:dyDescent="0.35">
      <c r="A4664" s="417" t="s">
        <v>846</v>
      </c>
      <c r="B4664" s="417" t="s">
        <v>691</v>
      </c>
      <c r="C4664" s="83">
        <v>46057</v>
      </c>
      <c r="D4664" s="417" t="s">
        <v>299</v>
      </c>
      <c r="E4664">
        <v>1364.43211666667</v>
      </c>
      <c r="F4664">
        <v>103</v>
      </c>
      <c r="G4664">
        <v>13.2469137540453</v>
      </c>
      <c r="H4664">
        <v>3.16536666666667</v>
      </c>
      <c r="I4664">
        <v>79.709362432145895</v>
      </c>
    </row>
    <row r="4665" spans="1:9" x14ac:dyDescent="0.35">
      <c r="A4665" s="417" t="s">
        <v>846</v>
      </c>
      <c r="B4665" s="417" t="s">
        <v>691</v>
      </c>
      <c r="C4665" s="83">
        <v>46057</v>
      </c>
      <c r="D4665" s="417" t="s">
        <v>305</v>
      </c>
      <c r="E4665">
        <v>1342.15298333333</v>
      </c>
      <c r="F4665">
        <v>92</v>
      </c>
      <c r="G4665">
        <v>14.588619384057999</v>
      </c>
      <c r="H4665">
        <v>4.8358166666666698</v>
      </c>
      <c r="I4665">
        <v>76.914085622176302</v>
      </c>
    </row>
    <row r="4666" spans="1:9" x14ac:dyDescent="0.35">
      <c r="A4666" s="417" t="s">
        <v>846</v>
      </c>
      <c r="B4666" s="417" t="s">
        <v>691</v>
      </c>
      <c r="C4666" s="83">
        <v>46057</v>
      </c>
      <c r="D4666" s="417" t="s">
        <v>301</v>
      </c>
      <c r="E4666">
        <v>1367.04925</v>
      </c>
      <c r="F4666">
        <v>74</v>
      </c>
      <c r="G4666">
        <v>18.4736385135135</v>
      </c>
      <c r="H4666">
        <v>0.47403333333333297</v>
      </c>
      <c r="I4666">
        <v>67.343855752986002</v>
      </c>
    </row>
    <row r="4667" spans="1:9" x14ac:dyDescent="0.35">
      <c r="A4667" s="417" t="s">
        <v>846</v>
      </c>
      <c r="B4667" s="417" t="s">
        <v>691</v>
      </c>
      <c r="C4667" s="83">
        <v>46057</v>
      </c>
      <c r="D4667" s="417" t="s">
        <v>295</v>
      </c>
      <c r="E4667">
        <v>1257.7579166666701</v>
      </c>
      <c r="F4667">
        <v>65</v>
      </c>
      <c r="G4667">
        <v>19.3501217948718</v>
      </c>
      <c r="H4667">
        <v>0.92761666666666698</v>
      </c>
      <c r="I4667">
        <v>63.5308500507535</v>
      </c>
    </row>
    <row r="4668" spans="1:9" x14ac:dyDescent="0.35">
      <c r="A4668" s="417" t="s">
        <v>846</v>
      </c>
      <c r="B4668" s="417" t="s">
        <v>691</v>
      </c>
      <c r="C4668" s="83">
        <v>46057</v>
      </c>
      <c r="D4668" s="417" t="s">
        <v>310</v>
      </c>
      <c r="E4668">
        <v>1270.4014833333299</v>
      </c>
      <c r="F4668">
        <v>36</v>
      </c>
      <c r="G4668">
        <v>35.288930092592601</v>
      </c>
      <c r="H4668">
        <v>0.53343333333333298</v>
      </c>
      <c r="I4668">
        <v>51.801164675338697</v>
      </c>
    </row>
    <row r="4669" spans="1:9" x14ac:dyDescent="0.35">
      <c r="A4669" s="417" t="s">
        <v>846</v>
      </c>
      <c r="B4669" s="417" t="s">
        <v>691</v>
      </c>
      <c r="C4669" s="83">
        <v>46057</v>
      </c>
      <c r="D4669" s="417" t="s">
        <v>303</v>
      </c>
      <c r="E4669">
        <v>1375.5056</v>
      </c>
      <c r="F4669">
        <v>28</v>
      </c>
      <c r="G4669">
        <v>49.1252</v>
      </c>
      <c r="H4669">
        <v>8.4333333333333302E-2</v>
      </c>
      <c r="I4669">
        <v>67.015183035744002</v>
      </c>
    </row>
    <row r="4670" spans="1:9" x14ac:dyDescent="0.35">
      <c r="A4670" s="417" t="s">
        <v>846</v>
      </c>
      <c r="B4670" s="417" t="s">
        <v>691</v>
      </c>
      <c r="C4670" s="83">
        <v>46057</v>
      </c>
      <c r="D4670" s="417" t="s">
        <v>317</v>
      </c>
      <c r="E4670">
        <v>1416.5296166666701</v>
      </c>
      <c r="F4670">
        <v>11</v>
      </c>
      <c r="G4670">
        <v>128.77541969697</v>
      </c>
      <c r="H4670">
        <v>2.39293333333333</v>
      </c>
      <c r="I4670">
        <v>61.296509805979198</v>
      </c>
    </row>
    <row r="4671" spans="1:9" x14ac:dyDescent="0.35">
      <c r="A4671" s="417" t="s">
        <v>846</v>
      </c>
      <c r="B4671" s="417" t="s">
        <v>691</v>
      </c>
      <c r="C4671" s="83">
        <v>46057</v>
      </c>
      <c r="D4671" s="417" t="s">
        <v>314</v>
      </c>
      <c r="E4671">
        <v>1331.70628333333</v>
      </c>
      <c r="F4671">
        <v>9</v>
      </c>
      <c r="G4671">
        <v>147.967364814815</v>
      </c>
      <c r="H4671">
        <v>1.6778166666666701</v>
      </c>
      <c r="I4671">
        <v>65.322580916006999</v>
      </c>
    </row>
    <row r="4672" spans="1:9" x14ac:dyDescent="0.35">
      <c r="A4672" s="417" t="s">
        <v>846</v>
      </c>
      <c r="B4672" s="417" t="s">
        <v>691</v>
      </c>
      <c r="C4672" s="83">
        <v>46057</v>
      </c>
      <c r="D4672" s="417" t="s">
        <v>313</v>
      </c>
      <c r="E4672">
        <v>1416.3051</v>
      </c>
      <c r="F4672">
        <v>7</v>
      </c>
      <c r="G4672">
        <v>202.32929999999999</v>
      </c>
      <c r="H4672">
        <v>0</v>
      </c>
      <c r="I4672">
        <v>76.609083744026194</v>
      </c>
    </row>
    <row r="4673" spans="1:9" x14ac:dyDescent="0.35">
      <c r="A4673" s="417" t="s">
        <v>846</v>
      </c>
      <c r="B4673" s="417" t="s">
        <v>691</v>
      </c>
      <c r="C4673" s="83">
        <v>46057</v>
      </c>
      <c r="D4673" s="417" t="s">
        <v>504</v>
      </c>
      <c r="E4673">
        <v>1440</v>
      </c>
      <c r="F4673">
        <v>1</v>
      </c>
      <c r="G4673">
        <v>1440</v>
      </c>
      <c r="H4673">
        <v>0</v>
      </c>
      <c r="I4673">
        <v>53.135956790123501</v>
      </c>
    </row>
    <row r="4674" spans="1:9" x14ac:dyDescent="0.35">
      <c r="A4674" s="417" t="s">
        <v>846</v>
      </c>
      <c r="B4674" s="417" t="s">
        <v>676</v>
      </c>
      <c r="C4674" s="83">
        <v>46056</v>
      </c>
      <c r="D4674" s="417" t="s">
        <v>677</v>
      </c>
      <c r="E4674">
        <v>1339.3240166666701</v>
      </c>
      <c r="F4674">
        <v>213</v>
      </c>
      <c r="G4674">
        <v>6.2879061815336499</v>
      </c>
      <c r="H4674">
        <v>84.511949999999999</v>
      </c>
      <c r="I4674">
        <v>41.148611111111101</v>
      </c>
    </row>
    <row r="4675" spans="1:9" x14ac:dyDescent="0.35">
      <c r="A4675" s="417" t="s">
        <v>846</v>
      </c>
      <c r="B4675" s="417" t="s">
        <v>676</v>
      </c>
      <c r="C4675" s="83">
        <v>46056</v>
      </c>
      <c r="D4675" s="417" t="s">
        <v>679</v>
      </c>
      <c r="E4675">
        <v>1376.0186000000001</v>
      </c>
      <c r="F4675">
        <v>23</v>
      </c>
      <c r="G4675">
        <v>59.826895652173903</v>
      </c>
      <c r="H4675">
        <v>19.467483333333298</v>
      </c>
      <c r="I4675">
        <v>92.122022236815596</v>
      </c>
    </row>
    <row r="4676" spans="1:9" x14ac:dyDescent="0.35">
      <c r="A4676" s="417" t="s">
        <v>846</v>
      </c>
      <c r="B4676" s="417" t="s">
        <v>680</v>
      </c>
      <c r="C4676" s="83">
        <v>46056</v>
      </c>
      <c r="D4676" s="417" t="s">
        <v>689</v>
      </c>
      <c r="E4676">
        <v>1354.6817166666699</v>
      </c>
      <c r="F4676">
        <v>82</v>
      </c>
      <c r="G4676">
        <v>16.5205087398374</v>
      </c>
      <c r="H4676">
        <v>7.9850000000000003</v>
      </c>
      <c r="I4676">
        <v>82.327343956531294</v>
      </c>
    </row>
    <row r="4677" spans="1:9" x14ac:dyDescent="0.35">
      <c r="A4677" s="417" t="s">
        <v>846</v>
      </c>
      <c r="B4677" s="417" t="s">
        <v>680</v>
      </c>
      <c r="C4677" s="83">
        <v>46056</v>
      </c>
      <c r="D4677" s="417" t="s">
        <v>688</v>
      </c>
      <c r="E4677">
        <v>1375.8107</v>
      </c>
      <c r="F4677">
        <v>53</v>
      </c>
      <c r="G4677">
        <v>25.958692452830199</v>
      </c>
      <c r="H4677">
        <v>14.491583333333301</v>
      </c>
      <c r="I4677">
        <v>75.805062943586293</v>
      </c>
    </row>
    <row r="4678" spans="1:9" x14ac:dyDescent="0.35">
      <c r="A4678" s="417" t="s">
        <v>846</v>
      </c>
      <c r="B4678" s="417" t="s">
        <v>680</v>
      </c>
      <c r="C4678" s="83">
        <v>46056</v>
      </c>
      <c r="D4678" s="417" t="s">
        <v>682</v>
      </c>
      <c r="E4678">
        <v>1364.35488333333</v>
      </c>
      <c r="F4678">
        <v>44</v>
      </c>
      <c r="G4678">
        <v>31.008065530303</v>
      </c>
      <c r="H4678">
        <v>25.305716666666701</v>
      </c>
      <c r="I4678">
        <v>70.414141414141397</v>
      </c>
    </row>
    <row r="4679" spans="1:9" x14ac:dyDescent="0.35">
      <c r="A4679" s="417" t="s">
        <v>846</v>
      </c>
      <c r="B4679" s="417" t="s">
        <v>680</v>
      </c>
      <c r="C4679" s="83">
        <v>46056</v>
      </c>
      <c r="D4679" s="417" t="s">
        <v>684</v>
      </c>
      <c r="E4679">
        <v>1387.8052666666699</v>
      </c>
      <c r="F4679">
        <v>38</v>
      </c>
      <c r="G4679">
        <v>36.521191228070201</v>
      </c>
      <c r="H4679">
        <v>44.8594333333333</v>
      </c>
      <c r="I4679">
        <v>73.630984860668306</v>
      </c>
    </row>
    <row r="4680" spans="1:9" x14ac:dyDescent="0.35">
      <c r="A4680" s="417" t="s">
        <v>846</v>
      </c>
      <c r="B4680" s="417" t="s">
        <v>680</v>
      </c>
      <c r="C4680" s="83">
        <v>46056</v>
      </c>
      <c r="D4680" s="417" t="s">
        <v>683</v>
      </c>
      <c r="E4680">
        <v>1400.1393499999999</v>
      </c>
      <c r="F4680">
        <v>28</v>
      </c>
      <c r="G4680">
        <v>50.004976785714298</v>
      </c>
      <c r="H4680">
        <v>0.67459999999999998</v>
      </c>
      <c r="I4680">
        <v>77.632138209569604</v>
      </c>
    </row>
    <row r="4681" spans="1:9" x14ac:dyDescent="0.35">
      <c r="A4681" s="417" t="s">
        <v>846</v>
      </c>
      <c r="B4681" s="417" t="s">
        <v>680</v>
      </c>
      <c r="C4681" s="83">
        <v>46056</v>
      </c>
      <c r="D4681" s="417" t="s">
        <v>690</v>
      </c>
      <c r="E4681">
        <v>1389.1937166666701</v>
      </c>
      <c r="F4681">
        <v>24</v>
      </c>
      <c r="G4681">
        <v>57.883071527777801</v>
      </c>
      <c r="H4681">
        <v>11.821483333333299</v>
      </c>
      <c r="I4681">
        <v>76.672175551068406</v>
      </c>
    </row>
    <row r="4682" spans="1:9" x14ac:dyDescent="0.35">
      <c r="A4682" s="417" t="s">
        <v>846</v>
      </c>
      <c r="B4682" s="417" t="s">
        <v>680</v>
      </c>
      <c r="C4682" s="83">
        <v>46056</v>
      </c>
      <c r="D4682" s="417" t="s">
        <v>685</v>
      </c>
      <c r="E4682">
        <v>1411.51136666667</v>
      </c>
      <c r="F4682">
        <v>19</v>
      </c>
      <c r="G4682">
        <v>74.290071929824606</v>
      </c>
      <c r="H4682">
        <v>12.345983333333301</v>
      </c>
      <c r="I4682">
        <v>80.685379388421595</v>
      </c>
    </row>
    <row r="4683" spans="1:9" x14ac:dyDescent="0.35">
      <c r="A4683" s="417" t="s">
        <v>846</v>
      </c>
      <c r="B4683" s="417" t="s">
        <v>680</v>
      </c>
      <c r="C4683" s="83">
        <v>46056</v>
      </c>
      <c r="D4683" s="417" t="s">
        <v>687</v>
      </c>
      <c r="E4683">
        <v>1410.00516666667</v>
      </c>
      <c r="F4683">
        <v>19</v>
      </c>
      <c r="G4683">
        <v>74.2107982456141</v>
      </c>
      <c r="H4683">
        <v>27.8279666666667</v>
      </c>
      <c r="I4683">
        <v>37.3364857987251</v>
      </c>
    </row>
    <row r="4684" spans="1:9" x14ac:dyDescent="0.35">
      <c r="A4684" s="417" t="s">
        <v>846</v>
      </c>
      <c r="B4684" s="417" t="s">
        <v>680</v>
      </c>
      <c r="C4684" s="83">
        <v>46056</v>
      </c>
      <c r="D4684" s="417" t="s">
        <v>681</v>
      </c>
      <c r="E4684">
        <v>1410.83305</v>
      </c>
      <c r="F4684">
        <v>18</v>
      </c>
      <c r="G4684">
        <v>78.379613888888898</v>
      </c>
      <c r="H4684">
        <v>3.3409</v>
      </c>
      <c r="I4684">
        <v>76.586554357318903</v>
      </c>
    </row>
    <row r="4685" spans="1:9" x14ac:dyDescent="0.35">
      <c r="A4685" s="417" t="s">
        <v>846</v>
      </c>
      <c r="B4685" s="417" t="s">
        <v>680</v>
      </c>
      <c r="C4685" s="83">
        <v>46056</v>
      </c>
      <c r="D4685" s="417" t="s">
        <v>686</v>
      </c>
      <c r="E4685">
        <v>1440</v>
      </c>
      <c r="F4685">
        <v>1</v>
      </c>
      <c r="G4685">
        <v>1440</v>
      </c>
      <c r="H4685">
        <v>0</v>
      </c>
      <c r="I4685">
        <v>32.883838383838402</v>
      </c>
    </row>
    <row r="4686" spans="1:9" x14ac:dyDescent="0.35">
      <c r="A4686" s="417" t="s">
        <v>846</v>
      </c>
      <c r="B4686" s="417" t="s">
        <v>691</v>
      </c>
      <c r="C4686" s="83">
        <v>46056</v>
      </c>
      <c r="D4686" s="417" t="s">
        <v>309</v>
      </c>
      <c r="E4686">
        <v>1170.7160833333301</v>
      </c>
      <c r="F4686">
        <v>161</v>
      </c>
      <c r="G4686">
        <v>7.2715284679089001</v>
      </c>
      <c r="H4686">
        <v>0</v>
      </c>
      <c r="I4686">
        <v>43.989648809864804</v>
      </c>
    </row>
    <row r="4687" spans="1:9" x14ac:dyDescent="0.35">
      <c r="A4687" s="417" t="s">
        <v>846</v>
      </c>
      <c r="B4687" s="417" t="s">
        <v>691</v>
      </c>
      <c r="C4687" s="83">
        <v>46056</v>
      </c>
      <c r="D4687" s="417" t="s">
        <v>299</v>
      </c>
      <c r="E4687">
        <v>1378.4317000000001</v>
      </c>
      <c r="F4687">
        <v>104</v>
      </c>
      <c r="G4687">
        <v>13.2541509615385</v>
      </c>
      <c r="H4687">
        <v>0.14373333333333299</v>
      </c>
      <c r="I4687">
        <v>84.243024598714698</v>
      </c>
    </row>
    <row r="4688" spans="1:9" x14ac:dyDescent="0.35">
      <c r="A4688" s="417" t="s">
        <v>846</v>
      </c>
      <c r="B4688" s="417" t="s">
        <v>691</v>
      </c>
      <c r="C4688" s="83">
        <v>46056</v>
      </c>
      <c r="D4688" s="417" t="s">
        <v>301</v>
      </c>
      <c r="E4688">
        <v>1365.1372166666699</v>
      </c>
      <c r="F4688">
        <v>84</v>
      </c>
      <c r="G4688">
        <v>16.251633531745998</v>
      </c>
      <c r="H4688">
        <v>5.2631500000000004</v>
      </c>
      <c r="I4688">
        <v>70.681841258668399</v>
      </c>
    </row>
    <row r="4689" spans="1:9" x14ac:dyDescent="0.35">
      <c r="A4689" s="417" t="s">
        <v>846</v>
      </c>
      <c r="B4689" s="417" t="s">
        <v>691</v>
      </c>
      <c r="C4689" s="83">
        <v>46056</v>
      </c>
      <c r="D4689" s="417" t="s">
        <v>295</v>
      </c>
      <c r="E4689">
        <v>1287.60813333333</v>
      </c>
      <c r="F4689">
        <v>73</v>
      </c>
      <c r="G4689">
        <v>17.638467579908699</v>
      </c>
      <c r="H4689">
        <v>4.2487000000000004</v>
      </c>
      <c r="I4689">
        <v>71.697240684500002</v>
      </c>
    </row>
    <row r="4690" spans="1:9" x14ac:dyDescent="0.35">
      <c r="A4690" s="417" t="s">
        <v>846</v>
      </c>
      <c r="B4690" s="417" t="s">
        <v>691</v>
      </c>
      <c r="C4690" s="83">
        <v>46056</v>
      </c>
      <c r="D4690" s="417" t="s">
        <v>305</v>
      </c>
      <c r="E4690">
        <v>1369.4456499999999</v>
      </c>
      <c r="F4690">
        <v>58</v>
      </c>
      <c r="G4690">
        <v>23.611131896551701</v>
      </c>
      <c r="H4690">
        <v>9.2055666666666696</v>
      </c>
      <c r="I4690">
        <v>59.461643129559697</v>
      </c>
    </row>
    <row r="4691" spans="1:9" x14ac:dyDescent="0.35">
      <c r="A4691" s="417" t="s">
        <v>846</v>
      </c>
      <c r="B4691" s="417" t="s">
        <v>691</v>
      </c>
      <c r="C4691" s="83">
        <v>46056</v>
      </c>
      <c r="D4691" s="417" t="s">
        <v>303</v>
      </c>
      <c r="E4691">
        <v>1357.7533000000001</v>
      </c>
      <c r="F4691">
        <v>46</v>
      </c>
      <c r="G4691">
        <v>29.516376086956502</v>
      </c>
      <c r="H4691">
        <v>0.47460000000000002</v>
      </c>
      <c r="I4691">
        <v>62.620994222231502</v>
      </c>
    </row>
    <row r="4692" spans="1:9" x14ac:dyDescent="0.35">
      <c r="A4692" s="417" t="s">
        <v>846</v>
      </c>
      <c r="B4692" s="417" t="s">
        <v>691</v>
      </c>
      <c r="C4692" s="83">
        <v>46056</v>
      </c>
      <c r="D4692" s="417" t="s">
        <v>313</v>
      </c>
      <c r="E4692">
        <v>1387.6528166666701</v>
      </c>
      <c r="F4692">
        <v>28</v>
      </c>
      <c r="G4692">
        <v>49.559029166666697</v>
      </c>
      <c r="H4692">
        <v>5.2574833333333304</v>
      </c>
      <c r="I4692">
        <v>80.607249503987106</v>
      </c>
    </row>
    <row r="4693" spans="1:9" x14ac:dyDescent="0.35">
      <c r="A4693" s="417" t="s">
        <v>846</v>
      </c>
      <c r="B4693" s="417" t="s">
        <v>691</v>
      </c>
      <c r="C4693" s="83">
        <v>46056</v>
      </c>
      <c r="D4693" s="417" t="s">
        <v>310</v>
      </c>
      <c r="E4693">
        <v>1402.0209666666699</v>
      </c>
      <c r="F4693">
        <v>14</v>
      </c>
      <c r="G4693">
        <v>100.14435476190501</v>
      </c>
      <c r="H4693">
        <v>0.47308333333333302</v>
      </c>
      <c r="I4693">
        <v>60.287446685355398</v>
      </c>
    </row>
    <row r="4694" spans="1:9" x14ac:dyDescent="0.35">
      <c r="A4694" s="417" t="s">
        <v>846</v>
      </c>
      <c r="B4694" s="417" t="s">
        <v>691</v>
      </c>
      <c r="C4694" s="83">
        <v>46056</v>
      </c>
      <c r="D4694" s="417" t="s">
        <v>317</v>
      </c>
      <c r="E4694">
        <v>1435.45603333333</v>
      </c>
      <c r="F4694">
        <v>6</v>
      </c>
      <c r="G4694">
        <v>239.24267222222201</v>
      </c>
      <c r="H4694">
        <v>2.6366999999999998</v>
      </c>
      <c r="I4694">
        <v>56.978244935618598</v>
      </c>
    </row>
    <row r="4695" spans="1:9" x14ac:dyDescent="0.35">
      <c r="A4695" s="417" t="s">
        <v>846</v>
      </c>
      <c r="B4695" s="417" t="s">
        <v>691</v>
      </c>
      <c r="C4695" s="83">
        <v>46056</v>
      </c>
      <c r="D4695" s="417" t="s">
        <v>314</v>
      </c>
      <c r="E4695">
        <v>1408.31318333333</v>
      </c>
      <c r="F4695">
        <v>2</v>
      </c>
      <c r="G4695">
        <v>704.15659166666705</v>
      </c>
      <c r="H4695">
        <v>1.4997499999999999</v>
      </c>
      <c r="I4695">
        <v>67.753669824942193</v>
      </c>
    </row>
    <row r="4696" spans="1:9" x14ac:dyDescent="0.35">
      <c r="A4696" s="417" t="s">
        <v>846</v>
      </c>
      <c r="B4696" s="417" t="s">
        <v>691</v>
      </c>
      <c r="C4696" s="83">
        <v>46056</v>
      </c>
      <c r="D4696" s="417" t="s">
        <v>504</v>
      </c>
      <c r="E4696">
        <v>600</v>
      </c>
      <c r="F4696">
        <v>1</v>
      </c>
      <c r="G4696">
        <v>600</v>
      </c>
      <c r="H4696">
        <v>0</v>
      </c>
      <c r="I4696">
        <v>9.7966666666666598</v>
      </c>
    </row>
    <row r="4697" spans="1:9" x14ac:dyDescent="0.35">
      <c r="A4697" s="417" t="s">
        <v>846</v>
      </c>
      <c r="B4697" s="417" t="s">
        <v>676</v>
      </c>
      <c r="C4697" s="83">
        <v>46055</v>
      </c>
      <c r="D4697" s="417" t="s">
        <v>677</v>
      </c>
      <c r="E4697">
        <v>1003.53731666667</v>
      </c>
      <c r="F4697">
        <v>236</v>
      </c>
      <c r="G4697">
        <v>4.2522767655367204</v>
      </c>
      <c r="H4697">
        <v>228.447666666667</v>
      </c>
      <c r="I4697">
        <v>25.8830555555556</v>
      </c>
    </row>
    <row r="4698" spans="1:9" x14ac:dyDescent="0.35">
      <c r="A4698" s="417" t="s">
        <v>846</v>
      </c>
      <c r="B4698" s="417" t="s">
        <v>676</v>
      </c>
      <c r="C4698" s="83">
        <v>46055</v>
      </c>
      <c r="D4698" s="417" t="s">
        <v>679</v>
      </c>
      <c r="E4698">
        <v>1292.37666666667</v>
      </c>
      <c r="F4698">
        <v>19</v>
      </c>
      <c r="G4698">
        <v>68.019824561403496</v>
      </c>
      <c r="H4698">
        <v>13.5189166666667</v>
      </c>
      <c r="I4698">
        <v>61.665471339687898</v>
      </c>
    </row>
    <row r="4699" spans="1:9" x14ac:dyDescent="0.35">
      <c r="A4699" s="417" t="s">
        <v>846</v>
      </c>
      <c r="B4699" s="417" t="s">
        <v>680</v>
      </c>
      <c r="C4699" s="83">
        <v>46055</v>
      </c>
      <c r="D4699" s="417" t="s">
        <v>684</v>
      </c>
      <c r="E4699">
        <v>1266.56113333333</v>
      </c>
      <c r="F4699">
        <v>61</v>
      </c>
      <c r="G4699">
        <v>20.763297267759601</v>
      </c>
      <c r="H4699">
        <v>43.9189333333333</v>
      </c>
      <c r="I4699">
        <v>60.678832871783001</v>
      </c>
    </row>
    <row r="4700" spans="1:9" x14ac:dyDescent="0.35">
      <c r="A4700" s="417" t="s">
        <v>846</v>
      </c>
      <c r="B4700" s="417" t="s">
        <v>680</v>
      </c>
      <c r="C4700" s="83">
        <v>46055</v>
      </c>
      <c r="D4700" s="417" t="s">
        <v>681</v>
      </c>
      <c r="E4700">
        <v>1315.75528333333</v>
      </c>
      <c r="F4700">
        <v>57</v>
      </c>
      <c r="G4700">
        <v>23.083426023391802</v>
      </c>
      <c r="H4700">
        <v>0.2271</v>
      </c>
      <c r="I4700">
        <v>69.325611592921902</v>
      </c>
    </row>
    <row r="4701" spans="1:9" x14ac:dyDescent="0.35">
      <c r="A4701" s="417" t="s">
        <v>846</v>
      </c>
      <c r="B4701" s="417" t="s">
        <v>680</v>
      </c>
      <c r="C4701" s="83">
        <v>46055</v>
      </c>
      <c r="D4701" s="417" t="s">
        <v>689</v>
      </c>
      <c r="E4701">
        <v>1257.5589500000001</v>
      </c>
      <c r="F4701">
        <v>45</v>
      </c>
      <c r="G4701">
        <v>27.9457544444444</v>
      </c>
      <c r="H4701">
        <v>0.84551666666666703</v>
      </c>
      <c r="I4701">
        <v>78.623113079965194</v>
      </c>
    </row>
    <row r="4702" spans="1:9" x14ac:dyDescent="0.35">
      <c r="A4702" s="417" t="s">
        <v>846</v>
      </c>
      <c r="B4702" s="417" t="s">
        <v>680</v>
      </c>
      <c r="C4702" s="83">
        <v>46055</v>
      </c>
      <c r="D4702" s="417" t="s">
        <v>690</v>
      </c>
      <c r="E4702">
        <v>1336.7243000000001</v>
      </c>
      <c r="F4702">
        <v>38</v>
      </c>
      <c r="G4702">
        <v>35.1769552631579</v>
      </c>
      <c r="H4702">
        <v>33.012633333333298</v>
      </c>
      <c r="I4702">
        <v>51.084139776457697</v>
      </c>
    </row>
    <row r="4703" spans="1:9" x14ac:dyDescent="0.35">
      <c r="A4703" s="417" t="s">
        <v>846</v>
      </c>
      <c r="B4703" s="417" t="s">
        <v>680</v>
      </c>
      <c r="C4703" s="83">
        <v>46055</v>
      </c>
      <c r="D4703" s="417" t="s">
        <v>683</v>
      </c>
      <c r="E4703">
        <v>1271.9663333333301</v>
      </c>
      <c r="F4703">
        <v>37</v>
      </c>
      <c r="G4703">
        <v>34.3774684684685</v>
      </c>
      <c r="H4703">
        <v>0</v>
      </c>
      <c r="I4703">
        <v>57.621442841225701</v>
      </c>
    </row>
    <row r="4704" spans="1:9" x14ac:dyDescent="0.35">
      <c r="A4704" s="417" t="s">
        <v>846</v>
      </c>
      <c r="B4704" s="417" t="s">
        <v>680</v>
      </c>
      <c r="C4704" s="83">
        <v>46055</v>
      </c>
      <c r="D4704" s="417" t="s">
        <v>688</v>
      </c>
      <c r="E4704">
        <v>1263.7791999999999</v>
      </c>
      <c r="F4704">
        <v>36</v>
      </c>
      <c r="G4704">
        <v>35.104977777777798</v>
      </c>
      <c r="H4704">
        <v>14.163883333333301</v>
      </c>
      <c r="I4704">
        <v>59.884084868316897</v>
      </c>
    </row>
    <row r="4705" spans="1:9" x14ac:dyDescent="0.35">
      <c r="A4705" s="417" t="s">
        <v>846</v>
      </c>
      <c r="B4705" s="417" t="s">
        <v>680</v>
      </c>
      <c r="C4705" s="83">
        <v>46055</v>
      </c>
      <c r="D4705" s="417" t="s">
        <v>682</v>
      </c>
      <c r="E4705">
        <v>1387.1976666666701</v>
      </c>
      <c r="F4705">
        <v>16</v>
      </c>
      <c r="G4705">
        <v>86.699854166666697</v>
      </c>
      <c r="H4705">
        <v>14.065799999999999</v>
      </c>
      <c r="I4705">
        <v>54.232364994914299</v>
      </c>
    </row>
    <row r="4706" spans="1:9" x14ac:dyDescent="0.35">
      <c r="A4706" s="417" t="s">
        <v>846</v>
      </c>
      <c r="B4706" s="417" t="s">
        <v>680</v>
      </c>
      <c r="C4706" s="83">
        <v>46055</v>
      </c>
      <c r="D4706" s="417" t="s">
        <v>687</v>
      </c>
      <c r="E4706">
        <v>1387.9862166666701</v>
      </c>
      <c r="F4706">
        <v>13</v>
      </c>
      <c r="G4706">
        <v>106.768170512821</v>
      </c>
      <c r="H4706">
        <v>16.203783333333298</v>
      </c>
      <c r="I4706">
        <v>29.079067675709702</v>
      </c>
    </row>
    <row r="4707" spans="1:9" x14ac:dyDescent="0.35">
      <c r="A4707" s="417" t="s">
        <v>846</v>
      </c>
      <c r="B4707" s="417" t="s">
        <v>680</v>
      </c>
      <c r="C4707" s="83">
        <v>46055</v>
      </c>
      <c r="D4707" s="417" t="s">
        <v>685</v>
      </c>
      <c r="E4707">
        <v>1386.9356333333301</v>
      </c>
      <c r="F4707">
        <v>12</v>
      </c>
      <c r="G4707">
        <v>115.57796944444399</v>
      </c>
      <c r="H4707">
        <v>7.3412833333333296</v>
      </c>
      <c r="I4707">
        <v>68.696008224454104</v>
      </c>
    </row>
    <row r="4708" spans="1:9" x14ac:dyDescent="0.35">
      <c r="A4708" s="417" t="s">
        <v>846</v>
      </c>
      <c r="B4708" s="417" t="s">
        <v>680</v>
      </c>
      <c r="C4708" s="83">
        <v>46055</v>
      </c>
      <c r="D4708" s="417" t="s">
        <v>686</v>
      </c>
      <c r="E4708">
        <v>1310.32406666667</v>
      </c>
      <c r="F4708">
        <v>1</v>
      </c>
      <c r="G4708">
        <v>1310.32406666667</v>
      </c>
      <c r="H4708">
        <v>0</v>
      </c>
      <c r="I4708">
        <v>22.7172969902905</v>
      </c>
    </row>
    <row r="4709" spans="1:9" x14ac:dyDescent="0.35">
      <c r="A4709" s="417" t="s">
        <v>846</v>
      </c>
      <c r="B4709" s="417" t="s">
        <v>691</v>
      </c>
      <c r="C4709" s="83">
        <v>46055</v>
      </c>
      <c r="D4709" s="417" t="s">
        <v>309</v>
      </c>
      <c r="E4709">
        <v>714.58723333333296</v>
      </c>
      <c r="F4709">
        <v>105</v>
      </c>
      <c r="G4709">
        <v>6.8055926984127</v>
      </c>
      <c r="H4709">
        <v>0</v>
      </c>
      <c r="I4709">
        <v>51.2235079823866</v>
      </c>
    </row>
    <row r="4710" spans="1:9" x14ac:dyDescent="0.35">
      <c r="A4710" s="417" t="s">
        <v>846</v>
      </c>
      <c r="B4710" s="417" t="s">
        <v>691</v>
      </c>
      <c r="C4710" s="83">
        <v>46055</v>
      </c>
      <c r="D4710" s="417" t="s">
        <v>301</v>
      </c>
      <c r="E4710">
        <v>762.51385000000005</v>
      </c>
      <c r="F4710">
        <v>84</v>
      </c>
      <c r="G4710">
        <v>9.0775458333333301</v>
      </c>
      <c r="H4710">
        <v>3.5356000000000001</v>
      </c>
      <c r="I4710">
        <v>33.449897875732603</v>
      </c>
    </row>
    <row r="4711" spans="1:9" x14ac:dyDescent="0.35">
      <c r="A4711" s="417" t="s">
        <v>846</v>
      </c>
      <c r="B4711" s="417" t="s">
        <v>691</v>
      </c>
      <c r="C4711" s="83">
        <v>46055</v>
      </c>
      <c r="D4711" s="417" t="s">
        <v>295</v>
      </c>
      <c r="E4711">
        <v>1361.71405</v>
      </c>
      <c r="F4711">
        <v>83</v>
      </c>
      <c r="G4711">
        <v>16.406193373493998</v>
      </c>
      <c r="H4711">
        <v>0.50771666666666704</v>
      </c>
      <c r="I4711">
        <v>34.800062167267299</v>
      </c>
    </row>
    <row r="4712" spans="1:9" x14ac:dyDescent="0.35">
      <c r="A4712" s="417" t="s">
        <v>846</v>
      </c>
      <c r="B4712" s="417" t="s">
        <v>691</v>
      </c>
      <c r="C4712" s="83">
        <v>46055</v>
      </c>
      <c r="D4712" s="417" t="s">
        <v>299</v>
      </c>
      <c r="E4712">
        <v>1387.96696666667</v>
      </c>
      <c r="F4712">
        <v>46</v>
      </c>
      <c r="G4712">
        <v>30.173194927536201</v>
      </c>
      <c r="H4712">
        <v>9.2138666666666698</v>
      </c>
      <c r="I4712">
        <v>44.352390243975599</v>
      </c>
    </row>
    <row r="4713" spans="1:9" x14ac:dyDescent="0.35">
      <c r="A4713" s="417" t="s">
        <v>846</v>
      </c>
      <c r="B4713" s="417" t="s">
        <v>691</v>
      </c>
      <c r="C4713" s="83">
        <v>46055</v>
      </c>
      <c r="D4713" s="417" t="s">
        <v>305</v>
      </c>
      <c r="E4713">
        <v>783.03644999999995</v>
      </c>
      <c r="F4713">
        <v>38</v>
      </c>
      <c r="G4713">
        <v>20.606222368421101</v>
      </c>
      <c r="H4713">
        <v>9.1686333333333305</v>
      </c>
      <c r="I4713">
        <v>49.330973202444902</v>
      </c>
    </row>
    <row r="4714" spans="1:9" x14ac:dyDescent="0.35">
      <c r="A4714" s="417" t="s">
        <v>846</v>
      </c>
      <c r="B4714" s="417" t="s">
        <v>691</v>
      </c>
      <c r="C4714" s="83">
        <v>46055</v>
      </c>
      <c r="D4714" s="417" t="s">
        <v>303</v>
      </c>
      <c r="E4714">
        <v>818.79933333333304</v>
      </c>
      <c r="F4714">
        <v>32</v>
      </c>
      <c r="G4714">
        <v>25.5874791666667</v>
      </c>
      <c r="H4714">
        <v>0.113433333333333</v>
      </c>
      <c r="I4714">
        <v>51.027079566394598</v>
      </c>
    </row>
    <row r="4715" spans="1:9" x14ac:dyDescent="0.35">
      <c r="A4715" s="417" t="s">
        <v>846</v>
      </c>
      <c r="B4715" s="417" t="s">
        <v>691</v>
      </c>
      <c r="C4715" s="83">
        <v>46055</v>
      </c>
      <c r="D4715" s="417" t="s">
        <v>313</v>
      </c>
      <c r="E4715">
        <v>1433.7817833333299</v>
      </c>
      <c r="F4715">
        <v>8</v>
      </c>
      <c r="G4715">
        <v>179.22272291666701</v>
      </c>
      <c r="H4715">
        <v>0</v>
      </c>
      <c r="I4715">
        <v>42.82961102446</v>
      </c>
    </row>
    <row r="4716" spans="1:9" x14ac:dyDescent="0.35">
      <c r="A4716" s="417" t="s">
        <v>846</v>
      </c>
      <c r="B4716" s="417" t="s">
        <v>691</v>
      </c>
      <c r="C4716" s="83">
        <v>46055</v>
      </c>
      <c r="D4716" s="417" t="s">
        <v>317</v>
      </c>
      <c r="E4716">
        <v>1439.4278999999999</v>
      </c>
      <c r="F4716">
        <v>3</v>
      </c>
      <c r="G4716">
        <v>479.80930000000001</v>
      </c>
      <c r="H4716">
        <v>0.261633333333333</v>
      </c>
      <c r="I4716">
        <v>28.634645904906399</v>
      </c>
    </row>
    <row r="4717" spans="1:9" x14ac:dyDescent="0.35">
      <c r="A4717" s="417" t="s">
        <v>846</v>
      </c>
      <c r="B4717" s="417" t="s">
        <v>691</v>
      </c>
      <c r="C4717" s="83">
        <v>46055</v>
      </c>
      <c r="D4717" s="417" t="s">
        <v>310</v>
      </c>
      <c r="E4717">
        <v>1343.02493333333</v>
      </c>
      <c r="F4717">
        <v>3</v>
      </c>
      <c r="G4717">
        <v>447.674977777778</v>
      </c>
      <c r="H4717">
        <v>0</v>
      </c>
      <c r="I4717">
        <v>31.942613812946</v>
      </c>
    </row>
    <row r="4718" spans="1:9" x14ac:dyDescent="0.35">
      <c r="A4718" s="417" t="s">
        <v>846</v>
      </c>
      <c r="B4718" s="417" t="s">
        <v>691</v>
      </c>
      <c r="C4718" s="83">
        <v>46055</v>
      </c>
      <c r="D4718" s="417" t="s">
        <v>314</v>
      </c>
      <c r="E4718">
        <v>1421.5915500000001</v>
      </c>
      <c r="F4718">
        <v>3</v>
      </c>
      <c r="G4718">
        <v>473.86385000000001</v>
      </c>
      <c r="H4718">
        <v>4.9050000000000003E-2</v>
      </c>
      <c r="I4718">
        <v>30.586648688889099</v>
      </c>
    </row>
    <row r="4719" spans="1:9" x14ac:dyDescent="0.35">
      <c r="A4719" s="417" t="s">
        <v>846</v>
      </c>
      <c r="B4719" s="417" t="s">
        <v>691</v>
      </c>
      <c r="C4719" s="83">
        <v>46055</v>
      </c>
      <c r="D4719" s="417" t="s">
        <v>504</v>
      </c>
      <c r="E4719">
        <v>840</v>
      </c>
      <c r="F4719">
        <v>1</v>
      </c>
      <c r="G4719">
        <v>840</v>
      </c>
      <c r="H4719">
        <v>0</v>
      </c>
      <c r="I4719">
        <v>31.343386243386199</v>
      </c>
    </row>
    <row r="4720" spans="1:9" x14ac:dyDescent="0.35">
      <c r="A4720" s="417" t="s">
        <v>846</v>
      </c>
      <c r="B4720" s="417" t="s">
        <v>676</v>
      </c>
      <c r="C4720" s="83">
        <v>46054</v>
      </c>
      <c r="D4720" s="417" t="s">
        <v>677</v>
      </c>
      <c r="E4720">
        <v>1246.5078000000001</v>
      </c>
      <c r="F4720">
        <v>453</v>
      </c>
      <c r="G4720">
        <v>2.7516728476821202</v>
      </c>
      <c r="H4720">
        <v>193.4922</v>
      </c>
      <c r="I4720">
        <v>30.753055555555498</v>
      </c>
    </row>
    <row r="4721" spans="1:9" x14ac:dyDescent="0.35">
      <c r="A4721" s="417" t="s">
        <v>846</v>
      </c>
      <c r="B4721" s="417" t="s">
        <v>676</v>
      </c>
      <c r="C4721" s="83">
        <v>46054</v>
      </c>
      <c r="D4721" s="417" t="s">
        <v>679</v>
      </c>
      <c r="E4721">
        <v>1389.6741833333299</v>
      </c>
      <c r="F4721">
        <v>8</v>
      </c>
      <c r="G4721">
        <v>173.709272916667</v>
      </c>
      <c r="H4721">
        <v>7.8196000000000003</v>
      </c>
      <c r="I4721">
        <v>62.858001741617798</v>
      </c>
    </row>
    <row r="4722" spans="1:9" x14ac:dyDescent="0.35">
      <c r="A4722" s="417" t="s">
        <v>846</v>
      </c>
      <c r="B4722" s="417" t="s">
        <v>680</v>
      </c>
      <c r="C4722" s="83">
        <v>46054</v>
      </c>
      <c r="D4722" s="417" t="s">
        <v>681</v>
      </c>
      <c r="E4722">
        <v>1378.3089666666699</v>
      </c>
      <c r="F4722">
        <v>128</v>
      </c>
      <c r="G4722">
        <v>10.7680388020833</v>
      </c>
      <c r="H4722">
        <v>0.66701666666666704</v>
      </c>
      <c r="I4722">
        <v>76.849569367874594</v>
      </c>
    </row>
    <row r="4723" spans="1:9" x14ac:dyDescent="0.35">
      <c r="A4723" s="417" t="s">
        <v>846</v>
      </c>
      <c r="B4723" s="417" t="s">
        <v>680</v>
      </c>
      <c r="C4723" s="83">
        <v>46054</v>
      </c>
      <c r="D4723" s="417" t="s">
        <v>684</v>
      </c>
      <c r="E4723">
        <v>1392.9640833333301</v>
      </c>
      <c r="F4723">
        <v>58</v>
      </c>
      <c r="G4723">
        <v>24.0166221264368</v>
      </c>
      <c r="H4723">
        <v>34.356949999999998</v>
      </c>
      <c r="I4723">
        <v>61.326120672089097</v>
      </c>
    </row>
    <row r="4724" spans="1:9" x14ac:dyDescent="0.35">
      <c r="A4724" s="417" t="s">
        <v>846</v>
      </c>
      <c r="B4724" s="417" t="s">
        <v>680</v>
      </c>
      <c r="C4724" s="83">
        <v>46054</v>
      </c>
      <c r="D4724" s="417" t="s">
        <v>689</v>
      </c>
      <c r="E4724">
        <v>1378.3571833333301</v>
      </c>
      <c r="F4724">
        <v>53</v>
      </c>
      <c r="G4724">
        <v>26.006739308176101</v>
      </c>
      <c r="H4724">
        <v>0</v>
      </c>
      <c r="I4724">
        <v>79.796962001622802</v>
      </c>
    </row>
    <row r="4725" spans="1:9" x14ac:dyDescent="0.35">
      <c r="A4725" s="417" t="s">
        <v>846</v>
      </c>
      <c r="B4725" s="417" t="s">
        <v>680</v>
      </c>
      <c r="C4725" s="83">
        <v>46054</v>
      </c>
      <c r="D4725" s="417" t="s">
        <v>690</v>
      </c>
      <c r="E4725">
        <v>1331.4866833333299</v>
      </c>
      <c r="F4725">
        <v>33</v>
      </c>
      <c r="G4725">
        <v>40.348081313131303</v>
      </c>
      <c r="H4725">
        <v>32.000966666666699</v>
      </c>
      <c r="I4725">
        <v>67.379606674809196</v>
      </c>
    </row>
    <row r="4726" spans="1:9" x14ac:dyDescent="0.35">
      <c r="A4726" s="417" t="s">
        <v>846</v>
      </c>
      <c r="B4726" s="417" t="s">
        <v>680</v>
      </c>
      <c r="C4726" s="83">
        <v>46054</v>
      </c>
      <c r="D4726" s="417" t="s">
        <v>688</v>
      </c>
      <c r="E4726">
        <v>1409.49065</v>
      </c>
      <c r="F4726">
        <v>26</v>
      </c>
      <c r="G4726">
        <v>54.211178846153899</v>
      </c>
      <c r="H4726">
        <v>11.9980833333333</v>
      </c>
      <c r="I4726">
        <v>73.612773819503701</v>
      </c>
    </row>
    <row r="4727" spans="1:9" x14ac:dyDescent="0.35">
      <c r="A4727" s="417" t="s">
        <v>846</v>
      </c>
      <c r="B4727" s="417" t="s">
        <v>680</v>
      </c>
      <c r="C4727" s="83">
        <v>46054</v>
      </c>
      <c r="D4727" s="417" t="s">
        <v>683</v>
      </c>
      <c r="E4727">
        <v>1402.3203333333299</v>
      </c>
      <c r="F4727">
        <v>23</v>
      </c>
      <c r="G4727">
        <v>60.970449275362299</v>
      </c>
      <c r="H4727">
        <v>1.81823333333333</v>
      </c>
      <c r="I4727">
        <v>68.093871828209402</v>
      </c>
    </row>
    <row r="4728" spans="1:9" x14ac:dyDescent="0.35">
      <c r="A4728" s="417" t="s">
        <v>846</v>
      </c>
      <c r="B4728" s="417" t="s">
        <v>680</v>
      </c>
      <c r="C4728" s="83">
        <v>46054</v>
      </c>
      <c r="D4728" s="417" t="s">
        <v>687</v>
      </c>
      <c r="E4728">
        <v>1413.4937833333299</v>
      </c>
      <c r="F4728">
        <v>16</v>
      </c>
      <c r="G4728">
        <v>88.343361458333405</v>
      </c>
      <c r="H4728">
        <v>12.327766666666699</v>
      </c>
      <c r="I4728">
        <v>34.124946881385398</v>
      </c>
    </row>
    <row r="4729" spans="1:9" x14ac:dyDescent="0.35">
      <c r="A4729" s="417" t="s">
        <v>846</v>
      </c>
      <c r="B4729" s="417" t="s">
        <v>680</v>
      </c>
      <c r="C4729" s="83">
        <v>46054</v>
      </c>
      <c r="D4729" s="417" t="s">
        <v>685</v>
      </c>
      <c r="E4729">
        <v>1305.8063500000001</v>
      </c>
      <c r="F4729">
        <v>13</v>
      </c>
      <c r="G4729">
        <v>100.446642307692</v>
      </c>
      <c r="H4729">
        <v>5.5009333333333297</v>
      </c>
      <c r="I4729">
        <v>75.564467314900895</v>
      </c>
    </row>
    <row r="4730" spans="1:9" x14ac:dyDescent="0.35">
      <c r="A4730" s="417" t="s">
        <v>846</v>
      </c>
      <c r="B4730" s="417" t="s">
        <v>680</v>
      </c>
      <c r="C4730" s="83">
        <v>46054</v>
      </c>
      <c r="D4730" s="417" t="s">
        <v>682</v>
      </c>
      <c r="E4730">
        <v>1438.3456000000001</v>
      </c>
      <c r="F4730">
        <v>5</v>
      </c>
      <c r="G4730">
        <v>287.66912000000002</v>
      </c>
      <c r="H4730">
        <v>1.6544000000000001</v>
      </c>
      <c r="I4730">
        <v>59.623015873015902</v>
      </c>
    </row>
    <row r="4731" spans="1:9" x14ac:dyDescent="0.35">
      <c r="A4731" s="417" t="s">
        <v>846</v>
      </c>
      <c r="B4731" s="417" t="s">
        <v>680</v>
      </c>
      <c r="C4731" s="83">
        <v>46054</v>
      </c>
      <c r="D4731" s="417" t="s">
        <v>686</v>
      </c>
      <c r="E4731">
        <v>1440</v>
      </c>
      <c r="F4731">
        <v>1</v>
      </c>
      <c r="G4731">
        <v>1440</v>
      </c>
      <c r="H4731">
        <v>0</v>
      </c>
      <c r="I4731">
        <v>32.495039682539698</v>
      </c>
    </row>
    <row r="4732" spans="1:9" x14ac:dyDescent="0.35">
      <c r="A4732" s="417" t="s">
        <v>846</v>
      </c>
      <c r="B4732" s="417" t="s">
        <v>691</v>
      </c>
      <c r="C4732" s="83">
        <v>46054</v>
      </c>
      <c r="D4732" s="417" t="s">
        <v>301</v>
      </c>
      <c r="E4732">
        <v>1320.51551666667</v>
      </c>
      <c r="F4732">
        <v>128</v>
      </c>
      <c r="G4732">
        <v>10.316527473958301</v>
      </c>
      <c r="H4732">
        <v>9.6555166666666707</v>
      </c>
      <c r="I4732">
        <v>68.631607626498194</v>
      </c>
    </row>
    <row r="4733" spans="1:9" x14ac:dyDescent="0.35">
      <c r="A4733" s="417" t="s">
        <v>846</v>
      </c>
      <c r="B4733" s="417" t="s">
        <v>691</v>
      </c>
      <c r="C4733" s="83">
        <v>46054</v>
      </c>
      <c r="D4733" s="417" t="s">
        <v>295</v>
      </c>
      <c r="E4733">
        <v>1328.2168666666701</v>
      </c>
      <c r="F4733">
        <v>117</v>
      </c>
      <c r="G4733">
        <v>11.3522809116809</v>
      </c>
      <c r="H4733">
        <v>0.56376666666666697</v>
      </c>
      <c r="I4733">
        <v>75.000693053075807</v>
      </c>
    </row>
    <row r="4734" spans="1:9" x14ac:dyDescent="0.35">
      <c r="A4734" s="417" t="s">
        <v>846</v>
      </c>
      <c r="B4734" s="417" t="s">
        <v>691</v>
      </c>
      <c r="C4734" s="83">
        <v>46054</v>
      </c>
      <c r="D4734" s="417" t="s">
        <v>305</v>
      </c>
      <c r="E4734">
        <v>1310.70426666667</v>
      </c>
      <c r="F4734">
        <v>99</v>
      </c>
      <c r="G4734">
        <v>13.239437037037</v>
      </c>
      <c r="H4734">
        <v>5.1176500000000003</v>
      </c>
      <c r="I4734">
        <v>54.276962960351597</v>
      </c>
    </row>
    <row r="4735" spans="1:9" x14ac:dyDescent="0.35">
      <c r="A4735" s="417" t="s">
        <v>846</v>
      </c>
      <c r="B4735" s="417" t="s">
        <v>691</v>
      </c>
      <c r="C4735" s="83">
        <v>46054</v>
      </c>
      <c r="D4735" s="417" t="s">
        <v>309</v>
      </c>
      <c r="E4735">
        <v>1205.7990833333299</v>
      </c>
      <c r="F4735">
        <v>96</v>
      </c>
      <c r="G4735">
        <v>12.560407118055601</v>
      </c>
      <c r="H4735">
        <v>1.2646333333333299</v>
      </c>
      <c r="I4735">
        <v>38.368099539411297</v>
      </c>
    </row>
    <row r="4736" spans="1:9" x14ac:dyDescent="0.35">
      <c r="A4736" s="417" t="s">
        <v>846</v>
      </c>
      <c r="B4736" s="417" t="s">
        <v>691</v>
      </c>
      <c r="C4736" s="83">
        <v>46054</v>
      </c>
      <c r="D4736" s="417" t="s">
        <v>303</v>
      </c>
      <c r="E4736">
        <v>1374.82093333333</v>
      </c>
      <c r="F4736">
        <v>46</v>
      </c>
      <c r="G4736">
        <v>29.887411594202899</v>
      </c>
      <c r="H4736">
        <v>0.12665000000000001</v>
      </c>
      <c r="I4736">
        <v>54.217702594784299</v>
      </c>
    </row>
    <row r="4737" spans="1:9" x14ac:dyDescent="0.35">
      <c r="A4737" s="417" t="s">
        <v>846</v>
      </c>
      <c r="B4737" s="417" t="s">
        <v>691</v>
      </c>
      <c r="C4737" s="83">
        <v>46054</v>
      </c>
      <c r="D4737" s="417" t="s">
        <v>299</v>
      </c>
      <c r="E4737">
        <v>1394.3714833333299</v>
      </c>
      <c r="F4737">
        <v>42</v>
      </c>
      <c r="G4737">
        <v>33.199321031746003</v>
      </c>
      <c r="H4737">
        <v>5.1183333333333303E-2</v>
      </c>
      <c r="I4737">
        <v>82.032088563442102</v>
      </c>
    </row>
    <row r="4738" spans="1:9" x14ac:dyDescent="0.35">
      <c r="A4738" s="417" t="s">
        <v>846</v>
      </c>
      <c r="B4738" s="417" t="s">
        <v>691</v>
      </c>
      <c r="C4738" s="83">
        <v>46054</v>
      </c>
      <c r="D4738" s="417" t="s">
        <v>313</v>
      </c>
      <c r="E4738">
        <v>1378.5425333333301</v>
      </c>
      <c r="F4738">
        <v>12</v>
      </c>
      <c r="G4738">
        <v>114.878544444444</v>
      </c>
      <c r="H4738">
        <v>0</v>
      </c>
      <c r="I4738">
        <v>81.097878418073194</v>
      </c>
    </row>
    <row r="4739" spans="1:9" x14ac:dyDescent="0.35">
      <c r="A4739" s="417" t="s">
        <v>846</v>
      </c>
      <c r="B4739" s="417" t="s">
        <v>691</v>
      </c>
      <c r="C4739" s="83">
        <v>46054</v>
      </c>
      <c r="D4739" s="417" t="s">
        <v>317</v>
      </c>
      <c r="E4739">
        <v>1438.7703833333301</v>
      </c>
      <c r="F4739">
        <v>3</v>
      </c>
      <c r="G4739">
        <v>479.59012777777798</v>
      </c>
      <c r="H4739">
        <v>1.2296166666666699</v>
      </c>
      <c r="I4739">
        <v>50.7361111111111</v>
      </c>
    </row>
    <row r="4740" spans="1:9" x14ac:dyDescent="0.35">
      <c r="A4740" s="417" t="s">
        <v>846</v>
      </c>
      <c r="B4740" s="417" t="s">
        <v>691</v>
      </c>
      <c r="C4740" s="83">
        <v>46054</v>
      </c>
      <c r="D4740" s="417" t="s">
        <v>310</v>
      </c>
      <c r="E4740">
        <v>1427.0328999999999</v>
      </c>
      <c r="F4740">
        <v>3</v>
      </c>
      <c r="G4740">
        <v>475.67763333333301</v>
      </c>
      <c r="H4740">
        <v>0</v>
      </c>
      <c r="I4740">
        <v>71.6166290754269</v>
      </c>
    </row>
    <row r="4741" spans="1:9" x14ac:dyDescent="0.35">
      <c r="A4741" s="417" t="s">
        <v>846</v>
      </c>
      <c r="B4741" s="417" t="s">
        <v>691</v>
      </c>
      <c r="C4741" s="83">
        <v>46054</v>
      </c>
      <c r="D4741" s="417" t="s">
        <v>314</v>
      </c>
      <c r="E4741">
        <v>1438.5701833333301</v>
      </c>
      <c r="F4741">
        <v>3</v>
      </c>
      <c r="G4741">
        <v>479.52339444444402</v>
      </c>
      <c r="H4741">
        <v>5.0266666666666703E-2</v>
      </c>
      <c r="I4741">
        <v>65.0208333333333</v>
      </c>
    </row>
    <row r="4742" spans="1:9" x14ac:dyDescent="0.35">
      <c r="A4742" s="417" t="s">
        <v>846</v>
      </c>
      <c r="B4742" s="417" t="s">
        <v>691</v>
      </c>
      <c r="C4742" s="83">
        <v>46054</v>
      </c>
      <c r="D4742" s="417" t="s">
        <v>504</v>
      </c>
      <c r="E4742">
        <v>1440</v>
      </c>
      <c r="F4742">
        <v>1</v>
      </c>
      <c r="G4742">
        <v>1440</v>
      </c>
      <c r="H4742">
        <v>0</v>
      </c>
      <c r="I4742">
        <v>42.099074074074103</v>
      </c>
    </row>
    <row r="4743" spans="1:9" x14ac:dyDescent="0.35">
      <c r="A4743" s="417" t="s">
        <v>846</v>
      </c>
      <c r="B4743" s="417" t="s">
        <v>691</v>
      </c>
      <c r="C4743" s="83">
        <v>46054</v>
      </c>
      <c r="D4743" s="417" t="s">
        <v>342</v>
      </c>
      <c r="E4743">
        <v>360</v>
      </c>
      <c r="F4743">
        <v>1</v>
      </c>
      <c r="G4743">
        <v>360</v>
      </c>
      <c r="H4743">
        <v>0</v>
      </c>
      <c r="I4743">
        <v>0</v>
      </c>
    </row>
    <row r="4744" spans="1:9" x14ac:dyDescent="0.35">
      <c r="A4744" s="417" t="s">
        <v>846</v>
      </c>
      <c r="B4744" s="417" t="s">
        <v>676</v>
      </c>
      <c r="C4744" s="83">
        <v>46053</v>
      </c>
      <c r="D4744" s="417" t="s">
        <v>677</v>
      </c>
      <c r="E4744">
        <v>1111.8226833333299</v>
      </c>
      <c r="F4744">
        <v>524</v>
      </c>
      <c r="G4744">
        <v>2.1217990139949099</v>
      </c>
      <c r="H4744">
        <v>210.988766666667</v>
      </c>
      <c r="I4744">
        <v>24.2280555555555</v>
      </c>
    </row>
    <row r="4745" spans="1:9" x14ac:dyDescent="0.35">
      <c r="A4745" s="417" t="s">
        <v>846</v>
      </c>
      <c r="B4745" s="417" t="s">
        <v>676</v>
      </c>
      <c r="C4745" s="83">
        <v>46053</v>
      </c>
      <c r="D4745" s="417" t="s">
        <v>679</v>
      </c>
      <c r="E4745">
        <v>1233.28125</v>
      </c>
      <c r="F4745">
        <v>23</v>
      </c>
      <c r="G4745">
        <v>53.620923913043498</v>
      </c>
      <c r="H4745">
        <v>12.5148666666667</v>
      </c>
      <c r="I4745">
        <v>47.335951338748501</v>
      </c>
    </row>
    <row r="4746" spans="1:9" x14ac:dyDescent="0.35">
      <c r="A4746" s="417" t="s">
        <v>846</v>
      </c>
      <c r="B4746" s="417" t="s">
        <v>680</v>
      </c>
      <c r="C4746" s="83">
        <v>46053</v>
      </c>
      <c r="D4746" s="417" t="s">
        <v>681</v>
      </c>
      <c r="E4746">
        <v>1336.04856666667</v>
      </c>
      <c r="F4746">
        <v>87</v>
      </c>
      <c r="G4746">
        <v>15.3568800766283</v>
      </c>
      <c r="H4746">
        <v>2.0005166666666701</v>
      </c>
      <c r="I4746">
        <v>69.568618155097795</v>
      </c>
    </row>
    <row r="4747" spans="1:9" x14ac:dyDescent="0.35">
      <c r="A4747" s="417" t="s">
        <v>846</v>
      </c>
      <c r="B4747" s="417" t="s">
        <v>680</v>
      </c>
      <c r="C4747" s="83">
        <v>46053</v>
      </c>
      <c r="D4747" s="417" t="s">
        <v>683</v>
      </c>
      <c r="E4747">
        <v>1309.15806666667</v>
      </c>
      <c r="F4747">
        <v>70</v>
      </c>
      <c r="G4747">
        <v>18.702258095238101</v>
      </c>
      <c r="H4747">
        <v>1.67241666666667</v>
      </c>
      <c r="I4747">
        <v>65.6453447878269</v>
      </c>
    </row>
    <row r="4748" spans="1:9" x14ac:dyDescent="0.35">
      <c r="A4748" s="417" t="s">
        <v>846</v>
      </c>
      <c r="B4748" s="417" t="s">
        <v>680</v>
      </c>
      <c r="C4748" s="83">
        <v>46053</v>
      </c>
      <c r="D4748" s="417" t="s">
        <v>684</v>
      </c>
      <c r="E4748">
        <v>1382.8093166666699</v>
      </c>
      <c r="F4748">
        <v>68</v>
      </c>
      <c r="G4748">
        <v>20.335431127450999</v>
      </c>
      <c r="H4748">
        <v>34.485983333333301</v>
      </c>
      <c r="I4748">
        <v>53.489529067427</v>
      </c>
    </row>
    <row r="4749" spans="1:9" x14ac:dyDescent="0.35">
      <c r="A4749" s="417" t="s">
        <v>846</v>
      </c>
      <c r="B4749" s="417" t="s">
        <v>680</v>
      </c>
      <c r="C4749" s="83">
        <v>46053</v>
      </c>
      <c r="D4749" s="417" t="s">
        <v>687</v>
      </c>
      <c r="E4749">
        <v>1346.2934666666699</v>
      </c>
      <c r="F4749">
        <v>39</v>
      </c>
      <c r="G4749">
        <v>34.520345299145298</v>
      </c>
      <c r="H4749">
        <v>57.357216666666702</v>
      </c>
      <c r="I4749">
        <v>38.478272088175103</v>
      </c>
    </row>
    <row r="4750" spans="1:9" x14ac:dyDescent="0.35">
      <c r="A4750" s="417" t="s">
        <v>846</v>
      </c>
      <c r="B4750" s="417" t="s">
        <v>680</v>
      </c>
      <c r="C4750" s="83">
        <v>46053</v>
      </c>
      <c r="D4750" s="417" t="s">
        <v>689</v>
      </c>
      <c r="E4750">
        <v>1254.86535</v>
      </c>
      <c r="F4750">
        <v>36</v>
      </c>
      <c r="G4750">
        <v>34.857370833333299</v>
      </c>
      <c r="H4750">
        <v>7.1584166666666702</v>
      </c>
      <c r="I4750">
        <v>53.2461636396065</v>
      </c>
    </row>
    <row r="4751" spans="1:9" x14ac:dyDescent="0.35">
      <c r="A4751" s="417" t="s">
        <v>846</v>
      </c>
      <c r="B4751" s="417" t="s">
        <v>680</v>
      </c>
      <c r="C4751" s="83">
        <v>46053</v>
      </c>
      <c r="D4751" s="417" t="s">
        <v>685</v>
      </c>
      <c r="E4751">
        <v>1338.82083333333</v>
      </c>
      <c r="F4751">
        <v>19</v>
      </c>
      <c r="G4751">
        <v>70.464254385964907</v>
      </c>
      <c r="H4751">
        <v>11.666783333333299</v>
      </c>
      <c r="I4751">
        <v>44.489183936525798</v>
      </c>
    </row>
    <row r="4752" spans="1:9" x14ac:dyDescent="0.35">
      <c r="A4752" s="417" t="s">
        <v>846</v>
      </c>
      <c r="B4752" s="417" t="s">
        <v>680</v>
      </c>
      <c r="C4752" s="83">
        <v>46053</v>
      </c>
      <c r="D4752" s="417" t="s">
        <v>682</v>
      </c>
      <c r="E4752">
        <v>1431.1554000000001</v>
      </c>
      <c r="F4752">
        <v>13</v>
      </c>
      <c r="G4752">
        <v>110.088876923077</v>
      </c>
      <c r="H4752">
        <v>8.8445999999999998</v>
      </c>
      <c r="I4752">
        <v>50.808531746031797</v>
      </c>
    </row>
    <row r="4753" spans="1:9" x14ac:dyDescent="0.35">
      <c r="A4753" s="417" t="s">
        <v>846</v>
      </c>
      <c r="B4753" s="417" t="s">
        <v>680</v>
      </c>
      <c r="C4753" s="83">
        <v>46053</v>
      </c>
      <c r="D4753" s="417" t="s">
        <v>690</v>
      </c>
      <c r="E4753">
        <v>1405.32578333333</v>
      </c>
      <c r="F4753">
        <v>11</v>
      </c>
      <c r="G4753">
        <v>127.75688939393901</v>
      </c>
      <c r="H4753">
        <v>18.3337166666667</v>
      </c>
      <c r="I4753">
        <v>61.767377863677602</v>
      </c>
    </row>
    <row r="4754" spans="1:9" x14ac:dyDescent="0.35">
      <c r="A4754" s="417" t="s">
        <v>846</v>
      </c>
      <c r="B4754" s="417" t="s">
        <v>680</v>
      </c>
      <c r="C4754" s="83">
        <v>46053</v>
      </c>
      <c r="D4754" s="417" t="s">
        <v>688</v>
      </c>
      <c r="E4754">
        <v>1429.5038833333299</v>
      </c>
      <c r="F4754">
        <v>4</v>
      </c>
      <c r="G4754">
        <v>357.37597083333299</v>
      </c>
      <c r="H4754">
        <v>3.3363666666666698</v>
      </c>
      <c r="I4754">
        <v>64.211363244636402</v>
      </c>
    </row>
    <row r="4755" spans="1:9" x14ac:dyDescent="0.35">
      <c r="A4755" s="417" t="s">
        <v>846</v>
      </c>
      <c r="B4755" s="417" t="s">
        <v>680</v>
      </c>
      <c r="C4755" s="83">
        <v>46053</v>
      </c>
      <c r="D4755" s="417" t="s">
        <v>686</v>
      </c>
      <c r="E4755">
        <v>1440</v>
      </c>
      <c r="F4755">
        <v>1</v>
      </c>
      <c r="G4755">
        <v>1440</v>
      </c>
      <c r="H4755">
        <v>0</v>
      </c>
      <c r="I4755">
        <v>32.1180555555556</v>
      </c>
    </row>
    <row r="4756" spans="1:9" x14ac:dyDescent="0.35">
      <c r="A4756" s="417" t="s">
        <v>846</v>
      </c>
      <c r="B4756" s="417" t="s">
        <v>691</v>
      </c>
      <c r="C4756" s="83">
        <v>46053</v>
      </c>
      <c r="D4756" s="417" t="s">
        <v>342</v>
      </c>
      <c r="E4756">
        <v>937.47391666666601</v>
      </c>
      <c r="F4756">
        <v>134</v>
      </c>
      <c r="G4756">
        <v>6.99607400497512</v>
      </c>
      <c r="H4756">
        <v>283.55631666666699</v>
      </c>
      <c r="I4756">
        <v>25.863095238095202</v>
      </c>
    </row>
    <row r="4757" spans="1:9" x14ac:dyDescent="0.35">
      <c r="A4757" s="417" t="s">
        <v>846</v>
      </c>
      <c r="B4757" s="417" t="s">
        <v>691</v>
      </c>
      <c r="C4757" s="83">
        <v>46053</v>
      </c>
      <c r="D4757" s="417" t="s">
        <v>305</v>
      </c>
      <c r="E4757">
        <v>1313.5704499999999</v>
      </c>
      <c r="F4757">
        <v>129</v>
      </c>
      <c r="G4757">
        <v>10.1827166666667</v>
      </c>
      <c r="H4757">
        <v>2.6176166666666698</v>
      </c>
      <c r="I4757">
        <v>51.307190139723097</v>
      </c>
    </row>
    <row r="4758" spans="1:9" x14ac:dyDescent="0.35">
      <c r="A4758" s="417" t="s">
        <v>846</v>
      </c>
      <c r="B4758" s="417" t="s">
        <v>691</v>
      </c>
      <c r="C4758" s="83">
        <v>46053</v>
      </c>
      <c r="D4758" s="417" t="s">
        <v>309</v>
      </c>
      <c r="E4758">
        <v>1353.0976499999999</v>
      </c>
      <c r="F4758">
        <v>111</v>
      </c>
      <c r="G4758">
        <v>12.1900689189189</v>
      </c>
      <c r="H4758">
        <v>1.03701666666667</v>
      </c>
      <c r="I4758">
        <v>48.7070695824507</v>
      </c>
    </row>
    <row r="4759" spans="1:9" x14ac:dyDescent="0.35">
      <c r="A4759" s="417" t="s">
        <v>846</v>
      </c>
      <c r="B4759" s="417" t="s">
        <v>691</v>
      </c>
      <c r="C4759" s="83">
        <v>46053</v>
      </c>
      <c r="D4759" s="417" t="s">
        <v>301</v>
      </c>
      <c r="E4759">
        <v>1323.4657999999999</v>
      </c>
      <c r="F4759">
        <v>91</v>
      </c>
      <c r="G4759">
        <v>14.5435802197802</v>
      </c>
      <c r="H4759">
        <v>3.57303333333333</v>
      </c>
      <c r="I4759">
        <v>65.187959335003697</v>
      </c>
    </row>
    <row r="4760" spans="1:9" x14ac:dyDescent="0.35">
      <c r="A4760" s="417" t="s">
        <v>846</v>
      </c>
      <c r="B4760" s="417" t="s">
        <v>691</v>
      </c>
      <c r="C4760" s="83">
        <v>46053</v>
      </c>
      <c r="D4760" s="417" t="s">
        <v>295</v>
      </c>
      <c r="E4760">
        <v>1341.2408333333301</v>
      </c>
      <c r="F4760">
        <v>77</v>
      </c>
      <c r="G4760">
        <v>17.418712121212099</v>
      </c>
      <c r="H4760">
        <v>0.40531666666666699</v>
      </c>
      <c r="I4760">
        <v>76.308750978751505</v>
      </c>
    </row>
    <row r="4761" spans="1:9" x14ac:dyDescent="0.35">
      <c r="A4761" s="417" t="s">
        <v>846</v>
      </c>
      <c r="B4761" s="417" t="s">
        <v>691</v>
      </c>
      <c r="C4761" s="83">
        <v>46053</v>
      </c>
      <c r="D4761" s="417" t="s">
        <v>303</v>
      </c>
      <c r="E4761">
        <v>1337.5800999999999</v>
      </c>
      <c r="F4761">
        <v>43</v>
      </c>
      <c r="G4761">
        <v>31.106513953488399</v>
      </c>
      <c r="H4761">
        <v>0.60706666666666698</v>
      </c>
      <c r="I4761">
        <v>47.961494422780703</v>
      </c>
    </row>
    <row r="4762" spans="1:9" x14ac:dyDescent="0.35">
      <c r="A4762" s="417" t="s">
        <v>846</v>
      </c>
      <c r="B4762" s="417" t="s">
        <v>691</v>
      </c>
      <c r="C4762" s="83">
        <v>46053</v>
      </c>
      <c r="D4762" s="417" t="s">
        <v>299</v>
      </c>
      <c r="E4762">
        <v>1388.0965000000001</v>
      </c>
      <c r="F4762">
        <v>33</v>
      </c>
      <c r="G4762">
        <v>42.063530303030298</v>
      </c>
      <c r="H4762">
        <v>0.48346666666666699</v>
      </c>
      <c r="I4762">
        <v>79.569070379120504</v>
      </c>
    </row>
    <row r="4763" spans="1:9" x14ac:dyDescent="0.35">
      <c r="A4763" s="417" t="s">
        <v>846</v>
      </c>
      <c r="B4763" s="417" t="s">
        <v>691</v>
      </c>
      <c r="C4763" s="83">
        <v>46053</v>
      </c>
      <c r="D4763" s="417" t="s">
        <v>313</v>
      </c>
      <c r="E4763">
        <v>1404.54833333333</v>
      </c>
      <c r="F4763">
        <v>13</v>
      </c>
      <c r="G4763">
        <v>108.042179487179</v>
      </c>
      <c r="H4763">
        <v>7.6149999999999995E-2</v>
      </c>
      <c r="I4763">
        <v>77.732512156446305</v>
      </c>
    </row>
    <row r="4764" spans="1:9" x14ac:dyDescent="0.35">
      <c r="A4764" s="417" t="s">
        <v>846</v>
      </c>
      <c r="B4764" s="417" t="s">
        <v>691</v>
      </c>
      <c r="C4764" s="83">
        <v>46053</v>
      </c>
      <c r="D4764" s="417" t="s">
        <v>314</v>
      </c>
      <c r="E4764">
        <v>1406.7400500000001</v>
      </c>
      <c r="F4764">
        <v>11</v>
      </c>
      <c r="G4764">
        <v>127.88545909090899</v>
      </c>
      <c r="H4764">
        <v>0.24456666666666699</v>
      </c>
      <c r="I4764">
        <v>60.631638259228403</v>
      </c>
    </row>
    <row r="4765" spans="1:9" x14ac:dyDescent="0.35">
      <c r="A4765" s="417" t="s">
        <v>846</v>
      </c>
      <c r="B4765" s="417" t="s">
        <v>691</v>
      </c>
      <c r="C4765" s="83">
        <v>46053</v>
      </c>
      <c r="D4765" s="417" t="s">
        <v>310</v>
      </c>
      <c r="E4765">
        <v>1433.69166666667</v>
      </c>
      <c r="F4765">
        <v>5</v>
      </c>
      <c r="G4765">
        <v>286.738333333333</v>
      </c>
      <c r="H4765">
        <v>0.33208333333333301</v>
      </c>
      <c r="I4765">
        <v>72.930584220249301</v>
      </c>
    </row>
    <row r="4766" spans="1:9" x14ac:dyDescent="0.35">
      <c r="A4766" s="417" t="s">
        <v>846</v>
      </c>
      <c r="B4766" s="417" t="s">
        <v>691</v>
      </c>
      <c r="C4766" s="83">
        <v>46053</v>
      </c>
      <c r="D4766" s="417" t="s">
        <v>317</v>
      </c>
      <c r="E4766">
        <v>1437.9947833333299</v>
      </c>
      <c r="F4766">
        <v>2</v>
      </c>
      <c r="G4766">
        <v>718.997391666667</v>
      </c>
      <c r="H4766">
        <v>0.11861666666666699</v>
      </c>
      <c r="I4766">
        <v>42.614859162010397</v>
      </c>
    </row>
    <row r="4767" spans="1:9" x14ac:dyDescent="0.35">
      <c r="A4767" s="417" t="s">
        <v>846</v>
      </c>
      <c r="B4767" s="417" t="s">
        <v>691</v>
      </c>
      <c r="C4767" s="83">
        <v>46053</v>
      </c>
      <c r="D4767" s="417" t="s">
        <v>504</v>
      </c>
      <c r="E4767">
        <v>1440</v>
      </c>
      <c r="F4767">
        <v>1</v>
      </c>
      <c r="G4767">
        <v>1440</v>
      </c>
      <c r="H4767">
        <v>0</v>
      </c>
      <c r="I4767">
        <v>33.197993827160502</v>
      </c>
    </row>
    <row r="4768" spans="1:9" x14ac:dyDescent="0.35">
      <c r="A4768" s="417" t="s">
        <v>846</v>
      </c>
      <c r="B4768" s="417" t="s">
        <v>676</v>
      </c>
      <c r="C4768" s="83">
        <v>46052</v>
      </c>
      <c r="D4768" s="417" t="s">
        <v>677</v>
      </c>
      <c r="E4768">
        <v>1304.9898166666701</v>
      </c>
      <c r="F4768">
        <v>204</v>
      </c>
      <c r="G4768">
        <v>6.39700890522876</v>
      </c>
      <c r="H4768">
        <v>82.841833333333298</v>
      </c>
      <c r="I4768">
        <v>45.401944444444403</v>
      </c>
    </row>
    <row r="4769" spans="1:9" x14ac:dyDescent="0.35">
      <c r="A4769" s="417" t="s">
        <v>846</v>
      </c>
      <c r="B4769" s="417" t="s">
        <v>676</v>
      </c>
      <c r="C4769" s="83">
        <v>46052</v>
      </c>
      <c r="D4769" s="417" t="s">
        <v>679</v>
      </c>
      <c r="E4769">
        <v>1363.1840833333299</v>
      </c>
      <c r="F4769">
        <v>13</v>
      </c>
      <c r="G4769">
        <v>104.860314102564</v>
      </c>
      <c r="H4769">
        <v>6.6587166666666704</v>
      </c>
      <c r="I4769">
        <v>86.532311417717295</v>
      </c>
    </row>
    <row r="4770" spans="1:9" x14ac:dyDescent="0.35">
      <c r="A4770" s="417" t="s">
        <v>846</v>
      </c>
      <c r="B4770" s="417" t="s">
        <v>680</v>
      </c>
      <c r="C4770" s="83">
        <v>46052</v>
      </c>
      <c r="D4770" s="417" t="s">
        <v>685</v>
      </c>
      <c r="E4770">
        <v>1273.4863499999999</v>
      </c>
      <c r="F4770">
        <v>82</v>
      </c>
      <c r="G4770">
        <v>15.5303213414634</v>
      </c>
      <c r="H4770">
        <v>43.994033333333299</v>
      </c>
      <c r="I4770">
        <v>64.709831890826095</v>
      </c>
    </row>
    <row r="4771" spans="1:9" x14ac:dyDescent="0.35">
      <c r="A4771" s="417" t="s">
        <v>846</v>
      </c>
      <c r="B4771" s="417" t="s">
        <v>680</v>
      </c>
      <c r="C4771" s="83">
        <v>46052</v>
      </c>
      <c r="D4771" s="417" t="s">
        <v>681</v>
      </c>
      <c r="E4771">
        <v>1391.09666666667</v>
      </c>
      <c r="F4771">
        <v>42</v>
      </c>
      <c r="G4771">
        <v>33.121349206349201</v>
      </c>
      <c r="H4771">
        <v>1.3331500000000001</v>
      </c>
      <c r="I4771">
        <v>69.056020710185294</v>
      </c>
    </row>
    <row r="4772" spans="1:9" x14ac:dyDescent="0.35">
      <c r="A4772" s="417" t="s">
        <v>846</v>
      </c>
      <c r="B4772" s="417" t="s">
        <v>680</v>
      </c>
      <c r="C4772" s="83">
        <v>46052</v>
      </c>
      <c r="D4772" s="417" t="s">
        <v>684</v>
      </c>
      <c r="E4772">
        <v>1401.0107499999999</v>
      </c>
      <c r="F4772">
        <v>32</v>
      </c>
      <c r="G4772">
        <v>43.781585937499997</v>
      </c>
      <c r="H4772">
        <v>16.813766666666702</v>
      </c>
      <c r="I4772">
        <v>70.181774011443594</v>
      </c>
    </row>
    <row r="4773" spans="1:9" x14ac:dyDescent="0.35">
      <c r="A4773" s="417" t="s">
        <v>846</v>
      </c>
      <c r="B4773" s="417" t="s">
        <v>680</v>
      </c>
      <c r="C4773" s="83">
        <v>46052</v>
      </c>
      <c r="D4773" s="417" t="s">
        <v>683</v>
      </c>
      <c r="E4773">
        <v>1353.94673333333</v>
      </c>
      <c r="F4773">
        <v>28</v>
      </c>
      <c r="G4773">
        <v>48.355240476190502</v>
      </c>
      <c r="H4773">
        <v>2.1634833333333301</v>
      </c>
      <c r="I4773">
        <v>51.162617971529201</v>
      </c>
    </row>
    <row r="4774" spans="1:9" x14ac:dyDescent="0.35">
      <c r="A4774" s="417" t="s">
        <v>846</v>
      </c>
      <c r="B4774" s="417" t="s">
        <v>680</v>
      </c>
      <c r="C4774" s="83">
        <v>46052</v>
      </c>
      <c r="D4774" s="417" t="s">
        <v>689</v>
      </c>
      <c r="E4774">
        <v>1400.93571666667</v>
      </c>
      <c r="F4774">
        <v>26</v>
      </c>
      <c r="G4774">
        <v>53.882142948717998</v>
      </c>
      <c r="H4774">
        <v>2.1736833333333299</v>
      </c>
      <c r="I4774">
        <v>68.420532049868996</v>
      </c>
    </row>
    <row r="4775" spans="1:9" x14ac:dyDescent="0.35">
      <c r="A4775" s="417" t="s">
        <v>846</v>
      </c>
      <c r="B4775" s="417" t="s">
        <v>680</v>
      </c>
      <c r="C4775" s="83">
        <v>46052</v>
      </c>
      <c r="D4775" s="417" t="s">
        <v>690</v>
      </c>
      <c r="E4775">
        <v>1320.6483499999999</v>
      </c>
      <c r="F4775">
        <v>20</v>
      </c>
      <c r="G4775">
        <v>66.032417499999994</v>
      </c>
      <c r="H4775">
        <v>1.8408</v>
      </c>
      <c r="I4775">
        <v>46.517988795391197</v>
      </c>
    </row>
    <row r="4776" spans="1:9" x14ac:dyDescent="0.35">
      <c r="A4776" s="417" t="s">
        <v>846</v>
      </c>
      <c r="B4776" s="417" t="s">
        <v>680</v>
      </c>
      <c r="C4776" s="83">
        <v>46052</v>
      </c>
      <c r="D4776" s="417" t="s">
        <v>687</v>
      </c>
      <c r="E4776">
        <v>1429.3497333333301</v>
      </c>
      <c r="F4776">
        <v>10</v>
      </c>
      <c r="G4776">
        <v>142.93497333333301</v>
      </c>
      <c r="H4776">
        <v>7.6560666666666704</v>
      </c>
      <c r="I4776">
        <v>47.189814430141503</v>
      </c>
    </row>
    <row r="4777" spans="1:9" x14ac:dyDescent="0.35">
      <c r="A4777" s="417" t="s">
        <v>846</v>
      </c>
      <c r="B4777" s="417" t="s">
        <v>680</v>
      </c>
      <c r="C4777" s="83">
        <v>46052</v>
      </c>
      <c r="D4777" s="417" t="s">
        <v>682</v>
      </c>
      <c r="E4777">
        <v>1431.3225833333299</v>
      </c>
      <c r="F4777">
        <v>9</v>
      </c>
      <c r="G4777">
        <v>159.03584259259301</v>
      </c>
      <c r="H4777">
        <v>8.6774166666666694</v>
      </c>
      <c r="I4777">
        <v>76.378968253968196</v>
      </c>
    </row>
    <row r="4778" spans="1:9" x14ac:dyDescent="0.35">
      <c r="A4778" s="417" t="s">
        <v>846</v>
      </c>
      <c r="B4778" s="417" t="s">
        <v>680</v>
      </c>
      <c r="C4778" s="83">
        <v>46052</v>
      </c>
      <c r="D4778" s="417" t="s">
        <v>688</v>
      </c>
      <c r="E4778">
        <v>1433.1686833333299</v>
      </c>
      <c r="F4778">
        <v>7</v>
      </c>
      <c r="G4778">
        <v>204.73838333333299</v>
      </c>
      <c r="H4778">
        <v>1.9984833333333301</v>
      </c>
      <c r="I4778">
        <v>67.840159344492307</v>
      </c>
    </row>
    <row r="4779" spans="1:9" x14ac:dyDescent="0.35">
      <c r="A4779" s="417" t="s">
        <v>846</v>
      </c>
      <c r="B4779" s="417" t="s">
        <v>680</v>
      </c>
      <c r="C4779" s="83">
        <v>46052</v>
      </c>
      <c r="D4779" s="417" t="s">
        <v>686</v>
      </c>
      <c r="E4779">
        <v>1440</v>
      </c>
      <c r="F4779">
        <v>1</v>
      </c>
      <c r="G4779">
        <v>1440</v>
      </c>
      <c r="H4779">
        <v>0</v>
      </c>
      <c r="I4779">
        <v>45.853174603174601</v>
      </c>
    </row>
    <row r="4780" spans="1:9" x14ac:dyDescent="0.35">
      <c r="A4780" s="417" t="s">
        <v>846</v>
      </c>
      <c r="B4780" s="417" t="s">
        <v>691</v>
      </c>
      <c r="C4780" s="83">
        <v>46052</v>
      </c>
      <c r="D4780" s="417" t="s">
        <v>342</v>
      </c>
      <c r="E4780">
        <v>1191.8943833333301</v>
      </c>
      <c r="F4780">
        <v>126</v>
      </c>
      <c r="G4780">
        <v>9.4594792328042292</v>
      </c>
      <c r="H4780">
        <v>229.57658333333299</v>
      </c>
      <c r="I4780">
        <v>49.265873015872998</v>
      </c>
    </row>
    <row r="4781" spans="1:9" x14ac:dyDescent="0.35">
      <c r="A4781" s="417" t="s">
        <v>846</v>
      </c>
      <c r="B4781" s="417" t="s">
        <v>691</v>
      </c>
      <c r="C4781" s="83">
        <v>46052</v>
      </c>
      <c r="D4781" s="417" t="s">
        <v>305</v>
      </c>
      <c r="E4781">
        <v>1342.2929666666701</v>
      </c>
      <c r="F4781">
        <v>111</v>
      </c>
      <c r="G4781">
        <v>12.092729429429401</v>
      </c>
      <c r="H4781">
        <v>5.5226666666666704</v>
      </c>
      <c r="I4781">
        <v>49.822243916193301</v>
      </c>
    </row>
    <row r="4782" spans="1:9" x14ac:dyDescent="0.35">
      <c r="A4782" s="417" t="s">
        <v>846</v>
      </c>
      <c r="B4782" s="417" t="s">
        <v>691</v>
      </c>
      <c r="C4782" s="83">
        <v>46052</v>
      </c>
      <c r="D4782" s="417" t="s">
        <v>309</v>
      </c>
      <c r="E4782">
        <v>1325.10621666667</v>
      </c>
      <c r="F4782">
        <v>97</v>
      </c>
      <c r="G4782">
        <v>13.6608888316151</v>
      </c>
      <c r="H4782">
        <v>0.22613333333333299</v>
      </c>
      <c r="I4782">
        <v>50.5869729162618</v>
      </c>
    </row>
    <row r="4783" spans="1:9" x14ac:dyDescent="0.35">
      <c r="A4783" s="417" t="s">
        <v>846</v>
      </c>
      <c r="B4783" s="417" t="s">
        <v>691</v>
      </c>
      <c r="C4783" s="83">
        <v>46052</v>
      </c>
      <c r="D4783" s="417" t="s">
        <v>301</v>
      </c>
      <c r="E4783">
        <v>1337.8593166666701</v>
      </c>
      <c r="F4783">
        <v>80</v>
      </c>
      <c r="G4783">
        <v>16.723241458333298</v>
      </c>
      <c r="H4783">
        <v>5.62266666666667</v>
      </c>
      <c r="I4783">
        <v>57.323120818703899</v>
      </c>
    </row>
    <row r="4784" spans="1:9" x14ac:dyDescent="0.35">
      <c r="A4784" s="417" t="s">
        <v>846</v>
      </c>
      <c r="B4784" s="417" t="s">
        <v>691</v>
      </c>
      <c r="C4784" s="83">
        <v>46052</v>
      </c>
      <c r="D4784" s="417" t="s">
        <v>295</v>
      </c>
      <c r="E4784">
        <v>1347.2553</v>
      </c>
      <c r="F4784">
        <v>80</v>
      </c>
      <c r="G4784">
        <v>16.840691249999999</v>
      </c>
      <c r="H4784">
        <v>5.7946999999999997</v>
      </c>
      <c r="I4784">
        <v>76.155165010911304</v>
      </c>
    </row>
    <row r="4785" spans="1:9" x14ac:dyDescent="0.35">
      <c r="A4785" s="417" t="s">
        <v>846</v>
      </c>
      <c r="B4785" s="417" t="s">
        <v>691</v>
      </c>
      <c r="C4785" s="83">
        <v>46052</v>
      </c>
      <c r="D4785" s="417" t="s">
        <v>303</v>
      </c>
      <c r="E4785">
        <v>1296.52358333333</v>
      </c>
      <c r="F4785">
        <v>53</v>
      </c>
      <c r="G4785">
        <v>24.4627091194969</v>
      </c>
      <c r="H4785">
        <v>0.36166666666666702</v>
      </c>
      <c r="I4785">
        <v>56.508894927938499</v>
      </c>
    </row>
    <row r="4786" spans="1:9" x14ac:dyDescent="0.35">
      <c r="A4786" s="417" t="s">
        <v>846</v>
      </c>
      <c r="B4786" s="417" t="s">
        <v>691</v>
      </c>
      <c r="C4786" s="83">
        <v>46052</v>
      </c>
      <c r="D4786" s="417" t="s">
        <v>299</v>
      </c>
      <c r="E4786">
        <v>1396.8791000000001</v>
      </c>
      <c r="F4786">
        <v>49</v>
      </c>
      <c r="G4786">
        <v>28.5077367346939</v>
      </c>
      <c r="H4786">
        <v>2.85428333333333</v>
      </c>
      <c r="I4786">
        <v>81.873436024050903</v>
      </c>
    </row>
    <row r="4787" spans="1:9" x14ac:dyDescent="0.35">
      <c r="A4787" s="417" t="s">
        <v>846</v>
      </c>
      <c r="B4787" s="417" t="s">
        <v>691</v>
      </c>
      <c r="C4787" s="83">
        <v>46052</v>
      </c>
      <c r="D4787" s="417" t="s">
        <v>310</v>
      </c>
      <c r="E4787">
        <v>1276.3209666666701</v>
      </c>
      <c r="F4787">
        <v>36</v>
      </c>
      <c r="G4787">
        <v>35.453360185185197</v>
      </c>
      <c r="H4787">
        <v>0.93608333333333305</v>
      </c>
      <c r="I4787">
        <v>67.554508670247102</v>
      </c>
    </row>
    <row r="4788" spans="1:9" x14ac:dyDescent="0.35">
      <c r="A4788" s="417" t="s">
        <v>846</v>
      </c>
      <c r="B4788" s="417" t="s">
        <v>691</v>
      </c>
      <c r="C4788" s="83">
        <v>46052</v>
      </c>
      <c r="D4788" s="417" t="s">
        <v>313</v>
      </c>
      <c r="E4788">
        <v>1363.56506666667</v>
      </c>
      <c r="F4788">
        <v>23</v>
      </c>
      <c r="G4788">
        <v>59.285437681159401</v>
      </c>
      <c r="H4788">
        <v>9.3166666666666703E-2</v>
      </c>
      <c r="I4788">
        <v>78.892302430087895</v>
      </c>
    </row>
    <row r="4789" spans="1:9" x14ac:dyDescent="0.35">
      <c r="A4789" s="417" t="s">
        <v>846</v>
      </c>
      <c r="B4789" s="417" t="s">
        <v>691</v>
      </c>
      <c r="C4789" s="83">
        <v>46052</v>
      </c>
      <c r="D4789" s="417" t="s">
        <v>314</v>
      </c>
      <c r="E4789">
        <v>1350.00436666667</v>
      </c>
      <c r="F4789">
        <v>17</v>
      </c>
      <c r="G4789">
        <v>79.412021568627395</v>
      </c>
      <c r="H4789">
        <v>9.4634166666666708</v>
      </c>
      <c r="I4789">
        <v>53.683669307282301</v>
      </c>
    </row>
    <row r="4790" spans="1:9" x14ac:dyDescent="0.35">
      <c r="A4790" s="417" t="s">
        <v>846</v>
      </c>
      <c r="B4790" s="417" t="s">
        <v>691</v>
      </c>
      <c r="C4790" s="83">
        <v>46052</v>
      </c>
      <c r="D4790" s="417" t="s">
        <v>317</v>
      </c>
      <c r="E4790">
        <v>1425.4816000000001</v>
      </c>
      <c r="F4790">
        <v>4</v>
      </c>
      <c r="G4790">
        <v>356.37040000000002</v>
      </c>
      <c r="H4790">
        <v>0.26218333333333299</v>
      </c>
      <c r="I4790">
        <v>50.185254487896302</v>
      </c>
    </row>
    <row r="4791" spans="1:9" x14ac:dyDescent="0.35">
      <c r="A4791" s="417" t="s">
        <v>846</v>
      </c>
      <c r="B4791" s="417" t="s">
        <v>691</v>
      </c>
      <c r="C4791" s="83">
        <v>46052</v>
      </c>
      <c r="D4791" s="417" t="s">
        <v>504</v>
      </c>
      <c r="E4791">
        <v>1440</v>
      </c>
      <c r="F4791">
        <v>1</v>
      </c>
      <c r="G4791">
        <v>1440</v>
      </c>
      <c r="H4791">
        <v>0</v>
      </c>
      <c r="I4791">
        <v>32.7316358024691</v>
      </c>
    </row>
    <row r="4792" spans="1:9" x14ac:dyDescent="0.35">
      <c r="A4792" s="417" t="s">
        <v>846</v>
      </c>
      <c r="B4792" s="417" t="s">
        <v>676</v>
      </c>
      <c r="C4792" s="83">
        <v>46051</v>
      </c>
      <c r="D4792" s="417" t="s">
        <v>677</v>
      </c>
      <c r="E4792">
        <v>2710.7401</v>
      </c>
      <c r="F4792">
        <v>443</v>
      </c>
      <c r="G4792">
        <v>6.1190521444695296</v>
      </c>
      <c r="H4792">
        <v>169.25989999999999</v>
      </c>
      <c r="I4792">
        <v>51.784999999999897</v>
      </c>
    </row>
    <row r="4793" spans="1:9" x14ac:dyDescent="0.35">
      <c r="A4793" s="417" t="s">
        <v>846</v>
      </c>
      <c r="B4793" s="417" t="s">
        <v>676</v>
      </c>
      <c r="C4793" s="83">
        <v>46051</v>
      </c>
      <c r="D4793" s="417" t="s">
        <v>679</v>
      </c>
      <c r="E4793">
        <v>2738.30956666667</v>
      </c>
      <c r="F4793">
        <v>41</v>
      </c>
      <c r="G4793">
        <v>66.788038211382101</v>
      </c>
      <c r="H4793">
        <v>39.307666666666698</v>
      </c>
      <c r="I4793">
        <v>100.110986014548</v>
      </c>
    </row>
    <row r="4794" spans="1:9" x14ac:dyDescent="0.35">
      <c r="A4794" s="417" t="s">
        <v>846</v>
      </c>
      <c r="B4794" s="417" t="s">
        <v>680</v>
      </c>
      <c r="C4794" s="83">
        <v>46051</v>
      </c>
      <c r="D4794" s="417" t="s">
        <v>684</v>
      </c>
      <c r="E4794">
        <v>2785.0297</v>
      </c>
      <c r="F4794">
        <v>103</v>
      </c>
      <c r="G4794">
        <v>27.0391233009709</v>
      </c>
      <c r="H4794">
        <v>47.304200000000002</v>
      </c>
      <c r="I4794">
        <v>73.991709206187707</v>
      </c>
    </row>
    <row r="4795" spans="1:9" x14ac:dyDescent="0.35">
      <c r="A4795" s="417" t="s">
        <v>846</v>
      </c>
      <c r="B4795" s="417" t="s">
        <v>680</v>
      </c>
      <c r="C4795" s="83">
        <v>46051</v>
      </c>
      <c r="D4795" s="417" t="s">
        <v>681</v>
      </c>
      <c r="E4795">
        <v>2784.0497999999998</v>
      </c>
      <c r="F4795">
        <v>79</v>
      </c>
      <c r="G4795">
        <v>35.2411367088608</v>
      </c>
      <c r="H4795">
        <v>0</v>
      </c>
      <c r="I4795">
        <v>63.955496357190398</v>
      </c>
    </row>
    <row r="4796" spans="1:9" x14ac:dyDescent="0.35">
      <c r="A4796" s="417" t="s">
        <v>846</v>
      </c>
      <c r="B4796" s="417" t="s">
        <v>680</v>
      </c>
      <c r="C4796" s="83">
        <v>46051</v>
      </c>
      <c r="D4796" s="417" t="s">
        <v>689</v>
      </c>
      <c r="E4796">
        <v>2676.0900999999999</v>
      </c>
      <c r="F4796">
        <v>79</v>
      </c>
      <c r="G4796">
        <v>33.874558227848098</v>
      </c>
      <c r="H4796">
        <v>20.320900000000002</v>
      </c>
      <c r="I4796">
        <v>55.866939033596701</v>
      </c>
    </row>
    <row r="4797" spans="1:9" x14ac:dyDescent="0.35">
      <c r="A4797" s="417" t="s">
        <v>846</v>
      </c>
      <c r="B4797" s="417" t="s">
        <v>680</v>
      </c>
      <c r="C4797" s="83">
        <v>46051</v>
      </c>
      <c r="D4797" s="417" t="s">
        <v>683</v>
      </c>
      <c r="E4797">
        <v>2729.7253000000001</v>
      </c>
      <c r="F4797">
        <v>71</v>
      </c>
      <c r="G4797">
        <v>38.446835211267597</v>
      </c>
      <c r="H4797">
        <v>1.3339000000000001</v>
      </c>
      <c r="I4797">
        <v>65.009445771361797</v>
      </c>
    </row>
    <row r="4798" spans="1:9" x14ac:dyDescent="0.35">
      <c r="A4798" s="417" t="s">
        <v>846</v>
      </c>
      <c r="B4798" s="417" t="s">
        <v>680</v>
      </c>
      <c r="C4798" s="83">
        <v>46051</v>
      </c>
      <c r="D4798" s="417" t="s">
        <v>685</v>
      </c>
      <c r="E4798">
        <v>2716.6010666666698</v>
      </c>
      <c r="F4798">
        <v>45</v>
      </c>
      <c r="G4798">
        <v>60.368912592592601</v>
      </c>
      <c r="H4798">
        <v>12.6683</v>
      </c>
      <c r="I4798">
        <v>47.986270833781603</v>
      </c>
    </row>
    <row r="4799" spans="1:9" x14ac:dyDescent="0.35">
      <c r="A4799" s="417" t="s">
        <v>846</v>
      </c>
      <c r="B4799" s="417" t="s">
        <v>680</v>
      </c>
      <c r="C4799" s="83">
        <v>46051</v>
      </c>
      <c r="D4799" s="417" t="s">
        <v>682</v>
      </c>
      <c r="E4799">
        <v>2858.3807999999999</v>
      </c>
      <c r="F4799">
        <v>33</v>
      </c>
      <c r="G4799">
        <v>86.617599999999996</v>
      </c>
      <c r="H4799">
        <v>21.619199999999999</v>
      </c>
      <c r="I4799">
        <v>71.949404761904802</v>
      </c>
    </row>
    <row r="4800" spans="1:9" x14ac:dyDescent="0.35">
      <c r="A4800" s="417" t="s">
        <v>846</v>
      </c>
      <c r="B4800" s="417" t="s">
        <v>680</v>
      </c>
      <c r="C4800" s="83">
        <v>46051</v>
      </c>
      <c r="D4800" s="417" t="s">
        <v>690</v>
      </c>
      <c r="E4800">
        <v>2843.6700666666702</v>
      </c>
      <c r="F4800">
        <v>19</v>
      </c>
      <c r="G4800">
        <v>149.666845614035</v>
      </c>
      <c r="H4800">
        <v>13.653266666666701</v>
      </c>
      <c r="I4800">
        <v>62.9639640860306</v>
      </c>
    </row>
    <row r="4801" spans="1:9" x14ac:dyDescent="0.35">
      <c r="A4801" s="417" t="s">
        <v>846</v>
      </c>
      <c r="B4801" s="417" t="s">
        <v>680</v>
      </c>
      <c r="C4801" s="83">
        <v>46051</v>
      </c>
      <c r="D4801" s="417" t="s">
        <v>687</v>
      </c>
      <c r="E4801">
        <v>2856.2332999999999</v>
      </c>
      <c r="F4801">
        <v>17</v>
      </c>
      <c r="G4801">
        <v>168.013723529412</v>
      </c>
      <c r="H4801">
        <v>20.082899999999999</v>
      </c>
      <c r="I4801">
        <v>38.632509238487799</v>
      </c>
    </row>
    <row r="4802" spans="1:9" x14ac:dyDescent="0.35">
      <c r="A4802" s="417" t="s">
        <v>846</v>
      </c>
      <c r="B4802" s="417" t="s">
        <v>680</v>
      </c>
      <c r="C4802" s="83">
        <v>46051</v>
      </c>
      <c r="D4802" s="417" t="s">
        <v>688</v>
      </c>
      <c r="E4802">
        <v>2849.3696666666701</v>
      </c>
      <c r="F4802">
        <v>9</v>
      </c>
      <c r="G4802">
        <v>316.59662962963</v>
      </c>
      <c r="H4802">
        <v>4.9968333333333304</v>
      </c>
      <c r="I4802">
        <v>62.608937228499997</v>
      </c>
    </row>
    <row r="4803" spans="1:9" x14ac:dyDescent="0.35">
      <c r="A4803" s="417" t="s">
        <v>846</v>
      </c>
      <c r="B4803" s="417" t="s">
        <v>680</v>
      </c>
      <c r="C4803" s="83">
        <v>46051</v>
      </c>
      <c r="D4803" s="417" t="s">
        <v>686</v>
      </c>
      <c r="E4803">
        <v>2880</v>
      </c>
      <c r="F4803">
        <v>1</v>
      </c>
      <c r="G4803">
        <v>2880</v>
      </c>
      <c r="H4803">
        <v>0</v>
      </c>
      <c r="I4803">
        <v>38.120129866071402</v>
      </c>
    </row>
    <row r="4804" spans="1:9" x14ac:dyDescent="0.35">
      <c r="A4804" s="417" t="s">
        <v>846</v>
      </c>
      <c r="B4804" s="417" t="s">
        <v>691</v>
      </c>
      <c r="C4804" s="83">
        <v>46051</v>
      </c>
      <c r="D4804" s="417" t="s">
        <v>305</v>
      </c>
      <c r="E4804">
        <v>2603.2065666666699</v>
      </c>
      <c r="F4804">
        <v>215</v>
      </c>
      <c r="G4804">
        <v>12.107937519379799</v>
      </c>
      <c r="H4804">
        <v>10.843533333333299</v>
      </c>
      <c r="I4804">
        <v>39.263977197088003</v>
      </c>
    </row>
    <row r="4805" spans="1:9" x14ac:dyDescent="0.35">
      <c r="A4805" s="417" t="s">
        <v>846</v>
      </c>
      <c r="B4805" s="417" t="s">
        <v>691</v>
      </c>
      <c r="C4805" s="83">
        <v>46051</v>
      </c>
      <c r="D4805" s="417" t="s">
        <v>342</v>
      </c>
      <c r="E4805">
        <v>2307.6376666666702</v>
      </c>
      <c r="F4805">
        <v>207</v>
      </c>
      <c r="G4805">
        <v>11.1480080515298</v>
      </c>
      <c r="H4805">
        <v>354.194433333333</v>
      </c>
      <c r="I4805">
        <v>34.315476190476097</v>
      </c>
    </row>
    <row r="4806" spans="1:9" x14ac:dyDescent="0.35">
      <c r="A4806" s="417" t="s">
        <v>846</v>
      </c>
      <c r="B4806" s="417" t="s">
        <v>691</v>
      </c>
      <c r="C4806" s="83">
        <v>46051</v>
      </c>
      <c r="D4806" s="417" t="s">
        <v>310</v>
      </c>
      <c r="E4806">
        <v>2552.6030000000001</v>
      </c>
      <c r="F4806">
        <v>199</v>
      </c>
      <c r="G4806">
        <v>12.8271507537688</v>
      </c>
      <c r="H4806">
        <v>16.3401666666667</v>
      </c>
      <c r="I4806">
        <v>43.583219251368199</v>
      </c>
    </row>
    <row r="4807" spans="1:9" x14ac:dyDescent="0.35">
      <c r="A4807" s="417" t="s">
        <v>846</v>
      </c>
      <c r="B4807" s="417" t="s">
        <v>691</v>
      </c>
      <c r="C4807" s="83">
        <v>46051</v>
      </c>
      <c r="D4807" s="417" t="s">
        <v>295</v>
      </c>
      <c r="E4807">
        <v>2687.9704000000002</v>
      </c>
      <c r="F4807">
        <v>167</v>
      </c>
      <c r="G4807">
        <v>16.095631137724499</v>
      </c>
      <c r="H4807">
        <v>0.91690000000000005</v>
      </c>
      <c r="I4807">
        <v>65.771412517557707</v>
      </c>
    </row>
    <row r="4808" spans="1:9" x14ac:dyDescent="0.35">
      <c r="A4808" s="417" t="s">
        <v>846</v>
      </c>
      <c r="B4808" s="417" t="s">
        <v>691</v>
      </c>
      <c r="C4808" s="83">
        <v>46051</v>
      </c>
      <c r="D4808" s="417" t="s">
        <v>301</v>
      </c>
      <c r="E4808">
        <v>2736.8920333333299</v>
      </c>
      <c r="F4808">
        <v>139</v>
      </c>
      <c r="G4808">
        <v>19.689870743405301</v>
      </c>
      <c r="H4808">
        <v>1.2491666666666701</v>
      </c>
      <c r="I4808">
        <v>60.970696820670497</v>
      </c>
    </row>
    <row r="4809" spans="1:9" x14ac:dyDescent="0.35">
      <c r="A4809" s="417" t="s">
        <v>846</v>
      </c>
      <c r="B4809" s="417" t="s">
        <v>691</v>
      </c>
      <c r="C4809" s="83">
        <v>46051</v>
      </c>
      <c r="D4809" s="417" t="s">
        <v>309</v>
      </c>
      <c r="E4809">
        <v>2731.2714666666702</v>
      </c>
      <c r="F4809">
        <v>133</v>
      </c>
      <c r="G4809">
        <v>20.535875689223101</v>
      </c>
      <c r="H4809">
        <v>0.14706666666666701</v>
      </c>
      <c r="I4809">
        <v>40.335745358799002</v>
      </c>
    </row>
    <row r="4810" spans="1:9" x14ac:dyDescent="0.35">
      <c r="A4810" s="417" t="s">
        <v>846</v>
      </c>
      <c r="B4810" s="417" t="s">
        <v>691</v>
      </c>
      <c r="C4810" s="83">
        <v>46051</v>
      </c>
      <c r="D4810" s="417" t="s">
        <v>303</v>
      </c>
      <c r="E4810">
        <v>2744.2326333333299</v>
      </c>
      <c r="F4810">
        <v>63</v>
      </c>
      <c r="G4810">
        <v>43.5592481481481</v>
      </c>
      <c r="H4810">
        <v>0.50180000000000002</v>
      </c>
      <c r="I4810">
        <v>60.666147822761197</v>
      </c>
    </row>
    <row r="4811" spans="1:9" x14ac:dyDescent="0.35">
      <c r="A4811" s="417" t="s">
        <v>846</v>
      </c>
      <c r="B4811" s="417" t="s">
        <v>691</v>
      </c>
      <c r="C4811" s="83">
        <v>46051</v>
      </c>
      <c r="D4811" s="417" t="s">
        <v>299</v>
      </c>
      <c r="E4811">
        <v>2765.154</v>
      </c>
      <c r="F4811">
        <v>59</v>
      </c>
      <c r="G4811">
        <v>46.8670169491525</v>
      </c>
      <c r="H4811">
        <v>1.1120333333333301</v>
      </c>
      <c r="I4811">
        <v>61.958195859058897</v>
      </c>
    </row>
    <row r="4812" spans="1:9" x14ac:dyDescent="0.35">
      <c r="A4812" s="417" t="s">
        <v>846</v>
      </c>
      <c r="B4812" s="417" t="s">
        <v>691</v>
      </c>
      <c r="C4812" s="83">
        <v>46051</v>
      </c>
      <c r="D4812" s="417" t="s">
        <v>314</v>
      </c>
      <c r="E4812">
        <v>2816.0686999999998</v>
      </c>
      <c r="F4812">
        <v>33</v>
      </c>
      <c r="G4812">
        <v>85.335415151515207</v>
      </c>
      <c r="H4812">
        <v>1.4279333333333299</v>
      </c>
      <c r="I4812">
        <v>44.020195389517198</v>
      </c>
    </row>
    <row r="4813" spans="1:9" x14ac:dyDescent="0.35">
      <c r="A4813" s="417" t="s">
        <v>846</v>
      </c>
      <c r="B4813" s="417" t="s">
        <v>691</v>
      </c>
      <c r="C4813" s="83">
        <v>46051</v>
      </c>
      <c r="D4813" s="417" t="s">
        <v>313</v>
      </c>
      <c r="E4813">
        <v>2364.5020666666701</v>
      </c>
      <c r="F4813">
        <v>17</v>
      </c>
      <c r="G4813">
        <v>139.088356862745</v>
      </c>
      <c r="H4813">
        <v>8.3429333333333293</v>
      </c>
      <c r="I4813">
        <v>50.927459337885097</v>
      </c>
    </row>
    <row r="4814" spans="1:9" x14ac:dyDescent="0.35">
      <c r="A4814" s="417" t="s">
        <v>846</v>
      </c>
      <c r="B4814" s="417" t="s">
        <v>691</v>
      </c>
      <c r="C4814" s="83">
        <v>46051</v>
      </c>
      <c r="D4814" s="417" t="s">
        <v>317</v>
      </c>
      <c r="E4814">
        <v>2835.3087666666702</v>
      </c>
      <c r="F4814">
        <v>7</v>
      </c>
      <c r="G4814">
        <v>405.04410952380999</v>
      </c>
      <c r="H4814">
        <v>6.9545666666666701</v>
      </c>
      <c r="I4814">
        <v>43.9326892429211</v>
      </c>
    </row>
    <row r="4815" spans="1:9" x14ac:dyDescent="0.35">
      <c r="A4815" s="417" t="s">
        <v>846</v>
      </c>
      <c r="B4815" s="417" t="s">
        <v>691</v>
      </c>
      <c r="C4815" s="83">
        <v>46051</v>
      </c>
      <c r="D4815" s="417" t="s">
        <v>504</v>
      </c>
      <c r="E4815">
        <v>2880</v>
      </c>
      <c r="F4815">
        <v>1</v>
      </c>
      <c r="G4815">
        <v>2880</v>
      </c>
      <c r="H4815">
        <v>0</v>
      </c>
      <c r="I4815">
        <v>31.513580246913602</v>
      </c>
    </row>
    <row r="4816" spans="1:9" x14ac:dyDescent="0.35">
      <c r="A4816" s="417" t="s">
        <v>846</v>
      </c>
      <c r="B4816" s="417" t="s">
        <v>676</v>
      </c>
      <c r="C4816" s="83">
        <v>46050</v>
      </c>
      <c r="D4816" s="417" t="s">
        <v>677</v>
      </c>
      <c r="E4816">
        <v>1279.49585</v>
      </c>
      <c r="F4816">
        <v>305</v>
      </c>
      <c r="G4816">
        <v>4.19506836065574</v>
      </c>
      <c r="H4816">
        <v>142.83666666666701</v>
      </c>
      <c r="I4816">
        <v>46.2083333333333</v>
      </c>
    </row>
    <row r="4817" spans="1:9" x14ac:dyDescent="0.35">
      <c r="A4817" s="417" t="s">
        <v>846</v>
      </c>
      <c r="B4817" s="417" t="s">
        <v>676</v>
      </c>
      <c r="C4817" s="83">
        <v>46050</v>
      </c>
      <c r="D4817" s="417" t="s">
        <v>679</v>
      </c>
      <c r="E4817">
        <v>1352.50315</v>
      </c>
      <c r="F4817">
        <v>33</v>
      </c>
      <c r="G4817">
        <v>40.984943939393901</v>
      </c>
      <c r="H4817">
        <v>31.481583333333301</v>
      </c>
      <c r="I4817">
        <v>88.371398701845095</v>
      </c>
    </row>
    <row r="4818" spans="1:9" x14ac:dyDescent="0.35">
      <c r="A4818" s="417" t="s">
        <v>846</v>
      </c>
      <c r="B4818" s="417" t="s">
        <v>680</v>
      </c>
      <c r="C4818" s="83">
        <v>46050</v>
      </c>
      <c r="D4818" s="417" t="s">
        <v>684</v>
      </c>
      <c r="E4818">
        <v>1410.14895</v>
      </c>
      <c r="F4818">
        <v>58</v>
      </c>
      <c r="G4818">
        <v>24.3129129310345</v>
      </c>
      <c r="H4818">
        <v>22.523716666666701</v>
      </c>
      <c r="I4818">
        <v>57.208208559149597</v>
      </c>
    </row>
    <row r="4819" spans="1:9" x14ac:dyDescent="0.35">
      <c r="A4819" s="417" t="s">
        <v>846</v>
      </c>
      <c r="B4819" s="417" t="s">
        <v>680</v>
      </c>
      <c r="C4819" s="83">
        <v>46050</v>
      </c>
      <c r="D4819" s="417" t="s">
        <v>681</v>
      </c>
      <c r="E4819">
        <v>1359.6664499999999</v>
      </c>
      <c r="F4819">
        <v>45</v>
      </c>
      <c r="G4819">
        <v>30.21481</v>
      </c>
      <c r="H4819">
        <v>2.0001833333333301</v>
      </c>
      <c r="I4819">
        <v>45.531353464019702</v>
      </c>
    </row>
    <row r="4820" spans="1:9" x14ac:dyDescent="0.35">
      <c r="A4820" s="417" t="s">
        <v>846</v>
      </c>
      <c r="B4820" s="417" t="s">
        <v>680</v>
      </c>
      <c r="C4820" s="83">
        <v>46050</v>
      </c>
      <c r="D4820" s="417" t="s">
        <v>689</v>
      </c>
      <c r="E4820">
        <v>1401.6695999999999</v>
      </c>
      <c r="F4820">
        <v>42</v>
      </c>
      <c r="G4820">
        <v>33.3730857142857</v>
      </c>
      <c r="H4820">
        <v>0.166866666666667</v>
      </c>
      <c r="I4820">
        <v>51.513499357935601</v>
      </c>
    </row>
    <row r="4821" spans="1:9" x14ac:dyDescent="0.35">
      <c r="A4821" s="417" t="s">
        <v>846</v>
      </c>
      <c r="B4821" s="417" t="s">
        <v>680</v>
      </c>
      <c r="C4821" s="83">
        <v>46050</v>
      </c>
      <c r="D4821" s="417" t="s">
        <v>683</v>
      </c>
      <c r="E4821">
        <v>1371.038</v>
      </c>
      <c r="F4821">
        <v>30</v>
      </c>
      <c r="G4821">
        <v>45.701266666666697</v>
      </c>
      <c r="H4821">
        <v>0</v>
      </c>
      <c r="I4821">
        <v>50.926845189332703</v>
      </c>
    </row>
    <row r="4822" spans="1:9" x14ac:dyDescent="0.35">
      <c r="A4822" s="417" t="s">
        <v>846</v>
      </c>
      <c r="B4822" s="417" t="s">
        <v>680</v>
      </c>
      <c r="C4822" s="83">
        <v>46050</v>
      </c>
      <c r="D4822" s="417" t="s">
        <v>687</v>
      </c>
      <c r="E4822">
        <v>1384.7539833333301</v>
      </c>
      <c r="F4822">
        <v>23</v>
      </c>
      <c r="G4822">
        <v>60.206694927536198</v>
      </c>
      <c r="H4822">
        <v>30.403883333333301</v>
      </c>
      <c r="I4822">
        <v>26.125277138042101</v>
      </c>
    </row>
    <row r="4823" spans="1:9" x14ac:dyDescent="0.35">
      <c r="A4823" s="417" t="s">
        <v>846</v>
      </c>
      <c r="B4823" s="417" t="s">
        <v>680</v>
      </c>
      <c r="C4823" s="83">
        <v>46050</v>
      </c>
      <c r="D4823" s="417" t="s">
        <v>682</v>
      </c>
      <c r="E4823">
        <v>1434.1647</v>
      </c>
      <c r="F4823">
        <v>8</v>
      </c>
      <c r="G4823">
        <v>179.2705875</v>
      </c>
      <c r="H4823">
        <v>5.8353000000000002</v>
      </c>
      <c r="I4823">
        <v>52.182539682539698</v>
      </c>
    </row>
    <row r="4824" spans="1:9" x14ac:dyDescent="0.35">
      <c r="A4824" s="417" t="s">
        <v>846</v>
      </c>
      <c r="B4824" s="417" t="s">
        <v>680</v>
      </c>
      <c r="C4824" s="83">
        <v>46050</v>
      </c>
      <c r="D4824" s="417" t="s">
        <v>688</v>
      </c>
      <c r="E4824">
        <v>1069.6433666666701</v>
      </c>
      <c r="F4824">
        <v>5</v>
      </c>
      <c r="G4824">
        <v>213.92867333333299</v>
      </c>
      <c r="H4824">
        <v>4.01413333333333</v>
      </c>
      <c r="I4824">
        <v>52.074485497121799</v>
      </c>
    </row>
    <row r="4825" spans="1:9" x14ac:dyDescent="0.35">
      <c r="A4825" s="417" t="s">
        <v>846</v>
      </c>
      <c r="B4825" s="417" t="s">
        <v>680</v>
      </c>
      <c r="C4825" s="83">
        <v>46050</v>
      </c>
      <c r="D4825" s="417" t="s">
        <v>685</v>
      </c>
      <c r="E4825">
        <v>1141.4664</v>
      </c>
      <c r="F4825">
        <v>5</v>
      </c>
      <c r="G4825">
        <v>228.29328000000001</v>
      </c>
      <c r="H4825">
        <v>0.17296666666666699</v>
      </c>
      <c r="I4825">
        <v>61.937688456452904</v>
      </c>
    </row>
    <row r="4826" spans="1:9" x14ac:dyDescent="0.35">
      <c r="A4826" s="417" t="s">
        <v>846</v>
      </c>
      <c r="B4826" s="417" t="s">
        <v>680</v>
      </c>
      <c r="C4826" s="83">
        <v>46050</v>
      </c>
      <c r="D4826" s="417" t="s">
        <v>690</v>
      </c>
      <c r="E4826">
        <v>1434.99155</v>
      </c>
      <c r="F4826">
        <v>4</v>
      </c>
      <c r="G4826">
        <v>358.74788749999999</v>
      </c>
      <c r="H4826">
        <v>2.0075333333333298</v>
      </c>
      <c r="I4826">
        <v>49.264371817581498</v>
      </c>
    </row>
    <row r="4827" spans="1:9" x14ac:dyDescent="0.35">
      <c r="A4827" s="417" t="s">
        <v>846</v>
      </c>
      <c r="B4827" s="417" t="s">
        <v>680</v>
      </c>
      <c r="C4827" s="83">
        <v>46050</v>
      </c>
      <c r="D4827" s="417" t="s">
        <v>686</v>
      </c>
      <c r="E4827">
        <v>1440</v>
      </c>
      <c r="F4827">
        <v>1</v>
      </c>
      <c r="G4827">
        <v>1440</v>
      </c>
      <c r="H4827">
        <v>0</v>
      </c>
      <c r="I4827">
        <v>24.925595238095202</v>
      </c>
    </row>
    <row r="4828" spans="1:9" x14ac:dyDescent="0.35">
      <c r="A4828" s="417" t="s">
        <v>846</v>
      </c>
      <c r="B4828" s="417" t="s">
        <v>691</v>
      </c>
      <c r="C4828" s="83">
        <v>46050</v>
      </c>
      <c r="D4828" s="417" t="s">
        <v>305</v>
      </c>
      <c r="E4828">
        <v>1280.72581666667</v>
      </c>
      <c r="F4828">
        <v>128</v>
      </c>
      <c r="G4828">
        <v>10.005670442708301</v>
      </c>
      <c r="H4828">
        <v>11.00665</v>
      </c>
      <c r="I4828">
        <v>41.25944089024</v>
      </c>
    </row>
    <row r="4829" spans="1:9" x14ac:dyDescent="0.35">
      <c r="A4829" s="417" t="s">
        <v>846</v>
      </c>
      <c r="B4829" s="417" t="s">
        <v>691</v>
      </c>
      <c r="C4829" s="83">
        <v>46050</v>
      </c>
      <c r="D4829" s="417" t="s">
        <v>342</v>
      </c>
      <c r="E4829">
        <v>1195.296</v>
      </c>
      <c r="F4829">
        <v>105</v>
      </c>
      <c r="G4829">
        <v>11.3837714285714</v>
      </c>
      <c r="H4829">
        <v>171.02336666666699</v>
      </c>
      <c r="I4829">
        <v>32.688492063491999</v>
      </c>
    </row>
    <row r="4830" spans="1:9" x14ac:dyDescent="0.35">
      <c r="A4830" s="417" t="s">
        <v>846</v>
      </c>
      <c r="B4830" s="417" t="s">
        <v>691</v>
      </c>
      <c r="C4830" s="83">
        <v>46050</v>
      </c>
      <c r="D4830" s="417" t="s">
        <v>295</v>
      </c>
      <c r="E4830">
        <v>1345.7290333333301</v>
      </c>
      <c r="F4830">
        <v>81</v>
      </c>
      <c r="G4830">
        <v>16.6139386831276</v>
      </c>
      <c r="H4830">
        <v>1.24176666666667</v>
      </c>
      <c r="I4830">
        <v>59.696587813960903</v>
      </c>
    </row>
    <row r="4831" spans="1:9" x14ac:dyDescent="0.35">
      <c r="A4831" s="417" t="s">
        <v>846</v>
      </c>
      <c r="B4831" s="417" t="s">
        <v>691</v>
      </c>
      <c r="C4831" s="83">
        <v>46050</v>
      </c>
      <c r="D4831" s="417" t="s">
        <v>301</v>
      </c>
      <c r="E4831">
        <v>1338.25505</v>
      </c>
      <c r="F4831">
        <v>57</v>
      </c>
      <c r="G4831">
        <v>23.478158771929799</v>
      </c>
      <c r="H4831">
        <v>2.07703333333333</v>
      </c>
      <c r="I4831">
        <v>55.4520918072798</v>
      </c>
    </row>
    <row r="4832" spans="1:9" x14ac:dyDescent="0.35">
      <c r="A4832" s="417" t="s">
        <v>846</v>
      </c>
      <c r="B4832" s="417" t="s">
        <v>691</v>
      </c>
      <c r="C4832" s="83">
        <v>46050</v>
      </c>
      <c r="D4832" s="417" t="s">
        <v>303</v>
      </c>
      <c r="E4832">
        <v>1321.4048666666699</v>
      </c>
      <c r="F4832">
        <v>48</v>
      </c>
      <c r="G4832">
        <v>27.529268055555601</v>
      </c>
      <c r="H4832">
        <v>0.39851666666666702</v>
      </c>
      <c r="I4832">
        <v>51.807670855078797</v>
      </c>
    </row>
    <row r="4833" spans="1:9" x14ac:dyDescent="0.35">
      <c r="A4833" s="417" t="s">
        <v>846</v>
      </c>
      <c r="B4833" s="417" t="s">
        <v>691</v>
      </c>
      <c r="C4833" s="83">
        <v>46050</v>
      </c>
      <c r="D4833" s="417" t="s">
        <v>309</v>
      </c>
      <c r="E4833">
        <v>1375.9495666666701</v>
      </c>
      <c r="F4833">
        <v>44</v>
      </c>
      <c r="G4833">
        <v>31.271581060606099</v>
      </c>
      <c r="H4833">
        <v>0</v>
      </c>
      <c r="I4833">
        <v>40.5221877507051</v>
      </c>
    </row>
    <row r="4834" spans="1:9" x14ac:dyDescent="0.35">
      <c r="A4834" s="417" t="s">
        <v>846</v>
      </c>
      <c r="B4834" s="417" t="s">
        <v>691</v>
      </c>
      <c r="C4834" s="83">
        <v>46050</v>
      </c>
      <c r="D4834" s="417" t="s">
        <v>299</v>
      </c>
      <c r="E4834">
        <v>1393.8860833333299</v>
      </c>
      <c r="F4834">
        <v>24</v>
      </c>
      <c r="G4834">
        <v>58.078586805555602</v>
      </c>
      <c r="H4834">
        <v>0.56474999999999997</v>
      </c>
      <c r="I4834">
        <v>66.045629928063704</v>
      </c>
    </row>
    <row r="4835" spans="1:9" x14ac:dyDescent="0.35">
      <c r="A4835" s="417" t="s">
        <v>846</v>
      </c>
      <c r="B4835" s="417" t="s">
        <v>691</v>
      </c>
      <c r="C4835" s="83">
        <v>46050</v>
      </c>
      <c r="D4835" s="417" t="s">
        <v>310</v>
      </c>
      <c r="E4835">
        <v>1385.46368333333</v>
      </c>
      <c r="F4835">
        <v>22</v>
      </c>
      <c r="G4835">
        <v>62.975621969697002</v>
      </c>
      <c r="H4835">
        <v>6.7192833333333297</v>
      </c>
      <c r="I4835">
        <v>33.280665555810799</v>
      </c>
    </row>
    <row r="4836" spans="1:9" x14ac:dyDescent="0.35">
      <c r="A4836" s="417" t="s">
        <v>846</v>
      </c>
      <c r="B4836" s="417" t="s">
        <v>691</v>
      </c>
      <c r="C4836" s="83">
        <v>46050</v>
      </c>
      <c r="D4836" s="417" t="s">
        <v>314</v>
      </c>
      <c r="E4836">
        <v>1415.53428333333</v>
      </c>
      <c r="F4836">
        <v>7</v>
      </c>
      <c r="G4836">
        <v>202.21918333333301</v>
      </c>
      <c r="H4836">
        <v>1.85476666666667</v>
      </c>
      <c r="I4836">
        <v>30.5593598462426</v>
      </c>
    </row>
    <row r="4837" spans="1:9" x14ac:dyDescent="0.35">
      <c r="A4837" s="417" t="s">
        <v>846</v>
      </c>
      <c r="B4837" s="417" t="s">
        <v>691</v>
      </c>
      <c r="C4837" s="83">
        <v>46050</v>
      </c>
      <c r="D4837" s="417" t="s">
        <v>317</v>
      </c>
      <c r="E4837">
        <v>1438.80498333333</v>
      </c>
      <c r="F4837">
        <v>2</v>
      </c>
      <c r="G4837">
        <v>719.40249166666695</v>
      </c>
      <c r="H4837">
        <v>1.12713333333333</v>
      </c>
      <c r="I4837">
        <v>29.0499805621624</v>
      </c>
    </row>
    <row r="4838" spans="1:9" x14ac:dyDescent="0.35">
      <c r="A4838" s="417" t="s">
        <v>846</v>
      </c>
      <c r="B4838" s="417" t="s">
        <v>691</v>
      </c>
      <c r="C4838" s="83">
        <v>46050</v>
      </c>
      <c r="D4838" s="417" t="s">
        <v>313</v>
      </c>
      <c r="E4838">
        <v>1361.63285</v>
      </c>
      <c r="F4838">
        <v>2</v>
      </c>
      <c r="G4838">
        <v>680.81642499999998</v>
      </c>
      <c r="H4838">
        <v>6.7400000000000002E-2</v>
      </c>
      <c r="I4838">
        <v>40.060211489276</v>
      </c>
    </row>
    <row r="4839" spans="1:9" x14ac:dyDescent="0.35">
      <c r="A4839" s="417" t="s">
        <v>846</v>
      </c>
      <c r="B4839" s="417" t="s">
        <v>691</v>
      </c>
      <c r="C4839" s="83">
        <v>46050</v>
      </c>
      <c r="D4839" s="417" t="s">
        <v>504</v>
      </c>
      <c r="E4839">
        <v>1440</v>
      </c>
      <c r="F4839">
        <v>1</v>
      </c>
      <c r="G4839">
        <v>1440</v>
      </c>
      <c r="H4839">
        <v>0</v>
      </c>
      <c r="I4839">
        <v>33.021141975308701</v>
      </c>
    </row>
    <row r="4840" spans="1:9" x14ac:dyDescent="0.35">
      <c r="A4840" s="417" t="s">
        <v>846</v>
      </c>
      <c r="B4840" s="417" t="s">
        <v>676</v>
      </c>
      <c r="C4840" s="83">
        <v>46049</v>
      </c>
      <c r="D4840" s="417" t="s">
        <v>677</v>
      </c>
      <c r="E4840">
        <v>816.11108333333402</v>
      </c>
      <c r="F4840">
        <v>256</v>
      </c>
      <c r="G4840">
        <v>3.1879339192708298</v>
      </c>
      <c r="H4840">
        <v>150.21631666666701</v>
      </c>
      <c r="I4840">
        <v>26.713333333333299</v>
      </c>
    </row>
    <row r="4841" spans="1:9" x14ac:dyDescent="0.35">
      <c r="A4841" s="417" t="s">
        <v>846</v>
      </c>
      <c r="B4841" s="417" t="s">
        <v>676</v>
      </c>
      <c r="C4841" s="83">
        <v>46049</v>
      </c>
      <c r="D4841" s="417" t="s">
        <v>679</v>
      </c>
      <c r="E4841">
        <v>609.93821666666702</v>
      </c>
      <c r="F4841">
        <v>13</v>
      </c>
      <c r="G4841">
        <v>46.918324358974402</v>
      </c>
      <c r="H4841">
        <v>8.5093333333333305</v>
      </c>
      <c r="I4841">
        <v>76.685026348098006</v>
      </c>
    </row>
    <row r="4842" spans="1:9" x14ac:dyDescent="0.35">
      <c r="A4842" s="417" t="s">
        <v>846</v>
      </c>
      <c r="B4842" s="417" t="s">
        <v>680</v>
      </c>
      <c r="C4842" s="83">
        <v>46049</v>
      </c>
      <c r="D4842" s="417" t="s">
        <v>683</v>
      </c>
      <c r="E4842">
        <v>930.83645000000001</v>
      </c>
      <c r="F4842">
        <v>50</v>
      </c>
      <c r="G4842">
        <v>18.616728999999999</v>
      </c>
      <c r="H4842">
        <v>2.5059833333333299</v>
      </c>
      <c r="I4842">
        <v>22.619664580007999</v>
      </c>
    </row>
    <row r="4843" spans="1:9" x14ac:dyDescent="0.35">
      <c r="A4843" s="417" t="s">
        <v>846</v>
      </c>
      <c r="B4843" s="417" t="s">
        <v>680</v>
      </c>
      <c r="C4843" s="83">
        <v>46049</v>
      </c>
      <c r="D4843" s="417" t="s">
        <v>684</v>
      </c>
      <c r="E4843">
        <v>833.38184999999999</v>
      </c>
      <c r="F4843">
        <v>39</v>
      </c>
      <c r="G4843">
        <v>21.368765384615401</v>
      </c>
      <c r="H4843">
        <v>14.263533333333299</v>
      </c>
      <c r="I4843">
        <v>21.172661187485801</v>
      </c>
    </row>
    <row r="4844" spans="1:9" x14ac:dyDescent="0.35">
      <c r="A4844" s="417" t="s">
        <v>846</v>
      </c>
      <c r="B4844" s="417" t="s">
        <v>680</v>
      </c>
      <c r="C4844" s="83">
        <v>46049</v>
      </c>
      <c r="D4844" s="417" t="s">
        <v>689</v>
      </c>
      <c r="E4844">
        <v>1057.5689333333301</v>
      </c>
      <c r="F4844">
        <v>31</v>
      </c>
      <c r="G4844">
        <v>34.1151268817204</v>
      </c>
      <c r="H4844">
        <v>0</v>
      </c>
      <c r="I4844">
        <v>18.760833897044101</v>
      </c>
    </row>
    <row r="4845" spans="1:9" x14ac:dyDescent="0.35">
      <c r="A4845" s="417" t="s">
        <v>846</v>
      </c>
      <c r="B4845" s="417" t="s">
        <v>680</v>
      </c>
      <c r="C4845" s="83">
        <v>46049</v>
      </c>
      <c r="D4845" s="417" t="s">
        <v>681</v>
      </c>
      <c r="E4845">
        <v>1008.64631666667</v>
      </c>
      <c r="F4845">
        <v>30</v>
      </c>
      <c r="G4845">
        <v>33.621543888888901</v>
      </c>
      <c r="H4845">
        <v>0</v>
      </c>
      <c r="I4845">
        <v>21.807820177004899</v>
      </c>
    </row>
    <row r="4846" spans="1:9" x14ac:dyDescent="0.35">
      <c r="A4846" s="417" t="s">
        <v>846</v>
      </c>
      <c r="B4846" s="417" t="s">
        <v>680</v>
      </c>
      <c r="C4846" s="83">
        <v>46049</v>
      </c>
      <c r="D4846" s="417" t="s">
        <v>687</v>
      </c>
      <c r="E4846">
        <v>814.83516666666696</v>
      </c>
      <c r="F4846">
        <v>13</v>
      </c>
      <c r="G4846">
        <v>62.679628205128203</v>
      </c>
      <c r="H4846">
        <v>14.999750000000001</v>
      </c>
      <c r="I4846">
        <v>21.003571920677</v>
      </c>
    </row>
    <row r="4847" spans="1:9" x14ac:dyDescent="0.35">
      <c r="A4847" s="417" t="s">
        <v>846</v>
      </c>
      <c r="B4847" s="417" t="s">
        <v>680</v>
      </c>
      <c r="C4847" s="83">
        <v>46049</v>
      </c>
      <c r="D4847" s="417" t="s">
        <v>682</v>
      </c>
      <c r="E4847">
        <v>1067.17286666667</v>
      </c>
      <c r="F4847">
        <v>6</v>
      </c>
      <c r="G4847">
        <v>177.862144444444</v>
      </c>
      <c r="H4847">
        <v>12.8271333333333</v>
      </c>
      <c r="I4847">
        <v>16.276455026455</v>
      </c>
    </row>
    <row r="4848" spans="1:9" x14ac:dyDescent="0.35">
      <c r="A4848" s="417" t="s">
        <v>846</v>
      </c>
      <c r="B4848" s="417" t="s">
        <v>680</v>
      </c>
      <c r="C4848" s="83">
        <v>46049</v>
      </c>
      <c r="D4848" s="417" t="s">
        <v>685</v>
      </c>
      <c r="E4848">
        <v>543.93028333333302</v>
      </c>
      <c r="F4848">
        <v>2</v>
      </c>
      <c r="G4848">
        <v>271.96514166666702</v>
      </c>
      <c r="H4848">
        <v>0</v>
      </c>
      <c r="I4848">
        <v>33.153918490096501</v>
      </c>
    </row>
    <row r="4849" spans="1:9" x14ac:dyDescent="0.35">
      <c r="A4849" s="417" t="s">
        <v>846</v>
      </c>
      <c r="B4849" s="417" t="s">
        <v>680</v>
      </c>
      <c r="C4849" s="83">
        <v>46049</v>
      </c>
      <c r="D4849" s="417" t="s">
        <v>686</v>
      </c>
      <c r="E4849">
        <v>1080</v>
      </c>
      <c r="F4849">
        <v>1</v>
      </c>
      <c r="G4849">
        <v>1080</v>
      </c>
      <c r="H4849">
        <v>0</v>
      </c>
      <c r="I4849">
        <v>14.4179894179894</v>
      </c>
    </row>
    <row r="4850" spans="1:9" x14ac:dyDescent="0.35">
      <c r="A4850" s="417" t="s">
        <v>846</v>
      </c>
      <c r="B4850" s="417" t="s">
        <v>680</v>
      </c>
      <c r="C4850" s="83">
        <v>46049</v>
      </c>
      <c r="D4850" s="417" t="s">
        <v>690</v>
      </c>
      <c r="E4850">
        <v>1074.99886666667</v>
      </c>
      <c r="F4850">
        <v>1</v>
      </c>
      <c r="G4850">
        <v>1074.99886666667</v>
      </c>
      <c r="H4850">
        <v>0</v>
      </c>
      <c r="I4850">
        <v>18.990053243112602</v>
      </c>
    </row>
    <row r="4851" spans="1:9" x14ac:dyDescent="0.35">
      <c r="A4851" s="417" t="s">
        <v>846</v>
      </c>
      <c r="B4851" s="417" t="s">
        <v>691</v>
      </c>
      <c r="C4851" s="83">
        <v>46049</v>
      </c>
      <c r="D4851" s="417" t="s">
        <v>342</v>
      </c>
      <c r="E4851">
        <v>474.07966666666698</v>
      </c>
      <c r="F4851">
        <v>42</v>
      </c>
      <c r="G4851">
        <v>11.287611111111101</v>
      </c>
      <c r="H4851">
        <v>95.115099999999998</v>
      </c>
      <c r="I4851">
        <v>14.8333333333333</v>
      </c>
    </row>
    <row r="4852" spans="1:9" x14ac:dyDescent="0.35">
      <c r="A4852" s="417" t="s">
        <v>846</v>
      </c>
      <c r="B4852" s="417" t="s">
        <v>691</v>
      </c>
      <c r="C4852" s="83">
        <v>46049</v>
      </c>
      <c r="D4852" s="417" t="s">
        <v>305</v>
      </c>
      <c r="E4852">
        <v>747.63601666666705</v>
      </c>
      <c r="F4852">
        <v>38</v>
      </c>
      <c r="G4852">
        <v>19.6746320175439</v>
      </c>
      <c r="H4852">
        <v>3.8779833333333298</v>
      </c>
      <c r="I4852">
        <v>24.5956462705775</v>
      </c>
    </row>
    <row r="4853" spans="1:9" x14ac:dyDescent="0.35">
      <c r="A4853" s="417" t="s">
        <v>846</v>
      </c>
      <c r="B4853" s="417" t="s">
        <v>691</v>
      </c>
      <c r="C4853" s="83">
        <v>46049</v>
      </c>
      <c r="D4853" s="417" t="s">
        <v>295</v>
      </c>
      <c r="E4853">
        <v>962.268816666666</v>
      </c>
      <c r="F4853">
        <v>27</v>
      </c>
      <c r="G4853">
        <v>35.639585802469099</v>
      </c>
      <c r="H4853">
        <v>8.4599999999999995E-2</v>
      </c>
      <c r="I4853">
        <v>36.029005579511399</v>
      </c>
    </row>
    <row r="4854" spans="1:9" x14ac:dyDescent="0.35">
      <c r="A4854" s="417" t="s">
        <v>846</v>
      </c>
      <c r="B4854" s="417" t="s">
        <v>691</v>
      </c>
      <c r="C4854" s="83">
        <v>46049</v>
      </c>
      <c r="D4854" s="417" t="s">
        <v>301</v>
      </c>
      <c r="E4854">
        <v>928.59349999999995</v>
      </c>
      <c r="F4854">
        <v>24</v>
      </c>
      <c r="G4854">
        <v>38.691395833333303</v>
      </c>
      <c r="H4854">
        <v>8.4533333333333294E-2</v>
      </c>
      <c r="I4854">
        <v>32.875876727297801</v>
      </c>
    </row>
    <row r="4855" spans="1:9" x14ac:dyDescent="0.35">
      <c r="A4855" s="417" t="s">
        <v>846</v>
      </c>
      <c r="B4855" s="417" t="s">
        <v>691</v>
      </c>
      <c r="C4855" s="83">
        <v>46049</v>
      </c>
      <c r="D4855" s="417" t="s">
        <v>303</v>
      </c>
      <c r="E4855">
        <v>988.417466666667</v>
      </c>
      <c r="F4855">
        <v>22</v>
      </c>
      <c r="G4855">
        <v>44.928066666666702</v>
      </c>
      <c r="H4855">
        <v>0.13498333333333301</v>
      </c>
      <c r="I4855">
        <v>30.874519736694001</v>
      </c>
    </row>
    <row r="4856" spans="1:9" x14ac:dyDescent="0.35">
      <c r="A4856" s="417" t="s">
        <v>846</v>
      </c>
      <c r="B4856" s="417" t="s">
        <v>691</v>
      </c>
      <c r="C4856" s="83">
        <v>46049</v>
      </c>
      <c r="D4856" s="417" t="s">
        <v>314</v>
      </c>
      <c r="E4856">
        <v>1040.04305</v>
      </c>
      <c r="F4856">
        <v>19</v>
      </c>
      <c r="G4856">
        <v>54.739107894736797</v>
      </c>
      <c r="H4856">
        <v>0.40603333333333302</v>
      </c>
      <c r="I4856">
        <v>16.047252531381702</v>
      </c>
    </row>
    <row r="4857" spans="1:9" x14ac:dyDescent="0.35">
      <c r="A4857" s="417" t="s">
        <v>846</v>
      </c>
      <c r="B4857" s="417" t="s">
        <v>691</v>
      </c>
      <c r="C4857" s="83">
        <v>46049</v>
      </c>
      <c r="D4857" s="417" t="s">
        <v>313</v>
      </c>
      <c r="E4857">
        <v>1034.5079166666701</v>
      </c>
      <c r="F4857">
        <v>16</v>
      </c>
      <c r="G4857">
        <v>64.656744791666696</v>
      </c>
      <c r="H4857">
        <v>3.82873333333333</v>
      </c>
      <c r="I4857">
        <v>25.191489893183199</v>
      </c>
    </row>
    <row r="4858" spans="1:9" x14ac:dyDescent="0.35">
      <c r="A4858" s="417" t="s">
        <v>846</v>
      </c>
      <c r="B4858" s="417" t="s">
        <v>691</v>
      </c>
      <c r="C4858" s="83">
        <v>46049</v>
      </c>
      <c r="D4858" s="417" t="s">
        <v>310</v>
      </c>
      <c r="E4858">
        <v>918.20816666666701</v>
      </c>
      <c r="F4858">
        <v>12</v>
      </c>
      <c r="G4858">
        <v>76.517347222222199</v>
      </c>
      <c r="H4858">
        <v>4.4309833333333302</v>
      </c>
      <c r="I4858">
        <v>21.531857875535401</v>
      </c>
    </row>
    <row r="4859" spans="1:9" x14ac:dyDescent="0.35">
      <c r="A4859" s="417" t="s">
        <v>846</v>
      </c>
      <c r="B4859" s="417" t="s">
        <v>691</v>
      </c>
      <c r="C4859" s="83">
        <v>46049</v>
      </c>
      <c r="D4859" s="417" t="s">
        <v>299</v>
      </c>
      <c r="E4859">
        <v>965.33908333333295</v>
      </c>
      <c r="F4859">
        <v>8</v>
      </c>
      <c r="G4859">
        <v>120.667385416667</v>
      </c>
      <c r="H4859">
        <v>7.5883333333333303E-2</v>
      </c>
      <c r="I4859">
        <v>45.829047019073698</v>
      </c>
    </row>
    <row r="4860" spans="1:9" x14ac:dyDescent="0.35">
      <c r="A4860" s="417" t="s">
        <v>846</v>
      </c>
      <c r="B4860" s="417" t="s">
        <v>691</v>
      </c>
      <c r="C4860" s="83">
        <v>46049</v>
      </c>
      <c r="D4860" s="417" t="s">
        <v>309</v>
      </c>
      <c r="E4860">
        <v>726.44179999999994</v>
      </c>
      <c r="F4860">
        <v>7</v>
      </c>
      <c r="G4860">
        <v>103.7774</v>
      </c>
      <c r="H4860">
        <v>0</v>
      </c>
      <c r="I4860">
        <v>15.571119451422</v>
      </c>
    </row>
    <row r="4861" spans="1:9" x14ac:dyDescent="0.35">
      <c r="A4861" s="417" t="s">
        <v>846</v>
      </c>
      <c r="B4861" s="417" t="s">
        <v>691</v>
      </c>
      <c r="C4861" s="83">
        <v>46049</v>
      </c>
      <c r="D4861" s="417" t="s">
        <v>317</v>
      </c>
      <c r="E4861">
        <v>1068.2357</v>
      </c>
      <c r="F4861">
        <v>4</v>
      </c>
      <c r="G4861">
        <v>267.05892499999999</v>
      </c>
      <c r="H4861">
        <v>11.3539166666667</v>
      </c>
      <c r="I4861">
        <v>16.8675205086031</v>
      </c>
    </row>
    <row r="4862" spans="1:9" x14ac:dyDescent="0.35">
      <c r="A4862" s="417" t="s">
        <v>846</v>
      </c>
      <c r="B4862" s="417" t="s">
        <v>691</v>
      </c>
      <c r="C4862" s="83">
        <v>46049</v>
      </c>
      <c r="D4862" s="417" t="s">
        <v>504</v>
      </c>
      <c r="E4862">
        <v>600</v>
      </c>
      <c r="F4862">
        <v>1</v>
      </c>
      <c r="G4862">
        <v>600</v>
      </c>
      <c r="H4862">
        <v>0</v>
      </c>
      <c r="I4862">
        <v>23.182222222222201</v>
      </c>
    </row>
    <row r="4863" spans="1:9" x14ac:dyDescent="0.35">
      <c r="A4863" s="417" t="s">
        <v>846</v>
      </c>
      <c r="B4863" s="417" t="s">
        <v>676</v>
      </c>
      <c r="C4863" s="83">
        <v>46048</v>
      </c>
      <c r="D4863" s="417" t="s">
        <v>677</v>
      </c>
      <c r="E4863">
        <v>340.329383333333</v>
      </c>
      <c r="F4863">
        <v>52</v>
      </c>
      <c r="G4863">
        <v>6.54479583333333</v>
      </c>
      <c r="H4863">
        <v>19.6706166666667</v>
      </c>
      <c r="I4863">
        <v>27.796666666666699</v>
      </c>
    </row>
    <row r="4864" spans="1:9" x14ac:dyDescent="0.35">
      <c r="A4864" s="417" t="s">
        <v>846</v>
      </c>
      <c r="B4864" s="417" t="s">
        <v>676</v>
      </c>
      <c r="C4864" s="83">
        <v>46048</v>
      </c>
      <c r="D4864" s="417" t="s">
        <v>679</v>
      </c>
      <c r="E4864">
        <v>314.73081666666599</v>
      </c>
      <c r="F4864">
        <v>2</v>
      </c>
      <c r="G4864">
        <v>157.36540833333299</v>
      </c>
      <c r="H4864">
        <v>0.66703333333333303</v>
      </c>
      <c r="I4864">
        <v>68.774512360605399</v>
      </c>
    </row>
    <row r="4865" spans="1:9" x14ac:dyDescent="0.35">
      <c r="A4865" s="417" t="s">
        <v>846</v>
      </c>
      <c r="B4865" s="417" t="s">
        <v>680</v>
      </c>
      <c r="C4865" s="83">
        <v>46048</v>
      </c>
      <c r="D4865" s="417" t="s">
        <v>689</v>
      </c>
      <c r="E4865">
        <v>360</v>
      </c>
      <c r="F4865">
        <v>1</v>
      </c>
      <c r="G4865">
        <v>360</v>
      </c>
      <c r="H4865">
        <v>0</v>
      </c>
      <c r="I4865">
        <v>0</v>
      </c>
    </row>
    <row r="4866" spans="1:9" x14ac:dyDescent="0.35">
      <c r="A4866" s="417" t="s">
        <v>846</v>
      </c>
      <c r="B4866" s="417" t="s">
        <v>680</v>
      </c>
      <c r="C4866" s="83">
        <v>46048</v>
      </c>
      <c r="D4866" s="417" t="s">
        <v>683</v>
      </c>
      <c r="E4866">
        <v>360</v>
      </c>
      <c r="F4866">
        <v>1</v>
      </c>
      <c r="G4866">
        <v>360</v>
      </c>
      <c r="H4866">
        <v>0</v>
      </c>
      <c r="I4866">
        <v>0</v>
      </c>
    </row>
    <row r="4867" spans="1:9" x14ac:dyDescent="0.35">
      <c r="A4867" s="417" t="s">
        <v>846</v>
      </c>
      <c r="B4867" s="417" t="s">
        <v>680</v>
      </c>
      <c r="C4867" s="83">
        <v>46048</v>
      </c>
      <c r="D4867" s="417" t="s">
        <v>681</v>
      </c>
      <c r="E4867">
        <v>360</v>
      </c>
      <c r="F4867">
        <v>1</v>
      </c>
      <c r="G4867">
        <v>360</v>
      </c>
      <c r="H4867">
        <v>0</v>
      </c>
      <c r="I4867">
        <v>0</v>
      </c>
    </row>
    <row r="4868" spans="1:9" x14ac:dyDescent="0.35">
      <c r="A4868" s="417" t="s">
        <v>846</v>
      </c>
      <c r="B4868" s="417" t="s">
        <v>691</v>
      </c>
      <c r="C4868" s="83">
        <v>46048</v>
      </c>
      <c r="D4868" s="417" t="s">
        <v>295</v>
      </c>
      <c r="E4868">
        <v>262.25360000000001</v>
      </c>
      <c r="F4868">
        <v>55</v>
      </c>
      <c r="G4868">
        <v>4.7682472727272698</v>
      </c>
      <c r="H4868">
        <v>0.17268333333333299</v>
      </c>
      <c r="I4868">
        <v>50.742393927482098</v>
      </c>
    </row>
    <row r="4869" spans="1:9" x14ac:dyDescent="0.35">
      <c r="A4869" s="417" t="s">
        <v>846</v>
      </c>
      <c r="B4869" s="417" t="s">
        <v>691</v>
      </c>
      <c r="C4869" s="83">
        <v>46048</v>
      </c>
      <c r="D4869" s="417" t="s">
        <v>301</v>
      </c>
      <c r="E4869">
        <v>284.83819999999997</v>
      </c>
      <c r="F4869">
        <v>23</v>
      </c>
      <c r="G4869">
        <v>12.3842695652174</v>
      </c>
      <c r="H4869">
        <v>0.24454999999999999</v>
      </c>
      <c r="I4869">
        <v>54.044293045715399</v>
      </c>
    </row>
    <row r="4870" spans="1:9" x14ac:dyDescent="0.35">
      <c r="A4870" s="417" t="s">
        <v>846</v>
      </c>
      <c r="B4870" s="417" t="s">
        <v>691</v>
      </c>
      <c r="C4870" s="83">
        <v>46048</v>
      </c>
      <c r="D4870" s="417" t="s">
        <v>299</v>
      </c>
      <c r="E4870">
        <v>292.28314999999998</v>
      </c>
      <c r="F4870">
        <v>13</v>
      </c>
      <c r="G4870">
        <v>22.483319230769201</v>
      </c>
      <c r="H4870">
        <v>0</v>
      </c>
      <c r="I4870">
        <v>53.886245792152202</v>
      </c>
    </row>
    <row r="4871" spans="1:9" x14ac:dyDescent="0.35">
      <c r="A4871" s="417" t="s">
        <v>846</v>
      </c>
      <c r="B4871" s="417" t="s">
        <v>691</v>
      </c>
      <c r="C4871" s="83">
        <v>46048</v>
      </c>
      <c r="D4871" s="417" t="s">
        <v>303</v>
      </c>
      <c r="E4871">
        <v>281.91654999999997</v>
      </c>
      <c r="F4871">
        <v>13</v>
      </c>
      <c r="G4871">
        <v>21.6858884615385</v>
      </c>
      <c r="H4871">
        <v>5.0500000000000003E-2</v>
      </c>
      <c r="I4871">
        <v>48.170851849075802</v>
      </c>
    </row>
    <row r="4872" spans="1:9" x14ac:dyDescent="0.35">
      <c r="A4872" s="417" t="s">
        <v>846</v>
      </c>
      <c r="B4872" s="417" t="s">
        <v>691</v>
      </c>
      <c r="C4872" s="83">
        <v>46048</v>
      </c>
      <c r="D4872" s="417" t="s">
        <v>309</v>
      </c>
      <c r="E4872">
        <v>171.032616666667</v>
      </c>
      <c r="F4872">
        <v>6</v>
      </c>
      <c r="G4872">
        <v>28.505436111111099</v>
      </c>
      <c r="H4872">
        <v>0</v>
      </c>
      <c r="I4872">
        <v>2.3203625583744998</v>
      </c>
    </row>
    <row r="4873" spans="1:9" x14ac:dyDescent="0.35">
      <c r="A4873" s="417" t="s">
        <v>846</v>
      </c>
      <c r="B4873" s="417" t="s">
        <v>691</v>
      </c>
      <c r="C4873" s="83">
        <v>46048</v>
      </c>
      <c r="D4873" s="417" t="s">
        <v>342</v>
      </c>
      <c r="E4873">
        <v>356.97205000000002</v>
      </c>
      <c r="F4873">
        <v>3</v>
      </c>
      <c r="G4873">
        <v>118.990683333333</v>
      </c>
      <c r="H4873">
        <v>3.0279500000000001</v>
      </c>
      <c r="I4873">
        <v>1.6666666666666801</v>
      </c>
    </row>
    <row r="4874" spans="1:9" x14ac:dyDescent="0.35">
      <c r="A4874" s="417" t="s">
        <v>846</v>
      </c>
      <c r="B4874" s="417" t="s">
        <v>691</v>
      </c>
      <c r="C4874" s="83">
        <v>46048</v>
      </c>
      <c r="D4874" s="417" t="s">
        <v>314</v>
      </c>
      <c r="E4874">
        <v>330</v>
      </c>
      <c r="F4874">
        <v>1</v>
      </c>
      <c r="G4874">
        <v>330</v>
      </c>
      <c r="H4874">
        <v>0</v>
      </c>
      <c r="I4874">
        <v>0</v>
      </c>
    </row>
    <row r="4875" spans="1:9" x14ac:dyDescent="0.35">
      <c r="A4875" s="417" t="s">
        <v>846</v>
      </c>
      <c r="B4875" s="417" t="s">
        <v>691</v>
      </c>
      <c r="C4875" s="83">
        <v>46048</v>
      </c>
      <c r="D4875" s="417" t="s">
        <v>504</v>
      </c>
      <c r="E4875">
        <v>360</v>
      </c>
      <c r="F4875">
        <v>1</v>
      </c>
      <c r="G4875">
        <v>360</v>
      </c>
      <c r="H4875">
        <v>0</v>
      </c>
      <c r="I4875">
        <v>3.98641975308642</v>
      </c>
    </row>
    <row r="4876" spans="1:9" x14ac:dyDescent="0.35">
      <c r="A4876" s="417" t="s">
        <v>846</v>
      </c>
      <c r="B4876" s="417" t="s">
        <v>691</v>
      </c>
      <c r="C4876" s="83">
        <v>46048</v>
      </c>
      <c r="D4876" s="417" t="s">
        <v>305</v>
      </c>
      <c r="E4876">
        <v>175.94946666666701</v>
      </c>
      <c r="F4876">
        <v>1</v>
      </c>
      <c r="G4876">
        <v>175.94946666666701</v>
      </c>
      <c r="H4876">
        <v>0</v>
      </c>
      <c r="I4876">
        <v>2.96549792200438</v>
      </c>
    </row>
    <row r="4877" spans="1:9" x14ac:dyDescent="0.35">
      <c r="A4877" s="417" t="s">
        <v>846</v>
      </c>
      <c r="B4877" s="417" t="s">
        <v>691</v>
      </c>
      <c r="C4877" s="83">
        <v>46048</v>
      </c>
      <c r="D4877" s="417" t="s">
        <v>317</v>
      </c>
      <c r="E4877">
        <v>330</v>
      </c>
      <c r="F4877">
        <v>1</v>
      </c>
      <c r="G4877">
        <v>330</v>
      </c>
      <c r="H4877">
        <v>0</v>
      </c>
      <c r="I4877">
        <v>0</v>
      </c>
    </row>
    <row r="4878" spans="1:9" x14ac:dyDescent="0.35">
      <c r="A4878" s="417" t="s">
        <v>846</v>
      </c>
      <c r="B4878" s="417" t="s">
        <v>676</v>
      </c>
      <c r="C4878" s="83">
        <v>46047</v>
      </c>
      <c r="D4878" s="417" t="s">
        <v>677</v>
      </c>
      <c r="E4878">
        <v>1326.9862166666701</v>
      </c>
      <c r="F4878">
        <v>105</v>
      </c>
      <c r="G4878">
        <v>12.637963968254001</v>
      </c>
      <c r="H4878">
        <v>59.8481666666667</v>
      </c>
      <c r="I4878">
        <v>38.309722222222199</v>
      </c>
    </row>
    <row r="4879" spans="1:9" x14ac:dyDescent="0.35">
      <c r="A4879" s="417" t="s">
        <v>846</v>
      </c>
      <c r="B4879" s="417" t="s">
        <v>676</v>
      </c>
      <c r="C4879" s="83">
        <v>46047</v>
      </c>
      <c r="D4879" s="417" t="s">
        <v>679</v>
      </c>
      <c r="E4879">
        <v>1366.17061666667</v>
      </c>
      <c r="F4879">
        <v>23</v>
      </c>
      <c r="G4879">
        <v>59.398722463768102</v>
      </c>
      <c r="H4879">
        <v>17.839549999999999</v>
      </c>
      <c r="I4879">
        <v>62.310717611539701</v>
      </c>
    </row>
    <row r="4880" spans="1:9" x14ac:dyDescent="0.35">
      <c r="A4880" s="417" t="s">
        <v>846</v>
      </c>
      <c r="B4880" s="417" t="s">
        <v>680</v>
      </c>
      <c r="C4880" s="83">
        <v>46047</v>
      </c>
      <c r="D4880" s="417" t="s">
        <v>683</v>
      </c>
      <c r="E4880">
        <v>1261.6227166666699</v>
      </c>
      <c r="F4880">
        <v>100</v>
      </c>
      <c r="G4880">
        <v>12.6162271666667</v>
      </c>
      <c r="H4880">
        <v>2.8341500000000002</v>
      </c>
      <c r="I4880">
        <v>48.580250849602002</v>
      </c>
    </row>
    <row r="4881" spans="1:9" x14ac:dyDescent="0.35">
      <c r="A4881" s="417" t="s">
        <v>846</v>
      </c>
      <c r="B4881" s="417" t="s">
        <v>680</v>
      </c>
      <c r="C4881" s="83">
        <v>46047</v>
      </c>
      <c r="D4881" s="417" t="s">
        <v>684</v>
      </c>
      <c r="E4881">
        <v>1251.37476666667</v>
      </c>
      <c r="F4881">
        <v>62</v>
      </c>
      <c r="G4881">
        <v>20.183463978494601</v>
      </c>
      <c r="H4881">
        <v>13.9944666666667</v>
      </c>
      <c r="I4881">
        <v>45.805806996911301</v>
      </c>
    </row>
    <row r="4882" spans="1:9" x14ac:dyDescent="0.35">
      <c r="A4882" s="417" t="s">
        <v>846</v>
      </c>
      <c r="B4882" s="417" t="s">
        <v>680</v>
      </c>
      <c r="C4882" s="83">
        <v>46047</v>
      </c>
      <c r="D4882" s="417" t="s">
        <v>689</v>
      </c>
      <c r="E4882">
        <v>1181.5727666666701</v>
      </c>
      <c r="F4882">
        <v>55</v>
      </c>
      <c r="G4882">
        <v>21.4831412121212</v>
      </c>
      <c r="H4882">
        <v>3.5070666666666699</v>
      </c>
      <c r="I4882">
        <v>56.898955362007399</v>
      </c>
    </row>
    <row r="4883" spans="1:9" x14ac:dyDescent="0.35">
      <c r="A4883" s="417" t="s">
        <v>846</v>
      </c>
      <c r="B4883" s="417" t="s">
        <v>680</v>
      </c>
      <c r="C4883" s="83">
        <v>46047</v>
      </c>
      <c r="D4883" s="417" t="s">
        <v>681</v>
      </c>
      <c r="E4883">
        <v>1325.3176333333299</v>
      </c>
      <c r="F4883">
        <v>40</v>
      </c>
      <c r="G4883">
        <v>33.132940833333301</v>
      </c>
      <c r="H4883">
        <v>0.16725000000000001</v>
      </c>
      <c r="I4883">
        <v>55.2739466801535</v>
      </c>
    </row>
    <row r="4884" spans="1:9" x14ac:dyDescent="0.35">
      <c r="A4884" s="417" t="s">
        <v>846</v>
      </c>
      <c r="B4884" s="417" t="s">
        <v>680</v>
      </c>
      <c r="C4884" s="83">
        <v>46047</v>
      </c>
      <c r="D4884" s="417" t="s">
        <v>685</v>
      </c>
      <c r="E4884">
        <v>1266.8435999999999</v>
      </c>
      <c r="F4884">
        <v>36</v>
      </c>
      <c r="G4884">
        <v>35.190100000000001</v>
      </c>
      <c r="H4884">
        <v>4.33306666666667</v>
      </c>
      <c r="I4884">
        <v>50.803685003147798</v>
      </c>
    </row>
    <row r="4885" spans="1:9" x14ac:dyDescent="0.35">
      <c r="A4885" s="417" t="s">
        <v>846</v>
      </c>
      <c r="B4885" s="417" t="s">
        <v>680</v>
      </c>
      <c r="C4885" s="83">
        <v>46047</v>
      </c>
      <c r="D4885" s="417" t="s">
        <v>682</v>
      </c>
      <c r="E4885">
        <v>1264.7004833333301</v>
      </c>
      <c r="F4885">
        <v>11</v>
      </c>
      <c r="G4885">
        <v>114.972771212121</v>
      </c>
      <c r="H4885">
        <v>10.823549999999999</v>
      </c>
      <c r="I4885">
        <v>44.924242424242401</v>
      </c>
    </row>
    <row r="4886" spans="1:9" x14ac:dyDescent="0.35">
      <c r="A4886" s="417" t="s">
        <v>846</v>
      </c>
      <c r="B4886" s="417" t="s">
        <v>680</v>
      </c>
      <c r="C4886" s="83">
        <v>46047</v>
      </c>
      <c r="D4886" s="417" t="s">
        <v>687</v>
      </c>
      <c r="E4886">
        <v>1264.0245500000001</v>
      </c>
      <c r="F4886">
        <v>11</v>
      </c>
      <c r="G4886">
        <v>114.911322727273</v>
      </c>
      <c r="H4886">
        <v>10.6650666666667</v>
      </c>
      <c r="I4886">
        <v>26.720790567654898</v>
      </c>
    </row>
    <row r="4887" spans="1:9" x14ac:dyDescent="0.35">
      <c r="A4887" s="417" t="s">
        <v>846</v>
      </c>
      <c r="B4887" s="417" t="s">
        <v>680</v>
      </c>
      <c r="C4887" s="83">
        <v>46047</v>
      </c>
      <c r="D4887" s="417" t="s">
        <v>690</v>
      </c>
      <c r="E4887">
        <v>1292.8287499999999</v>
      </c>
      <c r="F4887">
        <v>10</v>
      </c>
      <c r="G4887">
        <v>129.28287499999999</v>
      </c>
      <c r="H4887">
        <v>9.1747333333333305</v>
      </c>
      <c r="I4887">
        <v>48.415353740982397</v>
      </c>
    </row>
    <row r="4888" spans="1:9" x14ac:dyDescent="0.35">
      <c r="A4888" s="417" t="s">
        <v>846</v>
      </c>
      <c r="B4888" s="417" t="s">
        <v>680</v>
      </c>
      <c r="C4888" s="83">
        <v>46047</v>
      </c>
      <c r="D4888" s="417" t="s">
        <v>686</v>
      </c>
      <c r="E4888">
        <v>1320</v>
      </c>
      <c r="F4888">
        <v>1</v>
      </c>
      <c r="G4888">
        <v>1320</v>
      </c>
      <c r="H4888">
        <v>0</v>
      </c>
      <c r="I4888">
        <v>23.192640692640701</v>
      </c>
    </row>
    <row r="4889" spans="1:9" x14ac:dyDescent="0.35">
      <c r="A4889" s="417" t="s">
        <v>846</v>
      </c>
      <c r="B4889" s="417" t="s">
        <v>691</v>
      </c>
      <c r="C4889" s="83">
        <v>46047</v>
      </c>
      <c r="D4889" s="417" t="s">
        <v>295</v>
      </c>
      <c r="E4889">
        <v>1327.30125</v>
      </c>
      <c r="F4889">
        <v>209</v>
      </c>
      <c r="G4889">
        <v>6.3507236842105304</v>
      </c>
      <c r="H4889">
        <v>0.62921666666666698</v>
      </c>
      <c r="I4889">
        <v>75.6433784410534</v>
      </c>
    </row>
    <row r="4890" spans="1:9" x14ac:dyDescent="0.35">
      <c r="A4890" s="417" t="s">
        <v>846</v>
      </c>
      <c r="B4890" s="417" t="s">
        <v>691</v>
      </c>
      <c r="C4890" s="83">
        <v>46047</v>
      </c>
      <c r="D4890" s="417" t="s">
        <v>309</v>
      </c>
      <c r="E4890">
        <v>1325.92963333333</v>
      </c>
      <c r="F4890">
        <v>129</v>
      </c>
      <c r="G4890">
        <v>10.2785242894057</v>
      </c>
      <c r="H4890">
        <v>0</v>
      </c>
      <c r="I4890">
        <v>39.891448879629003</v>
      </c>
    </row>
    <row r="4891" spans="1:9" x14ac:dyDescent="0.35">
      <c r="A4891" s="417" t="s">
        <v>846</v>
      </c>
      <c r="B4891" s="417" t="s">
        <v>691</v>
      </c>
      <c r="C4891" s="83">
        <v>46047</v>
      </c>
      <c r="D4891" s="417" t="s">
        <v>301</v>
      </c>
      <c r="E4891">
        <v>1333.7129500000001</v>
      </c>
      <c r="F4891">
        <v>102</v>
      </c>
      <c r="G4891">
        <v>13.0756171568627</v>
      </c>
      <c r="H4891">
        <v>3.2067999999999999</v>
      </c>
      <c r="I4891">
        <v>64.655237566830607</v>
      </c>
    </row>
    <row r="4892" spans="1:9" x14ac:dyDescent="0.35">
      <c r="A4892" s="417" t="s">
        <v>846</v>
      </c>
      <c r="B4892" s="417" t="s">
        <v>691</v>
      </c>
      <c r="C4892" s="83">
        <v>46047</v>
      </c>
      <c r="D4892" s="417" t="s">
        <v>305</v>
      </c>
      <c r="E4892">
        <v>1346.4842333333299</v>
      </c>
      <c r="F4892">
        <v>86</v>
      </c>
      <c r="G4892">
        <v>15.6567934108527</v>
      </c>
      <c r="H4892">
        <v>3.2547333333333301</v>
      </c>
      <c r="I4892">
        <v>44.730114759297102</v>
      </c>
    </row>
    <row r="4893" spans="1:9" x14ac:dyDescent="0.35">
      <c r="A4893" s="417" t="s">
        <v>846</v>
      </c>
      <c r="B4893" s="417" t="s">
        <v>691</v>
      </c>
      <c r="C4893" s="83">
        <v>46047</v>
      </c>
      <c r="D4893" s="417" t="s">
        <v>342</v>
      </c>
      <c r="E4893">
        <v>1300.85746666667</v>
      </c>
      <c r="F4893">
        <v>73</v>
      </c>
      <c r="G4893">
        <v>17.819965296803701</v>
      </c>
      <c r="H4893">
        <v>120.8288</v>
      </c>
      <c r="I4893">
        <v>44.628479128068903</v>
      </c>
    </row>
    <row r="4894" spans="1:9" x14ac:dyDescent="0.35">
      <c r="A4894" s="417" t="s">
        <v>846</v>
      </c>
      <c r="B4894" s="417" t="s">
        <v>691</v>
      </c>
      <c r="C4894" s="83">
        <v>46047</v>
      </c>
      <c r="D4894" s="417" t="s">
        <v>303</v>
      </c>
      <c r="E4894">
        <v>1360.9704833333301</v>
      </c>
      <c r="F4894">
        <v>50</v>
      </c>
      <c r="G4894">
        <v>27.219409666666699</v>
      </c>
      <c r="H4894">
        <v>0.40205000000000002</v>
      </c>
      <c r="I4894">
        <v>74.779083778733394</v>
      </c>
    </row>
    <row r="4895" spans="1:9" x14ac:dyDescent="0.35">
      <c r="A4895" s="417" t="s">
        <v>846</v>
      </c>
      <c r="B4895" s="417" t="s">
        <v>691</v>
      </c>
      <c r="C4895" s="83">
        <v>46047</v>
      </c>
      <c r="D4895" s="417" t="s">
        <v>299</v>
      </c>
      <c r="E4895">
        <v>1411.5229999999999</v>
      </c>
      <c r="F4895">
        <v>40</v>
      </c>
      <c r="G4895">
        <v>35.288074999999999</v>
      </c>
      <c r="H4895">
        <v>0.20910000000000001</v>
      </c>
      <c r="I4895">
        <v>72.539696569469996</v>
      </c>
    </row>
    <row r="4896" spans="1:9" x14ac:dyDescent="0.35">
      <c r="A4896" s="417" t="s">
        <v>846</v>
      </c>
      <c r="B4896" s="417" t="s">
        <v>691</v>
      </c>
      <c r="C4896" s="83">
        <v>46047</v>
      </c>
      <c r="D4896" s="417" t="s">
        <v>317</v>
      </c>
      <c r="E4896">
        <v>1440</v>
      </c>
      <c r="F4896">
        <v>1</v>
      </c>
      <c r="G4896">
        <v>1440</v>
      </c>
      <c r="H4896">
        <v>0</v>
      </c>
      <c r="I4896">
        <v>2.6840277777777599</v>
      </c>
    </row>
    <row r="4897" spans="1:9" x14ac:dyDescent="0.35">
      <c r="A4897" s="417" t="s">
        <v>846</v>
      </c>
      <c r="B4897" s="417" t="s">
        <v>691</v>
      </c>
      <c r="C4897" s="83">
        <v>46047</v>
      </c>
      <c r="D4897" s="417" t="s">
        <v>504</v>
      </c>
      <c r="E4897">
        <v>1440</v>
      </c>
      <c r="F4897">
        <v>1</v>
      </c>
      <c r="G4897">
        <v>1440</v>
      </c>
      <c r="H4897">
        <v>0</v>
      </c>
      <c r="I4897">
        <v>35.4305555555556</v>
      </c>
    </row>
    <row r="4898" spans="1:9" x14ac:dyDescent="0.35">
      <c r="A4898" s="417" t="s">
        <v>846</v>
      </c>
      <c r="B4898" s="417" t="s">
        <v>691</v>
      </c>
      <c r="C4898" s="83">
        <v>46047</v>
      </c>
      <c r="D4898" s="417" t="s">
        <v>310</v>
      </c>
      <c r="E4898">
        <v>258.83440000000002</v>
      </c>
      <c r="F4898">
        <v>1</v>
      </c>
      <c r="G4898">
        <v>258.83440000000002</v>
      </c>
      <c r="H4898">
        <v>0</v>
      </c>
      <c r="I4898">
        <v>0</v>
      </c>
    </row>
    <row r="4899" spans="1:9" x14ac:dyDescent="0.35">
      <c r="A4899" s="417" t="s">
        <v>846</v>
      </c>
      <c r="B4899" s="417" t="s">
        <v>691</v>
      </c>
      <c r="C4899" s="83">
        <v>46047</v>
      </c>
      <c r="D4899" s="417" t="s">
        <v>314</v>
      </c>
      <c r="E4899">
        <v>1440</v>
      </c>
      <c r="F4899">
        <v>1</v>
      </c>
      <c r="G4899">
        <v>1440</v>
      </c>
      <c r="H4899">
        <v>0</v>
      </c>
      <c r="I4899">
        <v>4.0520833333333197</v>
      </c>
    </row>
    <row r="4900" spans="1:9" x14ac:dyDescent="0.35">
      <c r="A4900" s="417" t="s">
        <v>846</v>
      </c>
      <c r="B4900" s="417" t="s">
        <v>676</v>
      </c>
      <c r="C4900" s="83">
        <v>46046</v>
      </c>
      <c r="D4900" s="417" t="s">
        <v>677</v>
      </c>
      <c r="E4900">
        <v>1080.8299666666701</v>
      </c>
      <c r="F4900">
        <v>212</v>
      </c>
      <c r="G4900">
        <v>5.0982545597484297</v>
      </c>
      <c r="H4900">
        <v>118.47725</v>
      </c>
      <c r="I4900">
        <v>31.127222222222201</v>
      </c>
    </row>
    <row r="4901" spans="1:9" x14ac:dyDescent="0.35">
      <c r="A4901" s="417" t="s">
        <v>846</v>
      </c>
      <c r="B4901" s="417" t="s">
        <v>676</v>
      </c>
      <c r="C4901" s="83">
        <v>46046</v>
      </c>
      <c r="D4901" s="417" t="s">
        <v>679</v>
      </c>
      <c r="E4901">
        <v>612.75564999999995</v>
      </c>
      <c r="F4901">
        <v>22</v>
      </c>
      <c r="G4901">
        <v>27.852529545454502</v>
      </c>
      <c r="H4901">
        <v>13.6705666666667</v>
      </c>
      <c r="I4901">
        <v>41.954449020670403</v>
      </c>
    </row>
    <row r="4902" spans="1:9" x14ac:dyDescent="0.35">
      <c r="A4902" s="417" t="s">
        <v>846</v>
      </c>
      <c r="B4902" s="417" t="s">
        <v>680</v>
      </c>
      <c r="C4902" s="83">
        <v>46046</v>
      </c>
      <c r="D4902" s="417" t="s">
        <v>683</v>
      </c>
      <c r="E4902">
        <v>1251.29003333333</v>
      </c>
      <c r="F4902">
        <v>216</v>
      </c>
      <c r="G4902">
        <v>5.7930094135802497</v>
      </c>
      <c r="H4902">
        <v>5.3271499999999996</v>
      </c>
      <c r="I4902">
        <v>65.935356609344396</v>
      </c>
    </row>
    <row r="4903" spans="1:9" x14ac:dyDescent="0.35">
      <c r="A4903" s="417" t="s">
        <v>846</v>
      </c>
      <c r="B4903" s="417" t="s">
        <v>680</v>
      </c>
      <c r="C4903" s="83">
        <v>46046</v>
      </c>
      <c r="D4903" s="417" t="s">
        <v>681</v>
      </c>
      <c r="E4903">
        <v>1376.8585333333299</v>
      </c>
      <c r="F4903">
        <v>87</v>
      </c>
      <c r="G4903">
        <v>15.8259601532567</v>
      </c>
      <c r="H4903">
        <v>7.4875833333333297</v>
      </c>
      <c r="I4903">
        <v>78.332343812921593</v>
      </c>
    </row>
    <row r="4904" spans="1:9" x14ac:dyDescent="0.35">
      <c r="A4904" s="417" t="s">
        <v>846</v>
      </c>
      <c r="B4904" s="417" t="s">
        <v>680</v>
      </c>
      <c r="C4904" s="83">
        <v>46046</v>
      </c>
      <c r="D4904" s="417" t="s">
        <v>682</v>
      </c>
      <c r="E4904">
        <v>1338.35026666667</v>
      </c>
      <c r="F4904">
        <v>76</v>
      </c>
      <c r="G4904">
        <v>17.6098719298246</v>
      </c>
      <c r="H4904">
        <v>79.313500000000005</v>
      </c>
      <c r="I4904">
        <v>66.522817460317498</v>
      </c>
    </row>
    <row r="4905" spans="1:9" x14ac:dyDescent="0.35">
      <c r="A4905" s="417" t="s">
        <v>846</v>
      </c>
      <c r="B4905" s="417" t="s">
        <v>680</v>
      </c>
      <c r="C4905" s="83">
        <v>46046</v>
      </c>
      <c r="D4905" s="417" t="s">
        <v>685</v>
      </c>
      <c r="E4905">
        <v>1398.9303833333299</v>
      </c>
      <c r="F4905">
        <v>34</v>
      </c>
      <c r="G4905">
        <v>41.145011274509798</v>
      </c>
      <c r="H4905">
        <v>3.8351666666666699</v>
      </c>
      <c r="I4905">
        <v>74.269776332595299</v>
      </c>
    </row>
    <row r="4906" spans="1:9" x14ac:dyDescent="0.35">
      <c r="A4906" s="417" t="s">
        <v>846</v>
      </c>
      <c r="B4906" s="417" t="s">
        <v>680</v>
      </c>
      <c r="C4906" s="83">
        <v>46046</v>
      </c>
      <c r="D4906" s="417" t="s">
        <v>690</v>
      </c>
      <c r="E4906">
        <v>1374.8560833333299</v>
      </c>
      <c r="F4906">
        <v>25</v>
      </c>
      <c r="G4906">
        <v>54.994243333333301</v>
      </c>
      <c r="H4906">
        <v>15.669183333333301</v>
      </c>
      <c r="I4906">
        <v>62.3109923518412</v>
      </c>
    </row>
    <row r="4907" spans="1:9" x14ac:dyDescent="0.35">
      <c r="A4907" s="417" t="s">
        <v>846</v>
      </c>
      <c r="B4907" s="417" t="s">
        <v>680</v>
      </c>
      <c r="C4907" s="83">
        <v>46046</v>
      </c>
      <c r="D4907" s="417" t="s">
        <v>689</v>
      </c>
      <c r="E4907">
        <v>1410.1625833333301</v>
      </c>
      <c r="F4907">
        <v>25</v>
      </c>
      <c r="G4907">
        <v>56.406503333333298</v>
      </c>
      <c r="H4907">
        <v>0.33329999999999999</v>
      </c>
      <c r="I4907">
        <v>76.821820109876199</v>
      </c>
    </row>
    <row r="4908" spans="1:9" x14ac:dyDescent="0.35">
      <c r="A4908" s="417" t="s">
        <v>846</v>
      </c>
      <c r="B4908" s="417" t="s">
        <v>680</v>
      </c>
      <c r="C4908" s="83">
        <v>46046</v>
      </c>
      <c r="D4908" s="417" t="s">
        <v>684</v>
      </c>
      <c r="E4908">
        <v>1425.1707166666699</v>
      </c>
      <c r="F4908">
        <v>17</v>
      </c>
      <c r="G4908">
        <v>83.833571568627505</v>
      </c>
      <c r="H4908">
        <v>2.8278666666666701</v>
      </c>
      <c r="I4908">
        <v>69.305127279410598</v>
      </c>
    </row>
    <row r="4909" spans="1:9" x14ac:dyDescent="0.35">
      <c r="A4909" s="417" t="s">
        <v>846</v>
      </c>
      <c r="B4909" s="417" t="s">
        <v>680</v>
      </c>
      <c r="C4909" s="83">
        <v>46046</v>
      </c>
      <c r="D4909" s="417" t="s">
        <v>687</v>
      </c>
      <c r="E4909">
        <v>1401.4883833333299</v>
      </c>
      <c r="F4909">
        <v>12</v>
      </c>
      <c r="G4909">
        <v>116.790698611111</v>
      </c>
      <c r="H4909">
        <v>14.9974166666667</v>
      </c>
      <c r="I4909">
        <v>40.805303007719701</v>
      </c>
    </row>
    <row r="4910" spans="1:9" x14ac:dyDescent="0.35">
      <c r="A4910" s="417" t="s">
        <v>846</v>
      </c>
      <c r="B4910" s="417" t="s">
        <v>680</v>
      </c>
      <c r="C4910" s="83">
        <v>46046</v>
      </c>
      <c r="D4910" s="417" t="s">
        <v>686</v>
      </c>
      <c r="E4910">
        <v>1440</v>
      </c>
      <c r="F4910">
        <v>1</v>
      </c>
      <c r="G4910">
        <v>1440</v>
      </c>
      <c r="H4910">
        <v>0</v>
      </c>
      <c r="I4910">
        <v>37.748015873015902</v>
      </c>
    </row>
    <row r="4911" spans="1:9" x14ac:dyDescent="0.35">
      <c r="A4911" s="417" t="s">
        <v>846</v>
      </c>
      <c r="B4911" s="417" t="s">
        <v>680</v>
      </c>
      <c r="C4911" s="83">
        <v>46046</v>
      </c>
      <c r="D4911" s="417" t="s">
        <v>688</v>
      </c>
      <c r="E4911">
        <v>0</v>
      </c>
      <c r="F4911">
        <v>1</v>
      </c>
      <c r="G4911">
        <v>0</v>
      </c>
      <c r="H4911">
        <v>0</v>
      </c>
      <c r="I4911">
        <v>0</v>
      </c>
    </row>
    <row r="4912" spans="1:9" x14ac:dyDescent="0.35">
      <c r="A4912" s="417" t="s">
        <v>846</v>
      </c>
      <c r="B4912" s="417" t="s">
        <v>691</v>
      </c>
      <c r="C4912" s="83">
        <v>46046</v>
      </c>
      <c r="D4912" s="417" t="s">
        <v>309</v>
      </c>
      <c r="E4912">
        <v>1332.45681666667</v>
      </c>
      <c r="F4912">
        <v>130</v>
      </c>
      <c r="G4912">
        <v>10.2496678205128</v>
      </c>
      <c r="H4912">
        <v>0</v>
      </c>
      <c r="I4912">
        <v>40.255022305767099</v>
      </c>
    </row>
    <row r="4913" spans="1:9" x14ac:dyDescent="0.35">
      <c r="A4913" s="417" t="s">
        <v>846</v>
      </c>
      <c r="B4913" s="417" t="s">
        <v>691</v>
      </c>
      <c r="C4913" s="83">
        <v>46046</v>
      </c>
      <c r="D4913" s="417" t="s">
        <v>301</v>
      </c>
      <c r="E4913">
        <v>1149.7440833333301</v>
      </c>
      <c r="F4913">
        <v>121</v>
      </c>
      <c r="G4913">
        <v>9.5020172176308595</v>
      </c>
      <c r="H4913">
        <v>1.8505499999999999</v>
      </c>
      <c r="I4913">
        <v>68.997963318774595</v>
      </c>
    </row>
    <row r="4914" spans="1:9" x14ac:dyDescent="0.35">
      <c r="A4914" s="417" t="s">
        <v>846</v>
      </c>
      <c r="B4914" s="417" t="s">
        <v>691</v>
      </c>
      <c r="C4914" s="83">
        <v>46046</v>
      </c>
      <c r="D4914" s="417" t="s">
        <v>295</v>
      </c>
      <c r="E4914">
        <v>1206.7727</v>
      </c>
      <c r="F4914">
        <v>114</v>
      </c>
      <c r="G4914">
        <v>10.5857254385965</v>
      </c>
      <c r="H4914">
        <v>0.85291666666666699</v>
      </c>
      <c r="I4914">
        <v>77.948283861495398</v>
      </c>
    </row>
    <row r="4915" spans="1:9" x14ac:dyDescent="0.35">
      <c r="A4915" s="417" t="s">
        <v>846</v>
      </c>
      <c r="B4915" s="417" t="s">
        <v>691</v>
      </c>
      <c r="C4915" s="83">
        <v>46046</v>
      </c>
      <c r="D4915" s="417" t="s">
        <v>305</v>
      </c>
      <c r="E4915">
        <v>1356.6126666666701</v>
      </c>
      <c r="F4915">
        <v>95</v>
      </c>
      <c r="G4915">
        <v>14.2801333333333</v>
      </c>
      <c r="H4915">
        <v>1.01335</v>
      </c>
      <c r="I4915">
        <v>45.359966299671598</v>
      </c>
    </row>
    <row r="4916" spans="1:9" x14ac:dyDescent="0.35">
      <c r="A4916" s="417" t="s">
        <v>846</v>
      </c>
      <c r="B4916" s="417" t="s">
        <v>691</v>
      </c>
      <c r="C4916" s="83">
        <v>46046</v>
      </c>
      <c r="D4916" s="417" t="s">
        <v>342</v>
      </c>
      <c r="E4916">
        <v>1350.11106666667</v>
      </c>
      <c r="F4916">
        <v>60</v>
      </c>
      <c r="G4916">
        <v>22.501851111111101</v>
      </c>
      <c r="H4916">
        <v>88.998900000000006</v>
      </c>
      <c r="I4916">
        <v>45.861679460723998</v>
      </c>
    </row>
    <row r="4917" spans="1:9" x14ac:dyDescent="0.35">
      <c r="A4917" s="417" t="s">
        <v>846</v>
      </c>
      <c r="B4917" s="417" t="s">
        <v>691</v>
      </c>
      <c r="C4917" s="83">
        <v>46046</v>
      </c>
      <c r="D4917" s="417" t="s">
        <v>303</v>
      </c>
      <c r="E4917">
        <v>1186.0415333333301</v>
      </c>
      <c r="F4917">
        <v>45</v>
      </c>
      <c r="G4917">
        <v>26.3564785185185</v>
      </c>
      <c r="H4917">
        <v>0.64434999999999998</v>
      </c>
      <c r="I4917">
        <v>63.351393563925797</v>
      </c>
    </row>
    <row r="4918" spans="1:9" x14ac:dyDescent="0.35">
      <c r="A4918" s="417" t="s">
        <v>846</v>
      </c>
      <c r="B4918" s="417" t="s">
        <v>691</v>
      </c>
      <c r="C4918" s="83">
        <v>46046</v>
      </c>
      <c r="D4918" s="417" t="s">
        <v>299</v>
      </c>
      <c r="E4918">
        <v>1240.9937</v>
      </c>
      <c r="F4918">
        <v>41</v>
      </c>
      <c r="G4918">
        <v>30.268139024390202</v>
      </c>
      <c r="H4918">
        <v>0.15945000000000001</v>
      </c>
      <c r="I4918">
        <v>72.6242048486058</v>
      </c>
    </row>
    <row r="4919" spans="1:9" x14ac:dyDescent="0.35">
      <c r="A4919" s="417" t="s">
        <v>846</v>
      </c>
      <c r="B4919" s="417" t="s">
        <v>691</v>
      </c>
      <c r="C4919" s="83">
        <v>46046</v>
      </c>
      <c r="D4919" s="417" t="s">
        <v>314</v>
      </c>
      <c r="E4919">
        <v>120</v>
      </c>
      <c r="F4919">
        <v>1</v>
      </c>
      <c r="G4919">
        <v>120</v>
      </c>
      <c r="H4919">
        <v>0</v>
      </c>
      <c r="I4919">
        <v>0</v>
      </c>
    </row>
    <row r="4920" spans="1:9" x14ac:dyDescent="0.35">
      <c r="A4920" s="417" t="s">
        <v>846</v>
      </c>
      <c r="B4920" s="417" t="s">
        <v>691</v>
      </c>
      <c r="C4920" s="83">
        <v>46046</v>
      </c>
      <c r="D4920" s="417" t="s">
        <v>317</v>
      </c>
      <c r="E4920">
        <v>120</v>
      </c>
      <c r="F4920">
        <v>1</v>
      </c>
      <c r="G4920">
        <v>120</v>
      </c>
      <c r="H4920">
        <v>0</v>
      </c>
      <c r="I4920">
        <v>0</v>
      </c>
    </row>
    <row r="4921" spans="1:9" x14ac:dyDescent="0.35">
      <c r="A4921" s="417" t="s">
        <v>846</v>
      </c>
      <c r="B4921" s="417" t="s">
        <v>691</v>
      </c>
      <c r="C4921" s="83">
        <v>46046</v>
      </c>
      <c r="D4921" s="417" t="s">
        <v>504</v>
      </c>
      <c r="E4921">
        <v>1440</v>
      </c>
      <c r="F4921">
        <v>1</v>
      </c>
      <c r="G4921">
        <v>1440</v>
      </c>
      <c r="H4921">
        <v>0</v>
      </c>
      <c r="I4921">
        <v>35.0637345679012</v>
      </c>
    </row>
    <row r="4922" spans="1:9" x14ac:dyDescent="0.35">
      <c r="A4922" s="417" t="s">
        <v>846</v>
      </c>
      <c r="B4922" s="417" t="s">
        <v>676</v>
      </c>
      <c r="C4922" s="83">
        <v>46045</v>
      </c>
      <c r="D4922" s="417" t="s">
        <v>677</v>
      </c>
      <c r="E4922">
        <v>1319.50888333333</v>
      </c>
      <c r="F4922">
        <v>178</v>
      </c>
      <c r="G4922">
        <v>7.4129712546816497</v>
      </c>
      <c r="H4922">
        <v>110.15525</v>
      </c>
      <c r="I4922">
        <v>29.3344444444445</v>
      </c>
    </row>
    <row r="4923" spans="1:9" x14ac:dyDescent="0.35">
      <c r="A4923" s="417" t="s">
        <v>846</v>
      </c>
      <c r="B4923" s="417" t="s">
        <v>676</v>
      </c>
      <c r="C4923" s="83">
        <v>46045</v>
      </c>
      <c r="D4923" s="417" t="s">
        <v>679</v>
      </c>
      <c r="E4923">
        <v>1348.1660833333301</v>
      </c>
      <c r="F4923">
        <v>26</v>
      </c>
      <c r="G4923">
        <v>51.852541666666703</v>
      </c>
      <c r="H4923">
        <v>26.1646</v>
      </c>
      <c r="I4923">
        <v>76.888251060739407</v>
      </c>
    </row>
    <row r="4924" spans="1:9" x14ac:dyDescent="0.35">
      <c r="A4924" s="417" t="s">
        <v>846</v>
      </c>
      <c r="B4924" s="417" t="s">
        <v>680</v>
      </c>
      <c r="C4924" s="83">
        <v>46045</v>
      </c>
      <c r="D4924" s="417" t="s">
        <v>683</v>
      </c>
      <c r="E4924">
        <v>1317.28531666667</v>
      </c>
      <c r="F4924">
        <v>72</v>
      </c>
      <c r="G4924">
        <v>18.295629398148201</v>
      </c>
      <c r="H4924">
        <v>5.1602499999999996</v>
      </c>
      <c r="I4924">
        <v>68.423366059547206</v>
      </c>
    </row>
    <row r="4925" spans="1:9" x14ac:dyDescent="0.35">
      <c r="A4925" s="417" t="s">
        <v>846</v>
      </c>
      <c r="B4925" s="417" t="s">
        <v>680</v>
      </c>
      <c r="C4925" s="83">
        <v>46045</v>
      </c>
      <c r="D4925" s="417" t="s">
        <v>681</v>
      </c>
      <c r="E4925">
        <v>1333.8087499999999</v>
      </c>
      <c r="F4925">
        <v>70</v>
      </c>
      <c r="G4925">
        <v>19.054410714285702</v>
      </c>
      <c r="H4925">
        <v>0</v>
      </c>
      <c r="I4925">
        <v>79.433150279374502</v>
      </c>
    </row>
    <row r="4926" spans="1:9" x14ac:dyDescent="0.35">
      <c r="A4926" s="417" t="s">
        <v>846</v>
      </c>
      <c r="B4926" s="417" t="s">
        <v>680</v>
      </c>
      <c r="C4926" s="83">
        <v>46045</v>
      </c>
      <c r="D4926" s="417" t="s">
        <v>682</v>
      </c>
      <c r="E4926">
        <v>1347.3190833333299</v>
      </c>
      <c r="F4926">
        <v>57</v>
      </c>
      <c r="G4926">
        <v>23.637176900584802</v>
      </c>
      <c r="H4926">
        <v>81.185533333333296</v>
      </c>
      <c r="I4926">
        <v>71.507936507936506</v>
      </c>
    </row>
    <row r="4927" spans="1:9" x14ac:dyDescent="0.35">
      <c r="A4927" s="417" t="s">
        <v>846</v>
      </c>
      <c r="B4927" s="417" t="s">
        <v>680</v>
      </c>
      <c r="C4927" s="83">
        <v>46045</v>
      </c>
      <c r="D4927" s="417" t="s">
        <v>689</v>
      </c>
      <c r="E4927">
        <v>1380.6789833333301</v>
      </c>
      <c r="F4927">
        <v>33</v>
      </c>
      <c r="G4927">
        <v>41.838757070707103</v>
      </c>
      <c r="H4927">
        <v>1.97976666666667</v>
      </c>
      <c r="I4927">
        <v>79.439958385004104</v>
      </c>
    </row>
    <row r="4928" spans="1:9" x14ac:dyDescent="0.35">
      <c r="A4928" s="417" t="s">
        <v>846</v>
      </c>
      <c r="B4928" s="417" t="s">
        <v>680</v>
      </c>
      <c r="C4928" s="83">
        <v>46045</v>
      </c>
      <c r="D4928" s="417" t="s">
        <v>685</v>
      </c>
      <c r="E4928">
        <v>1375.8263999999999</v>
      </c>
      <c r="F4928">
        <v>25</v>
      </c>
      <c r="G4928">
        <v>55.033056000000002</v>
      </c>
      <c r="H4928">
        <v>10.156750000000001</v>
      </c>
      <c r="I4928">
        <v>77.483928491409998</v>
      </c>
    </row>
    <row r="4929" spans="1:9" x14ac:dyDescent="0.35">
      <c r="A4929" s="417" t="s">
        <v>846</v>
      </c>
      <c r="B4929" s="417" t="s">
        <v>680</v>
      </c>
      <c r="C4929" s="83">
        <v>46045</v>
      </c>
      <c r="D4929" s="417" t="s">
        <v>684</v>
      </c>
      <c r="E4929">
        <v>1411.3389</v>
      </c>
      <c r="F4929">
        <v>15</v>
      </c>
      <c r="G4929">
        <v>94.089259999999996</v>
      </c>
      <c r="H4929">
        <v>3.0056500000000002</v>
      </c>
      <c r="I4929">
        <v>74.360715939293797</v>
      </c>
    </row>
    <row r="4930" spans="1:9" x14ac:dyDescent="0.35">
      <c r="A4930" s="417" t="s">
        <v>846</v>
      </c>
      <c r="B4930" s="417" t="s">
        <v>680</v>
      </c>
      <c r="C4930" s="83">
        <v>46045</v>
      </c>
      <c r="D4930" s="417" t="s">
        <v>687</v>
      </c>
      <c r="E4930">
        <v>1401.9785833333301</v>
      </c>
      <c r="F4930">
        <v>6</v>
      </c>
      <c r="G4930">
        <v>233.66309722222201</v>
      </c>
      <c r="H4930">
        <v>4.8371500000000003</v>
      </c>
      <c r="I4930">
        <v>42.583691657657099</v>
      </c>
    </row>
    <row r="4931" spans="1:9" x14ac:dyDescent="0.35">
      <c r="A4931" s="417" t="s">
        <v>846</v>
      </c>
      <c r="B4931" s="417" t="s">
        <v>680</v>
      </c>
      <c r="C4931" s="83">
        <v>46045</v>
      </c>
      <c r="D4931" s="417" t="s">
        <v>690</v>
      </c>
      <c r="E4931">
        <v>1425.15323333333</v>
      </c>
      <c r="F4931">
        <v>2</v>
      </c>
      <c r="G4931">
        <v>712.57661666666695</v>
      </c>
      <c r="H4931">
        <v>0</v>
      </c>
      <c r="I4931">
        <v>63.264234385516097</v>
      </c>
    </row>
    <row r="4932" spans="1:9" x14ac:dyDescent="0.35">
      <c r="A4932" s="417" t="s">
        <v>846</v>
      </c>
      <c r="B4932" s="417" t="s">
        <v>680</v>
      </c>
      <c r="C4932" s="83">
        <v>46045</v>
      </c>
      <c r="D4932" s="417" t="s">
        <v>688</v>
      </c>
      <c r="E4932">
        <v>0</v>
      </c>
      <c r="F4932">
        <v>1</v>
      </c>
      <c r="G4932">
        <v>0</v>
      </c>
      <c r="H4932">
        <v>0</v>
      </c>
      <c r="I4932">
        <v>0</v>
      </c>
    </row>
    <row r="4933" spans="1:9" x14ac:dyDescent="0.35">
      <c r="A4933" s="417" t="s">
        <v>846</v>
      </c>
      <c r="B4933" s="417" t="s">
        <v>680</v>
      </c>
      <c r="C4933" s="83">
        <v>46045</v>
      </c>
      <c r="D4933" s="417" t="s">
        <v>686</v>
      </c>
      <c r="E4933">
        <v>1440</v>
      </c>
      <c r="F4933">
        <v>1</v>
      </c>
      <c r="G4933">
        <v>1440</v>
      </c>
      <c r="H4933">
        <v>0</v>
      </c>
      <c r="I4933">
        <v>38.000992063492099</v>
      </c>
    </row>
    <row r="4934" spans="1:9" x14ac:dyDescent="0.35">
      <c r="A4934" s="417" t="s">
        <v>846</v>
      </c>
      <c r="B4934" s="417" t="s">
        <v>691</v>
      </c>
      <c r="C4934" s="83">
        <v>46045</v>
      </c>
      <c r="D4934" s="417" t="s">
        <v>295</v>
      </c>
      <c r="E4934">
        <v>1335.2669333333299</v>
      </c>
      <c r="F4934">
        <v>183</v>
      </c>
      <c r="G4934">
        <v>7.2965406193078302</v>
      </c>
      <c r="H4934">
        <v>1.45105</v>
      </c>
      <c r="I4934">
        <v>78.128456289826204</v>
      </c>
    </row>
    <row r="4935" spans="1:9" x14ac:dyDescent="0.35">
      <c r="A4935" s="417" t="s">
        <v>846</v>
      </c>
      <c r="B4935" s="417" t="s">
        <v>691</v>
      </c>
      <c r="C4935" s="83">
        <v>46045</v>
      </c>
      <c r="D4935" s="417" t="s">
        <v>301</v>
      </c>
      <c r="E4935">
        <v>1311.931</v>
      </c>
      <c r="F4935">
        <v>160</v>
      </c>
      <c r="G4935">
        <v>8.1995687499999992</v>
      </c>
      <c r="H4935">
        <v>1.7346333333333299</v>
      </c>
      <c r="I4935">
        <v>68.663741803932595</v>
      </c>
    </row>
    <row r="4936" spans="1:9" x14ac:dyDescent="0.35">
      <c r="A4936" s="417" t="s">
        <v>846</v>
      </c>
      <c r="B4936" s="417" t="s">
        <v>691</v>
      </c>
      <c r="C4936" s="83">
        <v>46045</v>
      </c>
      <c r="D4936" s="417" t="s">
        <v>342</v>
      </c>
      <c r="E4936">
        <v>1114.8071</v>
      </c>
      <c r="F4936">
        <v>129</v>
      </c>
      <c r="G4936">
        <v>8.6419155038759694</v>
      </c>
      <c r="H4936">
        <v>237.84381666666701</v>
      </c>
      <c r="I4936">
        <v>28.005952380952301</v>
      </c>
    </row>
    <row r="4937" spans="1:9" x14ac:dyDescent="0.35">
      <c r="A4937" s="417" t="s">
        <v>846</v>
      </c>
      <c r="B4937" s="417" t="s">
        <v>691</v>
      </c>
      <c r="C4937" s="83">
        <v>46045</v>
      </c>
      <c r="D4937" s="417" t="s">
        <v>305</v>
      </c>
      <c r="E4937">
        <v>1314.2609500000001</v>
      </c>
      <c r="F4937">
        <v>126</v>
      </c>
      <c r="G4937">
        <v>10.4306424603175</v>
      </c>
      <c r="H4937">
        <v>1.5743</v>
      </c>
      <c r="I4937">
        <v>40.946529745734502</v>
      </c>
    </row>
    <row r="4938" spans="1:9" x14ac:dyDescent="0.35">
      <c r="A4938" s="417" t="s">
        <v>846</v>
      </c>
      <c r="B4938" s="417" t="s">
        <v>691</v>
      </c>
      <c r="C4938" s="83">
        <v>46045</v>
      </c>
      <c r="D4938" s="417" t="s">
        <v>309</v>
      </c>
      <c r="E4938">
        <v>1287.09666666667</v>
      </c>
      <c r="F4938">
        <v>124</v>
      </c>
      <c r="G4938">
        <v>10.379811827957001</v>
      </c>
      <c r="H4938">
        <v>0</v>
      </c>
      <c r="I4938">
        <v>30.030549705136998</v>
      </c>
    </row>
    <row r="4939" spans="1:9" x14ac:dyDescent="0.35">
      <c r="A4939" s="417" t="s">
        <v>846</v>
      </c>
      <c r="B4939" s="417" t="s">
        <v>691</v>
      </c>
      <c r="C4939" s="83">
        <v>46045</v>
      </c>
      <c r="D4939" s="417" t="s">
        <v>299</v>
      </c>
      <c r="E4939">
        <v>1284.9883</v>
      </c>
      <c r="F4939">
        <v>93</v>
      </c>
      <c r="G4939">
        <v>13.817078494623701</v>
      </c>
      <c r="H4939">
        <v>0.82299999999999995</v>
      </c>
      <c r="I4939">
        <v>66.132647663149399</v>
      </c>
    </row>
    <row r="4940" spans="1:9" x14ac:dyDescent="0.35">
      <c r="A4940" s="417" t="s">
        <v>846</v>
      </c>
      <c r="B4940" s="417" t="s">
        <v>691</v>
      </c>
      <c r="C4940" s="83">
        <v>46045</v>
      </c>
      <c r="D4940" s="417" t="s">
        <v>303</v>
      </c>
      <c r="E4940">
        <v>1383.1398999999999</v>
      </c>
      <c r="F4940">
        <v>53</v>
      </c>
      <c r="G4940">
        <v>26.096979245282999</v>
      </c>
      <c r="H4940">
        <v>0.34133333333333299</v>
      </c>
      <c r="I4940">
        <v>69.532883465392402</v>
      </c>
    </row>
    <row r="4941" spans="1:9" x14ac:dyDescent="0.35">
      <c r="A4941" s="417" t="s">
        <v>846</v>
      </c>
      <c r="B4941" s="417" t="s">
        <v>691</v>
      </c>
      <c r="C4941" s="83">
        <v>46045</v>
      </c>
      <c r="D4941" s="417" t="s">
        <v>504</v>
      </c>
      <c r="E4941">
        <v>1440</v>
      </c>
      <c r="F4941">
        <v>1</v>
      </c>
      <c r="G4941">
        <v>1440</v>
      </c>
      <c r="H4941">
        <v>0</v>
      </c>
      <c r="I4941">
        <v>36.381635802469098</v>
      </c>
    </row>
    <row r="4942" spans="1:9" x14ac:dyDescent="0.35">
      <c r="A4942" s="417" t="s">
        <v>846</v>
      </c>
      <c r="B4942" s="417" t="s">
        <v>676</v>
      </c>
      <c r="C4942" s="83">
        <v>46044</v>
      </c>
      <c r="D4942" s="417" t="s">
        <v>677</v>
      </c>
      <c r="E4942">
        <v>1161.6596999999999</v>
      </c>
      <c r="F4942">
        <v>211</v>
      </c>
      <c r="G4942">
        <v>5.5054962085308103</v>
      </c>
      <c r="H4942">
        <v>134.49446666666699</v>
      </c>
      <c r="I4942">
        <v>31.3963888888889</v>
      </c>
    </row>
    <row r="4943" spans="1:9" x14ac:dyDescent="0.35">
      <c r="A4943" s="417" t="s">
        <v>846</v>
      </c>
      <c r="B4943" s="417" t="s">
        <v>676</v>
      </c>
      <c r="C4943" s="83">
        <v>46044</v>
      </c>
      <c r="D4943" s="417" t="s">
        <v>679</v>
      </c>
      <c r="E4943">
        <v>1291.8105166666701</v>
      </c>
      <c r="F4943">
        <v>19</v>
      </c>
      <c r="G4943">
        <v>67.990027192982396</v>
      </c>
      <c r="H4943">
        <v>25.672000000000001</v>
      </c>
      <c r="I4943">
        <v>34.457304234936302</v>
      </c>
    </row>
    <row r="4944" spans="1:9" x14ac:dyDescent="0.35">
      <c r="A4944" s="417" t="s">
        <v>846</v>
      </c>
      <c r="B4944" s="417" t="s">
        <v>680</v>
      </c>
      <c r="C4944" s="83">
        <v>46044</v>
      </c>
      <c r="D4944" s="417" t="s">
        <v>682</v>
      </c>
      <c r="E4944">
        <v>1286.3098500000001</v>
      </c>
      <c r="F4944">
        <v>82</v>
      </c>
      <c r="G4944">
        <v>15.6867054878049</v>
      </c>
      <c r="H4944">
        <v>97.521930183333296</v>
      </c>
      <c r="I4944">
        <v>47.372887425287303</v>
      </c>
    </row>
    <row r="4945" spans="1:9" x14ac:dyDescent="0.35">
      <c r="A4945" s="417" t="s">
        <v>846</v>
      </c>
      <c r="B4945" s="417" t="s">
        <v>680</v>
      </c>
      <c r="C4945" s="83">
        <v>46044</v>
      </c>
      <c r="D4945" s="417" t="s">
        <v>681</v>
      </c>
      <c r="E4945">
        <v>1211.6567402999999</v>
      </c>
      <c r="F4945">
        <v>55</v>
      </c>
      <c r="G4945">
        <v>22.030122550909098</v>
      </c>
      <c r="H4945">
        <v>1.16713333333333</v>
      </c>
      <c r="I4945">
        <v>55.578713277951103</v>
      </c>
    </row>
    <row r="4946" spans="1:9" x14ac:dyDescent="0.35">
      <c r="A4946" s="417" t="s">
        <v>846</v>
      </c>
      <c r="B4946" s="417" t="s">
        <v>680</v>
      </c>
      <c r="C4946" s="83">
        <v>46044</v>
      </c>
      <c r="D4946" s="417" t="s">
        <v>683</v>
      </c>
      <c r="E4946">
        <v>1238.3398476499999</v>
      </c>
      <c r="F4946">
        <v>46</v>
      </c>
      <c r="G4946">
        <v>26.920431470652201</v>
      </c>
      <c r="H4946">
        <v>6.9945833333333303</v>
      </c>
      <c r="I4946">
        <v>53.581809379887801</v>
      </c>
    </row>
    <row r="4947" spans="1:9" x14ac:dyDescent="0.35">
      <c r="A4947" s="417" t="s">
        <v>846</v>
      </c>
      <c r="B4947" s="417" t="s">
        <v>680</v>
      </c>
      <c r="C4947" s="83">
        <v>46044</v>
      </c>
      <c r="D4947" s="417" t="s">
        <v>684</v>
      </c>
      <c r="E4947">
        <v>1262.30956846667</v>
      </c>
      <c r="F4947">
        <v>36</v>
      </c>
      <c r="G4947">
        <v>35.064154679629603</v>
      </c>
      <c r="H4947">
        <v>7.4980166666666701</v>
      </c>
      <c r="I4947">
        <v>52.625785947866497</v>
      </c>
    </row>
    <row r="4948" spans="1:9" x14ac:dyDescent="0.35">
      <c r="A4948" s="417" t="s">
        <v>846</v>
      </c>
      <c r="B4948" s="417" t="s">
        <v>680</v>
      </c>
      <c r="C4948" s="83">
        <v>46044</v>
      </c>
      <c r="D4948" s="417" t="s">
        <v>689</v>
      </c>
      <c r="E4948">
        <v>1267.7952650166701</v>
      </c>
      <c r="F4948">
        <v>26</v>
      </c>
      <c r="G4948">
        <v>48.761356346794898</v>
      </c>
      <c r="H4948">
        <v>2.53735</v>
      </c>
      <c r="I4948">
        <v>53.6715203398537</v>
      </c>
    </row>
    <row r="4949" spans="1:9" x14ac:dyDescent="0.35">
      <c r="A4949" s="417" t="s">
        <v>846</v>
      </c>
      <c r="B4949" s="417" t="s">
        <v>680</v>
      </c>
      <c r="C4949" s="83">
        <v>46044</v>
      </c>
      <c r="D4949" s="417" t="s">
        <v>687</v>
      </c>
      <c r="E4949">
        <v>1368.7720400333301</v>
      </c>
      <c r="F4949">
        <v>23</v>
      </c>
      <c r="G4949">
        <v>59.511827827536202</v>
      </c>
      <c r="H4949">
        <v>29.162800000000001</v>
      </c>
      <c r="I4949">
        <v>34.214984968187402</v>
      </c>
    </row>
    <row r="4950" spans="1:9" x14ac:dyDescent="0.35">
      <c r="A4950" s="417" t="s">
        <v>846</v>
      </c>
      <c r="B4950" s="417" t="s">
        <v>680</v>
      </c>
      <c r="C4950" s="83">
        <v>46044</v>
      </c>
      <c r="D4950" s="417" t="s">
        <v>685</v>
      </c>
      <c r="E4950">
        <v>1380.9768983500001</v>
      </c>
      <c r="F4950">
        <v>17</v>
      </c>
      <c r="G4950">
        <v>81.233935197058798</v>
      </c>
      <c r="H4950">
        <v>5.5133333333333301</v>
      </c>
      <c r="I4950">
        <v>48.789878742007303</v>
      </c>
    </row>
    <row r="4951" spans="1:9" x14ac:dyDescent="0.35">
      <c r="A4951" s="417" t="s">
        <v>846</v>
      </c>
      <c r="B4951" s="417" t="s">
        <v>680</v>
      </c>
      <c r="C4951" s="83">
        <v>46044</v>
      </c>
      <c r="D4951" s="417" t="s">
        <v>690</v>
      </c>
      <c r="E4951">
        <v>1338.8866809833301</v>
      </c>
      <c r="F4951">
        <v>16</v>
      </c>
      <c r="G4951">
        <v>83.680417561458299</v>
      </c>
      <c r="H4951">
        <v>11.841699999999999</v>
      </c>
      <c r="I4951">
        <v>48.947933641706797</v>
      </c>
    </row>
    <row r="4952" spans="1:9" x14ac:dyDescent="0.35">
      <c r="A4952" s="417" t="s">
        <v>846</v>
      </c>
      <c r="B4952" s="417" t="s">
        <v>680</v>
      </c>
      <c r="C4952" s="83">
        <v>46044</v>
      </c>
      <c r="D4952" s="417" t="s">
        <v>688</v>
      </c>
      <c r="E4952">
        <v>745.76167363333298</v>
      </c>
      <c r="F4952">
        <v>5</v>
      </c>
      <c r="G4952">
        <v>149.15233472666699</v>
      </c>
      <c r="H4952">
        <v>1.1670166666666699</v>
      </c>
      <c r="I4952">
        <v>24.652756664182</v>
      </c>
    </row>
    <row r="4953" spans="1:9" x14ac:dyDescent="0.35">
      <c r="A4953" s="417" t="s">
        <v>846</v>
      </c>
      <c r="B4953" s="417" t="s">
        <v>680</v>
      </c>
      <c r="C4953" s="83">
        <v>46044</v>
      </c>
      <c r="D4953" s="417" t="s">
        <v>686</v>
      </c>
      <c r="E4953">
        <v>1410.1011567</v>
      </c>
      <c r="F4953">
        <v>1</v>
      </c>
      <c r="G4953">
        <v>1410.1011567</v>
      </c>
      <c r="H4953">
        <v>0</v>
      </c>
      <c r="I4953">
        <v>28.716475052159598</v>
      </c>
    </row>
    <row r="4954" spans="1:9" x14ac:dyDescent="0.35">
      <c r="A4954" s="417" t="s">
        <v>846</v>
      </c>
      <c r="B4954" s="417" t="s">
        <v>691</v>
      </c>
      <c r="C4954" s="83">
        <v>46044</v>
      </c>
      <c r="D4954" s="417" t="s">
        <v>295</v>
      </c>
      <c r="E4954">
        <v>1306.63905</v>
      </c>
      <c r="F4954">
        <v>179</v>
      </c>
      <c r="G4954">
        <v>7.2996594972067097</v>
      </c>
      <c r="H4954">
        <v>2.21661666666667</v>
      </c>
      <c r="I4954">
        <v>68.039026285579496</v>
      </c>
    </row>
    <row r="4955" spans="1:9" x14ac:dyDescent="0.35">
      <c r="A4955" s="417" t="s">
        <v>846</v>
      </c>
      <c r="B4955" s="417" t="s">
        <v>691</v>
      </c>
      <c r="C4955" s="83">
        <v>46044</v>
      </c>
      <c r="D4955" s="417" t="s">
        <v>299</v>
      </c>
      <c r="E4955">
        <v>1055.1584499999999</v>
      </c>
      <c r="F4955">
        <v>147</v>
      </c>
      <c r="G4955">
        <v>7.1779486394557797</v>
      </c>
      <c r="H4955">
        <v>1.03685</v>
      </c>
      <c r="I4955">
        <v>18.287197053677499</v>
      </c>
    </row>
    <row r="4956" spans="1:9" x14ac:dyDescent="0.35">
      <c r="A4956" s="417" t="s">
        <v>846</v>
      </c>
      <c r="B4956" s="417" t="s">
        <v>691</v>
      </c>
      <c r="C4956" s="83">
        <v>46044</v>
      </c>
      <c r="D4956" s="417" t="s">
        <v>309</v>
      </c>
      <c r="E4956">
        <v>1354.2313833333301</v>
      </c>
      <c r="F4956">
        <v>114</v>
      </c>
      <c r="G4956">
        <v>11.8792226608187</v>
      </c>
      <c r="H4956">
        <v>0</v>
      </c>
      <c r="I4956">
        <v>33.049165230396497</v>
      </c>
    </row>
    <row r="4957" spans="1:9" x14ac:dyDescent="0.35">
      <c r="A4957" s="417" t="s">
        <v>846</v>
      </c>
      <c r="B4957" s="417" t="s">
        <v>691</v>
      </c>
      <c r="C4957" s="83">
        <v>46044</v>
      </c>
      <c r="D4957" s="417" t="s">
        <v>303</v>
      </c>
      <c r="E4957">
        <v>1262.25248333333</v>
      </c>
      <c r="F4957">
        <v>113</v>
      </c>
      <c r="G4957">
        <v>11.170375958702101</v>
      </c>
      <c r="H4957">
        <v>0.93318333333333303</v>
      </c>
      <c r="I4957">
        <v>69.574117210392501</v>
      </c>
    </row>
    <row r="4958" spans="1:9" x14ac:dyDescent="0.35">
      <c r="A4958" s="417" t="s">
        <v>846</v>
      </c>
      <c r="B4958" s="417" t="s">
        <v>691</v>
      </c>
      <c r="C4958" s="83">
        <v>46044</v>
      </c>
      <c r="D4958" s="417" t="s">
        <v>301</v>
      </c>
      <c r="E4958">
        <v>1368.4986166666699</v>
      </c>
      <c r="F4958">
        <v>100</v>
      </c>
      <c r="G4958">
        <v>13.6849861666667</v>
      </c>
      <c r="H4958">
        <v>1.65286666666667</v>
      </c>
      <c r="I4958">
        <v>49.109581722338902</v>
      </c>
    </row>
    <row r="4959" spans="1:9" x14ac:dyDescent="0.35">
      <c r="A4959" s="417" t="s">
        <v>846</v>
      </c>
      <c r="B4959" s="417" t="s">
        <v>691</v>
      </c>
      <c r="C4959" s="83">
        <v>46044</v>
      </c>
      <c r="D4959" s="417" t="s">
        <v>305</v>
      </c>
      <c r="E4959">
        <v>1352.8868666666699</v>
      </c>
      <c r="F4959">
        <v>98</v>
      </c>
      <c r="G4959">
        <v>13.804968027210901</v>
      </c>
      <c r="H4959">
        <v>1.7803500000000001</v>
      </c>
      <c r="I4959">
        <v>38.338899731159898</v>
      </c>
    </row>
    <row r="4960" spans="1:9" x14ac:dyDescent="0.35">
      <c r="A4960" s="417" t="s">
        <v>846</v>
      </c>
      <c r="B4960" s="417" t="s">
        <v>691</v>
      </c>
      <c r="C4960" s="83">
        <v>46044</v>
      </c>
      <c r="D4960" s="417" t="s">
        <v>342</v>
      </c>
      <c r="E4960">
        <v>1103.7493999999999</v>
      </c>
      <c r="F4960">
        <v>94</v>
      </c>
      <c r="G4960">
        <v>11.742014893617</v>
      </c>
      <c r="H4960">
        <v>176.4485</v>
      </c>
      <c r="I4960">
        <v>28.125</v>
      </c>
    </row>
    <row r="4961" spans="1:9" x14ac:dyDescent="0.35">
      <c r="A4961" s="417" t="s">
        <v>846</v>
      </c>
      <c r="B4961" s="417" t="s">
        <v>691</v>
      </c>
      <c r="C4961" s="83">
        <v>46044</v>
      </c>
      <c r="D4961" s="417" t="s">
        <v>504</v>
      </c>
      <c r="E4961">
        <v>1440</v>
      </c>
      <c r="F4961">
        <v>1</v>
      </c>
      <c r="G4961">
        <v>1440</v>
      </c>
      <c r="H4961">
        <v>0</v>
      </c>
      <c r="I4961">
        <v>30.5896604938272</v>
      </c>
    </row>
    <row r="4962" spans="1:9" x14ac:dyDescent="0.35">
      <c r="A4962" s="417" t="s">
        <v>846</v>
      </c>
      <c r="B4962" s="417" t="s">
        <v>676</v>
      </c>
      <c r="C4962" s="83">
        <v>46043</v>
      </c>
      <c r="D4962" s="417" t="s">
        <v>677</v>
      </c>
      <c r="E4962">
        <v>997.63448333333395</v>
      </c>
      <c r="F4962">
        <v>170</v>
      </c>
      <c r="G4962">
        <v>5.8684381372549002</v>
      </c>
      <c r="H4962">
        <v>150.00835000000001</v>
      </c>
      <c r="I4962">
        <v>19.4027777777778</v>
      </c>
    </row>
    <row r="4963" spans="1:9" x14ac:dyDescent="0.35">
      <c r="A4963" s="417" t="s">
        <v>846</v>
      </c>
      <c r="B4963" s="417" t="s">
        <v>676</v>
      </c>
      <c r="C4963" s="83">
        <v>46043</v>
      </c>
      <c r="D4963" s="417" t="s">
        <v>679</v>
      </c>
      <c r="E4963">
        <v>822.44399999999996</v>
      </c>
      <c r="F4963">
        <v>9</v>
      </c>
      <c r="G4963">
        <v>91.382666666666694</v>
      </c>
      <c r="H4963">
        <v>3.3377166666666702</v>
      </c>
      <c r="I4963">
        <v>35.930810523516797</v>
      </c>
    </row>
    <row r="4964" spans="1:9" x14ac:dyDescent="0.35">
      <c r="A4964" s="417" t="s">
        <v>846</v>
      </c>
      <c r="B4964" s="417" t="s">
        <v>680</v>
      </c>
      <c r="C4964" s="83">
        <v>46043</v>
      </c>
      <c r="D4964" s="417" t="s">
        <v>689</v>
      </c>
      <c r="E4964">
        <v>1311.68961666667</v>
      </c>
      <c r="F4964">
        <v>88</v>
      </c>
      <c r="G4964">
        <v>14.9055638257576</v>
      </c>
      <c r="H4964">
        <v>0.83273333333333299</v>
      </c>
      <c r="I4964">
        <v>82.791398762499995</v>
      </c>
    </row>
    <row r="4965" spans="1:9" x14ac:dyDescent="0.35">
      <c r="A4965" s="417" t="s">
        <v>846</v>
      </c>
      <c r="B4965" s="417" t="s">
        <v>680</v>
      </c>
      <c r="C4965" s="83">
        <v>46043</v>
      </c>
      <c r="D4965" s="417" t="s">
        <v>682</v>
      </c>
      <c r="E4965">
        <v>1398.4853333333299</v>
      </c>
      <c r="F4965">
        <v>55</v>
      </c>
      <c r="G4965">
        <v>25.4270060606061</v>
      </c>
      <c r="H4965">
        <v>41.514666666666699</v>
      </c>
      <c r="I4965">
        <v>67.8333333333334</v>
      </c>
    </row>
    <row r="4966" spans="1:9" x14ac:dyDescent="0.35">
      <c r="A4966" s="417" t="s">
        <v>846</v>
      </c>
      <c r="B4966" s="417" t="s">
        <v>680</v>
      </c>
      <c r="C4966" s="83">
        <v>46043</v>
      </c>
      <c r="D4966" s="417" t="s">
        <v>683</v>
      </c>
      <c r="E4966">
        <v>1408.34083333333</v>
      </c>
      <c r="F4966">
        <v>29</v>
      </c>
      <c r="G4966">
        <v>48.5634770114943</v>
      </c>
      <c r="H4966">
        <v>5.8302333333333296</v>
      </c>
      <c r="I4966">
        <v>72.156365472789801</v>
      </c>
    </row>
    <row r="4967" spans="1:9" x14ac:dyDescent="0.35">
      <c r="A4967" s="417" t="s">
        <v>846</v>
      </c>
      <c r="B4967" s="417" t="s">
        <v>680</v>
      </c>
      <c r="C4967" s="83">
        <v>46043</v>
      </c>
      <c r="D4967" s="417" t="s">
        <v>687</v>
      </c>
      <c r="E4967">
        <v>1408.7885166666699</v>
      </c>
      <c r="F4967">
        <v>20</v>
      </c>
      <c r="G4967">
        <v>70.439425833333303</v>
      </c>
      <c r="H4967">
        <v>17.6717166666667</v>
      </c>
      <c r="I4967">
        <v>36.2327278719643</v>
      </c>
    </row>
    <row r="4968" spans="1:9" x14ac:dyDescent="0.35">
      <c r="A4968" s="417" t="s">
        <v>846</v>
      </c>
      <c r="B4968" s="417" t="s">
        <v>680</v>
      </c>
      <c r="C4968" s="83">
        <v>46043</v>
      </c>
      <c r="D4968" s="417" t="s">
        <v>688</v>
      </c>
      <c r="E4968">
        <v>1421.16773333333</v>
      </c>
      <c r="F4968">
        <v>17</v>
      </c>
      <c r="G4968">
        <v>83.598101960784305</v>
      </c>
      <c r="H4968">
        <v>6.6610166666666704</v>
      </c>
      <c r="I4968">
        <v>68.541892616675895</v>
      </c>
    </row>
    <row r="4969" spans="1:9" x14ac:dyDescent="0.35">
      <c r="A4969" s="417" t="s">
        <v>846</v>
      </c>
      <c r="B4969" s="417" t="s">
        <v>680</v>
      </c>
      <c r="C4969" s="83">
        <v>46043</v>
      </c>
      <c r="D4969" s="417" t="s">
        <v>685</v>
      </c>
      <c r="E4969">
        <v>1399.4899333333301</v>
      </c>
      <c r="F4969">
        <v>12</v>
      </c>
      <c r="G4969">
        <v>116.62416111111099</v>
      </c>
      <c r="H4969">
        <v>7.8384833333333299</v>
      </c>
      <c r="I4969">
        <v>80.116481115751199</v>
      </c>
    </row>
    <row r="4970" spans="1:9" x14ac:dyDescent="0.35">
      <c r="A4970" s="417" t="s">
        <v>846</v>
      </c>
      <c r="B4970" s="417" t="s">
        <v>680</v>
      </c>
      <c r="C4970" s="83">
        <v>46043</v>
      </c>
      <c r="D4970" s="417" t="s">
        <v>684</v>
      </c>
      <c r="E4970">
        <v>1416.5488</v>
      </c>
      <c r="F4970">
        <v>12</v>
      </c>
      <c r="G4970">
        <v>118.045733333333</v>
      </c>
      <c r="H4970">
        <v>3.6596500000000001</v>
      </c>
      <c r="I4970">
        <v>68.856587871456597</v>
      </c>
    </row>
    <row r="4971" spans="1:9" x14ac:dyDescent="0.35">
      <c r="A4971" s="417" t="s">
        <v>846</v>
      </c>
      <c r="B4971" s="417" t="s">
        <v>680</v>
      </c>
      <c r="C4971" s="83">
        <v>46043</v>
      </c>
      <c r="D4971" s="417" t="s">
        <v>681</v>
      </c>
      <c r="E4971">
        <v>1376.4941166666699</v>
      </c>
      <c r="F4971">
        <v>11</v>
      </c>
      <c r="G4971">
        <v>125.13582878787901</v>
      </c>
      <c r="H4971">
        <v>0</v>
      </c>
      <c r="I4971">
        <v>72.284114864722198</v>
      </c>
    </row>
    <row r="4972" spans="1:9" x14ac:dyDescent="0.35">
      <c r="A4972" s="417" t="s">
        <v>846</v>
      </c>
      <c r="B4972" s="417" t="s">
        <v>680</v>
      </c>
      <c r="C4972" s="83">
        <v>46043</v>
      </c>
      <c r="D4972" s="417" t="s">
        <v>690</v>
      </c>
      <c r="E4972">
        <v>1430.1573000000001</v>
      </c>
      <c r="F4972">
        <v>5</v>
      </c>
      <c r="G4972">
        <v>286.03145999999998</v>
      </c>
      <c r="H4972">
        <v>1.0072666666666701</v>
      </c>
      <c r="I4972">
        <v>71.238782516149897</v>
      </c>
    </row>
    <row r="4973" spans="1:9" x14ac:dyDescent="0.35">
      <c r="A4973" s="417" t="s">
        <v>846</v>
      </c>
      <c r="B4973" s="417" t="s">
        <v>680</v>
      </c>
      <c r="C4973" s="83">
        <v>46043</v>
      </c>
      <c r="D4973" s="417" t="s">
        <v>686</v>
      </c>
      <c r="E4973">
        <v>1440</v>
      </c>
      <c r="F4973">
        <v>1</v>
      </c>
      <c r="G4973">
        <v>1440</v>
      </c>
      <c r="H4973">
        <v>0</v>
      </c>
      <c r="I4973">
        <v>33.656565656565597</v>
      </c>
    </row>
    <row r="4974" spans="1:9" x14ac:dyDescent="0.35">
      <c r="A4974" s="417" t="s">
        <v>846</v>
      </c>
      <c r="B4974" s="417" t="s">
        <v>691</v>
      </c>
      <c r="C4974" s="83">
        <v>46043</v>
      </c>
      <c r="D4974" s="417" t="s">
        <v>309</v>
      </c>
      <c r="E4974">
        <v>1346.6287500000001</v>
      </c>
      <c r="F4974">
        <v>70</v>
      </c>
      <c r="G4974">
        <v>19.237553571428599</v>
      </c>
      <c r="H4974">
        <v>0</v>
      </c>
      <c r="I4974">
        <v>18.656449216553099</v>
      </c>
    </row>
    <row r="4975" spans="1:9" x14ac:dyDescent="0.35">
      <c r="A4975" s="417" t="s">
        <v>846</v>
      </c>
      <c r="B4975" s="417" t="s">
        <v>691</v>
      </c>
      <c r="C4975" s="83">
        <v>46043</v>
      </c>
      <c r="D4975" s="417" t="s">
        <v>303</v>
      </c>
      <c r="E4975">
        <v>773.99879999999996</v>
      </c>
      <c r="F4975">
        <v>70</v>
      </c>
      <c r="G4975">
        <v>11.0571257142857</v>
      </c>
      <c r="H4975">
        <v>0.382516666666667</v>
      </c>
      <c r="I4975">
        <v>38.787180500442602</v>
      </c>
    </row>
    <row r="4976" spans="1:9" x14ac:dyDescent="0.35">
      <c r="A4976" s="417" t="s">
        <v>846</v>
      </c>
      <c r="B4976" s="417" t="s">
        <v>691</v>
      </c>
      <c r="C4976" s="83">
        <v>46043</v>
      </c>
      <c r="D4976" s="417" t="s">
        <v>299</v>
      </c>
      <c r="E4976">
        <v>1249.7272333333301</v>
      </c>
      <c r="F4976">
        <v>59</v>
      </c>
      <c r="G4976">
        <v>21.181817514124301</v>
      </c>
      <c r="H4976">
        <v>0.318516666666667</v>
      </c>
      <c r="I4976">
        <v>34.131993106559797</v>
      </c>
    </row>
    <row r="4977" spans="1:9" x14ac:dyDescent="0.35">
      <c r="A4977" s="417" t="s">
        <v>846</v>
      </c>
      <c r="B4977" s="417" t="s">
        <v>691</v>
      </c>
      <c r="C4977" s="83">
        <v>46043</v>
      </c>
      <c r="D4977" s="417" t="s">
        <v>295</v>
      </c>
      <c r="E4977">
        <v>1386.72648333333</v>
      </c>
      <c r="F4977">
        <v>53</v>
      </c>
      <c r="G4977">
        <v>26.164650628930801</v>
      </c>
      <c r="H4977">
        <v>7.44166666666667E-2</v>
      </c>
      <c r="I4977">
        <v>37.1412586557623</v>
      </c>
    </row>
    <row r="4978" spans="1:9" x14ac:dyDescent="0.35">
      <c r="A4978" s="417" t="s">
        <v>846</v>
      </c>
      <c r="B4978" s="417" t="s">
        <v>691</v>
      </c>
      <c r="C4978" s="83">
        <v>46043</v>
      </c>
      <c r="D4978" s="417" t="s">
        <v>301</v>
      </c>
      <c r="E4978">
        <v>1238.61713333333</v>
      </c>
      <c r="F4978">
        <v>48</v>
      </c>
      <c r="G4978">
        <v>25.804523611111101</v>
      </c>
      <c r="H4978">
        <v>0.28786666666666699</v>
      </c>
      <c r="I4978">
        <v>31.904706286630802</v>
      </c>
    </row>
    <row r="4979" spans="1:9" x14ac:dyDescent="0.35">
      <c r="A4979" s="417" t="s">
        <v>846</v>
      </c>
      <c r="B4979" s="417" t="s">
        <v>691</v>
      </c>
      <c r="C4979" s="83">
        <v>46043</v>
      </c>
      <c r="D4979" s="417" t="s">
        <v>305</v>
      </c>
      <c r="E4979">
        <v>828.99708333333297</v>
      </c>
      <c r="F4979">
        <v>47</v>
      </c>
      <c r="G4979">
        <v>17.638235815602801</v>
      </c>
      <c r="H4979">
        <v>0.42330000000000001</v>
      </c>
      <c r="I4979">
        <v>35.788598661350697</v>
      </c>
    </row>
    <row r="4980" spans="1:9" x14ac:dyDescent="0.35">
      <c r="A4980" s="417" t="s">
        <v>846</v>
      </c>
      <c r="B4980" s="417" t="s">
        <v>691</v>
      </c>
      <c r="C4980" s="83">
        <v>46043</v>
      </c>
      <c r="D4980" s="417" t="s">
        <v>342</v>
      </c>
      <c r="E4980">
        <v>636.20719999999994</v>
      </c>
      <c r="F4980">
        <v>39</v>
      </c>
      <c r="G4980">
        <v>16.313005128205099</v>
      </c>
      <c r="H4980">
        <v>61.516350000000003</v>
      </c>
      <c r="I4980">
        <v>15.493841592301299</v>
      </c>
    </row>
    <row r="4981" spans="1:9" x14ac:dyDescent="0.35">
      <c r="A4981" s="417" t="s">
        <v>846</v>
      </c>
      <c r="B4981" s="417" t="s">
        <v>691</v>
      </c>
      <c r="C4981" s="83">
        <v>46043</v>
      </c>
      <c r="D4981" s="417" t="s">
        <v>310</v>
      </c>
      <c r="E4981">
        <v>1078.7618500000001</v>
      </c>
      <c r="F4981">
        <v>5</v>
      </c>
      <c r="G4981">
        <v>215.75237000000001</v>
      </c>
      <c r="H4981">
        <v>0.44561666666666699</v>
      </c>
      <c r="I4981">
        <v>37.154784789603802</v>
      </c>
    </row>
    <row r="4982" spans="1:9" x14ac:dyDescent="0.35">
      <c r="A4982" s="417" t="s">
        <v>846</v>
      </c>
      <c r="B4982" s="417" t="s">
        <v>691</v>
      </c>
      <c r="C4982" s="83">
        <v>46043</v>
      </c>
      <c r="D4982" s="417" t="s">
        <v>314</v>
      </c>
      <c r="E4982">
        <v>834.60593333333304</v>
      </c>
      <c r="F4982">
        <v>2</v>
      </c>
      <c r="G4982">
        <v>417.30296666666698</v>
      </c>
      <c r="H4982">
        <v>2.5416666666666698E-2</v>
      </c>
      <c r="I4982">
        <v>35.498305368550596</v>
      </c>
    </row>
    <row r="4983" spans="1:9" x14ac:dyDescent="0.35">
      <c r="A4983" s="417" t="s">
        <v>846</v>
      </c>
      <c r="B4983" s="417" t="s">
        <v>691</v>
      </c>
      <c r="C4983" s="83">
        <v>46043</v>
      </c>
      <c r="D4983" s="417" t="s">
        <v>504</v>
      </c>
      <c r="E4983">
        <v>1440</v>
      </c>
      <c r="F4983">
        <v>1</v>
      </c>
      <c r="G4983">
        <v>1440</v>
      </c>
      <c r="H4983">
        <v>0</v>
      </c>
      <c r="I4983">
        <v>17.149999999999999</v>
      </c>
    </row>
    <row r="4984" spans="1:9" x14ac:dyDescent="0.35">
      <c r="A4984" s="417" t="s">
        <v>846</v>
      </c>
      <c r="B4984" s="417" t="s">
        <v>691</v>
      </c>
      <c r="C4984" s="83">
        <v>46043</v>
      </c>
      <c r="D4984" s="417" t="s">
        <v>317</v>
      </c>
      <c r="E4984">
        <v>840</v>
      </c>
      <c r="F4984">
        <v>1</v>
      </c>
      <c r="G4984">
        <v>840</v>
      </c>
      <c r="H4984">
        <v>0</v>
      </c>
      <c r="I4984">
        <v>28.428571428571399</v>
      </c>
    </row>
    <row r="4985" spans="1:9" x14ac:dyDescent="0.35">
      <c r="A4985" s="417" t="s">
        <v>846</v>
      </c>
      <c r="B4985" s="417" t="s">
        <v>691</v>
      </c>
      <c r="C4985" s="83">
        <v>46043</v>
      </c>
      <c r="D4985" s="417" t="s">
        <v>313</v>
      </c>
      <c r="E4985">
        <v>829.32146666666699</v>
      </c>
      <c r="F4985">
        <v>1</v>
      </c>
      <c r="G4985">
        <v>829.32146666666699</v>
      </c>
      <c r="H4985">
        <v>0</v>
      </c>
      <c r="I4985">
        <v>48.593942903684699</v>
      </c>
    </row>
    <row r="4986" spans="1:9" x14ac:dyDescent="0.35">
      <c r="A4986" s="417" t="s">
        <v>846</v>
      </c>
      <c r="B4986" s="417" t="s">
        <v>676</v>
      </c>
      <c r="C4986" s="83">
        <v>46042</v>
      </c>
      <c r="D4986" s="417" t="s">
        <v>677</v>
      </c>
      <c r="E4986">
        <v>1343.4957833333301</v>
      </c>
      <c r="F4986">
        <v>180</v>
      </c>
      <c r="G4986">
        <v>7.4638654629629597</v>
      </c>
      <c r="H4986">
        <v>96.504216666666693</v>
      </c>
      <c r="I4986">
        <v>42.489166666666598</v>
      </c>
    </row>
    <row r="4987" spans="1:9" x14ac:dyDescent="0.35">
      <c r="A4987" s="417" t="s">
        <v>846</v>
      </c>
      <c r="B4987" s="417" t="s">
        <v>676</v>
      </c>
      <c r="C4987" s="83">
        <v>46042</v>
      </c>
      <c r="D4987" s="417" t="s">
        <v>679</v>
      </c>
      <c r="E4987">
        <v>1324.5198499999999</v>
      </c>
      <c r="F4987">
        <v>21</v>
      </c>
      <c r="G4987">
        <v>63.072373809523803</v>
      </c>
      <c r="H4987">
        <v>11.1564333333333</v>
      </c>
      <c r="I4987">
        <v>77.321619476765903</v>
      </c>
    </row>
    <row r="4988" spans="1:9" x14ac:dyDescent="0.35">
      <c r="A4988" s="417" t="s">
        <v>846</v>
      </c>
      <c r="B4988" s="417" t="s">
        <v>680</v>
      </c>
      <c r="C4988" s="83">
        <v>46042</v>
      </c>
      <c r="D4988" s="417" t="s">
        <v>689</v>
      </c>
      <c r="E4988">
        <v>1292.0426833333299</v>
      </c>
      <c r="F4988">
        <v>107</v>
      </c>
      <c r="G4988">
        <v>12.0751652647975</v>
      </c>
      <c r="H4988">
        <v>5.4914500000000004</v>
      </c>
      <c r="I4988">
        <v>90.030152922049496</v>
      </c>
    </row>
    <row r="4989" spans="1:9" x14ac:dyDescent="0.35">
      <c r="A4989" s="417" t="s">
        <v>846</v>
      </c>
      <c r="B4989" s="417" t="s">
        <v>680</v>
      </c>
      <c r="C4989" s="83">
        <v>46042</v>
      </c>
      <c r="D4989" s="417" t="s">
        <v>687</v>
      </c>
      <c r="E4989">
        <v>1378.37016666667</v>
      </c>
      <c r="F4989">
        <v>33</v>
      </c>
      <c r="G4989">
        <v>41.7687929292929</v>
      </c>
      <c r="H4989">
        <v>35.813216666666698</v>
      </c>
      <c r="I4989">
        <v>29.9469969408933</v>
      </c>
    </row>
    <row r="4990" spans="1:9" x14ac:dyDescent="0.35">
      <c r="A4990" s="417" t="s">
        <v>846</v>
      </c>
      <c r="B4990" s="417" t="s">
        <v>680</v>
      </c>
      <c r="C4990" s="83">
        <v>46042</v>
      </c>
      <c r="D4990" s="417" t="s">
        <v>683</v>
      </c>
      <c r="E4990">
        <v>1420.8257333333299</v>
      </c>
      <c r="F4990">
        <v>29</v>
      </c>
      <c r="G4990">
        <v>48.993990804597701</v>
      </c>
      <c r="H4990">
        <v>2.1611500000000001</v>
      </c>
      <c r="I4990">
        <v>81.088565262605599</v>
      </c>
    </row>
    <row r="4991" spans="1:9" x14ac:dyDescent="0.35">
      <c r="A4991" s="417" t="s">
        <v>846</v>
      </c>
      <c r="B4991" s="417" t="s">
        <v>680</v>
      </c>
      <c r="C4991" s="83">
        <v>46042</v>
      </c>
      <c r="D4991" s="417" t="s">
        <v>681</v>
      </c>
      <c r="E4991">
        <v>1377.7989333333301</v>
      </c>
      <c r="F4991">
        <v>21</v>
      </c>
      <c r="G4991">
        <v>65.609473015872993</v>
      </c>
      <c r="H4991">
        <v>0</v>
      </c>
      <c r="I4991">
        <v>81.7817910001596</v>
      </c>
    </row>
    <row r="4992" spans="1:9" x14ac:dyDescent="0.35">
      <c r="A4992" s="417" t="s">
        <v>846</v>
      </c>
      <c r="B4992" s="417" t="s">
        <v>680</v>
      </c>
      <c r="C4992" s="83">
        <v>46042</v>
      </c>
      <c r="D4992" s="417" t="s">
        <v>684</v>
      </c>
      <c r="E4992">
        <v>1379.5008</v>
      </c>
      <c r="F4992">
        <v>19</v>
      </c>
      <c r="G4992">
        <v>72.605305263157902</v>
      </c>
      <c r="H4992">
        <v>2.8278166666666702</v>
      </c>
      <c r="I4992">
        <v>61.812246660983298</v>
      </c>
    </row>
    <row r="4993" spans="1:9" x14ac:dyDescent="0.35">
      <c r="A4993" s="417" t="s">
        <v>846</v>
      </c>
      <c r="B4993" s="417" t="s">
        <v>680</v>
      </c>
      <c r="C4993" s="83">
        <v>46042</v>
      </c>
      <c r="D4993" s="417" t="s">
        <v>682</v>
      </c>
      <c r="E4993">
        <v>1422.00786666667</v>
      </c>
      <c r="F4993">
        <v>17</v>
      </c>
      <c r="G4993">
        <v>83.647521568627496</v>
      </c>
      <c r="H4993">
        <v>7.8251499999999998</v>
      </c>
      <c r="I4993">
        <v>59.606060606060602</v>
      </c>
    </row>
    <row r="4994" spans="1:9" x14ac:dyDescent="0.35">
      <c r="A4994" s="417" t="s">
        <v>846</v>
      </c>
      <c r="B4994" s="417" t="s">
        <v>680</v>
      </c>
      <c r="C4994" s="83">
        <v>46042</v>
      </c>
      <c r="D4994" s="417" t="s">
        <v>688</v>
      </c>
      <c r="E4994">
        <v>1416.3176000000001</v>
      </c>
      <c r="F4994">
        <v>16</v>
      </c>
      <c r="G4994">
        <v>88.519850000000005</v>
      </c>
      <c r="H4994">
        <v>8.0062499999999996</v>
      </c>
      <c r="I4994">
        <v>79.017441865777101</v>
      </c>
    </row>
    <row r="4995" spans="1:9" x14ac:dyDescent="0.35">
      <c r="A4995" s="417" t="s">
        <v>846</v>
      </c>
      <c r="B4995" s="417" t="s">
        <v>680</v>
      </c>
      <c r="C4995" s="83">
        <v>46042</v>
      </c>
      <c r="D4995" s="417" t="s">
        <v>685</v>
      </c>
      <c r="E4995">
        <v>1424.8333666666699</v>
      </c>
      <c r="F4995">
        <v>15</v>
      </c>
      <c r="G4995">
        <v>94.988891111111101</v>
      </c>
      <c r="H4995">
        <v>3.3350666666666702</v>
      </c>
      <c r="I4995">
        <v>84.549050085975097</v>
      </c>
    </row>
    <row r="4996" spans="1:9" x14ac:dyDescent="0.35">
      <c r="A4996" s="417" t="s">
        <v>846</v>
      </c>
      <c r="B4996" s="417" t="s">
        <v>680</v>
      </c>
      <c r="C4996" s="83">
        <v>46042</v>
      </c>
      <c r="D4996" s="417" t="s">
        <v>690</v>
      </c>
      <c r="E4996">
        <v>1421.6449</v>
      </c>
      <c r="F4996">
        <v>10</v>
      </c>
      <c r="G4996">
        <v>142.16449</v>
      </c>
      <c r="H4996">
        <v>3.1776166666666699</v>
      </c>
      <c r="I4996">
        <v>80.748262567854596</v>
      </c>
    </row>
    <row r="4997" spans="1:9" x14ac:dyDescent="0.35">
      <c r="A4997" s="417" t="s">
        <v>846</v>
      </c>
      <c r="B4997" s="417" t="s">
        <v>680</v>
      </c>
      <c r="C4997" s="83">
        <v>46042</v>
      </c>
      <c r="D4997" s="417" t="s">
        <v>686</v>
      </c>
      <c r="E4997">
        <v>1440</v>
      </c>
      <c r="F4997">
        <v>1</v>
      </c>
      <c r="G4997">
        <v>1440</v>
      </c>
      <c r="H4997">
        <v>0</v>
      </c>
      <c r="I4997">
        <v>27.015151515151501</v>
      </c>
    </row>
    <row r="4998" spans="1:9" x14ac:dyDescent="0.35">
      <c r="A4998" s="417" t="s">
        <v>846</v>
      </c>
      <c r="B4998" s="417" t="s">
        <v>691</v>
      </c>
      <c r="C4998" s="83">
        <v>46042</v>
      </c>
      <c r="D4998" s="417" t="s">
        <v>305</v>
      </c>
      <c r="E4998">
        <v>1285.88083333333</v>
      </c>
      <c r="F4998">
        <v>174</v>
      </c>
      <c r="G4998">
        <v>7.3901197318007696</v>
      </c>
      <c r="H4998">
        <v>7.6887999999999996</v>
      </c>
      <c r="I4998">
        <v>50.062644175443701</v>
      </c>
    </row>
    <row r="4999" spans="1:9" x14ac:dyDescent="0.35">
      <c r="A4999" s="417" t="s">
        <v>846</v>
      </c>
      <c r="B4999" s="417" t="s">
        <v>691</v>
      </c>
      <c r="C4999" s="83">
        <v>46042</v>
      </c>
      <c r="D4999" s="417" t="s">
        <v>303</v>
      </c>
      <c r="E4999">
        <v>1316.3251166666701</v>
      </c>
      <c r="F4999">
        <v>167</v>
      </c>
      <c r="G4999">
        <v>7.8821863273453099</v>
      </c>
      <c r="H4999">
        <v>0.70448333333333302</v>
      </c>
      <c r="I4999">
        <v>61.851304685582697</v>
      </c>
    </row>
    <row r="5000" spans="1:9" x14ac:dyDescent="0.35">
      <c r="A5000" s="417" t="s">
        <v>846</v>
      </c>
      <c r="B5000" s="417" t="s">
        <v>691</v>
      </c>
      <c r="C5000" s="83">
        <v>46042</v>
      </c>
      <c r="D5000" s="417" t="s">
        <v>309</v>
      </c>
      <c r="E5000">
        <v>1280.6879166666699</v>
      </c>
      <c r="F5000">
        <v>160</v>
      </c>
      <c r="G5000">
        <v>8.0042994791666704</v>
      </c>
      <c r="H5000">
        <v>0</v>
      </c>
      <c r="I5000">
        <v>51.2707992112867</v>
      </c>
    </row>
    <row r="5001" spans="1:9" x14ac:dyDescent="0.35">
      <c r="A5001" s="417" t="s">
        <v>846</v>
      </c>
      <c r="B5001" s="417" t="s">
        <v>691</v>
      </c>
      <c r="C5001" s="83">
        <v>46042</v>
      </c>
      <c r="D5001" s="417" t="s">
        <v>342</v>
      </c>
      <c r="E5001">
        <v>1251.44615</v>
      </c>
      <c r="F5001">
        <v>91</v>
      </c>
      <c r="G5001">
        <v>13.7521554945055</v>
      </c>
      <c r="H5001">
        <v>165.740283333333</v>
      </c>
      <c r="I5001">
        <v>45.421235193418603</v>
      </c>
    </row>
    <row r="5002" spans="1:9" x14ac:dyDescent="0.35">
      <c r="A5002" s="417" t="s">
        <v>846</v>
      </c>
      <c r="B5002" s="417" t="s">
        <v>691</v>
      </c>
      <c r="C5002" s="83">
        <v>46042</v>
      </c>
      <c r="D5002" s="417" t="s">
        <v>299</v>
      </c>
      <c r="E5002">
        <v>1389.36443333333</v>
      </c>
      <c r="F5002">
        <v>75</v>
      </c>
      <c r="G5002">
        <v>18.524859111111098</v>
      </c>
      <c r="H5002">
        <v>7.3400000000000007E-2</v>
      </c>
      <c r="I5002">
        <v>83.710029163480499</v>
      </c>
    </row>
    <row r="5003" spans="1:9" x14ac:dyDescent="0.35">
      <c r="A5003" s="417" t="s">
        <v>846</v>
      </c>
      <c r="B5003" s="417" t="s">
        <v>691</v>
      </c>
      <c r="C5003" s="83">
        <v>46042</v>
      </c>
      <c r="D5003" s="417" t="s">
        <v>301</v>
      </c>
      <c r="E5003">
        <v>1328.7652166666701</v>
      </c>
      <c r="F5003">
        <v>75</v>
      </c>
      <c r="G5003">
        <v>17.716869555555601</v>
      </c>
      <c r="H5003">
        <v>5.8594999999999997</v>
      </c>
      <c r="I5003">
        <v>56.411941681428402</v>
      </c>
    </row>
    <row r="5004" spans="1:9" x14ac:dyDescent="0.35">
      <c r="A5004" s="417" t="s">
        <v>846</v>
      </c>
      <c r="B5004" s="417" t="s">
        <v>691</v>
      </c>
      <c r="C5004" s="83">
        <v>46042</v>
      </c>
      <c r="D5004" s="417" t="s">
        <v>295</v>
      </c>
      <c r="E5004">
        <v>1374.1762333333299</v>
      </c>
      <c r="F5004">
        <v>33</v>
      </c>
      <c r="G5004">
        <v>41.641704040404001</v>
      </c>
      <c r="H5004">
        <v>9.9650000000000002E-2</v>
      </c>
      <c r="I5004">
        <v>91.3147296611549</v>
      </c>
    </row>
    <row r="5005" spans="1:9" x14ac:dyDescent="0.35">
      <c r="A5005" s="417" t="s">
        <v>846</v>
      </c>
      <c r="B5005" s="417" t="s">
        <v>691</v>
      </c>
      <c r="C5005" s="83">
        <v>46042</v>
      </c>
      <c r="D5005" s="417" t="s">
        <v>310</v>
      </c>
      <c r="E5005">
        <v>1413.71146666667</v>
      </c>
      <c r="F5005">
        <v>15</v>
      </c>
      <c r="G5005">
        <v>94.247431111111098</v>
      </c>
      <c r="H5005">
        <v>2.0385666666666702</v>
      </c>
      <c r="I5005">
        <v>85.999208044413507</v>
      </c>
    </row>
    <row r="5006" spans="1:9" x14ac:dyDescent="0.35">
      <c r="A5006" s="417" t="s">
        <v>846</v>
      </c>
      <c r="B5006" s="417" t="s">
        <v>691</v>
      </c>
      <c r="C5006" s="83">
        <v>46042</v>
      </c>
      <c r="D5006" s="417" t="s">
        <v>314</v>
      </c>
      <c r="E5006">
        <v>1350.94086666667</v>
      </c>
      <c r="F5006">
        <v>13</v>
      </c>
      <c r="G5006">
        <v>103.918528205128</v>
      </c>
      <c r="H5006">
        <v>7.1719999999999997</v>
      </c>
      <c r="I5006">
        <v>51.800012670997504</v>
      </c>
    </row>
    <row r="5007" spans="1:9" x14ac:dyDescent="0.35">
      <c r="A5007" s="417" t="s">
        <v>846</v>
      </c>
      <c r="B5007" s="417" t="s">
        <v>691</v>
      </c>
      <c r="C5007" s="83">
        <v>46042</v>
      </c>
      <c r="D5007" s="417" t="s">
        <v>313</v>
      </c>
      <c r="E5007">
        <v>1351.12048333333</v>
      </c>
      <c r="F5007">
        <v>5</v>
      </c>
      <c r="G5007">
        <v>270.22409666666698</v>
      </c>
      <c r="H5007">
        <v>0</v>
      </c>
      <c r="I5007">
        <v>84.248570083585193</v>
      </c>
    </row>
    <row r="5008" spans="1:9" x14ac:dyDescent="0.35">
      <c r="A5008" s="417" t="s">
        <v>846</v>
      </c>
      <c r="B5008" s="417" t="s">
        <v>691</v>
      </c>
      <c r="C5008" s="83">
        <v>46042</v>
      </c>
      <c r="D5008" s="417" t="s">
        <v>504</v>
      </c>
      <c r="E5008">
        <v>1440</v>
      </c>
      <c r="F5008">
        <v>1</v>
      </c>
      <c r="G5008">
        <v>1440</v>
      </c>
      <c r="H5008">
        <v>0</v>
      </c>
      <c r="I5008">
        <v>40.667283950617303</v>
      </c>
    </row>
    <row r="5009" spans="1:9" x14ac:dyDescent="0.35">
      <c r="A5009" s="417" t="s">
        <v>846</v>
      </c>
      <c r="B5009" s="417" t="s">
        <v>691</v>
      </c>
      <c r="C5009" s="83">
        <v>46042</v>
      </c>
      <c r="D5009" s="417" t="s">
        <v>317</v>
      </c>
      <c r="E5009">
        <v>1439.53441666667</v>
      </c>
      <c r="F5009">
        <v>1</v>
      </c>
      <c r="G5009">
        <v>1439.53441666667</v>
      </c>
      <c r="H5009">
        <v>0</v>
      </c>
      <c r="I5009">
        <v>58.157692536354197</v>
      </c>
    </row>
    <row r="5010" spans="1:9" x14ac:dyDescent="0.35">
      <c r="A5010" s="417" t="s">
        <v>846</v>
      </c>
      <c r="B5010" s="417" t="s">
        <v>676</v>
      </c>
      <c r="C5010" s="83">
        <v>46041</v>
      </c>
      <c r="D5010" s="417" t="s">
        <v>677</v>
      </c>
      <c r="E5010">
        <v>1186.51383333333</v>
      </c>
      <c r="F5010">
        <v>265</v>
      </c>
      <c r="G5010">
        <v>4.4774106918239003</v>
      </c>
      <c r="H5010">
        <v>135.135983333333</v>
      </c>
      <c r="I5010">
        <v>35.915277777777703</v>
      </c>
    </row>
    <row r="5011" spans="1:9" x14ac:dyDescent="0.35">
      <c r="A5011" s="417" t="s">
        <v>846</v>
      </c>
      <c r="B5011" s="417" t="s">
        <v>676</v>
      </c>
      <c r="C5011" s="83">
        <v>46041</v>
      </c>
      <c r="D5011" s="417" t="s">
        <v>679</v>
      </c>
      <c r="E5011">
        <v>1244.3026500000001</v>
      </c>
      <c r="F5011">
        <v>32</v>
      </c>
      <c r="G5011">
        <v>38.884457812500003</v>
      </c>
      <c r="H5011">
        <v>30.832350000000002</v>
      </c>
      <c r="I5011">
        <v>75.318446485945699</v>
      </c>
    </row>
    <row r="5012" spans="1:9" x14ac:dyDescent="0.35">
      <c r="A5012" s="417" t="s">
        <v>846</v>
      </c>
      <c r="B5012" s="417" t="s">
        <v>680</v>
      </c>
      <c r="C5012" s="83">
        <v>46041</v>
      </c>
      <c r="D5012" s="417" t="s">
        <v>682</v>
      </c>
      <c r="E5012">
        <v>1386.67601666667</v>
      </c>
      <c r="F5012">
        <v>57</v>
      </c>
      <c r="G5012">
        <v>24.3276494152047</v>
      </c>
      <c r="H5012">
        <v>53.323983333333302</v>
      </c>
      <c r="I5012">
        <v>64</v>
      </c>
    </row>
    <row r="5013" spans="1:9" x14ac:dyDescent="0.35">
      <c r="A5013" s="417" t="s">
        <v>846</v>
      </c>
      <c r="B5013" s="417" t="s">
        <v>680</v>
      </c>
      <c r="C5013" s="83">
        <v>46041</v>
      </c>
      <c r="D5013" s="417" t="s">
        <v>689</v>
      </c>
      <c r="E5013">
        <v>1318.4862333333299</v>
      </c>
      <c r="F5013">
        <v>45</v>
      </c>
      <c r="G5013">
        <v>29.2996940740741</v>
      </c>
      <c r="H5013">
        <v>1.6667333333333301</v>
      </c>
      <c r="I5013">
        <v>100.26994934243</v>
      </c>
    </row>
    <row r="5014" spans="1:9" x14ac:dyDescent="0.35">
      <c r="A5014" s="417" t="s">
        <v>846</v>
      </c>
      <c r="B5014" s="417" t="s">
        <v>680</v>
      </c>
      <c r="C5014" s="83">
        <v>46041</v>
      </c>
      <c r="D5014" s="417" t="s">
        <v>687</v>
      </c>
      <c r="E5014">
        <v>1384.8576499999999</v>
      </c>
      <c r="F5014">
        <v>31</v>
      </c>
      <c r="G5014">
        <v>44.672827419354803</v>
      </c>
      <c r="H5014">
        <v>32.486883333333303</v>
      </c>
      <c r="I5014">
        <v>28.529535950643801</v>
      </c>
    </row>
    <row r="5015" spans="1:9" x14ac:dyDescent="0.35">
      <c r="A5015" s="417" t="s">
        <v>846</v>
      </c>
      <c r="B5015" s="417" t="s">
        <v>680</v>
      </c>
      <c r="C5015" s="83">
        <v>46041</v>
      </c>
      <c r="D5015" s="417" t="s">
        <v>683</v>
      </c>
      <c r="E5015">
        <v>1409.50011666667</v>
      </c>
      <c r="F5015">
        <v>29</v>
      </c>
      <c r="G5015">
        <v>48.603452298850598</v>
      </c>
      <c r="H5015">
        <v>0.66678333333333295</v>
      </c>
      <c r="I5015">
        <v>88.122193136697405</v>
      </c>
    </row>
    <row r="5016" spans="1:9" x14ac:dyDescent="0.35">
      <c r="A5016" s="417" t="s">
        <v>846</v>
      </c>
      <c r="B5016" s="417" t="s">
        <v>680</v>
      </c>
      <c r="C5016" s="83">
        <v>46041</v>
      </c>
      <c r="D5016" s="417" t="s">
        <v>681</v>
      </c>
      <c r="E5016">
        <v>1400.9807333333299</v>
      </c>
      <c r="F5016">
        <v>26</v>
      </c>
      <c r="G5016">
        <v>53.883874358974403</v>
      </c>
      <c r="H5016">
        <v>0.16685</v>
      </c>
      <c r="I5016">
        <v>88.443736313042706</v>
      </c>
    </row>
    <row r="5017" spans="1:9" x14ac:dyDescent="0.35">
      <c r="A5017" s="417" t="s">
        <v>846</v>
      </c>
      <c r="B5017" s="417" t="s">
        <v>680</v>
      </c>
      <c r="C5017" s="83">
        <v>46041</v>
      </c>
      <c r="D5017" s="417" t="s">
        <v>688</v>
      </c>
      <c r="E5017">
        <v>1409.84273333333</v>
      </c>
      <c r="F5017">
        <v>15</v>
      </c>
      <c r="G5017">
        <v>93.989515555555599</v>
      </c>
      <c r="H5017">
        <v>3.4997500000000001</v>
      </c>
      <c r="I5017">
        <v>87.451200114167904</v>
      </c>
    </row>
    <row r="5018" spans="1:9" x14ac:dyDescent="0.35">
      <c r="A5018" s="417" t="s">
        <v>846</v>
      </c>
      <c r="B5018" s="417" t="s">
        <v>680</v>
      </c>
      <c r="C5018" s="83">
        <v>46041</v>
      </c>
      <c r="D5018" s="417" t="s">
        <v>684</v>
      </c>
      <c r="E5018">
        <v>1415.8363666666701</v>
      </c>
      <c r="F5018">
        <v>11</v>
      </c>
      <c r="G5018">
        <v>128.71239696969701</v>
      </c>
      <c r="H5018">
        <v>11.996866666666699</v>
      </c>
      <c r="I5018">
        <v>65.039911518763205</v>
      </c>
    </row>
    <row r="5019" spans="1:9" x14ac:dyDescent="0.35">
      <c r="A5019" s="417" t="s">
        <v>846</v>
      </c>
      <c r="B5019" s="417" t="s">
        <v>680</v>
      </c>
      <c r="C5019" s="83">
        <v>46041</v>
      </c>
      <c r="D5019" s="417" t="s">
        <v>685</v>
      </c>
      <c r="E5019">
        <v>1431.5013833333301</v>
      </c>
      <c r="F5019">
        <v>11</v>
      </c>
      <c r="G5019">
        <v>130.136489393939</v>
      </c>
      <c r="H5019">
        <v>1.4998499999999999</v>
      </c>
      <c r="I5019">
        <v>94.023246427615902</v>
      </c>
    </row>
    <row r="5020" spans="1:9" x14ac:dyDescent="0.35">
      <c r="A5020" s="417" t="s">
        <v>846</v>
      </c>
      <c r="B5020" s="417" t="s">
        <v>680</v>
      </c>
      <c r="C5020" s="83">
        <v>46041</v>
      </c>
      <c r="D5020" s="417" t="s">
        <v>690</v>
      </c>
      <c r="E5020">
        <v>1429.3302000000001</v>
      </c>
      <c r="F5020">
        <v>4</v>
      </c>
      <c r="G5020">
        <v>357.33255000000003</v>
      </c>
      <c r="H5020">
        <v>1.83355</v>
      </c>
      <c r="I5020">
        <v>87.206843191264994</v>
      </c>
    </row>
    <row r="5021" spans="1:9" x14ac:dyDescent="0.35">
      <c r="A5021" s="417" t="s">
        <v>846</v>
      </c>
      <c r="B5021" s="417" t="s">
        <v>680</v>
      </c>
      <c r="C5021" s="83">
        <v>46041</v>
      </c>
      <c r="D5021" s="417" t="s">
        <v>686</v>
      </c>
      <c r="E5021">
        <v>1440</v>
      </c>
      <c r="F5021">
        <v>1</v>
      </c>
      <c r="G5021">
        <v>1440</v>
      </c>
      <c r="H5021">
        <v>0</v>
      </c>
      <c r="I5021">
        <v>24.9444444444444</v>
      </c>
    </row>
    <row r="5022" spans="1:9" x14ac:dyDescent="0.35">
      <c r="A5022" s="417" t="s">
        <v>846</v>
      </c>
      <c r="B5022" s="417" t="s">
        <v>691</v>
      </c>
      <c r="C5022" s="83">
        <v>46041</v>
      </c>
      <c r="D5022" s="417" t="s">
        <v>309</v>
      </c>
      <c r="E5022">
        <v>1253.0491833333299</v>
      </c>
      <c r="F5022">
        <v>209</v>
      </c>
      <c r="G5022">
        <v>5.9954506379585304</v>
      </c>
      <c r="H5022">
        <v>0</v>
      </c>
      <c r="I5022">
        <v>49.736297167399002</v>
      </c>
    </row>
    <row r="5023" spans="1:9" x14ac:dyDescent="0.35">
      <c r="A5023" s="417" t="s">
        <v>846</v>
      </c>
      <c r="B5023" s="417" t="s">
        <v>691</v>
      </c>
      <c r="C5023" s="83">
        <v>46041</v>
      </c>
      <c r="D5023" s="417" t="s">
        <v>342</v>
      </c>
      <c r="E5023">
        <v>1060.80641666667</v>
      </c>
      <c r="F5023">
        <v>129</v>
      </c>
      <c r="G5023">
        <v>8.2233055555555605</v>
      </c>
      <c r="H5023">
        <v>205.55041666666699</v>
      </c>
      <c r="I5023">
        <v>31.52662493983</v>
      </c>
    </row>
    <row r="5024" spans="1:9" x14ac:dyDescent="0.35">
      <c r="A5024" s="417" t="s">
        <v>846</v>
      </c>
      <c r="B5024" s="417" t="s">
        <v>691</v>
      </c>
      <c r="C5024" s="83">
        <v>46041</v>
      </c>
      <c r="D5024" s="417" t="s">
        <v>305</v>
      </c>
      <c r="E5024">
        <v>1315.08948333333</v>
      </c>
      <c r="F5024">
        <v>117</v>
      </c>
      <c r="G5024">
        <v>11.2400810541311</v>
      </c>
      <c r="H5024">
        <v>1.5412333333333299</v>
      </c>
      <c r="I5024">
        <v>50.606790608846701</v>
      </c>
    </row>
    <row r="5025" spans="1:9" x14ac:dyDescent="0.35">
      <c r="A5025" s="417" t="s">
        <v>846</v>
      </c>
      <c r="B5025" s="417" t="s">
        <v>691</v>
      </c>
      <c r="C5025" s="83">
        <v>46041</v>
      </c>
      <c r="D5025" s="417" t="s">
        <v>301</v>
      </c>
      <c r="E5025">
        <v>1283.41683333333</v>
      </c>
      <c r="F5025">
        <v>93</v>
      </c>
      <c r="G5025">
        <v>13.8001810035842</v>
      </c>
      <c r="H5025">
        <v>2.4107500000000002</v>
      </c>
      <c r="I5025">
        <v>64.233245096929295</v>
      </c>
    </row>
    <row r="5026" spans="1:9" x14ac:dyDescent="0.35">
      <c r="A5026" s="417" t="s">
        <v>846</v>
      </c>
      <c r="B5026" s="417" t="s">
        <v>691</v>
      </c>
      <c r="C5026" s="83">
        <v>46041</v>
      </c>
      <c r="D5026" s="417" t="s">
        <v>303</v>
      </c>
      <c r="E5026">
        <v>1379.22998333333</v>
      </c>
      <c r="F5026">
        <v>52</v>
      </c>
      <c r="G5026">
        <v>26.523653525640999</v>
      </c>
      <c r="H5026">
        <v>0.46981666666666699</v>
      </c>
      <c r="I5026">
        <v>60.573740992388302</v>
      </c>
    </row>
    <row r="5027" spans="1:9" x14ac:dyDescent="0.35">
      <c r="A5027" s="417" t="s">
        <v>846</v>
      </c>
      <c r="B5027" s="417" t="s">
        <v>691</v>
      </c>
      <c r="C5027" s="83">
        <v>46041</v>
      </c>
      <c r="D5027" s="417" t="s">
        <v>299</v>
      </c>
      <c r="E5027">
        <v>1378.9108333333299</v>
      </c>
      <c r="F5027">
        <v>48</v>
      </c>
      <c r="G5027">
        <v>28.7273090277778</v>
      </c>
      <c r="H5027">
        <v>0.89006666666666701</v>
      </c>
      <c r="I5027">
        <v>86.030596290750907</v>
      </c>
    </row>
    <row r="5028" spans="1:9" x14ac:dyDescent="0.35">
      <c r="A5028" s="417" t="s">
        <v>846</v>
      </c>
      <c r="B5028" s="417" t="s">
        <v>691</v>
      </c>
      <c r="C5028" s="83">
        <v>46041</v>
      </c>
      <c r="D5028" s="417" t="s">
        <v>310</v>
      </c>
      <c r="E5028">
        <v>1424.54565</v>
      </c>
      <c r="F5028">
        <v>26</v>
      </c>
      <c r="G5028">
        <v>54.790217307692302</v>
      </c>
      <c r="H5028">
        <v>3.2759499999999999</v>
      </c>
      <c r="I5028">
        <v>84.436434294690201</v>
      </c>
    </row>
    <row r="5029" spans="1:9" x14ac:dyDescent="0.35">
      <c r="A5029" s="417" t="s">
        <v>846</v>
      </c>
      <c r="B5029" s="417" t="s">
        <v>691</v>
      </c>
      <c r="C5029" s="83">
        <v>46041</v>
      </c>
      <c r="D5029" s="417" t="s">
        <v>295</v>
      </c>
      <c r="E5029">
        <v>1363.44403333333</v>
      </c>
      <c r="F5029">
        <v>23</v>
      </c>
      <c r="G5029">
        <v>59.2801753623189</v>
      </c>
      <c r="H5029">
        <v>3.6847166666666702</v>
      </c>
      <c r="I5029">
        <v>89.510141418012594</v>
      </c>
    </row>
    <row r="5030" spans="1:9" x14ac:dyDescent="0.35">
      <c r="A5030" s="417" t="s">
        <v>846</v>
      </c>
      <c r="B5030" s="417" t="s">
        <v>691</v>
      </c>
      <c r="C5030" s="83">
        <v>46041</v>
      </c>
      <c r="D5030" s="417" t="s">
        <v>314</v>
      </c>
      <c r="E5030">
        <v>1393.13636666667</v>
      </c>
      <c r="F5030">
        <v>21</v>
      </c>
      <c r="G5030">
        <v>66.339826984127001</v>
      </c>
      <c r="H5030">
        <v>2.5422166666666701</v>
      </c>
      <c r="I5030">
        <v>56.850398046581297</v>
      </c>
    </row>
    <row r="5031" spans="1:9" x14ac:dyDescent="0.35">
      <c r="A5031" s="417" t="s">
        <v>846</v>
      </c>
      <c r="B5031" s="417" t="s">
        <v>691</v>
      </c>
      <c r="C5031" s="83">
        <v>46041</v>
      </c>
      <c r="D5031" s="417" t="s">
        <v>313</v>
      </c>
      <c r="E5031">
        <v>1409.3118999999999</v>
      </c>
      <c r="F5031">
        <v>8</v>
      </c>
      <c r="G5031">
        <v>176.16398749999999</v>
      </c>
      <c r="H5031">
        <v>0</v>
      </c>
      <c r="I5031">
        <v>83.684769141995403</v>
      </c>
    </row>
    <row r="5032" spans="1:9" x14ac:dyDescent="0.35">
      <c r="A5032" s="417" t="s">
        <v>846</v>
      </c>
      <c r="B5032" s="417" t="s">
        <v>691</v>
      </c>
      <c r="C5032" s="83">
        <v>46041</v>
      </c>
      <c r="D5032" s="417" t="s">
        <v>317</v>
      </c>
      <c r="E5032">
        <v>1436.7347666666701</v>
      </c>
      <c r="F5032">
        <v>2</v>
      </c>
      <c r="G5032">
        <v>718.36738333333301</v>
      </c>
      <c r="H5032">
        <v>0.44895000000000002</v>
      </c>
      <c r="I5032">
        <v>58.325876523580199</v>
      </c>
    </row>
    <row r="5033" spans="1:9" x14ac:dyDescent="0.35">
      <c r="A5033" s="417" t="s">
        <v>846</v>
      </c>
      <c r="B5033" s="417" t="s">
        <v>691</v>
      </c>
      <c r="C5033" s="83">
        <v>46041</v>
      </c>
      <c r="D5033" s="417" t="s">
        <v>504</v>
      </c>
      <c r="E5033">
        <v>1440</v>
      </c>
      <c r="F5033">
        <v>1</v>
      </c>
      <c r="G5033">
        <v>1440</v>
      </c>
      <c r="H5033">
        <v>0</v>
      </c>
      <c r="I5033">
        <v>40.129166666666698</v>
      </c>
    </row>
    <row r="5034" spans="1:9" x14ac:dyDescent="0.35">
      <c r="A5034" s="417" t="s">
        <v>846</v>
      </c>
      <c r="B5034" s="417" t="s">
        <v>676</v>
      </c>
      <c r="C5034" s="83">
        <v>46040</v>
      </c>
      <c r="D5034" s="417" t="s">
        <v>677</v>
      </c>
      <c r="E5034">
        <v>1315.37433333333</v>
      </c>
      <c r="F5034">
        <v>274</v>
      </c>
      <c r="G5034">
        <v>4.8006362530413602</v>
      </c>
      <c r="H5034">
        <v>124.625666666667</v>
      </c>
      <c r="I5034">
        <v>45.4155555555555</v>
      </c>
    </row>
    <row r="5035" spans="1:9" x14ac:dyDescent="0.35">
      <c r="A5035" s="417" t="s">
        <v>846</v>
      </c>
      <c r="B5035" s="417" t="s">
        <v>676</v>
      </c>
      <c r="C5035" s="83">
        <v>46040</v>
      </c>
      <c r="D5035" s="417" t="s">
        <v>679</v>
      </c>
      <c r="E5035">
        <v>1358.1669666666701</v>
      </c>
      <c r="F5035">
        <v>14</v>
      </c>
      <c r="G5035">
        <v>97.011926190476203</v>
      </c>
      <c r="H5035">
        <v>6.0198</v>
      </c>
      <c r="I5035">
        <v>97.633014716973094</v>
      </c>
    </row>
    <row r="5036" spans="1:9" x14ac:dyDescent="0.35">
      <c r="A5036" s="417" t="s">
        <v>846</v>
      </c>
      <c r="B5036" s="417" t="s">
        <v>680</v>
      </c>
      <c r="C5036" s="83">
        <v>46040</v>
      </c>
      <c r="D5036" s="417" t="s">
        <v>682</v>
      </c>
      <c r="E5036">
        <v>1393.1469</v>
      </c>
      <c r="F5036">
        <v>42</v>
      </c>
      <c r="G5036">
        <v>33.1701642857143</v>
      </c>
      <c r="H5036">
        <v>46.853099999999998</v>
      </c>
      <c r="I5036">
        <v>59.383838383838402</v>
      </c>
    </row>
    <row r="5037" spans="1:9" x14ac:dyDescent="0.35">
      <c r="A5037" s="417" t="s">
        <v>846</v>
      </c>
      <c r="B5037" s="417" t="s">
        <v>680</v>
      </c>
      <c r="C5037" s="83">
        <v>46040</v>
      </c>
      <c r="D5037" s="417" t="s">
        <v>684</v>
      </c>
      <c r="E5037">
        <v>1397.3133166666701</v>
      </c>
      <c r="F5037">
        <v>35</v>
      </c>
      <c r="G5037">
        <v>39.923237619047597</v>
      </c>
      <c r="H5037">
        <v>12.0202166666667</v>
      </c>
      <c r="I5037">
        <v>61.810760159436001</v>
      </c>
    </row>
    <row r="5038" spans="1:9" x14ac:dyDescent="0.35">
      <c r="A5038" s="417" t="s">
        <v>846</v>
      </c>
      <c r="B5038" s="417" t="s">
        <v>680</v>
      </c>
      <c r="C5038" s="83">
        <v>46040</v>
      </c>
      <c r="D5038" s="417" t="s">
        <v>689</v>
      </c>
      <c r="E5038">
        <v>1378.8502000000001</v>
      </c>
      <c r="F5038">
        <v>34</v>
      </c>
      <c r="G5038">
        <v>40.554417647058798</v>
      </c>
      <c r="H5038">
        <v>6.4931666666666699</v>
      </c>
      <c r="I5038">
        <v>102.249289662731</v>
      </c>
    </row>
    <row r="5039" spans="1:9" x14ac:dyDescent="0.35">
      <c r="A5039" s="417" t="s">
        <v>846</v>
      </c>
      <c r="B5039" s="417" t="s">
        <v>680</v>
      </c>
      <c r="C5039" s="83">
        <v>46040</v>
      </c>
      <c r="D5039" s="417" t="s">
        <v>681</v>
      </c>
      <c r="E5039">
        <v>1385.31398333333</v>
      </c>
      <c r="F5039">
        <v>18</v>
      </c>
      <c r="G5039">
        <v>76.961887962963004</v>
      </c>
      <c r="H5039">
        <v>0</v>
      </c>
      <c r="I5039">
        <v>91.204747677881201</v>
      </c>
    </row>
    <row r="5040" spans="1:9" x14ac:dyDescent="0.35">
      <c r="A5040" s="417" t="s">
        <v>846</v>
      </c>
      <c r="B5040" s="417" t="s">
        <v>680</v>
      </c>
      <c r="C5040" s="83">
        <v>46040</v>
      </c>
      <c r="D5040" s="417" t="s">
        <v>690</v>
      </c>
      <c r="E5040">
        <v>1348.46816666667</v>
      </c>
      <c r="F5040">
        <v>18</v>
      </c>
      <c r="G5040">
        <v>74.914898148148097</v>
      </c>
      <c r="H5040">
        <v>13.3648333333333</v>
      </c>
      <c r="I5040">
        <v>76.659521909562699</v>
      </c>
    </row>
    <row r="5041" spans="1:9" x14ac:dyDescent="0.35">
      <c r="A5041" s="417" t="s">
        <v>846</v>
      </c>
      <c r="B5041" s="417" t="s">
        <v>680</v>
      </c>
      <c r="C5041" s="83">
        <v>46040</v>
      </c>
      <c r="D5041" s="417" t="s">
        <v>688</v>
      </c>
      <c r="E5041">
        <v>1422.83586666667</v>
      </c>
      <c r="F5041">
        <v>16</v>
      </c>
      <c r="G5041">
        <v>88.927241666666703</v>
      </c>
      <c r="H5041">
        <v>3.6744500000000002</v>
      </c>
      <c r="I5041">
        <v>86.620514908865999</v>
      </c>
    </row>
    <row r="5042" spans="1:9" x14ac:dyDescent="0.35">
      <c r="A5042" s="417" t="s">
        <v>846</v>
      </c>
      <c r="B5042" s="417" t="s">
        <v>680</v>
      </c>
      <c r="C5042" s="83">
        <v>46040</v>
      </c>
      <c r="D5042" s="417" t="s">
        <v>687</v>
      </c>
      <c r="E5042">
        <v>1398.8336999999999</v>
      </c>
      <c r="F5042">
        <v>16</v>
      </c>
      <c r="G5042">
        <v>87.427106249999994</v>
      </c>
      <c r="H5042">
        <v>28.002949999999998</v>
      </c>
      <c r="I5042">
        <v>37.851055148655398</v>
      </c>
    </row>
    <row r="5043" spans="1:9" x14ac:dyDescent="0.35">
      <c r="A5043" s="417" t="s">
        <v>846</v>
      </c>
      <c r="B5043" s="417" t="s">
        <v>680</v>
      </c>
      <c r="C5043" s="83">
        <v>46040</v>
      </c>
      <c r="D5043" s="417" t="s">
        <v>683</v>
      </c>
      <c r="E5043">
        <v>1392.1593333333301</v>
      </c>
      <c r="F5043">
        <v>14</v>
      </c>
      <c r="G5043">
        <v>99.439952380952406</v>
      </c>
      <c r="H5043">
        <v>4.1738666666666697</v>
      </c>
      <c r="I5043">
        <v>76.312987981446398</v>
      </c>
    </row>
    <row r="5044" spans="1:9" x14ac:dyDescent="0.35">
      <c r="A5044" s="417" t="s">
        <v>846</v>
      </c>
      <c r="B5044" s="417" t="s">
        <v>680</v>
      </c>
      <c r="C5044" s="83">
        <v>46040</v>
      </c>
      <c r="D5044" s="417" t="s">
        <v>685</v>
      </c>
      <c r="E5044">
        <v>1427.81823333333</v>
      </c>
      <c r="F5044">
        <v>7</v>
      </c>
      <c r="G5044">
        <v>203.97403333333301</v>
      </c>
      <c r="H5044">
        <v>5.6762499999999996</v>
      </c>
      <c r="I5044">
        <v>99.649202785611195</v>
      </c>
    </row>
    <row r="5045" spans="1:9" x14ac:dyDescent="0.35">
      <c r="A5045" s="417" t="s">
        <v>846</v>
      </c>
      <c r="B5045" s="417" t="s">
        <v>680</v>
      </c>
      <c r="C5045" s="83">
        <v>46040</v>
      </c>
      <c r="D5045" s="417" t="s">
        <v>686</v>
      </c>
      <c r="E5045">
        <v>1440</v>
      </c>
      <c r="F5045">
        <v>1</v>
      </c>
      <c r="G5045">
        <v>1440</v>
      </c>
      <c r="H5045">
        <v>0</v>
      </c>
      <c r="I5045">
        <v>31.247474747474801</v>
      </c>
    </row>
    <row r="5046" spans="1:9" x14ac:dyDescent="0.35">
      <c r="A5046" s="417" t="s">
        <v>846</v>
      </c>
      <c r="B5046" s="417" t="s">
        <v>691</v>
      </c>
      <c r="C5046" s="83">
        <v>46040</v>
      </c>
      <c r="D5046" s="417" t="s">
        <v>309</v>
      </c>
      <c r="E5046">
        <v>1305.7705166666699</v>
      </c>
      <c r="F5046">
        <v>139</v>
      </c>
      <c r="G5046">
        <v>9.3940324940047901</v>
      </c>
      <c r="H5046">
        <v>0</v>
      </c>
      <c r="I5046">
        <v>45.905809229378697</v>
      </c>
    </row>
    <row r="5047" spans="1:9" x14ac:dyDescent="0.35">
      <c r="A5047" s="417" t="s">
        <v>846</v>
      </c>
      <c r="B5047" s="417" t="s">
        <v>691</v>
      </c>
      <c r="C5047" s="83">
        <v>46040</v>
      </c>
      <c r="D5047" s="417" t="s">
        <v>342</v>
      </c>
      <c r="E5047">
        <v>1265.22101666667</v>
      </c>
      <c r="F5047">
        <v>119</v>
      </c>
      <c r="G5047">
        <v>10.6321093837535</v>
      </c>
      <c r="H5047">
        <v>174.778983333333</v>
      </c>
      <c r="I5047">
        <v>46.398809523809497</v>
      </c>
    </row>
    <row r="5048" spans="1:9" x14ac:dyDescent="0.35">
      <c r="A5048" s="417" t="s">
        <v>846</v>
      </c>
      <c r="B5048" s="417" t="s">
        <v>691</v>
      </c>
      <c r="C5048" s="83">
        <v>46040</v>
      </c>
      <c r="D5048" s="417" t="s">
        <v>305</v>
      </c>
      <c r="E5048">
        <v>1344.68073333333</v>
      </c>
      <c r="F5048">
        <v>107</v>
      </c>
      <c r="G5048">
        <v>12.5671096573209</v>
      </c>
      <c r="H5048">
        <v>2.1178833333333298</v>
      </c>
      <c r="I5048">
        <v>48.955917440125901</v>
      </c>
    </row>
    <row r="5049" spans="1:9" x14ac:dyDescent="0.35">
      <c r="A5049" s="417" t="s">
        <v>846</v>
      </c>
      <c r="B5049" s="417" t="s">
        <v>691</v>
      </c>
      <c r="C5049" s="83">
        <v>46040</v>
      </c>
      <c r="D5049" s="417" t="s">
        <v>299</v>
      </c>
      <c r="E5049">
        <v>1373.2816333333301</v>
      </c>
      <c r="F5049">
        <v>62</v>
      </c>
      <c r="G5049">
        <v>22.1497037634409</v>
      </c>
      <c r="H5049">
        <v>0.33901666666666702</v>
      </c>
      <c r="I5049">
        <v>83.877606824178201</v>
      </c>
    </row>
    <row r="5050" spans="1:9" x14ac:dyDescent="0.35">
      <c r="A5050" s="417" t="s">
        <v>846</v>
      </c>
      <c r="B5050" s="417" t="s">
        <v>691</v>
      </c>
      <c r="C5050" s="83">
        <v>46040</v>
      </c>
      <c r="D5050" s="417" t="s">
        <v>303</v>
      </c>
      <c r="E5050">
        <v>1359.7162166666701</v>
      </c>
      <c r="F5050">
        <v>52</v>
      </c>
      <c r="G5050">
        <v>26.148388782051299</v>
      </c>
      <c r="H5050">
        <v>6.8333333333333302E-2</v>
      </c>
      <c r="I5050">
        <v>50.383000578554899</v>
      </c>
    </row>
    <row r="5051" spans="1:9" x14ac:dyDescent="0.35">
      <c r="A5051" s="417" t="s">
        <v>846</v>
      </c>
      <c r="B5051" s="417" t="s">
        <v>691</v>
      </c>
      <c r="C5051" s="83">
        <v>46040</v>
      </c>
      <c r="D5051" s="417" t="s">
        <v>301</v>
      </c>
      <c r="E5051">
        <v>1369.21011666667</v>
      </c>
      <c r="F5051">
        <v>39</v>
      </c>
      <c r="G5051">
        <v>35.107951709401704</v>
      </c>
      <c r="H5051">
        <v>0.43604999999999999</v>
      </c>
      <c r="I5051">
        <v>70.435703429706905</v>
      </c>
    </row>
    <row r="5052" spans="1:9" x14ac:dyDescent="0.35">
      <c r="A5052" s="417" t="s">
        <v>846</v>
      </c>
      <c r="B5052" s="417" t="s">
        <v>691</v>
      </c>
      <c r="C5052" s="83">
        <v>46040</v>
      </c>
      <c r="D5052" s="417" t="s">
        <v>295</v>
      </c>
      <c r="E5052">
        <v>1319.64141666667</v>
      </c>
      <c r="F5052">
        <v>24</v>
      </c>
      <c r="G5052">
        <v>54.985059027777801</v>
      </c>
      <c r="H5052">
        <v>9.325E-2</v>
      </c>
      <c r="I5052">
        <v>82.068929757917502</v>
      </c>
    </row>
    <row r="5053" spans="1:9" x14ac:dyDescent="0.35">
      <c r="A5053" s="417" t="s">
        <v>846</v>
      </c>
      <c r="B5053" s="417" t="s">
        <v>691</v>
      </c>
      <c r="C5053" s="83">
        <v>46040</v>
      </c>
      <c r="D5053" s="417" t="s">
        <v>310</v>
      </c>
      <c r="E5053">
        <v>1376.1656499999999</v>
      </c>
      <c r="F5053">
        <v>16</v>
      </c>
      <c r="G5053">
        <v>86.010353124999995</v>
      </c>
      <c r="H5053">
        <v>6.7583333333333301E-2</v>
      </c>
      <c r="I5053">
        <v>75.843182159769597</v>
      </c>
    </row>
    <row r="5054" spans="1:9" x14ac:dyDescent="0.35">
      <c r="A5054" s="417" t="s">
        <v>846</v>
      </c>
      <c r="B5054" s="417" t="s">
        <v>691</v>
      </c>
      <c r="C5054" s="83">
        <v>46040</v>
      </c>
      <c r="D5054" s="417" t="s">
        <v>314</v>
      </c>
      <c r="E5054">
        <v>1423.01823333333</v>
      </c>
      <c r="F5054">
        <v>5</v>
      </c>
      <c r="G5054">
        <v>284.60364666666698</v>
      </c>
      <c r="H5054">
        <v>6.7633333333333295E-2</v>
      </c>
      <c r="I5054">
        <v>61.258572889623501</v>
      </c>
    </row>
    <row r="5055" spans="1:9" x14ac:dyDescent="0.35">
      <c r="A5055" s="417" t="s">
        <v>846</v>
      </c>
      <c r="B5055" s="417" t="s">
        <v>691</v>
      </c>
      <c r="C5055" s="83">
        <v>46040</v>
      </c>
      <c r="D5055" s="417" t="s">
        <v>313</v>
      </c>
      <c r="E5055">
        <v>1387.9738</v>
      </c>
      <c r="F5055">
        <v>4</v>
      </c>
      <c r="G5055">
        <v>346.99345</v>
      </c>
      <c r="H5055">
        <v>0</v>
      </c>
      <c r="I5055">
        <v>80.453567704155205</v>
      </c>
    </row>
    <row r="5056" spans="1:9" x14ac:dyDescent="0.35">
      <c r="A5056" s="417" t="s">
        <v>846</v>
      </c>
      <c r="B5056" s="417" t="s">
        <v>691</v>
      </c>
      <c r="C5056" s="83">
        <v>46040</v>
      </c>
      <c r="D5056" s="417" t="s">
        <v>317</v>
      </c>
      <c r="E5056">
        <v>1438.9705166666699</v>
      </c>
      <c r="F5056">
        <v>3</v>
      </c>
      <c r="G5056">
        <v>479.65683888888901</v>
      </c>
      <c r="H5056">
        <v>0.27141666666666697</v>
      </c>
      <c r="I5056">
        <v>48.643663291448497</v>
      </c>
    </row>
    <row r="5057" spans="1:9" x14ac:dyDescent="0.35">
      <c r="A5057" s="417" t="s">
        <v>846</v>
      </c>
      <c r="B5057" s="417" t="s">
        <v>691</v>
      </c>
      <c r="C5057" s="83">
        <v>46040</v>
      </c>
      <c r="D5057" s="417" t="s">
        <v>504</v>
      </c>
      <c r="E5057">
        <v>1440</v>
      </c>
      <c r="F5057">
        <v>1</v>
      </c>
      <c r="G5057">
        <v>1440</v>
      </c>
      <c r="H5057">
        <v>0</v>
      </c>
      <c r="I5057">
        <v>32.932716049382698</v>
      </c>
    </row>
    <row r="5058" spans="1:9" x14ac:dyDescent="0.35">
      <c r="A5058" s="417" t="s">
        <v>846</v>
      </c>
      <c r="B5058" s="417" t="s">
        <v>676</v>
      </c>
      <c r="C5058" s="83">
        <v>46039</v>
      </c>
      <c r="D5058" s="417" t="s">
        <v>677</v>
      </c>
      <c r="E5058">
        <v>1349.5142499999999</v>
      </c>
      <c r="F5058">
        <v>207</v>
      </c>
      <c r="G5058">
        <v>6.5193925120773004</v>
      </c>
      <c r="H5058">
        <v>90.485749999999996</v>
      </c>
      <c r="I5058">
        <v>46.0283333333333</v>
      </c>
    </row>
    <row r="5059" spans="1:9" x14ac:dyDescent="0.35">
      <c r="A5059" s="417" t="s">
        <v>846</v>
      </c>
      <c r="B5059" s="417" t="s">
        <v>676</v>
      </c>
      <c r="C5059" s="83">
        <v>46039</v>
      </c>
      <c r="D5059" s="417" t="s">
        <v>679</v>
      </c>
      <c r="E5059">
        <v>1364.0087000000001</v>
      </c>
      <c r="F5059">
        <v>27</v>
      </c>
      <c r="G5059">
        <v>50.5188407407407</v>
      </c>
      <c r="H5059">
        <v>14.6567333333333</v>
      </c>
      <c r="I5059">
        <v>107.677804257223</v>
      </c>
    </row>
    <row r="5060" spans="1:9" x14ac:dyDescent="0.35">
      <c r="A5060" s="417" t="s">
        <v>846</v>
      </c>
      <c r="B5060" s="417" t="s">
        <v>680</v>
      </c>
      <c r="C5060" s="83">
        <v>46039</v>
      </c>
      <c r="D5060" s="417" t="s">
        <v>689</v>
      </c>
      <c r="E5060">
        <v>1326.2577166666699</v>
      </c>
      <c r="F5060">
        <v>88</v>
      </c>
      <c r="G5060">
        <v>15.0711104166667</v>
      </c>
      <c r="H5060">
        <v>0.49214999999999998</v>
      </c>
      <c r="I5060">
        <v>81.861221323778807</v>
      </c>
    </row>
    <row r="5061" spans="1:9" x14ac:dyDescent="0.35">
      <c r="A5061" s="417" t="s">
        <v>846</v>
      </c>
      <c r="B5061" s="417" t="s">
        <v>680</v>
      </c>
      <c r="C5061" s="83">
        <v>46039</v>
      </c>
      <c r="D5061" s="417" t="s">
        <v>682</v>
      </c>
      <c r="E5061">
        <v>1423.1578999999999</v>
      </c>
      <c r="F5061">
        <v>35</v>
      </c>
      <c r="G5061">
        <v>40.661654285714299</v>
      </c>
      <c r="H5061">
        <v>16.842099999999999</v>
      </c>
      <c r="I5061">
        <v>49.085858585858603</v>
      </c>
    </row>
    <row r="5062" spans="1:9" x14ac:dyDescent="0.35">
      <c r="A5062" s="417" t="s">
        <v>846</v>
      </c>
      <c r="B5062" s="417" t="s">
        <v>680</v>
      </c>
      <c r="C5062" s="83">
        <v>46039</v>
      </c>
      <c r="D5062" s="417" t="s">
        <v>688</v>
      </c>
      <c r="E5062">
        <v>1393.64813333333</v>
      </c>
      <c r="F5062">
        <v>34</v>
      </c>
      <c r="G5062">
        <v>40.989650980392199</v>
      </c>
      <c r="H5062">
        <v>14.509733333333299</v>
      </c>
      <c r="I5062">
        <v>60.780137895798099</v>
      </c>
    </row>
    <row r="5063" spans="1:9" x14ac:dyDescent="0.35">
      <c r="A5063" s="417" t="s">
        <v>846</v>
      </c>
      <c r="B5063" s="417" t="s">
        <v>680</v>
      </c>
      <c r="C5063" s="83">
        <v>46039</v>
      </c>
      <c r="D5063" s="417" t="s">
        <v>681</v>
      </c>
      <c r="E5063">
        <v>1355.5262166666701</v>
      </c>
      <c r="F5063">
        <v>30</v>
      </c>
      <c r="G5063">
        <v>45.184207222222199</v>
      </c>
      <c r="H5063">
        <v>0.50029999999999997</v>
      </c>
      <c r="I5063">
        <v>66.881167042405096</v>
      </c>
    </row>
    <row r="5064" spans="1:9" x14ac:dyDescent="0.35">
      <c r="A5064" s="417" t="s">
        <v>846</v>
      </c>
      <c r="B5064" s="417" t="s">
        <v>680</v>
      </c>
      <c r="C5064" s="83">
        <v>46039</v>
      </c>
      <c r="D5064" s="417" t="s">
        <v>683</v>
      </c>
      <c r="E5064">
        <v>1383.6687666666701</v>
      </c>
      <c r="F5064">
        <v>25</v>
      </c>
      <c r="G5064">
        <v>55.346750666666701</v>
      </c>
      <c r="H5064">
        <v>4.0020666666666704</v>
      </c>
      <c r="I5064">
        <v>67.388900131932104</v>
      </c>
    </row>
    <row r="5065" spans="1:9" x14ac:dyDescent="0.35">
      <c r="A5065" s="417" t="s">
        <v>846</v>
      </c>
      <c r="B5065" s="417" t="s">
        <v>680</v>
      </c>
      <c r="C5065" s="83">
        <v>46039</v>
      </c>
      <c r="D5065" s="417" t="s">
        <v>684</v>
      </c>
      <c r="E5065">
        <v>1392.3327999999999</v>
      </c>
      <c r="F5065">
        <v>21</v>
      </c>
      <c r="G5065">
        <v>66.301561904761897</v>
      </c>
      <c r="H5065">
        <v>3.5076666666666698</v>
      </c>
      <c r="I5065">
        <v>49.538950247580402</v>
      </c>
    </row>
    <row r="5066" spans="1:9" x14ac:dyDescent="0.35">
      <c r="A5066" s="417" t="s">
        <v>846</v>
      </c>
      <c r="B5066" s="417" t="s">
        <v>680</v>
      </c>
      <c r="C5066" s="83">
        <v>46039</v>
      </c>
      <c r="D5066" s="417" t="s">
        <v>690</v>
      </c>
      <c r="E5066">
        <v>1404.85635</v>
      </c>
      <c r="F5066">
        <v>19</v>
      </c>
      <c r="G5066">
        <v>73.939807894736902</v>
      </c>
      <c r="H5066">
        <v>19.976016666666698</v>
      </c>
      <c r="I5066">
        <v>64.788482794427907</v>
      </c>
    </row>
    <row r="5067" spans="1:9" x14ac:dyDescent="0.35">
      <c r="A5067" s="417" t="s">
        <v>846</v>
      </c>
      <c r="B5067" s="417" t="s">
        <v>680</v>
      </c>
      <c r="C5067" s="83">
        <v>46039</v>
      </c>
      <c r="D5067" s="417" t="s">
        <v>687</v>
      </c>
      <c r="E5067">
        <v>1369.15163333333</v>
      </c>
      <c r="F5067">
        <v>15</v>
      </c>
      <c r="G5067">
        <v>91.276775555555602</v>
      </c>
      <c r="H5067">
        <v>14.0009</v>
      </c>
      <c r="I5067">
        <v>22.092876559445902</v>
      </c>
    </row>
    <row r="5068" spans="1:9" x14ac:dyDescent="0.35">
      <c r="A5068" s="417" t="s">
        <v>846</v>
      </c>
      <c r="B5068" s="417" t="s">
        <v>680</v>
      </c>
      <c r="C5068" s="83">
        <v>46039</v>
      </c>
      <c r="D5068" s="417" t="s">
        <v>685</v>
      </c>
      <c r="E5068">
        <v>1414.6690166666699</v>
      </c>
      <c r="F5068">
        <v>11</v>
      </c>
      <c r="G5068">
        <v>128.60627424242401</v>
      </c>
      <c r="H5068">
        <v>4.1792499999999997</v>
      </c>
      <c r="I5068">
        <v>77.797112589226202</v>
      </c>
    </row>
    <row r="5069" spans="1:9" x14ac:dyDescent="0.35">
      <c r="A5069" s="417" t="s">
        <v>846</v>
      </c>
      <c r="B5069" s="417" t="s">
        <v>680</v>
      </c>
      <c r="C5069" s="83">
        <v>46039</v>
      </c>
      <c r="D5069" s="417" t="s">
        <v>686</v>
      </c>
      <c r="E5069">
        <v>1440</v>
      </c>
      <c r="F5069">
        <v>1</v>
      </c>
      <c r="G5069">
        <v>1440</v>
      </c>
      <c r="H5069">
        <v>0</v>
      </c>
      <c r="I5069">
        <v>16.989898989899</v>
      </c>
    </row>
    <row r="5070" spans="1:9" x14ac:dyDescent="0.35">
      <c r="A5070" s="417" t="s">
        <v>846</v>
      </c>
      <c r="B5070" s="417" t="s">
        <v>691</v>
      </c>
      <c r="C5070" s="83">
        <v>46039</v>
      </c>
      <c r="D5070" s="417" t="s">
        <v>309</v>
      </c>
      <c r="E5070">
        <v>1302.4268833333299</v>
      </c>
      <c r="F5070">
        <v>187</v>
      </c>
      <c r="G5070">
        <v>6.9648496434937597</v>
      </c>
      <c r="H5070">
        <v>0</v>
      </c>
      <c r="I5070">
        <v>50.183937453242699</v>
      </c>
    </row>
    <row r="5071" spans="1:9" x14ac:dyDescent="0.35">
      <c r="A5071" s="417" t="s">
        <v>846</v>
      </c>
      <c r="B5071" s="417" t="s">
        <v>691</v>
      </c>
      <c r="C5071" s="83">
        <v>46039</v>
      </c>
      <c r="D5071" s="417" t="s">
        <v>305</v>
      </c>
      <c r="E5071">
        <v>1316.2833000000001</v>
      </c>
      <c r="F5071">
        <v>174</v>
      </c>
      <c r="G5071">
        <v>7.5648465517241403</v>
      </c>
      <c r="H5071">
        <v>2.6303666666666699</v>
      </c>
      <c r="I5071">
        <v>53.417407041237098</v>
      </c>
    </row>
    <row r="5072" spans="1:9" x14ac:dyDescent="0.35">
      <c r="A5072" s="417" t="s">
        <v>846</v>
      </c>
      <c r="B5072" s="417" t="s">
        <v>691</v>
      </c>
      <c r="C5072" s="83">
        <v>46039</v>
      </c>
      <c r="D5072" s="417" t="s">
        <v>342</v>
      </c>
      <c r="E5072">
        <v>1145.34005</v>
      </c>
      <c r="F5072">
        <v>145</v>
      </c>
      <c r="G5072">
        <v>7.8988968965517303</v>
      </c>
      <c r="H5072">
        <v>234.71043333333299</v>
      </c>
      <c r="I5072">
        <v>47.243742288209503</v>
      </c>
    </row>
    <row r="5073" spans="1:9" x14ac:dyDescent="0.35">
      <c r="A5073" s="417" t="s">
        <v>846</v>
      </c>
      <c r="B5073" s="417" t="s">
        <v>691</v>
      </c>
      <c r="C5073" s="83">
        <v>46039</v>
      </c>
      <c r="D5073" s="417" t="s">
        <v>299</v>
      </c>
      <c r="E5073">
        <v>1371.97918333333</v>
      </c>
      <c r="F5073">
        <v>79</v>
      </c>
      <c r="G5073">
        <v>17.366825105485201</v>
      </c>
      <c r="H5073">
        <v>0.45895000000000002</v>
      </c>
      <c r="I5073">
        <v>88.638148095054802</v>
      </c>
    </row>
    <row r="5074" spans="1:9" x14ac:dyDescent="0.35">
      <c r="A5074" s="417" t="s">
        <v>846</v>
      </c>
      <c r="B5074" s="417" t="s">
        <v>691</v>
      </c>
      <c r="C5074" s="83">
        <v>46039</v>
      </c>
      <c r="D5074" s="417" t="s">
        <v>303</v>
      </c>
      <c r="E5074">
        <v>1374.15296666667</v>
      </c>
      <c r="F5074">
        <v>48</v>
      </c>
      <c r="G5074">
        <v>28.6281868055556</v>
      </c>
      <c r="H5074">
        <v>0.24099999999999999</v>
      </c>
      <c r="I5074">
        <v>57.319922135679903</v>
      </c>
    </row>
    <row r="5075" spans="1:9" x14ac:dyDescent="0.35">
      <c r="A5075" s="417" t="s">
        <v>846</v>
      </c>
      <c r="B5075" s="417" t="s">
        <v>691</v>
      </c>
      <c r="C5075" s="83">
        <v>46039</v>
      </c>
      <c r="D5075" s="417" t="s">
        <v>301</v>
      </c>
      <c r="E5075">
        <v>1325.53093333333</v>
      </c>
      <c r="F5075">
        <v>39</v>
      </c>
      <c r="G5075">
        <v>33.987972649572697</v>
      </c>
      <c r="H5075">
        <v>1.0646</v>
      </c>
      <c r="I5075">
        <v>73.134513744225103</v>
      </c>
    </row>
    <row r="5076" spans="1:9" x14ac:dyDescent="0.35">
      <c r="A5076" s="417" t="s">
        <v>846</v>
      </c>
      <c r="B5076" s="417" t="s">
        <v>691</v>
      </c>
      <c r="C5076" s="83">
        <v>46039</v>
      </c>
      <c r="D5076" s="417" t="s">
        <v>295</v>
      </c>
      <c r="E5076">
        <v>1392.8353</v>
      </c>
      <c r="F5076">
        <v>36</v>
      </c>
      <c r="G5076">
        <v>38.689869444444398</v>
      </c>
      <c r="H5076">
        <v>0.13426666666666701</v>
      </c>
      <c r="I5076">
        <v>86.349332239695997</v>
      </c>
    </row>
    <row r="5077" spans="1:9" x14ac:dyDescent="0.35">
      <c r="A5077" s="417" t="s">
        <v>846</v>
      </c>
      <c r="B5077" s="417" t="s">
        <v>691</v>
      </c>
      <c r="C5077" s="83">
        <v>46039</v>
      </c>
      <c r="D5077" s="417" t="s">
        <v>310</v>
      </c>
      <c r="E5077">
        <v>1429.8999833333301</v>
      </c>
      <c r="F5077">
        <v>14</v>
      </c>
      <c r="G5077">
        <v>102.135713095238</v>
      </c>
      <c r="H5077">
        <v>0.89093333333333302</v>
      </c>
      <c r="I5077">
        <v>82.394613977215798</v>
      </c>
    </row>
    <row r="5078" spans="1:9" x14ac:dyDescent="0.35">
      <c r="A5078" s="417" t="s">
        <v>846</v>
      </c>
      <c r="B5078" s="417" t="s">
        <v>691</v>
      </c>
      <c r="C5078" s="83">
        <v>46039</v>
      </c>
      <c r="D5078" s="417" t="s">
        <v>313</v>
      </c>
      <c r="E5078">
        <v>1407.3093833333301</v>
      </c>
      <c r="F5078">
        <v>5</v>
      </c>
      <c r="G5078">
        <v>281.46187666666702</v>
      </c>
      <c r="H5078">
        <v>0</v>
      </c>
      <c r="I5078">
        <v>87.745163129883196</v>
      </c>
    </row>
    <row r="5079" spans="1:9" x14ac:dyDescent="0.35">
      <c r="A5079" s="417" t="s">
        <v>846</v>
      </c>
      <c r="B5079" s="417" t="s">
        <v>691</v>
      </c>
      <c r="C5079" s="83">
        <v>46039</v>
      </c>
      <c r="D5079" s="417" t="s">
        <v>314</v>
      </c>
      <c r="E5079">
        <v>1423.46021666667</v>
      </c>
      <c r="F5079">
        <v>3</v>
      </c>
      <c r="G5079">
        <v>474.48673888888902</v>
      </c>
      <c r="H5079">
        <v>8.2483333333333297E-2</v>
      </c>
      <c r="I5079">
        <v>64.684521067773005</v>
      </c>
    </row>
    <row r="5080" spans="1:9" x14ac:dyDescent="0.35">
      <c r="A5080" s="417" t="s">
        <v>846</v>
      </c>
      <c r="B5080" s="417" t="s">
        <v>691</v>
      </c>
      <c r="C5080" s="83">
        <v>46039</v>
      </c>
      <c r="D5080" s="417" t="s">
        <v>317</v>
      </c>
      <c r="E5080">
        <v>1439.24583333333</v>
      </c>
      <c r="F5080">
        <v>2</v>
      </c>
      <c r="G5080">
        <v>719.62291666666704</v>
      </c>
      <c r="H5080">
        <v>0.75416666666666698</v>
      </c>
      <c r="I5080">
        <v>43.3055555555556</v>
      </c>
    </row>
    <row r="5081" spans="1:9" x14ac:dyDescent="0.35">
      <c r="A5081" s="417" t="s">
        <v>846</v>
      </c>
      <c r="B5081" s="417" t="s">
        <v>691</v>
      </c>
      <c r="C5081" s="83">
        <v>46039</v>
      </c>
      <c r="D5081" s="417" t="s">
        <v>504</v>
      </c>
      <c r="E5081">
        <v>1440</v>
      </c>
      <c r="F5081">
        <v>1</v>
      </c>
      <c r="G5081">
        <v>1440</v>
      </c>
      <c r="H5081">
        <v>0</v>
      </c>
      <c r="I5081">
        <v>38.591203703703698</v>
      </c>
    </row>
    <row r="5082" spans="1:9" x14ac:dyDescent="0.35">
      <c r="A5082" s="417" t="s">
        <v>846</v>
      </c>
      <c r="B5082" s="417" t="s">
        <v>676</v>
      </c>
      <c r="C5082" s="83">
        <v>46038</v>
      </c>
      <c r="D5082" s="417" t="s">
        <v>677</v>
      </c>
      <c r="E5082">
        <v>1345.69961666667</v>
      </c>
      <c r="F5082">
        <v>143</v>
      </c>
      <c r="G5082">
        <v>9.4104868298368398</v>
      </c>
      <c r="H5082">
        <v>73.465416666666698</v>
      </c>
      <c r="I5082">
        <v>48.875833333333198</v>
      </c>
    </row>
    <row r="5083" spans="1:9" x14ac:dyDescent="0.35">
      <c r="A5083" s="417" t="s">
        <v>846</v>
      </c>
      <c r="B5083" s="417" t="s">
        <v>676</v>
      </c>
      <c r="C5083" s="83">
        <v>46038</v>
      </c>
      <c r="D5083" s="417" t="s">
        <v>679</v>
      </c>
      <c r="E5083">
        <v>1284.7772</v>
      </c>
      <c r="F5083">
        <v>20</v>
      </c>
      <c r="G5083">
        <v>64.238860000000003</v>
      </c>
      <c r="H5083">
        <v>16.689816666666701</v>
      </c>
      <c r="I5083">
        <v>99.008271704055602</v>
      </c>
    </row>
    <row r="5084" spans="1:9" x14ac:dyDescent="0.35">
      <c r="A5084" s="417" t="s">
        <v>846</v>
      </c>
      <c r="B5084" s="417" t="s">
        <v>680</v>
      </c>
      <c r="C5084" s="83">
        <v>46038</v>
      </c>
      <c r="D5084" s="417" t="s">
        <v>684</v>
      </c>
      <c r="E5084">
        <v>1363.83866666667</v>
      </c>
      <c r="F5084">
        <v>70</v>
      </c>
      <c r="G5084">
        <v>19.483409523809499</v>
      </c>
      <c r="H5084">
        <v>17.367899999999999</v>
      </c>
      <c r="I5084">
        <v>56.733773069808201</v>
      </c>
    </row>
    <row r="5085" spans="1:9" x14ac:dyDescent="0.35">
      <c r="A5085" s="417" t="s">
        <v>846</v>
      </c>
      <c r="B5085" s="417" t="s">
        <v>680</v>
      </c>
      <c r="C5085" s="83">
        <v>46038</v>
      </c>
      <c r="D5085" s="417" t="s">
        <v>689</v>
      </c>
      <c r="E5085">
        <v>1315.66715</v>
      </c>
      <c r="F5085">
        <v>62</v>
      </c>
      <c r="G5085">
        <v>21.2204379032258</v>
      </c>
      <c r="H5085">
        <v>0.99206666666666699</v>
      </c>
      <c r="I5085">
        <v>79.820158176485293</v>
      </c>
    </row>
    <row r="5086" spans="1:9" x14ac:dyDescent="0.35">
      <c r="A5086" s="417" t="s">
        <v>846</v>
      </c>
      <c r="B5086" s="417" t="s">
        <v>680</v>
      </c>
      <c r="C5086" s="83">
        <v>46038</v>
      </c>
      <c r="D5086" s="417" t="s">
        <v>682</v>
      </c>
      <c r="E5086">
        <v>1380.1860999999999</v>
      </c>
      <c r="F5086">
        <v>58</v>
      </c>
      <c r="G5086">
        <v>23.796312068965499</v>
      </c>
      <c r="H5086">
        <v>48.812266666666702</v>
      </c>
      <c r="I5086">
        <v>55.796843434343401</v>
      </c>
    </row>
    <row r="5087" spans="1:9" x14ac:dyDescent="0.35">
      <c r="A5087" s="417" t="s">
        <v>846</v>
      </c>
      <c r="B5087" s="417" t="s">
        <v>680</v>
      </c>
      <c r="C5087" s="83">
        <v>46038</v>
      </c>
      <c r="D5087" s="417" t="s">
        <v>683</v>
      </c>
      <c r="E5087">
        <v>1337.0388</v>
      </c>
      <c r="F5087">
        <v>48</v>
      </c>
      <c r="G5087">
        <v>27.854975</v>
      </c>
      <c r="H5087">
        <v>2.66956666666667</v>
      </c>
      <c r="I5087">
        <v>62.164950101361597</v>
      </c>
    </row>
    <row r="5088" spans="1:9" x14ac:dyDescent="0.35">
      <c r="A5088" s="417" t="s">
        <v>846</v>
      </c>
      <c r="B5088" s="417" t="s">
        <v>680</v>
      </c>
      <c r="C5088" s="83">
        <v>46038</v>
      </c>
      <c r="D5088" s="417" t="s">
        <v>687</v>
      </c>
      <c r="E5088">
        <v>1294.83913333333</v>
      </c>
      <c r="F5088">
        <v>35</v>
      </c>
      <c r="G5088">
        <v>36.9954038095238</v>
      </c>
      <c r="H5088">
        <v>64.837850000000003</v>
      </c>
      <c r="I5088">
        <v>30.498420219145402</v>
      </c>
    </row>
    <row r="5089" spans="1:9" x14ac:dyDescent="0.35">
      <c r="A5089" s="417" t="s">
        <v>846</v>
      </c>
      <c r="B5089" s="417" t="s">
        <v>680</v>
      </c>
      <c r="C5089" s="83">
        <v>46038</v>
      </c>
      <c r="D5089" s="417" t="s">
        <v>681</v>
      </c>
      <c r="E5089">
        <v>1357.37321666667</v>
      </c>
      <c r="F5089">
        <v>30</v>
      </c>
      <c r="G5089">
        <v>45.245773888888898</v>
      </c>
      <c r="H5089">
        <v>0</v>
      </c>
      <c r="I5089">
        <v>74.985257558452005</v>
      </c>
    </row>
    <row r="5090" spans="1:9" x14ac:dyDescent="0.35">
      <c r="A5090" s="417" t="s">
        <v>846</v>
      </c>
      <c r="B5090" s="417" t="s">
        <v>680</v>
      </c>
      <c r="C5090" s="83">
        <v>46038</v>
      </c>
      <c r="D5090" s="417" t="s">
        <v>690</v>
      </c>
      <c r="E5090">
        <v>1384.8736833333301</v>
      </c>
      <c r="F5090">
        <v>29</v>
      </c>
      <c r="G5090">
        <v>47.7542649425287</v>
      </c>
      <c r="H5090">
        <v>34.990699999999997</v>
      </c>
      <c r="I5090">
        <v>58.076469326408699</v>
      </c>
    </row>
    <row r="5091" spans="1:9" x14ac:dyDescent="0.35">
      <c r="A5091" s="417" t="s">
        <v>846</v>
      </c>
      <c r="B5091" s="417" t="s">
        <v>680</v>
      </c>
      <c r="C5091" s="83">
        <v>46038</v>
      </c>
      <c r="D5091" s="417" t="s">
        <v>688</v>
      </c>
      <c r="E5091">
        <v>1385.6092333333299</v>
      </c>
      <c r="F5091">
        <v>17</v>
      </c>
      <c r="G5091">
        <v>81.506425490196094</v>
      </c>
      <c r="H5091">
        <v>13.332883333333299</v>
      </c>
      <c r="I5091">
        <v>71.5444528971544</v>
      </c>
    </row>
    <row r="5092" spans="1:9" x14ac:dyDescent="0.35">
      <c r="A5092" s="417" t="s">
        <v>846</v>
      </c>
      <c r="B5092" s="417" t="s">
        <v>680</v>
      </c>
      <c r="C5092" s="83">
        <v>46038</v>
      </c>
      <c r="D5092" s="417" t="s">
        <v>685</v>
      </c>
      <c r="E5092">
        <v>1427.1687999999999</v>
      </c>
      <c r="F5092">
        <v>13</v>
      </c>
      <c r="G5092">
        <v>109.782215384615</v>
      </c>
      <c r="H5092">
        <v>5.835</v>
      </c>
      <c r="I5092">
        <v>74.302470252665998</v>
      </c>
    </row>
    <row r="5093" spans="1:9" x14ac:dyDescent="0.35">
      <c r="A5093" s="417" t="s">
        <v>846</v>
      </c>
      <c r="B5093" s="417" t="s">
        <v>680</v>
      </c>
      <c r="C5093" s="83">
        <v>46038</v>
      </c>
      <c r="D5093" s="417" t="s">
        <v>686</v>
      </c>
      <c r="E5093">
        <v>1440</v>
      </c>
      <c r="F5093">
        <v>1</v>
      </c>
      <c r="G5093">
        <v>1440</v>
      </c>
      <c r="H5093">
        <v>0</v>
      </c>
      <c r="I5093">
        <v>21.530303030302999</v>
      </c>
    </row>
    <row r="5094" spans="1:9" x14ac:dyDescent="0.35">
      <c r="A5094" s="417" t="s">
        <v>846</v>
      </c>
      <c r="B5094" s="417" t="s">
        <v>691</v>
      </c>
      <c r="C5094" s="83">
        <v>46038</v>
      </c>
      <c r="D5094" s="417" t="s">
        <v>342</v>
      </c>
      <c r="E5094">
        <v>1099.2407000000001</v>
      </c>
      <c r="F5094">
        <v>192</v>
      </c>
      <c r="G5094">
        <v>5.7252119791666702</v>
      </c>
      <c r="H5094">
        <v>275.69773333333302</v>
      </c>
      <c r="I5094">
        <v>39.491540391751698</v>
      </c>
    </row>
    <row r="5095" spans="1:9" x14ac:dyDescent="0.35">
      <c r="A5095" s="417" t="s">
        <v>846</v>
      </c>
      <c r="B5095" s="417" t="s">
        <v>691</v>
      </c>
      <c r="C5095" s="83">
        <v>46038</v>
      </c>
      <c r="D5095" s="417" t="s">
        <v>309</v>
      </c>
      <c r="E5095">
        <v>1295.6089666666701</v>
      </c>
      <c r="F5095">
        <v>187</v>
      </c>
      <c r="G5095">
        <v>6.9283901960784302</v>
      </c>
      <c r="H5095">
        <v>0</v>
      </c>
      <c r="I5095">
        <v>45.384496171725402</v>
      </c>
    </row>
    <row r="5096" spans="1:9" x14ac:dyDescent="0.35">
      <c r="A5096" s="417" t="s">
        <v>846</v>
      </c>
      <c r="B5096" s="417" t="s">
        <v>691</v>
      </c>
      <c r="C5096" s="83">
        <v>46038</v>
      </c>
      <c r="D5096" s="417" t="s">
        <v>305</v>
      </c>
      <c r="E5096">
        <v>1332.13198333333</v>
      </c>
      <c r="F5096">
        <v>109</v>
      </c>
      <c r="G5096">
        <v>12.221394342507599</v>
      </c>
      <c r="H5096">
        <v>2.24996666666667</v>
      </c>
      <c r="I5096">
        <v>50.6175189130768</v>
      </c>
    </row>
    <row r="5097" spans="1:9" x14ac:dyDescent="0.35">
      <c r="A5097" s="417" t="s">
        <v>846</v>
      </c>
      <c r="B5097" s="417" t="s">
        <v>691</v>
      </c>
      <c r="C5097" s="83">
        <v>46038</v>
      </c>
      <c r="D5097" s="417" t="s">
        <v>299</v>
      </c>
      <c r="E5097">
        <v>1362.16758333333</v>
      </c>
      <c r="F5097">
        <v>64</v>
      </c>
      <c r="G5097">
        <v>21.283868489583298</v>
      </c>
      <c r="H5097">
        <v>0.26290000000000002</v>
      </c>
      <c r="I5097">
        <v>85.034332700638103</v>
      </c>
    </row>
    <row r="5098" spans="1:9" x14ac:dyDescent="0.35">
      <c r="A5098" s="417" t="s">
        <v>846</v>
      </c>
      <c r="B5098" s="417" t="s">
        <v>691</v>
      </c>
      <c r="C5098" s="83">
        <v>46038</v>
      </c>
      <c r="D5098" s="417" t="s">
        <v>310</v>
      </c>
      <c r="E5098">
        <v>1387.75673333333</v>
      </c>
      <c r="F5098">
        <v>58</v>
      </c>
      <c r="G5098">
        <v>23.926840229885102</v>
      </c>
      <c r="H5098">
        <v>0</v>
      </c>
      <c r="I5098">
        <v>77.063613206567894</v>
      </c>
    </row>
    <row r="5099" spans="1:9" x14ac:dyDescent="0.35">
      <c r="A5099" s="417" t="s">
        <v>846</v>
      </c>
      <c r="B5099" s="417" t="s">
        <v>691</v>
      </c>
      <c r="C5099" s="83">
        <v>46038</v>
      </c>
      <c r="D5099" s="417" t="s">
        <v>303</v>
      </c>
      <c r="E5099">
        <v>1376.27933333333</v>
      </c>
      <c r="F5099">
        <v>50</v>
      </c>
      <c r="G5099">
        <v>27.525586666666701</v>
      </c>
      <c r="H5099">
        <v>0.17231666666666701</v>
      </c>
      <c r="I5099">
        <v>65.259850743049995</v>
      </c>
    </row>
    <row r="5100" spans="1:9" x14ac:dyDescent="0.35">
      <c r="A5100" s="417" t="s">
        <v>846</v>
      </c>
      <c r="B5100" s="417" t="s">
        <v>691</v>
      </c>
      <c r="C5100" s="83">
        <v>46038</v>
      </c>
      <c r="D5100" s="417" t="s">
        <v>301</v>
      </c>
      <c r="E5100">
        <v>1357.9027000000001</v>
      </c>
      <c r="F5100">
        <v>34</v>
      </c>
      <c r="G5100">
        <v>39.938314705882298</v>
      </c>
      <c r="H5100">
        <v>4.3499999999999997E-2</v>
      </c>
      <c r="I5100">
        <v>71.562132682653996</v>
      </c>
    </row>
    <row r="5101" spans="1:9" x14ac:dyDescent="0.35">
      <c r="A5101" s="417" t="s">
        <v>846</v>
      </c>
      <c r="B5101" s="417" t="s">
        <v>691</v>
      </c>
      <c r="C5101" s="83">
        <v>46038</v>
      </c>
      <c r="D5101" s="417" t="s">
        <v>295</v>
      </c>
      <c r="E5101">
        <v>1372.5349000000001</v>
      </c>
      <c r="F5101">
        <v>28</v>
      </c>
      <c r="G5101">
        <v>49.019103571428602</v>
      </c>
      <c r="H5101">
        <v>0.24883333333333299</v>
      </c>
      <c r="I5101">
        <v>82.308427823526202</v>
      </c>
    </row>
    <row r="5102" spans="1:9" x14ac:dyDescent="0.35">
      <c r="A5102" s="417" t="s">
        <v>846</v>
      </c>
      <c r="B5102" s="417" t="s">
        <v>691</v>
      </c>
      <c r="C5102" s="83">
        <v>46038</v>
      </c>
      <c r="D5102" s="417" t="s">
        <v>314</v>
      </c>
      <c r="E5102">
        <v>1387.87791666667</v>
      </c>
      <c r="F5102">
        <v>14</v>
      </c>
      <c r="G5102">
        <v>99.134136904761903</v>
      </c>
      <c r="H5102">
        <v>1.42966666666667</v>
      </c>
      <c r="I5102">
        <v>66.513746728724399</v>
      </c>
    </row>
    <row r="5103" spans="1:9" x14ac:dyDescent="0.35">
      <c r="A5103" s="417" t="s">
        <v>846</v>
      </c>
      <c r="B5103" s="417" t="s">
        <v>691</v>
      </c>
      <c r="C5103" s="83">
        <v>46038</v>
      </c>
      <c r="D5103" s="417" t="s">
        <v>313</v>
      </c>
      <c r="E5103">
        <v>1377.8990166666699</v>
      </c>
      <c r="F5103">
        <v>7</v>
      </c>
      <c r="G5103">
        <v>196.842716666667</v>
      </c>
      <c r="H5103">
        <v>0</v>
      </c>
      <c r="I5103">
        <v>85.298498712878597</v>
      </c>
    </row>
    <row r="5104" spans="1:9" x14ac:dyDescent="0.35">
      <c r="A5104" s="417" t="s">
        <v>846</v>
      </c>
      <c r="B5104" s="417" t="s">
        <v>691</v>
      </c>
      <c r="C5104" s="83">
        <v>46038</v>
      </c>
      <c r="D5104" s="417" t="s">
        <v>317</v>
      </c>
      <c r="E5104">
        <v>1438.2755999999999</v>
      </c>
      <c r="F5104">
        <v>2</v>
      </c>
      <c r="G5104">
        <v>719.13779999999997</v>
      </c>
      <c r="H5104">
        <v>0.52728333333333299</v>
      </c>
      <c r="I5104">
        <v>61.439965838267</v>
      </c>
    </row>
    <row r="5105" spans="1:9" x14ac:dyDescent="0.35">
      <c r="A5105" s="417" t="s">
        <v>846</v>
      </c>
      <c r="B5105" s="417" t="s">
        <v>691</v>
      </c>
      <c r="C5105" s="83">
        <v>46038</v>
      </c>
      <c r="D5105" s="417" t="s">
        <v>504</v>
      </c>
      <c r="E5105">
        <v>1440</v>
      </c>
      <c r="F5105">
        <v>1</v>
      </c>
      <c r="G5105">
        <v>1440</v>
      </c>
      <c r="H5105">
        <v>0</v>
      </c>
      <c r="I5105">
        <v>37.973919753086399</v>
      </c>
    </row>
    <row r="5106" spans="1:9" x14ac:dyDescent="0.35">
      <c r="A5106" s="417" t="s">
        <v>846</v>
      </c>
      <c r="B5106" s="417" t="s">
        <v>676</v>
      </c>
      <c r="C5106" s="83">
        <v>46037</v>
      </c>
      <c r="D5106" s="417" t="s">
        <v>677</v>
      </c>
      <c r="E5106">
        <v>1204.89028333333</v>
      </c>
      <c r="F5106">
        <v>308</v>
      </c>
      <c r="G5106">
        <v>3.9119814393939398</v>
      </c>
      <c r="H5106">
        <v>146.76541666666699</v>
      </c>
      <c r="I5106">
        <v>35.591388888888901</v>
      </c>
    </row>
    <row r="5107" spans="1:9" x14ac:dyDescent="0.35">
      <c r="A5107" s="417" t="s">
        <v>846</v>
      </c>
      <c r="B5107" s="417" t="s">
        <v>676</v>
      </c>
      <c r="C5107" s="83">
        <v>46037</v>
      </c>
      <c r="D5107" s="417" t="s">
        <v>679</v>
      </c>
      <c r="E5107">
        <v>1358.3247833333301</v>
      </c>
      <c r="F5107">
        <v>14</v>
      </c>
      <c r="G5107">
        <v>97.023198809523805</v>
      </c>
      <c r="H5107">
        <v>8.6766666666666694</v>
      </c>
      <c r="I5107">
        <v>97.071099180862902</v>
      </c>
    </row>
    <row r="5108" spans="1:9" x14ac:dyDescent="0.35">
      <c r="A5108" s="417" t="s">
        <v>846</v>
      </c>
      <c r="B5108" s="417" t="s">
        <v>680</v>
      </c>
      <c r="C5108" s="83">
        <v>46037</v>
      </c>
      <c r="D5108" s="417" t="s">
        <v>689</v>
      </c>
      <c r="E5108">
        <v>1331.3243833333299</v>
      </c>
      <c r="F5108">
        <v>63</v>
      </c>
      <c r="G5108">
        <v>21.132133068783101</v>
      </c>
      <c r="H5108">
        <v>3.0013999999999998</v>
      </c>
      <c r="I5108">
        <v>78.824256198878302</v>
      </c>
    </row>
    <row r="5109" spans="1:9" x14ac:dyDescent="0.35">
      <c r="A5109" s="417" t="s">
        <v>846</v>
      </c>
      <c r="B5109" s="417" t="s">
        <v>680</v>
      </c>
      <c r="C5109" s="83">
        <v>46037</v>
      </c>
      <c r="D5109" s="417" t="s">
        <v>684</v>
      </c>
      <c r="E5109">
        <v>1413.1587500000001</v>
      </c>
      <c r="F5109">
        <v>43</v>
      </c>
      <c r="G5109">
        <v>32.864156976744198</v>
      </c>
      <c r="H5109">
        <v>3.6897333333333302</v>
      </c>
      <c r="I5109">
        <v>57.469477671045702</v>
      </c>
    </row>
    <row r="5110" spans="1:9" x14ac:dyDescent="0.35">
      <c r="A5110" s="417" t="s">
        <v>846</v>
      </c>
      <c r="B5110" s="417" t="s">
        <v>680</v>
      </c>
      <c r="C5110" s="83">
        <v>46037</v>
      </c>
      <c r="D5110" s="417" t="s">
        <v>683</v>
      </c>
      <c r="E5110">
        <v>1400.16208333333</v>
      </c>
      <c r="F5110">
        <v>38</v>
      </c>
      <c r="G5110">
        <v>36.846370614035102</v>
      </c>
      <c r="H5110">
        <v>3.4856333333333298</v>
      </c>
      <c r="I5110">
        <v>71.274113271073901</v>
      </c>
    </row>
    <row r="5111" spans="1:9" x14ac:dyDescent="0.35">
      <c r="A5111" s="417" t="s">
        <v>846</v>
      </c>
      <c r="B5111" s="417" t="s">
        <v>680</v>
      </c>
      <c r="C5111" s="83">
        <v>46037</v>
      </c>
      <c r="D5111" s="417" t="s">
        <v>682</v>
      </c>
      <c r="E5111">
        <v>1397.81083333333</v>
      </c>
      <c r="F5111">
        <v>35</v>
      </c>
      <c r="G5111">
        <v>39.937452380952401</v>
      </c>
      <c r="H5111">
        <v>42.189166666666701</v>
      </c>
      <c r="I5111">
        <v>55.732323232323203</v>
      </c>
    </row>
    <row r="5112" spans="1:9" x14ac:dyDescent="0.35">
      <c r="A5112" s="417" t="s">
        <v>846</v>
      </c>
      <c r="B5112" s="417" t="s">
        <v>680</v>
      </c>
      <c r="C5112" s="83">
        <v>46037</v>
      </c>
      <c r="D5112" s="417" t="s">
        <v>687</v>
      </c>
      <c r="E5112">
        <v>1383.3435833333299</v>
      </c>
      <c r="F5112">
        <v>25</v>
      </c>
      <c r="G5112">
        <v>55.333743333333302</v>
      </c>
      <c r="H5112">
        <v>28.987200000000001</v>
      </c>
      <c r="I5112">
        <v>26.9112850984754</v>
      </c>
    </row>
    <row r="5113" spans="1:9" x14ac:dyDescent="0.35">
      <c r="A5113" s="417" t="s">
        <v>846</v>
      </c>
      <c r="B5113" s="417" t="s">
        <v>680</v>
      </c>
      <c r="C5113" s="83">
        <v>46037</v>
      </c>
      <c r="D5113" s="417" t="s">
        <v>681</v>
      </c>
      <c r="E5113">
        <v>1372.2128166666701</v>
      </c>
      <c r="F5113">
        <v>24</v>
      </c>
      <c r="G5113">
        <v>57.1755340277778</v>
      </c>
      <c r="H5113">
        <v>0.16675000000000001</v>
      </c>
      <c r="I5113">
        <v>82.949790557272706</v>
      </c>
    </row>
    <row r="5114" spans="1:9" x14ac:dyDescent="0.35">
      <c r="A5114" s="417" t="s">
        <v>846</v>
      </c>
      <c r="B5114" s="417" t="s">
        <v>680</v>
      </c>
      <c r="C5114" s="83">
        <v>46037</v>
      </c>
      <c r="D5114" s="417" t="s">
        <v>688</v>
      </c>
      <c r="E5114">
        <v>1411.1352833333301</v>
      </c>
      <c r="F5114">
        <v>19</v>
      </c>
      <c r="G5114">
        <v>74.270278070175493</v>
      </c>
      <c r="H5114">
        <v>10.6549833333333</v>
      </c>
      <c r="I5114">
        <v>79.430906093091906</v>
      </c>
    </row>
    <row r="5115" spans="1:9" x14ac:dyDescent="0.35">
      <c r="A5115" s="417" t="s">
        <v>846</v>
      </c>
      <c r="B5115" s="417" t="s">
        <v>680</v>
      </c>
      <c r="C5115" s="83">
        <v>46037</v>
      </c>
      <c r="D5115" s="417" t="s">
        <v>690</v>
      </c>
      <c r="E5115">
        <v>1417.3010666666701</v>
      </c>
      <c r="F5115">
        <v>9</v>
      </c>
      <c r="G5115">
        <v>157.477896296296</v>
      </c>
      <c r="H5115">
        <v>5.0126333333333299</v>
      </c>
      <c r="I5115">
        <v>69.321988904403199</v>
      </c>
    </row>
    <row r="5116" spans="1:9" x14ac:dyDescent="0.35">
      <c r="A5116" s="417" t="s">
        <v>846</v>
      </c>
      <c r="B5116" s="417" t="s">
        <v>680</v>
      </c>
      <c r="C5116" s="83">
        <v>46037</v>
      </c>
      <c r="D5116" s="417" t="s">
        <v>685</v>
      </c>
      <c r="E5116">
        <v>1428.51055</v>
      </c>
      <c r="F5116">
        <v>9</v>
      </c>
      <c r="G5116">
        <v>158.72339444444401</v>
      </c>
      <c r="H5116">
        <v>5.6684333333333301</v>
      </c>
      <c r="I5116">
        <v>74.304484965734304</v>
      </c>
    </row>
    <row r="5117" spans="1:9" x14ac:dyDescent="0.35">
      <c r="A5117" s="417" t="s">
        <v>846</v>
      </c>
      <c r="B5117" s="417" t="s">
        <v>680</v>
      </c>
      <c r="C5117" s="83">
        <v>46037</v>
      </c>
      <c r="D5117" s="417" t="s">
        <v>686</v>
      </c>
      <c r="E5117">
        <v>1440</v>
      </c>
      <c r="F5117">
        <v>1</v>
      </c>
      <c r="G5117">
        <v>1440</v>
      </c>
      <c r="H5117">
        <v>0</v>
      </c>
      <c r="I5117">
        <v>19.8787878787879</v>
      </c>
    </row>
    <row r="5118" spans="1:9" x14ac:dyDescent="0.35">
      <c r="A5118" s="417" t="s">
        <v>846</v>
      </c>
      <c r="B5118" s="417" t="s">
        <v>691</v>
      </c>
      <c r="C5118" s="83">
        <v>46037</v>
      </c>
      <c r="D5118" s="417" t="s">
        <v>309</v>
      </c>
      <c r="E5118">
        <v>1312.9848999999999</v>
      </c>
      <c r="F5118">
        <v>168</v>
      </c>
      <c r="G5118">
        <v>7.8153863095238103</v>
      </c>
      <c r="H5118">
        <v>0</v>
      </c>
      <c r="I5118">
        <v>51.422399798796299</v>
      </c>
    </row>
    <row r="5119" spans="1:9" x14ac:dyDescent="0.35">
      <c r="A5119" s="417" t="s">
        <v>846</v>
      </c>
      <c r="B5119" s="417" t="s">
        <v>691</v>
      </c>
      <c r="C5119" s="83">
        <v>46037</v>
      </c>
      <c r="D5119" s="417" t="s">
        <v>305</v>
      </c>
      <c r="E5119">
        <v>1278.4417333333299</v>
      </c>
      <c r="F5119">
        <v>160</v>
      </c>
      <c r="G5119">
        <v>7.9902608333333296</v>
      </c>
      <c r="H5119">
        <v>1.7551000000000001</v>
      </c>
      <c r="I5119">
        <v>62.3340759486209</v>
      </c>
    </row>
    <row r="5120" spans="1:9" x14ac:dyDescent="0.35">
      <c r="A5120" s="417" t="s">
        <v>846</v>
      </c>
      <c r="B5120" s="417" t="s">
        <v>691</v>
      </c>
      <c r="C5120" s="83">
        <v>46037</v>
      </c>
      <c r="D5120" s="417" t="s">
        <v>299</v>
      </c>
      <c r="E5120">
        <v>1377.14815</v>
      </c>
      <c r="F5120">
        <v>104</v>
      </c>
      <c r="G5120">
        <v>13.2418091346154</v>
      </c>
      <c r="H5120">
        <v>0.33100000000000002</v>
      </c>
      <c r="I5120">
        <v>86.496205224682697</v>
      </c>
    </row>
    <row r="5121" spans="1:9" x14ac:dyDescent="0.35">
      <c r="A5121" s="417" t="s">
        <v>846</v>
      </c>
      <c r="B5121" s="417" t="s">
        <v>691</v>
      </c>
      <c r="C5121" s="83">
        <v>46037</v>
      </c>
      <c r="D5121" s="417" t="s">
        <v>301</v>
      </c>
      <c r="E5121">
        <v>1363.75561666667</v>
      </c>
      <c r="F5121">
        <v>69</v>
      </c>
      <c r="G5121">
        <v>19.7645741545894</v>
      </c>
      <c r="H5121">
        <v>0.64036666666666697</v>
      </c>
      <c r="I5121">
        <v>69.724840368201399</v>
      </c>
    </row>
    <row r="5122" spans="1:9" x14ac:dyDescent="0.35">
      <c r="A5122" s="417" t="s">
        <v>846</v>
      </c>
      <c r="B5122" s="417" t="s">
        <v>691</v>
      </c>
      <c r="C5122" s="83">
        <v>46037</v>
      </c>
      <c r="D5122" s="417" t="s">
        <v>342</v>
      </c>
      <c r="E5122">
        <v>517.80136666666601</v>
      </c>
      <c r="F5122">
        <v>57</v>
      </c>
      <c r="G5122">
        <v>9.0842345029239695</v>
      </c>
      <c r="H5122">
        <v>79.244550000000004</v>
      </c>
      <c r="I5122">
        <v>46.706146893025299</v>
      </c>
    </row>
    <row r="5123" spans="1:9" x14ac:dyDescent="0.35">
      <c r="A5123" s="417" t="s">
        <v>846</v>
      </c>
      <c r="B5123" s="417" t="s">
        <v>691</v>
      </c>
      <c r="C5123" s="83">
        <v>46037</v>
      </c>
      <c r="D5123" s="417" t="s">
        <v>295</v>
      </c>
      <c r="E5123">
        <v>1383.3405666666699</v>
      </c>
      <c r="F5123">
        <v>34</v>
      </c>
      <c r="G5123">
        <v>40.686487254901998</v>
      </c>
      <c r="H5123">
        <v>0.70620000000000005</v>
      </c>
      <c r="I5123">
        <v>80.280881563439294</v>
      </c>
    </row>
    <row r="5124" spans="1:9" x14ac:dyDescent="0.35">
      <c r="A5124" s="417" t="s">
        <v>846</v>
      </c>
      <c r="B5124" s="417" t="s">
        <v>691</v>
      </c>
      <c r="C5124" s="83">
        <v>46037</v>
      </c>
      <c r="D5124" s="417" t="s">
        <v>303</v>
      </c>
      <c r="E5124">
        <v>1392.06743333333</v>
      </c>
      <c r="F5124">
        <v>32</v>
      </c>
      <c r="G5124">
        <v>43.502107291666697</v>
      </c>
      <c r="H5124">
        <v>0.16064999999999999</v>
      </c>
      <c r="I5124">
        <v>63.712164311153202</v>
      </c>
    </row>
    <row r="5125" spans="1:9" x14ac:dyDescent="0.35">
      <c r="A5125" s="417" t="s">
        <v>846</v>
      </c>
      <c r="B5125" s="417" t="s">
        <v>691</v>
      </c>
      <c r="C5125" s="83">
        <v>46037</v>
      </c>
      <c r="D5125" s="417" t="s">
        <v>310</v>
      </c>
      <c r="E5125">
        <v>1331.96528333333</v>
      </c>
      <c r="F5125">
        <v>19</v>
      </c>
      <c r="G5125">
        <v>70.103435964912293</v>
      </c>
      <c r="H5125">
        <v>1.2267333333333299</v>
      </c>
      <c r="I5125">
        <v>69.596252028573105</v>
      </c>
    </row>
    <row r="5126" spans="1:9" x14ac:dyDescent="0.35">
      <c r="A5126" s="417" t="s">
        <v>846</v>
      </c>
      <c r="B5126" s="417" t="s">
        <v>691</v>
      </c>
      <c r="C5126" s="83">
        <v>46037</v>
      </c>
      <c r="D5126" s="417" t="s">
        <v>314</v>
      </c>
      <c r="E5126">
        <v>1398.2337</v>
      </c>
      <c r="F5126">
        <v>16</v>
      </c>
      <c r="G5126">
        <v>87.38960625</v>
      </c>
      <c r="H5126">
        <v>3.0113833333333302</v>
      </c>
      <c r="I5126">
        <v>64.730260408894097</v>
      </c>
    </row>
    <row r="5127" spans="1:9" x14ac:dyDescent="0.35">
      <c r="A5127" s="417" t="s">
        <v>846</v>
      </c>
      <c r="B5127" s="417" t="s">
        <v>691</v>
      </c>
      <c r="C5127" s="83">
        <v>46037</v>
      </c>
      <c r="D5127" s="417" t="s">
        <v>313</v>
      </c>
      <c r="E5127">
        <v>1404.88008333333</v>
      </c>
      <c r="F5127">
        <v>8</v>
      </c>
      <c r="G5127">
        <v>175.610010416667</v>
      </c>
      <c r="H5127">
        <v>8.4683333333333305E-2</v>
      </c>
      <c r="I5127">
        <v>86.822140791705806</v>
      </c>
    </row>
    <row r="5128" spans="1:9" x14ac:dyDescent="0.35">
      <c r="A5128" s="417" t="s">
        <v>846</v>
      </c>
      <c r="B5128" s="417" t="s">
        <v>691</v>
      </c>
      <c r="C5128" s="83">
        <v>46037</v>
      </c>
      <c r="D5128" s="417" t="s">
        <v>317</v>
      </c>
      <c r="E5128">
        <v>1422.6007833333299</v>
      </c>
      <c r="F5128">
        <v>1</v>
      </c>
      <c r="G5128">
        <v>1422.6007833333299</v>
      </c>
      <c r="H5128">
        <v>0</v>
      </c>
      <c r="I5128">
        <v>52.351299726895803</v>
      </c>
    </row>
    <row r="5129" spans="1:9" x14ac:dyDescent="0.35">
      <c r="A5129" s="417" t="s">
        <v>846</v>
      </c>
      <c r="B5129" s="417" t="s">
        <v>691</v>
      </c>
      <c r="C5129" s="83">
        <v>46037</v>
      </c>
      <c r="D5129" s="417" t="s">
        <v>504</v>
      </c>
      <c r="E5129">
        <v>1440</v>
      </c>
      <c r="F5129">
        <v>1</v>
      </c>
      <c r="G5129">
        <v>1440</v>
      </c>
      <c r="H5129">
        <v>0</v>
      </c>
      <c r="I5129">
        <v>45.203858024691399</v>
      </c>
    </row>
    <row r="5130" spans="1:9" x14ac:dyDescent="0.35">
      <c r="A5130" s="417" t="s">
        <v>846</v>
      </c>
      <c r="B5130" s="417" t="s">
        <v>676</v>
      </c>
      <c r="C5130" s="83">
        <v>46036</v>
      </c>
      <c r="D5130" s="417" t="s">
        <v>677</v>
      </c>
      <c r="E5130">
        <v>1238.32228333333</v>
      </c>
      <c r="F5130">
        <v>247</v>
      </c>
      <c r="G5130">
        <v>5.0134505398110703</v>
      </c>
      <c r="H5130">
        <v>112.165583333333</v>
      </c>
      <c r="I5130">
        <v>32.9855555555555</v>
      </c>
    </row>
    <row r="5131" spans="1:9" x14ac:dyDescent="0.35">
      <c r="A5131" s="417" t="s">
        <v>846</v>
      </c>
      <c r="B5131" s="417" t="s">
        <v>676</v>
      </c>
      <c r="C5131" s="83">
        <v>46036</v>
      </c>
      <c r="D5131" s="417" t="s">
        <v>679</v>
      </c>
      <c r="E5131">
        <v>1354.6704833333299</v>
      </c>
      <c r="F5131">
        <v>11</v>
      </c>
      <c r="G5131">
        <v>123.15186212121201</v>
      </c>
      <c r="H5131">
        <v>7.8333333333333304</v>
      </c>
      <c r="I5131">
        <v>89.215162932448806</v>
      </c>
    </row>
    <row r="5132" spans="1:9" x14ac:dyDescent="0.35">
      <c r="A5132" s="417" t="s">
        <v>846</v>
      </c>
      <c r="B5132" s="417" t="s">
        <v>680</v>
      </c>
      <c r="C5132" s="83">
        <v>46036</v>
      </c>
      <c r="D5132" s="417" t="s">
        <v>689</v>
      </c>
      <c r="E5132">
        <v>1303.6387833333299</v>
      </c>
      <c r="F5132">
        <v>107</v>
      </c>
      <c r="G5132">
        <v>12.183540031152599</v>
      </c>
      <c r="H5132">
        <v>7.1527333333333303</v>
      </c>
      <c r="I5132">
        <v>69.950191705935694</v>
      </c>
    </row>
    <row r="5133" spans="1:9" x14ac:dyDescent="0.35">
      <c r="A5133" s="417" t="s">
        <v>846</v>
      </c>
      <c r="B5133" s="417" t="s">
        <v>680</v>
      </c>
      <c r="C5133" s="83">
        <v>46036</v>
      </c>
      <c r="D5133" s="417" t="s">
        <v>682</v>
      </c>
      <c r="E5133">
        <v>1400.5503000000001</v>
      </c>
      <c r="F5133">
        <v>57</v>
      </c>
      <c r="G5133">
        <v>24.5710578947368</v>
      </c>
      <c r="H5133">
        <v>39.4497</v>
      </c>
      <c r="I5133">
        <v>60.237373737373701</v>
      </c>
    </row>
    <row r="5134" spans="1:9" x14ac:dyDescent="0.35">
      <c r="A5134" s="417" t="s">
        <v>846</v>
      </c>
      <c r="B5134" s="417" t="s">
        <v>680</v>
      </c>
      <c r="C5134" s="83">
        <v>46036</v>
      </c>
      <c r="D5134" s="417" t="s">
        <v>688</v>
      </c>
      <c r="E5134">
        <v>988.93548333333297</v>
      </c>
      <c r="F5134">
        <v>38</v>
      </c>
      <c r="G5134">
        <v>26.0246179824561</v>
      </c>
      <c r="H5134">
        <v>16.009133333333299</v>
      </c>
      <c r="I5134">
        <v>64.532685803114802</v>
      </c>
    </row>
    <row r="5135" spans="1:9" x14ac:dyDescent="0.35">
      <c r="A5135" s="417" t="s">
        <v>846</v>
      </c>
      <c r="B5135" s="417" t="s">
        <v>680</v>
      </c>
      <c r="C5135" s="83">
        <v>46036</v>
      </c>
      <c r="D5135" s="417" t="s">
        <v>681</v>
      </c>
      <c r="E5135">
        <v>1325.1683</v>
      </c>
      <c r="F5135">
        <v>32</v>
      </c>
      <c r="G5135">
        <v>41.411509375000001</v>
      </c>
      <c r="H5135">
        <v>0.49209999999999998</v>
      </c>
      <c r="I5135">
        <v>58.762437863030598</v>
      </c>
    </row>
    <row r="5136" spans="1:9" x14ac:dyDescent="0.35">
      <c r="A5136" s="417" t="s">
        <v>846</v>
      </c>
      <c r="B5136" s="417" t="s">
        <v>680</v>
      </c>
      <c r="C5136" s="83">
        <v>46036</v>
      </c>
      <c r="D5136" s="417" t="s">
        <v>684</v>
      </c>
      <c r="E5136">
        <v>1370.6589166666699</v>
      </c>
      <c r="F5136">
        <v>31</v>
      </c>
      <c r="G5136">
        <v>44.214803763440898</v>
      </c>
      <c r="H5136">
        <v>18.850950000000001</v>
      </c>
      <c r="I5136">
        <v>62.348652283536303</v>
      </c>
    </row>
    <row r="5137" spans="1:9" x14ac:dyDescent="0.35">
      <c r="A5137" s="417" t="s">
        <v>846</v>
      </c>
      <c r="B5137" s="417" t="s">
        <v>680</v>
      </c>
      <c r="C5137" s="83">
        <v>46036</v>
      </c>
      <c r="D5137" s="417" t="s">
        <v>683</v>
      </c>
      <c r="E5137">
        <v>1388.33646666667</v>
      </c>
      <c r="F5137">
        <v>26</v>
      </c>
      <c r="G5137">
        <v>53.397556410256399</v>
      </c>
      <c r="H5137">
        <v>2.3255166666666698</v>
      </c>
      <c r="I5137">
        <v>58.983305378945097</v>
      </c>
    </row>
    <row r="5138" spans="1:9" x14ac:dyDescent="0.35">
      <c r="A5138" s="417" t="s">
        <v>846</v>
      </c>
      <c r="B5138" s="417" t="s">
        <v>680</v>
      </c>
      <c r="C5138" s="83">
        <v>46036</v>
      </c>
      <c r="D5138" s="417" t="s">
        <v>687</v>
      </c>
      <c r="E5138">
        <v>1396.65063333333</v>
      </c>
      <c r="F5138">
        <v>19</v>
      </c>
      <c r="G5138">
        <v>73.507928070175396</v>
      </c>
      <c r="H5138">
        <v>25.849166666666701</v>
      </c>
      <c r="I5138">
        <v>39.369361662412302</v>
      </c>
    </row>
    <row r="5139" spans="1:9" x14ac:dyDescent="0.35">
      <c r="A5139" s="417" t="s">
        <v>846</v>
      </c>
      <c r="B5139" s="417" t="s">
        <v>680</v>
      </c>
      <c r="C5139" s="83">
        <v>46036</v>
      </c>
      <c r="D5139" s="417" t="s">
        <v>690</v>
      </c>
      <c r="E5139">
        <v>1413.8397333333301</v>
      </c>
      <c r="F5139">
        <v>4</v>
      </c>
      <c r="G5139">
        <v>353.45993333333303</v>
      </c>
      <c r="H5139">
        <v>1.8331500000000001</v>
      </c>
      <c r="I5139">
        <v>54.953629861995303</v>
      </c>
    </row>
    <row r="5140" spans="1:9" x14ac:dyDescent="0.35">
      <c r="A5140" s="417" t="s">
        <v>846</v>
      </c>
      <c r="B5140" s="417" t="s">
        <v>680</v>
      </c>
      <c r="C5140" s="83">
        <v>46036</v>
      </c>
      <c r="D5140" s="417" t="s">
        <v>685</v>
      </c>
      <c r="E5140">
        <v>1436.6656333333301</v>
      </c>
      <c r="F5140">
        <v>3</v>
      </c>
      <c r="G5140">
        <v>478.88854444444502</v>
      </c>
      <c r="H5140">
        <v>0.66723333333333301</v>
      </c>
      <c r="I5140">
        <v>63.807338890753698</v>
      </c>
    </row>
    <row r="5141" spans="1:9" x14ac:dyDescent="0.35">
      <c r="A5141" s="417" t="s">
        <v>846</v>
      </c>
      <c r="B5141" s="417" t="s">
        <v>680</v>
      </c>
      <c r="C5141" s="83">
        <v>46036</v>
      </c>
      <c r="D5141" s="417" t="s">
        <v>686</v>
      </c>
      <c r="E5141">
        <v>1440</v>
      </c>
      <c r="F5141">
        <v>1</v>
      </c>
      <c r="G5141">
        <v>1440</v>
      </c>
      <c r="H5141">
        <v>0</v>
      </c>
      <c r="I5141">
        <v>32.883838383838402</v>
      </c>
    </row>
    <row r="5142" spans="1:9" x14ac:dyDescent="0.35">
      <c r="A5142" s="417" t="s">
        <v>846</v>
      </c>
      <c r="B5142" s="417" t="s">
        <v>691</v>
      </c>
      <c r="C5142" s="83">
        <v>46036</v>
      </c>
      <c r="D5142" s="417" t="s">
        <v>305</v>
      </c>
      <c r="E5142">
        <v>1274.70681666667</v>
      </c>
      <c r="F5142">
        <v>148</v>
      </c>
      <c r="G5142">
        <v>8.6128838963964007</v>
      </c>
      <c r="H5142">
        <v>4.8042333333333298</v>
      </c>
      <c r="I5142">
        <v>74.287939519678901</v>
      </c>
    </row>
    <row r="5143" spans="1:9" x14ac:dyDescent="0.35">
      <c r="A5143" s="417" t="s">
        <v>846</v>
      </c>
      <c r="B5143" s="417" t="s">
        <v>691</v>
      </c>
      <c r="C5143" s="83">
        <v>46036</v>
      </c>
      <c r="D5143" s="417" t="s">
        <v>309</v>
      </c>
      <c r="E5143">
        <v>1296.2476833333301</v>
      </c>
      <c r="F5143">
        <v>123</v>
      </c>
      <c r="G5143">
        <v>10.5385990514905</v>
      </c>
      <c r="H5143">
        <v>0</v>
      </c>
      <c r="I5143">
        <v>55.346533482129303</v>
      </c>
    </row>
    <row r="5144" spans="1:9" x14ac:dyDescent="0.35">
      <c r="A5144" s="417" t="s">
        <v>846</v>
      </c>
      <c r="B5144" s="417" t="s">
        <v>691</v>
      </c>
      <c r="C5144" s="83">
        <v>46036</v>
      </c>
      <c r="D5144" s="417" t="s">
        <v>299</v>
      </c>
      <c r="E5144">
        <v>1375.24168333333</v>
      </c>
      <c r="F5144">
        <v>79</v>
      </c>
      <c r="G5144">
        <v>17.408122573839702</v>
      </c>
      <c r="H5144">
        <v>0.55928333333333302</v>
      </c>
      <c r="I5144">
        <v>83.683667363179197</v>
      </c>
    </row>
    <row r="5145" spans="1:9" x14ac:dyDescent="0.35">
      <c r="A5145" s="417" t="s">
        <v>846</v>
      </c>
      <c r="B5145" s="417" t="s">
        <v>691</v>
      </c>
      <c r="C5145" s="83">
        <v>46036</v>
      </c>
      <c r="D5145" s="417" t="s">
        <v>301</v>
      </c>
      <c r="E5145">
        <v>1367.2291499999999</v>
      </c>
      <c r="F5145">
        <v>49</v>
      </c>
      <c r="G5145">
        <v>27.902635714285701</v>
      </c>
      <c r="H5145">
        <v>1.71455</v>
      </c>
      <c r="I5145">
        <v>67.602741313768902</v>
      </c>
    </row>
    <row r="5146" spans="1:9" x14ac:dyDescent="0.35">
      <c r="A5146" s="417" t="s">
        <v>846</v>
      </c>
      <c r="B5146" s="417" t="s">
        <v>691</v>
      </c>
      <c r="C5146" s="83">
        <v>46036</v>
      </c>
      <c r="D5146" s="417" t="s">
        <v>310</v>
      </c>
      <c r="E5146">
        <v>1362.84341666667</v>
      </c>
      <c r="F5146">
        <v>35</v>
      </c>
      <c r="G5146">
        <v>38.938383333333299</v>
      </c>
      <c r="H5146">
        <v>0.28341666666666698</v>
      </c>
      <c r="I5146">
        <v>59.071107433498803</v>
      </c>
    </row>
    <row r="5147" spans="1:9" x14ac:dyDescent="0.35">
      <c r="A5147" s="417" t="s">
        <v>846</v>
      </c>
      <c r="B5147" s="417" t="s">
        <v>691</v>
      </c>
      <c r="C5147" s="83">
        <v>46036</v>
      </c>
      <c r="D5147" s="417" t="s">
        <v>295</v>
      </c>
      <c r="E5147">
        <v>1343.6293166666701</v>
      </c>
      <c r="F5147">
        <v>28</v>
      </c>
      <c r="G5147">
        <v>47.9867613095238</v>
      </c>
      <c r="H5147">
        <v>2.2041666666666702</v>
      </c>
      <c r="I5147">
        <v>70.458269349414905</v>
      </c>
    </row>
    <row r="5148" spans="1:9" x14ac:dyDescent="0.35">
      <c r="A5148" s="417" t="s">
        <v>846</v>
      </c>
      <c r="B5148" s="417" t="s">
        <v>691</v>
      </c>
      <c r="C5148" s="83">
        <v>46036</v>
      </c>
      <c r="D5148" s="417" t="s">
        <v>303</v>
      </c>
      <c r="E5148">
        <v>1380.6004333333301</v>
      </c>
      <c r="F5148">
        <v>26</v>
      </c>
      <c r="G5148">
        <v>53.100016666666697</v>
      </c>
      <c r="H5148">
        <v>0.34365000000000001</v>
      </c>
      <c r="I5148">
        <v>65.276102183798699</v>
      </c>
    </row>
    <row r="5149" spans="1:9" x14ac:dyDescent="0.35">
      <c r="A5149" s="417" t="s">
        <v>846</v>
      </c>
      <c r="B5149" s="417" t="s">
        <v>691</v>
      </c>
      <c r="C5149" s="83">
        <v>46036</v>
      </c>
      <c r="D5149" s="417" t="s">
        <v>342</v>
      </c>
      <c r="E5149">
        <v>884.74675000000002</v>
      </c>
      <c r="F5149">
        <v>24</v>
      </c>
      <c r="G5149">
        <v>36.864447916666698</v>
      </c>
      <c r="H5149">
        <v>39.938099999999999</v>
      </c>
      <c r="I5149">
        <v>0.44642857142856401</v>
      </c>
    </row>
    <row r="5150" spans="1:9" x14ac:dyDescent="0.35">
      <c r="A5150" s="417" t="s">
        <v>846</v>
      </c>
      <c r="B5150" s="417" t="s">
        <v>691</v>
      </c>
      <c r="C5150" s="83">
        <v>46036</v>
      </c>
      <c r="D5150" s="417" t="s">
        <v>314</v>
      </c>
      <c r="E5150">
        <v>1328.64333333333</v>
      </c>
      <c r="F5150">
        <v>12</v>
      </c>
      <c r="G5150">
        <v>110.72027777777799</v>
      </c>
      <c r="H5150">
        <v>2.6873499999999999</v>
      </c>
      <c r="I5150">
        <v>66.025963604277607</v>
      </c>
    </row>
    <row r="5151" spans="1:9" x14ac:dyDescent="0.35">
      <c r="A5151" s="417" t="s">
        <v>846</v>
      </c>
      <c r="B5151" s="417" t="s">
        <v>691</v>
      </c>
      <c r="C5151" s="83">
        <v>46036</v>
      </c>
      <c r="D5151" s="417" t="s">
        <v>313</v>
      </c>
      <c r="E5151">
        <v>1356.8284000000001</v>
      </c>
      <c r="F5151">
        <v>10</v>
      </c>
      <c r="G5151">
        <v>135.68284</v>
      </c>
      <c r="H5151">
        <v>0</v>
      </c>
      <c r="I5151">
        <v>88.354892863601705</v>
      </c>
    </row>
    <row r="5152" spans="1:9" x14ac:dyDescent="0.35">
      <c r="A5152" s="417" t="s">
        <v>846</v>
      </c>
      <c r="B5152" s="417" t="s">
        <v>691</v>
      </c>
      <c r="C5152" s="83">
        <v>46036</v>
      </c>
      <c r="D5152" s="417" t="s">
        <v>317</v>
      </c>
      <c r="E5152">
        <v>1435.3719333333299</v>
      </c>
      <c r="F5152">
        <v>6</v>
      </c>
      <c r="G5152">
        <v>239.228655555556</v>
      </c>
      <c r="H5152">
        <v>3.3053833333333298</v>
      </c>
      <c r="I5152">
        <v>58.267071659253297</v>
      </c>
    </row>
    <row r="5153" spans="1:9" x14ac:dyDescent="0.35">
      <c r="A5153" s="417" t="s">
        <v>846</v>
      </c>
      <c r="B5153" s="417" t="s">
        <v>691</v>
      </c>
      <c r="C5153" s="83">
        <v>46036</v>
      </c>
      <c r="D5153" s="417" t="s">
        <v>504</v>
      </c>
      <c r="E5153">
        <v>1440</v>
      </c>
      <c r="F5153">
        <v>1</v>
      </c>
      <c r="G5153">
        <v>1440</v>
      </c>
      <c r="H5153">
        <v>0</v>
      </c>
      <c r="I5153">
        <v>50.405709876543199</v>
      </c>
    </row>
    <row r="5154" spans="1:9" x14ac:dyDescent="0.35">
      <c r="A5154" s="417" t="s">
        <v>846</v>
      </c>
      <c r="B5154" s="417" t="s">
        <v>676</v>
      </c>
      <c r="C5154" s="83">
        <v>46035</v>
      </c>
      <c r="D5154" s="417" t="s">
        <v>677</v>
      </c>
      <c r="E5154">
        <v>1190.1973</v>
      </c>
      <c r="F5154">
        <v>518</v>
      </c>
      <c r="G5154">
        <v>2.29767818532819</v>
      </c>
      <c r="H5154">
        <v>214.96451666666701</v>
      </c>
      <c r="I5154">
        <v>29.918611111111101</v>
      </c>
    </row>
    <row r="5155" spans="1:9" x14ac:dyDescent="0.35">
      <c r="A5155" s="417" t="s">
        <v>846</v>
      </c>
      <c r="B5155" s="417" t="s">
        <v>676</v>
      </c>
      <c r="C5155" s="83">
        <v>46035</v>
      </c>
      <c r="D5155" s="417" t="s">
        <v>679</v>
      </c>
      <c r="E5155">
        <v>1373.4946500000001</v>
      </c>
      <c r="F5155">
        <v>11</v>
      </c>
      <c r="G5155">
        <v>124.86315</v>
      </c>
      <c r="H5155">
        <v>7.6706666666666701</v>
      </c>
      <c r="I5155">
        <v>63.421008808606402</v>
      </c>
    </row>
    <row r="5156" spans="1:9" x14ac:dyDescent="0.35">
      <c r="A5156" s="417" t="s">
        <v>846</v>
      </c>
      <c r="B5156" s="417" t="s">
        <v>680</v>
      </c>
      <c r="C5156" s="83">
        <v>46035</v>
      </c>
      <c r="D5156" s="417" t="s">
        <v>682</v>
      </c>
      <c r="E5156">
        <v>1364.1354833333301</v>
      </c>
      <c r="F5156">
        <v>52</v>
      </c>
      <c r="G5156">
        <v>26.233374679487198</v>
      </c>
      <c r="H5156">
        <v>41.362066666666699</v>
      </c>
      <c r="I5156">
        <v>71.641414141414103</v>
      </c>
    </row>
    <row r="5157" spans="1:9" x14ac:dyDescent="0.35">
      <c r="A5157" s="417" t="s">
        <v>846</v>
      </c>
      <c r="B5157" s="417" t="s">
        <v>680</v>
      </c>
      <c r="C5157" s="83">
        <v>46035</v>
      </c>
      <c r="D5157" s="417" t="s">
        <v>685</v>
      </c>
      <c r="E5157">
        <v>1369.002</v>
      </c>
      <c r="F5157">
        <v>37</v>
      </c>
      <c r="G5157">
        <v>37.000054054054097</v>
      </c>
      <c r="H5157">
        <v>33.983699999999999</v>
      </c>
      <c r="I5157">
        <v>78.925933744674495</v>
      </c>
    </row>
    <row r="5158" spans="1:9" x14ac:dyDescent="0.35">
      <c r="A5158" s="417" t="s">
        <v>846</v>
      </c>
      <c r="B5158" s="417" t="s">
        <v>680</v>
      </c>
      <c r="C5158" s="83">
        <v>46035</v>
      </c>
      <c r="D5158" s="417" t="s">
        <v>681</v>
      </c>
      <c r="E5158">
        <v>1357.51945</v>
      </c>
      <c r="F5158">
        <v>29</v>
      </c>
      <c r="G5158">
        <v>46.811015517241401</v>
      </c>
      <c r="H5158">
        <v>0.82525000000000004</v>
      </c>
      <c r="I5158">
        <v>86.294075020777896</v>
      </c>
    </row>
    <row r="5159" spans="1:9" x14ac:dyDescent="0.35">
      <c r="A5159" s="417" t="s">
        <v>846</v>
      </c>
      <c r="B5159" s="417" t="s">
        <v>680</v>
      </c>
      <c r="C5159" s="83">
        <v>46035</v>
      </c>
      <c r="D5159" s="417" t="s">
        <v>689</v>
      </c>
      <c r="E5159">
        <v>1392.3617999999999</v>
      </c>
      <c r="F5159">
        <v>26</v>
      </c>
      <c r="G5159">
        <v>53.552376923076899</v>
      </c>
      <c r="H5159">
        <v>0.83381666666666698</v>
      </c>
      <c r="I5159">
        <v>80.845846497729198</v>
      </c>
    </row>
    <row r="5160" spans="1:9" x14ac:dyDescent="0.35">
      <c r="A5160" s="417" t="s">
        <v>846</v>
      </c>
      <c r="B5160" s="417" t="s">
        <v>680</v>
      </c>
      <c r="C5160" s="83">
        <v>46035</v>
      </c>
      <c r="D5160" s="417" t="s">
        <v>684</v>
      </c>
      <c r="E5160">
        <v>1410.14761666667</v>
      </c>
      <c r="F5160">
        <v>24</v>
      </c>
      <c r="G5160">
        <v>58.756150694444401</v>
      </c>
      <c r="H5160">
        <v>10.011100000000001</v>
      </c>
      <c r="I5160">
        <v>73.734207853255697</v>
      </c>
    </row>
    <row r="5161" spans="1:9" x14ac:dyDescent="0.35">
      <c r="A5161" s="417" t="s">
        <v>846</v>
      </c>
      <c r="B5161" s="417" t="s">
        <v>680</v>
      </c>
      <c r="C5161" s="83">
        <v>46035</v>
      </c>
      <c r="D5161" s="417" t="s">
        <v>687</v>
      </c>
      <c r="E5161">
        <v>1386.9738833333299</v>
      </c>
      <c r="F5161">
        <v>20</v>
      </c>
      <c r="G5161">
        <v>69.348694166666704</v>
      </c>
      <c r="H5161">
        <v>34.175766666666703</v>
      </c>
      <c r="I5161">
        <v>35.2783524112455</v>
      </c>
    </row>
    <row r="5162" spans="1:9" x14ac:dyDescent="0.35">
      <c r="A5162" s="417" t="s">
        <v>846</v>
      </c>
      <c r="B5162" s="417" t="s">
        <v>680</v>
      </c>
      <c r="C5162" s="83">
        <v>46035</v>
      </c>
      <c r="D5162" s="417" t="s">
        <v>690</v>
      </c>
      <c r="E5162">
        <v>1410.6404333333301</v>
      </c>
      <c r="F5162">
        <v>19</v>
      </c>
      <c r="G5162">
        <v>74.244233333333298</v>
      </c>
      <c r="H5162">
        <v>18.706416666666701</v>
      </c>
      <c r="I5162">
        <v>65.850801968490998</v>
      </c>
    </row>
    <row r="5163" spans="1:9" x14ac:dyDescent="0.35">
      <c r="A5163" s="417" t="s">
        <v>846</v>
      </c>
      <c r="B5163" s="417" t="s">
        <v>680</v>
      </c>
      <c r="C5163" s="83">
        <v>46035</v>
      </c>
      <c r="D5163" s="417" t="s">
        <v>683</v>
      </c>
      <c r="E5163">
        <v>1421.9779166666699</v>
      </c>
      <c r="F5163">
        <v>18</v>
      </c>
      <c r="G5163">
        <v>78.998773148148103</v>
      </c>
      <c r="H5163">
        <v>0.16694999999999999</v>
      </c>
      <c r="I5163">
        <v>67.691308850026502</v>
      </c>
    </row>
    <row r="5164" spans="1:9" x14ac:dyDescent="0.35">
      <c r="A5164" s="417" t="s">
        <v>846</v>
      </c>
      <c r="B5164" s="417" t="s">
        <v>680</v>
      </c>
      <c r="C5164" s="83">
        <v>46035</v>
      </c>
      <c r="D5164" s="417" t="s">
        <v>688</v>
      </c>
      <c r="E5164">
        <v>1412.6864333333299</v>
      </c>
      <c r="F5164">
        <v>12</v>
      </c>
      <c r="G5164">
        <v>117.72386944444401</v>
      </c>
      <c r="H5164">
        <v>6.3286166666666697</v>
      </c>
      <c r="I5164">
        <v>83.065108834821103</v>
      </c>
    </row>
    <row r="5165" spans="1:9" x14ac:dyDescent="0.35">
      <c r="A5165" s="417" t="s">
        <v>846</v>
      </c>
      <c r="B5165" s="417" t="s">
        <v>680</v>
      </c>
      <c r="C5165" s="83">
        <v>46035</v>
      </c>
      <c r="D5165" s="417" t="s">
        <v>686</v>
      </c>
      <c r="E5165">
        <v>1440</v>
      </c>
      <c r="F5165">
        <v>1</v>
      </c>
      <c r="G5165">
        <v>1440</v>
      </c>
      <c r="H5165">
        <v>0</v>
      </c>
      <c r="I5165">
        <v>33.015151515151501</v>
      </c>
    </row>
    <row r="5166" spans="1:9" x14ac:dyDescent="0.35">
      <c r="A5166" s="417" t="s">
        <v>846</v>
      </c>
      <c r="B5166" s="417" t="s">
        <v>691</v>
      </c>
      <c r="C5166" s="83">
        <v>46035</v>
      </c>
      <c r="D5166" s="417" t="s">
        <v>299</v>
      </c>
      <c r="E5166">
        <v>1357.8778833333299</v>
      </c>
      <c r="F5166">
        <v>135</v>
      </c>
      <c r="G5166">
        <v>10.058354691358</v>
      </c>
      <c r="H5166">
        <v>0.51339999999999997</v>
      </c>
      <c r="I5166">
        <v>90.0823457642324</v>
      </c>
    </row>
    <row r="5167" spans="1:9" x14ac:dyDescent="0.35">
      <c r="A5167" s="417" t="s">
        <v>846</v>
      </c>
      <c r="B5167" s="417" t="s">
        <v>691</v>
      </c>
      <c r="C5167" s="83">
        <v>46035</v>
      </c>
      <c r="D5167" s="417" t="s">
        <v>309</v>
      </c>
      <c r="E5167">
        <v>1187.76483333333</v>
      </c>
      <c r="F5167">
        <v>111</v>
      </c>
      <c r="G5167">
        <v>10.700584084084101</v>
      </c>
      <c r="H5167">
        <v>0</v>
      </c>
      <c r="I5167">
        <v>63.237014072004598</v>
      </c>
    </row>
    <row r="5168" spans="1:9" x14ac:dyDescent="0.35">
      <c r="A5168" s="417" t="s">
        <v>846</v>
      </c>
      <c r="B5168" s="417" t="s">
        <v>691</v>
      </c>
      <c r="C5168" s="83">
        <v>46035</v>
      </c>
      <c r="D5168" s="417" t="s">
        <v>305</v>
      </c>
      <c r="E5168">
        <v>1280.65083333333</v>
      </c>
      <c r="F5168">
        <v>106</v>
      </c>
      <c r="G5168">
        <v>12.081611635220099</v>
      </c>
      <c r="H5168">
        <v>1.32978333333333</v>
      </c>
      <c r="I5168">
        <v>75.7371923811165</v>
      </c>
    </row>
    <row r="5169" spans="1:9" x14ac:dyDescent="0.35">
      <c r="A5169" s="417" t="s">
        <v>846</v>
      </c>
      <c r="B5169" s="417" t="s">
        <v>691</v>
      </c>
      <c r="C5169" s="83">
        <v>46035</v>
      </c>
      <c r="D5169" s="417" t="s">
        <v>301</v>
      </c>
      <c r="E5169">
        <v>1341.9548</v>
      </c>
      <c r="F5169">
        <v>66</v>
      </c>
      <c r="G5169">
        <v>20.332648484848502</v>
      </c>
      <c r="H5169">
        <v>1.2967500000000001</v>
      </c>
      <c r="I5169">
        <v>69.317781702313894</v>
      </c>
    </row>
    <row r="5170" spans="1:9" x14ac:dyDescent="0.35">
      <c r="A5170" s="417" t="s">
        <v>846</v>
      </c>
      <c r="B5170" s="417" t="s">
        <v>691</v>
      </c>
      <c r="C5170" s="83">
        <v>46035</v>
      </c>
      <c r="D5170" s="417" t="s">
        <v>303</v>
      </c>
      <c r="E5170">
        <v>1367.2734333333301</v>
      </c>
      <c r="F5170">
        <v>61</v>
      </c>
      <c r="G5170">
        <v>22.414318579235001</v>
      </c>
      <c r="H5170">
        <v>0.161316666666667</v>
      </c>
      <c r="I5170">
        <v>67.814989350993798</v>
      </c>
    </row>
    <row r="5171" spans="1:9" x14ac:dyDescent="0.35">
      <c r="A5171" s="417" t="s">
        <v>846</v>
      </c>
      <c r="B5171" s="417" t="s">
        <v>691</v>
      </c>
      <c r="C5171" s="83">
        <v>46035</v>
      </c>
      <c r="D5171" s="417" t="s">
        <v>310</v>
      </c>
      <c r="E5171">
        <v>1332.72628333333</v>
      </c>
      <c r="F5171">
        <v>45</v>
      </c>
      <c r="G5171">
        <v>29.6161396296296</v>
      </c>
      <c r="H5171">
        <v>0.38348333333333301</v>
      </c>
      <c r="I5171">
        <v>72.912554400528705</v>
      </c>
    </row>
    <row r="5172" spans="1:9" x14ac:dyDescent="0.35">
      <c r="A5172" s="417" t="s">
        <v>846</v>
      </c>
      <c r="B5172" s="417" t="s">
        <v>691</v>
      </c>
      <c r="C5172" s="83">
        <v>46035</v>
      </c>
      <c r="D5172" s="417" t="s">
        <v>295</v>
      </c>
      <c r="E5172">
        <v>1397.83195</v>
      </c>
      <c r="F5172">
        <v>27</v>
      </c>
      <c r="G5172">
        <v>51.771553703703702</v>
      </c>
      <c r="H5172">
        <v>0</v>
      </c>
      <c r="I5172">
        <v>82.360762674774705</v>
      </c>
    </row>
    <row r="5173" spans="1:9" x14ac:dyDescent="0.35">
      <c r="A5173" s="417" t="s">
        <v>846</v>
      </c>
      <c r="B5173" s="417" t="s">
        <v>691</v>
      </c>
      <c r="C5173" s="83">
        <v>46035</v>
      </c>
      <c r="D5173" s="417" t="s">
        <v>314</v>
      </c>
      <c r="E5173">
        <v>1288.1836499999999</v>
      </c>
      <c r="F5173">
        <v>11</v>
      </c>
      <c r="G5173">
        <v>117.107604545455</v>
      </c>
      <c r="H5173">
        <v>1.0609</v>
      </c>
      <c r="I5173">
        <v>64.881327301142704</v>
      </c>
    </row>
    <row r="5174" spans="1:9" x14ac:dyDescent="0.35">
      <c r="A5174" s="417" t="s">
        <v>846</v>
      </c>
      <c r="B5174" s="417" t="s">
        <v>691</v>
      </c>
      <c r="C5174" s="83">
        <v>46035</v>
      </c>
      <c r="D5174" s="417" t="s">
        <v>317</v>
      </c>
      <c r="E5174">
        <v>1435.7447833333299</v>
      </c>
      <c r="F5174">
        <v>4</v>
      </c>
      <c r="G5174">
        <v>358.93619583333299</v>
      </c>
      <c r="H5174">
        <v>3.5199333333333298</v>
      </c>
      <c r="I5174">
        <v>64.482925847680804</v>
      </c>
    </row>
    <row r="5175" spans="1:9" x14ac:dyDescent="0.35">
      <c r="A5175" s="417" t="s">
        <v>846</v>
      </c>
      <c r="B5175" s="417" t="s">
        <v>691</v>
      </c>
      <c r="C5175" s="83">
        <v>46035</v>
      </c>
      <c r="D5175" s="417" t="s">
        <v>313</v>
      </c>
      <c r="E5175">
        <v>1420.0330833333301</v>
      </c>
      <c r="F5175">
        <v>2</v>
      </c>
      <c r="G5175">
        <v>710.01654166666697</v>
      </c>
      <c r="H5175">
        <v>0</v>
      </c>
      <c r="I5175">
        <v>89.537189659576597</v>
      </c>
    </row>
    <row r="5176" spans="1:9" x14ac:dyDescent="0.35">
      <c r="A5176" s="417" t="s">
        <v>846</v>
      </c>
      <c r="B5176" s="417" t="s">
        <v>691</v>
      </c>
      <c r="C5176" s="83">
        <v>46035</v>
      </c>
      <c r="D5176" s="417" t="s">
        <v>504</v>
      </c>
      <c r="E5176">
        <v>1440</v>
      </c>
      <c r="F5176">
        <v>1</v>
      </c>
      <c r="G5176">
        <v>1440</v>
      </c>
      <c r="H5176">
        <v>0</v>
      </c>
      <c r="I5176">
        <v>55.055246913580199</v>
      </c>
    </row>
    <row r="5177" spans="1:9" x14ac:dyDescent="0.35">
      <c r="A5177" s="417" t="s">
        <v>846</v>
      </c>
      <c r="B5177" s="417" t="s">
        <v>676</v>
      </c>
      <c r="C5177" s="83">
        <v>46034</v>
      </c>
      <c r="D5177" s="417" t="s">
        <v>677</v>
      </c>
      <c r="E5177">
        <v>1242.4781</v>
      </c>
      <c r="F5177">
        <v>199</v>
      </c>
      <c r="G5177">
        <v>6.2436085427135701</v>
      </c>
      <c r="H5177">
        <v>140.01848333333299</v>
      </c>
      <c r="I5177">
        <v>22.2575</v>
      </c>
    </row>
    <row r="5178" spans="1:9" x14ac:dyDescent="0.35">
      <c r="A5178" s="417" t="s">
        <v>846</v>
      </c>
      <c r="B5178" s="417" t="s">
        <v>676</v>
      </c>
      <c r="C5178" s="83">
        <v>46034</v>
      </c>
      <c r="D5178" s="417" t="s">
        <v>679</v>
      </c>
      <c r="E5178">
        <v>977.64226666666696</v>
      </c>
      <c r="F5178">
        <v>18</v>
      </c>
      <c r="G5178">
        <v>54.313459259259297</v>
      </c>
      <c r="H5178">
        <v>20.671233333333301</v>
      </c>
      <c r="I5178">
        <v>77.730188346149305</v>
      </c>
    </row>
    <row r="5179" spans="1:9" x14ac:dyDescent="0.35">
      <c r="A5179" s="417" t="s">
        <v>846</v>
      </c>
      <c r="B5179" s="417" t="s">
        <v>680</v>
      </c>
      <c r="C5179" s="83">
        <v>46034</v>
      </c>
      <c r="D5179" s="417" t="s">
        <v>681</v>
      </c>
      <c r="E5179">
        <v>1379.32306666667</v>
      </c>
      <c r="F5179">
        <v>72</v>
      </c>
      <c r="G5179">
        <v>19.157264814814798</v>
      </c>
      <c r="H5179">
        <v>0.82653333333333301</v>
      </c>
      <c r="I5179">
        <v>65.174092826892405</v>
      </c>
    </row>
    <row r="5180" spans="1:9" x14ac:dyDescent="0.35">
      <c r="A5180" s="417" t="s">
        <v>846</v>
      </c>
      <c r="B5180" s="417" t="s">
        <v>680</v>
      </c>
      <c r="C5180" s="83">
        <v>46034</v>
      </c>
      <c r="D5180" s="417" t="s">
        <v>689</v>
      </c>
      <c r="E5180">
        <v>1385.5298166666701</v>
      </c>
      <c r="F5180">
        <v>61</v>
      </c>
      <c r="G5180">
        <v>22.713603551912598</v>
      </c>
      <c r="H5180">
        <v>0.49314999999999998</v>
      </c>
      <c r="I5180">
        <v>80.040162574230706</v>
      </c>
    </row>
    <row r="5181" spans="1:9" x14ac:dyDescent="0.35">
      <c r="A5181" s="417" t="s">
        <v>846</v>
      </c>
      <c r="B5181" s="417" t="s">
        <v>680</v>
      </c>
      <c r="C5181" s="83">
        <v>46034</v>
      </c>
      <c r="D5181" s="417" t="s">
        <v>682</v>
      </c>
      <c r="E5181">
        <v>1388.1485499999999</v>
      </c>
      <c r="F5181">
        <v>50</v>
      </c>
      <c r="G5181">
        <v>27.762971</v>
      </c>
      <c r="H5181">
        <v>51.85145</v>
      </c>
      <c r="I5181">
        <v>68.752525252525203</v>
      </c>
    </row>
    <row r="5182" spans="1:9" x14ac:dyDescent="0.35">
      <c r="A5182" s="417" t="s">
        <v>846</v>
      </c>
      <c r="B5182" s="417" t="s">
        <v>680</v>
      </c>
      <c r="C5182" s="83">
        <v>46034</v>
      </c>
      <c r="D5182" s="417" t="s">
        <v>687</v>
      </c>
      <c r="E5182">
        <v>1313.1268</v>
      </c>
      <c r="F5182">
        <v>39</v>
      </c>
      <c r="G5182">
        <v>33.669917948718002</v>
      </c>
      <c r="H5182">
        <v>52.697566666666702</v>
      </c>
      <c r="I5182">
        <v>39.546146801371997</v>
      </c>
    </row>
    <row r="5183" spans="1:9" x14ac:dyDescent="0.35">
      <c r="A5183" s="417" t="s">
        <v>846</v>
      </c>
      <c r="B5183" s="417" t="s">
        <v>680</v>
      </c>
      <c r="C5183" s="83">
        <v>46034</v>
      </c>
      <c r="D5183" s="417" t="s">
        <v>685</v>
      </c>
      <c r="E5183">
        <v>1354.9809</v>
      </c>
      <c r="F5183">
        <v>37</v>
      </c>
      <c r="G5183">
        <v>36.621105405405402</v>
      </c>
      <c r="H5183">
        <v>25.0170833333333</v>
      </c>
      <c r="I5183">
        <v>79.350097096748399</v>
      </c>
    </row>
    <row r="5184" spans="1:9" x14ac:dyDescent="0.35">
      <c r="A5184" s="417" t="s">
        <v>846</v>
      </c>
      <c r="B5184" s="417" t="s">
        <v>680</v>
      </c>
      <c r="C5184" s="83">
        <v>46034</v>
      </c>
      <c r="D5184" s="417" t="s">
        <v>684</v>
      </c>
      <c r="E5184">
        <v>1414.51258333333</v>
      </c>
      <c r="F5184">
        <v>32</v>
      </c>
      <c r="G5184">
        <v>44.203518229166697</v>
      </c>
      <c r="H5184">
        <v>5.8275666666666703</v>
      </c>
      <c r="I5184">
        <v>70.137517859862697</v>
      </c>
    </row>
    <row r="5185" spans="1:9" x14ac:dyDescent="0.35">
      <c r="A5185" s="417" t="s">
        <v>846</v>
      </c>
      <c r="B5185" s="417" t="s">
        <v>680</v>
      </c>
      <c r="C5185" s="83">
        <v>46034</v>
      </c>
      <c r="D5185" s="417" t="s">
        <v>683</v>
      </c>
      <c r="E5185">
        <v>1381.6626000000001</v>
      </c>
      <c r="F5185">
        <v>23</v>
      </c>
      <c r="G5185">
        <v>60.072286956521701</v>
      </c>
      <c r="H5185">
        <v>0.50024999999999997</v>
      </c>
      <c r="I5185">
        <v>63.880713733651397</v>
      </c>
    </row>
    <row r="5186" spans="1:9" x14ac:dyDescent="0.35">
      <c r="A5186" s="417" t="s">
        <v>846</v>
      </c>
      <c r="B5186" s="417" t="s">
        <v>680</v>
      </c>
      <c r="C5186" s="83">
        <v>46034</v>
      </c>
      <c r="D5186" s="417" t="s">
        <v>690</v>
      </c>
      <c r="E5186">
        <v>1350.3294333333299</v>
      </c>
      <c r="F5186">
        <v>17</v>
      </c>
      <c r="G5186">
        <v>79.431143137254907</v>
      </c>
      <c r="H5186">
        <v>15.9958333333333</v>
      </c>
      <c r="I5186">
        <v>61.9497869954034</v>
      </c>
    </row>
    <row r="5187" spans="1:9" x14ac:dyDescent="0.35">
      <c r="A5187" s="417" t="s">
        <v>846</v>
      </c>
      <c r="B5187" s="417" t="s">
        <v>680</v>
      </c>
      <c r="C5187" s="83">
        <v>46034</v>
      </c>
      <c r="D5187" s="417" t="s">
        <v>688</v>
      </c>
      <c r="E5187">
        <v>1329.32295</v>
      </c>
      <c r="F5187">
        <v>14</v>
      </c>
      <c r="G5187">
        <v>94.951639285714293</v>
      </c>
      <c r="H5187">
        <v>10.99775</v>
      </c>
      <c r="I5187">
        <v>63.617705306641</v>
      </c>
    </row>
    <row r="5188" spans="1:9" x14ac:dyDescent="0.35">
      <c r="A5188" s="417" t="s">
        <v>846</v>
      </c>
      <c r="B5188" s="417" t="s">
        <v>680</v>
      </c>
      <c r="C5188" s="83">
        <v>46034</v>
      </c>
      <c r="D5188" s="417" t="s">
        <v>686</v>
      </c>
      <c r="E5188">
        <v>1440</v>
      </c>
      <c r="F5188">
        <v>1</v>
      </c>
      <c r="G5188">
        <v>1440</v>
      </c>
      <c r="H5188">
        <v>0</v>
      </c>
      <c r="I5188">
        <v>30.328282828282799</v>
      </c>
    </row>
    <row r="5189" spans="1:9" x14ac:dyDescent="0.35">
      <c r="A5189" s="417" t="s">
        <v>846</v>
      </c>
      <c r="B5189" s="417" t="s">
        <v>691</v>
      </c>
      <c r="C5189" s="83">
        <v>46034</v>
      </c>
      <c r="D5189" s="417" t="s">
        <v>309</v>
      </c>
      <c r="E5189">
        <v>1287.3269499999999</v>
      </c>
      <c r="F5189">
        <v>97</v>
      </c>
      <c r="G5189">
        <v>13.271411855670101</v>
      </c>
      <c r="H5189">
        <v>0</v>
      </c>
      <c r="I5189">
        <v>60.782970872672898</v>
      </c>
    </row>
    <row r="5190" spans="1:9" x14ac:dyDescent="0.35">
      <c r="A5190" s="417" t="s">
        <v>846</v>
      </c>
      <c r="B5190" s="417" t="s">
        <v>691</v>
      </c>
      <c r="C5190" s="83">
        <v>46034</v>
      </c>
      <c r="D5190" s="417" t="s">
        <v>305</v>
      </c>
      <c r="E5190">
        <v>1341.8157166666699</v>
      </c>
      <c r="F5190">
        <v>94</v>
      </c>
      <c r="G5190">
        <v>14.2746352836879</v>
      </c>
      <c r="H5190">
        <v>1.8518333333333299</v>
      </c>
      <c r="I5190">
        <v>66.389292698204301</v>
      </c>
    </row>
    <row r="5191" spans="1:9" x14ac:dyDescent="0.35">
      <c r="A5191" s="417" t="s">
        <v>846</v>
      </c>
      <c r="B5191" s="417" t="s">
        <v>691</v>
      </c>
      <c r="C5191" s="83">
        <v>46034</v>
      </c>
      <c r="D5191" s="417" t="s">
        <v>301</v>
      </c>
      <c r="E5191">
        <v>1381.0912333333299</v>
      </c>
      <c r="F5191">
        <v>63</v>
      </c>
      <c r="G5191">
        <v>21.922083068783099</v>
      </c>
      <c r="H5191">
        <v>0.29326666666666701</v>
      </c>
      <c r="I5191">
        <v>51.786144916317603</v>
      </c>
    </row>
    <row r="5192" spans="1:9" x14ac:dyDescent="0.35">
      <c r="A5192" s="417" t="s">
        <v>846</v>
      </c>
      <c r="B5192" s="417" t="s">
        <v>691</v>
      </c>
      <c r="C5192" s="83">
        <v>46034</v>
      </c>
      <c r="D5192" s="417" t="s">
        <v>299</v>
      </c>
      <c r="E5192">
        <v>1396.26765</v>
      </c>
      <c r="F5192">
        <v>58</v>
      </c>
      <c r="G5192">
        <v>24.073580172413799</v>
      </c>
      <c r="H5192">
        <v>0.12740000000000001</v>
      </c>
      <c r="I5192">
        <v>67.357472277303998</v>
      </c>
    </row>
    <row r="5193" spans="1:9" x14ac:dyDescent="0.35">
      <c r="A5193" s="417" t="s">
        <v>846</v>
      </c>
      <c r="B5193" s="417" t="s">
        <v>691</v>
      </c>
      <c r="C5193" s="83">
        <v>46034</v>
      </c>
      <c r="D5193" s="417" t="s">
        <v>303</v>
      </c>
      <c r="E5193">
        <v>1371.4514999999999</v>
      </c>
      <c r="F5193">
        <v>52</v>
      </c>
      <c r="G5193">
        <v>26.3740673076923</v>
      </c>
      <c r="H5193">
        <v>0.43824999999999997</v>
      </c>
      <c r="I5193">
        <v>50.019621256683898</v>
      </c>
    </row>
    <row r="5194" spans="1:9" x14ac:dyDescent="0.35">
      <c r="A5194" s="417" t="s">
        <v>846</v>
      </c>
      <c r="B5194" s="417" t="s">
        <v>691</v>
      </c>
      <c r="C5194" s="83">
        <v>46034</v>
      </c>
      <c r="D5194" s="417" t="s">
        <v>310</v>
      </c>
      <c r="E5194">
        <v>1357.00315</v>
      </c>
      <c r="F5194">
        <v>39</v>
      </c>
      <c r="G5194">
        <v>34.794952564102601</v>
      </c>
      <c r="H5194">
        <v>1.5962499999999999</v>
      </c>
      <c r="I5194">
        <v>65.710846213464507</v>
      </c>
    </row>
    <row r="5195" spans="1:9" x14ac:dyDescent="0.35">
      <c r="A5195" s="417" t="s">
        <v>846</v>
      </c>
      <c r="B5195" s="417" t="s">
        <v>691</v>
      </c>
      <c r="C5195" s="83">
        <v>46034</v>
      </c>
      <c r="D5195" s="417" t="s">
        <v>295</v>
      </c>
      <c r="E5195">
        <v>1364.7594666666701</v>
      </c>
      <c r="F5195">
        <v>36</v>
      </c>
      <c r="G5195">
        <v>37.909985185185199</v>
      </c>
      <c r="H5195">
        <v>0.343783333333333</v>
      </c>
      <c r="I5195">
        <v>55.098316347906</v>
      </c>
    </row>
    <row r="5196" spans="1:9" x14ac:dyDescent="0.35">
      <c r="A5196" s="417" t="s">
        <v>846</v>
      </c>
      <c r="B5196" s="417" t="s">
        <v>691</v>
      </c>
      <c r="C5196" s="83">
        <v>46034</v>
      </c>
      <c r="D5196" s="417" t="s">
        <v>313</v>
      </c>
      <c r="E5196">
        <v>1415.6458</v>
      </c>
      <c r="F5196">
        <v>13</v>
      </c>
      <c r="G5196">
        <v>108.895830769231</v>
      </c>
      <c r="H5196">
        <v>0</v>
      </c>
      <c r="I5196">
        <v>84.887601056960705</v>
      </c>
    </row>
    <row r="5197" spans="1:9" x14ac:dyDescent="0.35">
      <c r="A5197" s="417" t="s">
        <v>846</v>
      </c>
      <c r="B5197" s="417" t="s">
        <v>691</v>
      </c>
      <c r="C5197" s="83">
        <v>46034</v>
      </c>
      <c r="D5197" s="417" t="s">
        <v>314</v>
      </c>
      <c r="E5197">
        <v>1389.19988333333</v>
      </c>
      <c r="F5197">
        <v>8</v>
      </c>
      <c r="G5197">
        <v>173.64998541666699</v>
      </c>
      <c r="H5197">
        <v>0.347316666666667</v>
      </c>
      <c r="I5197">
        <v>60.331817821125</v>
      </c>
    </row>
    <row r="5198" spans="1:9" x14ac:dyDescent="0.35">
      <c r="A5198" s="417" t="s">
        <v>846</v>
      </c>
      <c r="B5198" s="417" t="s">
        <v>691</v>
      </c>
      <c r="C5198" s="83">
        <v>46034</v>
      </c>
      <c r="D5198" s="417" t="s">
        <v>317</v>
      </c>
      <c r="E5198">
        <v>1435.8224</v>
      </c>
      <c r="F5198">
        <v>3</v>
      </c>
      <c r="G5198">
        <v>478.60746666666699</v>
      </c>
      <c r="H5198">
        <v>4.1776</v>
      </c>
      <c r="I5198">
        <v>60.077777777777797</v>
      </c>
    </row>
    <row r="5199" spans="1:9" x14ac:dyDescent="0.35">
      <c r="A5199" s="417" t="s">
        <v>846</v>
      </c>
      <c r="B5199" s="417" t="s">
        <v>691</v>
      </c>
      <c r="C5199" s="83">
        <v>46034</v>
      </c>
      <c r="D5199" s="417" t="s">
        <v>504</v>
      </c>
      <c r="E5199">
        <v>1440</v>
      </c>
      <c r="F5199">
        <v>1</v>
      </c>
      <c r="G5199">
        <v>1440</v>
      </c>
      <c r="H5199">
        <v>0</v>
      </c>
      <c r="I5199">
        <v>43.5441358024691</v>
      </c>
    </row>
    <row r="5200" spans="1:9" x14ac:dyDescent="0.35">
      <c r="A5200" s="417" t="s">
        <v>846</v>
      </c>
      <c r="B5200" s="417" t="s">
        <v>676</v>
      </c>
      <c r="C5200" s="83">
        <v>46033</v>
      </c>
      <c r="D5200" s="417" t="s">
        <v>677</v>
      </c>
      <c r="E5200">
        <v>1313.33048333333</v>
      </c>
      <c r="F5200">
        <v>191</v>
      </c>
      <c r="G5200">
        <v>6.8760758289703299</v>
      </c>
      <c r="H5200">
        <v>115.334566666667</v>
      </c>
      <c r="I5200">
        <v>37.763055555555503</v>
      </c>
    </row>
    <row r="5201" spans="1:9" x14ac:dyDescent="0.35">
      <c r="A5201" s="417" t="s">
        <v>846</v>
      </c>
      <c r="B5201" s="417" t="s">
        <v>676</v>
      </c>
      <c r="C5201" s="83">
        <v>46033</v>
      </c>
      <c r="D5201" s="417" t="s">
        <v>679</v>
      </c>
      <c r="E5201">
        <v>1357.7564333333301</v>
      </c>
      <c r="F5201">
        <v>23</v>
      </c>
      <c r="G5201">
        <v>59.032888405797102</v>
      </c>
      <c r="H5201">
        <v>12.512883333333299</v>
      </c>
      <c r="I5201">
        <v>94.235489643830206</v>
      </c>
    </row>
    <row r="5202" spans="1:9" x14ac:dyDescent="0.35">
      <c r="A5202" s="417" t="s">
        <v>846</v>
      </c>
      <c r="B5202" s="417" t="s">
        <v>680</v>
      </c>
      <c r="C5202" s="83">
        <v>46033</v>
      </c>
      <c r="D5202" s="417" t="s">
        <v>687</v>
      </c>
      <c r="E5202">
        <v>1248.7040833333299</v>
      </c>
      <c r="F5202">
        <v>80</v>
      </c>
      <c r="G5202">
        <v>15.6088010416667</v>
      </c>
      <c r="H5202">
        <v>103.150316666667</v>
      </c>
      <c r="I5202">
        <v>21.9652999197429</v>
      </c>
    </row>
    <row r="5203" spans="1:9" x14ac:dyDescent="0.35">
      <c r="A5203" s="417" t="s">
        <v>846</v>
      </c>
      <c r="B5203" s="417" t="s">
        <v>680</v>
      </c>
      <c r="C5203" s="83">
        <v>46033</v>
      </c>
      <c r="D5203" s="417" t="s">
        <v>689</v>
      </c>
      <c r="E5203">
        <v>1378.9836333333301</v>
      </c>
      <c r="F5203">
        <v>62</v>
      </c>
      <c r="G5203">
        <v>22.241671505376299</v>
      </c>
      <c r="H5203">
        <v>0.49303333333333299</v>
      </c>
      <c r="I5203">
        <v>56.6815287176113</v>
      </c>
    </row>
    <row r="5204" spans="1:9" x14ac:dyDescent="0.35">
      <c r="A5204" s="417" t="s">
        <v>846</v>
      </c>
      <c r="B5204" s="417" t="s">
        <v>680</v>
      </c>
      <c r="C5204" s="83">
        <v>46033</v>
      </c>
      <c r="D5204" s="417" t="s">
        <v>681</v>
      </c>
      <c r="E5204">
        <v>1395.50415</v>
      </c>
      <c r="F5204">
        <v>51</v>
      </c>
      <c r="G5204">
        <v>27.3628264705882</v>
      </c>
      <c r="H5204">
        <v>0.83358333333333301</v>
      </c>
      <c r="I5204">
        <v>61.5270011116707</v>
      </c>
    </row>
    <row r="5205" spans="1:9" x14ac:dyDescent="0.35">
      <c r="A5205" s="417" t="s">
        <v>846</v>
      </c>
      <c r="B5205" s="417" t="s">
        <v>680</v>
      </c>
      <c r="C5205" s="83">
        <v>46033</v>
      </c>
      <c r="D5205" s="417" t="s">
        <v>682</v>
      </c>
      <c r="E5205">
        <v>1036.79158333333</v>
      </c>
      <c r="F5205">
        <v>39</v>
      </c>
      <c r="G5205">
        <v>26.584399572649598</v>
      </c>
      <c r="H5205">
        <v>43.2084166666667</v>
      </c>
      <c r="I5205">
        <v>60.148148148148103</v>
      </c>
    </row>
    <row r="5206" spans="1:9" x14ac:dyDescent="0.35">
      <c r="A5206" s="417" t="s">
        <v>846</v>
      </c>
      <c r="B5206" s="417" t="s">
        <v>680</v>
      </c>
      <c r="C5206" s="83">
        <v>46033</v>
      </c>
      <c r="D5206" s="417" t="s">
        <v>685</v>
      </c>
      <c r="E5206">
        <v>1341.9921999999999</v>
      </c>
      <c r="F5206">
        <v>31</v>
      </c>
      <c r="G5206">
        <v>43.290070967741897</v>
      </c>
      <c r="H5206">
        <v>21.333066666666699</v>
      </c>
      <c r="I5206">
        <v>56.423363534680803</v>
      </c>
    </row>
    <row r="5207" spans="1:9" x14ac:dyDescent="0.35">
      <c r="A5207" s="417" t="s">
        <v>846</v>
      </c>
      <c r="B5207" s="417" t="s">
        <v>680</v>
      </c>
      <c r="C5207" s="83">
        <v>46033</v>
      </c>
      <c r="D5207" s="417" t="s">
        <v>690</v>
      </c>
      <c r="E5207">
        <v>1324.0177000000001</v>
      </c>
      <c r="F5207">
        <v>30</v>
      </c>
      <c r="G5207">
        <v>44.1339233333333</v>
      </c>
      <c r="H5207">
        <v>27.002316666666701</v>
      </c>
      <c r="I5207">
        <v>53.999469094737698</v>
      </c>
    </row>
    <row r="5208" spans="1:9" x14ac:dyDescent="0.35">
      <c r="A5208" s="417" t="s">
        <v>846</v>
      </c>
      <c r="B5208" s="417" t="s">
        <v>680</v>
      </c>
      <c r="C5208" s="83">
        <v>46033</v>
      </c>
      <c r="D5208" s="417" t="s">
        <v>684</v>
      </c>
      <c r="E5208">
        <v>1408.4658999999999</v>
      </c>
      <c r="F5208">
        <v>30</v>
      </c>
      <c r="G5208">
        <v>46.9488633333333</v>
      </c>
      <c r="H5208">
        <v>7.3452500000000001</v>
      </c>
      <c r="I5208">
        <v>46.309558954791797</v>
      </c>
    </row>
    <row r="5209" spans="1:9" x14ac:dyDescent="0.35">
      <c r="A5209" s="417" t="s">
        <v>846</v>
      </c>
      <c r="B5209" s="417" t="s">
        <v>680</v>
      </c>
      <c r="C5209" s="83">
        <v>46033</v>
      </c>
      <c r="D5209" s="417" t="s">
        <v>683</v>
      </c>
      <c r="E5209">
        <v>1394.15746666667</v>
      </c>
      <c r="F5209">
        <v>27</v>
      </c>
      <c r="G5209">
        <v>51.6354617283951</v>
      </c>
      <c r="H5209">
        <v>0.67403333333333304</v>
      </c>
      <c r="I5209">
        <v>52.3280331092529</v>
      </c>
    </row>
    <row r="5210" spans="1:9" x14ac:dyDescent="0.35">
      <c r="A5210" s="417" t="s">
        <v>846</v>
      </c>
      <c r="B5210" s="417" t="s">
        <v>680</v>
      </c>
      <c r="C5210" s="83">
        <v>46033</v>
      </c>
      <c r="D5210" s="417" t="s">
        <v>688</v>
      </c>
      <c r="E5210">
        <v>1028.8152833333299</v>
      </c>
      <c r="F5210">
        <v>14</v>
      </c>
      <c r="G5210">
        <v>73.486805952381005</v>
      </c>
      <c r="H5210">
        <v>6.1618500000000003</v>
      </c>
      <c r="I5210">
        <v>82.222282094395197</v>
      </c>
    </row>
    <row r="5211" spans="1:9" x14ac:dyDescent="0.35">
      <c r="A5211" s="417" t="s">
        <v>846</v>
      </c>
      <c r="B5211" s="417" t="s">
        <v>680</v>
      </c>
      <c r="C5211" s="83">
        <v>46033</v>
      </c>
      <c r="D5211" s="417" t="s">
        <v>686</v>
      </c>
      <c r="E5211">
        <v>1440</v>
      </c>
      <c r="F5211">
        <v>1</v>
      </c>
      <c r="G5211">
        <v>1440</v>
      </c>
      <c r="H5211">
        <v>0</v>
      </c>
      <c r="I5211">
        <v>16.505050505050502</v>
      </c>
    </row>
    <row r="5212" spans="1:9" x14ac:dyDescent="0.35">
      <c r="A5212" s="417" t="s">
        <v>846</v>
      </c>
      <c r="B5212" s="417" t="s">
        <v>691</v>
      </c>
      <c r="C5212" s="83">
        <v>46033</v>
      </c>
      <c r="D5212" s="417" t="s">
        <v>295</v>
      </c>
      <c r="E5212">
        <v>1298.5842333333301</v>
      </c>
      <c r="F5212">
        <v>154</v>
      </c>
      <c r="G5212">
        <v>8.4323651515151496</v>
      </c>
      <c r="H5212">
        <v>1.26183333333333</v>
      </c>
      <c r="I5212">
        <v>62.262734083257797</v>
      </c>
    </row>
    <row r="5213" spans="1:9" x14ac:dyDescent="0.35">
      <c r="A5213" s="417" t="s">
        <v>846</v>
      </c>
      <c r="B5213" s="417" t="s">
        <v>691</v>
      </c>
      <c r="C5213" s="83">
        <v>46033</v>
      </c>
      <c r="D5213" s="417" t="s">
        <v>299</v>
      </c>
      <c r="E5213">
        <v>1349.0954999999999</v>
      </c>
      <c r="F5213">
        <v>123</v>
      </c>
      <c r="G5213">
        <v>10.968256097561</v>
      </c>
      <c r="H5213">
        <v>0.37438333333333301</v>
      </c>
      <c r="I5213">
        <v>82.467994375441606</v>
      </c>
    </row>
    <row r="5214" spans="1:9" x14ac:dyDescent="0.35">
      <c r="A5214" s="417" t="s">
        <v>846</v>
      </c>
      <c r="B5214" s="417" t="s">
        <v>691</v>
      </c>
      <c r="C5214" s="83">
        <v>46033</v>
      </c>
      <c r="D5214" s="417" t="s">
        <v>309</v>
      </c>
      <c r="E5214">
        <v>1333.84083333333</v>
      </c>
      <c r="F5214">
        <v>106</v>
      </c>
      <c r="G5214">
        <v>12.583404088050299</v>
      </c>
      <c r="H5214">
        <v>0</v>
      </c>
      <c r="I5214">
        <v>65.9555540330621</v>
      </c>
    </row>
    <row r="5215" spans="1:9" x14ac:dyDescent="0.35">
      <c r="A5215" s="417" t="s">
        <v>846</v>
      </c>
      <c r="B5215" s="417" t="s">
        <v>691</v>
      </c>
      <c r="C5215" s="83">
        <v>46033</v>
      </c>
      <c r="D5215" s="417" t="s">
        <v>301</v>
      </c>
      <c r="E5215">
        <v>1349.63681666667</v>
      </c>
      <c r="F5215">
        <v>84</v>
      </c>
      <c r="G5215">
        <v>16.067104960317501</v>
      </c>
      <c r="H5215">
        <v>1.08945</v>
      </c>
      <c r="I5215">
        <v>66.799985605058694</v>
      </c>
    </row>
    <row r="5216" spans="1:9" x14ac:dyDescent="0.35">
      <c r="A5216" s="417" t="s">
        <v>846</v>
      </c>
      <c r="B5216" s="417" t="s">
        <v>691</v>
      </c>
      <c r="C5216" s="83">
        <v>46033</v>
      </c>
      <c r="D5216" s="417" t="s">
        <v>305</v>
      </c>
      <c r="E5216">
        <v>1345.9659833333301</v>
      </c>
      <c r="F5216">
        <v>72</v>
      </c>
      <c r="G5216">
        <v>18.6939719907407</v>
      </c>
      <c r="H5216">
        <v>1.4128499999999999</v>
      </c>
      <c r="I5216">
        <v>76.252517015331705</v>
      </c>
    </row>
    <row r="5217" spans="1:9" x14ac:dyDescent="0.35">
      <c r="A5217" s="417" t="s">
        <v>846</v>
      </c>
      <c r="B5217" s="417" t="s">
        <v>691</v>
      </c>
      <c r="C5217" s="83">
        <v>46033</v>
      </c>
      <c r="D5217" s="417" t="s">
        <v>303</v>
      </c>
      <c r="E5217">
        <v>1356.6521666666699</v>
      </c>
      <c r="F5217">
        <v>64</v>
      </c>
      <c r="G5217">
        <v>21.1976901041667</v>
      </c>
      <c r="H5217">
        <v>0.27038333333333298</v>
      </c>
      <c r="I5217">
        <v>62.798061450325903</v>
      </c>
    </row>
    <row r="5218" spans="1:9" x14ac:dyDescent="0.35">
      <c r="A5218" s="417" t="s">
        <v>846</v>
      </c>
      <c r="B5218" s="417" t="s">
        <v>691</v>
      </c>
      <c r="C5218" s="83">
        <v>46033</v>
      </c>
      <c r="D5218" s="417" t="s">
        <v>310</v>
      </c>
      <c r="E5218">
        <v>1203.54868333333</v>
      </c>
      <c r="F5218">
        <v>18</v>
      </c>
      <c r="G5218">
        <v>66.863815740740705</v>
      </c>
      <c r="H5218">
        <v>1.03978333333333</v>
      </c>
      <c r="I5218">
        <v>86.083967062441999</v>
      </c>
    </row>
    <row r="5219" spans="1:9" x14ac:dyDescent="0.35">
      <c r="A5219" s="417" t="s">
        <v>846</v>
      </c>
      <c r="B5219" s="417" t="s">
        <v>691</v>
      </c>
      <c r="C5219" s="83">
        <v>46033</v>
      </c>
      <c r="D5219" s="417" t="s">
        <v>317</v>
      </c>
      <c r="E5219">
        <v>1419.1617000000001</v>
      </c>
      <c r="F5219">
        <v>9</v>
      </c>
      <c r="G5219">
        <v>157.68463333333301</v>
      </c>
      <c r="H5219">
        <v>9.8030166666666698</v>
      </c>
      <c r="I5219">
        <v>95.918393506403703</v>
      </c>
    </row>
    <row r="5220" spans="1:9" x14ac:dyDescent="0.35">
      <c r="A5220" s="417" t="s">
        <v>846</v>
      </c>
      <c r="B5220" s="417" t="s">
        <v>691</v>
      </c>
      <c r="C5220" s="83">
        <v>46033</v>
      </c>
      <c r="D5220" s="417" t="s">
        <v>313</v>
      </c>
      <c r="E5220">
        <v>1421.85846666667</v>
      </c>
      <c r="F5220">
        <v>8</v>
      </c>
      <c r="G5220">
        <v>177.73230833333301</v>
      </c>
      <c r="H5220">
        <v>0</v>
      </c>
      <c r="I5220">
        <v>130.532124669312</v>
      </c>
    </row>
    <row r="5221" spans="1:9" x14ac:dyDescent="0.35">
      <c r="A5221" s="417" t="s">
        <v>846</v>
      </c>
      <c r="B5221" s="417" t="s">
        <v>691</v>
      </c>
      <c r="C5221" s="83">
        <v>46033</v>
      </c>
      <c r="D5221" s="417" t="s">
        <v>314</v>
      </c>
      <c r="E5221">
        <v>1429.9363333333299</v>
      </c>
      <c r="F5221">
        <v>4</v>
      </c>
      <c r="G5221">
        <v>357.48408333333299</v>
      </c>
      <c r="H5221">
        <v>8.4650000000000003E-2</v>
      </c>
      <c r="I5221">
        <v>96.416394705442897</v>
      </c>
    </row>
    <row r="5222" spans="1:9" x14ac:dyDescent="0.35">
      <c r="A5222" s="417" t="s">
        <v>846</v>
      </c>
      <c r="B5222" s="417" t="s">
        <v>691</v>
      </c>
      <c r="C5222" s="83">
        <v>46033</v>
      </c>
      <c r="D5222" s="417" t="s">
        <v>504</v>
      </c>
      <c r="E5222">
        <v>1440</v>
      </c>
      <c r="F5222">
        <v>1</v>
      </c>
      <c r="G5222">
        <v>1440</v>
      </c>
      <c r="H5222">
        <v>0</v>
      </c>
      <c r="I5222">
        <v>52.0163580246913</v>
      </c>
    </row>
    <row r="5223" spans="1:9" x14ac:dyDescent="0.35">
      <c r="A5223" s="417" t="s">
        <v>846</v>
      </c>
      <c r="B5223" s="417" t="s">
        <v>676</v>
      </c>
      <c r="C5223" s="83">
        <v>46032</v>
      </c>
      <c r="D5223" s="417" t="s">
        <v>677</v>
      </c>
      <c r="E5223">
        <v>2362.4581333333299</v>
      </c>
      <c r="F5223">
        <v>417</v>
      </c>
      <c r="G5223">
        <v>5.66536722621903</v>
      </c>
      <c r="H5223">
        <v>232.32446666666701</v>
      </c>
      <c r="I5223">
        <v>31.470277777777799</v>
      </c>
    </row>
    <row r="5224" spans="1:9" x14ac:dyDescent="0.35">
      <c r="A5224" s="417" t="s">
        <v>846</v>
      </c>
      <c r="B5224" s="417" t="s">
        <v>676</v>
      </c>
      <c r="C5224" s="83">
        <v>46032</v>
      </c>
      <c r="D5224" s="417" t="s">
        <v>679</v>
      </c>
      <c r="E5224">
        <v>2544.2246666666701</v>
      </c>
      <c r="F5224">
        <v>25</v>
      </c>
      <c r="G5224">
        <v>101.768986666667</v>
      </c>
      <c r="H5224">
        <v>26.0808</v>
      </c>
      <c r="I5224">
        <v>46.345512735023497</v>
      </c>
    </row>
    <row r="5225" spans="1:9" x14ac:dyDescent="0.35">
      <c r="A5225" s="417" t="s">
        <v>846</v>
      </c>
      <c r="B5225" s="417" t="s">
        <v>680</v>
      </c>
      <c r="C5225" s="83">
        <v>46032</v>
      </c>
      <c r="D5225" s="417" t="s">
        <v>689</v>
      </c>
      <c r="E5225">
        <v>2793.6417000000001</v>
      </c>
      <c r="F5225">
        <v>67</v>
      </c>
      <c r="G5225">
        <v>41.696144776119397</v>
      </c>
      <c r="H5225">
        <v>0</v>
      </c>
      <c r="I5225">
        <v>15.887301094649599</v>
      </c>
    </row>
    <row r="5226" spans="1:9" x14ac:dyDescent="0.35">
      <c r="A5226" s="417" t="s">
        <v>846</v>
      </c>
      <c r="B5226" s="417" t="s">
        <v>680</v>
      </c>
      <c r="C5226" s="83">
        <v>46032</v>
      </c>
      <c r="D5226" s="417" t="s">
        <v>682</v>
      </c>
      <c r="E5226">
        <v>2584.64703333333</v>
      </c>
      <c r="F5226">
        <v>49</v>
      </c>
      <c r="G5226">
        <v>52.747898639455798</v>
      </c>
      <c r="H5226">
        <v>55.352966666666703</v>
      </c>
      <c r="I5226">
        <v>16.898071625344301</v>
      </c>
    </row>
    <row r="5227" spans="1:9" x14ac:dyDescent="0.35">
      <c r="A5227" s="417" t="s">
        <v>846</v>
      </c>
      <c r="B5227" s="417" t="s">
        <v>680</v>
      </c>
      <c r="C5227" s="83">
        <v>46032</v>
      </c>
      <c r="D5227" s="417" t="s">
        <v>681</v>
      </c>
      <c r="E5227">
        <v>2331.1686</v>
      </c>
      <c r="F5227">
        <v>43</v>
      </c>
      <c r="G5227">
        <v>54.213223255814</v>
      </c>
      <c r="H5227">
        <v>1.00186666666667</v>
      </c>
      <c r="I5227">
        <v>20.9575189580891</v>
      </c>
    </row>
    <row r="5228" spans="1:9" x14ac:dyDescent="0.35">
      <c r="A5228" s="417" t="s">
        <v>846</v>
      </c>
      <c r="B5228" s="417" t="s">
        <v>680</v>
      </c>
      <c r="C5228" s="83">
        <v>46032</v>
      </c>
      <c r="D5228" s="417" t="s">
        <v>685</v>
      </c>
      <c r="E5228">
        <v>2792.6096666666699</v>
      </c>
      <c r="F5228">
        <v>23</v>
      </c>
      <c r="G5228">
        <v>121.417811594203</v>
      </c>
      <c r="H5228">
        <v>4.0266999999999999</v>
      </c>
      <c r="I5228">
        <v>14.869065597161899</v>
      </c>
    </row>
    <row r="5229" spans="1:9" x14ac:dyDescent="0.35">
      <c r="A5229" s="417" t="s">
        <v>846</v>
      </c>
      <c r="B5229" s="417" t="s">
        <v>680</v>
      </c>
      <c r="C5229" s="83">
        <v>46032</v>
      </c>
      <c r="D5229" s="417" t="s">
        <v>684</v>
      </c>
      <c r="E5229">
        <v>2847.0060333333299</v>
      </c>
      <c r="F5229">
        <v>19</v>
      </c>
      <c r="G5229">
        <v>149.84242280701801</v>
      </c>
      <c r="H5229">
        <v>0</v>
      </c>
      <c r="I5229">
        <v>16.0089877290633</v>
      </c>
    </row>
    <row r="5230" spans="1:9" x14ac:dyDescent="0.35">
      <c r="A5230" s="417" t="s">
        <v>846</v>
      </c>
      <c r="B5230" s="417" t="s">
        <v>680</v>
      </c>
      <c r="C5230" s="83">
        <v>46032</v>
      </c>
      <c r="D5230" s="417" t="s">
        <v>683</v>
      </c>
      <c r="E5230">
        <v>2097.1765999999998</v>
      </c>
      <c r="F5230">
        <v>19</v>
      </c>
      <c r="G5230">
        <v>110.377715789474</v>
      </c>
      <c r="H5230">
        <v>0</v>
      </c>
      <c r="I5230">
        <v>25.280133119867202</v>
      </c>
    </row>
    <row r="5231" spans="1:9" x14ac:dyDescent="0.35">
      <c r="A5231" s="417" t="s">
        <v>846</v>
      </c>
      <c r="B5231" s="417" t="s">
        <v>680</v>
      </c>
      <c r="C5231" s="83">
        <v>46032</v>
      </c>
      <c r="D5231" s="417" t="s">
        <v>687</v>
      </c>
      <c r="E5231">
        <v>2828.0214999999998</v>
      </c>
      <c r="F5231">
        <v>13</v>
      </c>
      <c r="G5231">
        <v>217.54011538461501</v>
      </c>
      <c r="H5231">
        <v>23.3211333333333</v>
      </c>
      <c r="I5231">
        <v>8.7695847621998997</v>
      </c>
    </row>
    <row r="5232" spans="1:9" x14ac:dyDescent="0.35">
      <c r="A5232" s="417" t="s">
        <v>846</v>
      </c>
      <c r="B5232" s="417" t="s">
        <v>680</v>
      </c>
      <c r="C5232" s="83">
        <v>46032</v>
      </c>
      <c r="D5232" s="417" t="s">
        <v>690</v>
      </c>
      <c r="E5232">
        <v>2865.3301999999999</v>
      </c>
      <c r="F5232">
        <v>9</v>
      </c>
      <c r="G5232">
        <v>318.37002222222202</v>
      </c>
      <c r="H5232">
        <v>4.9846000000000004</v>
      </c>
      <c r="I5232">
        <v>15.8208570347666</v>
      </c>
    </row>
    <row r="5233" spans="1:9" x14ac:dyDescent="0.35">
      <c r="A5233" s="417" t="s">
        <v>846</v>
      </c>
      <c r="B5233" s="417" t="s">
        <v>680</v>
      </c>
      <c r="C5233" s="83">
        <v>46032</v>
      </c>
      <c r="D5233" s="417" t="s">
        <v>688</v>
      </c>
      <c r="E5233">
        <v>2608.1442000000002</v>
      </c>
      <c r="F5233">
        <v>5</v>
      </c>
      <c r="G5233">
        <v>521.62883999999997</v>
      </c>
      <c r="H5233">
        <v>0.98126666666666695</v>
      </c>
      <c r="I5233">
        <v>21.4185316411907</v>
      </c>
    </row>
    <row r="5234" spans="1:9" x14ac:dyDescent="0.35">
      <c r="A5234" s="417" t="s">
        <v>846</v>
      </c>
      <c r="B5234" s="417" t="s">
        <v>680</v>
      </c>
      <c r="C5234" s="83">
        <v>46032</v>
      </c>
      <c r="D5234" s="417" t="s">
        <v>686</v>
      </c>
      <c r="E5234">
        <v>2880</v>
      </c>
      <c r="F5234">
        <v>1</v>
      </c>
      <c r="G5234">
        <v>2880</v>
      </c>
      <c r="H5234">
        <v>0</v>
      </c>
      <c r="I5234">
        <v>7.3484848484848397</v>
      </c>
    </row>
    <row r="5235" spans="1:9" x14ac:dyDescent="0.35">
      <c r="A5235" s="417" t="s">
        <v>846</v>
      </c>
      <c r="B5235" s="417" t="s">
        <v>691</v>
      </c>
      <c r="C5235" s="83">
        <v>46032</v>
      </c>
      <c r="D5235" s="417" t="s">
        <v>299</v>
      </c>
      <c r="E5235">
        <v>1982.43436666667</v>
      </c>
      <c r="F5235">
        <v>127</v>
      </c>
      <c r="G5235">
        <v>15.6097194225722</v>
      </c>
      <c r="H5235">
        <v>2.7887</v>
      </c>
      <c r="I5235">
        <v>27.463450855942199</v>
      </c>
    </row>
    <row r="5236" spans="1:9" x14ac:dyDescent="0.35">
      <c r="A5236" s="417" t="s">
        <v>846</v>
      </c>
      <c r="B5236" s="417" t="s">
        <v>691</v>
      </c>
      <c r="C5236" s="83">
        <v>46032</v>
      </c>
      <c r="D5236" s="417" t="s">
        <v>305</v>
      </c>
      <c r="E5236">
        <v>1325.79023333333</v>
      </c>
      <c r="F5236">
        <v>91</v>
      </c>
      <c r="G5236">
        <v>14.5691234432234</v>
      </c>
      <c r="H5236">
        <v>1.82053333333333</v>
      </c>
      <c r="I5236">
        <v>53.5177326522806</v>
      </c>
    </row>
    <row r="5237" spans="1:9" x14ac:dyDescent="0.35">
      <c r="A5237" s="417" t="s">
        <v>846</v>
      </c>
      <c r="B5237" s="417" t="s">
        <v>691</v>
      </c>
      <c r="C5237" s="83">
        <v>46032</v>
      </c>
      <c r="D5237" s="417" t="s">
        <v>301</v>
      </c>
      <c r="E5237">
        <v>1697.92286666667</v>
      </c>
      <c r="F5237">
        <v>87</v>
      </c>
      <c r="G5237">
        <v>19.516354789272</v>
      </c>
      <c r="H5237">
        <v>6.0287666666666704</v>
      </c>
      <c r="I5237">
        <v>27.5473756855265</v>
      </c>
    </row>
    <row r="5238" spans="1:9" x14ac:dyDescent="0.35">
      <c r="A5238" s="417" t="s">
        <v>846</v>
      </c>
      <c r="B5238" s="417" t="s">
        <v>691</v>
      </c>
      <c r="C5238" s="83">
        <v>46032</v>
      </c>
      <c r="D5238" s="417" t="s">
        <v>309</v>
      </c>
      <c r="E5238">
        <v>2797.7995000000001</v>
      </c>
      <c r="F5238">
        <v>85</v>
      </c>
      <c r="G5238">
        <v>32.915288235294099</v>
      </c>
      <c r="H5238">
        <v>0</v>
      </c>
      <c r="I5238">
        <v>24.987131673814499</v>
      </c>
    </row>
    <row r="5239" spans="1:9" x14ac:dyDescent="0.35">
      <c r="A5239" s="417" t="s">
        <v>846</v>
      </c>
      <c r="B5239" s="417" t="s">
        <v>691</v>
      </c>
      <c r="C5239" s="83">
        <v>46032</v>
      </c>
      <c r="D5239" s="417" t="s">
        <v>295</v>
      </c>
      <c r="E5239">
        <v>1752.3061333333301</v>
      </c>
      <c r="F5239">
        <v>63</v>
      </c>
      <c r="G5239">
        <v>27.814383068783101</v>
      </c>
      <c r="H5239">
        <v>0.22563333333333299</v>
      </c>
      <c r="I5239">
        <v>31.098285046363699</v>
      </c>
    </row>
    <row r="5240" spans="1:9" x14ac:dyDescent="0.35">
      <c r="A5240" s="417" t="s">
        <v>846</v>
      </c>
      <c r="B5240" s="417" t="s">
        <v>691</v>
      </c>
      <c r="C5240" s="83">
        <v>46032</v>
      </c>
      <c r="D5240" s="417" t="s">
        <v>303</v>
      </c>
      <c r="E5240">
        <v>1864.0583666666701</v>
      </c>
      <c r="F5240">
        <v>35</v>
      </c>
      <c r="G5240">
        <v>53.258810476190497</v>
      </c>
      <c r="H5240">
        <v>0.26576666666666698</v>
      </c>
      <c r="I5240">
        <v>27.079751558723</v>
      </c>
    </row>
    <row r="5241" spans="1:9" x14ac:dyDescent="0.35">
      <c r="A5241" s="417" t="s">
        <v>846</v>
      </c>
      <c r="B5241" s="417" t="s">
        <v>691</v>
      </c>
      <c r="C5241" s="83">
        <v>46032</v>
      </c>
      <c r="D5241" s="417" t="s">
        <v>314</v>
      </c>
      <c r="E5241">
        <v>2134.7784333333302</v>
      </c>
      <c r="F5241">
        <v>13</v>
      </c>
      <c r="G5241">
        <v>164.213725641026</v>
      </c>
      <c r="H5241">
        <v>3.6726000000000001</v>
      </c>
      <c r="I5241">
        <v>29.379365106514001</v>
      </c>
    </row>
    <row r="5242" spans="1:9" x14ac:dyDescent="0.35">
      <c r="A5242" s="417" t="s">
        <v>846</v>
      </c>
      <c r="B5242" s="417" t="s">
        <v>691</v>
      </c>
      <c r="C5242" s="83">
        <v>46032</v>
      </c>
      <c r="D5242" s="417" t="s">
        <v>310</v>
      </c>
      <c r="E5242">
        <v>2423.1046000000001</v>
      </c>
      <c r="F5242">
        <v>5</v>
      </c>
      <c r="G5242">
        <v>484.62092000000001</v>
      </c>
      <c r="H5242">
        <v>0</v>
      </c>
      <c r="I5242">
        <v>34.0942381378023</v>
      </c>
    </row>
    <row r="5243" spans="1:9" x14ac:dyDescent="0.35">
      <c r="A5243" s="417" t="s">
        <v>846</v>
      </c>
      <c r="B5243" s="417" t="s">
        <v>691</v>
      </c>
      <c r="C5243" s="83">
        <v>46032</v>
      </c>
      <c r="D5243" s="417" t="s">
        <v>313</v>
      </c>
      <c r="E5243">
        <v>1820.1733533333299</v>
      </c>
      <c r="F5243">
        <v>5</v>
      </c>
      <c r="G5243">
        <v>364.03467066666701</v>
      </c>
      <c r="H5243">
        <v>0</v>
      </c>
      <c r="I5243">
        <v>43.695986016642202</v>
      </c>
    </row>
    <row r="5244" spans="1:9" x14ac:dyDescent="0.35">
      <c r="A5244" s="417" t="s">
        <v>846</v>
      </c>
      <c r="B5244" s="417" t="s">
        <v>691</v>
      </c>
      <c r="C5244" s="83">
        <v>46032</v>
      </c>
      <c r="D5244" s="417" t="s">
        <v>317</v>
      </c>
      <c r="E5244">
        <v>1899.0703333333299</v>
      </c>
      <c r="F5244">
        <v>3</v>
      </c>
      <c r="G5244">
        <v>633.02344444444395</v>
      </c>
      <c r="H5244">
        <v>1.6621333333333299</v>
      </c>
      <c r="I5244">
        <v>39.816229441653498</v>
      </c>
    </row>
    <row r="5245" spans="1:9" x14ac:dyDescent="0.35">
      <c r="A5245" s="417" t="s">
        <v>846</v>
      </c>
      <c r="B5245" s="417" t="s">
        <v>691</v>
      </c>
      <c r="C5245" s="83">
        <v>46032</v>
      </c>
      <c r="D5245" s="417" t="s">
        <v>504</v>
      </c>
      <c r="E5245">
        <v>2880</v>
      </c>
      <c r="F5245">
        <v>1</v>
      </c>
      <c r="G5245">
        <v>2880</v>
      </c>
      <c r="H5245">
        <v>0</v>
      </c>
      <c r="I5245">
        <v>23.2720679012345</v>
      </c>
    </row>
    <row r="5246" spans="1:9" x14ac:dyDescent="0.35">
      <c r="A5246" s="417" t="s">
        <v>846</v>
      </c>
      <c r="B5246" s="417" t="s">
        <v>676</v>
      </c>
      <c r="C5246" s="83">
        <v>46031</v>
      </c>
      <c r="D5246" s="417" t="s">
        <v>677</v>
      </c>
      <c r="E5246">
        <v>1284.9678166666699</v>
      </c>
      <c r="F5246">
        <v>225</v>
      </c>
      <c r="G5246">
        <v>5.7109680740740796</v>
      </c>
      <c r="H5246">
        <v>128.69985</v>
      </c>
      <c r="I5246">
        <v>39.587222222222202</v>
      </c>
    </row>
    <row r="5247" spans="1:9" x14ac:dyDescent="0.35">
      <c r="A5247" s="417" t="s">
        <v>846</v>
      </c>
      <c r="B5247" s="417" t="s">
        <v>676</v>
      </c>
      <c r="C5247" s="83">
        <v>46031</v>
      </c>
      <c r="D5247" s="417" t="s">
        <v>679</v>
      </c>
      <c r="E5247">
        <v>1303.1549333333301</v>
      </c>
      <c r="F5247">
        <v>14</v>
      </c>
      <c r="G5247">
        <v>93.082495238095206</v>
      </c>
      <c r="H5247">
        <v>8.4915333333333294</v>
      </c>
      <c r="I5247">
        <v>100.19216911289</v>
      </c>
    </row>
    <row r="5248" spans="1:9" x14ac:dyDescent="0.35">
      <c r="A5248" s="417" t="s">
        <v>846</v>
      </c>
      <c r="B5248" s="417" t="s">
        <v>680</v>
      </c>
      <c r="C5248" s="83">
        <v>46031</v>
      </c>
      <c r="D5248" s="417" t="s">
        <v>689</v>
      </c>
      <c r="E5248">
        <v>1231.27921666667</v>
      </c>
      <c r="F5248">
        <v>120</v>
      </c>
      <c r="G5248">
        <v>10.2606601388889</v>
      </c>
      <c r="H5248">
        <v>1.83791666666667</v>
      </c>
      <c r="I5248">
        <v>66.618808833644707</v>
      </c>
    </row>
    <row r="5249" spans="1:9" x14ac:dyDescent="0.35">
      <c r="A5249" s="417" t="s">
        <v>846</v>
      </c>
      <c r="B5249" s="417" t="s">
        <v>680</v>
      </c>
      <c r="C5249" s="83">
        <v>46031</v>
      </c>
      <c r="D5249" s="417" t="s">
        <v>681</v>
      </c>
      <c r="E5249">
        <v>1343.67953333333</v>
      </c>
      <c r="F5249">
        <v>75</v>
      </c>
      <c r="G5249">
        <v>17.915727111111099</v>
      </c>
      <c r="H5249">
        <v>0.833683333333333</v>
      </c>
      <c r="I5249">
        <v>77.739304945511705</v>
      </c>
    </row>
    <row r="5250" spans="1:9" x14ac:dyDescent="0.35">
      <c r="A5250" s="417" t="s">
        <v>846</v>
      </c>
      <c r="B5250" s="417" t="s">
        <v>680</v>
      </c>
      <c r="C5250" s="83">
        <v>46031</v>
      </c>
      <c r="D5250" s="417" t="s">
        <v>682</v>
      </c>
      <c r="E5250">
        <v>1399.6810333333301</v>
      </c>
      <c r="F5250">
        <v>43</v>
      </c>
      <c r="G5250">
        <v>32.550721705426298</v>
      </c>
      <c r="H5250">
        <v>40.318966666666697</v>
      </c>
      <c r="I5250">
        <v>65.045454545454504</v>
      </c>
    </row>
    <row r="5251" spans="1:9" x14ac:dyDescent="0.35">
      <c r="A5251" s="417" t="s">
        <v>846</v>
      </c>
      <c r="B5251" s="417" t="s">
        <v>680</v>
      </c>
      <c r="C5251" s="83">
        <v>46031</v>
      </c>
      <c r="D5251" s="417" t="s">
        <v>683</v>
      </c>
      <c r="E5251">
        <v>1395.4595833333301</v>
      </c>
      <c r="F5251">
        <v>35</v>
      </c>
      <c r="G5251">
        <v>39.870273809523802</v>
      </c>
      <c r="H5251">
        <v>0.65163333333333295</v>
      </c>
      <c r="I5251">
        <v>78.572145149457597</v>
      </c>
    </row>
    <row r="5252" spans="1:9" x14ac:dyDescent="0.35">
      <c r="A5252" s="417" t="s">
        <v>846</v>
      </c>
      <c r="B5252" s="417" t="s">
        <v>680</v>
      </c>
      <c r="C5252" s="83">
        <v>46031</v>
      </c>
      <c r="D5252" s="417" t="s">
        <v>685</v>
      </c>
      <c r="E5252">
        <v>1374.8106333333301</v>
      </c>
      <c r="F5252">
        <v>29</v>
      </c>
      <c r="G5252">
        <v>47.407263218390803</v>
      </c>
      <c r="H5252">
        <v>21.668949999999999</v>
      </c>
      <c r="I5252">
        <v>60.412668624191397</v>
      </c>
    </row>
    <row r="5253" spans="1:9" x14ac:dyDescent="0.35">
      <c r="A5253" s="417" t="s">
        <v>846</v>
      </c>
      <c r="B5253" s="417" t="s">
        <v>680</v>
      </c>
      <c r="C5253" s="83">
        <v>46031</v>
      </c>
      <c r="D5253" s="417" t="s">
        <v>684</v>
      </c>
      <c r="E5253">
        <v>1399.6722833333299</v>
      </c>
      <c r="F5253">
        <v>27</v>
      </c>
      <c r="G5253">
        <v>51.839714197530903</v>
      </c>
      <c r="H5253">
        <v>6.1806666666666699</v>
      </c>
      <c r="I5253">
        <v>67.481080036586206</v>
      </c>
    </row>
    <row r="5254" spans="1:9" x14ac:dyDescent="0.35">
      <c r="A5254" s="417" t="s">
        <v>846</v>
      </c>
      <c r="B5254" s="417" t="s">
        <v>680</v>
      </c>
      <c r="C5254" s="83">
        <v>46031</v>
      </c>
      <c r="D5254" s="417" t="s">
        <v>688</v>
      </c>
      <c r="E5254">
        <v>1327.99395</v>
      </c>
      <c r="F5254">
        <v>21</v>
      </c>
      <c r="G5254">
        <v>63.2378071428571</v>
      </c>
      <c r="H5254">
        <v>10.3332833333333</v>
      </c>
      <c r="I5254">
        <v>76.630592599852804</v>
      </c>
    </row>
    <row r="5255" spans="1:9" x14ac:dyDescent="0.35">
      <c r="A5255" s="417" t="s">
        <v>846</v>
      </c>
      <c r="B5255" s="417" t="s">
        <v>680</v>
      </c>
      <c r="C5255" s="83">
        <v>46031</v>
      </c>
      <c r="D5255" s="417" t="s">
        <v>690</v>
      </c>
      <c r="E5255">
        <v>1414.04563333333</v>
      </c>
      <c r="F5255">
        <v>16</v>
      </c>
      <c r="G5255">
        <v>88.377852083333295</v>
      </c>
      <c r="H5255">
        <v>12.6544833333333</v>
      </c>
      <c r="I5255">
        <v>76.139799241480404</v>
      </c>
    </row>
    <row r="5256" spans="1:9" x14ac:dyDescent="0.35">
      <c r="A5256" s="417" t="s">
        <v>846</v>
      </c>
      <c r="B5256" s="417" t="s">
        <v>680</v>
      </c>
      <c r="C5256" s="83">
        <v>46031</v>
      </c>
      <c r="D5256" s="417" t="s">
        <v>687</v>
      </c>
      <c r="E5256">
        <v>1405.62996666667</v>
      </c>
      <c r="F5256">
        <v>15</v>
      </c>
      <c r="G5256">
        <v>93.708664444444494</v>
      </c>
      <c r="H5256">
        <v>14.8570166666667</v>
      </c>
      <c r="I5256">
        <v>38.326036776403903</v>
      </c>
    </row>
    <row r="5257" spans="1:9" x14ac:dyDescent="0.35">
      <c r="A5257" s="417" t="s">
        <v>846</v>
      </c>
      <c r="B5257" s="417" t="s">
        <v>680</v>
      </c>
      <c r="C5257" s="83">
        <v>46031</v>
      </c>
      <c r="D5257" s="417" t="s">
        <v>686</v>
      </c>
      <c r="E5257">
        <v>1440</v>
      </c>
      <c r="F5257">
        <v>1</v>
      </c>
      <c r="G5257">
        <v>1440</v>
      </c>
      <c r="H5257">
        <v>0</v>
      </c>
      <c r="I5257">
        <v>31.358585858585901</v>
      </c>
    </row>
    <row r="5258" spans="1:9" x14ac:dyDescent="0.35">
      <c r="A5258" s="417" t="s">
        <v>846</v>
      </c>
      <c r="B5258" s="417" t="s">
        <v>691</v>
      </c>
      <c r="C5258" s="83">
        <v>46031</v>
      </c>
      <c r="D5258" s="417" t="s">
        <v>301</v>
      </c>
      <c r="E5258">
        <v>1188.8642</v>
      </c>
      <c r="F5258">
        <v>94</v>
      </c>
      <c r="G5258">
        <v>12.6474914893617</v>
      </c>
      <c r="H5258">
        <v>1.2411000000000001</v>
      </c>
      <c r="I5258">
        <v>61.203791583202197</v>
      </c>
    </row>
    <row r="5259" spans="1:9" x14ac:dyDescent="0.35">
      <c r="A5259" s="417" t="s">
        <v>846</v>
      </c>
      <c r="B5259" s="417" t="s">
        <v>691</v>
      </c>
      <c r="C5259" s="83">
        <v>46031</v>
      </c>
      <c r="D5259" s="417" t="s">
        <v>299</v>
      </c>
      <c r="E5259">
        <v>1351.7299499999999</v>
      </c>
      <c r="F5259">
        <v>82</v>
      </c>
      <c r="G5259">
        <v>16.484511585365802</v>
      </c>
      <c r="H5259">
        <v>0.75976666666666703</v>
      </c>
      <c r="I5259">
        <v>67.345516981652807</v>
      </c>
    </row>
    <row r="5260" spans="1:9" x14ac:dyDescent="0.35">
      <c r="A5260" s="417" t="s">
        <v>846</v>
      </c>
      <c r="B5260" s="417" t="s">
        <v>691</v>
      </c>
      <c r="C5260" s="83">
        <v>46031</v>
      </c>
      <c r="D5260" s="417" t="s">
        <v>309</v>
      </c>
      <c r="E5260">
        <v>1327.4472499999999</v>
      </c>
      <c r="F5260">
        <v>81</v>
      </c>
      <c r="G5260">
        <v>16.388237654320999</v>
      </c>
      <c r="H5260">
        <v>0</v>
      </c>
      <c r="I5260">
        <v>56.287060462627203</v>
      </c>
    </row>
    <row r="5261" spans="1:9" x14ac:dyDescent="0.35">
      <c r="A5261" s="417" t="s">
        <v>846</v>
      </c>
      <c r="B5261" s="417" t="s">
        <v>691</v>
      </c>
      <c r="C5261" s="83">
        <v>46031</v>
      </c>
      <c r="D5261" s="417" t="s">
        <v>305</v>
      </c>
      <c r="E5261">
        <v>1348.3678333333301</v>
      </c>
      <c r="F5261">
        <v>68</v>
      </c>
      <c r="G5261">
        <v>19.8289387254902</v>
      </c>
      <c r="H5261">
        <v>0.414783333333333</v>
      </c>
      <c r="I5261">
        <v>63.405624020160097</v>
      </c>
    </row>
    <row r="5262" spans="1:9" x14ac:dyDescent="0.35">
      <c r="A5262" s="417" t="s">
        <v>846</v>
      </c>
      <c r="B5262" s="417" t="s">
        <v>691</v>
      </c>
      <c r="C5262" s="83">
        <v>46031</v>
      </c>
      <c r="D5262" s="417" t="s">
        <v>295</v>
      </c>
      <c r="E5262">
        <v>1338.6827499999999</v>
      </c>
      <c r="F5262">
        <v>67</v>
      </c>
      <c r="G5262">
        <v>19.980339552238799</v>
      </c>
      <c r="H5262">
        <v>1.24166666666667</v>
      </c>
      <c r="I5262">
        <v>60.470742473344799</v>
      </c>
    </row>
    <row r="5263" spans="1:9" x14ac:dyDescent="0.35">
      <c r="A5263" s="417" t="s">
        <v>846</v>
      </c>
      <c r="B5263" s="417" t="s">
        <v>691</v>
      </c>
      <c r="C5263" s="83">
        <v>46031</v>
      </c>
      <c r="D5263" s="417" t="s">
        <v>303</v>
      </c>
      <c r="E5263">
        <v>1355.18603333333</v>
      </c>
      <c r="F5263">
        <v>65</v>
      </c>
      <c r="G5263">
        <v>20.849015897435901</v>
      </c>
      <c r="H5263">
        <v>0.31919999999999998</v>
      </c>
      <c r="I5263">
        <v>45.551282882648202</v>
      </c>
    </row>
    <row r="5264" spans="1:9" x14ac:dyDescent="0.35">
      <c r="A5264" s="417" t="s">
        <v>846</v>
      </c>
      <c r="B5264" s="417" t="s">
        <v>691</v>
      </c>
      <c r="C5264" s="83">
        <v>46031</v>
      </c>
      <c r="D5264" s="417" t="s">
        <v>314</v>
      </c>
      <c r="E5264">
        <v>1403.99383333333</v>
      </c>
      <c r="F5264">
        <v>27</v>
      </c>
      <c r="G5264">
        <v>51.999771604938303</v>
      </c>
      <c r="H5264">
        <v>0.78805000000000003</v>
      </c>
      <c r="I5264">
        <v>81.959504563680298</v>
      </c>
    </row>
    <row r="5265" spans="1:9" x14ac:dyDescent="0.35">
      <c r="A5265" s="417" t="s">
        <v>846</v>
      </c>
      <c r="B5265" s="417" t="s">
        <v>691</v>
      </c>
      <c r="C5265" s="83">
        <v>46031</v>
      </c>
      <c r="D5265" s="417" t="s">
        <v>310</v>
      </c>
      <c r="E5265">
        <v>1414.91118333333</v>
      </c>
      <c r="F5265">
        <v>19</v>
      </c>
      <c r="G5265">
        <v>74.469009649122796</v>
      </c>
      <c r="H5265">
        <v>0</v>
      </c>
      <c r="I5265">
        <v>90.251015894562599</v>
      </c>
    </row>
    <row r="5266" spans="1:9" x14ac:dyDescent="0.35">
      <c r="A5266" s="417" t="s">
        <v>846</v>
      </c>
      <c r="B5266" s="417" t="s">
        <v>691</v>
      </c>
      <c r="C5266" s="83">
        <v>46031</v>
      </c>
      <c r="D5266" s="417" t="s">
        <v>313</v>
      </c>
      <c r="E5266">
        <v>1323.1678999999999</v>
      </c>
      <c r="F5266">
        <v>14</v>
      </c>
      <c r="G5266">
        <v>94.5119928571429</v>
      </c>
      <c r="H5266">
        <v>0</v>
      </c>
      <c r="I5266">
        <v>112.133092685527</v>
      </c>
    </row>
    <row r="5267" spans="1:9" x14ac:dyDescent="0.35">
      <c r="A5267" s="417" t="s">
        <v>846</v>
      </c>
      <c r="B5267" s="417" t="s">
        <v>691</v>
      </c>
      <c r="C5267" s="83">
        <v>46031</v>
      </c>
      <c r="D5267" s="417" t="s">
        <v>317</v>
      </c>
      <c r="E5267">
        <v>1436.77023333333</v>
      </c>
      <c r="F5267">
        <v>1</v>
      </c>
      <c r="G5267">
        <v>1436.77023333333</v>
      </c>
      <c r="H5267">
        <v>0</v>
      </c>
      <c r="I5267">
        <v>66.599375307213904</v>
      </c>
    </row>
    <row r="5268" spans="1:9" x14ac:dyDescent="0.35">
      <c r="A5268" s="417" t="s">
        <v>846</v>
      </c>
      <c r="B5268" s="417" t="s">
        <v>691</v>
      </c>
      <c r="C5268" s="83">
        <v>46031</v>
      </c>
      <c r="D5268" s="417" t="s">
        <v>504</v>
      </c>
      <c r="E5268">
        <v>1440</v>
      </c>
      <c r="F5268">
        <v>1</v>
      </c>
      <c r="G5268">
        <v>1440</v>
      </c>
      <c r="H5268">
        <v>0</v>
      </c>
      <c r="I5268">
        <v>42.787037037037003</v>
      </c>
    </row>
    <row r="5269" spans="1:9" x14ac:dyDescent="0.35">
      <c r="A5269" s="417" t="s">
        <v>846</v>
      </c>
      <c r="B5269" s="417" t="s">
        <v>676</v>
      </c>
      <c r="C5269" s="83">
        <v>46030</v>
      </c>
      <c r="D5269" s="417" t="s">
        <v>677</v>
      </c>
      <c r="E5269">
        <v>1368.4906000000001</v>
      </c>
      <c r="F5269">
        <v>88</v>
      </c>
      <c r="G5269">
        <v>15.551029545454501</v>
      </c>
      <c r="H5269">
        <v>71.509399999999999</v>
      </c>
      <c r="I5269">
        <v>24.515000000000001</v>
      </c>
    </row>
    <row r="5270" spans="1:9" x14ac:dyDescent="0.35">
      <c r="A5270" s="417" t="s">
        <v>846</v>
      </c>
      <c r="B5270" s="417" t="s">
        <v>676</v>
      </c>
      <c r="C5270" s="83">
        <v>46030</v>
      </c>
      <c r="D5270" s="417" t="s">
        <v>679</v>
      </c>
      <c r="E5270">
        <v>1368.82318333333</v>
      </c>
      <c r="F5270">
        <v>14</v>
      </c>
      <c r="G5270">
        <v>97.773084523809501</v>
      </c>
      <c r="H5270">
        <v>12.1673166666667</v>
      </c>
      <c r="I5270">
        <v>92.480723075213007</v>
      </c>
    </row>
    <row r="5271" spans="1:9" x14ac:dyDescent="0.35">
      <c r="A5271" s="417" t="s">
        <v>846</v>
      </c>
      <c r="B5271" s="417" t="s">
        <v>680</v>
      </c>
      <c r="C5271" s="83">
        <v>46030</v>
      </c>
      <c r="D5271" s="417" t="s">
        <v>689</v>
      </c>
      <c r="E5271">
        <v>1368.3178666666699</v>
      </c>
      <c r="F5271">
        <v>49</v>
      </c>
      <c r="G5271">
        <v>27.9248544217687</v>
      </c>
      <c r="H5271">
        <v>5.5015499999999999</v>
      </c>
      <c r="I5271">
        <v>68.494057501385797</v>
      </c>
    </row>
    <row r="5272" spans="1:9" x14ac:dyDescent="0.35">
      <c r="A5272" s="417" t="s">
        <v>846</v>
      </c>
      <c r="B5272" s="417" t="s">
        <v>680</v>
      </c>
      <c r="C5272" s="83">
        <v>46030</v>
      </c>
      <c r="D5272" s="417" t="s">
        <v>685</v>
      </c>
      <c r="E5272">
        <v>1317.33443333333</v>
      </c>
      <c r="F5272">
        <v>39</v>
      </c>
      <c r="G5272">
        <v>33.777805982906003</v>
      </c>
      <c r="H5272">
        <v>26.662500000000001</v>
      </c>
      <c r="I5272">
        <v>71.207625171185597</v>
      </c>
    </row>
    <row r="5273" spans="1:9" x14ac:dyDescent="0.35">
      <c r="A5273" s="417" t="s">
        <v>846</v>
      </c>
      <c r="B5273" s="417" t="s">
        <v>680</v>
      </c>
      <c r="C5273" s="83">
        <v>46030</v>
      </c>
      <c r="D5273" s="417" t="s">
        <v>683</v>
      </c>
      <c r="E5273">
        <v>1385.7873999999999</v>
      </c>
      <c r="F5273">
        <v>34</v>
      </c>
      <c r="G5273">
        <v>40.7584529411765</v>
      </c>
      <c r="H5273">
        <v>0.99375000000000002</v>
      </c>
      <c r="I5273">
        <v>93.637724510224004</v>
      </c>
    </row>
    <row r="5274" spans="1:9" x14ac:dyDescent="0.35">
      <c r="A5274" s="417" t="s">
        <v>846</v>
      </c>
      <c r="B5274" s="417" t="s">
        <v>680</v>
      </c>
      <c r="C5274" s="83">
        <v>46030</v>
      </c>
      <c r="D5274" s="417" t="s">
        <v>681</v>
      </c>
      <c r="E5274">
        <v>1403.1468833333299</v>
      </c>
      <c r="F5274">
        <v>30</v>
      </c>
      <c r="G5274">
        <v>46.771562777777802</v>
      </c>
      <c r="H5274">
        <v>0.49906666666666699</v>
      </c>
      <c r="I5274">
        <v>81.451124952055594</v>
      </c>
    </row>
    <row r="5275" spans="1:9" x14ac:dyDescent="0.35">
      <c r="A5275" s="417" t="s">
        <v>846</v>
      </c>
      <c r="B5275" s="417" t="s">
        <v>680</v>
      </c>
      <c r="C5275" s="83">
        <v>46030</v>
      </c>
      <c r="D5275" s="417" t="s">
        <v>684</v>
      </c>
      <c r="E5275">
        <v>1405.6396500000001</v>
      </c>
      <c r="F5275">
        <v>23</v>
      </c>
      <c r="G5275">
        <v>61.114767391304397</v>
      </c>
      <c r="H5275">
        <v>6.6859333333333302</v>
      </c>
      <c r="I5275">
        <v>91.056121836087996</v>
      </c>
    </row>
    <row r="5276" spans="1:9" x14ac:dyDescent="0.35">
      <c r="A5276" s="417" t="s">
        <v>846</v>
      </c>
      <c r="B5276" s="417" t="s">
        <v>680</v>
      </c>
      <c r="C5276" s="83">
        <v>46030</v>
      </c>
      <c r="D5276" s="417" t="s">
        <v>688</v>
      </c>
      <c r="E5276">
        <v>1406.7905499999999</v>
      </c>
      <c r="F5276">
        <v>20</v>
      </c>
      <c r="G5276">
        <v>70.339527500000003</v>
      </c>
      <c r="H5276">
        <v>7.5077999999999996</v>
      </c>
      <c r="I5276">
        <v>84.376380543293706</v>
      </c>
    </row>
    <row r="5277" spans="1:9" x14ac:dyDescent="0.35">
      <c r="A5277" s="417" t="s">
        <v>846</v>
      </c>
      <c r="B5277" s="417" t="s">
        <v>680</v>
      </c>
      <c r="C5277" s="83">
        <v>46030</v>
      </c>
      <c r="D5277" s="417" t="s">
        <v>682</v>
      </c>
      <c r="E5277">
        <v>1424.48391666667</v>
      </c>
      <c r="F5277">
        <v>13</v>
      </c>
      <c r="G5277">
        <v>109.575685897436</v>
      </c>
      <c r="H5277">
        <v>15.516083333333301</v>
      </c>
      <c r="I5277">
        <v>87.432076243023701</v>
      </c>
    </row>
    <row r="5278" spans="1:9" x14ac:dyDescent="0.35">
      <c r="A5278" s="417" t="s">
        <v>846</v>
      </c>
      <c r="B5278" s="417" t="s">
        <v>680</v>
      </c>
      <c r="C5278" s="83">
        <v>46030</v>
      </c>
      <c r="D5278" s="417" t="s">
        <v>690</v>
      </c>
      <c r="E5278">
        <v>1430.1714666666701</v>
      </c>
      <c r="F5278">
        <v>11</v>
      </c>
      <c r="G5278">
        <v>130.01558787878801</v>
      </c>
      <c r="H5278">
        <v>1.48505</v>
      </c>
      <c r="I5278">
        <v>83.274744176023106</v>
      </c>
    </row>
    <row r="5279" spans="1:9" x14ac:dyDescent="0.35">
      <c r="A5279" s="417" t="s">
        <v>846</v>
      </c>
      <c r="B5279" s="417" t="s">
        <v>680</v>
      </c>
      <c r="C5279" s="83">
        <v>46030</v>
      </c>
      <c r="D5279" s="417" t="s">
        <v>687</v>
      </c>
      <c r="E5279">
        <v>1423.3202833333301</v>
      </c>
      <c r="F5279">
        <v>10</v>
      </c>
      <c r="G5279">
        <v>142.332028333333</v>
      </c>
      <c r="H5279">
        <v>11.3372166666667</v>
      </c>
      <c r="I5279">
        <v>38.671099268028399</v>
      </c>
    </row>
    <row r="5280" spans="1:9" x14ac:dyDescent="0.35">
      <c r="A5280" s="417" t="s">
        <v>846</v>
      </c>
      <c r="B5280" s="417" t="s">
        <v>680</v>
      </c>
      <c r="C5280" s="83">
        <v>46030</v>
      </c>
      <c r="D5280" s="417" t="s">
        <v>686</v>
      </c>
      <c r="E5280">
        <v>1440</v>
      </c>
      <c r="F5280">
        <v>1</v>
      </c>
      <c r="G5280">
        <v>1440</v>
      </c>
      <c r="H5280">
        <v>0</v>
      </c>
      <c r="I5280">
        <v>38.854682346322001</v>
      </c>
    </row>
    <row r="5281" spans="1:9" x14ac:dyDescent="0.35">
      <c r="A5281" s="417" t="s">
        <v>846</v>
      </c>
      <c r="B5281" s="417" t="s">
        <v>691</v>
      </c>
      <c r="C5281" s="83">
        <v>46030</v>
      </c>
      <c r="D5281" s="417" t="s">
        <v>295</v>
      </c>
      <c r="E5281">
        <v>1301.5542333333301</v>
      </c>
      <c r="F5281">
        <v>101</v>
      </c>
      <c r="G5281">
        <v>12.886675577557799</v>
      </c>
      <c r="H5281">
        <v>1.7696166666666699</v>
      </c>
      <c r="I5281">
        <v>76.567971805499695</v>
      </c>
    </row>
    <row r="5282" spans="1:9" x14ac:dyDescent="0.35">
      <c r="A5282" s="417" t="s">
        <v>846</v>
      </c>
      <c r="B5282" s="417" t="s">
        <v>691</v>
      </c>
      <c r="C5282" s="83">
        <v>46030</v>
      </c>
      <c r="D5282" s="417" t="s">
        <v>305</v>
      </c>
      <c r="E5282">
        <v>1356.6499166666699</v>
      </c>
      <c r="F5282">
        <v>89</v>
      </c>
      <c r="G5282">
        <v>15.243257490636701</v>
      </c>
      <c r="H5282">
        <v>4.7459499999999997</v>
      </c>
      <c r="I5282">
        <v>66.373238529346594</v>
      </c>
    </row>
    <row r="5283" spans="1:9" x14ac:dyDescent="0.35">
      <c r="A5283" s="417" t="s">
        <v>846</v>
      </c>
      <c r="B5283" s="417" t="s">
        <v>691</v>
      </c>
      <c r="C5283" s="83">
        <v>46030</v>
      </c>
      <c r="D5283" s="417" t="s">
        <v>303</v>
      </c>
      <c r="E5283">
        <v>1335.9246333333299</v>
      </c>
      <c r="F5283">
        <v>88</v>
      </c>
      <c r="G5283">
        <v>15.1809617424242</v>
      </c>
      <c r="H5283">
        <v>0.28756666666666703</v>
      </c>
      <c r="I5283">
        <v>55.266618382598601</v>
      </c>
    </row>
    <row r="5284" spans="1:9" x14ac:dyDescent="0.35">
      <c r="A5284" s="417" t="s">
        <v>846</v>
      </c>
      <c r="B5284" s="417" t="s">
        <v>691</v>
      </c>
      <c r="C5284" s="83">
        <v>46030</v>
      </c>
      <c r="D5284" s="417" t="s">
        <v>299</v>
      </c>
      <c r="E5284">
        <v>1380.17053333333</v>
      </c>
      <c r="F5284">
        <v>81</v>
      </c>
      <c r="G5284">
        <v>17.039142386831301</v>
      </c>
      <c r="H5284">
        <v>0.39340000000000003</v>
      </c>
      <c r="I5284">
        <v>82.893349939492893</v>
      </c>
    </row>
    <row r="5285" spans="1:9" x14ac:dyDescent="0.35">
      <c r="A5285" s="417" t="s">
        <v>846</v>
      </c>
      <c r="B5285" s="417" t="s">
        <v>691</v>
      </c>
      <c r="C5285" s="83">
        <v>46030</v>
      </c>
      <c r="D5285" s="417" t="s">
        <v>301</v>
      </c>
      <c r="E5285">
        <v>1345.3661</v>
      </c>
      <c r="F5285">
        <v>72</v>
      </c>
      <c r="G5285">
        <v>18.6856402777778</v>
      </c>
      <c r="H5285">
        <v>0.38096666666666701</v>
      </c>
      <c r="I5285">
        <v>63.143980660687703</v>
      </c>
    </row>
    <row r="5286" spans="1:9" x14ac:dyDescent="0.35">
      <c r="A5286" s="417" t="s">
        <v>846</v>
      </c>
      <c r="B5286" s="417" t="s">
        <v>691</v>
      </c>
      <c r="C5286" s="83">
        <v>46030</v>
      </c>
      <c r="D5286" s="417" t="s">
        <v>309</v>
      </c>
      <c r="E5286">
        <v>1320.1410000000001</v>
      </c>
      <c r="F5286">
        <v>64</v>
      </c>
      <c r="G5286">
        <v>20.627203125000001</v>
      </c>
      <c r="H5286">
        <v>0</v>
      </c>
      <c r="I5286">
        <v>57.814963492398398</v>
      </c>
    </row>
    <row r="5287" spans="1:9" x14ac:dyDescent="0.35">
      <c r="A5287" s="417" t="s">
        <v>846</v>
      </c>
      <c r="B5287" s="417" t="s">
        <v>691</v>
      </c>
      <c r="C5287" s="83">
        <v>46030</v>
      </c>
      <c r="D5287" s="417" t="s">
        <v>314</v>
      </c>
      <c r="E5287">
        <v>1376.7280333333299</v>
      </c>
      <c r="F5287">
        <v>45</v>
      </c>
      <c r="G5287">
        <v>30.593956296296302</v>
      </c>
      <c r="H5287">
        <v>1.5421</v>
      </c>
      <c r="I5287">
        <v>89.286146787700801</v>
      </c>
    </row>
    <row r="5288" spans="1:9" x14ac:dyDescent="0.35">
      <c r="A5288" s="417" t="s">
        <v>846</v>
      </c>
      <c r="B5288" s="417" t="s">
        <v>691</v>
      </c>
      <c r="C5288" s="83">
        <v>46030</v>
      </c>
      <c r="D5288" s="417" t="s">
        <v>310</v>
      </c>
      <c r="E5288">
        <v>1425.6794666666699</v>
      </c>
      <c r="F5288">
        <v>20</v>
      </c>
      <c r="G5288">
        <v>71.283973333333293</v>
      </c>
      <c r="H5288">
        <v>0</v>
      </c>
      <c r="I5288">
        <v>109.884256912936</v>
      </c>
    </row>
    <row r="5289" spans="1:9" x14ac:dyDescent="0.35">
      <c r="A5289" s="417" t="s">
        <v>846</v>
      </c>
      <c r="B5289" s="417" t="s">
        <v>691</v>
      </c>
      <c r="C5289" s="83">
        <v>46030</v>
      </c>
      <c r="D5289" s="417" t="s">
        <v>313</v>
      </c>
      <c r="E5289">
        <v>1403.27293333333</v>
      </c>
      <c r="F5289">
        <v>18</v>
      </c>
      <c r="G5289">
        <v>77.959607407407404</v>
      </c>
      <c r="H5289">
        <v>7.5333333333333294E-2</v>
      </c>
      <c r="I5289">
        <v>131.164354916603</v>
      </c>
    </row>
    <row r="5290" spans="1:9" x14ac:dyDescent="0.35">
      <c r="A5290" s="417" t="s">
        <v>846</v>
      </c>
      <c r="B5290" s="417" t="s">
        <v>691</v>
      </c>
      <c r="C5290" s="83">
        <v>46030</v>
      </c>
      <c r="D5290" s="417" t="s">
        <v>317</v>
      </c>
      <c r="E5290">
        <v>1425.5307499999999</v>
      </c>
      <c r="F5290">
        <v>4</v>
      </c>
      <c r="G5290">
        <v>356.38268749999997</v>
      </c>
      <c r="H5290">
        <v>4.1565666666666701</v>
      </c>
      <c r="I5290">
        <v>73.856708924430393</v>
      </c>
    </row>
    <row r="5291" spans="1:9" x14ac:dyDescent="0.35">
      <c r="A5291" s="417" t="s">
        <v>846</v>
      </c>
      <c r="B5291" s="417" t="s">
        <v>691</v>
      </c>
      <c r="C5291" s="83">
        <v>46030</v>
      </c>
      <c r="D5291" s="417" t="s">
        <v>504</v>
      </c>
      <c r="E5291">
        <v>1440</v>
      </c>
      <c r="F5291">
        <v>1</v>
      </c>
      <c r="G5291">
        <v>1440</v>
      </c>
      <c r="H5291">
        <v>0</v>
      </c>
      <c r="I5291">
        <v>52.4746913580247</v>
      </c>
    </row>
    <row r="5292" spans="1:9" x14ac:dyDescent="0.35">
      <c r="A5292" s="417" t="s">
        <v>846</v>
      </c>
      <c r="B5292" s="417" t="s">
        <v>676</v>
      </c>
      <c r="C5292" s="83">
        <v>46029</v>
      </c>
      <c r="D5292" s="417" t="s">
        <v>677</v>
      </c>
      <c r="E5292">
        <v>645.32670000000098</v>
      </c>
      <c r="F5292">
        <v>39</v>
      </c>
      <c r="G5292">
        <v>16.546838461538499</v>
      </c>
      <c r="H5292">
        <v>17.0064666666667</v>
      </c>
      <c r="I5292">
        <v>15.5422222222222</v>
      </c>
    </row>
    <row r="5293" spans="1:9" x14ac:dyDescent="0.35">
      <c r="A5293" s="417" t="s">
        <v>846</v>
      </c>
      <c r="B5293" s="417" t="s">
        <v>676</v>
      </c>
      <c r="C5293" s="83">
        <v>46029</v>
      </c>
      <c r="D5293" s="417" t="s">
        <v>679</v>
      </c>
      <c r="E5293">
        <v>661.59153333333302</v>
      </c>
      <c r="F5293">
        <v>6</v>
      </c>
      <c r="G5293">
        <v>110.265255555556</v>
      </c>
      <c r="H5293">
        <v>8.6674500000000005</v>
      </c>
      <c r="I5293">
        <v>49.8549982374522</v>
      </c>
    </row>
    <row r="5294" spans="1:9" x14ac:dyDescent="0.35">
      <c r="A5294" s="417" t="s">
        <v>846</v>
      </c>
      <c r="B5294" s="417" t="s">
        <v>680</v>
      </c>
      <c r="C5294" s="83">
        <v>46029</v>
      </c>
      <c r="D5294" s="417" t="s">
        <v>685</v>
      </c>
      <c r="E5294">
        <v>1343.5028500000001</v>
      </c>
      <c r="F5294">
        <v>56</v>
      </c>
      <c r="G5294">
        <v>23.991122321428598</v>
      </c>
      <c r="H5294">
        <v>41.8359666666667</v>
      </c>
      <c r="I5294">
        <v>81.013777058025497</v>
      </c>
    </row>
    <row r="5295" spans="1:9" x14ac:dyDescent="0.35">
      <c r="A5295" s="417" t="s">
        <v>846</v>
      </c>
      <c r="B5295" s="417" t="s">
        <v>680</v>
      </c>
      <c r="C5295" s="83">
        <v>46029</v>
      </c>
      <c r="D5295" s="417" t="s">
        <v>681</v>
      </c>
      <c r="E5295">
        <v>1402.1907333333299</v>
      </c>
      <c r="F5295">
        <v>50</v>
      </c>
      <c r="G5295">
        <v>28.043814666666702</v>
      </c>
      <c r="H5295">
        <v>0.16093333333333301</v>
      </c>
      <c r="I5295">
        <v>65.025120020314006</v>
      </c>
    </row>
    <row r="5296" spans="1:9" x14ac:dyDescent="0.35">
      <c r="A5296" s="417" t="s">
        <v>846</v>
      </c>
      <c r="B5296" s="417" t="s">
        <v>680</v>
      </c>
      <c r="C5296" s="83">
        <v>46029</v>
      </c>
      <c r="D5296" s="417" t="s">
        <v>689</v>
      </c>
      <c r="E5296">
        <v>1388.9892500000001</v>
      </c>
      <c r="F5296">
        <v>39</v>
      </c>
      <c r="G5296">
        <v>35.615108974359003</v>
      </c>
      <c r="H5296">
        <v>0.99839999999999995</v>
      </c>
      <c r="I5296">
        <v>63.1207850194277</v>
      </c>
    </row>
    <row r="5297" spans="1:9" x14ac:dyDescent="0.35">
      <c r="A5297" s="417" t="s">
        <v>846</v>
      </c>
      <c r="B5297" s="417" t="s">
        <v>680</v>
      </c>
      <c r="C5297" s="83">
        <v>46029</v>
      </c>
      <c r="D5297" s="417" t="s">
        <v>682</v>
      </c>
      <c r="E5297">
        <v>1360.3288</v>
      </c>
      <c r="F5297">
        <v>33</v>
      </c>
      <c r="G5297">
        <v>41.222084848484798</v>
      </c>
      <c r="H5297">
        <v>42.495533333333299</v>
      </c>
      <c r="I5297">
        <v>85.808531746031804</v>
      </c>
    </row>
    <row r="5298" spans="1:9" x14ac:dyDescent="0.35">
      <c r="A5298" s="417" t="s">
        <v>846</v>
      </c>
      <c r="B5298" s="417" t="s">
        <v>680</v>
      </c>
      <c r="C5298" s="83">
        <v>46029</v>
      </c>
      <c r="D5298" s="417" t="s">
        <v>684</v>
      </c>
      <c r="E5298">
        <v>1398.14263333333</v>
      </c>
      <c r="F5298">
        <v>29</v>
      </c>
      <c r="G5298">
        <v>48.211814942528697</v>
      </c>
      <c r="H5298">
        <v>8.6774666666666693</v>
      </c>
      <c r="I5298">
        <v>70.738425688627501</v>
      </c>
    </row>
    <row r="5299" spans="1:9" x14ac:dyDescent="0.35">
      <c r="A5299" s="417" t="s">
        <v>846</v>
      </c>
      <c r="B5299" s="417" t="s">
        <v>680</v>
      </c>
      <c r="C5299" s="83">
        <v>46029</v>
      </c>
      <c r="D5299" s="417" t="s">
        <v>690</v>
      </c>
      <c r="E5299">
        <v>1417.59533333333</v>
      </c>
      <c r="F5299">
        <v>16</v>
      </c>
      <c r="G5299">
        <v>88.599708333333396</v>
      </c>
      <c r="H5299">
        <v>9.3600999999999992</v>
      </c>
      <c r="I5299">
        <v>79.039409116127601</v>
      </c>
    </row>
    <row r="5300" spans="1:9" x14ac:dyDescent="0.35">
      <c r="A5300" s="417" t="s">
        <v>846</v>
      </c>
      <c r="B5300" s="417" t="s">
        <v>680</v>
      </c>
      <c r="C5300" s="83">
        <v>46029</v>
      </c>
      <c r="D5300" s="417" t="s">
        <v>683</v>
      </c>
      <c r="E5300">
        <v>1419.8200666666701</v>
      </c>
      <c r="F5300">
        <v>15</v>
      </c>
      <c r="G5300">
        <v>94.654671111111099</v>
      </c>
      <c r="H5300">
        <v>0.67348333333333299</v>
      </c>
      <c r="I5300">
        <v>59.310497776644098</v>
      </c>
    </row>
    <row r="5301" spans="1:9" x14ac:dyDescent="0.35">
      <c r="A5301" s="417" t="s">
        <v>846</v>
      </c>
      <c r="B5301" s="417" t="s">
        <v>680</v>
      </c>
      <c r="C5301" s="83">
        <v>46029</v>
      </c>
      <c r="D5301" s="417" t="s">
        <v>687</v>
      </c>
      <c r="E5301">
        <v>1412.13985</v>
      </c>
      <c r="F5301">
        <v>15</v>
      </c>
      <c r="G5301">
        <v>94.142656666666696</v>
      </c>
      <c r="H5301">
        <v>7.9985999999999997</v>
      </c>
      <c r="I5301">
        <v>31.634332747720698</v>
      </c>
    </row>
    <row r="5302" spans="1:9" x14ac:dyDescent="0.35">
      <c r="A5302" s="417" t="s">
        <v>846</v>
      </c>
      <c r="B5302" s="417" t="s">
        <v>680</v>
      </c>
      <c r="C5302" s="83">
        <v>46029</v>
      </c>
      <c r="D5302" s="417" t="s">
        <v>688</v>
      </c>
      <c r="E5302">
        <v>1413.9880000000001</v>
      </c>
      <c r="F5302">
        <v>11</v>
      </c>
      <c r="G5302">
        <v>128.54436363636401</v>
      </c>
      <c r="H5302">
        <v>8.0013333333333296</v>
      </c>
      <c r="I5302">
        <v>87.179628804690395</v>
      </c>
    </row>
    <row r="5303" spans="1:9" x14ac:dyDescent="0.35">
      <c r="A5303" s="417" t="s">
        <v>846</v>
      </c>
      <c r="B5303" s="417" t="s">
        <v>680</v>
      </c>
      <c r="C5303" s="83">
        <v>46029</v>
      </c>
      <c r="D5303" s="417" t="s">
        <v>686</v>
      </c>
      <c r="E5303">
        <v>1440</v>
      </c>
      <c r="F5303">
        <v>1</v>
      </c>
      <c r="G5303">
        <v>1440</v>
      </c>
      <c r="H5303">
        <v>0</v>
      </c>
      <c r="I5303">
        <v>36.4583333333333</v>
      </c>
    </row>
    <row r="5304" spans="1:9" x14ac:dyDescent="0.35">
      <c r="A5304" s="417" t="s">
        <v>846</v>
      </c>
      <c r="B5304" s="417" t="s">
        <v>691</v>
      </c>
      <c r="C5304" s="83">
        <v>46029</v>
      </c>
      <c r="D5304" s="417" t="s">
        <v>309</v>
      </c>
      <c r="E5304">
        <v>1292.8356266999999</v>
      </c>
      <c r="F5304">
        <v>111</v>
      </c>
      <c r="G5304">
        <v>11.647167808108099</v>
      </c>
      <c r="H5304">
        <v>0</v>
      </c>
      <c r="I5304">
        <v>67.322430417634493</v>
      </c>
    </row>
    <row r="5305" spans="1:9" x14ac:dyDescent="0.35">
      <c r="A5305" s="417" t="s">
        <v>846</v>
      </c>
      <c r="B5305" s="417" t="s">
        <v>691</v>
      </c>
      <c r="C5305" s="83">
        <v>46029</v>
      </c>
      <c r="D5305" s="417" t="s">
        <v>305</v>
      </c>
      <c r="E5305">
        <v>1342.4919</v>
      </c>
      <c r="F5305">
        <v>93</v>
      </c>
      <c r="G5305">
        <v>14.435396774193601</v>
      </c>
      <c r="H5305">
        <v>0.41618333333333302</v>
      </c>
      <c r="I5305">
        <v>76.564345770876599</v>
      </c>
    </row>
    <row r="5306" spans="1:9" x14ac:dyDescent="0.35">
      <c r="A5306" s="417" t="s">
        <v>846</v>
      </c>
      <c r="B5306" s="417" t="s">
        <v>691</v>
      </c>
      <c r="C5306" s="83">
        <v>46029</v>
      </c>
      <c r="D5306" s="417" t="s">
        <v>301</v>
      </c>
      <c r="E5306">
        <v>1370.0876499999999</v>
      </c>
      <c r="F5306">
        <v>76</v>
      </c>
      <c r="G5306">
        <v>18.027469078947401</v>
      </c>
      <c r="H5306">
        <v>0.86358333333333304</v>
      </c>
      <c r="I5306">
        <v>61.309081921355897</v>
      </c>
    </row>
    <row r="5307" spans="1:9" x14ac:dyDescent="0.35">
      <c r="A5307" s="417" t="s">
        <v>846</v>
      </c>
      <c r="B5307" s="417" t="s">
        <v>691</v>
      </c>
      <c r="C5307" s="83">
        <v>46029</v>
      </c>
      <c r="D5307" s="417" t="s">
        <v>295</v>
      </c>
      <c r="E5307">
        <v>1372.7890666666699</v>
      </c>
      <c r="F5307">
        <v>63</v>
      </c>
      <c r="G5307">
        <v>21.790302645502599</v>
      </c>
      <c r="H5307">
        <v>0.38845000000000002</v>
      </c>
      <c r="I5307">
        <v>87.034405269700898</v>
      </c>
    </row>
    <row r="5308" spans="1:9" x14ac:dyDescent="0.35">
      <c r="A5308" s="417" t="s">
        <v>846</v>
      </c>
      <c r="B5308" s="417" t="s">
        <v>691</v>
      </c>
      <c r="C5308" s="83">
        <v>46029</v>
      </c>
      <c r="D5308" s="417" t="s">
        <v>303</v>
      </c>
      <c r="E5308">
        <v>1388.99065</v>
      </c>
      <c r="F5308">
        <v>58</v>
      </c>
      <c r="G5308">
        <v>23.9481146551724</v>
      </c>
      <c r="H5308">
        <v>0.33095000000000002</v>
      </c>
      <c r="I5308">
        <v>63.479054995375499</v>
      </c>
    </row>
    <row r="5309" spans="1:9" x14ac:dyDescent="0.35">
      <c r="A5309" s="417" t="s">
        <v>846</v>
      </c>
      <c r="B5309" s="417" t="s">
        <v>691</v>
      </c>
      <c r="C5309" s="83">
        <v>46029</v>
      </c>
      <c r="D5309" s="417" t="s">
        <v>299</v>
      </c>
      <c r="E5309">
        <v>1385.7360166666699</v>
      </c>
      <c r="F5309">
        <v>57</v>
      </c>
      <c r="G5309">
        <v>24.311158187134499</v>
      </c>
      <c r="H5309">
        <v>0.169633333333333</v>
      </c>
      <c r="I5309">
        <v>82.653174106237202</v>
      </c>
    </row>
    <row r="5310" spans="1:9" x14ac:dyDescent="0.35">
      <c r="A5310" s="417" t="s">
        <v>846</v>
      </c>
      <c r="B5310" s="417" t="s">
        <v>691</v>
      </c>
      <c r="C5310" s="83">
        <v>46029</v>
      </c>
      <c r="D5310" s="417" t="s">
        <v>314</v>
      </c>
      <c r="E5310">
        <v>1339.6146000000001</v>
      </c>
      <c r="F5310">
        <v>29</v>
      </c>
      <c r="G5310">
        <v>46.193606896551699</v>
      </c>
      <c r="H5310">
        <v>0.599783333333333</v>
      </c>
      <c r="I5310">
        <v>84.522762897067906</v>
      </c>
    </row>
    <row r="5311" spans="1:9" x14ac:dyDescent="0.35">
      <c r="A5311" s="417" t="s">
        <v>846</v>
      </c>
      <c r="B5311" s="417" t="s">
        <v>691</v>
      </c>
      <c r="C5311" s="83">
        <v>46029</v>
      </c>
      <c r="D5311" s="417" t="s">
        <v>313</v>
      </c>
      <c r="E5311">
        <v>1261.6998000000001</v>
      </c>
      <c r="F5311">
        <v>13</v>
      </c>
      <c r="G5311">
        <v>97.0538307692308</v>
      </c>
      <c r="H5311">
        <v>0</v>
      </c>
      <c r="I5311">
        <v>129.34074556726799</v>
      </c>
    </row>
    <row r="5312" spans="1:9" x14ac:dyDescent="0.35">
      <c r="A5312" s="417" t="s">
        <v>846</v>
      </c>
      <c r="B5312" s="417" t="s">
        <v>691</v>
      </c>
      <c r="C5312" s="83">
        <v>46029</v>
      </c>
      <c r="D5312" s="417" t="s">
        <v>310</v>
      </c>
      <c r="E5312">
        <v>1426.6233999999999</v>
      </c>
      <c r="F5312">
        <v>11</v>
      </c>
      <c r="G5312">
        <v>129.693036363636</v>
      </c>
      <c r="H5312">
        <v>0</v>
      </c>
      <c r="I5312">
        <v>131.56323667483599</v>
      </c>
    </row>
    <row r="5313" spans="1:9" x14ac:dyDescent="0.35">
      <c r="A5313" s="417" t="s">
        <v>846</v>
      </c>
      <c r="B5313" s="417" t="s">
        <v>691</v>
      </c>
      <c r="C5313" s="83">
        <v>46029</v>
      </c>
      <c r="D5313" s="417" t="s">
        <v>317</v>
      </c>
      <c r="E5313">
        <v>1438.1947</v>
      </c>
      <c r="F5313">
        <v>2</v>
      </c>
      <c r="G5313">
        <v>719.09735000000001</v>
      </c>
      <c r="H5313">
        <v>0.20328333333333301</v>
      </c>
      <c r="I5313">
        <v>96.896687575305805</v>
      </c>
    </row>
    <row r="5314" spans="1:9" x14ac:dyDescent="0.35">
      <c r="A5314" s="417" t="s">
        <v>846</v>
      </c>
      <c r="B5314" s="417" t="s">
        <v>691</v>
      </c>
      <c r="C5314" s="83">
        <v>46029</v>
      </c>
      <c r="D5314" s="417" t="s">
        <v>504</v>
      </c>
      <c r="E5314">
        <v>1440</v>
      </c>
      <c r="F5314">
        <v>1</v>
      </c>
      <c r="G5314">
        <v>1440</v>
      </c>
      <c r="H5314">
        <v>0</v>
      </c>
      <c r="I5314">
        <v>56.1483024691358</v>
      </c>
    </row>
    <row r="5315" spans="1:9" x14ac:dyDescent="0.35">
      <c r="A5315" s="417" t="s">
        <v>846</v>
      </c>
      <c r="B5315" s="417" t="s">
        <v>676</v>
      </c>
      <c r="C5315" s="83">
        <v>46028</v>
      </c>
      <c r="D5315" s="417" t="s">
        <v>677</v>
      </c>
      <c r="E5315">
        <v>1302.83936666667</v>
      </c>
      <c r="F5315">
        <v>186</v>
      </c>
      <c r="G5315">
        <v>7.0045127240143401</v>
      </c>
      <c r="H5315">
        <v>126.08445</v>
      </c>
      <c r="I5315">
        <v>36.863333333333301</v>
      </c>
    </row>
    <row r="5316" spans="1:9" x14ac:dyDescent="0.35">
      <c r="A5316" s="417" t="s">
        <v>846</v>
      </c>
      <c r="B5316" s="417" t="s">
        <v>676</v>
      </c>
      <c r="C5316" s="83">
        <v>46028</v>
      </c>
      <c r="D5316" s="417" t="s">
        <v>679</v>
      </c>
      <c r="E5316">
        <v>1386.99638333333</v>
      </c>
      <c r="F5316">
        <v>16</v>
      </c>
      <c r="G5316">
        <v>86.687273958333293</v>
      </c>
      <c r="H5316">
        <v>10.499333333333301</v>
      </c>
      <c r="I5316">
        <v>87.169259421582197</v>
      </c>
    </row>
    <row r="5317" spans="1:9" x14ac:dyDescent="0.35">
      <c r="A5317" s="417" t="s">
        <v>846</v>
      </c>
      <c r="B5317" s="417" t="s">
        <v>680</v>
      </c>
      <c r="C5317" s="83">
        <v>46028</v>
      </c>
      <c r="D5317" s="417" t="s">
        <v>681</v>
      </c>
      <c r="E5317">
        <v>1381.0626</v>
      </c>
      <c r="F5317">
        <v>77</v>
      </c>
      <c r="G5317">
        <v>17.9358779220779</v>
      </c>
      <c r="H5317">
        <v>0</v>
      </c>
      <c r="I5317">
        <v>61.800778665017297</v>
      </c>
    </row>
    <row r="5318" spans="1:9" x14ac:dyDescent="0.35">
      <c r="A5318" s="417" t="s">
        <v>846</v>
      </c>
      <c r="B5318" s="417" t="s">
        <v>680</v>
      </c>
      <c r="C5318" s="83">
        <v>46028</v>
      </c>
      <c r="D5318" s="417" t="s">
        <v>682</v>
      </c>
      <c r="E5318">
        <v>1335.0092666666701</v>
      </c>
      <c r="F5318">
        <v>44</v>
      </c>
      <c r="G5318">
        <v>30.341119696969699</v>
      </c>
      <c r="H5318">
        <v>47.483833333333301</v>
      </c>
      <c r="I5318">
        <v>76.071428571428598</v>
      </c>
    </row>
    <row r="5319" spans="1:9" x14ac:dyDescent="0.35">
      <c r="A5319" s="417" t="s">
        <v>846</v>
      </c>
      <c r="B5319" s="417" t="s">
        <v>680</v>
      </c>
      <c r="C5319" s="83">
        <v>46028</v>
      </c>
      <c r="D5319" s="417" t="s">
        <v>689</v>
      </c>
      <c r="E5319">
        <v>1379.77048333333</v>
      </c>
      <c r="F5319">
        <v>32</v>
      </c>
      <c r="G5319">
        <v>43.117827604166699</v>
      </c>
      <c r="H5319">
        <v>0</v>
      </c>
      <c r="I5319">
        <v>61.8223172438598</v>
      </c>
    </row>
    <row r="5320" spans="1:9" x14ac:dyDescent="0.35">
      <c r="A5320" s="417" t="s">
        <v>846</v>
      </c>
      <c r="B5320" s="417" t="s">
        <v>680</v>
      </c>
      <c r="C5320" s="83">
        <v>46028</v>
      </c>
      <c r="D5320" s="417" t="s">
        <v>685</v>
      </c>
      <c r="E5320">
        <v>1364.1610333333299</v>
      </c>
      <c r="F5320">
        <v>29</v>
      </c>
      <c r="G5320">
        <v>47.040035632183901</v>
      </c>
      <c r="H5320">
        <v>16.157066666666701</v>
      </c>
      <c r="I5320">
        <v>81.910852280886601</v>
      </c>
    </row>
    <row r="5321" spans="1:9" x14ac:dyDescent="0.35">
      <c r="A5321" s="417" t="s">
        <v>846</v>
      </c>
      <c r="B5321" s="417" t="s">
        <v>680</v>
      </c>
      <c r="C5321" s="83">
        <v>46028</v>
      </c>
      <c r="D5321" s="417" t="s">
        <v>684</v>
      </c>
      <c r="E5321">
        <v>1356.49371666667</v>
      </c>
      <c r="F5321">
        <v>22</v>
      </c>
      <c r="G5321">
        <v>61.658805303030299</v>
      </c>
      <c r="H5321">
        <v>3.68881666666667</v>
      </c>
      <c r="I5321">
        <v>83.510151448332394</v>
      </c>
    </row>
    <row r="5322" spans="1:9" x14ac:dyDescent="0.35">
      <c r="A5322" s="417" t="s">
        <v>846</v>
      </c>
      <c r="B5322" s="417" t="s">
        <v>680</v>
      </c>
      <c r="C5322" s="83">
        <v>46028</v>
      </c>
      <c r="D5322" s="417" t="s">
        <v>687</v>
      </c>
      <c r="E5322">
        <v>1398.4743166666699</v>
      </c>
      <c r="F5322">
        <v>20</v>
      </c>
      <c r="G5322">
        <v>69.923715833333304</v>
      </c>
      <c r="H5322">
        <v>17.000716666666701</v>
      </c>
      <c r="I5322">
        <v>31.386064345882701</v>
      </c>
    </row>
    <row r="5323" spans="1:9" x14ac:dyDescent="0.35">
      <c r="A5323" s="417" t="s">
        <v>846</v>
      </c>
      <c r="B5323" s="417" t="s">
        <v>680</v>
      </c>
      <c r="C5323" s="83">
        <v>46028</v>
      </c>
      <c r="D5323" s="417" t="s">
        <v>688</v>
      </c>
      <c r="E5323">
        <v>1427.86746666667</v>
      </c>
      <c r="F5323">
        <v>18</v>
      </c>
      <c r="G5323">
        <v>79.325970370370399</v>
      </c>
      <c r="H5323">
        <v>5.8131500000000003</v>
      </c>
      <c r="I5323">
        <v>81.481183638778802</v>
      </c>
    </row>
    <row r="5324" spans="1:9" x14ac:dyDescent="0.35">
      <c r="A5324" s="417" t="s">
        <v>846</v>
      </c>
      <c r="B5324" s="417" t="s">
        <v>680</v>
      </c>
      <c r="C5324" s="83">
        <v>46028</v>
      </c>
      <c r="D5324" s="417" t="s">
        <v>690</v>
      </c>
      <c r="E5324">
        <v>1410.8405499999999</v>
      </c>
      <c r="F5324">
        <v>14</v>
      </c>
      <c r="G5324">
        <v>100.774325</v>
      </c>
      <c r="H5324">
        <v>5.4941500000000003</v>
      </c>
      <c r="I5324">
        <v>77.842412801299005</v>
      </c>
    </row>
    <row r="5325" spans="1:9" x14ac:dyDescent="0.35">
      <c r="A5325" s="417" t="s">
        <v>846</v>
      </c>
      <c r="B5325" s="417" t="s">
        <v>680</v>
      </c>
      <c r="C5325" s="83">
        <v>46028</v>
      </c>
      <c r="D5325" s="417" t="s">
        <v>683</v>
      </c>
      <c r="E5325">
        <v>1401.8279500000001</v>
      </c>
      <c r="F5325">
        <v>12</v>
      </c>
      <c r="G5325">
        <v>116.81899583333301</v>
      </c>
      <c r="H5325">
        <v>0</v>
      </c>
      <c r="I5325">
        <v>65.499072227158393</v>
      </c>
    </row>
    <row r="5326" spans="1:9" x14ac:dyDescent="0.35">
      <c r="A5326" s="417" t="s">
        <v>846</v>
      </c>
      <c r="B5326" s="417" t="s">
        <v>680</v>
      </c>
      <c r="C5326" s="83">
        <v>46028</v>
      </c>
      <c r="D5326" s="417" t="s">
        <v>686</v>
      </c>
      <c r="E5326">
        <v>1440</v>
      </c>
      <c r="F5326">
        <v>1</v>
      </c>
      <c r="G5326">
        <v>1440</v>
      </c>
      <c r="H5326">
        <v>0</v>
      </c>
      <c r="I5326">
        <v>39.875992063492099</v>
      </c>
    </row>
    <row r="5327" spans="1:9" x14ac:dyDescent="0.35">
      <c r="A5327" s="417" t="s">
        <v>846</v>
      </c>
      <c r="B5327" s="417" t="s">
        <v>691</v>
      </c>
      <c r="C5327" s="83">
        <v>46028</v>
      </c>
      <c r="D5327" s="417" t="s">
        <v>309</v>
      </c>
      <c r="E5327">
        <v>1287.3443500000001</v>
      </c>
      <c r="F5327">
        <v>148</v>
      </c>
      <c r="G5327">
        <v>8.6982726351351296</v>
      </c>
      <c r="H5327">
        <v>0</v>
      </c>
      <c r="I5327">
        <v>81.328614686769896</v>
      </c>
    </row>
    <row r="5328" spans="1:9" x14ac:dyDescent="0.35">
      <c r="A5328" s="417" t="s">
        <v>846</v>
      </c>
      <c r="B5328" s="417" t="s">
        <v>691</v>
      </c>
      <c r="C5328" s="83">
        <v>46028</v>
      </c>
      <c r="D5328" s="417" t="s">
        <v>305</v>
      </c>
      <c r="E5328">
        <v>1328.08815</v>
      </c>
      <c r="F5328">
        <v>87</v>
      </c>
      <c r="G5328">
        <v>15.2653810344828</v>
      </c>
      <c r="H5328">
        <v>2.3301666666666701</v>
      </c>
      <c r="I5328">
        <v>82.686484520610193</v>
      </c>
    </row>
    <row r="5329" spans="1:9" x14ac:dyDescent="0.35">
      <c r="A5329" s="417" t="s">
        <v>846</v>
      </c>
      <c r="B5329" s="417" t="s">
        <v>691</v>
      </c>
      <c r="C5329" s="83">
        <v>46028</v>
      </c>
      <c r="D5329" s="417" t="s">
        <v>301</v>
      </c>
      <c r="E5329">
        <v>1375.2946999999999</v>
      </c>
      <c r="F5329">
        <v>62</v>
      </c>
      <c r="G5329">
        <v>22.182172580645201</v>
      </c>
      <c r="H5329">
        <v>0.56184999999999996</v>
      </c>
      <c r="I5329">
        <v>63.982359280738301</v>
      </c>
    </row>
    <row r="5330" spans="1:9" x14ac:dyDescent="0.35">
      <c r="A5330" s="417" t="s">
        <v>846</v>
      </c>
      <c r="B5330" s="417" t="s">
        <v>691</v>
      </c>
      <c r="C5330" s="83">
        <v>46028</v>
      </c>
      <c r="D5330" s="417" t="s">
        <v>295</v>
      </c>
      <c r="E5330">
        <v>1350.2989</v>
      </c>
      <c r="F5330">
        <v>60</v>
      </c>
      <c r="G5330">
        <v>22.504981666666701</v>
      </c>
      <c r="H5330">
        <v>1.2939000000000001</v>
      </c>
      <c r="I5330">
        <v>77.9777238103256</v>
      </c>
    </row>
    <row r="5331" spans="1:9" x14ac:dyDescent="0.35">
      <c r="A5331" s="417" t="s">
        <v>846</v>
      </c>
      <c r="B5331" s="417" t="s">
        <v>691</v>
      </c>
      <c r="C5331" s="83">
        <v>46028</v>
      </c>
      <c r="D5331" s="417" t="s">
        <v>299</v>
      </c>
      <c r="E5331">
        <v>1392.8948499999999</v>
      </c>
      <c r="F5331">
        <v>42</v>
      </c>
      <c r="G5331">
        <v>33.164163095238102</v>
      </c>
      <c r="H5331">
        <v>0.355816666666667</v>
      </c>
      <c r="I5331">
        <v>85.322901258425603</v>
      </c>
    </row>
    <row r="5332" spans="1:9" x14ac:dyDescent="0.35">
      <c r="A5332" s="417" t="s">
        <v>846</v>
      </c>
      <c r="B5332" s="417" t="s">
        <v>691</v>
      </c>
      <c r="C5332" s="83">
        <v>46028</v>
      </c>
      <c r="D5332" s="417" t="s">
        <v>303</v>
      </c>
      <c r="E5332">
        <v>1375.1292000000001</v>
      </c>
      <c r="F5332">
        <v>41</v>
      </c>
      <c r="G5332">
        <v>33.539736585365802</v>
      </c>
      <c r="H5332">
        <v>5.0900000000000001E-2</v>
      </c>
      <c r="I5332">
        <v>66.723806718849005</v>
      </c>
    </row>
    <row r="5333" spans="1:9" x14ac:dyDescent="0.35">
      <c r="A5333" s="417" t="s">
        <v>846</v>
      </c>
      <c r="B5333" s="417" t="s">
        <v>691</v>
      </c>
      <c r="C5333" s="83">
        <v>46028</v>
      </c>
      <c r="D5333" s="417" t="s">
        <v>314</v>
      </c>
      <c r="E5333">
        <v>1379.1682000000001</v>
      </c>
      <c r="F5333">
        <v>25</v>
      </c>
      <c r="G5333">
        <v>55.166727999999999</v>
      </c>
      <c r="H5333">
        <v>2.6225333333333301</v>
      </c>
      <c r="I5333">
        <v>71.0494685770567</v>
      </c>
    </row>
    <row r="5334" spans="1:9" x14ac:dyDescent="0.35">
      <c r="A5334" s="417" t="s">
        <v>846</v>
      </c>
      <c r="B5334" s="417" t="s">
        <v>691</v>
      </c>
      <c r="C5334" s="83">
        <v>46028</v>
      </c>
      <c r="D5334" s="417" t="s">
        <v>310</v>
      </c>
      <c r="E5334">
        <v>1407.3739166666701</v>
      </c>
      <c r="F5334">
        <v>18</v>
      </c>
      <c r="G5334">
        <v>78.187439814814795</v>
      </c>
      <c r="H5334">
        <v>0.1104</v>
      </c>
      <c r="I5334">
        <v>87.256494219995602</v>
      </c>
    </row>
    <row r="5335" spans="1:9" x14ac:dyDescent="0.35">
      <c r="A5335" s="417" t="s">
        <v>846</v>
      </c>
      <c r="B5335" s="417" t="s">
        <v>691</v>
      </c>
      <c r="C5335" s="83">
        <v>46028</v>
      </c>
      <c r="D5335" s="417" t="s">
        <v>313</v>
      </c>
      <c r="E5335">
        <v>1405.5716833333299</v>
      </c>
      <c r="F5335">
        <v>11</v>
      </c>
      <c r="G5335">
        <v>127.77924393939399</v>
      </c>
      <c r="H5335">
        <v>0.11849999999999999</v>
      </c>
      <c r="I5335">
        <v>107.684672234</v>
      </c>
    </row>
    <row r="5336" spans="1:9" x14ac:dyDescent="0.35">
      <c r="A5336" s="417" t="s">
        <v>846</v>
      </c>
      <c r="B5336" s="417" t="s">
        <v>691</v>
      </c>
      <c r="C5336" s="83">
        <v>46028</v>
      </c>
      <c r="D5336" s="417" t="s">
        <v>317</v>
      </c>
      <c r="E5336">
        <v>1439.60545</v>
      </c>
      <c r="F5336">
        <v>3</v>
      </c>
      <c r="G5336">
        <v>479.86848333333302</v>
      </c>
      <c r="H5336">
        <v>0.19978333333333301</v>
      </c>
      <c r="I5336">
        <v>78.382823862033007</v>
      </c>
    </row>
    <row r="5337" spans="1:9" x14ac:dyDescent="0.35">
      <c r="A5337" s="417" t="s">
        <v>846</v>
      </c>
      <c r="B5337" s="417" t="s">
        <v>691</v>
      </c>
      <c r="C5337" s="83">
        <v>46028</v>
      </c>
      <c r="D5337" s="417" t="s">
        <v>504</v>
      </c>
      <c r="E5337">
        <v>1440</v>
      </c>
      <c r="F5337">
        <v>1</v>
      </c>
      <c r="G5337">
        <v>1440</v>
      </c>
      <c r="H5337">
        <v>0</v>
      </c>
      <c r="I5337">
        <v>43.609104938271599</v>
      </c>
    </row>
    <row r="5338" spans="1:9" x14ac:dyDescent="0.35">
      <c r="A5338" s="417" t="s">
        <v>846</v>
      </c>
      <c r="B5338" s="417" t="s">
        <v>676</v>
      </c>
      <c r="C5338" s="83">
        <v>46027</v>
      </c>
      <c r="D5338" s="417" t="s">
        <v>677</v>
      </c>
      <c r="E5338">
        <v>1212.7845833333299</v>
      </c>
      <c r="F5338">
        <v>149</v>
      </c>
      <c r="G5338">
        <v>8.1394938478747196</v>
      </c>
      <c r="H5338">
        <v>115.03943333333299</v>
      </c>
      <c r="I5338">
        <v>34.1741666666667</v>
      </c>
    </row>
    <row r="5339" spans="1:9" x14ac:dyDescent="0.35">
      <c r="A5339" s="417" t="s">
        <v>846</v>
      </c>
      <c r="B5339" s="417" t="s">
        <v>676</v>
      </c>
      <c r="C5339" s="83">
        <v>46027</v>
      </c>
      <c r="D5339" s="417" t="s">
        <v>679</v>
      </c>
      <c r="E5339">
        <v>1325.99528333333</v>
      </c>
      <c r="F5339">
        <v>23</v>
      </c>
      <c r="G5339">
        <v>57.651968840579698</v>
      </c>
      <c r="H5339">
        <v>18.502600000000001</v>
      </c>
      <c r="I5339">
        <v>79.854740865032099</v>
      </c>
    </row>
    <row r="5340" spans="1:9" x14ac:dyDescent="0.35">
      <c r="A5340" s="417" t="s">
        <v>846</v>
      </c>
      <c r="B5340" s="417" t="s">
        <v>680</v>
      </c>
      <c r="C5340" s="83">
        <v>46027</v>
      </c>
      <c r="D5340" s="417" t="s">
        <v>689</v>
      </c>
      <c r="E5340">
        <v>1261.82665</v>
      </c>
      <c r="F5340">
        <v>51</v>
      </c>
      <c r="G5340">
        <v>24.7416990196078</v>
      </c>
      <c r="H5340">
        <v>0.1676</v>
      </c>
      <c r="I5340">
        <v>67.825435200975605</v>
      </c>
    </row>
    <row r="5341" spans="1:9" x14ac:dyDescent="0.35">
      <c r="A5341" s="417" t="s">
        <v>846</v>
      </c>
      <c r="B5341" s="417" t="s">
        <v>680</v>
      </c>
      <c r="C5341" s="83">
        <v>46027</v>
      </c>
      <c r="D5341" s="417" t="s">
        <v>681</v>
      </c>
      <c r="E5341">
        <v>1261.3291666666701</v>
      </c>
      <c r="F5341">
        <v>48</v>
      </c>
      <c r="G5341">
        <v>26.277690972222199</v>
      </c>
      <c r="H5341">
        <v>0.83411666666666695</v>
      </c>
      <c r="I5341">
        <v>66.699436811922595</v>
      </c>
    </row>
    <row r="5342" spans="1:9" x14ac:dyDescent="0.35">
      <c r="A5342" s="417" t="s">
        <v>846</v>
      </c>
      <c r="B5342" s="417" t="s">
        <v>680</v>
      </c>
      <c r="C5342" s="83">
        <v>46027</v>
      </c>
      <c r="D5342" s="417" t="s">
        <v>682</v>
      </c>
      <c r="E5342">
        <v>1391.2856833333301</v>
      </c>
      <c r="F5342">
        <v>45</v>
      </c>
      <c r="G5342">
        <v>30.917459629629601</v>
      </c>
      <c r="H5342">
        <v>48.714316666666697</v>
      </c>
      <c r="I5342">
        <v>63.8194444444444</v>
      </c>
    </row>
    <row r="5343" spans="1:9" x14ac:dyDescent="0.35">
      <c r="A5343" s="417" t="s">
        <v>846</v>
      </c>
      <c r="B5343" s="417" t="s">
        <v>680</v>
      </c>
      <c r="C5343" s="83">
        <v>46027</v>
      </c>
      <c r="D5343" s="417" t="s">
        <v>684</v>
      </c>
      <c r="E5343">
        <v>1384.4719</v>
      </c>
      <c r="F5343">
        <v>36</v>
      </c>
      <c r="G5343">
        <v>38.457552777777799</v>
      </c>
      <c r="H5343">
        <v>8.6792999999999996</v>
      </c>
      <c r="I5343">
        <v>58.761149267195997</v>
      </c>
    </row>
    <row r="5344" spans="1:9" x14ac:dyDescent="0.35">
      <c r="A5344" s="417" t="s">
        <v>846</v>
      </c>
      <c r="B5344" s="417" t="s">
        <v>680</v>
      </c>
      <c r="C5344" s="83">
        <v>46027</v>
      </c>
      <c r="D5344" s="417" t="s">
        <v>688</v>
      </c>
      <c r="E5344">
        <v>1403.3494166666701</v>
      </c>
      <c r="F5344">
        <v>29</v>
      </c>
      <c r="G5344">
        <v>48.391359195402302</v>
      </c>
      <c r="H5344">
        <v>11.172133333333299</v>
      </c>
      <c r="I5344">
        <v>67.814224433783494</v>
      </c>
    </row>
    <row r="5345" spans="1:9" x14ac:dyDescent="0.35">
      <c r="A5345" s="417" t="s">
        <v>846</v>
      </c>
      <c r="B5345" s="417" t="s">
        <v>680</v>
      </c>
      <c r="C5345" s="83">
        <v>46027</v>
      </c>
      <c r="D5345" s="417" t="s">
        <v>683</v>
      </c>
      <c r="E5345">
        <v>1252.0983166666699</v>
      </c>
      <c r="F5345">
        <v>28</v>
      </c>
      <c r="G5345">
        <v>44.717797023809503</v>
      </c>
      <c r="H5345">
        <v>5.6700666666666697</v>
      </c>
      <c r="I5345">
        <v>63.069496641737899</v>
      </c>
    </row>
    <row r="5346" spans="1:9" x14ac:dyDescent="0.35">
      <c r="A5346" s="417" t="s">
        <v>846</v>
      </c>
      <c r="B5346" s="417" t="s">
        <v>680</v>
      </c>
      <c r="C5346" s="83">
        <v>46027</v>
      </c>
      <c r="D5346" s="417" t="s">
        <v>687</v>
      </c>
      <c r="E5346">
        <v>1404.3158333333299</v>
      </c>
      <c r="F5346">
        <v>20</v>
      </c>
      <c r="G5346">
        <v>70.215791666666703</v>
      </c>
      <c r="H5346">
        <v>12.019550000000001</v>
      </c>
      <c r="I5346">
        <v>35.528849866998101</v>
      </c>
    </row>
    <row r="5347" spans="1:9" x14ac:dyDescent="0.35">
      <c r="A5347" s="417" t="s">
        <v>846</v>
      </c>
      <c r="B5347" s="417" t="s">
        <v>680</v>
      </c>
      <c r="C5347" s="83">
        <v>46027</v>
      </c>
      <c r="D5347" s="417" t="s">
        <v>690</v>
      </c>
      <c r="E5347">
        <v>1374.83351666667</v>
      </c>
      <c r="F5347">
        <v>13</v>
      </c>
      <c r="G5347">
        <v>105.756424358974</v>
      </c>
      <c r="H5347">
        <v>10.4989166666667</v>
      </c>
      <c r="I5347">
        <v>62.789340909138097</v>
      </c>
    </row>
    <row r="5348" spans="1:9" x14ac:dyDescent="0.35">
      <c r="A5348" s="417" t="s">
        <v>846</v>
      </c>
      <c r="B5348" s="417" t="s">
        <v>680</v>
      </c>
      <c r="C5348" s="83">
        <v>46027</v>
      </c>
      <c r="D5348" s="417" t="s">
        <v>685</v>
      </c>
      <c r="E5348">
        <v>1418.9836666666699</v>
      </c>
      <c r="F5348">
        <v>8</v>
      </c>
      <c r="G5348">
        <v>177.372958333333</v>
      </c>
      <c r="H5348">
        <v>3.6732499999999999</v>
      </c>
      <c r="I5348">
        <v>67.019797181332507</v>
      </c>
    </row>
    <row r="5349" spans="1:9" x14ac:dyDescent="0.35">
      <c r="A5349" s="417" t="s">
        <v>846</v>
      </c>
      <c r="B5349" s="417" t="s">
        <v>680</v>
      </c>
      <c r="C5349" s="83">
        <v>46027</v>
      </c>
      <c r="D5349" s="417" t="s">
        <v>686</v>
      </c>
      <c r="E5349">
        <v>1440</v>
      </c>
      <c r="F5349">
        <v>1</v>
      </c>
      <c r="G5349">
        <v>1440</v>
      </c>
      <c r="H5349">
        <v>0</v>
      </c>
      <c r="I5349">
        <v>36.994047619047599</v>
      </c>
    </row>
    <row r="5350" spans="1:9" x14ac:dyDescent="0.35">
      <c r="A5350" s="417" t="s">
        <v>846</v>
      </c>
      <c r="B5350" s="417" t="s">
        <v>691</v>
      </c>
      <c r="C5350" s="83">
        <v>46027</v>
      </c>
      <c r="D5350" s="417" t="s">
        <v>305</v>
      </c>
      <c r="E5350">
        <v>1309.27035</v>
      </c>
      <c r="F5350">
        <v>136</v>
      </c>
      <c r="G5350">
        <v>9.6269878676470597</v>
      </c>
      <c r="H5350">
        <v>1.25065</v>
      </c>
      <c r="I5350">
        <v>66.171228464345702</v>
      </c>
    </row>
    <row r="5351" spans="1:9" x14ac:dyDescent="0.35">
      <c r="A5351" s="417" t="s">
        <v>846</v>
      </c>
      <c r="B5351" s="417" t="s">
        <v>691</v>
      </c>
      <c r="C5351" s="83">
        <v>46027</v>
      </c>
      <c r="D5351" s="417" t="s">
        <v>309</v>
      </c>
      <c r="E5351">
        <v>1233.4616000000001</v>
      </c>
      <c r="F5351">
        <v>115</v>
      </c>
      <c r="G5351">
        <v>10.725753043478299</v>
      </c>
      <c r="H5351">
        <v>0</v>
      </c>
      <c r="I5351">
        <v>64.655547177611396</v>
      </c>
    </row>
    <row r="5352" spans="1:9" x14ac:dyDescent="0.35">
      <c r="A5352" s="417" t="s">
        <v>846</v>
      </c>
      <c r="B5352" s="417" t="s">
        <v>691</v>
      </c>
      <c r="C5352" s="83">
        <v>46027</v>
      </c>
      <c r="D5352" s="417" t="s">
        <v>299</v>
      </c>
      <c r="E5352">
        <v>1376.25796666667</v>
      </c>
      <c r="F5352">
        <v>80</v>
      </c>
      <c r="G5352">
        <v>17.203224583333299</v>
      </c>
      <c r="H5352">
        <v>0.68928333333333303</v>
      </c>
      <c r="I5352">
        <v>79.081977449651006</v>
      </c>
    </row>
    <row r="5353" spans="1:9" x14ac:dyDescent="0.35">
      <c r="A5353" s="417" t="s">
        <v>846</v>
      </c>
      <c r="B5353" s="417" t="s">
        <v>691</v>
      </c>
      <c r="C5353" s="83">
        <v>46027</v>
      </c>
      <c r="D5353" s="417" t="s">
        <v>301</v>
      </c>
      <c r="E5353">
        <v>1354.6358166666701</v>
      </c>
      <c r="F5353">
        <v>66</v>
      </c>
      <c r="G5353">
        <v>20.524785101010099</v>
      </c>
      <c r="H5353">
        <v>1.71291666666667</v>
      </c>
      <c r="I5353">
        <v>59.880048368218297</v>
      </c>
    </row>
    <row r="5354" spans="1:9" x14ac:dyDescent="0.35">
      <c r="A5354" s="417" t="s">
        <v>846</v>
      </c>
      <c r="B5354" s="417" t="s">
        <v>691</v>
      </c>
      <c r="C5354" s="83">
        <v>46027</v>
      </c>
      <c r="D5354" s="417" t="s">
        <v>303</v>
      </c>
      <c r="E5354">
        <v>1387.12985</v>
      </c>
      <c r="F5354">
        <v>65</v>
      </c>
      <c r="G5354">
        <v>21.340459230769198</v>
      </c>
      <c r="H5354">
        <v>0.73414999999999997</v>
      </c>
      <c r="I5354">
        <v>64.912837964845195</v>
      </c>
    </row>
    <row r="5355" spans="1:9" x14ac:dyDescent="0.35">
      <c r="A5355" s="417" t="s">
        <v>846</v>
      </c>
      <c r="B5355" s="417" t="s">
        <v>691</v>
      </c>
      <c r="C5355" s="83">
        <v>46027</v>
      </c>
      <c r="D5355" s="417" t="s">
        <v>295</v>
      </c>
      <c r="E5355">
        <v>1361.2330833333299</v>
      </c>
      <c r="F5355">
        <v>64</v>
      </c>
      <c r="G5355">
        <v>21.269266927083301</v>
      </c>
      <c r="H5355">
        <v>1.1383333333333301</v>
      </c>
      <c r="I5355">
        <v>82.876133437881606</v>
      </c>
    </row>
    <row r="5356" spans="1:9" x14ac:dyDescent="0.35">
      <c r="A5356" s="417" t="s">
        <v>846</v>
      </c>
      <c r="B5356" s="417" t="s">
        <v>691</v>
      </c>
      <c r="C5356" s="83">
        <v>46027</v>
      </c>
      <c r="D5356" s="417" t="s">
        <v>342</v>
      </c>
      <c r="E5356">
        <v>745.03899999999999</v>
      </c>
      <c r="F5356">
        <v>46</v>
      </c>
      <c r="G5356">
        <v>16.1965</v>
      </c>
      <c r="H5356">
        <v>89.169700000000006</v>
      </c>
      <c r="I5356">
        <v>47.517006802721099</v>
      </c>
    </row>
    <row r="5357" spans="1:9" x14ac:dyDescent="0.35">
      <c r="A5357" s="417" t="s">
        <v>846</v>
      </c>
      <c r="B5357" s="417" t="s">
        <v>691</v>
      </c>
      <c r="C5357" s="83">
        <v>46027</v>
      </c>
      <c r="D5357" s="417" t="s">
        <v>314</v>
      </c>
      <c r="E5357">
        <v>1332.6821</v>
      </c>
      <c r="F5357">
        <v>43</v>
      </c>
      <c r="G5357">
        <v>30.992606976744199</v>
      </c>
      <c r="H5357">
        <v>3.89963333333333</v>
      </c>
      <c r="I5357">
        <v>52.250271051623301</v>
      </c>
    </row>
    <row r="5358" spans="1:9" x14ac:dyDescent="0.35">
      <c r="A5358" s="417" t="s">
        <v>846</v>
      </c>
      <c r="B5358" s="417" t="s">
        <v>691</v>
      </c>
      <c r="C5358" s="83">
        <v>46027</v>
      </c>
      <c r="D5358" s="417" t="s">
        <v>310</v>
      </c>
      <c r="E5358">
        <v>1403.6850833333301</v>
      </c>
      <c r="F5358">
        <v>9</v>
      </c>
      <c r="G5358">
        <v>155.96500925925901</v>
      </c>
      <c r="H5358">
        <v>1.6716666666666699E-2</v>
      </c>
      <c r="I5358">
        <v>75.144490021547398</v>
      </c>
    </row>
    <row r="5359" spans="1:9" x14ac:dyDescent="0.35">
      <c r="A5359" s="417" t="s">
        <v>846</v>
      </c>
      <c r="B5359" s="417" t="s">
        <v>691</v>
      </c>
      <c r="C5359" s="83">
        <v>46027</v>
      </c>
      <c r="D5359" s="417" t="s">
        <v>317</v>
      </c>
      <c r="E5359">
        <v>1423.45321666667</v>
      </c>
      <c r="F5359">
        <v>5</v>
      </c>
      <c r="G5359">
        <v>284.69064333333301</v>
      </c>
      <c r="H5359">
        <v>5.0438499999999999</v>
      </c>
      <c r="I5359">
        <v>60.048252111683198</v>
      </c>
    </row>
    <row r="5360" spans="1:9" x14ac:dyDescent="0.35">
      <c r="A5360" s="417" t="s">
        <v>846</v>
      </c>
      <c r="B5360" s="417" t="s">
        <v>691</v>
      </c>
      <c r="C5360" s="83">
        <v>46027</v>
      </c>
      <c r="D5360" s="417" t="s">
        <v>313</v>
      </c>
      <c r="E5360">
        <v>1359.96573333333</v>
      </c>
      <c r="F5360">
        <v>4</v>
      </c>
      <c r="G5360">
        <v>339.99143333333302</v>
      </c>
      <c r="H5360">
        <v>0</v>
      </c>
      <c r="I5360">
        <v>78.150462520526304</v>
      </c>
    </row>
    <row r="5361" spans="1:9" x14ac:dyDescent="0.35">
      <c r="A5361" s="417" t="s">
        <v>846</v>
      </c>
      <c r="B5361" s="417" t="s">
        <v>691</v>
      </c>
      <c r="C5361" s="83">
        <v>46027</v>
      </c>
      <c r="D5361" s="417" t="s">
        <v>504</v>
      </c>
      <c r="E5361">
        <v>1437.06405</v>
      </c>
      <c r="F5361">
        <v>1</v>
      </c>
      <c r="G5361">
        <v>1437.06405</v>
      </c>
      <c r="H5361">
        <v>0</v>
      </c>
      <c r="I5361">
        <v>50.450495451591898</v>
      </c>
    </row>
    <row r="5362" spans="1:9" x14ac:dyDescent="0.35">
      <c r="A5362" s="417" t="s">
        <v>846</v>
      </c>
      <c r="B5362" s="417" t="s">
        <v>676</v>
      </c>
      <c r="C5362" s="83">
        <v>46026</v>
      </c>
      <c r="D5362" s="417" t="s">
        <v>677</v>
      </c>
      <c r="E5362">
        <v>710.97484999999995</v>
      </c>
      <c r="F5362">
        <v>91</v>
      </c>
      <c r="G5362">
        <v>7.8129104395604401</v>
      </c>
      <c r="H5362">
        <v>104.518516666667</v>
      </c>
      <c r="I5362">
        <v>7.25416666666667</v>
      </c>
    </row>
    <row r="5363" spans="1:9" x14ac:dyDescent="0.35">
      <c r="A5363" s="417" t="s">
        <v>846</v>
      </c>
      <c r="B5363" s="417" t="s">
        <v>676</v>
      </c>
      <c r="C5363" s="83">
        <v>46026</v>
      </c>
      <c r="D5363" s="417" t="s">
        <v>679</v>
      </c>
      <c r="E5363">
        <v>940.10601666666696</v>
      </c>
      <c r="F5363">
        <v>28</v>
      </c>
      <c r="G5363">
        <v>33.575214880952402</v>
      </c>
      <c r="H5363">
        <v>28.49485</v>
      </c>
      <c r="I5363">
        <v>51.324560209424398</v>
      </c>
    </row>
    <row r="5364" spans="1:9" x14ac:dyDescent="0.35">
      <c r="A5364" s="417" t="s">
        <v>846</v>
      </c>
      <c r="B5364" s="417" t="s">
        <v>680</v>
      </c>
      <c r="C5364" s="83">
        <v>46026</v>
      </c>
      <c r="D5364" s="417" t="s">
        <v>681</v>
      </c>
      <c r="E5364">
        <v>1363.16838333333</v>
      </c>
      <c r="F5364">
        <v>57</v>
      </c>
      <c r="G5364">
        <v>23.915234795321599</v>
      </c>
      <c r="H5364">
        <v>1.99511666666667</v>
      </c>
      <c r="I5364">
        <v>80.7232505653066</v>
      </c>
    </row>
    <row r="5365" spans="1:9" x14ac:dyDescent="0.35">
      <c r="A5365" s="417" t="s">
        <v>846</v>
      </c>
      <c r="B5365" s="417" t="s">
        <v>680</v>
      </c>
      <c r="C5365" s="83">
        <v>46026</v>
      </c>
      <c r="D5365" s="417" t="s">
        <v>683</v>
      </c>
      <c r="E5365">
        <v>1365.8305166666701</v>
      </c>
      <c r="F5365">
        <v>47</v>
      </c>
      <c r="G5365">
        <v>29.060223758865199</v>
      </c>
      <c r="H5365">
        <v>0</v>
      </c>
      <c r="I5365">
        <v>75.811247740487104</v>
      </c>
    </row>
    <row r="5366" spans="1:9" x14ac:dyDescent="0.35">
      <c r="A5366" s="417" t="s">
        <v>846</v>
      </c>
      <c r="B5366" s="417" t="s">
        <v>680</v>
      </c>
      <c r="C5366" s="83">
        <v>46026</v>
      </c>
      <c r="D5366" s="417" t="s">
        <v>684</v>
      </c>
      <c r="E5366">
        <v>1383.1554333333299</v>
      </c>
      <c r="F5366">
        <v>44</v>
      </c>
      <c r="G5366">
        <v>31.435350757575801</v>
      </c>
      <c r="H5366">
        <v>7.8392333333333299</v>
      </c>
      <c r="I5366">
        <v>81.766134324644895</v>
      </c>
    </row>
    <row r="5367" spans="1:9" x14ac:dyDescent="0.35">
      <c r="A5367" s="417" t="s">
        <v>846</v>
      </c>
      <c r="B5367" s="417" t="s">
        <v>680</v>
      </c>
      <c r="C5367" s="83">
        <v>46026</v>
      </c>
      <c r="D5367" s="417" t="s">
        <v>688</v>
      </c>
      <c r="E5367">
        <v>1358.1720499999999</v>
      </c>
      <c r="F5367">
        <v>36</v>
      </c>
      <c r="G5367">
        <v>37.727001388888901</v>
      </c>
      <c r="H5367">
        <v>18.321266666666698</v>
      </c>
      <c r="I5367">
        <v>74.661681217090006</v>
      </c>
    </row>
    <row r="5368" spans="1:9" x14ac:dyDescent="0.35">
      <c r="A5368" s="417" t="s">
        <v>846</v>
      </c>
      <c r="B5368" s="417" t="s">
        <v>680</v>
      </c>
      <c r="C5368" s="83">
        <v>46026</v>
      </c>
      <c r="D5368" s="417" t="s">
        <v>690</v>
      </c>
      <c r="E5368">
        <v>1349.5227500000001</v>
      </c>
      <c r="F5368">
        <v>26</v>
      </c>
      <c r="G5368">
        <v>51.904721153846197</v>
      </c>
      <c r="H5368">
        <v>15.018549999999999</v>
      </c>
      <c r="I5368">
        <v>72.325234429581002</v>
      </c>
    </row>
    <row r="5369" spans="1:9" x14ac:dyDescent="0.35">
      <c r="A5369" s="417" t="s">
        <v>846</v>
      </c>
      <c r="B5369" s="417" t="s">
        <v>680</v>
      </c>
      <c r="C5369" s="83">
        <v>46026</v>
      </c>
      <c r="D5369" s="417" t="s">
        <v>689</v>
      </c>
      <c r="E5369">
        <v>1403.64376666667</v>
      </c>
      <c r="F5369">
        <v>23</v>
      </c>
      <c r="G5369">
        <v>61.027989855072498</v>
      </c>
      <c r="H5369">
        <v>0.83209999999999995</v>
      </c>
      <c r="I5369">
        <v>87.647036850278994</v>
      </c>
    </row>
    <row r="5370" spans="1:9" x14ac:dyDescent="0.35">
      <c r="A5370" s="417" t="s">
        <v>846</v>
      </c>
      <c r="B5370" s="417" t="s">
        <v>680</v>
      </c>
      <c r="C5370" s="83">
        <v>46026</v>
      </c>
      <c r="D5370" s="417" t="s">
        <v>687</v>
      </c>
      <c r="E5370">
        <v>1405.8358499999999</v>
      </c>
      <c r="F5370">
        <v>19</v>
      </c>
      <c r="G5370">
        <v>73.991360526315802</v>
      </c>
      <c r="H5370">
        <v>14.4978</v>
      </c>
      <c r="I5370">
        <v>49.598227674203002</v>
      </c>
    </row>
    <row r="5371" spans="1:9" x14ac:dyDescent="0.35">
      <c r="A5371" s="417" t="s">
        <v>846</v>
      </c>
      <c r="B5371" s="417" t="s">
        <v>680</v>
      </c>
      <c r="C5371" s="83">
        <v>46026</v>
      </c>
      <c r="D5371" s="417" t="s">
        <v>682</v>
      </c>
      <c r="E5371">
        <v>1420.9829833333299</v>
      </c>
      <c r="F5371">
        <v>17</v>
      </c>
      <c r="G5371">
        <v>83.587234313725503</v>
      </c>
      <c r="H5371">
        <v>19.017016666666699</v>
      </c>
      <c r="I5371">
        <v>77.931547619047606</v>
      </c>
    </row>
    <row r="5372" spans="1:9" x14ac:dyDescent="0.35">
      <c r="A5372" s="417" t="s">
        <v>846</v>
      </c>
      <c r="B5372" s="417" t="s">
        <v>680</v>
      </c>
      <c r="C5372" s="83">
        <v>46026</v>
      </c>
      <c r="D5372" s="417" t="s">
        <v>685</v>
      </c>
      <c r="E5372">
        <v>1426.9740833333301</v>
      </c>
      <c r="F5372">
        <v>14</v>
      </c>
      <c r="G5372">
        <v>101.926720238095</v>
      </c>
      <c r="H5372">
        <v>3.34391666666667</v>
      </c>
      <c r="I5372">
        <v>83.286208610775404</v>
      </c>
    </row>
    <row r="5373" spans="1:9" x14ac:dyDescent="0.35">
      <c r="A5373" s="417" t="s">
        <v>846</v>
      </c>
      <c r="B5373" s="417" t="s">
        <v>680</v>
      </c>
      <c r="C5373" s="83">
        <v>46026</v>
      </c>
      <c r="D5373" s="417" t="s">
        <v>686</v>
      </c>
      <c r="E5373">
        <v>1440</v>
      </c>
      <c r="F5373">
        <v>1</v>
      </c>
      <c r="G5373">
        <v>1440</v>
      </c>
      <c r="H5373">
        <v>0</v>
      </c>
      <c r="I5373">
        <v>47.767857142857103</v>
      </c>
    </row>
    <row r="5374" spans="1:9" x14ac:dyDescent="0.35">
      <c r="A5374" s="417" t="s">
        <v>846</v>
      </c>
      <c r="B5374" s="417" t="s">
        <v>691</v>
      </c>
      <c r="C5374" s="83">
        <v>46026</v>
      </c>
      <c r="D5374" s="417" t="s">
        <v>295</v>
      </c>
      <c r="E5374">
        <v>1341.5330833333301</v>
      </c>
      <c r="F5374">
        <v>98</v>
      </c>
      <c r="G5374">
        <v>13.689113095238101</v>
      </c>
      <c r="H5374">
        <v>0.82464999999999999</v>
      </c>
      <c r="I5374">
        <v>82.384913999448798</v>
      </c>
    </row>
    <row r="5375" spans="1:9" x14ac:dyDescent="0.35">
      <c r="A5375" s="417" t="s">
        <v>846</v>
      </c>
      <c r="B5375" s="417" t="s">
        <v>691</v>
      </c>
      <c r="C5375" s="83">
        <v>46026</v>
      </c>
      <c r="D5375" s="417" t="s">
        <v>305</v>
      </c>
      <c r="E5375">
        <v>1322.9266666666699</v>
      </c>
      <c r="F5375">
        <v>87</v>
      </c>
      <c r="G5375">
        <v>15.206053639846701</v>
      </c>
      <c r="H5375">
        <v>6.5330500000000002</v>
      </c>
      <c r="I5375">
        <v>72.810590457972594</v>
      </c>
    </row>
    <row r="5376" spans="1:9" x14ac:dyDescent="0.35">
      <c r="A5376" s="417" t="s">
        <v>846</v>
      </c>
      <c r="B5376" s="417" t="s">
        <v>691</v>
      </c>
      <c r="C5376" s="83">
        <v>46026</v>
      </c>
      <c r="D5376" s="417" t="s">
        <v>299</v>
      </c>
      <c r="E5376">
        <v>1377.3389</v>
      </c>
      <c r="F5376">
        <v>79</v>
      </c>
      <c r="G5376">
        <v>17.434669620253199</v>
      </c>
      <c r="H5376">
        <v>2.3083166666666699</v>
      </c>
      <c r="I5376">
        <v>84.286431913500394</v>
      </c>
    </row>
    <row r="5377" spans="1:9" x14ac:dyDescent="0.35">
      <c r="A5377" s="417" t="s">
        <v>846</v>
      </c>
      <c r="B5377" s="417" t="s">
        <v>691</v>
      </c>
      <c r="C5377" s="83">
        <v>46026</v>
      </c>
      <c r="D5377" s="417" t="s">
        <v>303</v>
      </c>
      <c r="E5377">
        <v>1367.22021666667</v>
      </c>
      <c r="F5377">
        <v>57</v>
      </c>
      <c r="G5377">
        <v>23.986319590643301</v>
      </c>
      <c r="H5377">
        <v>0.55056666666666698</v>
      </c>
      <c r="I5377">
        <v>64.943061593617202</v>
      </c>
    </row>
    <row r="5378" spans="1:9" x14ac:dyDescent="0.35">
      <c r="A5378" s="417" t="s">
        <v>846</v>
      </c>
      <c r="B5378" s="417" t="s">
        <v>691</v>
      </c>
      <c r="C5378" s="83">
        <v>46026</v>
      </c>
      <c r="D5378" s="417" t="s">
        <v>309</v>
      </c>
      <c r="E5378">
        <v>1377.1812666666699</v>
      </c>
      <c r="F5378">
        <v>54</v>
      </c>
      <c r="G5378">
        <v>25.503356790123501</v>
      </c>
      <c r="H5378">
        <v>0</v>
      </c>
      <c r="I5378">
        <v>60.898452749706301</v>
      </c>
    </row>
    <row r="5379" spans="1:9" x14ac:dyDescent="0.35">
      <c r="A5379" s="417" t="s">
        <v>846</v>
      </c>
      <c r="B5379" s="417" t="s">
        <v>691</v>
      </c>
      <c r="C5379" s="83">
        <v>46026</v>
      </c>
      <c r="D5379" s="417" t="s">
        <v>342</v>
      </c>
      <c r="E5379">
        <v>1372.8505666666699</v>
      </c>
      <c r="F5379">
        <v>44</v>
      </c>
      <c r="G5379">
        <v>31.201149242424201</v>
      </c>
      <c r="H5379">
        <v>67.149433333333306</v>
      </c>
      <c r="I5379">
        <v>59.246031746031697</v>
      </c>
    </row>
    <row r="5380" spans="1:9" x14ac:dyDescent="0.35">
      <c r="A5380" s="417" t="s">
        <v>846</v>
      </c>
      <c r="B5380" s="417" t="s">
        <v>691</v>
      </c>
      <c r="C5380" s="83">
        <v>46026</v>
      </c>
      <c r="D5380" s="417" t="s">
        <v>301</v>
      </c>
      <c r="E5380">
        <v>1324.1106500000001</v>
      </c>
      <c r="F5380">
        <v>44</v>
      </c>
      <c r="G5380">
        <v>30.093423863636399</v>
      </c>
      <c r="H5380">
        <v>0.51871666666666705</v>
      </c>
      <c r="I5380">
        <v>59.266703726693102</v>
      </c>
    </row>
    <row r="5381" spans="1:9" x14ac:dyDescent="0.35">
      <c r="A5381" s="417" t="s">
        <v>846</v>
      </c>
      <c r="B5381" s="417" t="s">
        <v>691</v>
      </c>
      <c r="C5381" s="83">
        <v>46026</v>
      </c>
      <c r="D5381" s="417" t="s">
        <v>314</v>
      </c>
      <c r="E5381">
        <v>1374.2787499999999</v>
      </c>
      <c r="F5381">
        <v>11</v>
      </c>
      <c r="G5381">
        <v>124.93443181818201</v>
      </c>
      <c r="H5381">
        <v>2.2177833333333301</v>
      </c>
      <c r="I5381">
        <v>49.053878112400298</v>
      </c>
    </row>
    <row r="5382" spans="1:9" x14ac:dyDescent="0.35">
      <c r="A5382" s="417" t="s">
        <v>846</v>
      </c>
      <c r="B5382" s="417" t="s">
        <v>691</v>
      </c>
      <c r="C5382" s="83">
        <v>46026</v>
      </c>
      <c r="D5382" s="417" t="s">
        <v>310</v>
      </c>
      <c r="E5382">
        <v>1367.2674</v>
      </c>
      <c r="F5382">
        <v>9</v>
      </c>
      <c r="G5382">
        <v>151.9186</v>
      </c>
      <c r="H5382">
        <v>0</v>
      </c>
      <c r="I5382">
        <v>79.561046255739697</v>
      </c>
    </row>
    <row r="5383" spans="1:9" x14ac:dyDescent="0.35">
      <c r="A5383" s="417" t="s">
        <v>846</v>
      </c>
      <c r="B5383" s="417" t="s">
        <v>691</v>
      </c>
      <c r="C5383" s="83">
        <v>46026</v>
      </c>
      <c r="D5383" s="417" t="s">
        <v>313</v>
      </c>
      <c r="E5383">
        <v>1270.6795</v>
      </c>
      <c r="F5383">
        <v>5</v>
      </c>
      <c r="G5383">
        <v>254.13589999999999</v>
      </c>
      <c r="H5383">
        <v>0</v>
      </c>
      <c r="I5383">
        <v>84.230381846256606</v>
      </c>
    </row>
    <row r="5384" spans="1:9" x14ac:dyDescent="0.35">
      <c r="A5384" s="417" t="s">
        <v>846</v>
      </c>
      <c r="B5384" s="417" t="s">
        <v>691</v>
      </c>
      <c r="C5384" s="83">
        <v>46026</v>
      </c>
      <c r="D5384" s="417" t="s">
        <v>317</v>
      </c>
      <c r="E5384">
        <v>1431.7475999999999</v>
      </c>
      <c r="F5384">
        <v>4</v>
      </c>
      <c r="G5384">
        <v>357.93689999999998</v>
      </c>
      <c r="H5384">
        <v>2.7967</v>
      </c>
      <c r="I5384">
        <v>61.163149858808801</v>
      </c>
    </row>
    <row r="5385" spans="1:9" x14ac:dyDescent="0.35">
      <c r="A5385" s="417" t="s">
        <v>846</v>
      </c>
      <c r="B5385" s="417" t="s">
        <v>691</v>
      </c>
      <c r="C5385" s="83">
        <v>46026</v>
      </c>
      <c r="D5385" s="417" t="s">
        <v>504</v>
      </c>
      <c r="E5385">
        <v>1440</v>
      </c>
      <c r="F5385">
        <v>1</v>
      </c>
      <c r="G5385">
        <v>1440</v>
      </c>
      <c r="H5385">
        <v>0</v>
      </c>
      <c r="I5385">
        <v>52.186574074074102</v>
      </c>
    </row>
    <row r="5386" spans="1:9" x14ac:dyDescent="0.35">
      <c r="A5386" s="417" t="s">
        <v>846</v>
      </c>
      <c r="B5386" s="417" t="s">
        <v>676</v>
      </c>
      <c r="C5386" s="83">
        <v>46025</v>
      </c>
      <c r="D5386" s="417" t="s">
        <v>677</v>
      </c>
      <c r="E5386">
        <v>1332.8064666666701</v>
      </c>
      <c r="F5386">
        <v>294</v>
      </c>
      <c r="G5386">
        <v>4.5333553287981898</v>
      </c>
      <c r="H5386">
        <v>107.19353333333299</v>
      </c>
      <c r="I5386">
        <v>34.3055555555555</v>
      </c>
    </row>
    <row r="5387" spans="1:9" x14ac:dyDescent="0.35">
      <c r="A5387" s="417" t="s">
        <v>846</v>
      </c>
      <c r="B5387" s="417" t="s">
        <v>676</v>
      </c>
      <c r="C5387" s="83">
        <v>46025</v>
      </c>
      <c r="D5387" s="417" t="s">
        <v>679</v>
      </c>
      <c r="E5387">
        <v>1375.71288333333</v>
      </c>
      <c r="F5387">
        <v>12</v>
      </c>
      <c r="G5387">
        <v>114.642740277778</v>
      </c>
      <c r="H5387">
        <v>8.6497666666666699</v>
      </c>
      <c r="I5387">
        <v>67.550941221940704</v>
      </c>
    </row>
    <row r="5388" spans="1:9" x14ac:dyDescent="0.35">
      <c r="A5388" s="417" t="s">
        <v>846</v>
      </c>
      <c r="B5388" s="417" t="s">
        <v>680</v>
      </c>
      <c r="C5388" s="83">
        <v>46025</v>
      </c>
      <c r="D5388" s="417" t="s">
        <v>681</v>
      </c>
      <c r="E5388">
        <v>1381.0262166666701</v>
      </c>
      <c r="F5388">
        <v>64</v>
      </c>
      <c r="G5388">
        <v>21.578534635416698</v>
      </c>
      <c r="H5388">
        <v>0.99329999999999996</v>
      </c>
      <c r="I5388">
        <v>80.811044194765401</v>
      </c>
    </row>
    <row r="5389" spans="1:9" x14ac:dyDescent="0.35">
      <c r="A5389" s="417" t="s">
        <v>846</v>
      </c>
      <c r="B5389" s="417" t="s">
        <v>680</v>
      </c>
      <c r="C5389" s="83">
        <v>46025</v>
      </c>
      <c r="D5389" s="417" t="s">
        <v>688</v>
      </c>
      <c r="E5389">
        <v>1387.5358000000001</v>
      </c>
      <c r="F5389">
        <v>41</v>
      </c>
      <c r="G5389">
        <v>33.8423365853658</v>
      </c>
      <c r="H5389">
        <v>18.6556</v>
      </c>
      <c r="I5389">
        <v>78.800340039265095</v>
      </c>
    </row>
    <row r="5390" spans="1:9" x14ac:dyDescent="0.35">
      <c r="A5390" s="417" t="s">
        <v>846</v>
      </c>
      <c r="B5390" s="417" t="s">
        <v>680</v>
      </c>
      <c r="C5390" s="83">
        <v>46025</v>
      </c>
      <c r="D5390" s="417" t="s">
        <v>689</v>
      </c>
      <c r="E5390">
        <v>1404.8506333333301</v>
      </c>
      <c r="F5390">
        <v>41</v>
      </c>
      <c r="G5390">
        <v>34.264649593495903</v>
      </c>
      <c r="H5390">
        <v>0.83248333333333302</v>
      </c>
      <c r="I5390">
        <v>79.433017807312496</v>
      </c>
    </row>
    <row r="5391" spans="1:9" x14ac:dyDescent="0.35">
      <c r="A5391" s="417" t="s">
        <v>846</v>
      </c>
      <c r="B5391" s="417" t="s">
        <v>680</v>
      </c>
      <c r="C5391" s="83">
        <v>46025</v>
      </c>
      <c r="D5391" s="417" t="s">
        <v>683</v>
      </c>
      <c r="E5391">
        <v>1378.52745</v>
      </c>
      <c r="F5391">
        <v>38</v>
      </c>
      <c r="G5391">
        <v>36.277038157894701</v>
      </c>
      <c r="H5391">
        <v>5.8306500000000003</v>
      </c>
      <c r="I5391">
        <v>73.665883537316304</v>
      </c>
    </row>
    <row r="5392" spans="1:9" x14ac:dyDescent="0.35">
      <c r="A5392" s="417" t="s">
        <v>846</v>
      </c>
      <c r="B5392" s="417" t="s">
        <v>680</v>
      </c>
      <c r="C5392" s="83">
        <v>46025</v>
      </c>
      <c r="D5392" s="417" t="s">
        <v>690</v>
      </c>
      <c r="E5392">
        <v>1355.1494666666699</v>
      </c>
      <c r="F5392">
        <v>36</v>
      </c>
      <c r="G5392">
        <v>37.643040740740702</v>
      </c>
      <c r="H5392">
        <v>22.012816666666701</v>
      </c>
      <c r="I5392">
        <v>69.262587540188704</v>
      </c>
    </row>
    <row r="5393" spans="1:9" x14ac:dyDescent="0.35">
      <c r="A5393" s="417" t="s">
        <v>846</v>
      </c>
      <c r="B5393" s="417" t="s">
        <v>680</v>
      </c>
      <c r="C5393" s="83">
        <v>46025</v>
      </c>
      <c r="D5393" s="417" t="s">
        <v>682</v>
      </c>
      <c r="E5393">
        <v>1391.4889166666701</v>
      </c>
      <c r="F5393">
        <v>29</v>
      </c>
      <c r="G5393">
        <v>47.9823764367816</v>
      </c>
      <c r="H5393">
        <v>30.508299999999998</v>
      </c>
      <c r="I5393">
        <v>75.620039682539698</v>
      </c>
    </row>
    <row r="5394" spans="1:9" x14ac:dyDescent="0.35">
      <c r="A5394" s="417" t="s">
        <v>846</v>
      </c>
      <c r="B5394" s="417" t="s">
        <v>680</v>
      </c>
      <c r="C5394" s="83">
        <v>46025</v>
      </c>
      <c r="D5394" s="417" t="s">
        <v>685</v>
      </c>
      <c r="E5394">
        <v>1420.4836333333301</v>
      </c>
      <c r="F5394">
        <v>28</v>
      </c>
      <c r="G5394">
        <v>50.731558333333297</v>
      </c>
      <c r="H5394">
        <v>7.5153333333333299</v>
      </c>
      <c r="I5394">
        <v>76.313483574008103</v>
      </c>
    </row>
    <row r="5395" spans="1:9" x14ac:dyDescent="0.35">
      <c r="A5395" s="417" t="s">
        <v>846</v>
      </c>
      <c r="B5395" s="417" t="s">
        <v>680</v>
      </c>
      <c r="C5395" s="83">
        <v>46025</v>
      </c>
      <c r="D5395" s="417" t="s">
        <v>684</v>
      </c>
      <c r="E5395">
        <v>1388.8552666666701</v>
      </c>
      <c r="F5395">
        <v>23</v>
      </c>
      <c r="G5395">
        <v>60.385011594202901</v>
      </c>
      <c r="H5395">
        <v>6.8398833333333302</v>
      </c>
      <c r="I5395">
        <v>78.048185017261105</v>
      </c>
    </row>
    <row r="5396" spans="1:9" x14ac:dyDescent="0.35">
      <c r="A5396" s="417" t="s">
        <v>846</v>
      </c>
      <c r="B5396" s="417" t="s">
        <v>680</v>
      </c>
      <c r="C5396" s="83">
        <v>46025</v>
      </c>
      <c r="D5396" s="417" t="s">
        <v>687</v>
      </c>
      <c r="E5396">
        <v>1417.6358</v>
      </c>
      <c r="F5396">
        <v>14</v>
      </c>
      <c r="G5396">
        <v>101.2597</v>
      </c>
      <c r="H5396">
        <v>5.8448000000000002</v>
      </c>
      <c r="I5396">
        <v>39.217160897638998</v>
      </c>
    </row>
    <row r="5397" spans="1:9" x14ac:dyDescent="0.35">
      <c r="A5397" s="417" t="s">
        <v>846</v>
      </c>
      <c r="B5397" s="417" t="s">
        <v>680</v>
      </c>
      <c r="C5397" s="83">
        <v>46025</v>
      </c>
      <c r="D5397" s="417" t="s">
        <v>686</v>
      </c>
      <c r="E5397">
        <v>1440</v>
      </c>
      <c r="F5397">
        <v>1</v>
      </c>
      <c r="G5397">
        <v>1440</v>
      </c>
      <c r="H5397">
        <v>0</v>
      </c>
      <c r="I5397">
        <v>34.494047619047599</v>
      </c>
    </row>
    <row r="5398" spans="1:9" x14ac:dyDescent="0.35">
      <c r="A5398" s="417" t="s">
        <v>846</v>
      </c>
      <c r="B5398" s="417" t="s">
        <v>691</v>
      </c>
      <c r="C5398" s="83">
        <v>46025</v>
      </c>
      <c r="D5398" s="417" t="s">
        <v>301</v>
      </c>
      <c r="E5398">
        <v>1305.9700166666701</v>
      </c>
      <c r="F5398">
        <v>213</v>
      </c>
      <c r="G5398">
        <v>6.1313146322378698</v>
      </c>
      <c r="H5398">
        <v>6.9684666666666697</v>
      </c>
      <c r="I5398">
        <v>61.733904981814298</v>
      </c>
    </row>
    <row r="5399" spans="1:9" x14ac:dyDescent="0.35">
      <c r="A5399" s="417" t="s">
        <v>846</v>
      </c>
      <c r="B5399" s="417" t="s">
        <v>691</v>
      </c>
      <c r="C5399" s="83">
        <v>46025</v>
      </c>
      <c r="D5399" s="417" t="s">
        <v>309</v>
      </c>
      <c r="E5399">
        <v>1292.1821333333301</v>
      </c>
      <c r="F5399">
        <v>195</v>
      </c>
      <c r="G5399">
        <v>6.6265750427350403</v>
      </c>
      <c r="H5399">
        <v>0</v>
      </c>
      <c r="I5399">
        <v>60.185676577057997</v>
      </c>
    </row>
    <row r="5400" spans="1:9" x14ac:dyDescent="0.35">
      <c r="A5400" s="417" t="s">
        <v>846</v>
      </c>
      <c r="B5400" s="417" t="s">
        <v>691</v>
      </c>
      <c r="C5400" s="83">
        <v>46025</v>
      </c>
      <c r="D5400" s="417" t="s">
        <v>299</v>
      </c>
      <c r="E5400">
        <v>1361.47248333333</v>
      </c>
      <c r="F5400">
        <v>140</v>
      </c>
      <c r="G5400">
        <v>9.7248034523809501</v>
      </c>
      <c r="H5400">
        <v>0.36116666666666702</v>
      </c>
      <c r="I5400">
        <v>83.321167013691294</v>
      </c>
    </row>
    <row r="5401" spans="1:9" x14ac:dyDescent="0.35">
      <c r="A5401" s="417" t="s">
        <v>846</v>
      </c>
      <c r="B5401" s="417" t="s">
        <v>691</v>
      </c>
      <c r="C5401" s="83">
        <v>46025</v>
      </c>
      <c r="D5401" s="417" t="s">
        <v>303</v>
      </c>
      <c r="E5401">
        <v>1343.0126166666701</v>
      </c>
      <c r="F5401">
        <v>131</v>
      </c>
      <c r="G5401">
        <v>10.252004707379101</v>
      </c>
      <c r="H5401">
        <v>0.67551666666666699</v>
      </c>
      <c r="I5401">
        <v>64.473365161479805</v>
      </c>
    </row>
    <row r="5402" spans="1:9" x14ac:dyDescent="0.35">
      <c r="A5402" s="417" t="s">
        <v>846</v>
      </c>
      <c r="B5402" s="417" t="s">
        <v>691</v>
      </c>
      <c r="C5402" s="83">
        <v>46025</v>
      </c>
      <c r="D5402" s="417" t="s">
        <v>305</v>
      </c>
      <c r="E5402">
        <v>1315.7622166666699</v>
      </c>
      <c r="F5402">
        <v>114</v>
      </c>
      <c r="G5402">
        <v>11.541773830409401</v>
      </c>
      <c r="H5402">
        <v>1.6441666666666701</v>
      </c>
      <c r="I5402">
        <v>77.769118574875705</v>
      </c>
    </row>
    <row r="5403" spans="1:9" x14ac:dyDescent="0.35">
      <c r="A5403" s="417" t="s">
        <v>846</v>
      </c>
      <c r="B5403" s="417" t="s">
        <v>691</v>
      </c>
      <c r="C5403" s="83">
        <v>46025</v>
      </c>
      <c r="D5403" s="417" t="s">
        <v>342</v>
      </c>
      <c r="E5403">
        <v>1252.0414166666701</v>
      </c>
      <c r="F5403">
        <v>113</v>
      </c>
      <c r="G5403">
        <v>11.0800125368732</v>
      </c>
      <c r="H5403">
        <v>135.263483333333</v>
      </c>
      <c r="I5403">
        <v>49.682539682539698</v>
      </c>
    </row>
    <row r="5404" spans="1:9" x14ac:dyDescent="0.35">
      <c r="A5404" s="417" t="s">
        <v>846</v>
      </c>
      <c r="B5404" s="417" t="s">
        <v>691</v>
      </c>
      <c r="C5404" s="83">
        <v>46025</v>
      </c>
      <c r="D5404" s="417" t="s">
        <v>295</v>
      </c>
      <c r="E5404">
        <v>1343.07848333333</v>
      </c>
      <c r="F5404">
        <v>113</v>
      </c>
      <c r="G5404">
        <v>11.8856502949853</v>
      </c>
      <c r="H5404">
        <v>0.49016666666666697</v>
      </c>
      <c r="I5404">
        <v>81.905047803132803</v>
      </c>
    </row>
    <row r="5405" spans="1:9" x14ac:dyDescent="0.35">
      <c r="A5405" s="417" t="s">
        <v>846</v>
      </c>
      <c r="B5405" s="417" t="s">
        <v>691</v>
      </c>
      <c r="C5405" s="83">
        <v>46025</v>
      </c>
      <c r="D5405" s="417" t="s">
        <v>310</v>
      </c>
      <c r="E5405">
        <v>1413.0196333333299</v>
      </c>
      <c r="F5405">
        <v>19</v>
      </c>
      <c r="G5405">
        <v>74.3694543859649</v>
      </c>
      <c r="H5405">
        <v>0</v>
      </c>
      <c r="I5405">
        <v>78.483835505265105</v>
      </c>
    </row>
    <row r="5406" spans="1:9" x14ac:dyDescent="0.35">
      <c r="A5406" s="417" t="s">
        <v>846</v>
      </c>
      <c r="B5406" s="417" t="s">
        <v>691</v>
      </c>
      <c r="C5406" s="83">
        <v>46025</v>
      </c>
      <c r="D5406" s="417" t="s">
        <v>314</v>
      </c>
      <c r="E5406">
        <v>1313.92963333333</v>
      </c>
      <c r="F5406">
        <v>14</v>
      </c>
      <c r="G5406">
        <v>93.852116666666703</v>
      </c>
      <c r="H5406">
        <v>5.8975833333333298</v>
      </c>
      <c r="I5406">
        <v>57.524928456602602</v>
      </c>
    </row>
    <row r="5407" spans="1:9" x14ac:dyDescent="0.35">
      <c r="A5407" s="417" t="s">
        <v>846</v>
      </c>
      <c r="B5407" s="417" t="s">
        <v>691</v>
      </c>
      <c r="C5407" s="83">
        <v>46025</v>
      </c>
      <c r="D5407" s="417" t="s">
        <v>317</v>
      </c>
      <c r="E5407">
        <v>1436.7862666666699</v>
      </c>
      <c r="F5407">
        <v>6</v>
      </c>
      <c r="G5407">
        <v>239.464377777778</v>
      </c>
      <c r="H5407">
        <v>1.87</v>
      </c>
      <c r="I5407">
        <v>58.0764161223779</v>
      </c>
    </row>
    <row r="5408" spans="1:9" x14ac:dyDescent="0.35">
      <c r="A5408" s="417" t="s">
        <v>846</v>
      </c>
      <c r="B5408" s="417" t="s">
        <v>691</v>
      </c>
      <c r="C5408" s="83">
        <v>46025</v>
      </c>
      <c r="D5408" s="417" t="s">
        <v>313</v>
      </c>
      <c r="E5408">
        <v>1371.1571833333301</v>
      </c>
      <c r="F5408">
        <v>5</v>
      </c>
      <c r="G5408">
        <v>274.23143666666698</v>
      </c>
      <c r="H5408">
        <v>0</v>
      </c>
      <c r="I5408">
        <v>82.000657612888304</v>
      </c>
    </row>
    <row r="5409" spans="1:9" x14ac:dyDescent="0.35">
      <c r="A5409" s="417" t="s">
        <v>846</v>
      </c>
      <c r="B5409" s="417" t="s">
        <v>691</v>
      </c>
      <c r="C5409" s="83">
        <v>46025</v>
      </c>
      <c r="D5409" s="417" t="s">
        <v>504</v>
      </c>
      <c r="E5409">
        <v>1440</v>
      </c>
      <c r="F5409">
        <v>1</v>
      </c>
      <c r="G5409">
        <v>1440</v>
      </c>
      <c r="H5409">
        <v>0</v>
      </c>
      <c r="I5409">
        <v>64.695833333333297</v>
      </c>
    </row>
    <row r="5410" spans="1:9" x14ac:dyDescent="0.35">
      <c r="A5410" s="417" t="s">
        <v>846</v>
      </c>
      <c r="B5410" s="417" t="s">
        <v>676</v>
      </c>
      <c r="C5410" s="83">
        <v>46024</v>
      </c>
      <c r="D5410" s="417" t="s">
        <v>677</v>
      </c>
      <c r="E5410">
        <v>1187.55418333333</v>
      </c>
      <c r="F5410">
        <v>411</v>
      </c>
      <c r="G5410">
        <v>2.8894262368207699</v>
      </c>
      <c r="H5410">
        <v>192.61468333333301</v>
      </c>
      <c r="I5410">
        <v>26.919444444444402</v>
      </c>
    </row>
    <row r="5411" spans="1:9" x14ac:dyDescent="0.35">
      <c r="A5411" s="417" t="s">
        <v>846</v>
      </c>
      <c r="B5411" s="417" t="s">
        <v>676</v>
      </c>
      <c r="C5411" s="83">
        <v>46024</v>
      </c>
      <c r="D5411" s="417" t="s">
        <v>679</v>
      </c>
      <c r="E5411">
        <v>1377.1659833333299</v>
      </c>
      <c r="F5411">
        <v>8</v>
      </c>
      <c r="G5411">
        <v>172.14574791666701</v>
      </c>
      <c r="H5411">
        <v>5.4939166666666699</v>
      </c>
      <c r="I5411">
        <v>85.614208767704497</v>
      </c>
    </row>
    <row r="5412" spans="1:9" x14ac:dyDescent="0.35">
      <c r="A5412" s="417" t="s">
        <v>846</v>
      </c>
      <c r="B5412" s="417" t="s">
        <v>680</v>
      </c>
      <c r="C5412" s="83">
        <v>46024</v>
      </c>
      <c r="D5412" s="417" t="s">
        <v>681</v>
      </c>
      <c r="E5412">
        <v>1381.2246333333301</v>
      </c>
      <c r="F5412">
        <v>45</v>
      </c>
      <c r="G5412">
        <v>30.693880740740699</v>
      </c>
      <c r="H5412">
        <v>0.49961666666666699</v>
      </c>
      <c r="I5412">
        <v>90.499107340081594</v>
      </c>
    </row>
    <row r="5413" spans="1:9" x14ac:dyDescent="0.35">
      <c r="A5413" s="417" t="s">
        <v>846</v>
      </c>
      <c r="B5413" s="417" t="s">
        <v>680</v>
      </c>
      <c r="C5413" s="83">
        <v>46024</v>
      </c>
      <c r="D5413" s="417" t="s">
        <v>684</v>
      </c>
      <c r="E5413">
        <v>1374.70626666667</v>
      </c>
      <c r="F5413">
        <v>44</v>
      </c>
      <c r="G5413">
        <v>31.243324242424201</v>
      </c>
      <c r="H5413">
        <v>11.832266666666699</v>
      </c>
      <c r="I5413">
        <v>70.374528595121703</v>
      </c>
    </row>
    <row r="5414" spans="1:9" x14ac:dyDescent="0.35">
      <c r="A5414" s="417" t="s">
        <v>846</v>
      </c>
      <c r="B5414" s="417" t="s">
        <v>680</v>
      </c>
      <c r="C5414" s="83">
        <v>46024</v>
      </c>
      <c r="D5414" s="417" t="s">
        <v>690</v>
      </c>
      <c r="E5414">
        <v>1391.9631833333301</v>
      </c>
      <c r="F5414">
        <v>37</v>
      </c>
      <c r="G5414">
        <v>37.620626576576598</v>
      </c>
      <c r="H5414">
        <v>15.6704666666667</v>
      </c>
      <c r="I5414">
        <v>60.704637856870001</v>
      </c>
    </row>
    <row r="5415" spans="1:9" x14ac:dyDescent="0.35">
      <c r="A5415" s="417" t="s">
        <v>846</v>
      </c>
      <c r="B5415" s="417" t="s">
        <v>680</v>
      </c>
      <c r="C5415" s="83">
        <v>46024</v>
      </c>
      <c r="D5415" s="417" t="s">
        <v>683</v>
      </c>
      <c r="E5415">
        <v>1384.1797166666699</v>
      </c>
      <c r="F5415">
        <v>35</v>
      </c>
      <c r="G5415">
        <v>39.547991904761901</v>
      </c>
      <c r="H5415">
        <v>0.333666666666667</v>
      </c>
      <c r="I5415">
        <v>71.732406562654504</v>
      </c>
    </row>
    <row r="5416" spans="1:9" x14ac:dyDescent="0.35">
      <c r="A5416" s="417" t="s">
        <v>846</v>
      </c>
      <c r="B5416" s="417" t="s">
        <v>680</v>
      </c>
      <c r="C5416" s="83">
        <v>46024</v>
      </c>
      <c r="D5416" s="417" t="s">
        <v>689</v>
      </c>
      <c r="E5416">
        <v>1405.02093333333</v>
      </c>
      <c r="F5416">
        <v>35</v>
      </c>
      <c r="G5416">
        <v>40.1434552380952</v>
      </c>
      <c r="H5416">
        <v>1.6596500000000001</v>
      </c>
      <c r="I5416">
        <v>72.7604785547544</v>
      </c>
    </row>
    <row r="5417" spans="1:9" x14ac:dyDescent="0.35">
      <c r="A5417" s="417" t="s">
        <v>846</v>
      </c>
      <c r="B5417" s="417" t="s">
        <v>680</v>
      </c>
      <c r="C5417" s="83">
        <v>46024</v>
      </c>
      <c r="D5417" s="417" t="s">
        <v>682</v>
      </c>
      <c r="E5417">
        <v>1398.87521666667</v>
      </c>
      <c r="F5417">
        <v>29</v>
      </c>
      <c r="G5417">
        <v>48.237076436781599</v>
      </c>
      <c r="H5417">
        <v>41.124783333333298</v>
      </c>
      <c r="I5417">
        <v>68.273809523809504</v>
      </c>
    </row>
    <row r="5418" spans="1:9" x14ac:dyDescent="0.35">
      <c r="A5418" s="417" t="s">
        <v>846</v>
      </c>
      <c r="B5418" s="417" t="s">
        <v>680</v>
      </c>
      <c r="C5418" s="83">
        <v>46024</v>
      </c>
      <c r="D5418" s="417" t="s">
        <v>685</v>
      </c>
      <c r="E5418">
        <v>1380.29396666667</v>
      </c>
      <c r="F5418">
        <v>24</v>
      </c>
      <c r="G5418">
        <v>57.512248611111097</v>
      </c>
      <c r="H5418">
        <v>12.68205</v>
      </c>
      <c r="I5418">
        <v>67.502190615286295</v>
      </c>
    </row>
    <row r="5419" spans="1:9" x14ac:dyDescent="0.35">
      <c r="A5419" s="417" t="s">
        <v>846</v>
      </c>
      <c r="B5419" s="417" t="s">
        <v>680</v>
      </c>
      <c r="C5419" s="83">
        <v>46024</v>
      </c>
      <c r="D5419" s="417" t="s">
        <v>688</v>
      </c>
      <c r="E5419">
        <v>1416.3295499999999</v>
      </c>
      <c r="F5419">
        <v>20</v>
      </c>
      <c r="G5419">
        <v>70.816477500000005</v>
      </c>
      <c r="H5419">
        <v>13.1605833333333</v>
      </c>
      <c r="I5419">
        <v>87.771937818982806</v>
      </c>
    </row>
    <row r="5420" spans="1:9" x14ac:dyDescent="0.35">
      <c r="A5420" s="417" t="s">
        <v>846</v>
      </c>
      <c r="B5420" s="417" t="s">
        <v>680</v>
      </c>
      <c r="C5420" s="83">
        <v>46024</v>
      </c>
      <c r="D5420" s="417" t="s">
        <v>687</v>
      </c>
      <c r="E5420">
        <v>1416.1668500000001</v>
      </c>
      <c r="F5420">
        <v>11</v>
      </c>
      <c r="G5420">
        <v>128.74244090909099</v>
      </c>
      <c r="H5420">
        <v>13.82705</v>
      </c>
      <c r="I5420">
        <v>36.398479164563703</v>
      </c>
    </row>
    <row r="5421" spans="1:9" x14ac:dyDescent="0.35">
      <c r="A5421" s="417" t="s">
        <v>846</v>
      </c>
      <c r="B5421" s="417" t="s">
        <v>680</v>
      </c>
      <c r="C5421" s="83">
        <v>46024</v>
      </c>
      <c r="D5421" s="417" t="s">
        <v>686</v>
      </c>
      <c r="E5421">
        <v>1440</v>
      </c>
      <c r="F5421">
        <v>1</v>
      </c>
      <c r="G5421">
        <v>1440</v>
      </c>
      <c r="H5421">
        <v>0</v>
      </c>
      <c r="I5421">
        <v>33.081915669642903</v>
      </c>
    </row>
    <row r="5422" spans="1:9" x14ac:dyDescent="0.35">
      <c r="A5422" s="417" t="s">
        <v>846</v>
      </c>
      <c r="B5422" s="417" t="s">
        <v>691</v>
      </c>
      <c r="C5422" s="83">
        <v>46024</v>
      </c>
      <c r="D5422" s="417" t="s">
        <v>301</v>
      </c>
      <c r="E5422">
        <v>1358.4604999999999</v>
      </c>
      <c r="F5422">
        <v>107</v>
      </c>
      <c r="G5422">
        <v>12.695892523364501</v>
      </c>
      <c r="H5422">
        <v>1.28141666666667</v>
      </c>
      <c r="I5422">
        <v>73.972746906231194</v>
      </c>
    </row>
    <row r="5423" spans="1:9" x14ac:dyDescent="0.35">
      <c r="A5423" s="417" t="s">
        <v>846</v>
      </c>
      <c r="B5423" s="417" t="s">
        <v>691</v>
      </c>
      <c r="C5423" s="83">
        <v>46024</v>
      </c>
      <c r="D5423" s="417" t="s">
        <v>309</v>
      </c>
      <c r="E5423">
        <v>1341.2314833333301</v>
      </c>
      <c r="F5423">
        <v>104</v>
      </c>
      <c r="G5423">
        <v>12.8964565705128</v>
      </c>
      <c r="H5423">
        <v>0</v>
      </c>
      <c r="I5423">
        <v>63.514604139375201</v>
      </c>
    </row>
    <row r="5424" spans="1:9" x14ac:dyDescent="0.35">
      <c r="A5424" s="417" t="s">
        <v>846</v>
      </c>
      <c r="B5424" s="417" t="s">
        <v>691</v>
      </c>
      <c r="C5424" s="83">
        <v>46024</v>
      </c>
      <c r="D5424" s="417" t="s">
        <v>295</v>
      </c>
      <c r="E5424">
        <v>1322.7341166666699</v>
      </c>
      <c r="F5424">
        <v>95</v>
      </c>
      <c r="G5424">
        <v>13.923517017543899</v>
      </c>
      <c r="H5424">
        <v>0.77078333333333304</v>
      </c>
      <c r="I5424">
        <v>87.490082110008203</v>
      </c>
    </row>
    <row r="5425" spans="1:9" x14ac:dyDescent="0.35">
      <c r="A5425" s="417" t="s">
        <v>846</v>
      </c>
      <c r="B5425" s="417" t="s">
        <v>691</v>
      </c>
      <c r="C5425" s="83">
        <v>46024</v>
      </c>
      <c r="D5425" s="417" t="s">
        <v>305</v>
      </c>
      <c r="E5425">
        <v>1335.28213333333</v>
      </c>
      <c r="F5425">
        <v>90</v>
      </c>
      <c r="G5425">
        <v>14.8364681481481</v>
      </c>
      <c r="H5425">
        <v>2.8738000000000001</v>
      </c>
      <c r="I5425">
        <v>71.208169930880103</v>
      </c>
    </row>
    <row r="5426" spans="1:9" x14ac:dyDescent="0.35">
      <c r="A5426" s="417" t="s">
        <v>846</v>
      </c>
      <c r="B5426" s="417" t="s">
        <v>691</v>
      </c>
      <c r="C5426" s="83">
        <v>46024</v>
      </c>
      <c r="D5426" s="417" t="s">
        <v>299</v>
      </c>
      <c r="E5426">
        <v>1397.43795</v>
      </c>
      <c r="F5426">
        <v>69</v>
      </c>
      <c r="G5426">
        <v>20.2527239130435</v>
      </c>
      <c r="H5426">
        <v>1.4335</v>
      </c>
      <c r="I5426">
        <v>87.362028382533197</v>
      </c>
    </row>
    <row r="5427" spans="1:9" x14ac:dyDescent="0.35">
      <c r="A5427" s="417" t="s">
        <v>846</v>
      </c>
      <c r="B5427" s="417" t="s">
        <v>691</v>
      </c>
      <c r="C5427" s="83">
        <v>46024</v>
      </c>
      <c r="D5427" s="417" t="s">
        <v>342</v>
      </c>
      <c r="E5427">
        <v>1335.6811166666701</v>
      </c>
      <c r="F5427">
        <v>67</v>
      </c>
      <c r="G5427">
        <v>19.935539054726402</v>
      </c>
      <c r="H5427">
        <v>104.31888333333301</v>
      </c>
      <c r="I5427">
        <v>55.912698412698397</v>
      </c>
    </row>
    <row r="5428" spans="1:9" x14ac:dyDescent="0.35">
      <c r="A5428" s="417" t="s">
        <v>846</v>
      </c>
      <c r="B5428" s="417" t="s">
        <v>691</v>
      </c>
      <c r="C5428" s="83">
        <v>46024</v>
      </c>
      <c r="D5428" s="417" t="s">
        <v>303</v>
      </c>
      <c r="E5428">
        <v>1385.13355</v>
      </c>
      <c r="F5428">
        <v>50</v>
      </c>
      <c r="G5428">
        <v>27.702670999999999</v>
      </c>
      <c r="H5428">
        <v>0.18681666666666699</v>
      </c>
      <c r="I5428">
        <v>57.889019967869302</v>
      </c>
    </row>
    <row r="5429" spans="1:9" x14ac:dyDescent="0.35">
      <c r="A5429" s="417" t="s">
        <v>846</v>
      </c>
      <c r="B5429" s="417" t="s">
        <v>691</v>
      </c>
      <c r="C5429" s="83">
        <v>46024</v>
      </c>
      <c r="D5429" s="417" t="s">
        <v>310</v>
      </c>
      <c r="E5429">
        <v>1421.9707333333299</v>
      </c>
      <c r="F5429">
        <v>23</v>
      </c>
      <c r="G5429">
        <v>61.824814492753603</v>
      </c>
      <c r="H5429">
        <v>0</v>
      </c>
      <c r="I5429">
        <v>82.321893467832993</v>
      </c>
    </row>
    <row r="5430" spans="1:9" x14ac:dyDescent="0.35">
      <c r="A5430" s="417" t="s">
        <v>846</v>
      </c>
      <c r="B5430" s="417" t="s">
        <v>691</v>
      </c>
      <c r="C5430" s="83">
        <v>46024</v>
      </c>
      <c r="D5430" s="417" t="s">
        <v>313</v>
      </c>
      <c r="E5430">
        <v>1375.1038166666699</v>
      </c>
      <c r="F5430">
        <v>19</v>
      </c>
      <c r="G5430">
        <v>72.373885087719302</v>
      </c>
      <c r="H5430">
        <v>0</v>
      </c>
      <c r="I5430">
        <v>85.774595334918402</v>
      </c>
    </row>
    <row r="5431" spans="1:9" x14ac:dyDescent="0.35">
      <c r="A5431" s="417" t="s">
        <v>846</v>
      </c>
      <c r="B5431" s="417" t="s">
        <v>691</v>
      </c>
      <c r="C5431" s="83">
        <v>46024</v>
      </c>
      <c r="D5431" s="417" t="s">
        <v>314</v>
      </c>
      <c r="E5431">
        <v>1361.85433333333</v>
      </c>
      <c r="F5431">
        <v>6</v>
      </c>
      <c r="G5431">
        <v>226.975722222222</v>
      </c>
      <c r="H5431">
        <v>2.9978166666666701</v>
      </c>
      <c r="I5431">
        <v>70.573755674118999</v>
      </c>
    </row>
    <row r="5432" spans="1:9" x14ac:dyDescent="0.35">
      <c r="A5432" s="417" t="s">
        <v>846</v>
      </c>
      <c r="B5432" s="417" t="s">
        <v>691</v>
      </c>
      <c r="C5432" s="83">
        <v>46024</v>
      </c>
      <c r="D5432" s="417" t="s">
        <v>504</v>
      </c>
      <c r="E5432">
        <v>1440</v>
      </c>
      <c r="F5432">
        <v>1</v>
      </c>
      <c r="G5432">
        <v>1440</v>
      </c>
      <c r="H5432">
        <v>0</v>
      </c>
      <c r="I5432">
        <v>46.692592592592597</v>
      </c>
    </row>
    <row r="5433" spans="1:9" x14ac:dyDescent="0.35">
      <c r="A5433" s="417" t="s">
        <v>846</v>
      </c>
      <c r="B5433" s="417" t="s">
        <v>691</v>
      </c>
      <c r="C5433" s="83">
        <v>46024</v>
      </c>
      <c r="D5433" s="417" t="s">
        <v>317</v>
      </c>
      <c r="E5433">
        <v>1439.07755</v>
      </c>
      <c r="F5433">
        <v>1</v>
      </c>
      <c r="G5433">
        <v>1439.07755</v>
      </c>
      <c r="H5433">
        <v>0</v>
      </c>
      <c r="I5433">
        <v>54.212505781915702</v>
      </c>
    </row>
    <row r="5434" spans="1:9" x14ac:dyDescent="0.35">
      <c r="A5434" s="417" t="s">
        <v>846</v>
      </c>
      <c r="B5434" s="417" t="s">
        <v>676</v>
      </c>
      <c r="C5434" s="83">
        <v>46023</v>
      </c>
      <c r="D5434" s="417" t="s">
        <v>677</v>
      </c>
      <c r="E5434">
        <v>725.39203333333296</v>
      </c>
      <c r="F5434">
        <v>454</v>
      </c>
      <c r="G5434">
        <v>1.5977798091042601</v>
      </c>
      <c r="H5434">
        <v>206.58445</v>
      </c>
      <c r="I5434">
        <v>17.136666666666699</v>
      </c>
    </row>
    <row r="5435" spans="1:9" x14ac:dyDescent="0.35">
      <c r="A5435" s="417" t="s">
        <v>846</v>
      </c>
      <c r="B5435" s="417" t="s">
        <v>676</v>
      </c>
      <c r="C5435" s="83">
        <v>46023</v>
      </c>
      <c r="D5435" s="417" t="s">
        <v>679</v>
      </c>
      <c r="E5435">
        <v>1079.5118333333301</v>
      </c>
      <c r="F5435">
        <v>15</v>
      </c>
      <c r="G5435">
        <v>71.967455555555503</v>
      </c>
      <c r="H5435">
        <v>16.493166666666699</v>
      </c>
      <c r="I5435">
        <v>51.358188148659501</v>
      </c>
    </row>
    <row r="5436" spans="1:9" x14ac:dyDescent="0.35">
      <c r="A5436" s="417" t="s">
        <v>846</v>
      </c>
      <c r="B5436" s="417" t="s">
        <v>680</v>
      </c>
      <c r="C5436" s="83">
        <v>46023</v>
      </c>
      <c r="D5436" s="417" t="s">
        <v>681</v>
      </c>
      <c r="E5436">
        <v>1269.42151666667</v>
      </c>
      <c r="F5436">
        <v>144</v>
      </c>
      <c r="G5436">
        <v>8.8154271990740707</v>
      </c>
      <c r="H5436">
        <v>3.5002499999999999</v>
      </c>
      <c r="I5436">
        <v>53.393230172309501</v>
      </c>
    </row>
    <row r="5437" spans="1:9" x14ac:dyDescent="0.35">
      <c r="A5437" s="417" t="s">
        <v>846</v>
      </c>
      <c r="B5437" s="417" t="s">
        <v>680</v>
      </c>
      <c r="C5437" s="83">
        <v>46023</v>
      </c>
      <c r="D5437" s="417" t="s">
        <v>683</v>
      </c>
      <c r="E5437">
        <v>1232.7108333333299</v>
      </c>
      <c r="F5437">
        <v>94</v>
      </c>
      <c r="G5437">
        <v>13.113945035461001</v>
      </c>
      <c r="H5437">
        <v>2.82696666666667</v>
      </c>
      <c r="I5437">
        <v>52.188045334629699</v>
      </c>
    </row>
    <row r="5438" spans="1:9" x14ac:dyDescent="0.35">
      <c r="A5438" s="417" t="s">
        <v>846</v>
      </c>
      <c r="B5438" s="417" t="s">
        <v>680</v>
      </c>
      <c r="C5438" s="83">
        <v>46023</v>
      </c>
      <c r="D5438" s="417" t="s">
        <v>689</v>
      </c>
      <c r="E5438">
        <v>1322.84891666667</v>
      </c>
      <c r="F5438">
        <v>93</v>
      </c>
      <c r="G5438">
        <v>14.2241818996416</v>
      </c>
      <c r="H5438">
        <v>11.8374166666667</v>
      </c>
      <c r="I5438">
        <v>48.7970758485042</v>
      </c>
    </row>
    <row r="5439" spans="1:9" x14ac:dyDescent="0.35">
      <c r="A5439" s="417" t="s">
        <v>846</v>
      </c>
      <c r="B5439" s="417" t="s">
        <v>680</v>
      </c>
      <c r="C5439" s="83">
        <v>46023</v>
      </c>
      <c r="D5439" s="417" t="s">
        <v>682</v>
      </c>
      <c r="E5439">
        <v>1323.3958333333301</v>
      </c>
      <c r="F5439">
        <v>85</v>
      </c>
      <c r="G5439">
        <v>15.569362745097999</v>
      </c>
      <c r="H5439">
        <v>105.60361666666699</v>
      </c>
      <c r="I5439">
        <v>44.747023809523803</v>
      </c>
    </row>
    <row r="5440" spans="1:9" x14ac:dyDescent="0.35">
      <c r="A5440" s="417" t="s">
        <v>846</v>
      </c>
      <c r="B5440" s="417" t="s">
        <v>680</v>
      </c>
      <c r="C5440" s="83">
        <v>46023</v>
      </c>
      <c r="D5440" s="417" t="s">
        <v>684</v>
      </c>
      <c r="E5440">
        <v>1368.01121666667</v>
      </c>
      <c r="F5440">
        <v>82</v>
      </c>
      <c r="G5440">
        <v>16.683063617886202</v>
      </c>
      <c r="H5440">
        <v>7.6888166666666704</v>
      </c>
      <c r="I5440">
        <v>51.830029387322398</v>
      </c>
    </row>
    <row r="5441" spans="1:9" x14ac:dyDescent="0.35">
      <c r="A5441" s="417" t="s">
        <v>846</v>
      </c>
      <c r="B5441" s="417" t="s">
        <v>680</v>
      </c>
      <c r="C5441" s="83">
        <v>46023</v>
      </c>
      <c r="D5441" s="417" t="s">
        <v>685</v>
      </c>
      <c r="E5441">
        <v>1258.3705500000001</v>
      </c>
      <c r="F5441">
        <v>39</v>
      </c>
      <c r="G5441">
        <v>32.265911538461502</v>
      </c>
      <c r="H5441">
        <v>20.5001</v>
      </c>
      <c r="I5441">
        <v>38.7150386103798</v>
      </c>
    </row>
    <row r="5442" spans="1:9" x14ac:dyDescent="0.35">
      <c r="A5442" s="417" t="s">
        <v>846</v>
      </c>
      <c r="B5442" s="417" t="s">
        <v>680</v>
      </c>
      <c r="C5442" s="83">
        <v>46023</v>
      </c>
      <c r="D5442" s="417" t="s">
        <v>690</v>
      </c>
      <c r="E5442">
        <v>1382.7050666666701</v>
      </c>
      <c r="F5442">
        <v>30</v>
      </c>
      <c r="G5442">
        <v>46.090168888888897</v>
      </c>
      <c r="H5442">
        <v>10.82915</v>
      </c>
      <c r="I5442">
        <v>36.7596475979175</v>
      </c>
    </row>
    <row r="5443" spans="1:9" x14ac:dyDescent="0.35">
      <c r="A5443" s="417" t="s">
        <v>846</v>
      </c>
      <c r="B5443" s="417" t="s">
        <v>680</v>
      </c>
      <c r="C5443" s="83">
        <v>46023</v>
      </c>
      <c r="D5443" s="417" t="s">
        <v>688</v>
      </c>
      <c r="E5443">
        <v>1203.85058333333</v>
      </c>
      <c r="F5443">
        <v>15</v>
      </c>
      <c r="G5443">
        <v>80.256705555555598</v>
      </c>
      <c r="H5443">
        <v>10.5009</v>
      </c>
      <c r="I5443">
        <v>43.911853998147002</v>
      </c>
    </row>
    <row r="5444" spans="1:9" x14ac:dyDescent="0.35">
      <c r="A5444" s="417" t="s">
        <v>846</v>
      </c>
      <c r="B5444" s="417" t="s">
        <v>680</v>
      </c>
      <c r="C5444" s="83">
        <v>46023</v>
      </c>
      <c r="D5444" s="417" t="s">
        <v>687</v>
      </c>
      <c r="E5444">
        <v>1423.1534999999999</v>
      </c>
      <c r="F5444">
        <v>13</v>
      </c>
      <c r="G5444">
        <v>109.47334615384599</v>
      </c>
      <c r="H5444">
        <v>12.8344</v>
      </c>
      <c r="I5444">
        <v>41.633856584525702</v>
      </c>
    </row>
    <row r="5445" spans="1:9" x14ac:dyDescent="0.35">
      <c r="A5445" s="417" t="s">
        <v>846</v>
      </c>
      <c r="B5445" s="417" t="s">
        <v>680</v>
      </c>
      <c r="C5445" s="83">
        <v>46023</v>
      </c>
      <c r="D5445" s="417" t="s">
        <v>686</v>
      </c>
      <c r="E5445">
        <v>1218.0043499999999</v>
      </c>
      <c r="F5445">
        <v>1</v>
      </c>
      <c r="G5445">
        <v>1218.0043499999999</v>
      </c>
      <c r="H5445">
        <v>0</v>
      </c>
      <c r="I5445">
        <v>37.058531746031697</v>
      </c>
    </row>
    <row r="5446" spans="1:9" x14ac:dyDescent="0.35">
      <c r="A5446" s="417" t="s">
        <v>846</v>
      </c>
      <c r="B5446" s="417" t="s">
        <v>691</v>
      </c>
      <c r="C5446" s="83">
        <v>46023</v>
      </c>
      <c r="D5446" s="417" t="s">
        <v>309</v>
      </c>
      <c r="E5446">
        <v>1315.23416666667</v>
      </c>
      <c r="F5446">
        <v>125</v>
      </c>
      <c r="G5446">
        <v>10.5218733333333</v>
      </c>
      <c r="H5446">
        <v>0</v>
      </c>
      <c r="I5446">
        <v>66.683645791856804</v>
      </c>
    </row>
    <row r="5447" spans="1:9" x14ac:dyDescent="0.35">
      <c r="A5447" s="417" t="s">
        <v>846</v>
      </c>
      <c r="B5447" s="417" t="s">
        <v>691</v>
      </c>
      <c r="C5447" s="83">
        <v>46023</v>
      </c>
      <c r="D5447" s="417" t="s">
        <v>305</v>
      </c>
      <c r="E5447">
        <v>1306.4323833333301</v>
      </c>
      <c r="F5447">
        <v>103</v>
      </c>
      <c r="G5447">
        <v>12.6838095469256</v>
      </c>
      <c r="H5447">
        <v>0.38924999999999998</v>
      </c>
      <c r="I5447">
        <v>66.527954335899906</v>
      </c>
    </row>
    <row r="5448" spans="1:9" x14ac:dyDescent="0.35">
      <c r="A5448" s="417" t="s">
        <v>846</v>
      </c>
      <c r="B5448" s="417" t="s">
        <v>691</v>
      </c>
      <c r="C5448" s="83">
        <v>46023</v>
      </c>
      <c r="D5448" s="417" t="s">
        <v>299</v>
      </c>
      <c r="E5448">
        <v>1370.5953500000001</v>
      </c>
      <c r="F5448">
        <v>65</v>
      </c>
      <c r="G5448">
        <v>21.086082307692301</v>
      </c>
      <c r="H5448">
        <v>0.38834999999999997</v>
      </c>
      <c r="I5448">
        <v>69.150038563595501</v>
      </c>
    </row>
    <row r="5449" spans="1:9" x14ac:dyDescent="0.35">
      <c r="A5449" s="417" t="s">
        <v>846</v>
      </c>
      <c r="B5449" s="417" t="s">
        <v>691</v>
      </c>
      <c r="C5449" s="83">
        <v>46023</v>
      </c>
      <c r="D5449" s="417" t="s">
        <v>295</v>
      </c>
      <c r="E5449">
        <v>1373.4746500000001</v>
      </c>
      <c r="F5449">
        <v>60</v>
      </c>
      <c r="G5449">
        <v>22.891244166666699</v>
      </c>
      <c r="H5449">
        <v>0.31416666666666698</v>
      </c>
      <c r="I5449">
        <v>84.142868838822807</v>
      </c>
    </row>
    <row r="5450" spans="1:9" x14ac:dyDescent="0.35">
      <c r="A5450" s="417" t="s">
        <v>846</v>
      </c>
      <c r="B5450" s="417" t="s">
        <v>691</v>
      </c>
      <c r="C5450" s="83">
        <v>46023</v>
      </c>
      <c r="D5450" s="417" t="s">
        <v>301</v>
      </c>
      <c r="E5450">
        <v>1330.36115</v>
      </c>
      <c r="F5450">
        <v>59</v>
      </c>
      <c r="G5450">
        <v>22.5484940677966</v>
      </c>
      <c r="H5450">
        <v>1.60941666666667</v>
      </c>
      <c r="I5450">
        <v>76.107495702088002</v>
      </c>
    </row>
    <row r="5451" spans="1:9" x14ac:dyDescent="0.35">
      <c r="A5451" s="417" t="s">
        <v>846</v>
      </c>
      <c r="B5451" s="417" t="s">
        <v>691</v>
      </c>
      <c r="C5451" s="83">
        <v>46023</v>
      </c>
      <c r="D5451" s="417" t="s">
        <v>303</v>
      </c>
      <c r="E5451">
        <v>1339.71131666667</v>
      </c>
      <c r="F5451">
        <v>48</v>
      </c>
      <c r="G5451">
        <v>27.910652430555601</v>
      </c>
      <c r="H5451">
        <v>0.30458333333333298</v>
      </c>
      <c r="I5451">
        <v>62.798076251679703</v>
      </c>
    </row>
    <row r="5452" spans="1:9" x14ac:dyDescent="0.35">
      <c r="A5452" s="417" t="s">
        <v>846</v>
      </c>
      <c r="B5452" s="417" t="s">
        <v>691</v>
      </c>
      <c r="C5452" s="83">
        <v>46023</v>
      </c>
      <c r="D5452" s="417" t="s">
        <v>342</v>
      </c>
      <c r="E5452">
        <v>1342.6348166666701</v>
      </c>
      <c r="F5452">
        <v>40</v>
      </c>
      <c r="G5452">
        <v>33.565870416666698</v>
      </c>
      <c r="H5452">
        <v>58.530200000000001</v>
      </c>
      <c r="I5452">
        <v>34.5833333333333</v>
      </c>
    </row>
    <row r="5453" spans="1:9" x14ac:dyDescent="0.35">
      <c r="A5453" s="417" t="s">
        <v>846</v>
      </c>
      <c r="B5453" s="417" t="s">
        <v>691</v>
      </c>
      <c r="C5453" s="83">
        <v>46023</v>
      </c>
      <c r="D5453" s="417" t="s">
        <v>310</v>
      </c>
      <c r="E5453">
        <v>1372.7166</v>
      </c>
      <c r="F5453">
        <v>33</v>
      </c>
      <c r="G5453">
        <v>41.597472727272702</v>
      </c>
      <c r="H5453">
        <v>0.73304999999999998</v>
      </c>
      <c r="I5453">
        <v>86.450363033158595</v>
      </c>
    </row>
    <row r="5454" spans="1:9" x14ac:dyDescent="0.35">
      <c r="A5454" s="417" t="s">
        <v>846</v>
      </c>
      <c r="B5454" s="417" t="s">
        <v>691</v>
      </c>
      <c r="C5454" s="83">
        <v>46023</v>
      </c>
      <c r="D5454" s="417" t="s">
        <v>313</v>
      </c>
      <c r="E5454">
        <v>1301.9569166666699</v>
      </c>
      <c r="F5454">
        <v>29</v>
      </c>
      <c r="G5454">
        <v>44.895066091954</v>
      </c>
      <c r="H5454">
        <v>0</v>
      </c>
      <c r="I5454">
        <v>72.2922383886511</v>
      </c>
    </row>
    <row r="5455" spans="1:9" x14ac:dyDescent="0.35">
      <c r="A5455" s="417" t="s">
        <v>846</v>
      </c>
      <c r="B5455" s="417" t="s">
        <v>691</v>
      </c>
      <c r="C5455" s="83">
        <v>46023</v>
      </c>
      <c r="D5455" s="417" t="s">
        <v>314</v>
      </c>
      <c r="E5455">
        <v>1369.65951666667</v>
      </c>
      <c r="F5455">
        <v>25</v>
      </c>
      <c r="G5455">
        <v>54.786380666666702</v>
      </c>
      <c r="H5455">
        <v>0.58420000000000005</v>
      </c>
      <c r="I5455">
        <v>75.9574491742069</v>
      </c>
    </row>
    <row r="5456" spans="1:9" x14ac:dyDescent="0.35">
      <c r="A5456" s="417" t="s">
        <v>846</v>
      </c>
      <c r="B5456" s="417" t="s">
        <v>691</v>
      </c>
      <c r="C5456" s="83">
        <v>46023</v>
      </c>
      <c r="D5456" s="417" t="s">
        <v>317</v>
      </c>
      <c r="E5456">
        <v>1418.4897333333299</v>
      </c>
      <c r="F5456">
        <v>3</v>
      </c>
      <c r="G5456">
        <v>472.82991111111102</v>
      </c>
      <c r="H5456">
        <v>0.82976666666666699</v>
      </c>
      <c r="I5456">
        <v>58.064751656482599</v>
      </c>
    </row>
    <row r="5457" spans="1:9" x14ac:dyDescent="0.35">
      <c r="A5457" s="417" t="s">
        <v>846</v>
      </c>
      <c r="B5457" s="417" t="s">
        <v>691</v>
      </c>
      <c r="C5457" s="83">
        <v>46023</v>
      </c>
      <c r="D5457" s="417" t="s">
        <v>504</v>
      </c>
      <c r="E5457">
        <v>1440</v>
      </c>
      <c r="F5457">
        <v>1</v>
      </c>
      <c r="G5457">
        <v>1440</v>
      </c>
      <c r="H5457">
        <v>0</v>
      </c>
      <c r="I5457">
        <v>61.226157407407399</v>
      </c>
    </row>
    <row r="5458" spans="1:9" x14ac:dyDescent="0.35">
      <c r="A5458" s="417" t="s">
        <v>846</v>
      </c>
      <c r="B5458" s="417" t="s">
        <v>692</v>
      </c>
      <c r="C5458" s="83"/>
      <c r="D5458" s="417"/>
      <c r="E5458">
        <v>738737.39637733204</v>
      </c>
      <c r="F5458">
        <v>71818</v>
      </c>
      <c r="G5458">
        <v>10.2862429527045</v>
      </c>
      <c r="H5458">
        <v>43520.9958166668</v>
      </c>
      <c r="I5458">
        <v>55.705935779764602</v>
      </c>
    </row>
    <row r="5459" spans="1:9" x14ac:dyDescent="0.35">
      <c r="A5459" s="417" t="s">
        <v>846</v>
      </c>
      <c r="B5459" s="417" t="s">
        <v>692</v>
      </c>
      <c r="C5459" s="83"/>
      <c r="D5459" s="417"/>
      <c r="E5459">
        <v>738737.39637733204</v>
      </c>
      <c r="F5459">
        <v>71818</v>
      </c>
      <c r="G5459">
        <v>10.2862429527045</v>
      </c>
      <c r="H5459">
        <v>43520.9958166668</v>
      </c>
      <c r="I5459">
        <v>55.705935779764602</v>
      </c>
    </row>
    <row r="5460" spans="1:9" x14ac:dyDescent="0.35">
      <c r="A5460" s="417" t="s">
        <v>846</v>
      </c>
      <c r="B5460" s="417" t="s">
        <v>693</v>
      </c>
      <c r="C5460" s="83"/>
      <c r="D5460" s="417"/>
      <c r="E5460">
        <v>2973684.6391313099</v>
      </c>
      <c r="F5460">
        <v>62697</v>
      </c>
      <c r="G5460">
        <v>47.429456578964</v>
      </c>
      <c r="H5460">
        <v>24409.721563516501</v>
      </c>
      <c r="I5460">
        <v>60.227921403249503</v>
      </c>
    </row>
    <row r="5461" spans="1:9" x14ac:dyDescent="0.35">
      <c r="A5461" s="417" t="s">
        <v>846</v>
      </c>
      <c r="B5461" s="417" t="s">
        <v>693</v>
      </c>
      <c r="C5461" s="83"/>
      <c r="D5461" s="417"/>
      <c r="E5461">
        <v>2973684.6391313099</v>
      </c>
      <c r="F5461">
        <v>62697</v>
      </c>
      <c r="G5461">
        <v>47.429456578964</v>
      </c>
      <c r="H5461">
        <v>24409.721563516501</v>
      </c>
      <c r="I5461">
        <v>60.227921403249503</v>
      </c>
    </row>
    <row r="5462" spans="1:9" x14ac:dyDescent="0.35">
      <c r="A5462" s="417" t="s">
        <v>846</v>
      </c>
      <c r="B5462" s="417" t="s">
        <v>693</v>
      </c>
      <c r="C5462" s="83"/>
      <c r="D5462" s="417"/>
      <c r="E5462">
        <v>2973684.6391313099</v>
      </c>
      <c r="F5462">
        <v>62697</v>
      </c>
      <c r="G5462">
        <v>47.429456578964</v>
      </c>
      <c r="H5462">
        <v>24409.721563516501</v>
      </c>
      <c r="I5462">
        <v>60.227921403249503</v>
      </c>
    </row>
    <row r="5463" spans="1:9" x14ac:dyDescent="0.35">
      <c r="A5463" s="417" t="s">
        <v>846</v>
      </c>
      <c r="B5463" s="417" t="s">
        <v>693</v>
      </c>
      <c r="C5463" s="83"/>
      <c r="D5463" s="417"/>
      <c r="E5463">
        <v>2973684.6391313099</v>
      </c>
      <c r="F5463">
        <v>62697</v>
      </c>
      <c r="G5463">
        <v>47.429456578964</v>
      </c>
      <c r="H5463">
        <v>24409.721563516501</v>
      </c>
      <c r="I5463">
        <v>60.227921403249503</v>
      </c>
    </row>
    <row r="5464" spans="1:9" x14ac:dyDescent="0.35">
      <c r="A5464" s="417" t="s">
        <v>846</v>
      </c>
      <c r="B5464" s="417" t="s">
        <v>693</v>
      </c>
      <c r="C5464" s="83"/>
      <c r="D5464" s="417"/>
      <c r="E5464">
        <v>2973684.6391313099</v>
      </c>
      <c r="F5464">
        <v>62697</v>
      </c>
      <c r="G5464">
        <v>47.429456578964</v>
      </c>
      <c r="H5464">
        <v>24409.721563516501</v>
      </c>
      <c r="I5464">
        <v>60.227921403249503</v>
      </c>
    </row>
    <row r="5465" spans="1:9" x14ac:dyDescent="0.35">
      <c r="A5465" s="417" t="s">
        <v>846</v>
      </c>
      <c r="B5465" s="417" t="s">
        <v>694</v>
      </c>
      <c r="C5465" s="83"/>
      <c r="D5465" s="417"/>
      <c r="E5465">
        <v>3223669.3649609601</v>
      </c>
      <c r="F5465">
        <v>136077</v>
      </c>
      <c r="G5465">
        <v>23.690038470578799</v>
      </c>
      <c r="H5465">
        <v>21877.873381966601</v>
      </c>
      <c r="I5465">
        <v>61.268242385090403</v>
      </c>
    </row>
    <row r="5466" spans="1:9" x14ac:dyDescent="0.35">
      <c r="A5466" s="417" t="s">
        <v>846</v>
      </c>
      <c r="B5466" s="417" t="s">
        <v>694</v>
      </c>
      <c r="C5466" s="83"/>
      <c r="D5466" s="417"/>
      <c r="E5466">
        <v>3223669.3649609601</v>
      </c>
      <c r="F5466">
        <v>136077</v>
      </c>
      <c r="G5466">
        <v>23.690038470578799</v>
      </c>
      <c r="H5466">
        <v>21877.873381966601</v>
      </c>
      <c r="I5466">
        <v>61.268242385090403</v>
      </c>
    </row>
    <row r="5467" spans="1:9" x14ac:dyDescent="0.35">
      <c r="A5467" s="417" t="s">
        <v>846</v>
      </c>
      <c r="B5467" s="417" t="s">
        <v>694</v>
      </c>
      <c r="C5467" s="83"/>
      <c r="D5467" s="417"/>
      <c r="E5467">
        <v>3223669.3649609601</v>
      </c>
      <c r="F5467">
        <v>136077</v>
      </c>
      <c r="G5467">
        <v>23.690038470578799</v>
      </c>
      <c r="H5467">
        <v>21877.873381966601</v>
      </c>
      <c r="I5467">
        <v>61.268242385090403</v>
      </c>
    </row>
    <row r="5468" spans="1:9" x14ac:dyDescent="0.35">
      <c r="A5468" s="417" t="s">
        <v>846</v>
      </c>
      <c r="B5468" s="417" t="s">
        <v>694</v>
      </c>
      <c r="C5468" s="83"/>
      <c r="D5468" s="417"/>
      <c r="E5468">
        <v>3223669.3649609601</v>
      </c>
      <c r="F5468">
        <v>136077</v>
      </c>
      <c r="G5468">
        <v>23.690038470578799</v>
      </c>
      <c r="H5468">
        <v>21877.873381966601</v>
      </c>
      <c r="I5468">
        <v>61.268242385090403</v>
      </c>
    </row>
    <row r="5469" spans="1:9" x14ac:dyDescent="0.35">
      <c r="A5469" s="417" t="s">
        <v>846</v>
      </c>
      <c r="B5469" s="417" t="s">
        <v>694</v>
      </c>
      <c r="C5469" s="83"/>
      <c r="D5469" s="417"/>
      <c r="E5469">
        <v>3223669.3649609601</v>
      </c>
      <c r="F5469">
        <v>136077</v>
      </c>
      <c r="G5469">
        <v>23.690038470578799</v>
      </c>
      <c r="H5469">
        <v>21877.873381966601</v>
      </c>
      <c r="I5469">
        <v>61.268242385090403</v>
      </c>
    </row>
    <row r="5470" spans="1:9" x14ac:dyDescent="0.35">
      <c r="A5470" s="417" t="s">
        <v>846</v>
      </c>
      <c r="B5470" s="417" t="s">
        <v>694</v>
      </c>
      <c r="C5470" s="83"/>
      <c r="D5470" s="417"/>
      <c r="E5470">
        <v>3223669.3649609601</v>
      </c>
      <c r="F5470">
        <v>136077</v>
      </c>
      <c r="G5470">
        <v>23.690038470578799</v>
      </c>
      <c r="H5470">
        <v>21877.873381966601</v>
      </c>
      <c r="I5470">
        <v>61.268242385090403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89B59-F804-4EBA-BF19-F90EB93F93DA}">
  <dimension ref="A1:G10024"/>
  <sheetViews>
    <sheetView showGridLines="0" topLeftCell="A24" workbookViewId="0"/>
  </sheetViews>
  <sheetFormatPr defaultRowHeight="14.5" x14ac:dyDescent="0.35"/>
  <cols>
    <col min="1" max="1" width="30" bestFit="1" customWidth="1"/>
    <col min="2" max="2" width="21.26953125" bestFit="1" customWidth="1"/>
    <col min="3" max="3" width="23.6328125" bestFit="1" customWidth="1"/>
    <col min="4" max="4" width="15.6328125" bestFit="1" customWidth="1"/>
    <col min="5" max="5" width="40.26953125" bestFit="1" customWidth="1"/>
    <col min="6" max="6" width="7.81640625" bestFit="1" customWidth="1"/>
    <col min="7" max="7" width="27.7265625" bestFit="1" customWidth="1"/>
  </cols>
  <sheetData>
    <row r="1" spans="1:7" x14ac:dyDescent="0.35">
      <c r="A1" t="s">
        <v>667</v>
      </c>
      <c r="B1" t="s">
        <v>668</v>
      </c>
      <c r="C1" t="s">
        <v>669</v>
      </c>
      <c r="D1" t="s">
        <v>670</v>
      </c>
      <c r="E1" t="s">
        <v>695</v>
      </c>
      <c r="F1" t="s">
        <v>672</v>
      </c>
      <c r="G1" t="s">
        <v>696</v>
      </c>
    </row>
    <row r="2" spans="1:7" x14ac:dyDescent="0.35">
      <c r="A2" t="s">
        <v>847</v>
      </c>
      <c r="B2" t="s">
        <v>676</v>
      </c>
      <c r="C2" s="83">
        <v>46023</v>
      </c>
      <c r="D2" t="s">
        <v>679</v>
      </c>
      <c r="E2" t="s">
        <v>697</v>
      </c>
      <c r="F2">
        <v>29</v>
      </c>
      <c r="G2">
        <v>24.166049999999998</v>
      </c>
    </row>
    <row r="3" spans="1:7" x14ac:dyDescent="0.35">
      <c r="A3" t="s">
        <v>847</v>
      </c>
      <c r="B3" t="s">
        <v>676</v>
      </c>
      <c r="C3" s="83">
        <v>46023</v>
      </c>
      <c r="D3" t="s">
        <v>679</v>
      </c>
      <c r="E3" t="s">
        <v>698</v>
      </c>
      <c r="F3">
        <v>11</v>
      </c>
      <c r="G3">
        <v>86.499616666666697</v>
      </c>
    </row>
    <row r="4" spans="1:7" x14ac:dyDescent="0.35">
      <c r="A4" t="s">
        <v>847</v>
      </c>
      <c r="B4" t="s">
        <v>676</v>
      </c>
      <c r="C4" s="83">
        <v>46023</v>
      </c>
      <c r="D4" t="s">
        <v>679</v>
      </c>
      <c r="E4" t="s">
        <v>699</v>
      </c>
      <c r="F4">
        <v>10</v>
      </c>
      <c r="G4">
        <v>166.47890000000001</v>
      </c>
    </row>
    <row r="5" spans="1:7" x14ac:dyDescent="0.35">
      <c r="A5" t="s">
        <v>847</v>
      </c>
      <c r="B5" t="s">
        <v>676</v>
      </c>
      <c r="C5" s="83">
        <v>46024</v>
      </c>
      <c r="D5" t="s">
        <v>679</v>
      </c>
      <c r="E5" t="s">
        <v>700</v>
      </c>
      <c r="F5">
        <v>20</v>
      </c>
      <c r="G5">
        <v>23.3323</v>
      </c>
    </row>
    <row r="6" spans="1:7" x14ac:dyDescent="0.35">
      <c r="A6" t="s">
        <v>847</v>
      </c>
      <c r="B6" t="s">
        <v>676</v>
      </c>
      <c r="C6" s="83">
        <v>46024</v>
      </c>
      <c r="D6" t="s">
        <v>679</v>
      </c>
      <c r="E6" t="s">
        <v>697</v>
      </c>
      <c r="F6">
        <v>18</v>
      </c>
      <c r="G6">
        <v>11.3393333333333</v>
      </c>
    </row>
    <row r="7" spans="1:7" x14ac:dyDescent="0.35">
      <c r="A7" t="s">
        <v>847</v>
      </c>
      <c r="B7" t="s">
        <v>676</v>
      </c>
      <c r="C7" s="83">
        <v>46024</v>
      </c>
      <c r="D7" t="s">
        <v>679</v>
      </c>
      <c r="E7" t="s">
        <v>701</v>
      </c>
      <c r="F7">
        <v>9</v>
      </c>
      <c r="G7">
        <v>5.1628999999999996</v>
      </c>
    </row>
    <row r="8" spans="1:7" x14ac:dyDescent="0.35">
      <c r="A8" t="s">
        <v>847</v>
      </c>
      <c r="B8" t="s">
        <v>676</v>
      </c>
      <c r="C8" s="83">
        <v>46025</v>
      </c>
      <c r="D8" t="s">
        <v>679</v>
      </c>
      <c r="E8" t="s">
        <v>700</v>
      </c>
      <c r="F8">
        <v>15</v>
      </c>
      <c r="G8">
        <v>19.675633333333302</v>
      </c>
    </row>
    <row r="9" spans="1:7" x14ac:dyDescent="0.35">
      <c r="A9" t="s">
        <v>847</v>
      </c>
      <c r="B9" t="s">
        <v>676</v>
      </c>
      <c r="C9" s="83">
        <v>46025</v>
      </c>
      <c r="D9" t="s">
        <v>679</v>
      </c>
      <c r="E9" t="s">
        <v>697</v>
      </c>
      <c r="F9">
        <v>10</v>
      </c>
      <c r="G9">
        <v>10.169</v>
      </c>
    </row>
    <row r="10" spans="1:7" x14ac:dyDescent="0.35">
      <c r="A10" t="s">
        <v>847</v>
      </c>
      <c r="B10" t="s">
        <v>676</v>
      </c>
      <c r="C10" s="83">
        <v>46025</v>
      </c>
      <c r="D10" t="s">
        <v>679</v>
      </c>
      <c r="E10" t="s">
        <v>699</v>
      </c>
      <c r="F10">
        <v>4</v>
      </c>
      <c r="G10">
        <v>15.953433333333299</v>
      </c>
    </row>
    <row r="11" spans="1:7" x14ac:dyDescent="0.35">
      <c r="A11" t="s">
        <v>847</v>
      </c>
      <c r="B11" t="s">
        <v>676</v>
      </c>
      <c r="C11" s="83">
        <v>46026</v>
      </c>
      <c r="D11" t="s">
        <v>679</v>
      </c>
      <c r="E11" t="s">
        <v>700</v>
      </c>
      <c r="F11">
        <v>11</v>
      </c>
      <c r="G11">
        <v>18.3310833333333</v>
      </c>
    </row>
    <row r="12" spans="1:7" x14ac:dyDescent="0.35">
      <c r="A12" t="s">
        <v>847</v>
      </c>
      <c r="B12" t="s">
        <v>676</v>
      </c>
      <c r="C12" s="83">
        <v>46026</v>
      </c>
      <c r="D12" t="s">
        <v>679</v>
      </c>
      <c r="E12" t="s">
        <v>698</v>
      </c>
      <c r="F12">
        <v>9</v>
      </c>
      <c r="G12">
        <v>4.1731666666666696</v>
      </c>
    </row>
    <row r="13" spans="1:7" x14ac:dyDescent="0.35">
      <c r="A13" t="s">
        <v>847</v>
      </c>
      <c r="B13" t="s">
        <v>676</v>
      </c>
      <c r="C13" s="83">
        <v>46026</v>
      </c>
      <c r="D13" t="s">
        <v>679</v>
      </c>
      <c r="E13" t="s">
        <v>699</v>
      </c>
      <c r="F13">
        <v>9</v>
      </c>
      <c r="G13">
        <v>159.54024999999999</v>
      </c>
    </row>
    <row r="14" spans="1:7" x14ac:dyDescent="0.35">
      <c r="A14" t="s">
        <v>847</v>
      </c>
      <c r="B14" t="s">
        <v>676</v>
      </c>
      <c r="C14" s="83">
        <v>46027</v>
      </c>
      <c r="D14" t="s">
        <v>679</v>
      </c>
      <c r="E14" t="s">
        <v>700</v>
      </c>
      <c r="F14">
        <v>26</v>
      </c>
      <c r="G14">
        <v>27.676950000000001</v>
      </c>
    </row>
    <row r="15" spans="1:7" x14ac:dyDescent="0.35">
      <c r="A15" t="s">
        <v>847</v>
      </c>
      <c r="B15" t="s">
        <v>676</v>
      </c>
      <c r="C15" s="83">
        <v>46027</v>
      </c>
      <c r="D15" t="s">
        <v>679</v>
      </c>
      <c r="E15" t="s">
        <v>698</v>
      </c>
      <c r="F15">
        <v>9</v>
      </c>
      <c r="G15">
        <v>4.9933333333333296</v>
      </c>
    </row>
    <row r="16" spans="1:7" x14ac:dyDescent="0.35">
      <c r="A16" t="s">
        <v>847</v>
      </c>
      <c r="B16" t="s">
        <v>676</v>
      </c>
      <c r="C16" s="83">
        <v>46027</v>
      </c>
      <c r="D16" t="s">
        <v>679</v>
      </c>
      <c r="E16" t="s">
        <v>702</v>
      </c>
      <c r="F16">
        <v>7</v>
      </c>
      <c r="G16">
        <v>6.1733000000000002</v>
      </c>
    </row>
    <row r="17" spans="1:7" x14ac:dyDescent="0.35">
      <c r="A17" t="s">
        <v>847</v>
      </c>
      <c r="B17" t="s">
        <v>676</v>
      </c>
      <c r="C17" s="83">
        <v>46028</v>
      </c>
      <c r="D17" t="s">
        <v>679</v>
      </c>
      <c r="E17" t="s">
        <v>700</v>
      </c>
      <c r="F17">
        <v>29</v>
      </c>
      <c r="G17">
        <v>28.678183333333301</v>
      </c>
    </row>
    <row r="18" spans="1:7" x14ac:dyDescent="0.35">
      <c r="A18" t="s">
        <v>847</v>
      </c>
      <c r="B18" t="s">
        <v>676</v>
      </c>
      <c r="C18" s="83">
        <v>46028</v>
      </c>
      <c r="D18" t="s">
        <v>679</v>
      </c>
      <c r="E18" t="s">
        <v>702</v>
      </c>
      <c r="F18">
        <v>7</v>
      </c>
      <c r="G18">
        <v>1.83345</v>
      </c>
    </row>
    <row r="19" spans="1:7" x14ac:dyDescent="0.35">
      <c r="A19" t="s">
        <v>847</v>
      </c>
      <c r="B19" t="s">
        <v>676</v>
      </c>
      <c r="C19" s="83">
        <v>46028</v>
      </c>
      <c r="D19" t="s">
        <v>679</v>
      </c>
      <c r="E19" t="s">
        <v>697</v>
      </c>
      <c r="F19">
        <v>4</v>
      </c>
      <c r="G19">
        <v>1.99925</v>
      </c>
    </row>
    <row r="20" spans="1:7" x14ac:dyDescent="0.35">
      <c r="A20" t="s">
        <v>847</v>
      </c>
      <c r="B20" t="s">
        <v>676</v>
      </c>
      <c r="C20" s="83">
        <v>46029</v>
      </c>
      <c r="D20" t="s">
        <v>679</v>
      </c>
      <c r="E20" t="s">
        <v>700</v>
      </c>
      <c r="F20">
        <v>12</v>
      </c>
      <c r="G20">
        <v>12.5104333333333</v>
      </c>
    </row>
    <row r="21" spans="1:7" x14ac:dyDescent="0.35">
      <c r="A21" t="s">
        <v>847</v>
      </c>
      <c r="B21" t="s">
        <v>676</v>
      </c>
      <c r="C21" s="83">
        <v>46029</v>
      </c>
      <c r="D21" t="s">
        <v>679</v>
      </c>
      <c r="E21" t="s">
        <v>702</v>
      </c>
      <c r="F21">
        <v>6</v>
      </c>
      <c r="G21">
        <v>1.4979833333333299</v>
      </c>
    </row>
    <row r="22" spans="1:7" x14ac:dyDescent="0.35">
      <c r="A22" t="s">
        <v>847</v>
      </c>
      <c r="B22" t="s">
        <v>676</v>
      </c>
      <c r="C22" s="83">
        <v>46029</v>
      </c>
      <c r="D22" t="s">
        <v>679</v>
      </c>
      <c r="E22" t="s">
        <v>698</v>
      </c>
      <c r="F22">
        <v>6</v>
      </c>
      <c r="G22">
        <v>148.84661666666699</v>
      </c>
    </row>
    <row r="23" spans="1:7" x14ac:dyDescent="0.35">
      <c r="A23" t="s">
        <v>847</v>
      </c>
      <c r="B23" t="s">
        <v>676</v>
      </c>
      <c r="C23" s="83">
        <v>46030</v>
      </c>
      <c r="D23" t="s">
        <v>679</v>
      </c>
      <c r="E23" t="s">
        <v>700</v>
      </c>
      <c r="F23">
        <v>24</v>
      </c>
      <c r="G23">
        <v>28.170500000000001</v>
      </c>
    </row>
    <row r="24" spans="1:7" x14ac:dyDescent="0.35">
      <c r="A24" t="s">
        <v>847</v>
      </c>
      <c r="B24" t="s">
        <v>676</v>
      </c>
      <c r="C24" s="83">
        <v>46030</v>
      </c>
      <c r="D24" t="s">
        <v>679</v>
      </c>
      <c r="E24" t="s">
        <v>702</v>
      </c>
      <c r="F24">
        <v>7</v>
      </c>
      <c r="G24">
        <v>3.5102166666666701</v>
      </c>
    </row>
    <row r="25" spans="1:7" x14ac:dyDescent="0.35">
      <c r="A25" t="s">
        <v>847</v>
      </c>
      <c r="B25" t="s">
        <v>676</v>
      </c>
      <c r="C25" s="83">
        <v>46030</v>
      </c>
      <c r="D25" t="s">
        <v>679</v>
      </c>
      <c r="E25" t="s">
        <v>697</v>
      </c>
      <c r="F25">
        <v>5</v>
      </c>
      <c r="G25">
        <v>1.84015</v>
      </c>
    </row>
    <row r="26" spans="1:7" x14ac:dyDescent="0.35">
      <c r="A26" t="s">
        <v>847</v>
      </c>
      <c r="B26" t="s">
        <v>676</v>
      </c>
      <c r="C26" s="83">
        <v>46031</v>
      </c>
      <c r="D26" t="s">
        <v>679</v>
      </c>
      <c r="E26" t="s">
        <v>700</v>
      </c>
      <c r="F26">
        <v>25</v>
      </c>
      <c r="G26">
        <v>26.507633333333299</v>
      </c>
    </row>
    <row r="27" spans="1:7" x14ac:dyDescent="0.35">
      <c r="A27" t="s">
        <v>847</v>
      </c>
      <c r="B27" t="s">
        <v>676</v>
      </c>
      <c r="C27" s="83">
        <v>46031</v>
      </c>
      <c r="D27" t="s">
        <v>679</v>
      </c>
      <c r="E27" t="s">
        <v>702</v>
      </c>
      <c r="F27">
        <v>18</v>
      </c>
      <c r="G27">
        <v>8.5192666666666703</v>
      </c>
    </row>
    <row r="28" spans="1:7" x14ac:dyDescent="0.35">
      <c r="A28" t="s">
        <v>847</v>
      </c>
      <c r="B28" t="s">
        <v>676</v>
      </c>
      <c r="C28" s="83">
        <v>46031</v>
      </c>
      <c r="D28" t="s">
        <v>679</v>
      </c>
      <c r="E28" t="s">
        <v>698</v>
      </c>
      <c r="F28">
        <v>9</v>
      </c>
      <c r="G28">
        <v>13.9938</v>
      </c>
    </row>
    <row r="29" spans="1:7" x14ac:dyDescent="0.35">
      <c r="A29" t="s">
        <v>847</v>
      </c>
      <c r="B29" t="s">
        <v>676</v>
      </c>
      <c r="C29" s="83">
        <v>46032</v>
      </c>
      <c r="D29" t="s">
        <v>679</v>
      </c>
      <c r="E29" t="s">
        <v>698</v>
      </c>
      <c r="F29">
        <v>17</v>
      </c>
      <c r="G29">
        <v>15.0987333333333</v>
      </c>
    </row>
    <row r="30" spans="1:7" x14ac:dyDescent="0.35">
      <c r="A30" t="s">
        <v>847</v>
      </c>
      <c r="B30" t="s">
        <v>676</v>
      </c>
      <c r="C30" s="83">
        <v>46032</v>
      </c>
      <c r="D30" t="s">
        <v>679</v>
      </c>
      <c r="E30" t="s">
        <v>700</v>
      </c>
      <c r="F30">
        <v>17</v>
      </c>
      <c r="G30">
        <v>17.700333333333301</v>
      </c>
    </row>
    <row r="31" spans="1:7" x14ac:dyDescent="0.35">
      <c r="A31" t="s">
        <v>847</v>
      </c>
      <c r="B31" t="s">
        <v>676</v>
      </c>
      <c r="C31" s="83">
        <v>46032</v>
      </c>
      <c r="D31" t="s">
        <v>679</v>
      </c>
      <c r="E31" t="s">
        <v>702</v>
      </c>
      <c r="F31">
        <v>7</v>
      </c>
      <c r="G31">
        <v>2.6685333333333299</v>
      </c>
    </row>
    <row r="32" spans="1:7" x14ac:dyDescent="0.35">
      <c r="A32" t="s">
        <v>847</v>
      </c>
      <c r="B32" t="s">
        <v>676</v>
      </c>
      <c r="C32" s="83">
        <v>46033</v>
      </c>
      <c r="D32" t="s">
        <v>679</v>
      </c>
      <c r="E32" t="s">
        <v>700</v>
      </c>
      <c r="F32">
        <v>28</v>
      </c>
      <c r="G32">
        <v>32.375050000000002</v>
      </c>
    </row>
    <row r="33" spans="1:7" x14ac:dyDescent="0.35">
      <c r="A33" t="s">
        <v>847</v>
      </c>
      <c r="B33" t="s">
        <v>676</v>
      </c>
      <c r="C33" s="83">
        <v>46033</v>
      </c>
      <c r="D33" t="s">
        <v>679</v>
      </c>
      <c r="E33" t="s">
        <v>697</v>
      </c>
      <c r="F33">
        <v>28</v>
      </c>
      <c r="G33">
        <v>20.489550000000001</v>
      </c>
    </row>
    <row r="34" spans="1:7" x14ac:dyDescent="0.35">
      <c r="A34" t="s">
        <v>847</v>
      </c>
      <c r="B34" t="s">
        <v>676</v>
      </c>
      <c r="C34" s="83">
        <v>46033</v>
      </c>
      <c r="D34" t="s">
        <v>679</v>
      </c>
      <c r="E34" t="s">
        <v>702</v>
      </c>
      <c r="F34">
        <v>13</v>
      </c>
      <c r="G34">
        <v>4.1799666666666697</v>
      </c>
    </row>
    <row r="35" spans="1:7" x14ac:dyDescent="0.35">
      <c r="A35" t="s">
        <v>847</v>
      </c>
      <c r="B35" t="s">
        <v>676</v>
      </c>
      <c r="C35" s="83">
        <v>46034</v>
      </c>
      <c r="D35" t="s">
        <v>679</v>
      </c>
      <c r="E35" t="s">
        <v>700</v>
      </c>
      <c r="F35">
        <v>14</v>
      </c>
      <c r="G35">
        <v>20.495049999999999</v>
      </c>
    </row>
    <row r="36" spans="1:7" x14ac:dyDescent="0.35">
      <c r="A36" t="s">
        <v>847</v>
      </c>
      <c r="B36" t="s">
        <v>676</v>
      </c>
      <c r="C36" s="83">
        <v>46034</v>
      </c>
      <c r="D36" t="s">
        <v>679</v>
      </c>
      <c r="E36" t="s">
        <v>697</v>
      </c>
      <c r="F36">
        <v>9</v>
      </c>
      <c r="G36">
        <v>9.1620333333333299</v>
      </c>
    </row>
    <row r="37" spans="1:7" x14ac:dyDescent="0.35">
      <c r="A37" t="s">
        <v>847</v>
      </c>
      <c r="B37" t="s">
        <v>676</v>
      </c>
      <c r="C37" s="83">
        <v>46034</v>
      </c>
      <c r="D37" t="s">
        <v>679</v>
      </c>
      <c r="E37" t="s">
        <v>702</v>
      </c>
      <c r="F37">
        <v>3</v>
      </c>
      <c r="G37">
        <v>1.1632833333333299</v>
      </c>
    </row>
    <row r="38" spans="1:7" x14ac:dyDescent="0.35">
      <c r="A38" t="s">
        <v>847</v>
      </c>
      <c r="B38" t="s">
        <v>676</v>
      </c>
      <c r="C38" s="83">
        <v>46035</v>
      </c>
      <c r="D38" t="s">
        <v>679</v>
      </c>
      <c r="E38" t="s">
        <v>697</v>
      </c>
      <c r="F38">
        <v>22</v>
      </c>
      <c r="G38">
        <v>14.002700000000001</v>
      </c>
    </row>
    <row r="39" spans="1:7" x14ac:dyDescent="0.35">
      <c r="A39" t="s">
        <v>847</v>
      </c>
      <c r="B39" t="s">
        <v>676</v>
      </c>
      <c r="C39" s="83">
        <v>46035</v>
      </c>
      <c r="D39" t="s">
        <v>679</v>
      </c>
      <c r="E39" t="s">
        <v>700</v>
      </c>
      <c r="F39">
        <v>13</v>
      </c>
      <c r="G39">
        <v>15.49005</v>
      </c>
    </row>
    <row r="40" spans="1:7" x14ac:dyDescent="0.35">
      <c r="A40" t="s">
        <v>847</v>
      </c>
      <c r="B40" t="s">
        <v>676</v>
      </c>
      <c r="C40" s="83">
        <v>46035</v>
      </c>
      <c r="D40" t="s">
        <v>679</v>
      </c>
      <c r="E40" t="s">
        <v>702</v>
      </c>
      <c r="F40">
        <v>9</v>
      </c>
      <c r="G40">
        <v>4.3377333333333299</v>
      </c>
    </row>
    <row r="41" spans="1:7" x14ac:dyDescent="0.35">
      <c r="A41" t="s">
        <v>847</v>
      </c>
      <c r="B41" t="s">
        <v>676</v>
      </c>
      <c r="C41" s="83">
        <v>46036</v>
      </c>
      <c r="D41" t="s">
        <v>679</v>
      </c>
      <c r="E41" t="s">
        <v>700</v>
      </c>
      <c r="F41">
        <v>24</v>
      </c>
      <c r="G41">
        <v>31.3319166666667</v>
      </c>
    </row>
    <row r="42" spans="1:7" x14ac:dyDescent="0.35">
      <c r="A42" t="s">
        <v>847</v>
      </c>
      <c r="B42" t="s">
        <v>676</v>
      </c>
      <c r="C42" s="83">
        <v>46036</v>
      </c>
      <c r="D42" t="s">
        <v>679</v>
      </c>
      <c r="E42" t="s">
        <v>697</v>
      </c>
      <c r="F42">
        <v>9</v>
      </c>
      <c r="G42">
        <v>9.0075166666666693</v>
      </c>
    </row>
    <row r="43" spans="1:7" x14ac:dyDescent="0.35">
      <c r="A43" t="s">
        <v>847</v>
      </c>
      <c r="B43" t="s">
        <v>676</v>
      </c>
      <c r="C43" s="83">
        <v>46036</v>
      </c>
      <c r="D43" t="s">
        <v>679</v>
      </c>
      <c r="E43" t="s">
        <v>702</v>
      </c>
      <c r="F43">
        <v>8</v>
      </c>
      <c r="G43">
        <v>7.8429333333333302</v>
      </c>
    </row>
    <row r="44" spans="1:7" x14ac:dyDescent="0.35">
      <c r="A44" t="s">
        <v>847</v>
      </c>
      <c r="B44" t="s">
        <v>676</v>
      </c>
      <c r="C44" s="83">
        <v>46037</v>
      </c>
      <c r="D44" t="s">
        <v>679</v>
      </c>
      <c r="E44" t="s">
        <v>697</v>
      </c>
      <c r="F44">
        <v>28</v>
      </c>
      <c r="G44">
        <v>27.325133333333302</v>
      </c>
    </row>
    <row r="45" spans="1:7" x14ac:dyDescent="0.35">
      <c r="A45" t="s">
        <v>847</v>
      </c>
      <c r="B45" t="s">
        <v>676</v>
      </c>
      <c r="C45" s="83">
        <v>46037</v>
      </c>
      <c r="D45" t="s">
        <v>679</v>
      </c>
      <c r="E45" t="s">
        <v>700</v>
      </c>
      <c r="F45">
        <v>26</v>
      </c>
      <c r="G45">
        <v>27.521899999999999</v>
      </c>
    </row>
    <row r="46" spans="1:7" x14ac:dyDescent="0.35">
      <c r="A46" t="s">
        <v>847</v>
      </c>
      <c r="B46" t="s">
        <v>676</v>
      </c>
      <c r="C46" s="83">
        <v>46037</v>
      </c>
      <c r="D46" t="s">
        <v>679</v>
      </c>
      <c r="E46" t="s">
        <v>698</v>
      </c>
      <c r="F46">
        <v>8</v>
      </c>
      <c r="G46">
        <v>3.8285499999999999</v>
      </c>
    </row>
    <row r="47" spans="1:7" x14ac:dyDescent="0.35">
      <c r="A47" t="s">
        <v>847</v>
      </c>
      <c r="B47" t="s">
        <v>676</v>
      </c>
      <c r="C47" s="83">
        <v>46038</v>
      </c>
      <c r="D47" t="s">
        <v>679</v>
      </c>
      <c r="E47" t="s">
        <v>700</v>
      </c>
      <c r="F47">
        <v>23</v>
      </c>
      <c r="G47">
        <v>20.001083333333298</v>
      </c>
    </row>
    <row r="48" spans="1:7" x14ac:dyDescent="0.35">
      <c r="A48" t="s">
        <v>847</v>
      </c>
      <c r="B48" t="s">
        <v>676</v>
      </c>
      <c r="C48" s="83">
        <v>46038</v>
      </c>
      <c r="D48" t="s">
        <v>679</v>
      </c>
      <c r="E48" t="s">
        <v>697</v>
      </c>
      <c r="F48">
        <v>20</v>
      </c>
      <c r="G48">
        <v>20.017600000000002</v>
      </c>
    </row>
    <row r="49" spans="1:7" x14ac:dyDescent="0.35">
      <c r="A49" t="s">
        <v>847</v>
      </c>
      <c r="B49" t="s">
        <v>676</v>
      </c>
      <c r="C49" s="83">
        <v>46038</v>
      </c>
      <c r="D49" t="s">
        <v>679</v>
      </c>
      <c r="E49" t="s">
        <v>702</v>
      </c>
      <c r="F49">
        <v>8</v>
      </c>
      <c r="G49">
        <v>3.1629999999999998</v>
      </c>
    </row>
    <row r="50" spans="1:7" x14ac:dyDescent="0.35">
      <c r="A50" t="s">
        <v>847</v>
      </c>
      <c r="B50" t="s">
        <v>676</v>
      </c>
      <c r="C50" s="83">
        <v>46039</v>
      </c>
      <c r="D50" t="s">
        <v>679</v>
      </c>
      <c r="E50" t="s">
        <v>700</v>
      </c>
      <c r="F50">
        <v>21</v>
      </c>
      <c r="G50">
        <v>23.3278833333333</v>
      </c>
    </row>
    <row r="51" spans="1:7" x14ac:dyDescent="0.35">
      <c r="A51" t="s">
        <v>847</v>
      </c>
      <c r="B51" t="s">
        <v>676</v>
      </c>
      <c r="C51" s="83">
        <v>46039</v>
      </c>
      <c r="D51" t="s">
        <v>679</v>
      </c>
      <c r="E51" t="s">
        <v>697</v>
      </c>
      <c r="F51">
        <v>18</v>
      </c>
      <c r="G51">
        <v>20.335833333333301</v>
      </c>
    </row>
    <row r="52" spans="1:7" x14ac:dyDescent="0.35">
      <c r="A52" t="s">
        <v>847</v>
      </c>
      <c r="B52" t="s">
        <v>676</v>
      </c>
      <c r="C52" s="83">
        <v>46039</v>
      </c>
      <c r="D52" t="s">
        <v>679</v>
      </c>
      <c r="E52" t="s">
        <v>702</v>
      </c>
      <c r="F52">
        <v>8</v>
      </c>
      <c r="G52">
        <v>3.3307166666666701</v>
      </c>
    </row>
    <row r="53" spans="1:7" x14ac:dyDescent="0.35">
      <c r="A53" t="s">
        <v>847</v>
      </c>
      <c r="B53" t="s">
        <v>676</v>
      </c>
      <c r="C53" s="83">
        <v>46040</v>
      </c>
      <c r="D53" t="s">
        <v>679</v>
      </c>
      <c r="E53" t="s">
        <v>700</v>
      </c>
      <c r="F53">
        <v>25</v>
      </c>
      <c r="G53">
        <v>22.990816666666699</v>
      </c>
    </row>
    <row r="54" spans="1:7" x14ac:dyDescent="0.35">
      <c r="A54" t="s">
        <v>847</v>
      </c>
      <c r="B54" t="s">
        <v>676</v>
      </c>
      <c r="C54" s="83">
        <v>46040</v>
      </c>
      <c r="D54" t="s">
        <v>679</v>
      </c>
      <c r="E54" t="s">
        <v>697</v>
      </c>
      <c r="F54">
        <v>21</v>
      </c>
      <c r="G54">
        <v>13.1623</v>
      </c>
    </row>
    <row r="55" spans="1:7" x14ac:dyDescent="0.35">
      <c r="A55" t="s">
        <v>847</v>
      </c>
      <c r="B55" t="s">
        <v>676</v>
      </c>
      <c r="C55" s="83">
        <v>46040</v>
      </c>
      <c r="D55" t="s">
        <v>679</v>
      </c>
      <c r="E55" t="s">
        <v>702</v>
      </c>
      <c r="F55">
        <v>12</v>
      </c>
      <c r="G55">
        <v>4.1632833333333297</v>
      </c>
    </row>
    <row r="56" spans="1:7" x14ac:dyDescent="0.35">
      <c r="A56" t="s">
        <v>847</v>
      </c>
      <c r="B56" t="s">
        <v>676</v>
      </c>
      <c r="C56" s="83">
        <v>46041</v>
      </c>
      <c r="D56" t="s">
        <v>679</v>
      </c>
      <c r="E56" t="s">
        <v>700</v>
      </c>
      <c r="F56">
        <v>21</v>
      </c>
      <c r="G56">
        <v>19.0217833333333</v>
      </c>
    </row>
    <row r="57" spans="1:7" x14ac:dyDescent="0.35">
      <c r="A57" t="s">
        <v>847</v>
      </c>
      <c r="B57" t="s">
        <v>676</v>
      </c>
      <c r="C57" s="83">
        <v>46041</v>
      </c>
      <c r="D57" t="s">
        <v>679</v>
      </c>
      <c r="E57" t="s">
        <v>698</v>
      </c>
      <c r="F57">
        <v>12</v>
      </c>
      <c r="G57">
        <v>21.671216666666702</v>
      </c>
    </row>
    <row r="58" spans="1:7" x14ac:dyDescent="0.35">
      <c r="A58" t="s">
        <v>847</v>
      </c>
      <c r="B58" t="s">
        <v>676</v>
      </c>
      <c r="C58" s="83">
        <v>46041</v>
      </c>
      <c r="D58" t="s">
        <v>679</v>
      </c>
      <c r="E58" t="s">
        <v>699</v>
      </c>
      <c r="F58">
        <v>7</v>
      </c>
      <c r="G58">
        <v>52.667400000000001</v>
      </c>
    </row>
    <row r="59" spans="1:7" x14ac:dyDescent="0.35">
      <c r="A59" t="s">
        <v>847</v>
      </c>
      <c r="B59" t="s">
        <v>676</v>
      </c>
      <c r="C59" s="83">
        <v>46042</v>
      </c>
      <c r="D59" t="s">
        <v>679</v>
      </c>
      <c r="E59" t="s">
        <v>700</v>
      </c>
      <c r="F59">
        <v>23</v>
      </c>
      <c r="G59">
        <v>22.970849999999999</v>
      </c>
    </row>
    <row r="60" spans="1:7" x14ac:dyDescent="0.35">
      <c r="A60" t="s">
        <v>847</v>
      </c>
      <c r="B60" t="s">
        <v>676</v>
      </c>
      <c r="C60" s="83">
        <v>46042</v>
      </c>
      <c r="D60" t="s">
        <v>679</v>
      </c>
      <c r="E60" t="s">
        <v>697</v>
      </c>
      <c r="F60">
        <v>8</v>
      </c>
      <c r="G60">
        <v>6.50728333333333</v>
      </c>
    </row>
    <row r="61" spans="1:7" x14ac:dyDescent="0.35">
      <c r="A61" t="s">
        <v>847</v>
      </c>
      <c r="B61" t="s">
        <v>676</v>
      </c>
      <c r="C61" s="83">
        <v>46042</v>
      </c>
      <c r="D61" t="s">
        <v>679</v>
      </c>
      <c r="E61" t="s">
        <v>702</v>
      </c>
      <c r="F61">
        <v>8</v>
      </c>
      <c r="G61">
        <v>3.6667333333333301</v>
      </c>
    </row>
    <row r="62" spans="1:7" x14ac:dyDescent="0.35">
      <c r="A62" t="s">
        <v>847</v>
      </c>
      <c r="B62" t="s">
        <v>676</v>
      </c>
      <c r="C62" s="83">
        <v>46043</v>
      </c>
      <c r="D62" t="s">
        <v>679</v>
      </c>
      <c r="E62" t="s">
        <v>700</v>
      </c>
      <c r="F62">
        <v>11</v>
      </c>
      <c r="G62">
        <v>10.676816666666699</v>
      </c>
    </row>
    <row r="63" spans="1:7" x14ac:dyDescent="0.35">
      <c r="A63" t="s">
        <v>847</v>
      </c>
      <c r="B63" t="s">
        <v>676</v>
      </c>
      <c r="C63" s="83">
        <v>46043</v>
      </c>
      <c r="D63" t="s">
        <v>679</v>
      </c>
      <c r="E63" t="s">
        <v>702</v>
      </c>
      <c r="F63">
        <v>8</v>
      </c>
      <c r="G63">
        <v>3.3311500000000001</v>
      </c>
    </row>
    <row r="64" spans="1:7" x14ac:dyDescent="0.35">
      <c r="A64" t="s">
        <v>847</v>
      </c>
      <c r="B64" t="s">
        <v>676</v>
      </c>
      <c r="C64" s="83">
        <v>46043</v>
      </c>
      <c r="D64" t="s">
        <v>679</v>
      </c>
      <c r="E64" t="s">
        <v>703</v>
      </c>
      <c r="F64">
        <v>5</v>
      </c>
      <c r="G64">
        <v>4.3277000000000001</v>
      </c>
    </row>
    <row r="65" spans="1:7" x14ac:dyDescent="0.35">
      <c r="A65" t="s">
        <v>847</v>
      </c>
      <c r="B65" t="s">
        <v>676</v>
      </c>
      <c r="C65" s="83">
        <v>46044</v>
      </c>
      <c r="D65" t="s">
        <v>679</v>
      </c>
      <c r="E65" t="s">
        <v>700</v>
      </c>
      <c r="F65">
        <v>14</v>
      </c>
      <c r="G65">
        <v>16.342449999999999</v>
      </c>
    </row>
    <row r="66" spans="1:7" x14ac:dyDescent="0.35">
      <c r="A66" t="s">
        <v>847</v>
      </c>
      <c r="B66" t="s">
        <v>676</v>
      </c>
      <c r="C66" s="83">
        <v>46044</v>
      </c>
      <c r="D66" t="s">
        <v>679</v>
      </c>
      <c r="E66" t="s">
        <v>699</v>
      </c>
      <c r="F66">
        <v>10</v>
      </c>
      <c r="G66">
        <v>8.6686666666666703</v>
      </c>
    </row>
    <row r="67" spans="1:7" x14ac:dyDescent="0.35">
      <c r="A67" t="s">
        <v>847</v>
      </c>
      <c r="B67" t="s">
        <v>676</v>
      </c>
      <c r="C67" s="83">
        <v>46044</v>
      </c>
      <c r="D67" t="s">
        <v>679</v>
      </c>
      <c r="E67" t="s">
        <v>698</v>
      </c>
      <c r="F67">
        <v>9</v>
      </c>
      <c r="G67">
        <v>10.84315</v>
      </c>
    </row>
    <row r="68" spans="1:7" x14ac:dyDescent="0.35">
      <c r="A68" t="s">
        <v>847</v>
      </c>
      <c r="B68" t="s">
        <v>676</v>
      </c>
      <c r="C68" s="83">
        <v>46045</v>
      </c>
      <c r="D68" t="s">
        <v>679</v>
      </c>
      <c r="E68" t="s">
        <v>700</v>
      </c>
      <c r="F68">
        <v>23</v>
      </c>
      <c r="G68">
        <v>23.495933333333301</v>
      </c>
    </row>
    <row r="69" spans="1:7" x14ac:dyDescent="0.35">
      <c r="A69" t="s">
        <v>847</v>
      </c>
      <c r="B69" t="s">
        <v>676</v>
      </c>
      <c r="C69" s="83">
        <v>46045</v>
      </c>
      <c r="D69" t="s">
        <v>679</v>
      </c>
      <c r="E69" t="s">
        <v>698</v>
      </c>
      <c r="F69">
        <v>11</v>
      </c>
      <c r="G69">
        <v>8.9920833333333299</v>
      </c>
    </row>
    <row r="70" spans="1:7" x14ac:dyDescent="0.35">
      <c r="A70" t="s">
        <v>847</v>
      </c>
      <c r="B70" t="s">
        <v>676</v>
      </c>
      <c r="C70" s="83">
        <v>46045</v>
      </c>
      <c r="D70" t="s">
        <v>679</v>
      </c>
      <c r="E70" t="s">
        <v>704</v>
      </c>
      <c r="F70">
        <v>10</v>
      </c>
      <c r="G70">
        <v>3.8513666666666699</v>
      </c>
    </row>
    <row r="71" spans="1:7" x14ac:dyDescent="0.35">
      <c r="A71" t="s">
        <v>847</v>
      </c>
      <c r="B71" t="s">
        <v>676</v>
      </c>
      <c r="C71" s="83">
        <v>46046</v>
      </c>
      <c r="D71" t="s">
        <v>679</v>
      </c>
      <c r="E71" t="s">
        <v>700</v>
      </c>
      <c r="F71">
        <v>12</v>
      </c>
      <c r="G71">
        <v>11.664350000000001</v>
      </c>
    </row>
    <row r="72" spans="1:7" x14ac:dyDescent="0.35">
      <c r="A72" t="s">
        <v>847</v>
      </c>
      <c r="B72" t="s">
        <v>676</v>
      </c>
      <c r="C72" s="83">
        <v>46046</v>
      </c>
      <c r="D72" t="s">
        <v>679</v>
      </c>
      <c r="E72" t="s">
        <v>699</v>
      </c>
      <c r="F72">
        <v>7</v>
      </c>
      <c r="G72">
        <v>9.5036500000000004</v>
      </c>
    </row>
    <row r="73" spans="1:7" x14ac:dyDescent="0.35">
      <c r="A73" t="s">
        <v>847</v>
      </c>
      <c r="B73" t="s">
        <v>676</v>
      </c>
      <c r="C73" s="83">
        <v>46046</v>
      </c>
      <c r="D73" t="s">
        <v>679</v>
      </c>
      <c r="E73" t="s">
        <v>698</v>
      </c>
      <c r="F73">
        <v>6</v>
      </c>
      <c r="G73">
        <v>26.162016666666702</v>
      </c>
    </row>
    <row r="74" spans="1:7" x14ac:dyDescent="0.35">
      <c r="A74" t="s">
        <v>847</v>
      </c>
      <c r="B74" t="s">
        <v>676</v>
      </c>
      <c r="C74" s="83">
        <v>46047</v>
      </c>
      <c r="D74" t="s">
        <v>679</v>
      </c>
      <c r="E74" t="s">
        <v>700</v>
      </c>
      <c r="F74">
        <v>25</v>
      </c>
      <c r="G74">
        <v>25.98995</v>
      </c>
    </row>
    <row r="75" spans="1:7" x14ac:dyDescent="0.35">
      <c r="A75" t="s">
        <v>847</v>
      </c>
      <c r="B75" t="s">
        <v>676</v>
      </c>
      <c r="C75" s="83">
        <v>46047</v>
      </c>
      <c r="D75" t="s">
        <v>679</v>
      </c>
      <c r="E75" t="s">
        <v>704</v>
      </c>
      <c r="F75">
        <v>17</v>
      </c>
      <c r="G75">
        <v>12.325699999999999</v>
      </c>
    </row>
    <row r="76" spans="1:7" x14ac:dyDescent="0.35">
      <c r="A76" t="s">
        <v>847</v>
      </c>
      <c r="B76" t="s">
        <v>676</v>
      </c>
      <c r="C76" s="83">
        <v>46047</v>
      </c>
      <c r="D76" t="s">
        <v>679</v>
      </c>
      <c r="E76" t="s">
        <v>697</v>
      </c>
      <c r="F76">
        <v>7</v>
      </c>
      <c r="G76">
        <v>4.6633333333333304</v>
      </c>
    </row>
    <row r="77" spans="1:7" x14ac:dyDescent="0.35">
      <c r="A77" t="s">
        <v>847</v>
      </c>
      <c r="B77" t="s">
        <v>676</v>
      </c>
      <c r="C77" s="83">
        <v>46048</v>
      </c>
      <c r="D77" t="s">
        <v>679</v>
      </c>
      <c r="E77" t="s">
        <v>700</v>
      </c>
      <c r="F77">
        <v>6</v>
      </c>
      <c r="G77">
        <v>6.1638666666666699</v>
      </c>
    </row>
    <row r="78" spans="1:7" x14ac:dyDescent="0.35">
      <c r="A78" t="s">
        <v>847</v>
      </c>
      <c r="B78" t="s">
        <v>676</v>
      </c>
      <c r="C78" s="83">
        <v>46048</v>
      </c>
      <c r="D78" t="s">
        <v>679</v>
      </c>
      <c r="E78" t="s">
        <v>699</v>
      </c>
      <c r="F78">
        <v>3</v>
      </c>
      <c r="G78">
        <v>0.66713333333333302</v>
      </c>
    </row>
    <row r="79" spans="1:7" x14ac:dyDescent="0.35">
      <c r="A79" t="s">
        <v>847</v>
      </c>
      <c r="B79" t="s">
        <v>676</v>
      </c>
      <c r="C79" s="83">
        <v>46048</v>
      </c>
      <c r="D79" t="s">
        <v>679</v>
      </c>
      <c r="E79" t="s">
        <v>698</v>
      </c>
      <c r="F79">
        <v>3</v>
      </c>
      <c r="G79">
        <v>1114.59756666667</v>
      </c>
    </row>
    <row r="80" spans="1:7" x14ac:dyDescent="0.35">
      <c r="A80" t="s">
        <v>847</v>
      </c>
      <c r="B80" t="s">
        <v>676</v>
      </c>
      <c r="C80" s="83">
        <v>46049</v>
      </c>
      <c r="D80" t="s">
        <v>679</v>
      </c>
      <c r="E80" t="s">
        <v>697</v>
      </c>
      <c r="F80">
        <v>15</v>
      </c>
      <c r="G80">
        <v>9.8345833333333292</v>
      </c>
    </row>
    <row r="81" spans="1:7" x14ac:dyDescent="0.35">
      <c r="A81" t="s">
        <v>847</v>
      </c>
      <c r="B81" t="s">
        <v>676</v>
      </c>
      <c r="C81" s="83">
        <v>46049</v>
      </c>
      <c r="D81" t="s">
        <v>679</v>
      </c>
      <c r="E81" t="s">
        <v>700</v>
      </c>
      <c r="F81">
        <v>9</v>
      </c>
      <c r="G81">
        <v>10.175850000000001</v>
      </c>
    </row>
    <row r="82" spans="1:7" x14ac:dyDescent="0.35">
      <c r="A82" t="s">
        <v>847</v>
      </c>
      <c r="B82" t="s">
        <v>676</v>
      </c>
      <c r="C82" s="83">
        <v>46049</v>
      </c>
      <c r="D82" t="s">
        <v>679</v>
      </c>
      <c r="E82" t="s">
        <v>699</v>
      </c>
      <c r="F82">
        <v>4</v>
      </c>
      <c r="G82">
        <v>5.84331666666667</v>
      </c>
    </row>
    <row r="83" spans="1:7" x14ac:dyDescent="0.35">
      <c r="A83" t="s">
        <v>847</v>
      </c>
      <c r="B83" t="s">
        <v>676</v>
      </c>
      <c r="C83" s="83">
        <v>46050</v>
      </c>
      <c r="D83" t="s">
        <v>679</v>
      </c>
      <c r="E83" t="s">
        <v>697</v>
      </c>
      <c r="F83">
        <v>28</v>
      </c>
      <c r="G83">
        <v>16.514050000000001</v>
      </c>
    </row>
    <row r="84" spans="1:7" x14ac:dyDescent="0.35">
      <c r="A84" t="s">
        <v>847</v>
      </c>
      <c r="B84" t="s">
        <v>676</v>
      </c>
      <c r="C84" s="83">
        <v>46050</v>
      </c>
      <c r="D84" t="s">
        <v>679</v>
      </c>
      <c r="E84" t="s">
        <v>700</v>
      </c>
      <c r="F84">
        <v>24</v>
      </c>
      <c r="G84">
        <v>23.8294833333333</v>
      </c>
    </row>
    <row r="85" spans="1:7" x14ac:dyDescent="0.35">
      <c r="A85" t="s">
        <v>847</v>
      </c>
      <c r="B85" t="s">
        <v>676</v>
      </c>
      <c r="C85" s="83">
        <v>46050</v>
      </c>
      <c r="D85" t="s">
        <v>679</v>
      </c>
      <c r="E85" t="s">
        <v>703</v>
      </c>
      <c r="F85">
        <v>10</v>
      </c>
      <c r="G85">
        <v>3.5056833333333302</v>
      </c>
    </row>
    <row r="86" spans="1:7" x14ac:dyDescent="0.35">
      <c r="A86" t="s">
        <v>847</v>
      </c>
      <c r="B86" t="s">
        <v>676</v>
      </c>
      <c r="C86" s="83">
        <v>46051</v>
      </c>
      <c r="D86" t="s">
        <v>679</v>
      </c>
      <c r="E86" t="s">
        <v>700</v>
      </c>
      <c r="F86">
        <v>51</v>
      </c>
      <c r="G86">
        <v>51.359633333333299</v>
      </c>
    </row>
    <row r="87" spans="1:7" x14ac:dyDescent="0.35">
      <c r="A87" t="s">
        <v>847</v>
      </c>
      <c r="B87" t="s">
        <v>676</v>
      </c>
      <c r="C87" s="83">
        <v>46051</v>
      </c>
      <c r="D87" t="s">
        <v>679</v>
      </c>
      <c r="E87" t="s">
        <v>697</v>
      </c>
      <c r="F87">
        <v>33</v>
      </c>
      <c r="G87">
        <v>19.991499999999998</v>
      </c>
    </row>
    <row r="88" spans="1:7" x14ac:dyDescent="0.35">
      <c r="A88" t="s">
        <v>847</v>
      </c>
      <c r="B88" t="s">
        <v>676</v>
      </c>
      <c r="C88" s="83">
        <v>46051</v>
      </c>
      <c r="D88" t="s">
        <v>679</v>
      </c>
      <c r="E88" t="s">
        <v>698</v>
      </c>
      <c r="F88">
        <v>17</v>
      </c>
      <c r="G88">
        <v>11.0194333333333</v>
      </c>
    </row>
    <row r="89" spans="1:7" x14ac:dyDescent="0.35">
      <c r="A89" t="s">
        <v>847</v>
      </c>
      <c r="B89" t="s">
        <v>676</v>
      </c>
      <c r="C89" s="83">
        <v>46052</v>
      </c>
      <c r="D89" t="s">
        <v>679</v>
      </c>
      <c r="E89" t="s">
        <v>700</v>
      </c>
      <c r="F89">
        <v>20</v>
      </c>
      <c r="G89">
        <v>18.660066666666701</v>
      </c>
    </row>
    <row r="90" spans="1:7" x14ac:dyDescent="0.35">
      <c r="A90" t="s">
        <v>847</v>
      </c>
      <c r="B90" t="s">
        <v>676</v>
      </c>
      <c r="C90" s="83">
        <v>46052</v>
      </c>
      <c r="D90" t="s">
        <v>679</v>
      </c>
      <c r="E90" t="s">
        <v>697</v>
      </c>
      <c r="F90">
        <v>14</v>
      </c>
      <c r="G90">
        <v>9.6522166666666696</v>
      </c>
    </row>
    <row r="91" spans="1:7" x14ac:dyDescent="0.35">
      <c r="A91" t="s">
        <v>847</v>
      </c>
      <c r="B91" t="s">
        <v>676</v>
      </c>
      <c r="C91" s="83">
        <v>46052</v>
      </c>
      <c r="D91" t="s">
        <v>679</v>
      </c>
      <c r="E91" t="s">
        <v>702</v>
      </c>
      <c r="F91">
        <v>4</v>
      </c>
      <c r="G91">
        <v>1.0008999999999999</v>
      </c>
    </row>
    <row r="92" spans="1:7" x14ac:dyDescent="0.35">
      <c r="A92" t="s">
        <v>847</v>
      </c>
      <c r="B92" t="s">
        <v>676</v>
      </c>
      <c r="C92" s="83">
        <v>46053</v>
      </c>
      <c r="D92" t="s">
        <v>679</v>
      </c>
      <c r="E92" t="s">
        <v>697</v>
      </c>
      <c r="F92">
        <v>65</v>
      </c>
      <c r="G92">
        <v>110.32786666666701</v>
      </c>
    </row>
    <row r="93" spans="1:7" x14ac:dyDescent="0.35">
      <c r="A93" t="s">
        <v>847</v>
      </c>
      <c r="B93" t="s">
        <v>676</v>
      </c>
      <c r="C93" s="83">
        <v>46053</v>
      </c>
      <c r="D93" t="s">
        <v>679</v>
      </c>
      <c r="E93" t="s">
        <v>700</v>
      </c>
      <c r="F93">
        <v>10</v>
      </c>
      <c r="G93">
        <v>10.026766666666701</v>
      </c>
    </row>
    <row r="94" spans="1:7" x14ac:dyDescent="0.35">
      <c r="A94" t="s">
        <v>847</v>
      </c>
      <c r="B94" t="s">
        <v>676</v>
      </c>
      <c r="C94" s="83">
        <v>46053</v>
      </c>
      <c r="D94" t="s">
        <v>679</v>
      </c>
      <c r="E94" t="s">
        <v>699</v>
      </c>
      <c r="F94">
        <v>9</v>
      </c>
      <c r="G94">
        <v>32.0089166666667</v>
      </c>
    </row>
    <row r="95" spans="1:7" x14ac:dyDescent="0.35">
      <c r="A95" t="s">
        <v>847</v>
      </c>
      <c r="B95" t="s">
        <v>676</v>
      </c>
      <c r="C95" s="83">
        <v>46054</v>
      </c>
      <c r="D95" t="s">
        <v>679</v>
      </c>
      <c r="E95" t="s">
        <v>697</v>
      </c>
      <c r="F95">
        <v>16</v>
      </c>
      <c r="G95">
        <v>16.672983333333299</v>
      </c>
    </row>
    <row r="96" spans="1:7" x14ac:dyDescent="0.35">
      <c r="A96" t="s">
        <v>847</v>
      </c>
      <c r="B96" t="s">
        <v>676</v>
      </c>
      <c r="C96" s="83">
        <v>46054</v>
      </c>
      <c r="D96" t="s">
        <v>679</v>
      </c>
      <c r="E96" t="s">
        <v>700</v>
      </c>
      <c r="F96">
        <v>13</v>
      </c>
      <c r="G96">
        <v>14.8466666666667</v>
      </c>
    </row>
    <row r="97" spans="1:7" x14ac:dyDescent="0.35">
      <c r="A97" t="s">
        <v>847</v>
      </c>
      <c r="B97" t="s">
        <v>676</v>
      </c>
      <c r="C97" s="83">
        <v>46054</v>
      </c>
      <c r="D97" t="s">
        <v>679</v>
      </c>
      <c r="E97" t="s">
        <v>699</v>
      </c>
      <c r="F97">
        <v>6</v>
      </c>
      <c r="G97">
        <v>3.8339333333333299</v>
      </c>
    </row>
    <row r="98" spans="1:7" x14ac:dyDescent="0.35">
      <c r="A98" t="s">
        <v>847</v>
      </c>
      <c r="B98" t="s">
        <v>676</v>
      </c>
      <c r="C98" s="83">
        <v>46055</v>
      </c>
      <c r="D98" t="s">
        <v>679</v>
      </c>
      <c r="E98" t="s">
        <v>699</v>
      </c>
      <c r="F98">
        <v>14</v>
      </c>
      <c r="G98">
        <v>80.531199999999998</v>
      </c>
    </row>
    <row r="99" spans="1:7" x14ac:dyDescent="0.35">
      <c r="A99" t="s">
        <v>847</v>
      </c>
      <c r="B99" t="s">
        <v>676</v>
      </c>
      <c r="C99" s="83">
        <v>46055</v>
      </c>
      <c r="D99" t="s">
        <v>679</v>
      </c>
      <c r="E99" t="s">
        <v>700</v>
      </c>
      <c r="F99">
        <v>14</v>
      </c>
      <c r="G99">
        <v>13.2403333333333</v>
      </c>
    </row>
    <row r="100" spans="1:7" x14ac:dyDescent="0.35">
      <c r="A100" t="s">
        <v>847</v>
      </c>
      <c r="B100" t="s">
        <v>676</v>
      </c>
      <c r="C100" s="83">
        <v>46055</v>
      </c>
      <c r="D100" t="s">
        <v>679</v>
      </c>
      <c r="E100" t="s">
        <v>705</v>
      </c>
      <c r="F100">
        <v>13</v>
      </c>
      <c r="G100">
        <v>21.980350000000001</v>
      </c>
    </row>
    <row r="101" spans="1:7" x14ac:dyDescent="0.35">
      <c r="A101" t="s">
        <v>847</v>
      </c>
      <c r="B101" t="s">
        <v>676</v>
      </c>
      <c r="C101" s="83">
        <v>46056</v>
      </c>
      <c r="D101" t="s">
        <v>679</v>
      </c>
      <c r="E101" t="s">
        <v>700</v>
      </c>
      <c r="F101">
        <v>22</v>
      </c>
      <c r="G101">
        <v>23.181516666666699</v>
      </c>
    </row>
    <row r="102" spans="1:7" x14ac:dyDescent="0.35">
      <c r="A102" t="s">
        <v>847</v>
      </c>
      <c r="B102" t="s">
        <v>676</v>
      </c>
      <c r="C102" s="83">
        <v>46056</v>
      </c>
      <c r="D102" t="s">
        <v>679</v>
      </c>
      <c r="E102" t="s">
        <v>697</v>
      </c>
      <c r="F102">
        <v>13</v>
      </c>
      <c r="G102">
        <v>7.8421000000000003</v>
      </c>
    </row>
    <row r="103" spans="1:7" x14ac:dyDescent="0.35">
      <c r="A103" t="s">
        <v>847</v>
      </c>
      <c r="B103" t="s">
        <v>676</v>
      </c>
      <c r="C103" s="83">
        <v>46056</v>
      </c>
      <c r="D103" t="s">
        <v>679</v>
      </c>
      <c r="E103" t="s">
        <v>702</v>
      </c>
      <c r="F103">
        <v>9</v>
      </c>
      <c r="G103">
        <v>5.4955833333333297</v>
      </c>
    </row>
    <row r="104" spans="1:7" x14ac:dyDescent="0.35">
      <c r="A104" t="s">
        <v>847</v>
      </c>
      <c r="B104" t="s">
        <v>676</v>
      </c>
      <c r="C104" s="83">
        <v>46057</v>
      </c>
      <c r="D104" t="s">
        <v>679</v>
      </c>
      <c r="E104" t="s">
        <v>702</v>
      </c>
      <c r="F104">
        <v>14</v>
      </c>
      <c r="G104">
        <v>6.4915500000000002</v>
      </c>
    </row>
    <row r="105" spans="1:7" x14ac:dyDescent="0.35">
      <c r="A105" t="s">
        <v>847</v>
      </c>
      <c r="B105" t="s">
        <v>676</v>
      </c>
      <c r="C105" s="83">
        <v>46057</v>
      </c>
      <c r="D105" t="s">
        <v>679</v>
      </c>
      <c r="E105" t="s">
        <v>706</v>
      </c>
      <c r="F105">
        <v>10</v>
      </c>
      <c r="G105">
        <v>7.0056333333333303</v>
      </c>
    </row>
    <row r="106" spans="1:7" x14ac:dyDescent="0.35">
      <c r="A106" t="s">
        <v>847</v>
      </c>
      <c r="B106" t="s">
        <v>676</v>
      </c>
      <c r="C106" s="83">
        <v>46057</v>
      </c>
      <c r="D106" t="s">
        <v>679</v>
      </c>
      <c r="E106" t="s">
        <v>698</v>
      </c>
      <c r="F106">
        <v>9</v>
      </c>
      <c r="G106">
        <v>3.0044</v>
      </c>
    </row>
    <row r="107" spans="1:7" x14ac:dyDescent="0.35">
      <c r="A107" t="s">
        <v>847</v>
      </c>
      <c r="B107" t="s">
        <v>676</v>
      </c>
      <c r="C107" s="83">
        <v>46058</v>
      </c>
      <c r="D107" t="s">
        <v>679</v>
      </c>
      <c r="E107" t="s">
        <v>700</v>
      </c>
      <c r="F107">
        <v>12</v>
      </c>
      <c r="G107">
        <v>13.176116666666699</v>
      </c>
    </row>
    <row r="108" spans="1:7" x14ac:dyDescent="0.35">
      <c r="A108" t="s">
        <v>847</v>
      </c>
      <c r="B108" t="s">
        <v>676</v>
      </c>
      <c r="C108" s="83">
        <v>46058</v>
      </c>
      <c r="D108" t="s">
        <v>679</v>
      </c>
      <c r="E108" t="s">
        <v>697</v>
      </c>
      <c r="F108">
        <v>6</v>
      </c>
      <c r="G108">
        <v>3.6658333333333299</v>
      </c>
    </row>
    <row r="109" spans="1:7" x14ac:dyDescent="0.35">
      <c r="A109" t="s">
        <v>847</v>
      </c>
      <c r="B109" t="s">
        <v>676</v>
      </c>
      <c r="C109" s="83">
        <v>46058</v>
      </c>
      <c r="D109" t="s">
        <v>679</v>
      </c>
      <c r="E109" t="s">
        <v>702</v>
      </c>
      <c r="F109">
        <v>5</v>
      </c>
      <c r="G109">
        <v>1.49956666666667</v>
      </c>
    </row>
    <row r="110" spans="1:7" x14ac:dyDescent="0.35">
      <c r="A110" t="s">
        <v>847</v>
      </c>
      <c r="B110" t="s">
        <v>676</v>
      </c>
      <c r="C110" s="83">
        <v>46059</v>
      </c>
      <c r="D110" t="s">
        <v>679</v>
      </c>
      <c r="E110" t="s">
        <v>702</v>
      </c>
      <c r="F110">
        <v>16</v>
      </c>
      <c r="G110">
        <v>11.331849999999999</v>
      </c>
    </row>
    <row r="111" spans="1:7" x14ac:dyDescent="0.35">
      <c r="A111" t="s">
        <v>847</v>
      </c>
      <c r="B111" t="s">
        <v>676</v>
      </c>
      <c r="C111" s="83">
        <v>46059</v>
      </c>
      <c r="D111" t="s">
        <v>679</v>
      </c>
      <c r="E111" t="s">
        <v>700</v>
      </c>
      <c r="F111">
        <v>15</v>
      </c>
      <c r="G111">
        <v>14.496549999999999</v>
      </c>
    </row>
    <row r="112" spans="1:7" x14ac:dyDescent="0.35">
      <c r="A112" t="s">
        <v>847</v>
      </c>
      <c r="B112" t="s">
        <v>676</v>
      </c>
      <c r="C112" s="83">
        <v>46059</v>
      </c>
      <c r="D112" t="s">
        <v>679</v>
      </c>
      <c r="E112" t="s">
        <v>698</v>
      </c>
      <c r="F112">
        <v>6</v>
      </c>
      <c r="G112">
        <v>16.9890166666667</v>
      </c>
    </row>
    <row r="113" spans="1:7" x14ac:dyDescent="0.35">
      <c r="A113" t="s">
        <v>847</v>
      </c>
      <c r="B113" t="s">
        <v>676</v>
      </c>
      <c r="C113" s="83">
        <v>46060</v>
      </c>
      <c r="D113" t="s">
        <v>679</v>
      </c>
      <c r="E113" t="s">
        <v>698</v>
      </c>
      <c r="F113">
        <v>25</v>
      </c>
      <c r="G113">
        <v>25.4990666666667</v>
      </c>
    </row>
    <row r="114" spans="1:7" x14ac:dyDescent="0.35">
      <c r="A114" t="s">
        <v>847</v>
      </c>
      <c r="B114" t="s">
        <v>676</v>
      </c>
      <c r="C114" s="83">
        <v>46060</v>
      </c>
      <c r="D114" t="s">
        <v>679</v>
      </c>
      <c r="E114" t="s">
        <v>700</v>
      </c>
      <c r="F114">
        <v>25</v>
      </c>
      <c r="G114">
        <v>25.151883333333299</v>
      </c>
    </row>
    <row r="115" spans="1:7" x14ac:dyDescent="0.35">
      <c r="A115" t="s">
        <v>847</v>
      </c>
      <c r="B115" t="s">
        <v>676</v>
      </c>
      <c r="C115" s="83">
        <v>46060</v>
      </c>
      <c r="D115" t="s">
        <v>679</v>
      </c>
      <c r="E115" t="s">
        <v>702</v>
      </c>
      <c r="F115">
        <v>14</v>
      </c>
      <c r="G115">
        <v>6.9773666666666703</v>
      </c>
    </row>
    <row r="116" spans="1:7" x14ac:dyDescent="0.35">
      <c r="A116" t="s">
        <v>847</v>
      </c>
      <c r="B116" t="s">
        <v>676</v>
      </c>
      <c r="C116" s="83">
        <v>46061</v>
      </c>
      <c r="D116" t="s">
        <v>679</v>
      </c>
      <c r="E116" t="s">
        <v>700</v>
      </c>
      <c r="F116">
        <v>16</v>
      </c>
      <c r="G116">
        <v>13.494400000000001</v>
      </c>
    </row>
    <row r="117" spans="1:7" x14ac:dyDescent="0.35">
      <c r="A117" t="s">
        <v>847</v>
      </c>
      <c r="B117" t="s">
        <v>676</v>
      </c>
      <c r="C117" s="83">
        <v>46061</v>
      </c>
      <c r="D117" t="s">
        <v>679</v>
      </c>
      <c r="E117" t="s">
        <v>704</v>
      </c>
      <c r="F117">
        <v>11</v>
      </c>
      <c r="G117">
        <v>10.9862</v>
      </c>
    </row>
    <row r="118" spans="1:7" x14ac:dyDescent="0.35">
      <c r="A118" t="s">
        <v>847</v>
      </c>
      <c r="B118" t="s">
        <v>676</v>
      </c>
      <c r="C118" s="83">
        <v>46061</v>
      </c>
      <c r="D118" t="s">
        <v>679</v>
      </c>
      <c r="E118" t="s">
        <v>698</v>
      </c>
      <c r="F118">
        <v>9</v>
      </c>
      <c r="G118">
        <v>4.3315666666666699</v>
      </c>
    </row>
    <row r="119" spans="1:7" x14ac:dyDescent="0.35">
      <c r="A119" t="s">
        <v>847</v>
      </c>
      <c r="B119" t="s">
        <v>676</v>
      </c>
      <c r="C119" s="83">
        <v>46062</v>
      </c>
      <c r="D119" t="s">
        <v>679</v>
      </c>
      <c r="E119" t="s">
        <v>700</v>
      </c>
      <c r="F119">
        <v>20</v>
      </c>
      <c r="G119">
        <v>21.489316666666699</v>
      </c>
    </row>
    <row r="120" spans="1:7" x14ac:dyDescent="0.35">
      <c r="A120" t="s">
        <v>847</v>
      </c>
      <c r="B120" t="s">
        <v>676</v>
      </c>
      <c r="C120" s="83">
        <v>46062</v>
      </c>
      <c r="D120" t="s">
        <v>679</v>
      </c>
      <c r="E120" t="s">
        <v>702</v>
      </c>
      <c r="F120">
        <v>11</v>
      </c>
      <c r="G120">
        <v>3.1672166666666701</v>
      </c>
    </row>
    <row r="121" spans="1:7" x14ac:dyDescent="0.35">
      <c r="A121" t="s">
        <v>847</v>
      </c>
      <c r="B121" t="s">
        <v>676</v>
      </c>
      <c r="C121" s="83">
        <v>46062</v>
      </c>
      <c r="D121" t="s">
        <v>679</v>
      </c>
      <c r="E121" t="s">
        <v>698</v>
      </c>
      <c r="F121">
        <v>8</v>
      </c>
      <c r="G121">
        <v>1.99511666666667</v>
      </c>
    </row>
    <row r="122" spans="1:7" x14ac:dyDescent="0.35">
      <c r="A122" t="s">
        <v>847</v>
      </c>
      <c r="B122" t="s">
        <v>676</v>
      </c>
      <c r="C122" s="83">
        <v>46063</v>
      </c>
      <c r="D122" t="s">
        <v>679</v>
      </c>
      <c r="E122" t="s">
        <v>702</v>
      </c>
      <c r="F122">
        <v>10</v>
      </c>
      <c r="G122">
        <v>8.6575000000000006</v>
      </c>
    </row>
    <row r="123" spans="1:7" x14ac:dyDescent="0.35">
      <c r="A123" t="s">
        <v>847</v>
      </c>
      <c r="B123" t="s">
        <v>676</v>
      </c>
      <c r="C123" s="83">
        <v>46063</v>
      </c>
      <c r="D123" t="s">
        <v>679</v>
      </c>
      <c r="E123" t="s">
        <v>700</v>
      </c>
      <c r="F123">
        <v>9</v>
      </c>
      <c r="G123">
        <v>9.8305666666666696</v>
      </c>
    </row>
    <row r="124" spans="1:7" x14ac:dyDescent="0.35">
      <c r="A124" t="s">
        <v>847</v>
      </c>
      <c r="B124" t="s">
        <v>676</v>
      </c>
      <c r="C124" s="83">
        <v>46063</v>
      </c>
      <c r="D124" t="s">
        <v>679</v>
      </c>
      <c r="E124" t="s">
        <v>697</v>
      </c>
      <c r="F124">
        <v>4</v>
      </c>
      <c r="G124">
        <v>2.0016833333333302</v>
      </c>
    </row>
    <row r="125" spans="1:7" x14ac:dyDescent="0.35">
      <c r="A125" t="s">
        <v>847</v>
      </c>
      <c r="B125" t="s">
        <v>676</v>
      </c>
      <c r="C125" s="83">
        <v>46064</v>
      </c>
      <c r="D125" t="s">
        <v>679</v>
      </c>
      <c r="E125" t="s">
        <v>700</v>
      </c>
      <c r="F125">
        <v>17</v>
      </c>
      <c r="G125">
        <v>16.985033333333298</v>
      </c>
    </row>
    <row r="126" spans="1:7" x14ac:dyDescent="0.35">
      <c r="A126" t="s">
        <v>847</v>
      </c>
      <c r="B126" t="s">
        <v>676</v>
      </c>
      <c r="C126" s="83">
        <v>46064</v>
      </c>
      <c r="D126" t="s">
        <v>679</v>
      </c>
      <c r="E126" t="s">
        <v>697</v>
      </c>
      <c r="F126">
        <v>10</v>
      </c>
      <c r="G126">
        <v>9.8295833333333302</v>
      </c>
    </row>
    <row r="127" spans="1:7" x14ac:dyDescent="0.35">
      <c r="A127" t="s">
        <v>847</v>
      </c>
      <c r="B127" t="s">
        <v>676</v>
      </c>
      <c r="C127" s="83">
        <v>46064</v>
      </c>
      <c r="D127" t="s">
        <v>679</v>
      </c>
      <c r="E127" t="s">
        <v>702</v>
      </c>
      <c r="F127">
        <v>9</v>
      </c>
      <c r="G127">
        <v>1.8390166666666701</v>
      </c>
    </row>
    <row r="128" spans="1:7" x14ac:dyDescent="0.35">
      <c r="A128" t="s">
        <v>847</v>
      </c>
      <c r="B128" t="s">
        <v>676</v>
      </c>
      <c r="C128" s="83">
        <v>46065</v>
      </c>
      <c r="D128" t="s">
        <v>679</v>
      </c>
      <c r="E128" t="s">
        <v>700</v>
      </c>
      <c r="F128">
        <v>17</v>
      </c>
      <c r="G128">
        <v>18.164583333333301</v>
      </c>
    </row>
    <row r="129" spans="1:7" x14ac:dyDescent="0.35">
      <c r="A129" t="s">
        <v>847</v>
      </c>
      <c r="B129" t="s">
        <v>676</v>
      </c>
      <c r="C129" s="83">
        <v>46065</v>
      </c>
      <c r="D129" t="s">
        <v>679</v>
      </c>
      <c r="E129" t="s">
        <v>702</v>
      </c>
      <c r="F129">
        <v>9</v>
      </c>
      <c r="G129">
        <v>6.0039833333333297</v>
      </c>
    </row>
    <row r="130" spans="1:7" x14ac:dyDescent="0.35">
      <c r="A130" t="s">
        <v>847</v>
      </c>
      <c r="B130" t="s">
        <v>676</v>
      </c>
      <c r="C130" s="83">
        <v>46065</v>
      </c>
      <c r="D130" t="s">
        <v>679</v>
      </c>
      <c r="E130" t="s">
        <v>698</v>
      </c>
      <c r="F130">
        <v>8</v>
      </c>
      <c r="G130">
        <v>3.6784166666666702</v>
      </c>
    </row>
    <row r="131" spans="1:7" x14ac:dyDescent="0.35">
      <c r="A131" t="s">
        <v>847</v>
      </c>
      <c r="B131" t="s">
        <v>676</v>
      </c>
      <c r="C131" s="83">
        <v>46066</v>
      </c>
      <c r="D131" t="s">
        <v>679</v>
      </c>
      <c r="E131" t="s">
        <v>697</v>
      </c>
      <c r="F131">
        <v>22</v>
      </c>
      <c r="G131">
        <v>19.1496</v>
      </c>
    </row>
    <row r="132" spans="1:7" x14ac:dyDescent="0.35">
      <c r="A132" t="s">
        <v>847</v>
      </c>
      <c r="B132" t="s">
        <v>676</v>
      </c>
      <c r="C132" s="83">
        <v>46066</v>
      </c>
      <c r="D132" t="s">
        <v>679</v>
      </c>
      <c r="E132" t="s">
        <v>700</v>
      </c>
      <c r="F132">
        <v>14</v>
      </c>
      <c r="G132">
        <v>14.026733333333301</v>
      </c>
    </row>
    <row r="133" spans="1:7" x14ac:dyDescent="0.35">
      <c r="A133" t="s">
        <v>847</v>
      </c>
      <c r="B133" t="s">
        <v>676</v>
      </c>
      <c r="C133" s="83">
        <v>46066</v>
      </c>
      <c r="D133" t="s">
        <v>679</v>
      </c>
      <c r="E133" t="s">
        <v>702</v>
      </c>
      <c r="F133">
        <v>13</v>
      </c>
      <c r="G133">
        <v>10.50705</v>
      </c>
    </row>
    <row r="134" spans="1:7" x14ac:dyDescent="0.35">
      <c r="A134" t="s">
        <v>847</v>
      </c>
      <c r="B134" t="s">
        <v>676</v>
      </c>
      <c r="C134" s="83">
        <v>46067</v>
      </c>
      <c r="D134" t="s">
        <v>679</v>
      </c>
      <c r="E134" t="s">
        <v>697</v>
      </c>
      <c r="F134">
        <v>36</v>
      </c>
      <c r="G134">
        <v>27.083266666666699</v>
      </c>
    </row>
    <row r="135" spans="1:7" x14ac:dyDescent="0.35">
      <c r="A135" t="s">
        <v>847</v>
      </c>
      <c r="B135" t="s">
        <v>676</v>
      </c>
      <c r="C135" s="83">
        <v>46067</v>
      </c>
      <c r="D135" t="s">
        <v>679</v>
      </c>
      <c r="E135" t="s">
        <v>700</v>
      </c>
      <c r="F135">
        <v>15</v>
      </c>
      <c r="G135">
        <v>17.381083333333301</v>
      </c>
    </row>
    <row r="136" spans="1:7" x14ac:dyDescent="0.35">
      <c r="A136" t="s">
        <v>847</v>
      </c>
      <c r="B136" t="s">
        <v>676</v>
      </c>
      <c r="C136" s="83">
        <v>46067</v>
      </c>
      <c r="D136" t="s">
        <v>679</v>
      </c>
      <c r="E136" t="s">
        <v>702</v>
      </c>
      <c r="F136">
        <v>5</v>
      </c>
      <c r="G136">
        <v>1.8450166666666701</v>
      </c>
    </row>
    <row r="137" spans="1:7" x14ac:dyDescent="0.35">
      <c r="A137" t="s">
        <v>847</v>
      </c>
      <c r="B137" t="s">
        <v>676</v>
      </c>
      <c r="C137" s="83">
        <v>46068</v>
      </c>
      <c r="D137" t="s">
        <v>679</v>
      </c>
      <c r="E137" t="s">
        <v>697</v>
      </c>
      <c r="F137">
        <v>43</v>
      </c>
      <c r="G137">
        <v>60.176900000000003</v>
      </c>
    </row>
    <row r="138" spans="1:7" x14ac:dyDescent="0.35">
      <c r="A138" t="s">
        <v>847</v>
      </c>
      <c r="B138" t="s">
        <v>676</v>
      </c>
      <c r="C138" s="83">
        <v>46068</v>
      </c>
      <c r="D138" t="s">
        <v>679</v>
      </c>
      <c r="E138" t="s">
        <v>700</v>
      </c>
      <c r="F138">
        <v>15</v>
      </c>
      <c r="G138">
        <v>23.499566666666698</v>
      </c>
    </row>
    <row r="139" spans="1:7" x14ac:dyDescent="0.35">
      <c r="A139" t="s">
        <v>847</v>
      </c>
      <c r="B139" t="s">
        <v>676</v>
      </c>
      <c r="C139" s="83">
        <v>46068</v>
      </c>
      <c r="D139" t="s">
        <v>679</v>
      </c>
      <c r="E139" t="s">
        <v>702</v>
      </c>
      <c r="F139">
        <v>7</v>
      </c>
      <c r="G139">
        <v>2.98725</v>
      </c>
    </row>
    <row r="140" spans="1:7" x14ac:dyDescent="0.35">
      <c r="A140" t="s">
        <v>847</v>
      </c>
      <c r="B140" t="s">
        <v>676</v>
      </c>
      <c r="C140" s="83">
        <v>46069</v>
      </c>
      <c r="D140" t="s">
        <v>679</v>
      </c>
      <c r="E140" t="s">
        <v>697</v>
      </c>
      <c r="F140">
        <v>11</v>
      </c>
      <c r="G140">
        <v>9.16271666666667</v>
      </c>
    </row>
    <row r="141" spans="1:7" x14ac:dyDescent="0.35">
      <c r="A141" t="s">
        <v>847</v>
      </c>
      <c r="B141" t="s">
        <v>676</v>
      </c>
      <c r="C141" s="83">
        <v>46069</v>
      </c>
      <c r="D141" t="s">
        <v>679</v>
      </c>
      <c r="E141" t="s">
        <v>700</v>
      </c>
      <c r="F141">
        <v>8</v>
      </c>
      <c r="G141">
        <v>7.6682333333333297</v>
      </c>
    </row>
    <row r="142" spans="1:7" x14ac:dyDescent="0.35">
      <c r="A142" t="s">
        <v>847</v>
      </c>
      <c r="B142" t="s">
        <v>676</v>
      </c>
      <c r="C142" s="83">
        <v>46069</v>
      </c>
      <c r="D142" t="s">
        <v>679</v>
      </c>
      <c r="E142" t="s">
        <v>698</v>
      </c>
      <c r="F142">
        <v>3</v>
      </c>
      <c r="G142">
        <v>15.500916666666701</v>
      </c>
    </row>
    <row r="143" spans="1:7" x14ac:dyDescent="0.35">
      <c r="A143" t="s">
        <v>847</v>
      </c>
      <c r="B143" t="s">
        <v>676</v>
      </c>
      <c r="C143" s="83">
        <v>46070</v>
      </c>
      <c r="D143" t="s">
        <v>679</v>
      </c>
      <c r="E143" t="s">
        <v>704</v>
      </c>
      <c r="F143">
        <v>19</v>
      </c>
      <c r="G143">
        <v>16.35905</v>
      </c>
    </row>
    <row r="144" spans="1:7" x14ac:dyDescent="0.35">
      <c r="A144" t="s">
        <v>847</v>
      </c>
      <c r="B144" t="s">
        <v>676</v>
      </c>
      <c r="C144" s="83">
        <v>46070</v>
      </c>
      <c r="D144" t="s">
        <v>679</v>
      </c>
      <c r="E144" t="s">
        <v>699</v>
      </c>
      <c r="F144">
        <v>11</v>
      </c>
      <c r="G144">
        <v>51.896450000000002</v>
      </c>
    </row>
    <row r="145" spans="1:7" x14ac:dyDescent="0.35">
      <c r="A145" t="s">
        <v>847</v>
      </c>
      <c r="B145" t="s">
        <v>676</v>
      </c>
      <c r="C145" s="83">
        <v>46070</v>
      </c>
      <c r="D145" t="s">
        <v>679</v>
      </c>
      <c r="E145" t="s">
        <v>705</v>
      </c>
      <c r="F145">
        <v>10</v>
      </c>
      <c r="G145">
        <v>10.331583333333301</v>
      </c>
    </row>
    <row r="146" spans="1:7" x14ac:dyDescent="0.35">
      <c r="A146" t="s">
        <v>847</v>
      </c>
      <c r="B146" t="s">
        <v>676</v>
      </c>
      <c r="C146" s="83">
        <v>46071</v>
      </c>
      <c r="D146" t="s">
        <v>679</v>
      </c>
      <c r="E146" t="s">
        <v>705</v>
      </c>
      <c r="F146">
        <v>24</v>
      </c>
      <c r="G146">
        <v>31.01915</v>
      </c>
    </row>
    <row r="147" spans="1:7" x14ac:dyDescent="0.35">
      <c r="A147" t="s">
        <v>847</v>
      </c>
      <c r="B147" t="s">
        <v>676</v>
      </c>
      <c r="C147" s="83">
        <v>46071</v>
      </c>
      <c r="D147" t="s">
        <v>679</v>
      </c>
      <c r="E147" t="s">
        <v>702</v>
      </c>
      <c r="F147">
        <v>12</v>
      </c>
      <c r="G147">
        <v>12.8267166666667</v>
      </c>
    </row>
    <row r="148" spans="1:7" x14ac:dyDescent="0.35">
      <c r="A148" t="s">
        <v>847</v>
      </c>
      <c r="B148" t="s">
        <v>676</v>
      </c>
      <c r="C148" s="83">
        <v>46071</v>
      </c>
      <c r="D148" t="s">
        <v>679</v>
      </c>
      <c r="E148" t="s">
        <v>699</v>
      </c>
      <c r="F148">
        <v>9</v>
      </c>
      <c r="G148">
        <v>40.930983333333302</v>
      </c>
    </row>
    <row r="149" spans="1:7" x14ac:dyDescent="0.35">
      <c r="A149" t="s">
        <v>847</v>
      </c>
      <c r="B149" t="s">
        <v>676</v>
      </c>
      <c r="C149" s="83">
        <v>46072</v>
      </c>
      <c r="D149" t="s">
        <v>679</v>
      </c>
      <c r="E149" t="s">
        <v>697</v>
      </c>
      <c r="F149">
        <v>33</v>
      </c>
      <c r="G149">
        <v>21.3457333333333</v>
      </c>
    </row>
    <row r="150" spans="1:7" x14ac:dyDescent="0.35">
      <c r="A150" t="s">
        <v>847</v>
      </c>
      <c r="B150" t="s">
        <v>676</v>
      </c>
      <c r="C150" s="83">
        <v>46072</v>
      </c>
      <c r="D150" t="s">
        <v>679</v>
      </c>
      <c r="E150" t="s">
        <v>699</v>
      </c>
      <c r="F150">
        <v>18</v>
      </c>
      <c r="G150">
        <v>190.35878333333301</v>
      </c>
    </row>
    <row r="151" spans="1:7" x14ac:dyDescent="0.35">
      <c r="A151" t="s">
        <v>847</v>
      </c>
      <c r="B151" t="s">
        <v>676</v>
      </c>
      <c r="C151" s="83">
        <v>46072</v>
      </c>
      <c r="D151" t="s">
        <v>679</v>
      </c>
      <c r="E151" t="s">
        <v>698</v>
      </c>
      <c r="F151">
        <v>14</v>
      </c>
      <c r="G151">
        <v>14.3214666666667</v>
      </c>
    </row>
    <row r="152" spans="1:7" x14ac:dyDescent="0.35">
      <c r="A152" t="s">
        <v>847</v>
      </c>
      <c r="B152" t="s">
        <v>676</v>
      </c>
      <c r="C152" s="83">
        <v>46073</v>
      </c>
      <c r="D152" t="s">
        <v>679</v>
      </c>
      <c r="E152" t="s">
        <v>700</v>
      </c>
      <c r="F152">
        <v>19</v>
      </c>
      <c r="G152">
        <v>15.659316666666699</v>
      </c>
    </row>
    <row r="153" spans="1:7" x14ac:dyDescent="0.35">
      <c r="A153" t="s">
        <v>847</v>
      </c>
      <c r="B153" t="s">
        <v>676</v>
      </c>
      <c r="C153" s="83">
        <v>46073</v>
      </c>
      <c r="D153" t="s">
        <v>679</v>
      </c>
      <c r="E153" t="s">
        <v>702</v>
      </c>
      <c r="F153">
        <v>13</v>
      </c>
      <c r="G153">
        <v>4.6675833333333303</v>
      </c>
    </row>
    <row r="154" spans="1:7" x14ac:dyDescent="0.35">
      <c r="A154" t="s">
        <v>847</v>
      </c>
      <c r="B154" t="s">
        <v>676</v>
      </c>
      <c r="C154" s="83">
        <v>46073</v>
      </c>
      <c r="D154" t="s">
        <v>679</v>
      </c>
      <c r="E154" t="s">
        <v>701</v>
      </c>
      <c r="F154">
        <v>6</v>
      </c>
      <c r="G154">
        <v>2.16218333333333</v>
      </c>
    </row>
    <row r="155" spans="1:7" x14ac:dyDescent="0.35">
      <c r="A155" t="s">
        <v>847</v>
      </c>
      <c r="B155" t="s">
        <v>676</v>
      </c>
      <c r="C155" s="83">
        <v>46074</v>
      </c>
      <c r="D155" t="s">
        <v>679</v>
      </c>
      <c r="E155" t="s">
        <v>700</v>
      </c>
      <c r="F155">
        <v>27</v>
      </c>
      <c r="G155">
        <v>28.667083333333299</v>
      </c>
    </row>
    <row r="156" spans="1:7" x14ac:dyDescent="0.35">
      <c r="A156" t="s">
        <v>847</v>
      </c>
      <c r="B156" t="s">
        <v>676</v>
      </c>
      <c r="C156" s="83">
        <v>46074</v>
      </c>
      <c r="D156" t="s">
        <v>679</v>
      </c>
      <c r="E156" t="s">
        <v>702</v>
      </c>
      <c r="F156">
        <v>13</v>
      </c>
      <c r="G156">
        <v>9.1671666666666702</v>
      </c>
    </row>
    <row r="157" spans="1:7" x14ac:dyDescent="0.35">
      <c r="A157" t="s">
        <v>847</v>
      </c>
      <c r="B157" t="s">
        <v>676</v>
      </c>
      <c r="C157" s="83">
        <v>46074</v>
      </c>
      <c r="D157" t="s">
        <v>679</v>
      </c>
      <c r="E157" t="s">
        <v>698</v>
      </c>
      <c r="F157">
        <v>7</v>
      </c>
      <c r="G157">
        <v>2.8371499999999998</v>
      </c>
    </row>
    <row r="158" spans="1:7" x14ac:dyDescent="0.35">
      <c r="A158" t="s">
        <v>847</v>
      </c>
      <c r="B158" t="s">
        <v>676</v>
      </c>
      <c r="C158" s="83">
        <v>46075</v>
      </c>
      <c r="D158" t="s">
        <v>679</v>
      </c>
      <c r="E158" t="s">
        <v>700</v>
      </c>
      <c r="F158">
        <v>13</v>
      </c>
      <c r="G158">
        <v>15.512783333333299</v>
      </c>
    </row>
    <row r="159" spans="1:7" x14ac:dyDescent="0.35">
      <c r="A159" t="s">
        <v>847</v>
      </c>
      <c r="B159" t="s">
        <v>676</v>
      </c>
      <c r="C159" s="83">
        <v>46075</v>
      </c>
      <c r="D159" t="s">
        <v>679</v>
      </c>
      <c r="E159" t="s">
        <v>699</v>
      </c>
      <c r="F159">
        <v>8</v>
      </c>
      <c r="G159">
        <v>21.170349999999999</v>
      </c>
    </row>
    <row r="160" spans="1:7" x14ac:dyDescent="0.35">
      <c r="A160" t="s">
        <v>847</v>
      </c>
      <c r="B160" t="s">
        <v>676</v>
      </c>
      <c r="C160" s="83">
        <v>46075</v>
      </c>
      <c r="D160" t="s">
        <v>679</v>
      </c>
      <c r="E160" t="s">
        <v>702</v>
      </c>
      <c r="F160">
        <v>7</v>
      </c>
      <c r="G160">
        <v>2.8303833333333301</v>
      </c>
    </row>
    <row r="161" spans="1:7" x14ac:dyDescent="0.35">
      <c r="A161" t="s">
        <v>847</v>
      </c>
      <c r="B161" t="s">
        <v>676</v>
      </c>
      <c r="C161" s="83">
        <v>46076</v>
      </c>
      <c r="D161" t="s">
        <v>679</v>
      </c>
      <c r="E161" t="s">
        <v>700</v>
      </c>
      <c r="F161">
        <v>18</v>
      </c>
      <c r="G161">
        <v>16.021516666666699</v>
      </c>
    </row>
    <row r="162" spans="1:7" x14ac:dyDescent="0.35">
      <c r="A162" t="s">
        <v>847</v>
      </c>
      <c r="B162" t="s">
        <v>676</v>
      </c>
      <c r="C162" s="83">
        <v>46076</v>
      </c>
      <c r="D162" t="s">
        <v>679</v>
      </c>
      <c r="E162" t="s">
        <v>698</v>
      </c>
      <c r="F162">
        <v>7</v>
      </c>
      <c r="G162">
        <v>10.169116666666699</v>
      </c>
    </row>
    <row r="163" spans="1:7" x14ac:dyDescent="0.35">
      <c r="A163" t="s">
        <v>847</v>
      </c>
      <c r="B163" t="s">
        <v>676</v>
      </c>
      <c r="C163" s="83">
        <v>46076</v>
      </c>
      <c r="D163" t="s">
        <v>679</v>
      </c>
      <c r="E163" t="s">
        <v>702</v>
      </c>
      <c r="F163">
        <v>5</v>
      </c>
      <c r="G163">
        <v>2.5008499999999998</v>
      </c>
    </row>
    <row r="164" spans="1:7" x14ac:dyDescent="0.35">
      <c r="A164" t="s">
        <v>847</v>
      </c>
      <c r="B164" t="s">
        <v>676</v>
      </c>
      <c r="C164" s="83">
        <v>46077</v>
      </c>
      <c r="D164" t="s">
        <v>679</v>
      </c>
      <c r="E164" t="s">
        <v>700</v>
      </c>
      <c r="F164">
        <v>16</v>
      </c>
      <c r="G164">
        <v>13.833866666666699</v>
      </c>
    </row>
    <row r="165" spans="1:7" x14ac:dyDescent="0.35">
      <c r="A165" t="s">
        <v>847</v>
      </c>
      <c r="B165" t="s">
        <v>676</v>
      </c>
      <c r="C165" s="83">
        <v>46077</v>
      </c>
      <c r="D165" t="s">
        <v>679</v>
      </c>
      <c r="E165" t="s">
        <v>702</v>
      </c>
      <c r="F165">
        <v>10</v>
      </c>
      <c r="G165">
        <v>9.16995</v>
      </c>
    </row>
    <row r="166" spans="1:7" x14ac:dyDescent="0.35">
      <c r="A166" t="s">
        <v>847</v>
      </c>
      <c r="B166" t="s">
        <v>676</v>
      </c>
      <c r="C166" s="83">
        <v>46077</v>
      </c>
      <c r="D166" t="s">
        <v>679</v>
      </c>
      <c r="E166" t="s">
        <v>698</v>
      </c>
      <c r="F166">
        <v>9</v>
      </c>
      <c r="G166">
        <v>5.3369666666666697</v>
      </c>
    </row>
    <row r="167" spans="1:7" x14ac:dyDescent="0.35">
      <c r="A167" t="s">
        <v>847</v>
      </c>
      <c r="B167" t="s">
        <v>676</v>
      </c>
      <c r="C167" s="83">
        <v>46078</v>
      </c>
      <c r="D167" t="s">
        <v>679</v>
      </c>
      <c r="E167" t="s">
        <v>700</v>
      </c>
      <c r="F167">
        <v>9</v>
      </c>
      <c r="G167">
        <v>10.339066666666699</v>
      </c>
    </row>
    <row r="168" spans="1:7" x14ac:dyDescent="0.35">
      <c r="A168" t="s">
        <v>847</v>
      </c>
      <c r="B168" t="s">
        <v>676</v>
      </c>
      <c r="C168" s="83">
        <v>46078</v>
      </c>
      <c r="D168" t="s">
        <v>679</v>
      </c>
      <c r="E168" t="s">
        <v>702</v>
      </c>
      <c r="F168">
        <v>8</v>
      </c>
      <c r="G168">
        <v>6.6777666666666704</v>
      </c>
    </row>
    <row r="169" spans="1:7" x14ac:dyDescent="0.35">
      <c r="A169" t="s">
        <v>847</v>
      </c>
      <c r="B169" t="s">
        <v>676</v>
      </c>
      <c r="C169" s="83">
        <v>46078</v>
      </c>
      <c r="D169" t="s">
        <v>679</v>
      </c>
      <c r="E169" t="s">
        <v>699</v>
      </c>
      <c r="F169">
        <v>6</v>
      </c>
      <c r="G169">
        <v>9.3209</v>
      </c>
    </row>
    <row r="170" spans="1:7" x14ac:dyDescent="0.35">
      <c r="A170" t="s">
        <v>847</v>
      </c>
      <c r="B170" t="s">
        <v>676</v>
      </c>
      <c r="C170" s="83">
        <v>46079</v>
      </c>
      <c r="D170" t="s">
        <v>679</v>
      </c>
      <c r="E170" t="s">
        <v>700</v>
      </c>
      <c r="F170">
        <v>14</v>
      </c>
      <c r="G170">
        <v>15.488466666666699</v>
      </c>
    </row>
    <row r="171" spans="1:7" x14ac:dyDescent="0.35">
      <c r="A171" t="s">
        <v>847</v>
      </c>
      <c r="B171" t="s">
        <v>676</v>
      </c>
      <c r="C171" s="83">
        <v>46079</v>
      </c>
      <c r="D171" t="s">
        <v>679</v>
      </c>
      <c r="E171" t="s">
        <v>697</v>
      </c>
      <c r="F171">
        <v>13</v>
      </c>
      <c r="G171">
        <v>11.674250000000001</v>
      </c>
    </row>
    <row r="172" spans="1:7" x14ac:dyDescent="0.35">
      <c r="A172" t="s">
        <v>847</v>
      </c>
      <c r="B172" t="s">
        <v>676</v>
      </c>
      <c r="C172" s="83">
        <v>46079</v>
      </c>
      <c r="D172" t="s">
        <v>679</v>
      </c>
      <c r="E172" t="s">
        <v>702</v>
      </c>
      <c r="F172">
        <v>6</v>
      </c>
      <c r="G172">
        <v>4.9850166666666702</v>
      </c>
    </row>
    <row r="173" spans="1:7" x14ac:dyDescent="0.35">
      <c r="A173" t="s">
        <v>847</v>
      </c>
      <c r="B173" t="s">
        <v>676</v>
      </c>
      <c r="C173" s="83">
        <v>46080</v>
      </c>
      <c r="D173" t="s">
        <v>679</v>
      </c>
      <c r="E173" t="s">
        <v>700</v>
      </c>
      <c r="F173">
        <v>19</v>
      </c>
      <c r="G173">
        <v>20.712233333333302</v>
      </c>
    </row>
    <row r="174" spans="1:7" x14ac:dyDescent="0.35">
      <c r="A174" t="s">
        <v>847</v>
      </c>
      <c r="B174" t="s">
        <v>676</v>
      </c>
      <c r="C174" s="83">
        <v>46080</v>
      </c>
      <c r="D174" t="s">
        <v>679</v>
      </c>
      <c r="E174" t="s">
        <v>702</v>
      </c>
      <c r="F174">
        <v>11</v>
      </c>
      <c r="G174">
        <v>3.50836666666667</v>
      </c>
    </row>
    <row r="175" spans="1:7" x14ac:dyDescent="0.35">
      <c r="A175" t="s">
        <v>847</v>
      </c>
      <c r="B175" t="s">
        <v>676</v>
      </c>
      <c r="C175" s="83">
        <v>46080</v>
      </c>
      <c r="D175" t="s">
        <v>679</v>
      </c>
      <c r="E175" t="s">
        <v>701</v>
      </c>
      <c r="F175">
        <v>7</v>
      </c>
      <c r="G175">
        <v>2.6697333333333302</v>
      </c>
    </row>
    <row r="176" spans="1:7" x14ac:dyDescent="0.35">
      <c r="A176" t="s">
        <v>847</v>
      </c>
      <c r="B176" t="s">
        <v>676</v>
      </c>
      <c r="C176" s="83">
        <v>46081</v>
      </c>
      <c r="D176" t="s">
        <v>679</v>
      </c>
      <c r="E176" t="s">
        <v>700</v>
      </c>
      <c r="F176">
        <v>19</v>
      </c>
      <c r="G176">
        <v>19.426783333333301</v>
      </c>
    </row>
    <row r="177" spans="1:7" x14ac:dyDescent="0.35">
      <c r="A177" t="s">
        <v>847</v>
      </c>
      <c r="B177" t="s">
        <v>676</v>
      </c>
      <c r="C177" s="83">
        <v>46081</v>
      </c>
      <c r="D177" t="s">
        <v>679</v>
      </c>
      <c r="E177" t="s">
        <v>697</v>
      </c>
      <c r="F177">
        <v>11</v>
      </c>
      <c r="G177">
        <v>8.0494833333333293</v>
      </c>
    </row>
    <row r="178" spans="1:7" x14ac:dyDescent="0.35">
      <c r="A178" t="s">
        <v>847</v>
      </c>
      <c r="B178" t="s">
        <v>676</v>
      </c>
      <c r="C178" s="83">
        <v>46081</v>
      </c>
      <c r="D178" t="s">
        <v>679</v>
      </c>
      <c r="E178" t="s">
        <v>703</v>
      </c>
      <c r="F178">
        <v>7</v>
      </c>
      <c r="G178">
        <v>2.0096166666666702</v>
      </c>
    </row>
    <row r="179" spans="1:7" x14ac:dyDescent="0.35">
      <c r="A179" t="s">
        <v>847</v>
      </c>
      <c r="B179" t="s">
        <v>676</v>
      </c>
      <c r="C179" s="83">
        <v>46082</v>
      </c>
      <c r="D179" t="s">
        <v>679</v>
      </c>
      <c r="E179" t="s">
        <v>700</v>
      </c>
      <c r="F179">
        <v>22</v>
      </c>
      <c r="G179">
        <v>22.61205</v>
      </c>
    </row>
    <row r="180" spans="1:7" x14ac:dyDescent="0.35">
      <c r="A180" t="s">
        <v>847</v>
      </c>
      <c r="B180" t="s">
        <v>676</v>
      </c>
      <c r="C180" s="83">
        <v>46082</v>
      </c>
      <c r="D180" t="s">
        <v>679</v>
      </c>
      <c r="E180" t="s">
        <v>698</v>
      </c>
      <c r="F180">
        <v>8</v>
      </c>
      <c r="G180">
        <v>3.8621333333333299</v>
      </c>
    </row>
    <row r="181" spans="1:7" x14ac:dyDescent="0.35">
      <c r="A181" t="s">
        <v>847</v>
      </c>
      <c r="B181" t="s">
        <v>676</v>
      </c>
      <c r="C181" s="83">
        <v>46082</v>
      </c>
      <c r="D181" t="s">
        <v>679</v>
      </c>
      <c r="E181" t="s">
        <v>702</v>
      </c>
      <c r="F181">
        <v>8</v>
      </c>
      <c r="G181">
        <v>2.5226333333333302</v>
      </c>
    </row>
    <row r="182" spans="1:7" x14ac:dyDescent="0.35">
      <c r="A182" t="s">
        <v>847</v>
      </c>
      <c r="B182" t="s">
        <v>676</v>
      </c>
      <c r="C182" s="83">
        <v>46083</v>
      </c>
      <c r="D182" t="s">
        <v>679</v>
      </c>
      <c r="E182" t="s">
        <v>700</v>
      </c>
      <c r="F182">
        <v>12</v>
      </c>
      <c r="G182">
        <v>216.044616666667</v>
      </c>
    </row>
    <row r="183" spans="1:7" x14ac:dyDescent="0.35">
      <c r="A183" t="s">
        <v>847</v>
      </c>
      <c r="B183" t="s">
        <v>676</v>
      </c>
      <c r="C183" s="83">
        <v>46083</v>
      </c>
      <c r="D183" t="s">
        <v>679</v>
      </c>
      <c r="E183" t="s">
        <v>698</v>
      </c>
      <c r="F183">
        <v>7</v>
      </c>
      <c r="G183">
        <v>11.564783333333301</v>
      </c>
    </row>
    <row r="184" spans="1:7" x14ac:dyDescent="0.35">
      <c r="A184" t="s">
        <v>847</v>
      </c>
      <c r="B184" t="s">
        <v>676</v>
      </c>
      <c r="C184" s="83">
        <v>46083</v>
      </c>
      <c r="D184" t="s">
        <v>679</v>
      </c>
      <c r="E184" t="s">
        <v>699</v>
      </c>
      <c r="F184">
        <v>6</v>
      </c>
      <c r="G184">
        <v>8.0055333333333305</v>
      </c>
    </row>
    <row r="185" spans="1:7" x14ac:dyDescent="0.35">
      <c r="A185" t="s">
        <v>847</v>
      </c>
      <c r="B185" t="s">
        <v>676</v>
      </c>
      <c r="C185" s="83">
        <v>46084</v>
      </c>
      <c r="D185" t="s">
        <v>679</v>
      </c>
      <c r="E185" t="s">
        <v>700</v>
      </c>
      <c r="F185">
        <v>20</v>
      </c>
      <c r="G185">
        <v>18.577683333333301</v>
      </c>
    </row>
    <row r="186" spans="1:7" x14ac:dyDescent="0.35">
      <c r="A186" t="s">
        <v>847</v>
      </c>
      <c r="B186" t="s">
        <v>676</v>
      </c>
      <c r="C186" s="83">
        <v>46084</v>
      </c>
      <c r="D186" t="s">
        <v>679</v>
      </c>
      <c r="E186" t="s">
        <v>698</v>
      </c>
      <c r="F186">
        <v>13</v>
      </c>
      <c r="G186">
        <v>5.1791499999999999</v>
      </c>
    </row>
    <row r="187" spans="1:7" x14ac:dyDescent="0.35">
      <c r="A187" t="s">
        <v>847</v>
      </c>
      <c r="B187" t="s">
        <v>676</v>
      </c>
      <c r="C187" s="83">
        <v>46084</v>
      </c>
      <c r="D187" t="s">
        <v>679</v>
      </c>
      <c r="E187" t="s">
        <v>703</v>
      </c>
      <c r="F187">
        <v>8</v>
      </c>
      <c r="G187">
        <v>5.83805</v>
      </c>
    </row>
    <row r="188" spans="1:7" x14ac:dyDescent="0.35">
      <c r="A188" t="s">
        <v>847</v>
      </c>
      <c r="B188" t="s">
        <v>676</v>
      </c>
      <c r="C188" s="83">
        <v>46085</v>
      </c>
      <c r="D188" t="s">
        <v>679</v>
      </c>
      <c r="E188" t="s">
        <v>700</v>
      </c>
      <c r="F188">
        <v>5</v>
      </c>
      <c r="G188">
        <v>6.0029666666666701</v>
      </c>
    </row>
    <row r="189" spans="1:7" x14ac:dyDescent="0.35">
      <c r="A189" t="s">
        <v>847</v>
      </c>
      <c r="B189" t="s">
        <v>676</v>
      </c>
      <c r="C189" s="83">
        <v>46085</v>
      </c>
      <c r="D189" t="s">
        <v>679</v>
      </c>
      <c r="E189" t="s">
        <v>703</v>
      </c>
      <c r="F189">
        <v>3</v>
      </c>
      <c r="G189">
        <v>1.1641333333333299</v>
      </c>
    </row>
    <row r="190" spans="1:7" x14ac:dyDescent="0.35">
      <c r="A190" t="s">
        <v>847</v>
      </c>
      <c r="B190" t="s">
        <v>676</v>
      </c>
      <c r="C190" s="83">
        <v>46085</v>
      </c>
      <c r="D190" t="s">
        <v>679</v>
      </c>
      <c r="E190" t="s">
        <v>699</v>
      </c>
      <c r="F190">
        <v>3</v>
      </c>
      <c r="G190">
        <v>1158.5776166666701</v>
      </c>
    </row>
    <row r="191" spans="1:7" x14ac:dyDescent="0.35">
      <c r="A191" t="s">
        <v>847</v>
      </c>
      <c r="B191" t="s">
        <v>676</v>
      </c>
      <c r="C191" s="83">
        <v>46086</v>
      </c>
      <c r="D191" t="s">
        <v>679</v>
      </c>
      <c r="E191" t="s">
        <v>699</v>
      </c>
      <c r="F191">
        <v>17</v>
      </c>
      <c r="G191">
        <v>535.09448333333296</v>
      </c>
    </row>
    <row r="192" spans="1:7" x14ac:dyDescent="0.35">
      <c r="A192" t="s">
        <v>847</v>
      </c>
      <c r="B192" t="s">
        <v>676</v>
      </c>
      <c r="C192" s="83">
        <v>46086</v>
      </c>
      <c r="D192" t="s">
        <v>679</v>
      </c>
      <c r="E192" t="s">
        <v>698</v>
      </c>
      <c r="F192">
        <v>11</v>
      </c>
      <c r="G192">
        <v>20.991966666666698</v>
      </c>
    </row>
    <row r="193" spans="1:7" x14ac:dyDescent="0.35">
      <c r="A193" t="s">
        <v>847</v>
      </c>
      <c r="B193" t="s">
        <v>676</v>
      </c>
      <c r="C193" s="83">
        <v>46086</v>
      </c>
      <c r="D193" t="s">
        <v>679</v>
      </c>
      <c r="E193" t="s">
        <v>704</v>
      </c>
      <c r="F193">
        <v>9</v>
      </c>
      <c r="G193">
        <v>31.165099999999999</v>
      </c>
    </row>
    <row r="194" spans="1:7" x14ac:dyDescent="0.35">
      <c r="A194" t="s">
        <v>847</v>
      </c>
      <c r="B194" t="s">
        <v>676</v>
      </c>
      <c r="C194" s="83">
        <v>46087</v>
      </c>
      <c r="D194" t="s">
        <v>679</v>
      </c>
      <c r="E194" t="s">
        <v>697</v>
      </c>
      <c r="F194">
        <v>26</v>
      </c>
      <c r="G194">
        <v>22.1558833333333</v>
      </c>
    </row>
    <row r="195" spans="1:7" x14ac:dyDescent="0.35">
      <c r="A195" t="s">
        <v>847</v>
      </c>
      <c r="B195" t="s">
        <v>676</v>
      </c>
      <c r="C195" s="83">
        <v>46087</v>
      </c>
      <c r="D195" t="s">
        <v>679</v>
      </c>
      <c r="E195" t="s">
        <v>698</v>
      </c>
      <c r="F195">
        <v>18</v>
      </c>
      <c r="G195">
        <v>42.0103333333333</v>
      </c>
    </row>
    <row r="196" spans="1:7" x14ac:dyDescent="0.35">
      <c r="A196" t="s">
        <v>847</v>
      </c>
      <c r="B196" t="s">
        <v>676</v>
      </c>
      <c r="C196" s="83">
        <v>46087</v>
      </c>
      <c r="D196" t="s">
        <v>679</v>
      </c>
      <c r="E196" t="s">
        <v>699</v>
      </c>
      <c r="F196">
        <v>10</v>
      </c>
      <c r="G196">
        <v>33.147399999999998</v>
      </c>
    </row>
    <row r="197" spans="1:7" x14ac:dyDescent="0.35">
      <c r="A197" t="s">
        <v>847</v>
      </c>
      <c r="B197" t="s">
        <v>676</v>
      </c>
      <c r="C197" s="83">
        <v>46088</v>
      </c>
      <c r="D197" t="s">
        <v>679</v>
      </c>
      <c r="E197" t="s">
        <v>700</v>
      </c>
      <c r="F197">
        <v>10</v>
      </c>
      <c r="G197">
        <v>12.833633333333299</v>
      </c>
    </row>
    <row r="198" spans="1:7" x14ac:dyDescent="0.35">
      <c r="A198" t="s">
        <v>847</v>
      </c>
      <c r="B198" t="s">
        <v>676</v>
      </c>
      <c r="C198" s="83">
        <v>46088</v>
      </c>
      <c r="D198" t="s">
        <v>679</v>
      </c>
      <c r="E198" t="s">
        <v>697</v>
      </c>
      <c r="F198">
        <v>8</v>
      </c>
      <c r="G198">
        <v>5.8329000000000004</v>
      </c>
    </row>
    <row r="199" spans="1:7" x14ac:dyDescent="0.35">
      <c r="A199" t="s">
        <v>847</v>
      </c>
      <c r="B199" t="s">
        <v>676</v>
      </c>
      <c r="C199" s="83">
        <v>46088</v>
      </c>
      <c r="D199" t="s">
        <v>679</v>
      </c>
      <c r="E199" t="s">
        <v>698</v>
      </c>
      <c r="F199">
        <v>8</v>
      </c>
      <c r="G199">
        <v>2.4968333333333299</v>
      </c>
    </row>
    <row r="200" spans="1:7" x14ac:dyDescent="0.35">
      <c r="A200" t="s">
        <v>847</v>
      </c>
      <c r="B200" t="s">
        <v>676</v>
      </c>
      <c r="C200" s="83">
        <v>46089</v>
      </c>
      <c r="D200" t="s">
        <v>679</v>
      </c>
      <c r="E200" t="s">
        <v>697</v>
      </c>
      <c r="F200">
        <v>17</v>
      </c>
      <c r="G200">
        <v>10.320216666666701</v>
      </c>
    </row>
    <row r="201" spans="1:7" x14ac:dyDescent="0.35">
      <c r="A201" t="s">
        <v>847</v>
      </c>
      <c r="B201" t="s">
        <v>676</v>
      </c>
      <c r="C201" s="83">
        <v>46089</v>
      </c>
      <c r="D201" t="s">
        <v>679</v>
      </c>
      <c r="E201" t="s">
        <v>698</v>
      </c>
      <c r="F201">
        <v>7</v>
      </c>
      <c r="G201">
        <v>2.9959500000000001</v>
      </c>
    </row>
    <row r="202" spans="1:7" x14ac:dyDescent="0.35">
      <c r="A202" t="s">
        <v>847</v>
      </c>
      <c r="B202" t="s">
        <v>676</v>
      </c>
      <c r="C202" s="83">
        <v>46089</v>
      </c>
      <c r="D202" t="s">
        <v>679</v>
      </c>
      <c r="E202" t="s">
        <v>700</v>
      </c>
      <c r="F202">
        <v>6</v>
      </c>
      <c r="G202">
        <v>8.0027166666666698</v>
      </c>
    </row>
    <row r="203" spans="1:7" x14ac:dyDescent="0.35">
      <c r="A203" t="s">
        <v>847</v>
      </c>
      <c r="B203" t="s">
        <v>676</v>
      </c>
      <c r="C203" s="83">
        <v>46090</v>
      </c>
      <c r="D203" t="s">
        <v>679</v>
      </c>
      <c r="E203" t="s">
        <v>697</v>
      </c>
      <c r="F203">
        <v>19</v>
      </c>
      <c r="G203">
        <v>20.502933333333299</v>
      </c>
    </row>
    <row r="204" spans="1:7" x14ac:dyDescent="0.35">
      <c r="A204" t="s">
        <v>847</v>
      </c>
      <c r="B204" t="s">
        <v>676</v>
      </c>
      <c r="C204" s="83">
        <v>46090</v>
      </c>
      <c r="D204" t="s">
        <v>679</v>
      </c>
      <c r="E204" t="s">
        <v>698</v>
      </c>
      <c r="F204">
        <v>5</v>
      </c>
      <c r="G204">
        <v>2.6691500000000001</v>
      </c>
    </row>
    <row r="205" spans="1:7" x14ac:dyDescent="0.35">
      <c r="A205" t="s">
        <v>847</v>
      </c>
      <c r="B205" t="s">
        <v>676</v>
      </c>
      <c r="C205" s="83">
        <v>46090</v>
      </c>
      <c r="D205" t="s">
        <v>679</v>
      </c>
      <c r="E205" t="s">
        <v>700</v>
      </c>
      <c r="F205">
        <v>5</v>
      </c>
      <c r="G205">
        <v>6.3357666666666699</v>
      </c>
    </row>
    <row r="206" spans="1:7" x14ac:dyDescent="0.35">
      <c r="A206" t="s">
        <v>847</v>
      </c>
      <c r="B206" t="s">
        <v>676</v>
      </c>
      <c r="C206" s="83">
        <v>46091</v>
      </c>
      <c r="D206" t="s">
        <v>679</v>
      </c>
      <c r="E206" t="s">
        <v>697</v>
      </c>
      <c r="F206">
        <v>15</v>
      </c>
      <c r="G206">
        <v>17.173816666666699</v>
      </c>
    </row>
    <row r="207" spans="1:7" x14ac:dyDescent="0.35">
      <c r="A207" t="s">
        <v>847</v>
      </c>
      <c r="B207" t="s">
        <v>676</v>
      </c>
      <c r="C207" s="83">
        <v>46091</v>
      </c>
      <c r="D207" t="s">
        <v>679</v>
      </c>
      <c r="E207" t="s">
        <v>699</v>
      </c>
      <c r="F207">
        <v>7</v>
      </c>
      <c r="G207">
        <v>6.6728500000000004</v>
      </c>
    </row>
    <row r="208" spans="1:7" x14ac:dyDescent="0.35">
      <c r="A208" t="s">
        <v>847</v>
      </c>
      <c r="B208" t="s">
        <v>676</v>
      </c>
      <c r="C208" s="83">
        <v>46091</v>
      </c>
      <c r="D208" t="s">
        <v>679</v>
      </c>
      <c r="E208" t="s">
        <v>700</v>
      </c>
      <c r="F208">
        <v>7</v>
      </c>
      <c r="G208">
        <v>6.8241166666666704</v>
      </c>
    </row>
    <row r="209" spans="1:7" x14ac:dyDescent="0.35">
      <c r="A209" t="s">
        <v>847</v>
      </c>
      <c r="B209" t="s">
        <v>676</v>
      </c>
      <c r="C209" s="83">
        <v>46092</v>
      </c>
      <c r="D209" t="s">
        <v>679</v>
      </c>
      <c r="E209" t="s">
        <v>698</v>
      </c>
      <c r="F209">
        <v>18</v>
      </c>
      <c r="G209">
        <v>23.504633333333299</v>
      </c>
    </row>
    <row r="210" spans="1:7" x14ac:dyDescent="0.35">
      <c r="A210" t="s">
        <v>847</v>
      </c>
      <c r="B210" t="s">
        <v>676</v>
      </c>
      <c r="C210" s="83">
        <v>46092</v>
      </c>
      <c r="D210" t="s">
        <v>679</v>
      </c>
      <c r="E210" t="s">
        <v>699</v>
      </c>
      <c r="F210">
        <v>11</v>
      </c>
      <c r="G210">
        <v>428.19998333333302</v>
      </c>
    </row>
    <row r="211" spans="1:7" x14ac:dyDescent="0.35">
      <c r="A211" t="s">
        <v>847</v>
      </c>
      <c r="B211" t="s">
        <v>676</v>
      </c>
      <c r="C211" s="83">
        <v>46092</v>
      </c>
      <c r="D211" t="s">
        <v>679</v>
      </c>
      <c r="E211" t="s">
        <v>697</v>
      </c>
      <c r="F211">
        <v>8</v>
      </c>
      <c r="G211">
        <v>6.8386666666666702</v>
      </c>
    </row>
    <row r="212" spans="1:7" x14ac:dyDescent="0.35">
      <c r="A212" t="s">
        <v>847</v>
      </c>
      <c r="B212" t="s">
        <v>676</v>
      </c>
      <c r="C212" s="83">
        <v>46093</v>
      </c>
      <c r="D212" t="s">
        <v>679</v>
      </c>
      <c r="E212" t="s">
        <v>700</v>
      </c>
      <c r="F212">
        <v>23</v>
      </c>
      <c r="G212">
        <v>23.833850000000002</v>
      </c>
    </row>
    <row r="213" spans="1:7" x14ac:dyDescent="0.35">
      <c r="A213" t="s">
        <v>847</v>
      </c>
      <c r="B213" t="s">
        <v>676</v>
      </c>
      <c r="C213" s="83">
        <v>46093</v>
      </c>
      <c r="D213" t="s">
        <v>679</v>
      </c>
      <c r="E213" t="s">
        <v>697</v>
      </c>
      <c r="F213">
        <v>13</v>
      </c>
      <c r="G213">
        <v>11.168383333333299</v>
      </c>
    </row>
    <row r="214" spans="1:7" x14ac:dyDescent="0.35">
      <c r="A214" t="s">
        <v>847</v>
      </c>
      <c r="B214" t="s">
        <v>676</v>
      </c>
      <c r="C214" s="83">
        <v>46093</v>
      </c>
      <c r="D214" t="s">
        <v>679</v>
      </c>
      <c r="E214" t="s">
        <v>702</v>
      </c>
      <c r="F214">
        <v>12</v>
      </c>
      <c r="G214">
        <v>3.5076999999999998</v>
      </c>
    </row>
    <row r="215" spans="1:7" x14ac:dyDescent="0.35">
      <c r="A215" t="s">
        <v>847</v>
      </c>
      <c r="B215" t="s">
        <v>676</v>
      </c>
      <c r="C215" s="83">
        <v>46094</v>
      </c>
      <c r="D215" t="s">
        <v>679</v>
      </c>
      <c r="E215" t="s">
        <v>700</v>
      </c>
      <c r="F215">
        <v>22</v>
      </c>
      <c r="G215">
        <v>21.512066666666701</v>
      </c>
    </row>
    <row r="216" spans="1:7" x14ac:dyDescent="0.35">
      <c r="A216" t="s">
        <v>847</v>
      </c>
      <c r="B216" t="s">
        <v>676</v>
      </c>
      <c r="C216" s="83">
        <v>46094</v>
      </c>
      <c r="D216" t="s">
        <v>679</v>
      </c>
      <c r="E216" t="s">
        <v>702</v>
      </c>
      <c r="F216">
        <v>15</v>
      </c>
      <c r="G216">
        <v>6.1775166666666701</v>
      </c>
    </row>
    <row r="217" spans="1:7" x14ac:dyDescent="0.35">
      <c r="A217" t="s">
        <v>847</v>
      </c>
      <c r="B217" t="s">
        <v>676</v>
      </c>
      <c r="C217" s="83">
        <v>46094</v>
      </c>
      <c r="D217" t="s">
        <v>679</v>
      </c>
      <c r="E217" t="s">
        <v>698</v>
      </c>
      <c r="F217">
        <v>9</v>
      </c>
      <c r="G217">
        <v>6.8321666666666703</v>
      </c>
    </row>
    <row r="218" spans="1:7" x14ac:dyDescent="0.35">
      <c r="A218" t="s">
        <v>847</v>
      </c>
      <c r="B218" t="s">
        <v>676</v>
      </c>
      <c r="C218" s="83">
        <v>46095</v>
      </c>
      <c r="D218" t="s">
        <v>679</v>
      </c>
      <c r="E218" t="s">
        <v>700</v>
      </c>
      <c r="F218">
        <v>17</v>
      </c>
      <c r="G218">
        <v>15.17755</v>
      </c>
    </row>
    <row r="219" spans="1:7" x14ac:dyDescent="0.35">
      <c r="A219" t="s">
        <v>847</v>
      </c>
      <c r="B219" t="s">
        <v>676</v>
      </c>
      <c r="C219" s="83">
        <v>46095</v>
      </c>
      <c r="D219" t="s">
        <v>679</v>
      </c>
      <c r="E219" t="s">
        <v>702</v>
      </c>
      <c r="F219">
        <v>16</v>
      </c>
      <c r="G219">
        <v>7.9924999999999997</v>
      </c>
    </row>
    <row r="220" spans="1:7" x14ac:dyDescent="0.35">
      <c r="A220" t="s">
        <v>847</v>
      </c>
      <c r="B220" t="s">
        <v>676</v>
      </c>
      <c r="C220" s="83">
        <v>46095</v>
      </c>
      <c r="D220" t="s">
        <v>679</v>
      </c>
      <c r="E220" t="s">
        <v>701</v>
      </c>
      <c r="F220">
        <v>5</v>
      </c>
      <c r="G220">
        <v>2.0088333333333299</v>
      </c>
    </row>
    <row r="221" spans="1:7" x14ac:dyDescent="0.35">
      <c r="A221" t="s">
        <v>847</v>
      </c>
      <c r="B221" t="s">
        <v>676</v>
      </c>
      <c r="C221" s="83">
        <v>46096</v>
      </c>
      <c r="D221" t="s">
        <v>679</v>
      </c>
      <c r="E221" t="s">
        <v>697</v>
      </c>
      <c r="F221">
        <v>26</v>
      </c>
      <c r="G221">
        <v>23.653416666666701</v>
      </c>
    </row>
    <row r="222" spans="1:7" x14ac:dyDescent="0.35">
      <c r="A222" t="s">
        <v>847</v>
      </c>
      <c r="B222" t="s">
        <v>676</v>
      </c>
      <c r="C222" s="83">
        <v>46096</v>
      </c>
      <c r="D222" t="s">
        <v>679</v>
      </c>
      <c r="E222" t="s">
        <v>700</v>
      </c>
      <c r="F222">
        <v>21</v>
      </c>
      <c r="G222">
        <v>21.676466666666698</v>
      </c>
    </row>
    <row r="223" spans="1:7" x14ac:dyDescent="0.35">
      <c r="A223" t="s">
        <v>847</v>
      </c>
      <c r="B223" t="s">
        <v>676</v>
      </c>
      <c r="C223" s="83">
        <v>46096</v>
      </c>
      <c r="D223" t="s">
        <v>679</v>
      </c>
      <c r="E223" t="s">
        <v>704</v>
      </c>
      <c r="F223">
        <v>13</v>
      </c>
      <c r="G223">
        <v>2.1709666666666698</v>
      </c>
    </row>
    <row r="224" spans="1:7" x14ac:dyDescent="0.35">
      <c r="A224" t="s">
        <v>847</v>
      </c>
      <c r="B224" t="s">
        <v>676</v>
      </c>
      <c r="C224" s="83">
        <v>46097</v>
      </c>
      <c r="D224" t="s">
        <v>679</v>
      </c>
      <c r="E224" t="s">
        <v>700</v>
      </c>
      <c r="F224">
        <v>19</v>
      </c>
      <c r="G224">
        <v>22.007166666666699</v>
      </c>
    </row>
    <row r="225" spans="1:7" x14ac:dyDescent="0.35">
      <c r="A225" t="s">
        <v>847</v>
      </c>
      <c r="B225" t="s">
        <v>676</v>
      </c>
      <c r="C225" s="83">
        <v>46097</v>
      </c>
      <c r="D225" t="s">
        <v>679</v>
      </c>
      <c r="E225" t="s">
        <v>698</v>
      </c>
      <c r="F225">
        <v>5</v>
      </c>
      <c r="G225">
        <v>70.754633333333302</v>
      </c>
    </row>
    <row r="226" spans="1:7" x14ac:dyDescent="0.35">
      <c r="A226" t="s">
        <v>847</v>
      </c>
      <c r="B226" t="s">
        <v>676</v>
      </c>
      <c r="C226" s="83">
        <v>46097</v>
      </c>
      <c r="D226" t="s">
        <v>679</v>
      </c>
      <c r="E226" t="s">
        <v>702</v>
      </c>
      <c r="F226">
        <v>5</v>
      </c>
      <c r="G226">
        <v>1.6473833333333301</v>
      </c>
    </row>
    <row r="227" spans="1:7" x14ac:dyDescent="0.35">
      <c r="A227" t="s">
        <v>847</v>
      </c>
      <c r="B227" t="s">
        <v>676</v>
      </c>
      <c r="C227" s="83">
        <v>46098</v>
      </c>
      <c r="D227" t="s">
        <v>679</v>
      </c>
      <c r="E227" t="s">
        <v>697</v>
      </c>
      <c r="F227">
        <v>10</v>
      </c>
      <c r="G227">
        <v>5.50915</v>
      </c>
    </row>
    <row r="228" spans="1:7" x14ac:dyDescent="0.35">
      <c r="A228" t="s">
        <v>847</v>
      </c>
      <c r="B228" t="s">
        <v>676</v>
      </c>
      <c r="C228" s="83">
        <v>46098</v>
      </c>
      <c r="D228" t="s">
        <v>679</v>
      </c>
      <c r="E228" t="s">
        <v>698</v>
      </c>
      <c r="F228">
        <v>8</v>
      </c>
      <c r="G228">
        <v>253.09365</v>
      </c>
    </row>
    <row r="229" spans="1:7" x14ac:dyDescent="0.35">
      <c r="A229" t="s">
        <v>847</v>
      </c>
      <c r="B229" t="s">
        <v>676</v>
      </c>
      <c r="C229" s="83">
        <v>46098</v>
      </c>
      <c r="D229" t="s">
        <v>679</v>
      </c>
      <c r="E229" t="s">
        <v>700</v>
      </c>
      <c r="F229">
        <v>5</v>
      </c>
      <c r="G229">
        <v>2.6617666666666699</v>
      </c>
    </row>
    <row r="230" spans="1:7" x14ac:dyDescent="0.35">
      <c r="A230" t="s">
        <v>847</v>
      </c>
      <c r="B230" t="s">
        <v>676</v>
      </c>
      <c r="C230" s="83">
        <v>46099</v>
      </c>
      <c r="D230" t="s">
        <v>679</v>
      </c>
      <c r="E230" t="s">
        <v>699</v>
      </c>
      <c r="F230">
        <v>7</v>
      </c>
      <c r="G230">
        <v>6.3250999999999999</v>
      </c>
    </row>
    <row r="231" spans="1:7" x14ac:dyDescent="0.35">
      <c r="A231" t="s">
        <v>847</v>
      </c>
      <c r="B231" t="s">
        <v>676</v>
      </c>
      <c r="C231" s="83">
        <v>46099</v>
      </c>
      <c r="D231" t="s">
        <v>679</v>
      </c>
      <c r="E231" t="s">
        <v>700</v>
      </c>
      <c r="F231">
        <v>7</v>
      </c>
      <c r="G231">
        <v>5.8196833333333302</v>
      </c>
    </row>
    <row r="232" spans="1:7" x14ac:dyDescent="0.35">
      <c r="A232" t="s">
        <v>847</v>
      </c>
      <c r="B232" t="s">
        <v>676</v>
      </c>
      <c r="C232" s="83">
        <v>46099</v>
      </c>
      <c r="D232" t="s">
        <v>679</v>
      </c>
      <c r="E232" t="s">
        <v>702</v>
      </c>
      <c r="F232">
        <v>5</v>
      </c>
      <c r="G232">
        <v>1.99508333333333</v>
      </c>
    </row>
    <row r="233" spans="1:7" x14ac:dyDescent="0.35">
      <c r="A233" t="s">
        <v>847</v>
      </c>
      <c r="B233" t="s">
        <v>676</v>
      </c>
      <c r="C233" s="83">
        <v>46100</v>
      </c>
      <c r="D233" t="s">
        <v>679</v>
      </c>
      <c r="E233" t="s">
        <v>697</v>
      </c>
      <c r="F233">
        <v>24</v>
      </c>
      <c r="G233">
        <v>16.66225</v>
      </c>
    </row>
    <row r="234" spans="1:7" x14ac:dyDescent="0.35">
      <c r="A234" t="s">
        <v>847</v>
      </c>
      <c r="B234" t="s">
        <v>676</v>
      </c>
      <c r="C234" s="83">
        <v>46100</v>
      </c>
      <c r="D234" t="s">
        <v>679</v>
      </c>
      <c r="E234" t="s">
        <v>700</v>
      </c>
      <c r="F234">
        <v>18</v>
      </c>
      <c r="G234">
        <v>16.676183333333299</v>
      </c>
    </row>
    <row r="235" spans="1:7" x14ac:dyDescent="0.35">
      <c r="A235" t="s">
        <v>847</v>
      </c>
      <c r="B235" t="s">
        <v>676</v>
      </c>
      <c r="C235" s="83">
        <v>46100</v>
      </c>
      <c r="D235" t="s">
        <v>679</v>
      </c>
      <c r="E235" t="s">
        <v>702</v>
      </c>
      <c r="F235">
        <v>8</v>
      </c>
      <c r="G235">
        <v>7.0067333333333304</v>
      </c>
    </row>
    <row r="236" spans="1:7" x14ac:dyDescent="0.35">
      <c r="A236" t="s">
        <v>847</v>
      </c>
      <c r="B236" t="s">
        <v>676</v>
      </c>
      <c r="C236" s="83">
        <v>46101</v>
      </c>
      <c r="D236" t="s">
        <v>679</v>
      </c>
      <c r="E236" t="s">
        <v>700</v>
      </c>
      <c r="F236">
        <v>13</v>
      </c>
      <c r="G236">
        <v>11.3341666666667</v>
      </c>
    </row>
    <row r="237" spans="1:7" x14ac:dyDescent="0.35">
      <c r="A237" t="s">
        <v>847</v>
      </c>
      <c r="B237" t="s">
        <v>676</v>
      </c>
      <c r="C237" s="83">
        <v>46101</v>
      </c>
      <c r="D237" t="s">
        <v>679</v>
      </c>
      <c r="E237" t="s">
        <v>702</v>
      </c>
      <c r="F237">
        <v>10</v>
      </c>
      <c r="G237">
        <v>3.1681499999999998</v>
      </c>
    </row>
    <row r="238" spans="1:7" x14ac:dyDescent="0.35">
      <c r="A238" t="s">
        <v>847</v>
      </c>
      <c r="B238" t="s">
        <v>676</v>
      </c>
      <c r="C238" s="83">
        <v>46101</v>
      </c>
      <c r="D238" t="s">
        <v>679</v>
      </c>
      <c r="E238" t="s">
        <v>697</v>
      </c>
      <c r="F238">
        <v>7</v>
      </c>
      <c r="G238">
        <v>3.1757833333333298</v>
      </c>
    </row>
    <row r="239" spans="1:7" x14ac:dyDescent="0.35">
      <c r="A239" t="s">
        <v>847</v>
      </c>
      <c r="B239" t="s">
        <v>676</v>
      </c>
      <c r="C239" s="83">
        <v>46102</v>
      </c>
      <c r="D239" t="s">
        <v>679</v>
      </c>
      <c r="E239" t="s">
        <v>700</v>
      </c>
      <c r="F239">
        <v>22</v>
      </c>
      <c r="G239">
        <v>20.8462666666667</v>
      </c>
    </row>
    <row r="240" spans="1:7" x14ac:dyDescent="0.35">
      <c r="A240" t="s">
        <v>847</v>
      </c>
      <c r="B240" t="s">
        <v>676</v>
      </c>
      <c r="C240" s="83">
        <v>46102</v>
      </c>
      <c r="D240" t="s">
        <v>679</v>
      </c>
      <c r="E240" t="s">
        <v>702</v>
      </c>
      <c r="F240">
        <v>11</v>
      </c>
      <c r="G240">
        <v>3.3274333333333299</v>
      </c>
    </row>
    <row r="241" spans="1:7" x14ac:dyDescent="0.35">
      <c r="A241" t="s">
        <v>847</v>
      </c>
      <c r="B241" t="s">
        <v>676</v>
      </c>
      <c r="C241" s="83">
        <v>46102</v>
      </c>
      <c r="D241" t="s">
        <v>679</v>
      </c>
      <c r="E241" t="s">
        <v>697</v>
      </c>
      <c r="F241">
        <v>9</v>
      </c>
      <c r="G241">
        <v>6.3266999999999998</v>
      </c>
    </row>
    <row r="242" spans="1:7" x14ac:dyDescent="0.35">
      <c r="A242" t="s">
        <v>847</v>
      </c>
      <c r="B242" t="s">
        <v>676</v>
      </c>
      <c r="C242" s="83">
        <v>46103</v>
      </c>
      <c r="D242" t="s">
        <v>679</v>
      </c>
      <c r="E242" t="s">
        <v>700</v>
      </c>
      <c r="F242">
        <v>19</v>
      </c>
      <c r="G242">
        <v>23.5165166666667</v>
      </c>
    </row>
    <row r="243" spans="1:7" x14ac:dyDescent="0.35">
      <c r="A243" t="s">
        <v>847</v>
      </c>
      <c r="B243" t="s">
        <v>676</v>
      </c>
      <c r="C243" s="83">
        <v>46103</v>
      </c>
      <c r="D243" t="s">
        <v>679</v>
      </c>
      <c r="E243" t="s">
        <v>697</v>
      </c>
      <c r="F243">
        <v>10</v>
      </c>
      <c r="G243">
        <v>10.335416666666699</v>
      </c>
    </row>
    <row r="244" spans="1:7" x14ac:dyDescent="0.35">
      <c r="A244" t="s">
        <v>847</v>
      </c>
      <c r="B244" t="s">
        <v>676</v>
      </c>
      <c r="C244" s="83">
        <v>46103</v>
      </c>
      <c r="D244" t="s">
        <v>679</v>
      </c>
      <c r="E244" t="s">
        <v>702</v>
      </c>
      <c r="F244">
        <v>10</v>
      </c>
      <c r="G244">
        <v>16.506183333333301</v>
      </c>
    </row>
    <row r="245" spans="1:7" x14ac:dyDescent="0.35">
      <c r="A245" t="s">
        <v>847</v>
      </c>
      <c r="B245" t="s">
        <v>676</v>
      </c>
      <c r="C245" s="83">
        <v>46104</v>
      </c>
      <c r="D245" t="s">
        <v>679</v>
      </c>
      <c r="E245" t="s">
        <v>700</v>
      </c>
      <c r="F245">
        <v>14</v>
      </c>
      <c r="G245">
        <v>11.9940333333333</v>
      </c>
    </row>
    <row r="246" spans="1:7" x14ac:dyDescent="0.35">
      <c r="A246" t="s">
        <v>847</v>
      </c>
      <c r="B246" t="s">
        <v>676</v>
      </c>
      <c r="C246" s="83">
        <v>46104</v>
      </c>
      <c r="D246" t="s">
        <v>679</v>
      </c>
      <c r="E246" t="s">
        <v>702</v>
      </c>
      <c r="F246">
        <v>12</v>
      </c>
      <c r="G246">
        <v>6.50878333333333</v>
      </c>
    </row>
    <row r="247" spans="1:7" x14ac:dyDescent="0.35">
      <c r="A247" t="s">
        <v>847</v>
      </c>
      <c r="B247" t="s">
        <v>676</v>
      </c>
      <c r="C247" s="83">
        <v>46104</v>
      </c>
      <c r="D247" t="s">
        <v>679</v>
      </c>
      <c r="E247" t="s">
        <v>699</v>
      </c>
      <c r="F247">
        <v>5</v>
      </c>
      <c r="G247">
        <v>19.998899999999999</v>
      </c>
    </row>
    <row r="248" spans="1:7" x14ac:dyDescent="0.35">
      <c r="A248" t="s">
        <v>847</v>
      </c>
      <c r="B248" t="s">
        <v>676</v>
      </c>
      <c r="C248" s="83">
        <v>46105</v>
      </c>
      <c r="D248" t="s">
        <v>679</v>
      </c>
      <c r="E248" t="s">
        <v>700</v>
      </c>
      <c r="F248">
        <v>16</v>
      </c>
      <c r="G248">
        <v>16.0243</v>
      </c>
    </row>
    <row r="249" spans="1:7" x14ac:dyDescent="0.35">
      <c r="A249" t="s">
        <v>847</v>
      </c>
      <c r="B249" t="s">
        <v>676</v>
      </c>
      <c r="C249" s="83">
        <v>46105</v>
      </c>
      <c r="D249" t="s">
        <v>679</v>
      </c>
      <c r="E249" t="s">
        <v>702</v>
      </c>
      <c r="F249">
        <v>13</v>
      </c>
      <c r="G249">
        <v>8.1809666666666701</v>
      </c>
    </row>
    <row r="250" spans="1:7" x14ac:dyDescent="0.35">
      <c r="A250" t="s">
        <v>847</v>
      </c>
      <c r="B250" t="s">
        <v>676</v>
      </c>
      <c r="C250" s="83">
        <v>46105</v>
      </c>
      <c r="D250" t="s">
        <v>679</v>
      </c>
      <c r="E250" t="s">
        <v>699</v>
      </c>
      <c r="F250">
        <v>10</v>
      </c>
      <c r="G250">
        <v>10.328566666666701</v>
      </c>
    </row>
    <row r="251" spans="1:7" x14ac:dyDescent="0.35">
      <c r="A251" t="s">
        <v>847</v>
      </c>
      <c r="B251" t="s">
        <v>676</v>
      </c>
      <c r="C251" s="83">
        <v>46106</v>
      </c>
      <c r="D251" t="s">
        <v>679</v>
      </c>
      <c r="E251" t="s">
        <v>700</v>
      </c>
      <c r="F251">
        <v>21</v>
      </c>
      <c r="G251">
        <v>26.508233333333301</v>
      </c>
    </row>
    <row r="252" spans="1:7" x14ac:dyDescent="0.35">
      <c r="A252" t="s">
        <v>847</v>
      </c>
      <c r="B252" t="s">
        <v>676</v>
      </c>
      <c r="C252" s="83">
        <v>46106</v>
      </c>
      <c r="D252" t="s">
        <v>679</v>
      </c>
      <c r="E252" t="s">
        <v>697</v>
      </c>
      <c r="F252">
        <v>12</v>
      </c>
      <c r="G252">
        <v>7.66956666666667</v>
      </c>
    </row>
    <row r="253" spans="1:7" x14ac:dyDescent="0.35">
      <c r="A253" t="s">
        <v>847</v>
      </c>
      <c r="B253" t="s">
        <v>676</v>
      </c>
      <c r="C253" s="83">
        <v>46106</v>
      </c>
      <c r="D253" t="s">
        <v>679</v>
      </c>
      <c r="E253" t="s">
        <v>702</v>
      </c>
      <c r="F253">
        <v>12</v>
      </c>
      <c r="G253">
        <v>5.3203166666666704</v>
      </c>
    </row>
    <row r="254" spans="1:7" x14ac:dyDescent="0.35">
      <c r="A254" t="s">
        <v>847</v>
      </c>
      <c r="B254" t="s">
        <v>676</v>
      </c>
      <c r="C254" s="83">
        <v>46107</v>
      </c>
      <c r="D254" t="s">
        <v>679</v>
      </c>
      <c r="E254" t="s">
        <v>700</v>
      </c>
      <c r="F254">
        <v>22</v>
      </c>
      <c r="G254">
        <v>21.833466666666698</v>
      </c>
    </row>
    <row r="255" spans="1:7" x14ac:dyDescent="0.35">
      <c r="A255" t="s">
        <v>847</v>
      </c>
      <c r="B255" t="s">
        <v>676</v>
      </c>
      <c r="C255" s="83">
        <v>46107</v>
      </c>
      <c r="D255" t="s">
        <v>679</v>
      </c>
      <c r="E255" t="s">
        <v>697</v>
      </c>
      <c r="F255">
        <v>11</v>
      </c>
      <c r="G255">
        <v>6.8384999999999998</v>
      </c>
    </row>
    <row r="256" spans="1:7" x14ac:dyDescent="0.35">
      <c r="A256" t="s">
        <v>847</v>
      </c>
      <c r="B256" t="s">
        <v>676</v>
      </c>
      <c r="C256" s="83">
        <v>46107</v>
      </c>
      <c r="D256" t="s">
        <v>679</v>
      </c>
      <c r="E256" t="s">
        <v>702</v>
      </c>
      <c r="F256">
        <v>5</v>
      </c>
      <c r="G256">
        <v>1.8366</v>
      </c>
    </row>
    <row r="257" spans="1:7" x14ac:dyDescent="0.35">
      <c r="A257" t="s">
        <v>847</v>
      </c>
      <c r="B257" t="s">
        <v>676</v>
      </c>
      <c r="C257" s="83">
        <v>46108</v>
      </c>
      <c r="D257" t="s">
        <v>679</v>
      </c>
      <c r="E257" t="s">
        <v>700</v>
      </c>
      <c r="F257">
        <v>18</v>
      </c>
      <c r="G257">
        <v>20.97505</v>
      </c>
    </row>
    <row r="258" spans="1:7" x14ac:dyDescent="0.35">
      <c r="A258" t="s">
        <v>847</v>
      </c>
      <c r="B258" t="s">
        <v>676</v>
      </c>
      <c r="C258" s="83">
        <v>46108</v>
      </c>
      <c r="D258" t="s">
        <v>679</v>
      </c>
      <c r="E258" t="s">
        <v>702</v>
      </c>
      <c r="F258">
        <v>9</v>
      </c>
      <c r="G258">
        <v>21.998166666666702</v>
      </c>
    </row>
    <row r="259" spans="1:7" x14ac:dyDescent="0.35">
      <c r="A259" t="s">
        <v>847</v>
      </c>
      <c r="B259" t="s">
        <v>676</v>
      </c>
      <c r="C259" s="83">
        <v>46108</v>
      </c>
      <c r="D259" t="s">
        <v>679</v>
      </c>
      <c r="E259" t="s">
        <v>697</v>
      </c>
      <c r="F259">
        <v>5</v>
      </c>
      <c r="G259">
        <v>3.6584833333333302</v>
      </c>
    </row>
    <row r="260" spans="1:7" x14ac:dyDescent="0.35">
      <c r="A260" t="s">
        <v>847</v>
      </c>
      <c r="B260" t="s">
        <v>676</v>
      </c>
      <c r="C260" s="83">
        <v>46109</v>
      </c>
      <c r="D260" t="s">
        <v>679</v>
      </c>
      <c r="E260" t="s">
        <v>697</v>
      </c>
      <c r="F260">
        <v>16</v>
      </c>
      <c r="G260">
        <v>16.325399999999998</v>
      </c>
    </row>
    <row r="261" spans="1:7" x14ac:dyDescent="0.35">
      <c r="A261" t="s">
        <v>847</v>
      </c>
      <c r="B261" t="s">
        <v>676</v>
      </c>
      <c r="C261" s="83">
        <v>46109</v>
      </c>
      <c r="D261" t="s">
        <v>679</v>
      </c>
      <c r="E261" t="s">
        <v>700</v>
      </c>
      <c r="F261">
        <v>14</v>
      </c>
      <c r="G261">
        <v>12.851233333333299</v>
      </c>
    </row>
    <row r="262" spans="1:7" x14ac:dyDescent="0.35">
      <c r="A262" t="s">
        <v>847</v>
      </c>
      <c r="B262" t="s">
        <v>676</v>
      </c>
      <c r="C262" s="83">
        <v>46109</v>
      </c>
      <c r="D262" t="s">
        <v>679</v>
      </c>
      <c r="E262" t="s">
        <v>698</v>
      </c>
      <c r="F262">
        <v>11</v>
      </c>
      <c r="G262">
        <v>323.36298333333298</v>
      </c>
    </row>
    <row r="263" spans="1:7" x14ac:dyDescent="0.35">
      <c r="A263" t="s">
        <v>847</v>
      </c>
      <c r="B263" t="s">
        <v>676</v>
      </c>
      <c r="C263" s="83">
        <v>46110</v>
      </c>
      <c r="D263" t="s">
        <v>679</v>
      </c>
      <c r="E263" t="s">
        <v>700</v>
      </c>
      <c r="F263">
        <v>29</v>
      </c>
      <c r="G263">
        <v>33.51435</v>
      </c>
    </row>
    <row r="264" spans="1:7" x14ac:dyDescent="0.35">
      <c r="A264" t="s">
        <v>847</v>
      </c>
      <c r="B264" t="s">
        <v>676</v>
      </c>
      <c r="C264" s="83">
        <v>46110</v>
      </c>
      <c r="D264" t="s">
        <v>679</v>
      </c>
      <c r="E264" t="s">
        <v>702</v>
      </c>
      <c r="F264">
        <v>21</v>
      </c>
      <c r="G264">
        <v>12.999183333333299</v>
      </c>
    </row>
    <row r="265" spans="1:7" x14ac:dyDescent="0.35">
      <c r="A265" t="s">
        <v>847</v>
      </c>
      <c r="B265" t="s">
        <v>676</v>
      </c>
      <c r="C265" s="83">
        <v>46110</v>
      </c>
      <c r="D265" t="s">
        <v>679</v>
      </c>
      <c r="E265" t="s">
        <v>698</v>
      </c>
      <c r="F265">
        <v>6</v>
      </c>
      <c r="G265">
        <v>3.0002666666666702</v>
      </c>
    </row>
    <row r="266" spans="1:7" x14ac:dyDescent="0.35">
      <c r="A266" t="s">
        <v>847</v>
      </c>
      <c r="B266" t="s">
        <v>676</v>
      </c>
      <c r="C266" s="83">
        <v>46111</v>
      </c>
      <c r="D266" t="s">
        <v>679</v>
      </c>
      <c r="E266" t="s">
        <v>700</v>
      </c>
      <c r="F266">
        <v>26</v>
      </c>
      <c r="G266">
        <v>25.3281666666667</v>
      </c>
    </row>
    <row r="267" spans="1:7" x14ac:dyDescent="0.35">
      <c r="A267" t="s">
        <v>847</v>
      </c>
      <c r="B267" t="s">
        <v>676</v>
      </c>
      <c r="C267" s="83">
        <v>46111</v>
      </c>
      <c r="D267" t="s">
        <v>679</v>
      </c>
      <c r="E267" t="s">
        <v>702</v>
      </c>
      <c r="F267">
        <v>12</v>
      </c>
      <c r="G267">
        <v>4.1864333333333299</v>
      </c>
    </row>
    <row r="268" spans="1:7" x14ac:dyDescent="0.35">
      <c r="A268" t="s">
        <v>847</v>
      </c>
      <c r="B268" t="s">
        <v>676</v>
      </c>
      <c r="C268" s="83">
        <v>46111</v>
      </c>
      <c r="D268" t="s">
        <v>679</v>
      </c>
      <c r="E268" t="s">
        <v>698</v>
      </c>
      <c r="F268">
        <v>6</v>
      </c>
      <c r="G268">
        <v>11.670766666666699</v>
      </c>
    </row>
    <row r="269" spans="1:7" x14ac:dyDescent="0.35">
      <c r="A269" t="s">
        <v>847</v>
      </c>
      <c r="B269" t="s">
        <v>676</v>
      </c>
      <c r="C269" s="83">
        <v>46112</v>
      </c>
      <c r="D269" t="s">
        <v>679</v>
      </c>
      <c r="E269" t="s">
        <v>700</v>
      </c>
      <c r="F269">
        <v>24</v>
      </c>
      <c r="G269">
        <v>20.3432666666667</v>
      </c>
    </row>
    <row r="270" spans="1:7" x14ac:dyDescent="0.35">
      <c r="A270" t="s">
        <v>847</v>
      </c>
      <c r="B270" t="s">
        <v>676</v>
      </c>
      <c r="C270" s="83">
        <v>46112</v>
      </c>
      <c r="D270" t="s">
        <v>679</v>
      </c>
      <c r="E270" t="s">
        <v>702</v>
      </c>
      <c r="F270">
        <v>11</v>
      </c>
      <c r="G270">
        <v>4.1743333333333297</v>
      </c>
    </row>
    <row r="271" spans="1:7" x14ac:dyDescent="0.35">
      <c r="A271" t="s">
        <v>847</v>
      </c>
      <c r="B271" t="s">
        <v>676</v>
      </c>
      <c r="C271" s="83">
        <v>46112</v>
      </c>
      <c r="D271" t="s">
        <v>679</v>
      </c>
      <c r="E271" t="s">
        <v>698</v>
      </c>
      <c r="F271">
        <v>3</v>
      </c>
      <c r="G271">
        <v>0.83414999999999995</v>
      </c>
    </row>
    <row r="272" spans="1:7" x14ac:dyDescent="0.35">
      <c r="A272" t="s">
        <v>847</v>
      </c>
      <c r="B272" t="s">
        <v>676</v>
      </c>
      <c r="C272" s="83">
        <v>46113</v>
      </c>
      <c r="D272" t="s">
        <v>679</v>
      </c>
      <c r="E272" t="s">
        <v>698</v>
      </c>
      <c r="F272">
        <v>14</v>
      </c>
      <c r="G272">
        <v>25.176449999999999</v>
      </c>
    </row>
    <row r="273" spans="1:7" x14ac:dyDescent="0.35">
      <c r="A273" t="s">
        <v>847</v>
      </c>
      <c r="B273" t="s">
        <v>676</v>
      </c>
      <c r="C273" s="83">
        <v>46113</v>
      </c>
      <c r="D273" t="s">
        <v>679</v>
      </c>
      <c r="E273" t="s">
        <v>700</v>
      </c>
      <c r="F273">
        <v>14</v>
      </c>
      <c r="G273">
        <v>145.67930000000001</v>
      </c>
    </row>
    <row r="274" spans="1:7" x14ac:dyDescent="0.35">
      <c r="A274" t="s">
        <v>847</v>
      </c>
      <c r="B274" t="s">
        <v>676</v>
      </c>
      <c r="C274" s="83">
        <v>46113</v>
      </c>
      <c r="D274" t="s">
        <v>679</v>
      </c>
      <c r="E274" t="s">
        <v>704</v>
      </c>
      <c r="F274">
        <v>12</v>
      </c>
      <c r="G274">
        <v>25.325316666666701</v>
      </c>
    </row>
    <row r="275" spans="1:7" x14ac:dyDescent="0.35">
      <c r="A275" t="s">
        <v>847</v>
      </c>
      <c r="B275" t="s">
        <v>676</v>
      </c>
      <c r="C275" s="83">
        <v>46114</v>
      </c>
      <c r="D275" t="s">
        <v>679</v>
      </c>
      <c r="E275" t="s">
        <v>700</v>
      </c>
      <c r="F275">
        <v>20</v>
      </c>
      <c r="G275">
        <v>25.660616666666701</v>
      </c>
    </row>
    <row r="276" spans="1:7" x14ac:dyDescent="0.35">
      <c r="A276" t="s">
        <v>847</v>
      </c>
      <c r="B276" t="s">
        <v>676</v>
      </c>
      <c r="C276" s="83">
        <v>46114</v>
      </c>
      <c r="D276" t="s">
        <v>679</v>
      </c>
      <c r="E276" t="s">
        <v>702</v>
      </c>
      <c r="F276">
        <v>10</v>
      </c>
      <c r="G276">
        <v>4.3220000000000001</v>
      </c>
    </row>
    <row r="277" spans="1:7" x14ac:dyDescent="0.35">
      <c r="A277" t="s">
        <v>847</v>
      </c>
      <c r="B277" t="s">
        <v>676</v>
      </c>
      <c r="C277" s="83">
        <v>46114</v>
      </c>
      <c r="D277" t="s">
        <v>679</v>
      </c>
      <c r="E277" t="s">
        <v>697</v>
      </c>
      <c r="F277">
        <v>7</v>
      </c>
      <c r="G277">
        <v>4.5017500000000004</v>
      </c>
    </row>
    <row r="278" spans="1:7" x14ac:dyDescent="0.35">
      <c r="A278" t="s">
        <v>847</v>
      </c>
      <c r="B278" t="s">
        <v>676</v>
      </c>
      <c r="C278" s="83">
        <v>46115</v>
      </c>
      <c r="D278" t="s">
        <v>679</v>
      </c>
      <c r="E278" t="s">
        <v>697</v>
      </c>
      <c r="F278">
        <v>7</v>
      </c>
      <c r="G278">
        <v>5.8352000000000004</v>
      </c>
    </row>
    <row r="279" spans="1:7" x14ac:dyDescent="0.35">
      <c r="A279" t="s">
        <v>847</v>
      </c>
      <c r="B279" t="s">
        <v>676</v>
      </c>
      <c r="C279" s="83">
        <v>46115</v>
      </c>
      <c r="D279" t="s">
        <v>679</v>
      </c>
      <c r="E279" t="s">
        <v>700</v>
      </c>
      <c r="F279">
        <v>6</v>
      </c>
      <c r="G279">
        <v>6.3235999999999999</v>
      </c>
    </row>
    <row r="280" spans="1:7" x14ac:dyDescent="0.35">
      <c r="A280" t="s">
        <v>847</v>
      </c>
      <c r="B280" t="s">
        <v>676</v>
      </c>
      <c r="C280" s="83">
        <v>46115</v>
      </c>
      <c r="D280" t="s">
        <v>679</v>
      </c>
      <c r="E280" t="s">
        <v>699</v>
      </c>
      <c r="F280">
        <v>5</v>
      </c>
      <c r="G280">
        <v>393.706883333333</v>
      </c>
    </row>
    <row r="281" spans="1:7" x14ac:dyDescent="0.35">
      <c r="A281" t="s">
        <v>847</v>
      </c>
      <c r="B281" t="s">
        <v>676</v>
      </c>
      <c r="C281" s="83">
        <v>46116</v>
      </c>
      <c r="D281" t="s">
        <v>679</v>
      </c>
      <c r="E281" t="s">
        <v>700</v>
      </c>
      <c r="F281">
        <v>20</v>
      </c>
      <c r="G281">
        <v>20.036816666666699</v>
      </c>
    </row>
    <row r="282" spans="1:7" x14ac:dyDescent="0.35">
      <c r="A282" t="s">
        <v>847</v>
      </c>
      <c r="B282" t="s">
        <v>676</v>
      </c>
      <c r="C282" s="83">
        <v>46116</v>
      </c>
      <c r="D282" t="s">
        <v>679</v>
      </c>
      <c r="E282" t="s">
        <v>702</v>
      </c>
      <c r="F282">
        <v>15</v>
      </c>
      <c r="G282">
        <v>8.35781666666667</v>
      </c>
    </row>
    <row r="283" spans="1:7" x14ac:dyDescent="0.35">
      <c r="A283" t="s">
        <v>847</v>
      </c>
      <c r="B283" t="s">
        <v>676</v>
      </c>
      <c r="C283" s="83">
        <v>46116</v>
      </c>
      <c r="D283" t="s">
        <v>679</v>
      </c>
      <c r="E283" t="s">
        <v>697</v>
      </c>
      <c r="F283">
        <v>13</v>
      </c>
      <c r="G283">
        <v>8.8463499999999993</v>
      </c>
    </row>
    <row r="284" spans="1:7" x14ac:dyDescent="0.35">
      <c r="A284" t="s">
        <v>847</v>
      </c>
      <c r="B284" t="s">
        <v>676</v>
      </c>
      <c r="C284" s="83">
        <v>46117</v>
      </c>
      <c r="D284" t="s">
        <v>679</v>
      </c>
      <c r="E284" t="s">
        <v>697</v>
      </c>
      <c r="F284">
        <v>24</v>
      </c>
      <c r="G284">
        <v>15.1786833333333</v>
      </c>
    </row>
    <row r="285" spans="1:7" x14ac:dyDescent="0.35">
      <c r="A285" t="s">
        <v>847</v>
      </c>
      <c r="B285" t="s">
        <v>676</v>
      </c>
      <c r="C285" s="83">
        <v>46117</v>
      </c>
      <c r="D285" t="s">
        <v>679</v>
      </c>
      <c r="E285" t="s">
        <v>700</v>
      </c>
      <c r="F285">
        <v>18</v>
      </c>
      <c r="G285">
        <v>19.3354</v>
      </c>
    </row>
    <row r="286" spans="1:7" x14ac:dyDescent="0.35">
      <c r="A286" t="s">
        <v>847</v>
      </c>
      <c r="B286" t="s">
        <v>676</v>
      </c>
      <c r="C286" s="83">
        <v>46117</v>
      </c>
      <c r="D286" t="s">
        <v>679</v>
      </c>
      <c r="E286" t="s">
        <v>702</v>
      </c>
      <c r="F286">
        <v>14</v>
      </c>
      <c r="G286">
        <v>4.1626000000000003</v>
      </c>
    </row>
    <row r="287" spans="1:7" x14ac:dyDescent="0.35">
      <c r="A287" t="s">
        <v>847</v>
      </c>
      <c r="B287" t="s">
        <v>676</v>
      </c>
      <c r="C287" s="83">
        <v>46118</v>
      </c>
      <c r="D287" t="s">
        <v>679</v>
      </c>
      <c r="E287" t="s">
        <v>697</v>
      </c>
      <c r="F287">
        <v>20</v>
      </c>
      <c r="G287">
        <v>16.654983333333298</v>
      </c>
    </row>
    <row r="288" spans="1:7" x14ac:dyDescent="0.35">
      <c r="A288" t="s">
        <v>847</v>
      </c>
      <c r="B288" t="s">
        <v>676</v>
      </c>
      <c r="C288" s="83">
        <v>46118</v>
      </c>
      <c r="D288" t="s">
        <v>679</v>
      </c>
      <c r="E288" t="s">
        <v>700</v>
      </c>
      <c r="F288">
        <v>14</v>
      </c>
      <c r="G288">
        <v>22.670933333333299</v>
      </c>
    </row>
    <row r="289" spans="1:7" x14ac:dyDescent="0.35">
      <c r="A289" t="s">
        <v>847</v>
      </c>
      <c r="B289" t="s">
        <v>676</v>
      </c>
      <c r="C289" s="83">
        <v>46118</v>
      </c>
      <c r="D289" t="s">
        <v>679</v>
      </c>
      <c r="E289" t="s">
        <v>702</v>
      </c>
      <c r="F289">
        <v>7</v>
      </c>
      <c r="G289">
        <v>6.1683833333333302</v>
      </c>
    </row>
    <row r="290" spans="1:7" x14ac:dyDescent="0.35">
      <c r="A290" t="s">
        <v>847</v>
      </c>
      <c r="B290" t="s">
        <v>676</v>
      </c>
      <c r="C290" s="83">
        <v>46119</v>
      </c>
      <c r="D290" t="s">
        <v>678</v>
      </c>
      <c r="E290" t="s">
        <v>700</v>
      </c>
      <c r="F290">
        <v>14</v>
      </c>
      <c r="G290">
        <v>10.168616666666701</v>
      </c>
    </row>
    <row r="291" spans="1:7" x14ac:dyDescent="0.35">
      <c r="A291" t="s">
        <v>847</v>
      </c>
      <c r="B291" t="s">
        <v>676</v>
      </c>
      <c r="C291" s="83">
        <v>46119</v>
      </c>
      <c r="D291" t="s">
        <v>678</v>
      </c>
      <c r="E291" t="s">
        <v>697</v>
      </c>
      <c r="F291">
        <v>11</v>
      </c>
      <c r="G291">
        <v>6.4906333333333404</v>
      </c>
    </row>
    <row r="292" spans="1:7" x14ac:dyDescent="0.35">
      <c r="A292" t="s">
        <v>847</v>
      </c>
      <c r="B292" t="s">
        <v>676</v>
      </c>
      <c r="C292" s="83">
        <v>46119</v>
      </c>
      <c r="D292" t="s">
        <v>678</v>
      </c>
      <c r="E292" t="s">
        <v>707</v>
      </c>
      <c r="F292">
        <v>1</v>
      </c>
      <c r="G292">
        <v>0.16693333333333299</v>
      </c>
    </row>
    <row r="293" spans="1:7" x14ac:dyDescent="0.35">
      <c r="A293" t="s">
        <v>847</v>
      </c>
      <c r="B293" t="s">
        <v>676</v>
      </c>
      <c r="C293" s="83">
        <v>46119</v>
      </c>
      <c r="D293" t="s">
        <v>679</v>
      </c>
      <c r="E293" t="s">
        <v>697</v>
      </c>
      <c r="F293">
        <v>31</v>
      </c>
      <c r="G293">
        <v>22.347916666666698</v>
      </c>
    </row>
    <row r="294" spans="1:7" x14ac:dyDescent="0.35">
      <c r="A294" t="s">
        <v>847</v>
      </c>
      <c r="B294" t="s">
        <v>676</v>
      </c>
      <c r="C294" s="83">
        <v>46119</v>
      </c>
      <c r="D294" t="s">
        <v>679</v>
      </c>
      <c r="E294" t="s">
        <v>700</v>
      </c>
      <c r="F294">
        <v>20</v>
      </c>
      <c r="G294">
        <v>21.495249999999999</v>
      </c>
    </row>
    <row r="295" spans="1:7" x14ac:dyDescent="0.35">
      <c r="A295" t="s">
        <v>847</v>
      </c>
      <c r="B295" t="s">
        <v>676</v>
      </c>
      <c r="C295" s="83">
        <v>46119</v>
      </c>
      <c r="D295" t="s">
        <v>679</v>
      </c>
      <c r="E295" t="s">
        <v>698</v>
      </c>
      <c r="F295">
        <v>4</v>
      </c>
      <c r="G295">
        <v>1.6680333333333299</v>
      </c>
    </row>
    <row r="296" spans="1:7" x14ac:dyDescent="0.35">
      <c r="A296" t="s">
        <v>847</v>
      </c>
      <c r="B296" t="s">
        <v>676</v>
      </c>
      <c r="C296" s="83">
        <v>46120</v>
      </c>
      <c r="D296" t="s">
        <v>678</v>
      </c>
      <c r="E296" t="s">
        <v>700</v>
      </c>
      <c r="F296">
        <v>11</v>
      </c>
      <c r="G296">
        <v>14.3365166666667</v>
      </c>
    </row>
    <row r="297" spans="1:7" x14ac:dyDescent="0.35">
      <c r="A297" t="s">
        <v>847</v>
      </c>
      <c r="B297" t="s">
        <v>676</v>
      </c>
      <c r="C297" s="83">
        <v>46120</v>
      </c>
      <c r="D297" t="s">
        <v>678</v>
      </c>
      <c r="E297" t="s">
        <v>697</v>
      </c>
      <c r="F297">
        <v>9</v>
      </c>
      <c r="G297">
        <v>7.3232333333333299</v>
      </c>
    </row>
    <row r="298" spans="1:7" x14ac:dyDescent="0.35">
      <c r="A298" t="s">
        <v>847</v>
      </c>
      <c r="B298" t="s">
        <v>676</v>
      </c>
      <c r="C298" s="83">
        <v>46120</v>
      </c>
      <c r="D298" t="s">
        <v>678</v>
      </c>
      <c r="E298" t="s">
        <v>699</v>
      </c>
      <c r="F298">
        <v>4</v>
      </c>
      <c r="G298">
        <v>394.20245</v>
      </c>
    </row>
    <row r="299" spans="1:7" x14ac:dyDescent="0.35">
      <c r="A299" t="s">
        <v>847</v>
      </c>
      <c r="B299" t="s">
        <v>676</v>
      </c>
      <c r="C299" s="83">
        <v>46120</v>
      </c>
      <c r="D299" t="s">
        <v>679</v>
      </c>
      <c r="E299" t="s">
        <v>700</v>
      </c>
      <c r="F299">
        <v>9</v>
      </c>
      <c r="G299">
        <v>9.6573166666666701</v>
      </c>
    </row>
    <row r="300" spans="1:7" x14ac:dyDescent="0.35">
      <c r="A300" t="s">
        <v>847</v>
      </c>
      <c r="B300" t="s">
        <v>676</v>
      </c>
      <c r="C300" s="83">
        <v>46120</v>
      </c>
      <c r="D300" t="s">
        <v>679</v>
      </c>
      <c r="E300" t="s">
        <v>707</v>
      </c>
      <c r="F300">
        <v>5</v>
      </c>
      <c r="G300">
        <v>1.5073333333333301</v>
      </c>
    </row>
    <row r="301" spans="1:7" x14ac:dyDescent="0.35">
      <c r="A301" t="s">
        <v>847</v>
      </c>
      <c r="B301" t="s">
        <v>676</v>
      </c>
      <c r="C301" s="83">
        <v>46120</v>
      </c>
      <c r="D301" t="s">
        <v>679</v>
      </c>
      <c r="E301" t="s">
        <v>697</v>
      </c>
      <c r="F301">
        <v>4</v>
      </c>
      <c r="G301">
        <v>2.1678999999999999</v>
      </c>
    </row>
    <row r="302" spans="1:7" x14ac:dyDescent="0.35">
      <c r="A302" t="s">
        <v>847</v>
      </c>
      <c r="B302" t="s">
        <v>676</v>
      </c>
      <c r="C302" s="83">
        <v>46121</v>
      </c>
      <c r="D302" t="s">
        <v>678</v>
      </c>
      <c r="E302" t="s">
        <v>700</v>
      </c>
      <c r="F302">
        <v>12</v>
      </c>
      <c r="G302">
        <v>11.511233333333299</v>
      </c>
    </row>
    <row r="303" spans="1:7" x14ac:dyDescent="0.35">
      <c r="A303" t="s">
        <v>847</v>
      </c>
      <c r="B303" t="s">
        <v>676</v>
      </c>
      <c r="C303" s="83">
        <v>46121</v>
      </c>
      <c r="D303" t="s">
        <v>678</v>
      </c>
      <c r="E303" t="s">
        <v>698</v>
      </c>
      <c r="F303">
        <v>6</v>
      </c>
      <c r="G303">
        <v>4.9858333333333302</v>
      </c>
    </row>
    <row r="304" spans="1:7" x14ac:dyDescent="0.35">
      <c r="A304" t="s">
        <v>847</v>
      </c>
      <c r="B304" t="s">
        <v>676</v>
      </c>
      <c r="C304" s="83">
        <v>46121</v>
      </c>
      <c r="D304" t="s">
        <v>678</v>
      </c>
      <c r="E304" t="s">
        <v>697</v>
      </c>
      <c r="F304">
        <v>5</v>
      </c>
      <c r="G304">
        <v>2.6640999999999999</v>
      </c>
    </row>
    <row r="305" spans="1:7" x14ac:dyDescent="0.35">
      <c r="A305" t="s">
        <v>847</v>
      </c>
      <c r="B305" t="s">
        <v>676</v>
      </c>
      <c r="C305" s="83">
        <v>46121</v>
      </c>
      <c r="D305" t="s">
        <v>679</v>
      </c>
      <c r="E305" t="s">
        <v>697</v>
      </c>
      <c r="F305">
        <v>22</v>
      </c>
      <c r="G305">
        <v>16.018350000000002</v>
      </c>
    </row>
    <row r="306" spans="1:7" x14ac:dyDescent="0.35">
      <c r="A306" t="s">
        <v>847</v>
      </c>
      <c r="B306" t="s">
        <v>676</v>
      </c>
      <c r="C306" s="83">
        <v>46121</v>
      </c>
      <c r="D306" t="s">
        <v>679</v>
      </c>
      <c r="E306" t="s">
        <v>704</v>
      </c>
      <c r="F306">
        <v>13</v>
      </c>
      <c r="G306">
        <v>4.0137833333333299</v>
      </c>
    </row>
    <row r="307" spans="1:7" x14ac:dyDescent="0.35">
      <c r="A307" t="s">
        <v>847</v>
      </c>
      <c r="B307" t="s">
        <v>676</v>
      </c>
      <c r="C307" s="83">
        <v>46121</v>
      </c>
      <c r="D307" t="s">
        <v>679</v>
      </c>
      <c r="E307" t="s">
        <v>700</v>
      </c>
      <c r="F307">
        <v>10</v>
      </c>
      <c r="G307">
        <v>10.1759166666667</v>
      </c>
    </row>
    <row r="308" spans="1:7" x14ac:dyDescent="0.35">
      <c r="A308" t="s">
        <v>847</v>
      </c>
      <c r="B308" t="s">
        <v>676</v>
      </c>
      <c r="C308" s="83">
        <v>46122</v>
      </c>
      <c r="D308" t="s">
        <v>678</v>
      </c>
      <c r="E308" t="s">
        <v>702</v>
      </c>
      <c r="F308">
        <v>26</v>
      </c>
      <c r="G308">
        <v>18.3352</v>
      </c>
    </row>
    <row r="309" spans="1:7" x14ac:dyDescent="0.35">
      <c r="A309" t="s">
        <v>847</v>
      </c>
      <c r="B309" t="s">
        <v>676</v>
      </c>
      <c r="C309" s="83">
        <v>46122</v>
      </c>
      <c r="D309" t="s">
        <v>678</v>
      </c>
      <c r="E309" t="s">
        <v>700</v>
      </c>
      <c r="F309">
        <v>25</v>
      </c>
      <c r="G309">
        <v>22.18535</v>
      </c>
    </row>
    <row r="310" spans="1:7" x14ac:dyDescent="0.35">
      <c r="A310" t="s">
        <v>847</v>
      </c>
      <c r="B310" t="s">
        <v>676</v>
      </c>
      <c r="C310" s="83">
        <v>46122</v>
      </c>
      <c r="D310" t="s">
        <v>678</v>
      </c>
      <c r="E310" t="s">
        <v>697</v>
      </c>
      <c r="F310">
        <v>8</v>
      </c>
      <c r="G310">
        <v>7.6639999999999997</v>
      </c>
    </row>
    <row r="311" spans="1:7" x14ac:dyDescent="0.35">
      <c r="A311" t="s">
        <v>847</v>
      </c>
      <c r="B311" t="s">
        <v>676</v>
      </c>
      <c r="C311" s="83">
        <v>46122</v>
      </c>
      <c r="D311" t="s">
        <v>679</v>
      </c>
      <c r="E311" t="s">
        <v>704</v>
      </c>
      <c r="F311">
        <v>29</v>
      </c>
      <c r="G311">
        <v>21.161266666666702</v>
      </c>
    </row>
    <row r="312" spans="1:7" x14ac:dyDescent="0.35">
      <c r="A312" t="s">
        <v>847</v>
      </c>
      <c r="B312" t="s">
        <v>676</v>
      </c>
      <c r="C312" s="83">
        <v>46122</v>
      </c>
      <c r="D312" t="s">
        <v>679</v>
      </c>
      <c r="E312" t="s">
        <v>700</v>
      </c>
      <c r="F312">
        <v>17</v>
      </c>
      <c r="G312">
        <v>15.842116666666699</v>
      </c>
    </row>
    <row r="313" spans="1:7" x14ac:dyDescent="0.35">
      <c r="A313" t="s">
        <v>847</v>
      </c>
      <c r="B313" t="s">
        <v>676</v>
      </c>
      <c r="C313" s="83">
        <v>46122</v>
      </c>
      <c r="D313" t="s">
        <v>679</v>
      </c>
      <c r="E313" t="s">
        <v>697</v>
      </c>
      <c r="F313">
        <v>17</v>
      </c>
      <c r="G313">
        <v>10.667533333333299</v>
      </c>
    </row>
    <row r="314" spans="1:7" x14ac:dyDescent="0.35">
      <c r="A314" t="s">
        <v>847</v>
      </c>
      <c r="B314" t="s">
        <v>676</v>
      </c>
      <c r="C314" s="83">
        <v>46123</v>
      </c>
      <c r="D314" t="s">
        <v>678</v>
      </c>
      <c r="E314" t="s">
        <v>697</v>
      </c>
      <c r="F314">
        <v>15</v>
      </c>
      <c r="G314">
        <v>18.3719</v>
      </c>
    </row>
    <row r="315" spans="1:7" x14ac:dyDescent="0.35">
      <c r="A315" t="s">
        <v>847</v>
      </c>
      <c r="B315" t="s">
        <v>676</v>
      </c>
      <c r="C315" s="83">
        <v>46123</v>
      </c>
      <c r="D315" t="s">
        <v>678</v>
      </c>
      <c r="E315" t="s">
        <v>699</v>
      </c>
      <c r="F315">
        <v>10</v>
      </c>
      <c r="G315">
        <v>182.01323333333301</v>
      </c>
    </row>
    <row r="316" spans="1:7" x14ac:dyDescent="0.35">
      <c r="A316" t="s">
        <v>847</v>
      </c>
      <c r="B316" t="s">
        <v>676</v>
      </c>
      <c r="C316" s="83">
        <v>46123</v>
      </c>
      <c r="D316" t="s">
        <v>678</v>
      </c>
      <c r="E316" t="s">
        <v>705</v>
      </c>
      <c r="F316">
        <v>9</v>
      </c>
      <c r="G316">
        <v>7.3617833333333298</v>
      </c>
    </row>
    <row r="317" spans="1:7" x14ac:dyDescent="0.35">
      <c r="A317" t="s">
        <v>847</v>
      </c>
      <c r="B317" t="s">
        <v>676</v>
      </c>
      <c r="C317" s="83">
        <v>46123</v>
      </c>
      <c r="D317" t="s">
        <v>679</v>
      </c>
      <c r="E317" t="s">
        <v>697</v>
      </c>
      <c r="F317">
        <v>29</v>
      </c>
      <c r="G317">
        <v>27.919933333333301</v>
      </c>
    </row>
    <row r="318" spans="1:7" x14ac:dyDescent="0.35">
      <c r="A318" t="s">
        <v>847</v>
      </c>
      <c r="B318" t="s">
        <v>676</v>
      </c>
      <c r="C318" s="83">
        <v>46123</v>
      </c>
      <c r="D318" t="s">
        <v>679</v>
      </c>
      <c r="E318" t="s">
        <v>699</v>
      </c>
      <c r="F318">
        <v>13</v>
      </c>
      <c r="G318">
        <v>13.854616666666701</v>
      </c>
    </row>
    <row r="319" spans="1:7" x14ac:dyDescent="0.35">
      <c r="A319" t="s">
        <v>847</v>
      </c>
      <c r="B319" t="s">
        <v>676</v>
      </c>
      <c r="C319" s="83">
        <v>46123</v>
      </c>
      <c r="D319" t="s">
        <v>679</v>
      </c>
      <c r="E319" t="s">
        <v>702</v>
      </c>
      <c r="F319">
        <v>10</v>
      </c>
      <c r="G319">
        <v>4.8601333333333301</v>
      </c>
    </row>
    <row r="320" spans="1:7" x14ac:dyDescent="0.35">
      <c r="A320" t="s">
        <v>847</v>
      </c>
      <c r="B320" t="s">
        <v>676</v>
      </c>
      <c r="C320" s="83">
        <v>46124</v>
      </c>
      <c r="D320" t="s">
        <v>678</v>
      </c>
      <c r="E320" t="s">
        <v>697</v>
      </c>
      <c r="F320">
        <v>34</v>
      </c>
      <c r="G320">
        <v>20.8372666666667</v>
      </c>
    </row>
    <row r="321" spans="1:7" x14ac:dyDescent="0.35">
      <c r="A321" t="s">
        <v>847</v>
      </c>
      <c r="B321" t="s">
        <v>676</v>
      </c>
      <c r="C321" s="83">
        <v>46124</v>
      </c>
      <c r="D321" t="s">
        <v>678</v>
      </c>
      <c r="E321" t="s">
        <v>705</v>
      </c>
      <c r="F321">
        <v>14</v>
      </c>
      <c r="G321">
        <v>8.5053333333333292</v>
      </c>
    </row>
    <row r="322" spans="1:7" x14ac:dyDescent="0.35">
      <c r="A322" t="s">
        <v>847</v>
      </c>
      <c r="B322" t="s">
        <v>676</v>
      </c>
      <c r="C322" s="83">
        <v>46124</v>
      </c>
      <c r="D322" t="s">
        <v>678</v>
      </c>
      <c r="E322" t="s">
        <v>700</v>
      </c>
      <c r="F322">
        <v>10</v>
      </c>
      <c r="G322">
        <v>10.1741666666667</v>
      </c>
    </row>
    <row r="323" spans="1:7" x14ac:dyDescent="0.35">
      <c r="A323" t="s">
        <v>847</v>
      </c>
      <c r="B323" t="s">
        <v>676</v>
      </c>
      <c r="C323" s="83">
        <v>46124</v>
      </c>
      <c r="D323" t="s">
        <v>679</v>
      </c>
      <c r="E323" t="s">
        <v>697</v>
      </c>
      <c r="F323">
        <v>26</v>
      </c>
      <c r="G323">
        <v>16.32845</v>
      </c>
    </row>
    <row r="324" spans="1:7" x14ac:dyDescent="0.35">
      <c r="A324" t="s">
        <v>847</v>
      </c>
      <c r="B324" t="s">
        <v>676</v>
      </c>
      <c r="C324" s="83">
        <v>46124</v>
      </c>
      <c r="D324" t="s">
        <v>679</v>
      </c>
      <c r="E324" t="s">
        <v>702</v>
      </c>
      <c r="F324">
        <v>11</v>
      </c>
      <c r="G324">
        <v>8.9908000000000001</v>
      </c>
    </row>
    <row r="325" spans="1:7" x14ac:dyDescent="0.35">
      <c r="A325" t="s">
        <v>847</v>
      </c>
      <c r="B325" t="s">
        <v>676</v>
      </c>
      <c r="C325" s="83">
        <v>46124</v>
      </c>
      <c r="D325" t="s">
        <v>679</v>
      </c>
      <c r="E325" t="s">
        <v>699</v>
      </c>
      <c r="F325">
        <v>10</v>
      </c>
      <c r="G325">
        <v>24.498000000000001</v>
      </c>
    </row>
    <row r="326" spans="1:7" x14ac:dyDescent="0.35">
      <c r="A326" t="s">
        <v>847</v>
      </c>
      <c r="B326" t="s">
        <v>676</v>
      </c>
      <c r="C326" s="83">
        <v>46125</v>
      </c>
      <c r="D326" t="s">
        <v>678</v>
      </c>
      <c r="E326" t="s">
        <v>697</v>
      </c>
      <c r="F326">
        <v>28</v>
      </c>
      <c r="G326">
        <v>23.834900000000001</v>
      </c>
    </row>
    <row r="327" spans="1:7" x14ac:dyDescent="0.35">
      <c r="A327" t="s">
        <v>847</v>
      </c>
      <c r="B327" t="s">
        <v>676</v>
      </c>
      <c r="C327" s="83">
        <v>46125</v>
      </c>
      <c r="D327" t="s">
        <v>678</v>
      </c>
      <c r="E327" t="s">
        <v>700</v>
      </c>
      <c r="F327">
        <v>11</v>
      </c>
      <c r="G327">
        <v>9.4992666666666707</v>
      </c>
    </row>
    <row r="328" spans="1:7" x14ac:dyDescent="0.35">
      <c r="A328" t="s">
        <v>847</v>
      </c>
      <c r="B328" t="s">
        <v>676</v>
      </c>
      <c r="C328" s="83">
        <v>46125</v>
      </c>
      <c r="D328" t="s">
        <v>678</v>
      </c>
      <c r="E328" t="s">
        <v>705</v>
      </c>
      <c r="F328">
        <v>9</v>
      </c>
      <c r="G328">
        <v>17.66695</v>
      </c>
    </row>
    <row r="329" spans="1:7" x14ac:dyDescent="0.35">
      <c r="A329" t="s">
        <v>847</v>
      </c>
      <c r="B329" t="s">
        <v>676</v>
      </c>
      <c r="C329" s="83">
        <v>46125</v>
      </c>
      <c r="D329" t="s">
        <v>679</v>
      </c>
      <c r="E329" t="s">
        <v>698</v>
      </c>
      <c r="F329">
        <v>8</v>
      </c>
      <c r="G329">
        <v>2.8360666666666701</v>
      </c>
    </row>
    <row r="330" spans="1:7" x14ac:dyDescent="0.35">
      <c r="A330" t="s">
        <v>847</v>
      </c>
      <c r="B330" t="s">
        <v>676</v>
      </c>
      <c r="C330" s="83">
        <v>46125</v>
      </c>
      <c r="D330" t="s">
        <v>679</v>
      </c>
      <c r="E330" t="s">
        <v>697</v>
      </c>
      <c r="F330">
        <v>8</v>
      </c>
      <c r="G330">
        <v>8.9880833333333303</v>
      </c>
    </row>
    <row r="331" spans="1:7" x14ac:dyDescent="0.35">
      <c r="A331" t="s">
        <v>847</v>
      </c>
      <c r="B331" t="s">
        <v>676</v>
      </c>
      <c r="C331" s="83">
        <v>46125</v>
      </c>
      <c r="D331" t="s">
        <v>679</v>
      </c>
      <c r="E331" t="s">
        <v>700</v>
      </c>
      <c r="F331">
        <v>8</v>
      </c>
      <c r="G331">
        <v>19.5018833333333</v>
      </c>
    </row>
    <row r="332" spans="1:7" x14ac:dyDescent="0.35">
      <c r="A332" t="s">
        <v>847</v>
      </c>
      <c r="B332" t="s">
        <v>676</v>
      </c>
      <c r="C332" s="83">
        <v>46126</v>
      </c>
      <c r="D332" t="s">
        <v>678</v>
      </c>
      <c r="E332" t="s">
        <v>697</v>
      </c>
      <c r="F332">
        <v>16</v>
      </c>
      <c r="G332">
        <v>14.3264333333333</v>
      </c>
    </row>
    <row r="333" spans="1:7" x14ac:dyDescent="0.35">
      <c r="A333" t="s">
        <v>847</v>
      </c>
      <c r="B333" t="s">
        <v>676</v>
      </c>
      <c r="C333" s="83">
        <v>46126</v>
      </c>
      <c r="D333" t="s">
        <v>678</v>
      </c>
      <c r="E333" t="s">
        <v>704</v>
      </c>
      <c r="F333">
        <v>9</v>
      </c>
      <c r="G333">
        <v>5.8353666666666699</v>
      </c>
    </row>
    <row r="334" spans="1:7" x14ac:dyDescent="0.35">
      <c r="A334" t="s">
        <v>847</v>
      </c>
      <c r="B334" t="s">
        <v>676</v>
      </c>
      <c r="C334" s="83">
        <v>46126</v>
      </c>
      <c r="D334" t="s">
        <v>678</v>
      </c>
      <c r="E334" t="s">
        <v>699</v>
      </c>
      <c r="F334">
        <v>8</v>
      </c>
      <c r="G334">
        <v>9.1719000000000008</v>
      </c>
    </row>
    <row r="335" spans="1:7" x14ac:dyDescent="0.35">
      <c r="A335" t="s">
        <v>847</v>
      </c>
      <c r="B335" t="s">
        <v>676</v>
      </c>
      <c r="C335" s="83">
        <v>46126</v>
      </c>
      <c r="D335" t="s">
        <v>679</v>
      </c>
      <c r="E335" t="s">
        <v>697</v>
      </c>
      <c r="F335">
        <v>10</v>
      </c>
      <c r="G335">
        <v>7.3286166666666697</v>
      </c>
    </row>
    <row r="336" spans="1:7" x14ac:dyDescent="0.35">
      <c r="A336" t="s">
        <v>847</v>
      </c>
      <c r="B336" t="s">
        <v>676</v>
      </c>
      <c r="C336" s="83">
        <v>46126</v>
      </c>
      <c r="D336" t="s">
        <v>679</v>
      </c>
      <c r="E336" t="s">
        <v>708</v>
      </c>
      <c r="F336">
        <v>6</v>
      </c>
      <c r="G336">
        <v>22.497900000000001</v>
      </c>
    </row>
    <row r="337" spans="1:7" x14ac:dyDescent="0.35">
      <c r="A337" t="s">
        <v>847</v>
      </c>
      <c r="B337" t="s">
        <v>676</v>
      </c>
      <c r="C337" s="83">
        <v>46126</v>
      </c>
      <c r="D337" t="s">
        <v>679</v>
      </c>
      <c r="E337" t="s">
        <v>702</v>
      </c>
      <c r="F337">
        <v>5</v>
      </c>
      <c r="G337">
        <v>25.164066666666699</v>
      </c>
    </row>
    <row r="338" spans="1:7" x14ac:dyDescent="0.35">
      <c r="A338" t="s">
        <v>847</v>
      </c>
      <c r="B338" t="s">
        <v>676</v>
      </c>
      <c r="C338" s="83">
        <v>46127</v>
      </c>
      <c r="D338" t="s">
        <v>678</v>
      </c>
      <c r="E338" t="s">
        <v>697</v>
      </c>
      <c r="F338">
        <v>26</v>
      </c>
      <c r="G338">
        <v>15.833550000000001</v>
      </c>
    </row>
    <row r="339" spans="1:7" x14ac:dyDescent="0.35">
      <c r="A339" t="s">
        <v>847</v>
      </c>
      <c r="B339" t="s">
        <v>676</v>
      </c>
      <c r="C339" s="83">
        <v>46127</v>
      </c>
      <c r="D339" t="s">
        <v>678</v>
      </c>
      <c r="E339" t="s">
        <v>699</v>
      </c>
      <c r="F339">
        <v>8</v>
      </c>
      <c r="G339">
        <v>14.669133333333299</v>
      </c>
    </row>
    <row r="340" spans="1:7" x14ac:dyDescent="0.35">
      <c r="A340" t="s">
        <v>847</v>
      </c>
      <c r="B340" t="s">
        <v>676</v>
      </c>
      <c r="C340" s="83">
        <v>46127</v>
      </c>
      <c r="D340" t="s">
        <v>678</v>
      </c>
      <c r="E340" t="s">
        <v>700</v>
      </c>
      <c r="F340">
        <v>8</v>
      </c>
      <c r="G340">
        <v>11.510633333333301</v>
      </c>
    </row>
    <row r="341" spans="1:7" x14ac:dyDescent="0.35">
      <c r="A341" t="s">
        <v>847</v>
      </c>
      <c r="B341" t="s">
        <v>676</v>
      </c>
      <c r="C341" s="83">
        <v>46127</v>
      </c>
      <c r="D341" t="s">
        <v>679</v>
      </c>
      <c r="E341" t="s">
        <v>697</v>
      </c>
      <c r="F341">
        <v>22</v>
      </c>
      <c r="G341">
        <v>16.490016666666701</v>
      </c>
    </row>
    <row r="342" spans="1:7" x14ac:dyDescent="0.35">
      <c r="A342" t="s">
        <v>847</v>
      </c>
      <c r="B342" t="s">
        <v>676</v>
      </c>
      <c r="C342" s="83">
        <v>46127</v>
      </c>
      <c r="D342" t="s">
        <v>679</v>
      </c>
      <c r="E342" t="s">
        <v>699</v>
      </c>
      <c r="F342">
        <v>8</v>
      </c>
      <c r="G342">
        <v>13.5104333333333</v>
      </c>
    </row>
    <row r="343" spans="1:7" x14ac:dyDescent="0.35">
      <c r="A343" t="s">
        <v>847</v>
      </c>
      <c r="B343" t="s">
        <v>676</v>
      </c>
      <c r="C343" s="83">
        <v>46127</v>
      </c>
      <c r="D343" t="s">
        <v>679</v>
      </c>
      <c r="E343" t="s">
        <v>705</v>
      </c>
      <c r="F343">
        <v>8</v>
      </c>
      <c r="G343">
        <v>5.0070499999999996</v>
      </c>
    </row>
    <row r="344" spans="1:7" x14ac:dyDescent="0.35">
      <c r="A344" t="s">
        <v>847</v>
      </c>
      <c r="B344" t="s">
        <v>676</v>
      </c>
      <c r="C344" s="83">
        <v>46128</v>
      </c>
      <c r="D344" t="s">
        <v>678</v>
      </c>
      <c r="E344" t="s">
        <v>697</v>
      </c>
      <c r="F344">
        <v>41</v>
      </c>
      <c r="G344">
        <v>30.5874666666667</v>
      </c>
    </row>
    <row r="345" spans="1:7" x14ac:dyDescent="0.35">
      <c r="A345" t="s">
        <v>847</v>
      </c>
      <c r="B345" t="s">
        <v>676</v>
      </c>
      <c r="C345" s="83">
        <v>46128</v>
      </c>
      <c r="D345" t="s">
        <v>678</v>
      </c>
      <c r="E345" t="s">
        <v>700</v>
      </c>
      <c r="F345">
        <v>7</v>
      </c>
      <c r="G345">
        <v>9.0134666666666696</v>
      </c>
    </row>
    <row r="346" spans="1:7" x14ac:dyDescent="0.35">
      <c r="A346" t="s">
        <v>847</v>
      </c>
      <c r="B346" t="s">
        <v>676</v>
      </c>
      <c r="C346" s="83">
        <v>46128</v>
      </c>
      <c r="D346" t="s">
        <v>678</v>
      </c>
      <c r="E346" t="s">
        <v>702</v>
      </c>
      <c r="F346">
        <v>5</v>
      </c>
      <c r="G346">
        <v>5.5123666666666704</v>
      </c>
    </row>
    <row r="347" spans="1:7" x14ac:dyDescent="0.35">
      <c r="A347" t="s">
        <v>847</v>
      </c>
      <c r="B347" t="s">
        <v>676</v>
      </c>
      <c r="C347" s="83">
        <v>46128</v>
      </c>
      <c r="D347" t="s">
        <v>679</v>
      </c>
      <c r="E347" t="s">
        <v>697</v>
      </c>
      <c r="F347">
        <v>25</v>
      </c>
      <c r="G347">
        <v>14.185133333333299</v>
      </c>
    </row>
    <row r="348" spans="1:7" x14ac:dyDescent="0.35">
      <c r="A348" t="s">
        <v>847</v>
      </c>
      <c r="B348" t="s">
        <v>676</v>
      </c>
      <c r="C348" s="83">
        <v>46128</v>
      </c>
      <c r="D348" t="s">
        <v>679</v>
      </c>
      <c r="E348" t="s">
        <v>700</v>
      </c>
      <c r="F348">
        <v>8</v>
      </c>
      <c r="G348">
        <v>10.489549999999999</v>
      </c>
    </row>
    <row r="349" spans="1:7" x14ac:dyDescent="0.35">
      <c r="A349" t="s">
        <v>847</v>
      </c>
      <c r="B349" t="s">
        <v>676</v>
      </c>
      <c r="C349" s="83">
        <v>46128</v>
      </c>
      <c r="D349" t="s">
        <v>679</v>
      </c>
      <c r="E349" t="s">
        <v>698</v>
      </c>
      <c r="F349">
        <v>6</v>
      </c>
      <c r="G349">
        <v>2.8409833333333299</v>
      </c>
    </row>
    <row r="350" spans="1:7" x14ac:dyDescent="0.35">
      <c r="A350" t="s">
        <v>847</v>
      </c>
      <c r="B350" t="s">
        <v>676</v>
      </c>
      <c r="C350" s="83">
        <v>46129</v>
      </c>
      <c r="D350" t="s">
        <v>678</v>
      </c>
      <c r="E350" t="s">
        <v>697</v>
      </c>
      <c r="F350">
        <v>76</v>
      </c>
      <c r="G350">
        <v>46.326266666666697</v>
      </c>
    </row>
    <row r="351" spans="1:7" x14ac:dyDescent="0.35">
      <c r="A351" t="s">
        <v>847</v>
      </c>
      <c r="B351" t="s">
        <v>676</v>
      </c>
      <c r="C351" s="83">
        <v>46129</v>
      </c>
      <c r="D351" t="s">
        <v>678</v>
      </c>
      <c r="E351" t="s">
        <v>700</v>
      </c>
      <c r="F351">
        <v>9</v>
      </c>
      <c r="G351">
        <v>8.5144833333333292</v>
      </c>
    </row>
    <row r="352" spans="1:7" x14ac:dyDescent="0.35">
      <c r="A352" t="s">
        <v>847</v>
      </c>
      <c r="B352" t="s">
        <v>676</v>
      </c>
      <c r="C352" s="83">
        <v>46129</v>
      </c>
      <c r="D352" t="s">
        <v>678</v>
      </c>
      <c r="E352" t="s">
        <v>709</v>
      </c>
      <c r="F352">
        <v>5</v>
      </c>
      <c r="G352">
        <v>1.49891666666667</v>
      </c>
    </row>
    <row r="353" spans="1:7" x14ac:dyDescent="0.35">
      <c r="A353" t="s">
        <v>847</v>
      </c>
      <c r="B353" t="s">
        <v>676</v>
      </c>
      <c r="C353" s="83">
        <v>46129</v>
      </c>
      <c r="D353" t="s">
        <v>679</v>
      </c>
      <c r="E353" t="s">
        <v>697</v>
      </c>
      <c r="F353">
        <v>32</v>
      </c>
      <c r="G353">
        <v>24.011883333333301</v>
      </c>
    </row>
    <row r="354" spans="1:7" x14ac:dyDescent="0.35">
      <c r="A354" t="s">
        <v>847</v>
      </c>
      <c r="B354" t="s">
        <v>676</v>
      </c>
      <c r="C354" s="83">
        <v>46129</v>
      </c>
      <c r="D354" t="s">
        <v>679</v>
      </c>
      <c r="E354" t="s">
        <v>700</v>
      </c>
      <c r="F354">
        <v>11</v>
      </c>
      <c r="G354">
        <v>13.174433333333299</v>
      </c>
    </row>
    <row r="355" spans="1:7" x14ac:dyDescent="0.35">
      <c r="A355" t="s">
        <v>847</v>
      </c>
      <c r="B355" t="s">
        <v>676</v>
      </c>
      <c r="C355" s="83">
        <v>46129</v>
      </c>
      <c r="D355" t="s">
        <v>679</v>
      </c>
      <c r="E355" t="s">
        <v>702</v>
      </c>
      <c r="F355">
        <v>8</v>
      </c>
      <c r="G355">
        <v>2.6672166666666701</v>
      </c>
    </row>
    <row r="356" spans="1:7" x14ac:dyDescent="0.35">
      <c r="A356" t="s">
        <v>847</v>
      </c>
      <c r="B356" t="s">
        <v>676</v>
      </c>
      <c r="C356" s="83">
        <v>46130</v>
      </c>
      <c r="D356" t="s">
        <v>678</v>
      </c>
      <c r="E356" t="s">
        <v>697</v>
      </c>
      <c r="F356">
        <v>32</v>
      </c>
      <c r="G356">
        <v>63.704433333333299</v>
      </c>
    </row>
    <row r="357" spans="1:7" x14ac:dyDescent="0.35">
      <c r="A357" t="s">
        <v>847</v>
      </c>
      <c r="B357" t="s">
        <v>676</v>
      </c>
      <c r="C357" s="83">
        <v>46130</v>
      </c>
      <c r="D357" t="s">
        <v>678</v>
      </c>
      <c r="E357" t="s">
        <v>700</v>
      </c>
      <c r="F357">
        <v>8</v>
      </c>
      <c r="G357">
        <v>10.332383333333301</v>
      </c>
    </row>
    <row r="358" spans="1:7" x14ac:dyDescent="0.35">
      <c r="A358" t="s">
        <v>847</v>
      </c>
      <c r="B358" t="s">
        <v>676</v>
      </c>
      <c r="C358" s="83">
        <v>46130</v>
      </c>
      <c r="D358" t="s">
        <v>678</v>
      </c>
      <c r="E358" t="s">
        <v>702</v>
      </c>
      <c r="F358">
        <v>6</v>
      </c>
      <c r="G358">
        <v>3.8329833333333299</v>
      </c>
    </row>
    <row r="359" spans="1:7" x14ac:dyDescent="0.35">
      <c r="A359" t="s">
        <v>847</v>
      </c>
      <c r="B359" t="s">
        <v>676</v>
      </c>
      <c r="C359" s="83">
        <v>46130</v>
      </c>
      <c r="D359" t="s">
        <v>679</v>
      </c>
      <c r="E359" t="s">
        <v>702</v>
      </c>
      <c r="F359">
        <v>16</v>
      </c>
      <c r="G359">
        <v>13.668283333333299</v>
      </c>
    </row>
    <row r="360" spans="1:7" x14ac:dyDescent="0.35">
      <c r="A360" t="s">
        <v>847</v>
      </c>
      <c r="B360" t="s">
        <v>676</v>
      </c>
      <c r="C360" s="83">
        <v>46130</v>
      </c>
      <c r="D360" t="s">
        <v>679</v>
      </c>
      <c r="E360" t="s">
        <v>698</v>
      </c>
      <c r="F360">
        <v>7</v>
      </c>
      <c r="G360">
        <v>24.507666666666701</v>
      </c>
    </row>
    <row r="361" spans="1:7" x14ac:dyDescent="0.35">
      <c r="A361" t="s">
        <v>847</v>
      </c>
      <c r="B361" t="s">
        <v>676</v>
      </c>
      <c r="C361" s="83">
        <v>46130</v>
      </c>
      <c r="D361" t="s">
        <v>679</v>
      </c>
      <c r="E361" t="s">
        <v>697</v>
      </c>
      <c r="F361">
        <v>7</v>
      </c>
      <c r="G361">
        <v>14.165233333333299</v>
      </c>
    </row>
    <row r="362" spans="1:7" x14ac:dyDescent="0.35">
      <c r="A362" t="s">
        <v>847</v>
      </c>
      <c r="B362" t="s">
        <v>676</v>
      </c>
      <c r="C362" s="83">
        <v>46131</v>
      </c>
      <c r="D362" t="s">
        <v>678</v>
      </c>
      <c r="E362" t="s">
        <v>709</v>
      </c>
      <c r="F362">
        <v>74</v>
      </c>
      <c r="G362">
        <v>25.682300000000001</v>
      </c>
    </row>
    <row r="363" spans="1:7" x14ac:dyDescent="0.35">
      <c r="A363" t="s">
        <v>847</v>
      </c>
      <c r="B363" t="s">
        <v>676</v>
      </c>
      <c r="C363" s="83">
        <v>46131</v>
      </c>
      <c r="D363" t="s">
        <v>678</v>
      </c>
      <c r="E363" t="s">
        <v>697</v>
      </c>
      <c r="F363">
        <v>27</v>
      </c>
      <c r="G363">
        <v>22.016249999999999</v>
      </c>
    </row>
    <row r="364" spans="1:7" x14ac:dyDescent="0.35">
      <c r="A364" t="s">
        <v>847</v>
      </c>
      <c r="B364" t="s">
        <v>676</v>
      </c>
      <c r="C364" s="83">
        <v>46131</v>
      </c>
      <c r="D364" t="s">
        <v>678</v>
      </c>
      <c r="E364" t="s">
        <v>700</v>
      </c>
      <c r="F364">
        <v>17</v>
      </c>
      <c r="G364">
        <v>30</v>
      </c>
    </row>
    <row r="365" spans="1:7" x14ac:dyDescent="0.35">
      <c r="A365" t="s">
        <v>847</v>
      </c>
      <c r="B365" t="s">
        <v>676</v>
      </c>
      <c r="C365" s="83">
        <v>46131</v>
      </c>
      <c r="D365" t="s">
        <v>679</v>
      </c>
      <c r="E365" t="s">
        <v>700</v>
      </c>
      <c r="F365">
        <v>16</v>
      </c>
      <c r="G365">
        <v>16.660516666666702</v>
      </c>
    </row>
    <row r="366" spans="1:7" x14ac:dyDescent="0.35">
      <c r="A366" t="s">
        <v>847</v>
      </c>
      <c r="B366" t="s">
        <v>676</v>
      </c>
      <c r="C366" s="83">
        <v>46131</v>
      </c>
      <c r="D366" t="s">
        <v>679</v>
      </c>
      <c r="E366" t="s">
        <v>698</v>
      </c>
      <c r="F366">
        <v>11</v>
      </c>
      <c r="G366">
        <v>5.9949000000000003</v>
      </c>
    </row>
    <row r="367" spans="1:7" x14ac:dyDescent="0.35">
      <c r="A367" t="s">
        <v>847</v>
      </c>
      <c r="B367" t="s">
        <v>676</v>
      </c>
      <c r="C367" s="83">
        <v>46131</v>
      </c>
      <c r="D367" t="s">
        <v>679</v>
      </c>
      <c r="E367" t="s">
        <v>702</v>
      </c>
      <c r="F367">
        <v>10</v>
      </c>
      <c r="G367">
        <v>5.8335666666666697</v>
      </c>
    </row>
    <row r="368" spans="1:7" x14ac:dyDescent="0.35">
      <c r="A368" t="s">
        <v>847</v>
      </c>
      <c r="B368" t="s">
        <v>676</v>
      </c>
      <c r="C368" s="83">
        <v>46132</v>
      </c>
      <c r="D368" t="s">
        <v>678</v>
      </c>
      <c r="E368" t="s">
        <v>697</v>
      </c>
      <c r="F368">
        <v>20</v>
      </c>
      <c r="G368">
        <v>16.846816666666701</v>
      </c>
    </row>
    <row r="369" spans="1:7" x14ac:dyDescent="0.35">
      <c r="A369" t="s">
        <v>847</v>
      </c>
      <c r="B369" t="s">
        <v>676</v>
      </c>
      <c r="C369" s="83">
        <v>46132</v>
      </c>
      <c r="D369" t="s">
        <v>678</v>
      </c>
      <c r="E369" t="s">
        <v>700</v>
      </c>
      <c r="F369">
        <v>13</v>
      </c>
      <c r="G369">
        <v>15.6798</v>
      </c>
    </row>
    <row r="370" spans="1:7" x14ac:dyDescent="0.35">
      <c r="A370" t="s">
        <v>847</v>
      </c>
      <c r="B370" t="s">
        <v>676</v>
      </c>
      <c r="C370" s="83">
        <v>46132</v>
      </c>
      <c r="D370" t="s">
        <v>678</v>
      </c>
      <c r="E370" t="s">
        <v>702</v>
      </c>
      <c r="F370">
        <v>5</v>
      </c>
      <c r="G370">
        <v>2.8392166666666698</v>
      </c>
    </row>
    <row r="371" spans="1:7" x14ac:dyDescent="0.35">
      <c r="A371" t="s">
        <v>847</v>
      </c>
      <c r="B371" t="s">
        <v>676</v>
      </c>
      <c r="C371" s="83">
        <v>46132</v>
      </c>
      <c r="D371" t="s">
        <v>679</v>
      </c>
      <c r="E371" t="s">
        <v>704</v>
      </c>
      <c r="F371">
        <v>24</v>
      </c>
      <c r="G371">
        <v>16.991316666666702</v>
      </c>
    </row>
    <row r="372" spans="1:7" x14ac:dyDescent="0.35">
      <c r="A372" t="s">
        <v>847</v>
      </c>
      <c r="B372" t="s">
        <v>676</v>
      </c>
      <c r="C372" s="83">
        <v>46132</v>
      </c>
      <c r="D372" t="s">
        <v>679</v>
      </c>
      <c r="E372" t="s">
        <v>698</v>
      </c>
      <c r="F372">
        <v>13</v>
      </c>
      <c r="G372">
        <v>14.3418166666667</v>
      </c>
    </row>
    <row r="373" spans="1:7" x14ac:dyDescent="0.35">
      <c r="A373" t="s">
        <v>847</v>
      </c>
      <c r="B373" t="s">
        <v>676</v>
      </c>
      <c r="C373" s="83">
        <v>46132</v>
      </c>
      <c r="D373" t="s">
        <v>679</v>
      </c>
      <c r="E373" t="s">
        <v>700</v>
      </c>
      <c r="F373">
        <v>12</v>
      </c>
      <c r="G373">
        <v>62.017400000000002</v>
      </c>
    </row>
    <row r="374" spans="1:7" x14ac:dyDescent="0.35">
      <c r="A374" t="s">
        <v>847</v>
      </c>
      <c r="B374" t="s">
        <v>676</v>
      </c>
      <c r="C374" s="83">
        <v>46133</v>
      </c>
      <c r="D374" t="s">
        <v>678</v>
      </c>
      <c r="E374" t="s">
        <v>699</v>
      </c>
      <c r="F374">
        <v>20</v>
      </c>
      <c r="G374">
        <v>50.329916666666698</v>
      </c>
    </row>
    <row r="375" spans="1:7" x14ac:dyDescent="0.35">
      <c r="A375" t="s">
        <v>847</v>
      </c>
      <c r="B375" t="s">
        <v>676</v>
      </c>
      <c r="C375" s="83">
        <v>46133</v>
      </c>
      <c r="D375" t="s">
        <v>678</v>
      </c>
      <c r="E375" t="s">
        <v>698</v>
      </c>
      <c r="F375">
        <v>9</v>
      </c>
      <c r="G375">
        <v>3.1727833333333302</v>
      </c>
    </row>
    <row r="376" spans="1:7" x14ac:dyDescent="0.35">
      <c r="A376" t="s">
        <v>847</v>
      </c>
      <c r="B376" t="s">
        <v>676</v>
      </c>
      <c r="C376" s="83">
        <v>46133</v>
      </c>
      <c r="D376" t="s">
        <v>678</v>
      </c>
      <c r="E376" t="s">
        <v>702</v>
      </c>
      <c r="F376">
        <v>8</v>
      </c>
      <c r="G376">
        <v>6.8292000000000002</v>
      </c>
    </row>
    <row r="377" spans="1:7" x14ac:dyDescent="0.35">
      <c r="A377" t="s">
        <v>847</v>
      </c>
      <c r="B377" t="s">
        <v>676</v>
      </c>
      <c r="C377" s="83">
        <v>46133</v>
      </c>
      <c r="D377" t="s">
        <v>679</v>
      </c>
      <c r="E377" t="s">
        <v>698</v>
      </c>
      <c r="F377">
        <v>15</v>
      </c>
      <c r="G377">
        <v>11.176500000000001</v>
      </c>
    </row>
    <row r="378" spans="1:7" x14ac:dyDescent="0.35">
      <c r="A378" t="s">
        <v>847</v>
      </c>
      <c r="B378" t="s">
        <v>676</v>
      </c>
      <c r="C378" s="83">
        <v>46133</v>
      </c>
      <c r="D378" t="s">
        <v>679</v>
      </c>
      <c r="E378" t="s">
        <v>699</v>
      </c>
      <c r="F378">
        <v>11</v>
      </c>
      <c r="G378">
        <v>30.8592166666667</v>
      </c>
    </row>
    <row r="379" spans="1:7" x14ac:dyDescent="0.35">
      <c r="A379" t="s">
        <v>847</v>
      </c>
      <c r="B379" t="s">
        <v>676</v>
      </c>
      <c r="C379" s="83">
        <v>46133</v>
      </c>
      <c r="D379" t="s">
        <v>679</v>
      </c>
      <c r="E379" t="s">
        <v>702</v>
      </c>
      <c r="F379">
        <v>9</v>
      </c>
      <c r="G379">
        <v>6.6481166666666702</v>
      </c>
    </row>
    <row r="380" spans="1:7" x14ac:dyDescent="0.35">
      <c r="A380" t="s">
        <v>847</v>
      </c>
      <c r="B380" t="s">
        <v>676</v>
      </c>
      <c r="C380" s="83">
        <v>46134</v>
      </c>
      <c r="D380" t="s">
        <v>678</v>
      </c>
      <c r="E380" t="s">
        <v>700</v>
      </c>
      <c r="F380">
        <v>24</v>
      </c>
      <c r="G380">
        <v>20.662966666666701</v>
      </c>
    </row>
    <row r="381" spans="1:7" x14ac:dyDescent="0.35">
      <c r="A381" t="s">
        <v>847</v>
      </c>
      <c r="B381" t="s">
        <v>676</v>
      </c>
      <c r="C381" s="83">
        <v>46134</v>
      </c>
      <c r="D381" t="s">
        <v>678</v>
      </c>
      <c r="E381" t="s">
        <v>705</v>
      </c>
      <c r="F381">
        <v>12</v>
      </c>
      <c r="G381">
        <v>6.8217833333333298</v>
      </c>
    </row>
    <row r="382" spans="1:7" x14ac:dyDescent="0.35">
      <c r="A382" t="s">
        <v>847</v>
      </c>
      <c r="B382" t="s">
        <v>676</v>
      </c>
      <c r="C382" s="83">
        <v>46134</v>
      </c>
      <c r="D382" t="s">
        <v>678</v>
      </c>
      <c r="E382" t="s">
        <v>699</v>
      </c>
      <c r="F382">
        <v>9</v>
      </c>
      <c r="G382">
        <v>12.3538</v>
      </c>
    </row>
    <row r="383" spans="1:7" x14ac:dyDescent="0.35">
      <c r="A383" t="s">
        <v>847</v>
      </c>
      <c r="B383" t="s">
        <v>676</v>
      </c>
      <c r="C383" s="83">
        <v>46134</v>
      </c>
      <c r="D383" t="s">
        <v>679</v>
      </c>
      <c r="E383" t="s">
        <v>697</v>
      </c>
      <c r="F383">
        <v>17</v>
      </c>
      <c r="G383">
        <v>14.1642333333333</v>
      </c>
    </row>
    <row r="384" spans="1:7" x14ac:dyDescent="0.35">
      <c r="A384" t="s">
        <v>847</v>
      </c>
      <c r="B384" t="s">
        <v>676</v>
      </c>
      <c r="C384" s="83">
        <v>46134</v>
      </c>
      <c r="D384" t="s">
        <v>679</v>
      </c>
      <c r="E384" t="s">
        <v>704</v>
      </c>
      <c r="F384">
        <v>16</v>
      </c>
      <c r="G384">
        <v>54.3428166666667</v>
      </c>
    </row>
    <row r="385" spans="1:7" x14ac:dyDescent="0.35">
      <c r="A385" t="s">
        <v>847</v>
      </c>
      <c r="B385" t="s">
        <v>676</v>
      </c>
      <c r="C385" s="83">
        <v>46134</v>
      </c>
      <c r="D385" t="s">
        <v>679</v>
      </c>
      <c r="E385" t="s">
        <v>700</v>
      </c>
      <c r="F385">
        <v>15</v>
      </c>
      <c r="G385">
        <v>18.335933333333301</v>
      </c>
    </row>
    <row r="386" spans="1:7" x14ac:dyDescent="0.35">
      <c r="A386" t="s">
        <v>847</v>
      </c>
      <c r="B386" t="s">
        <v>676</v>
      </c>
      <c r="C386" s="83">
        <v>46135</v>
      </c>
      <c r="D386" t="s">
        <v>678</v>
      </c>
      <c r="E386" t="s">
        <v>709</v>
      </c>
      <c r="F386">
        <v>16</v>
      </c>
      <c r="G386">
        <v>10.1565166666667</v>
      </c>
    </row>
    <row r="387" spans="1:7" x14ac:dyDescent="0.35">
      <c r="A387" t="s">
        <v>847</v>
      </c>
      <c r="B387" t="s">
        <v>676</v>
      </c>
      <c r="C387" s="83">
        <v>46135</v>
      </c>
      <c r="D387" t="s">
        <v>678</v>
      </c>
      <c r="E387" t="s">
        <v>700</v>
      </c>
      <c r="F387">
        <v>15</v>
      </c>
      <c r="G387">
        <v>15.1636666666667</v>
      </c>
    </row>
    <row r="388" spans="1:7" x14ac:dyDescent="0.35">
      <c r="A388" t="s">
        <v>847</v>
      </c>
      <c r="B388" t="s">
        <v>676</v>
      </c>
      <c r="C388" s="83">
        <v>46135</v>
      </c>
      <c r="D388" t="s">
        <v>678</v>
      </c>
      <c r="E388" t="s">
        <v>702</v>
      </c>
      <c r="F388">
        <v>13</v>
      </c>
      <c r="G388">
        <v>10.516166666666701</v>
      </c>
    </row>
    <row r="389" spans="1:7" x14ac:dyDescent="0.35">
      <c r="A389" t="s">
        <v>847</v>
      </c>
      <c r="B389" t="s">
        <v>676</v>
      </c>
      <c r="C389" s="83">
        <v>46135</v>
      </c>
      <c r="D389" t="s">
        <v>679</v>
      </c>
      <c r="E389" t="s">
        <v>700</v>
      </c>
      <c r="F389">
        <v>14</v>
      </c>
      <c r="G389">
        <v>12.503550000000001</v>
      </c>
    </row>
    <row r="390" spans="1:7" x14ac:dyDescent="0.35">
      <c r="A390" t="s">
        <v>847</v>
      </c>
      <c r="B390" t="s">
        <v>676</v>
      </c>
      <c r="C390" s="83">
        <v>46135</v>
      </c>
      <c r="D390" t="s">
        <v>679</v>
      </c>
      <c r="E390" t="s">
        <v>697</v>
      </c>
      <c r="F390">
        <v>12</v>
      </c>
      <c r="G390">
        <v>9.8401666666666703</v>
      </c>
    </row>
    <row r="391" spans="1:7" x14ac:dyDescent="0.35">
      <c r="A391" t="s">
        <v>847</v>
      </c>
      <c r="B391" t="s">
        <v>676</v>
      </c>
      <c r="C391" s="83">
        <v>46135</v>
      </c>
      <c r="D391" t="s">
        <v>679</v>
      </c>
      <c r="E391" t="s">
        <v>699</v>
      </c>
      <c r="F391">
        <v>9</v>
      </c>
      <c r="G391">
        <v>45.333199999999998</v>
      </c>
    </row>
    <row r="392" spans="1:7" x14ac:dyDescent="0.35">
      <c r="A392" t="s">
        <v>847</v>
      </c>
      <c r="B392" t="s">
        <v>676</v>
      </c>
      <c r="C392" s="83">
        <v>46136</v>
      </c>
      <c r="D392" t="s">
        <v>678</v>
      </c>
      <c r="E392" t="s">
        <v>697</v>
      </c>
      <c r="F392">
        <v>28</v>
      </c>
      <c r="G392">
        <v>17.846533333333301</v>
      </c>
    </row>
    <row r="393" spans="1:7" x14ac:dyDescent="0.35">
      <c r="A393" t="s">
        <v>847</v>
      </c>
      <c r="B393" t="s">
        <v>676</v>
      </c>
      <c r="C393" s="83">
        <v>46136</v>
      </c>
      <c r="D393" t="s">
        <v>678</v>
      </c>
      <c r="E393" t="s">
        <v>700</v>
      </c>
      <c r="F393">
        <v>19</v>
      </c>
      <c r="G393">
        <v>15.40775</v>
      </c>
    </row>
    <row r="394" spans="1:7" x14ac:dyDescent="0.35">
      <c r="A394" t="s">
        <v>847</v>
      </c>
      <c r="B394" t="s">
        <v>676</v>
      </c>
      <c r="C394" s="83">
        <v>46136</v>
      </c>
      <c r="D394" t="s">
        <v>678</v>
      </c>
      <c r="E394" t="s">
        <v>705</v>
      </c>
      <c r="F394">
        <v>15</v>
      </c>
      <c r="G394">
        <v>7.8288000000000002</v>
      </c>
    </row>
    <row r="395" spans="1:7" x14ac:dyDescent="0.35">
      <c r="A395" t="s">
        <v>847</v>
      </c>
      <c r="B395" t="s">
        <v>676</v>
      </c>
      <c r="C395" s="83">
        <v>46136</v>
      </c>
      <c r="D395" t="s">
        <v>679</v>
      </c>
      <c r="E395" t="s">
        <v>699</v>
      </c>
      <c r="F395">
        <v>19</v>
      </c>
      <c r="G395">
        <v>78.330716666666703</v>
      </c>
    </row>
    <row r="396" spans="1:7" x14ac:dyDescent="0.35">
      <c r="A396" t="s">
        <v>847</v>
      </c>
      <c r="B396" t="s">
        <v>676</v>
      </c>
      <c r="C396" s="83">
        <v>46136</v>
      </c>
      <c r="D396" t="s">
        <v>679</v>
      </c>
      <c r="E396" t="s">
        <v>698</v>
      </c>
      <c r="F396">
        <v>18</v>
      </c>
      <c r="G396">
        <v>21.182216666666701</v>
      </c>
    </row>
    <row r="397" spans="1:7" x14ac:dyDescent="0.35">
      <c r="A397" t="s">
        <v>847</v>
      </c>
      <c r="B397" t="s">
        <v>676</v>
      </c>
      <c r="C397" s="83">
        <v>46136</v>
      </c>
      <c r="D397" t="s">
        <v>679</v>
      </c>
      <c r="E397" t="s">
        <v>704</v>
      </c>
      <c r="F397">
        <v>12</v>
      </c>
      <c r="G397">
        <v>25.3143666666667</v>
      </c>
    </row>
    <row r="398" spans="1:7" x14ac:dyDescent="0.35">
      <c r="A398" t="s">
        <v>847</v>
      </c>
      <c r="B398" t="s">
        <v>676</v>
      </c>
      <c r="C398" s="83">
        <v>46137</v>
      </c>
      <c r="D398" t="s">
        <v>678</v>
      </c>
      <c r="E398" t="s">
        <v>697</v>
      </c>
      <c r="F398">
        <v>40</v>
      </c>
      <c r="G398">
        <v>29.846116666666699</v>
      </c>
    </row>
    <row r="399" spans="1:7" x14ac:dyDescent="0.35">
      <c r="A399" t="s">
        <v>847</v>
      </c>
      <c r="B399" t="s">
        <v>676</v>
      </c>
      <c r="C399" s="83">
        <v>46137</v>
      </c>
      <c r="D399" t="s">
        <v>678</v>
      </c>
      <c r="E399" t="s">
        <v>700</v>
      </c>
      <c r="F399">
        <v>17</v>
      </c>
      <c r="G399">
        <v>16.449149999999999</v>
      </c>
    </row>
    <row r="400" spans="1:7" x14ac:dyDescent="0.35">
      <c r="A400" t="s">
        <v>847</v>
      </c>
      <c r="B400" t="s">
        <v>676</v>
      </c>
      <c r="C400" s="83">
        <v>46137</v>
      </c>
      <c r="D400" t="s">
        <v>678</v>
      </c>
      <c r="E400" t="s">
        <v>702</v>
      </c>
      <c r="F400">
        <v>13</v>
      </c>
      <c r="G400">
        <v>8.1749333333333301</v>
      </c>
    </row>
    <row r="401" spans="1:7" x14ac:dyDescent="0.35">
      <c r="A401" t="s">
        <v>847</v>
      </c>
      <c r="B401" t="s">
        <v>676</v>
      </c>
      <c r="C401" s="83">
        <v>46137</v>
      </c>
      <c r="D401" t="s">
        <v>679</v>
      </c>
      <c r="E401" t="s">
        <v>697</v>
      </c>
      <c r="F401">
        <v>17</v>
      </c>
      <c r="G401">
        <v>13.9964333333333</v>
      </c>
    </row>
    <row r="402" spans="1:7" x14ac:dyDescent="0.35">
      <c r="A402" t="s">
        <v>847</v>
      </c>
      <c r="B402" t="s">
        <v>676</v>
      </c>
      <c r="C402" s="83">
        <v>46137</v>
      </c>
      <c r="D402" t="s">
        <v>679</v>
      </c>
      <c r="E402" t="s">
        <v>700</v>
      </c>
      <c r="F402">
        <v>16</v>
      </c>
      <c r="G402">
        <v>13.0209333333333</v>
      </c>
    </row>
    <row r="403" spans="1:7" x14ac:dyDescent="0.35">
      <c r="A403" t="s">
        <v>847</v>
      </c>
      <c r="B403" t="s">
        <v>676</v>
      </c>
      <c r="C403" s="83">
        <v>46137</v>
      </c>
      <c r="D403" t="s">
        <v>679</v>
      </c>
      <c r="E403" t="s">
        <v>704</v>
      </c>
      <c r="F403">
        <v>15</v>
      </c>
      <c r="G403">
        <v>28.0080833333333</v>
      </c>
    </row>
    <row r="404" spans="1:7" x14ac:dyDescent="0.35">
      <c r="A404" t="s">
        <v>847</v>
      </c>
      <c r="B404" t="s">
        <v>676</v>
      </c>
      <c r="C404" s="83">
        <v>46138</v>
      </c>
      <c r="D404" t="s">
        <v>678</v>
      </c>
      <c r="E404" t="s">
        <v>700</v>
      </c>
      <c r="F404">
        <v>24</v>
      </c>
      <c r="G404">
        <v>19.173816666666699</v>
      </c>
    </row>
    <row r="405" spans="1:7" x14ac:dyDescent="0.35">
      <c r="A405" t="s">
        <v>847</v>
      </c>
      <c r="B405" t="s">
        <v>676</v>
      </c>
      <c r="C405" s="83">
        <v>46138</v>
      </c>
      <c r="D405" t="s">
        <v>678</v>
      </c>
      <c r="E405" t="s">
        <v>702</v>
      </c>
      <c r="F405">
        <v>15</v>
      </c>
      <c r="G405">
        <v>5.31515</v>
      </c>
    </row>
    <row r="406" spans="1:7" x14ac:dyDescent="0.35">
      <c r="A406" t="s">
        <v>847</v>
      </c>
      <c r="B406" t="s">
        <v>676</v>
      </c>
      <c r="C406" s="83">
        <v>46138</v>
      </c>
      <c r="D406" t="s">
        <v>678</v>
      </c>
      <c r="E406" t="s">
        <v>697</v>
      </c>
      <c r="F406">
        <v>8</v>
      </c>
      <c r="G406">
        <v>6.3482166666666702</v>
      </c>
    </row>
    <row r="407" spans="1:7" x14ac:dyDescent="0.35">
      <c r="A407" t="s">
        <v>847</v>
      </c>
      <c r="B407" t="s">
        <v>676</v>
      </c>
      <c r="C407" s="83">
        <v>46138</v>
      </c>
      <c r="D407" t="s">
        <v>679</v>
      </c>
      <c r="E407" t="s">
        <v>700</v>
      </c>
      <c r="F407">
        <v>22</v>
      </c>
      <c r="G407">
        <v>21.672216666666699</v>
      </c>
    </row>
    <row r="408" spans="1:7" x14ac:dyDescent="0.35">
      <c r="A408" t="s">
        <v>847</v>
      </c>
      <c r="B408" t="s">
        <v>676</v>
      </c>
      <c r="C408" s="83">
        <v>46138</v>
      </c>
      <c r="D408" t="s">
        <v>679</v>
      </c>
      <c r="E408" t="s">
        <v>702</v>
      </c>
      <c r="F408">
        <v>20</v>
      </c>
      <c r="G408">
        <v>6.3212000000000002</v>
      </c>
    </row>
    <row r="409" spans="1:7" x14ac:dyDescent="0.35">
      <c r="A409" t="s">
        <v>847</v>
      </c>
      <c r="B409" t="s">
        <v>676</v>
      </c>
      <c r="C409" s="83">
        <v>46138</v>
      </c>
      <c r="D409" t="s">
        <v>679</v>
      </c>
      <c r="E409" t="s">
        <v>698</v>
      </c>
      <c r="F409">
        <v>5</v>
      </c>
      <c r="G409">
        <v>2.0003833333333301</v>
      </c>
    </row>
    <row r="410" spans="1:7" x14ac:dyDescent="0.35">
      <c r="A410" t="s">
        <v>847</v>
      </c>
      <c r="B410" t="s">
        <v>676</v>
      </c>
      <c r="C410" s="83">
        <v>46139</v>
      </c>
      <c r="D410" t="s">
        <v>678</v>
      </c>
      <c r="E410" t="s">
        <v>700</v>
      </c>
      <c r="F410">
        <v>19</v>
      </c>
      <c r="G410">
        <v>18.66375</v>
      </c>
    </row>
    <row r="411" spans="1:7" x14ac:dyDescent="0.35">
      <c r="A411" t="s">
        <v>847</v>
      </c>
      <c r="B411" t="s">
        <v>676</v>
      </c>
      <c r="C411" s="83">
        <v>46139</v>
      </c>
      <c r="D411" t="s">
        <v>678</v>
      </c>
      <c r="E411" t="s">
        <v>702</v>
      </c>
      <c r="F411">
        <v>16</v>
      </c>
      <c r="G411">
        <v>6.8294666666666703</v>
      </c>
    </row>
    <row r="412" spans="1:7" x14ac:dyDescent="0.35">
      <c r="A412" t="s">
        <v>847</v>
      </c>
      <c r="B412" t="s">
        <v>676</v>
      </c>
      <c r="C412" s="83">
        <v>46139</v>
      </c>
      <c r="D412" t="s">
        <v>678</v>
      </c>
      <c r="E412" t="s">
        <v>697</v>
      </c>
      <c r="F412">
        <v>10</v>
      </c>
      <c r="G412">
        <v>6.3260333333333296</v>
      </c>
    </row>
    <row r="413" spans="1:7" x14ac:dyDescent="0.35">
      <c r="A413" t="s">
        <v>847</v>
      </c>
      <c r="B413" t="s">
        <v>676</v>
      </c>
      <c r="C413" s="83">
        <v>46139</v>
      </c>
      <c r="D413" t="s">
        <v>679</v>
      </c>
      <c r="E413" t="s">
        <v>700</v>
      </c>
      <c r="F413">
        <v>20</v>
      </c>
      <c r="G413">
        <v>18.501149999999999</v>
      </c>
    </row>
    <row r="414" spans="1:7" x14ac:dyDescent="0.35">
      <c r="A414" t="s">
        <v>847</v>
      </c>
      <c r="B414" t="s">
        <v>676</v>
      </c>
      <c r="C414" s="83">
        <v>46139</v>
      </c>
      <c r="D414" t="s">
        <v>679</v>
      </c>
      <c r="E414" t="s">
        <v>702</v>
      </c>
      <c r="F414">
        <v>15</v>
      </c>
      <c r="G414">
        <v>10.4901</v>
      </c>
    </row>
    <row r="415" spans="1:7" x14ac:dyDescent="0.35">
      <c r="A415" t="s">
        <v>847</v>
      </c>
      <c r="B415" t="s">
        <v>676</v>
      </c>
      <c r="C415" s="83">
        <v>46139</v>
      </c>
      <c r="D415" t="s">
        <v>679</v>
      </c>
      <c r="E415" t="s">
        <v>704</v>
      </c>
      <c r="F415">
        <v>5</v>
      </c>
      <c r="G415">
        <v>1.5095166666666699</v>
      </c>
    </row>
    <row r="416" spans="1:7" x14ac:dyDescent="0.35">
      <c r="A416" t="s">
        <v>847</v>
      </c>
      <c r="B416" t="s">
        <v>676</v>
      </c>
      <c r="C416" s="83">
        <v>46140</v>
      </c>
      <c r="D416" t="s">
        <v>678</v>
      </c>
      <c r="E416" t="s">
        <v>697</v>
      </c>
      <c r="F416">
        <v>31</v>
      </c>
      <c r="G416">
        <v>22.0226333333333</v>
      </c>
    </row>
    <row r="417" spans="1:7" x14ac:dyDescent="0.35">
      <c r="A417" t="s">
        <v>847</v>
      </c>
      <c r="B417" t="s">
        <v>676</v>
      </c>
      <c r="C417" s="83">
        <v>46140</v>
      </c>
      <c r="D417" t="s">
        <v>678</v>
      </c>
      <c r="E417" t="s">
        <v>700</v>
      </c>
      <c r="F417">
        <v>14</v>
      </c>
      <c r="G417">
        <v>20.924383333333299</v>
      </c>
    </row>
    <row r="418" spans="1:7" x14ac:dyDescent="0.35">
      <c r="A418" t="s">
        <v>847</v>
      </c>
      <c r="B418" t="s">
        <v>676</v>
      </c>
      <c r="C418" s="83">
        <v>46140</v>
      </c>
      <c r="D418" t="s">
        <v>678</v>
      </c>
      <c r="E418" t="s">
        <v>702</v>
      </c>
      <c r="F418">
        <v>10</v>
      </c>
      <c r="G418">
        <v>6.0002500000000003</v>
      </c>
    </row>
    <row r="419" spans="1:7" x14ac:dyDescent="0.35">
      <c r="A419" t="s">
        <v>847</v>
      </c>
      <c r="B419" t="s">
        <v>676</v>
      </c>
      <c r="C419" s="83">
        <v>46140</v>
      </c>
      <c r="D419" t="s">
        <v>679</v>
      </c>
      <c r="E419" t="s">
        <v>700</v>
      </c>
      <c r="F419">
        <v>18</v>
      </c>
      <c r="G419">
        <v>25.210933333333301</v>
      </c>
    </row>
    <row r="420" spans="1:7" x14ac:dyDescent="0.35">
      <c r="A420" t="s">
        <v>847</v>
      </c>
      <c r="B420" t="s">
        <v>676</v>
      </c>
      <c r="C420" s="83">
        <v>46140</v>
      </c>
      <c r="D420" t="s">
        <v>679</v>
      </c>
      <c r="E420" t="s">
        <v>702</v>
      </c>
      <c r="F420">
        <v>11</v>
      </c>
      <c r="G420">
        <v>18.094416666666699</v>
      </c>
    </row>
    <row r="421" spans="1:7" x14ac:dyDescent="0.35">
      <c r="A421" t="s">
        <v>847</v>
      </c>
      <c r="B421" t="s">
        <v>676</v>
      </c>
      <c r="C421" s="83">
        <v>46140</v>
      </c>
      <c r="D421" t="s">
        <v>679</v>
      </c>
      <c r="E421" t="s">
        <v>704</v>
      </c>
      <c r="F421">
        <v>7</v>
      </c>
      <c r="G421">
        <v>13.3566</v>
      </c>
    </row>
    <row r="422" spans="1:7" x14ac:dyDescent="0.35">
      <c r="A422" t="s">
        <v>847</v>
      </c>
      <c r="B422" t="s">
        <v>676</v>
      </c>
      <c r="C422" s="83">
        <v>46141</v>
      </c>
      <c r="D422" t="s">
        <v>678</v>
      </c>
      <c r="E422" t="s">
        <v>697</v>
      </c>
      <c r="F422">
        <v>18</v>
      </c>
      <c r="G422">
        <v>10.990216666666701</v>
      </c>
    </row>
    <row r="423" spans="1:7" x14ac:dyDescent="0.35">
      <c r="A423" t="s">
        <v>847</v>
      </c>
      <c r="B423" t="s">
        <v>676</v>
      </c>
      <c r="C423" s="83">
        <v>46141</v>
      </c>
      <c r="D423" t="s">
        <v>678</v>
      </c>
      <c r="E423" t="s">
        <v>700</v>
      </c>
      <c r="F423">
        <v>15</v>
      </c>
      <c r="G423">
        <v>15.3276166666667</v>
      </c>
    </row>
    <row r="424" spans="1:7" x14ac:dyDescent="0.35">
      <c r="A424" t="s">
        <v>847</v>
      </c>
      <c r="B424" t="s">
        <v>676</v>
      </c>
      <c r="C424" s="83">
        <v>46141</v>
      </c>
      <c r="D424" t="s">
        <v>678</v>
      </c>
      <c r="E424" t="s">
        <v>702</v>
      </c>
      <c r="F424">
        <v>6</v>
      </c>
      <c r="G424">
        <v>1.66566666666667</v>
      </c>
    </row>
    <row r="425" spans="1:7" x14ac:dyDescent="0.35">
      <c r="A425" t="s">
        <v>847</v>
      </c>
      <c r="B425" t="s">
        <v>676</v>
      </c>
      <c r="C425" s="83">
        <v>46141</v>
      </c>
      <c r="D425" t="s">
        <v>679</v>
      </c>
      <c r="E425" t="s">
        <v>700</v>
      </c>
      <c r="F425">
        <v>16</v>
      </c>
      <c r="G425">
        <v>19.665866666666702</v>
      </c>
    </row>
    <row r="426" spans="1:7" x14ac:dyDescent="0.35">
      <c r="A426" t="s">
        <v>847</v>
      </c>
      <c r="B426" t="s">
        <v>676</v>
      </c>
      <c r="C426" s="83">
        <v>46141</v>
      </c>
      <c r="D426" t="s">
        <v>679</v>
      </c>
      <c r="E426" t="s">
        <v>698</v>
      </c>
      <c r="F426">
        <v>15</v>
      </c>
      <c r="G426">
        <v>10.3386833333333</v>
      </c>
    </row>
    <row r="427" spans="1:7" x14ac:dyDescent="0.35">
      <c r="A427" t="s">
        <v>847</v>
      </c>
      <c r="B427" t="s">
        <v>676</v>
      </c>
      <c r="C427" s="83">
        <v>46141</v>
      </c>
      <c r="D427" t="s">
        <v>679</v>
      </c>
      <c r="E427" t="s">
        <v>697</v>
      </c>
      <c r="F427">
        <v>9</v>
      </c>
      <c r="G427">
        <v>8.3362666666666705</v>
      </c>
    </row>
    <row r="428" spans="1:7" x14ac:dyDescent="0.35">
      <c r="A428" t="s">
        <v>847</v>
      </c>
      <c r="B428" t="s">
        <v>676</v>
      </c>
      <c r="C428" s="83">
        <v>46142</v>
      </c>
      <c r="D428" t="s">
        <v>678</v>
      </c>
      <c r="E428" t="s">
        <v>697</v>
      </c>
      <c r="F428">
        <v>50</v>
      </c>
      <c r="G428">
        <v>49.525199999999998</v>
      </c>
    </row>
    <row r="429" spans="1:7" x14ac:dyDescent="0.35">
      <c r="A429" t="s">
        <v>847</v>
      </c>
      <c r="B429" t="s">
        <v>676</v>
      </c>
      <c r="C429" s="83">
        <v>46142</v>
      </c>
      <c r="D429" t="s">
        <v>678</v>
      </c>
      <c r="E429" t="s">
        <v>700</v>
      </c>
      <c r="F429">
        <v>15</v>
      </c>
      <c r="G429">
        <v>18.668500000000002</v>
      </c>
    </row>
    <row r="430" spans="1:7" x14ac:dyDescent="0.35">
      <c r="A430" t="s">
        <v>847</v>
      </c>
      <c r="B430" t="s">
        <v>676</v>
      </c>
      <c r="C430" s="83">
        <v>46142</v>
      </c>
      <c r="D430" t="s">
        <v>678</v>
      </c>
      <c r="E430" t="s">
        <v>699</v>
      </c>
      <c r="F430">
        <v>7</v>
      </c>
      <c r="G430">
        <v>8.1751666666666694</v>
      </c>
    </row>
    <row r="431" spans="1:7" x14ac:dyDescent="0.35">
      <c r="A431" t="s">
        <v>847</v>
      </c>
      <c r="B431" t="s">
        <v>676</v>
      </c>
      <c r="C431" s="83">
        <v>46142</v>
      </c>
      <c r="D431" t="s">
        <v>679</v>
      </c>
      <c r="E431" t="s">
        <v>698</v>
      </c>
      <c r="F431">
        <v>12</v>
      </c>
      <c r="G431">
        <v>25.5024333333333</v>
      </c>
    </row>
    <row r="432" spans="1:7" x14ac:dyDescent="0.35">
      <c r="A432" t="s">
        <v>847</v>
      </c>
      <c r="B432" t="s">
        <v>676</v>
      </c>
      <c r="C432" s="83">
        <v>46142</v>
      </c>
      <c r="D432" t="s">
        <v>679</v>
      </c>
      <c r="E432" t="s">
        <v>700</v>
      </c>
      <c r="F432">
        <v>12</v>
      </c>
      <c r="G432">
        <v>17.9669666666667</v>
      </c>
    </row>
    <row r="433" spans="1:7" x14ac:dyDescent="0.35">
      <c r="A433" t="s">
        <v>847</v>
      </c>
      <c r="B433" t="s">
        <v>676</v>
      </c>
      <c r="C433" s="83">
        <v>46142</v>
      </c>
      <c r="D433" t="s">
        <v>679</v>
      </c>
      <c r="E433" t="s">
        <v>702</v>
      </c>
      <c r="F433">
        <v>10</v>
      </c>
      <c r="G433">
        <v>2.67146666666667</v>
      </c>
    </row>
    <row r="434" spans="1:7" x14ac:dyDescent="0.35">
      <c r="A434" t="s">
        <v>847</v>
      </c>
      <c r="B434" t="s">
        <v>676</v>
      </c>
      <c r="C434" s="83">
        <v>46143</v>
      </c>
      <c r="D434" t="s">
        <v>678</v>
      </c>
      <c r="E434" t="s">
        <v>700</v>
      </c>
      <c r="F434">
        <v>21</v>
      </c>
      <c r="G434">
        <v>19.649999999999999</v>
      </c>
    </row>
    <row r="435" spans="1:7" x14ac:dyDescent="0.35">
      <c r="A435" t="s">
        <v>847</v>
      </c>
      <c r="B435" t="s">
        <v>676</v>
      </c>
      <c r="C435" s="83">
        <v>46143</v>
      </c>
      <c r="D435" t="s">
        <v>678</v>
      </c>
      <c r="E435" t="s">
        <v>702</v>
      </c>
      <c r="F435">
        <v>21</v>
      </c>
      <c r="G435">
        <v>17.1875</v>
      </c>
    </row>
    <row r="436" spans="1:7" x14ac:dyDescent="0.35">
      <c r="A436" t="s">
        <v>847</v>
      </c>
      <c r="B436" t="s">
        <v>676</v>
      </c>
      <c r="C436" s="83">
        <v>46143</v>
      </c>
      <c r="D436" t="s">
        <v>678</v>
      </c>
      <c r="E436" t="s">
        <v>697</v>
      </c>
      <c r="F436">
        <v>20</v>
      </c>
      <c r="G436">
        <v>10.506266666666701</v>
      </c>
    </row>
    <row r="437" spans="1:7" x14ac:dyDescent="0.35">
      <c r="A437" t="s">
        <v>847</v>
      </c>
      <c r="B437" t="s">
        <v>676</v>
      </c>
      <c r="C437" s="83">
        <v>46143</v>
      </c>
      <c r="D437" t="s">
        <v>679</v>
      </c>
      <c r="E437" t="s">
        <v>702</v>
      </c>
      <c r="F437">
        <v>21</v>
      </c>
      <c r="G437">
        <v>10.178416666666701</v>
      </c>
    </row>
    <row r="438" spans="1:7" x14ac:dyDescent="0.35">
      <c r="A438" t="s">
        <v>847</v>
      </c>
      <c r="B438" t="s">
        <v>676</v>
      </c>
      <c r="C438" s="83">
        <v>46143</v>
      </c>
      <c r="D438" t="s">
        <v>679</v>
      </c>
      <c r="E438" t="s">
        <v>700</v>
      </c>
      <c r="F438">
        <v>18</v>
      </c>
      <c r="G438">
        <v>21.702766666666701</v>
      </c>
    </row>
    <row r="439" spans="1:7" x14ac:dyDescent="0.35">
      <c r="A439" t="s">
        <v>847</v>
      </c>
      <c r="B439" t="s">
        <v>676</v>
      </c>
      <c r="C439" s="83">
        <v>46143</v>
      </c>
      <c r="D439" t="s">
        <v>679</v>
      </c>
      <c r="E439" t="s">
        <v>697</v>
      </c>
      <c r="F439">
        <v>5</v>
      </c>
      <c r="G439">
        <v>4.3388833333333299</v>
      </c>
    </row>
    <row r="440" spans="1:7" x14ac:dyDescent="0.35">
      <c r="A440" t="s">
        <v>847</v>
      </c>
      <c r="B440" t="s">
        <v>676</v>
      </c>
      <c r="C440" s="83">
        <v>46144</v>
      </c>
      <c r="D440" t="s">
        <v>678</v>
      </c>
      <c r="E440" t="s">
        <v>700</v>
      </c>
      <c r="F440">
        <v>22</v>
      </c>
      <c r="G440">
        <v>17.656566666666698</v>
      </c>
    </row>
    <row r="441" spans="1:7" x14ac:dyDescent="0.35">
      <c r="A441" t="s">
        <v>847</v>
      </c>
      <c r="B441" t="s">
        <v>676</v>
      </c>
      <c r="C441" s="83">
        <v>46144</v>
      </c>
      <c r="D441" t="s">
        <v>678</v>
      </c>
      <c r="E441" t="s">
        <v>702</v>
      </c>
      <c r="F441">
        <v>19</v>
      </c>
      <c r="G441">
        <v>17.5047833333333</v>
      </c>
    </row>
    <row r="442" spans="1:7" x14ac:dyDescent="0.35">
      <c r="A442" t="s">
        <v>847</v>
      </c>
      <c r="B442" t="s">
        <v>676</v>
      </c>
      <c r="C442" s="83">
        <v>46144</v>
      </c>
      <c r="D442" t="s">
        <v>678</v>
      </c>
      <c r="E442" t="s">
        <v>697</v>
      </c>
      <c r="F442">
        <v>18</v>
      </c>
      <c r="G442">
        <v>12.3081</v>
      </c>
    </row>
    <row r="443" spans="1:7" x14ac:dyDescent="0.35">
      <c r="A443" t="s">
        <v>847</v>
      </c>
      <c r="B443" t="s">
        <v>676</v>
      </c>
      <c r="C443" s="83">
        <v>46144</v>
      </c>
      <c r="D443" t="s">
        <v>679</v>
      </c>
      <c r="E443" t="s">
        <v>700</v>
      </c>
      <c r="F443">
        <v>17</v>
      </c>
      <c r="G443">
        <v>12.329800000000001</v>
      </c>
    </row>
    <row r="444" spans="1:7" x14ac:dyDescent="0.35">
      <c r="A444" t="s">
        <v>847</v>
      </c>
      <c r="B444" t="s">
        <v>676</v>
      </c>
      <c r="C444" s="83">
        <v>46144</v>
      </c>
      <c r="D444" t="s">
        <v>679</v>
      </c>
      <c r="E444" t="s">
        <v>702</v>
      </c>
      <c r="F444">
        <v>16</v>
      </c>
      <c r="G444">
        <v>5.3365499999999999</v>
      </c>
    </row>
    <row r="445" spans="1:7" x14ac:dyDescent="0.35">
      <c r="A445" t="s">
        <v>847</v>
      </c>
      <c r="B445" t="s">
        <v>676</v>
      </c>
      <c r="C445" s="83">
        <v>46144</v>
      </c>
      <c r="D445" t="s">
        <v>679</v>
      </c>
      <c r="E445" t="s">
        <v>698</v>
      </c>
      <c r="F445">
        <v>5</v>
      </c>
      <c r="G445">
        <v>16.496116666666701</v>
      </c>
    </row>
    <row r="446" spans="1:7" x14ac:dyDescent="0.35">
      <c r="A446" t="s">
        <v>847</v>
      </c>
      <c r="B446" t="s">
        <v>676</v>
      </c>
      <c r="C446" s="83">
        <v>46145</v>
      </c>
      <c r="D446" t="s">
        <v>678</v>
      </c>
      <c r="E446" t="s">
        <v>702</v>
      </c>
      <c r="F446">
        <v>26</v>
      </c>
      <c r="G446">
        <v>12.5133166666667</v>
      </c>
    </row>
    <row r="447" spans="1:7" x14ac:dyDescent="0.35">
      <c r="A447" t="s">
        <v>847</v>
      </c>
      <c r="B447" t="s">
        <v>676</v>
      </c>
      <c r="C447" s="83">
        <v>46145</v>
      </c>
      <c r="D447" t="s">
        <v>678</v>
      </c>
      <c r="E447" t="s">
        <v>700</v>
      </c>
      <c r="F447">
        <v>22</v>
      </c>
      <c r="G447">
        <v>26.333283333333299</v>
      </c>
    </row>
    <row r="448" spans="1:7" x14ac:dyDescent="0.35">
      <c r="A448" t="s">
        <v>847</v>
      </c>
      <c r="B448" t="s">
        <v>676</v>
      </c>
      <c r="C448" s="83">
        <v>46145</v>
      </c>
      <c r="D448" t="s">
        <v>678</v>
      </c>
      <c r="E448" t="s">
        <v>697</v>
      </c>
      <c r="F448">
        <v>18</v>
      </c>
      <c r="G448">
        <v>13.814716666666699</v>
      </c>
    </row>
    <row r="449" spans="1:7" x14ac:dyDescent="0.35">
      <c r="A449" t="s">
        <v>847</v>
      </c>
      <c r="B449" t="s">
        <v>676</v>
      </c>
      <c r="C449" s="83">
        <v>46145</v>
      </c>
      <c r="D449" t="s">
        <v>679</v>
      </c>
      <c r="E449" t="s">
        <v>700</v>
      </c>
      <c r="F449">
        <v>28</v>
      </c>
      <c r="G449">
        <v>40.513566666666698</v>
      </c>
    </row>
    <row r="450" spans="1:7" x14ac:dyDescent="0.35">
      <c r="A450" t="s">
        <v>847</v>
      </c>
      <c r="B450" t="s">
        <v>676</v>
      </c>
      <c r="C450" s="83">
        <v>46145</v>
      </c>
      <c r="D450" t="s">
        <v>679</v>
      </c>
      <c r="E450" t="s">
        <v>702</v>
      </c>
      <c r="F450">
        <v>22</v>
      </c>
      <c r="G450">
        <v>7.3287666666666702</v>
      </c>
    </row>
    <row r="451" spans="1:7" x14ac:dyDescent="0.35">
      <c r="A451" t="s">
        <v>847</v>
      </c>
      <c r="B451" t="s">
        <v>676</v>
      </c>
      <c r="C451" s="83">
        <v>46145</v>
      </c>
      <c r="D451" t="s">
        <v>679</v>
      </c>
      <c r="E451" t="s">
        <v>697</v>
      </c>
      <c r="F451">
        <v>5</v>
      </c>
      <c r="G451">
        <v>4.1684999999999999</v>
      </c>
    </row>
    <row r="452" spans="1:7" x14ac:dyDescent="0.35">
      <c r="A452" t="s">
        <v>847</v>
      </c>
      <c r="B452" t="s">
        <v>676</v>
      </c>
      <c r="C452" s="83">
        <v>46146</v>
      </c>
      <c r="D452" t="s">
        <v>678</v>
      </c>
      <c r="E452" t="s">
        <v>697</v>
      </c>
      <c r="F452">
        <v>33</v>
      </c>
      <c r="G452">
        <v>28.525133333333301</v>
      </c>
    </row>
    <row r="453" spans="1:7" x14ac:dyDescent="0.35">
      <c r="A453" t="s">
        <v>847</v>
      </c>
      <c r="B453" t="s">
        <v>676</v>
      </c>
      <c r="C453" s="83">
        <v>46146</v>
      </c>
      <c r="D453" t="s">
        <v>678</v>
      </c>
      <c r="E453" t="s">
        <v>700</v>
      </c>
      <c r="F453">
        <v>16</v>
      </c>
      <c r="G453">
        <v>151.83871666666701</v>
      </c>
    </row>
    <row r="454" spans="1:7" x14ac:dyDescent="0.35">
      <c r="A454" t="s">
        <v>847</v>
      </c>
      <c r="B454" t="s">
        <v>676</v>
      </c>
      <c r="C454" s="83">
        <v>46146</v>
      </c>
      <c r="D454" t="s">
        <v>678</v>
      </c>
      <c r="E454" t="s">
        <v>702</v>
      </c>
      <c r="F454">
        <v>10</v>
      </c>
      <c r="G454">
        <v>8.1753499999999999</v>
      </c>
    </row>
    <row r="455" spans="1:7" x14ac:dyDescent="0.35">
      <c r="A455" t="s">
        <v>847</v>
      </c>
      <c r="B455" t="s">
        <v>676</v>
      </c>
      <c r="C455" s="83">
        <v>46146</v>
      </c>
      <c r="D455" t="s">
        <v>679</v>
      </c>
      <c r="E455" t="s">
        <v>700</v>
      </c>
      <c r="F455">
        <v>16</v>
      </c>
      <c r="G455">
        <v>34.840216666666699</v>
      </c>
    </row>
    <row r="456" spans="1:7" x14ac:dyDescent="0.35">
      <c r="A456" t="s">
        <v>847</v>
      </c>
      <c r="B456" t="s">
        <v>676</v>
      </c>
      <c r="C456" s="83">
        <v>46146</v>
      </c>
      <c r="D456" t="s">
        <v>679</v>
      </c>
      <c r="E456" t="s">
        <v>704</v>
      </c>
      <c r="F456">
        <v>10</v>
      </c>
      <c r="G456">
        <v>15.509166666666699</v>
      </c>
    </row>
    <row r="457" spans="1:7" x14ac:dyDescent="0.35">
      <c r="A457" t="s">
        <v>847</v>
      </c>
      <c r="B457" t="s">
        <v>676</v>
      </c>
      <c r="C457" s="83">
        <v>46146</v>
      </c>
      <c r="D457" t="s">
        <v>679</v>
      </c>
      <c r="E457" t="s">
        <v>698</v>
      </c>
      <c r="F457">
        <v>8</v>
      </c>
      <c r="G457">
        <v>2.6719499999999998</v>
      </c>
    </row>
    <row r="458" spans="1:7" x14ac:dyDescent="0.35">
      <c r="A458" t="s">
        <v>847</v>
      </c>
      <c r="B458" t="s">
        <v>676</v>
      </c>
      <c r="C458" s="83">
        <v>46147</v>
      </c>
      <c r="D458" t="s">
        <v>678</v>
      </c>
      <c r="E458" t="s">
        <v>700</v>
      </c>
      <c r="F458">
        <v>25</v>
      </c>
      <c r="G458">
        <v>20.6617</v>
      </c>
    </row>
    <row r="459" spans="1:7" x14ac:dyDescent="0.35">
      <c r="A459" t="s">
        <v>847</v>
      </c>
      <c r="B459" t="s">
        <v>676</v>
      </c>
      <c r="C459" s="83">
        <v>46147</v>
      </c>
      <c r="D459" t="s">
        <v>678</v>
      </c>
      <c r="E459" t="s">
        <v>702</v>
      </c>
      <c r="F459">
        <v>15</v>
      </c>
      <c r="G459">
        <v>5.0077499999999997</v>
      </c>
    </row>
    <row r="460" spans="1:7" x14ac:dyDescent="0.35">
      <c r="A460" t="s">
        <v>847</v>
      </c>
      <c r="B460" t="s">
        <v>676</v>
      </c>
      <c r="C460" s="83">
        <v>46147</v>
      </c>
      <c r="D460" t="s">
        <v>678</v>
      </c>
      <c r="E460" t="s">
        <v>709</v>
      </c>
      <c r="F460">
        <v>15</v>
      </c>
      <c r="G460">
        <v>5.9992666666666699</v>
      </c>
    </row>
    <row r="461" spans="1:7" x14ac:dyDescent="0.35">
      <c r="A461" t="s">
        <v>847</v>
      </c>
      <c r="B461" t="s">
        <v>676</v>
      </c>
      <c r="C461" s="83">
        <v>46147</v>
      </c>
      <c r="D461" t="s">
        <v>679</v>
      </c>
      <c r="E461" t="s">
        <v>700</v>
      </c>
      <c r="F461">
        <v>20</v>
      </c>
      <c r="G461">
        <v>19.019466666666698</v>
      </c>
    </row>
    <row r="462" spans="1:7" x14ac:dyDescent="0.35">
      <c r="A462" t="s">
        <v>847</v>
      </c>
      <c r="B462" t="s">
        <v>676</v>
      </c>
      <c r="C462" s="83">
        <v>46147</v>
      </c>
      <c r="D462" t="s">
        <v>679</v>
      </c>
      <c r="E462" t="s">
        <v>702</v>
      </c>
      <c r="F462">
        <v>16</v>
      </c>
      <c r="G462">
        <v>18.653449999999999</v>
      </c>
    </row>
    <row r="463" spans="1:7" x14ac:dyDescent="0.35">
      <c r="A463" t="s">
        <v>847</v>
      </c>
      <c r="B463" t="s">
        <v>676</v>
      </c>
      <c r="C463" s="83">
        <v>46147</v>
      </c>
      <c r="D463" t="s">
        <v>679</v>
      </c>
      <c r="E463" t="s">
        <v>698</v>
      </c>
      <c r="F463">
        <v>5</v>
      </c>
      <c r="G463">
        <v>7.9965000000000002</v>
      </c>
    </row>
    <row r="464" spans="1:7" x14ac:dyDescent="0.35">
      <c r="A464" t="s">
        <v>847</v>
      </c>
      <c r="B464" t="s">
        <v>676</v>
      </c>
      <c r="C464" s="83">
        <v>46148</v>
      </c>
      <c r="D464" t="s">
        <v>678</v>
      </c>
      <c r="E464" t="s">
        <v>700</v>
      </c>
      <c r="F464">
        <v>21</v>
      </c>
      <c r="G464">
        <v>20.5187833333333</v>
      </c>
    </row>
    <row r="465" spans="1:7" x14ac:dyDescent="0.35">
      <c r="A465" t="s">
        <v>847</v>
      </c>
      <c r="B465" t="s">
        <v>676</v>
      </c>
      <c r="C465" s="83">
        <v>46148</v>
      </c>
      <c r="D465" t="s">
        <v>678</v>
      </c>
      <c r="E465" t="s">
        <v>709</v>
      </c>
      <c r="F465">
        <v>15</v>
      </c>
      <c r="G465">
        <v>5.3366499999999997</v>
      </c>
    </row>
    <row r="466" spans="1:7" x14ac:dyDescent="0.35">
      <c r="A466" t="s">
        <v>847</v>
      </c>
      <c r="B466" t="s">
        <v>676</v>
      </c>
      <c r="C466" s="83">
        <v>46148</v>
      </c>
      <c r="D466" t="s">
        <v>678</v>
      </c>
      <c r="E466" t="s">
        <v>702</v>
      </c>
      <c r="F466">
        <v>14</v>
      </c>
      <c r="G466">
        <v>4.33951666666667</v>
      </c>
    </row>
    <row r="467" spans="1:7" x14ac:dyDescent="0.35">
      <c r="A467" t="s">
        <v>847</v>
      </c>
      <c r="B467" t="s">
        <v>676</v>
      </c>
      <c r="C467" s="83">
        <v>46148</v>
      </c>
      <c r="D467" t="s">
        <v>679</v>
      </c>
      <c r="E467" t="s">
        <v>700</v>
      </c>
      <c r="F467">
        <v>19</v>
      </c>
      <c r="G467">
        <v>17.32685</v>
      </c>
    </row>
    <row r="468" spans="1:7" x14ac:dyDescent="0.35">
      <c r="A468" t="s">
        <v>847</v>
      </c>
      <c r="B468" t="s">
        <v>676</v>
      </c>
      <c r="C468" s="83">
        <v>46148</v>
      </c>
      <c r="D468" t="s">
        <v>679</v>
      </c>
      <c r="E468" t="s">
        <v>702</v>
      </c>
      <c r="F468">
        <v>17</v>
      </c>
      <c r="G468">
        <v>27.0033833333333</v>
      </c>
    </row>
    <row r="469" spans="1:7" x14ac:dyDescent="0.35">
      <c r="A469" t="s">
        <v>847</v>
      </c>
      <c r="B469" t="s">
        <v>676</v>
      </c>
      <c r="C469" s="83">
        <v>46148</v>
      </c>
      <c r="D469" t="s">
        <v>679</v>
      </c>
      <c r="E469" t="s">
        <v>698</v>
      </c>
      <c r="F469">
        <v>5</v>
      </c>
      <c r="G469">
        <v>1.50088333333333</v>
      </c>
    </row>
    <row r="470" spans="1:7" x14ac:dyDescent="0.35">
      <c r="A470" t="s">
        <v>847</v>
      </c>
      <c r="B470" t="s">
        <v>676</v>
      </c>
      <c r="C470" s="83">
        <v>46149</v>
      </c>
      <c r="D470" t="s">
        <v>678</v>
      </c>
      <c r="E470" t="s">
        <v>700</v>
      </c>
      <c r="F470">
        <v>24</v>
      </c>
      <c r="G470">
        <v>19.007249999999999</v>
      </c>
    </row>
    <row r="471" spans="1:7" x14ac:dyDescent="0.35">
      <c r="A471" t="s">
        <v>847</v>
      </c>
      <c r="B471" t="s">
        <v>676</v>
      </c>
      <c r="C471" s="83">
        <v>46149</v>
      </c>
      <c r="D471" t="s">
        <v>678</v>
      </c>
      <c r="E471" t="s">
        <v>702</v>
      </c>
      <c r="F471">
        <v>22</v>
      </c>
      <c r="G471">
        <v>12.8301833333333</v>
      </c>
    </row>
    <row r="472" spans="1:7" x14ac:dyDescent="0.35">
      <c r="A472" t="s">
        <v>847</v>
      </c>
      <c r="B472" t="s">
        <v>676</v>
      </c>
      <c r="C472" s="83">
        <v>46149</v>
      </c>
      <c r="D472" t="s">
        <v>678</v>
      </c>
      <c r="E472" t="s">
        <v>697</v>
      </c>
      <c r="F472">
        <v>6</v>
      </c>
      <c r="G472">
        <v>3.4994000000000001</v>
      </c>
    </row>
    <row r="473" spans="1:7" x14ac:dyDescent="0.35">
      <c r="A473" t="s">
        <v>847</v>
      </c>
      <c r="B473" t="s">
        <v>676</v>
      </c>
      <c r="C473" s="83">
        <v>46149</v>
      </c>
      <c r="D473" t="s">
        <v>679</v>
      </c>
      <c r="E473" t="s">
        <v>700</v>
      </c>
      <c r="F473">
        <v>21</v>
      </c>
      <c r="G473">
        <v>21.00675</v>
      </c>
    </row>
    <row r="474" spans="1:7" x14ac:dyDescent="0.35">
      <c r="A474" t="s">
        <v>847</v>
      </c>
      <c r="B474" t="s">
        <v>676</v>
      </c>
      <c r="C474" s="83">
        <v>46149</v>
      </c>
      <c r="D474" t="s">
        <v>679</v>
      </c>
      <c r="E474" t="s">
        <v>702</v>
      </c>
      <c r="F474">
        <v>8</v>
      </c>
      <c r="G474">
        <v>3.4965333333333302</v>
      </c>
    </row>
    <row r="475" spans="1:7" x14ac:dyDescent="0.35">
      <c r="A475" t="s">
        <v>847</v>
      </c>
      <c r="B475" t="s">
        <v>676</v>
      </c>
      <c r="C475" s="83">
        <v>46149</v>
      </c>
      <c r="D475" t="s">
        <v>679</v>
      </c>
      <c r="E475" t="s">
        <v>698</v>
      </c>
      <c r="F475">
        <v>4</v>
      </c>
      <c r="G475">
        <v>3.5084166666666698</v>
      </c>
    </row>
    <row r="476" spans="1:7" x14ac:dyDescent="0.35">
      <c r="A476" t="s">
        <v>847</v>
      </c>
      <c r="B476" t="s">
        <v>676</v>
      </c>
      <c r="C476" s="83">
        <v>46150</v>
      </c>
      <c r="D476" t="s">
        <v>678</v>
      </c>
      <c r="E476" t="s">
        <v>700</v>
      </c>
      <c r="F476">
        <v>29</v>
      </c>
      <c r="G476">
        <v>25.032133333333299</v>
      </c>
    </row>
    <row r="477" spans="1:7" x14ac:dyDescent="0.35">
      <c r="A477" t="s">
        <v>847</v>
      </c>
      <c r="B477" t="s">
        <v>676</v>
      </c>
      <c r="C477" s="83">
        <v>46150</v>
      </c>
      <c r="D477" t="s">
        <v>678</v>
      </c>
      <c r="E477" t="s">
        <v>702</v>
      </c>
      <c r="F477">
        <v>8</v>
      </c>
      <c r="G477">
        <v>2.99603333333333</v>
      </c>
    </row>
    <row r="478" spans="1:7" x14ac:dyDescent="0.35">
      <c r="A478" t="s">
        <v>847</v>
      </c>
      <c r="B478" t="s">
        <v>676</v>
      </c>
      <c r="C478" s="83">
        <v>46150</v>
      </c>
      <c r="D478" t="s">
        <v>678</v>
      </c>
      <c r="E478" t="s">
        <v>697</v>
      </c>
      <c r="F478">
        <v>4</v>
      </c>
      <c r="G478">
        <v>1.82981666666667</v>
      </c>
    </row>
    <row r="479" spans="1:7" x14ac:dyDescent="0.35">
      <c r="A479" t="s">
        <v>847</v>
      </c>
      <c r="B479" t="s">
        <v>676</v>
      </c>
      <c r="C479" s="83">
        <v>46150</v>
      </c>
      <c r="D479" t="s">
        <v>679</v>
      </c>
      <c r="E479" t="s">
        <v>700</v>
      </c>
      <c r="F479">
        <v>22</v>
      </c>
      <c r="G479">
        <v>19.348283333333299</v>
      </c>
    </row>
    <row r="480" spans="1:7" x14ac:dyDescent="0.35">
      <c r="A480" t="s">
        <v>847</v>
      </c>
      <c r="B480" t="s">
        <v>676</v>
      </c>
      <c r="C480" s="83">
        <v>46150</v>
      </c>
      <c r="D480" t="s">
        <v>679</v>
      </c>
      <c r="E480" t="s">
        <v>702</v>
      </c>
      <c r="F480">
        <v>10</v>
      </c>
      <c r="G480">
        <v>4.6769333333333298</v>
      </c>
    </row>
    <row r="481" spans="1:7" x14ac:dyDescent="0.35">
      <c r="A481" t="s">
        <v>847</v>
      </c>
      <c r="B481" t="s">
        <v>676</v>
      </c>
      <c r="C481" s="83">
        <v>46150</v>
      </c>
      <c r="D481" t="s">
        <v>679</v>
      </c>
      <c r="E481" t="s">
        <v>698</v>
      </c>
      <c r="F481">
        <v>7</v>
      </c>
      <c r="G481">
        <v>1.50088333333333</v>
      </c>
    </row>
    <row r="482" spans="1:7" x14ac:dyDescent="0.35">
      <c r="A482" t="s">
        <v>847</v>
      </c>
      <c r="B482" t="s">
        <v>676</v>
      </c>
      <c r="C482" s="83">
        <v>46151</v>
      </c>
      <c r="D482" t="s">
        <v>678</v>
      </c>
      <c r="E482" t="s">
        <v>700</v>
      </c>
      <c r="F482">
        <v>26</v>
      </c>
      <c r="G482">
        <v>23.6701333333333</v>
      </c>
    </row>
    <row r="483" spans="1:7" x14ac:dyDescent="0.35">
      <c r="A483" t="s">
        <v>847</v>
      </c>
      <c r="B483" t="s">
        <v>676</v>
      </c>
      <c r="C483" s="83">
        <v>46151</v>
      </c>
      <c r="D483" t="s">
        <v>678</v>
      </c>
      <c r="E483" t="s">
        <v>702</v>
      </c>
      <c r="F483">
        <v>14</v>
      </c>
      <c r="G483">
        <v>5.3490333333333302</v>
      </c>
    </row>
    <row r="484" spans="1:7" x14ac:dyDescent="0.35">
      <c r="A484" t="s">
        <v>847</v>
      </c>
      <c r="B484" t="s">
        <v>676</v>
      </c>
      <c r="C484" s="83">
        <v>46151</v>
      </c>
      <c r="D484" t="s">
        <v>678</v>
      </c>
      <c r="E484" t="s">
        <v>697</v>
      </c>
      <c r="F484">
        <v>7</v>
      </c>
      <c r="G484">
        <v>3.49105</v>
      </c>
    </row>
    <row r="485" spans="1:7" x14ac:dyDescent="0.35">
      <c r="A485" t="s">
        <v>847</v>
      </c>
      <c r="B485" t="s">
        <v>676</v>
      </c>
      <c r="C485" s="83">
        <v>46151</v>
      </c>
      <c r="D485" t="s">
        <v>679</v>
      </c>
      <c r="E485" t="s">
        <v>700</v>
      </c>
      <c r="F485">
        <v>21</v>
      </c>
      <c r="G485">
        <v>26.493133333333301</v>
      </c>
    </row>
    <row r="486" spans="1:7" x14ac:dyDescent="0.35">
      <c r="A486" t="s">
        <v>847</v>
      </c>
      <c r="B486" t="s">
        <v>676</v>
      </c>
      <c r="C486" s="83">
        <v>46151</v>
      </c>
      <c r="D486" t="s">
        <v>679</v>
      </c>
      <c r="E486" t="s">
        <v>702</v>
      </c>
      <c r="F486">
        <v>13</v>
      </c>
      <c r="G486">
        <v>3.83103333333333</v>
      </c>
    </row>
    <row r="487" spans="1:7" x14ac:dyDescent="0.35">
      <c r="A487" t="s">
        <v>847</v>
      </c>
      <c r="B487" t="s">
        <v>676</v>
      </c>
      <c r="C487" s="83">
        <v>46151</v>
      </c>
      <c r="D487" t="s">
        <v>679</v>
      </c>
      <c r="E487" t="s">
        <v>697</v>
      </c>
      <c r="F487">
        <v>5</v>
      </c>
      <c r="G487">
        <v>3.0052833333333302</v>
      </c>
    </row>
    <row r="488" spans="1:7" x14ac:dyDescent="0.35">
      <c r="A488" t="s">
        <v>847</v>
      </c>
      <c r="B488" t="s">
        <v>676</v>
      </c>
      <c r="C488" s="83">
        <v>46152</v>
      </c>
      <c r="D488" t="s">
        <v>678</v>
      </c>
      <c r="E488" t="s">
        <v>697</v>
      </c>
      <c r="F488">
        <v>24</v>
      </c>
      <c r="G488">
        <v>15.021283333333299</v>
      </c>
    </row>
    <row r="489" spans="1:7" x14ac:dyDescent="0.35">
      <c r="A489" t="s">
        <v>847</v>
      </c>
      <c r="B489" t="s">
        <v>676</v>
      </c>
      <c r="C489" s="83">
        <v>46152</v>
      </c>
      <c r="D489" t="s">
        <v>678</v>
      </c>
      <c r="E489" t="s">
        <v>700</v>
      </c>
      <c r="F489">
        <v>15</v>
      </c>
      <c r="G489">
        <v>12.833500000000001</v>
      </c>
    </row>
    <row r="490" spans="1:7" x14ac:dyDescent="0.35">
      <c r="A490" t="s">
        <v>847</v>
      </c>
      <c r="B490" t="s">
        <v>676</v>
      </c>
      <c r="C490" s="83">
        <v>46152</v>
      </c>
      <c r="D490" t="s">
        <v>678</v>
      </c>
      <c r="E490" t="s">
        <v>703</v>
      </c>
      <c r="F490">
        <v>14</v>
      </c>
      <c r="G490">
        <v>10.3258166666667</v>
      </c>
    </row>
    <row r="491" spans="1:7" x14ac:dyDescent="0.35">
      <c r="A491" t="s">
        <v>847</v>
      </c>
      <c r="B491" t="s">
        <v>676</v>
      </c>
      <c r="C491" s="83">
        <v>46152</v>
      </c>
      <c r="D491" t="s">
        <v>679</v>
      </c>
      <c r="E491" t="s">
        <v>697</v>
      </c>
      <c r="F491">
        <v>19</v>
      </c>
      <c r="G491">
        <v>25.664833333333299</v>
      </c>
    </row>
    <row r="492" spans="1:7" x14ac:dyDescent="0.35">
      <c r="A492" t="s">
        <v>847</v>
      </c>
      <c r="B492" t="s">
        <v>676</v>
      </c>
      <c r="C492" s="83">
        <v>46152</v>
      </c>
      <c r="D492" t="s">
        <v>679</v>
      </c>
      <c r="E492" t="s">
        <v>700</v>
      </c>
      <c r="F492">
        <v>13</v>
      </c>
      <c r="G492">
        <v>15.170733333333301</v>
      </c>
    </row>
    <row r="493" spans="1:7" x14ac:dyDescent="0.35">
      <c r="A493" t="s">
        <v>847</v>
      </c>
      <c r="B493" t="s">
        <v>676</v>
      </c>
      <c r="C493" s="83">
        <v>46152</v>
      </c>
      <c r="D493" t="s">
        <v>679</v>
      </c>
      <c r="E493" t="s">
        <v>699</v>
      </c>
      <c r="F493">
        <v>8</v>
      </c>
      <c r="G493">
        <v>58.318883333333297</v>
      </c>
    </row>
    <row r="494" spans="1:7" x14ac:dyDescent="0.35">
      <c r="A494" t="s">
        <v>847</v>
      </c>
      <c r="B494" t="s">
        <v>676</v>
      </c>
      <c r="C494" s="83">
        <v>46153</v>
      </c>
      <c r="D494" t="s">
        <v>678</v>
      </c>
      <c r="E494" t="s">
        <v>697</v>
      </c>
      <c r="F494">
        <v>41</v>
      </c>
      <c r="G494">
        <v>33.329783333333303</v>
      </c>
    </row>
    <row r="495" spans="1:7" x14ac:dyDescent="0.35">
      <c r="A495" t="s">
        <v>847</v>
      </c>
      <c r="B495" t="s">
        <v>676</v>
      </c>
      <c r="C495" s="83">
        <v>46153</v>
      </c>
      <c r="D495" t="s">
        <v>678</v>
      </c>
      <c r="E495" t="s">
        <v>703</v>
      </c>
      <c r="F495">
        <v>17</v>
      </c>
      <c r="G495">
        <v>6.0071666666666701</v>
      </c>
    </row>
    <row r="496" spans="1:7" x14ac:dyDescent="0.35">
      <c r="A496" t="s">
        <v>847</v>
      </c>
      <c r="B496" t="s">
        <v>676</v>
      </c>
      <c r="C496" s="83">
        <v>46153</v>
      </c>
      <c r="D496" t="s">
        <v>678</v>
      </c>
      <c r="E496" t="s">
        <v>702</v>
      </c>
      <c r="F496">
        <v>14</v>
      </c>
      <c r="G496">
        <v>45.3622333333333</v>
      </c>
    </row>
    <row r="497" spans="1:7" x14ac:dyDescent="0.35">
      <c r="A497" t="s">
        <v>847</v>
      </c>
      <c r="B497" t="s">
        <v>676</v>
      </c>
      <c r="C497" s="83">
        <v>46153</v>
      </c>
      <c r="D497" t="s">
        <v>679</v>
      </c>
      <c r="E497" t="s">
        <v>697</v>
      </c>
      <c r="F497">
        <v>68</v>
      </c>
      <c r="G497">
        <v>47.040383333333303</v>
      </c>
    </row>
    <row r="498" spans="1:7" x14ac:dyDescent="0.35">
      <c r="A498" t="s">
        <v>847</v>
      </c>
      <c r="B498" t="s">
        <v>676</v>
      </c>
      <c r="C498" s="83">
        <v>46153</v>
      </c>
      <c r="D498" t="s">
        <v>679</v>
      </c>
      <c r="E498" t="s">
        <v>700</v>
      </c>
      <c r="F498">
        <v>8</v>
      </c>
      <c r="G498">
        <v>9.3593499999999992</v>
      </c>
    </row>
    <row r="499" spans="1:7" x14ac:dyDescent="0.35">
      <c r="A499" t="s">
        <v>847</v>
      </c>
      <c r="B499" t="s">
        <v>676</v>
      </c>
      <c r="C499" s="83">
        <v>46153</v>
      </c>
      <c r="D499" t="s">
        <v>679</v>
      </c>
      <c r="E499" t="s">
        <v>699</v>
      </c>
      <c r="F499">
        <v>7</v>
      </c>
      <c r="G499">
        <v>13.536949999999999</v>
      </c>
    </row>
    <row r="500" spans="1:7" x14ac:dyDescent="0.35">
      <c r="A500" t="s">
        <v>847</v>
      </c>
      <c r="B500" t="s">
        <v>676</v>
      </c>
      <c r="C500" s="83">
        <v>46154</v>
      </c>
      <c r="D500" t="s">
        <v>678</v>
      </c>
      <c r="E500" t="s">
        <v>697</v>
      </c>
      <c r="F500">
        <v>36</v>
      </c>
      <c r="G500">
        <v>21.331800000000001</v>
      </c>
    </row>
    <row r="501" spans="1:7" x14ac:dyDescent="0.35">
      <c r="A501" t="s">
        <v>847</v>
      </c>
      <c r="B501" t="s">
        <v>692</v>
      </c>
      <c r="C501" s="83"/>
      <c r="F501">
        <v>15825</v>
      </c>
      <c r="G501">
        <v>75686.494133333603</v>
      </c>
    </row>
    <row r="502" spans="1:7" x14ac:dyDescent="0.35">
      <c r="A502" t="s">
        <v>847</v>
      </c>
      <c r="B502" t="s">
        <v>676</v>
      </c>
      <c r="C502" s="83">
        <v>46154</v>
      </c>
      <c r="D502" t="s">
        <v>678</v>
      </c>
      <c r="E502" t="s">
        <v>705</v>
      </c>
      <c r="F502">
        <v>13</v>
      </c>
      <c r="G502">
        <v>11.6625833333333</v>
      </c>
    </row>
    <row r="503" spans="1:7" x14ac:dyDescent="0.35">
      <c r="A503" t="s">
        <v>847</v>
      </c>
      <c r="B503" t="s">
        <v>676</v>
      </c>
      <c r="C503" s="83">
        <v>46154</v>
      </c>
      <c r="D503" t="s">
        <v>678</v>
      </c>
      <c r="E503" t="s">
        <v>700</v>
      </c>
      <c r="F503">
        <v>12</v>
      </c>
      <c r="G503">
        <v>9.6534333333333304</v>
      </c>
    </row>
    <row r="504" spans="1:7" x14ac:dyDescent="0.35">
      <c r="A504" t="s">
        <v>847</v>
      </c>
      <c r="B504" t="s">
        <v>676</v>
      </c>
      <c r="C504" s="83">
        <v>46154</v>
      </c>
      <c r="D504" t="s">
        <v>679</v>
      </c>
      <c r="E504" t="s">
        <v>697</v>
      </c>
      <c r="F504">
        <v>53</v>
      </c>
      <c r="G504">
        <v>34.154566666666703</v>
      </c>
    </row>
    <row r="505" spans="1:7" x14ac:dyDescent="0.35">
      <c r="A505" t="s">
        <v>847</v>
      </c>
      <c r="B505" t="s">
        <v>676</v>
      </c>
      <c r="C505" s="83">
        <v>46154</v>
      </c>
      <c r="D505" t="s">
        <v>679</v>
      </c>
      <c r="E505" t="s">
        <v>700</v>
      </c>
      <c r="F505">
        <v>12</v>
      </c>
      <c r="G505">
        <v>14.1758166666667</v>
      </c>
    </row>
    <row r="506" spans="1:7" x14ac:dyDescent="0.35">
      <c r="A506" t="s">
        <v>847</v>
      </c>
      <c r="B506" t="s">
        <v>676</v>
      </c>
      <c r="C506" s="83">
        <v>46154</v>
      </c>
      <c r="D506" t="s">
        <v>679</v>
      </c>
      <c r="E506" t="s">
        <v>705</v>
      </c>
      <c r="F506">
        <v>10</v>
      </c>
      <c r="G506">
        <v>5.4772833333333297</v>
      </c>
    </row>
    <row r="507" spans="1:7" x14ac:dyDescent="0.35">
      <c r="A507" t="s">
        <v>847</v>
      </c>
      <c r="B507" t="s">
        <v>676</v>
      </c>
      <c r="C507" s="83">
        <v>46155</v>
      </c>
      <c r="D507" t="s">
        <v>678</v>
      </c>
      <c r="E507" t="s">
        <v>697</v>
      </c>
      <c r="F507">
        <v>23</v>
      </c>
      <c r="G507">
        <v>13.8144333333333</v>
      </c>
    </row>
    <row r="508" spans="1:7" x14ac:dyDescent="0.35">
      <c r="A508" t="s">
        <v>847</v>
      </c>
      <c r="B508" t="s">
        <v>676</v>
      </c>
      <c r="C508" s="83">
        <v>46155</v>
      </c>
      <c r="D508" t="s">
        <v>678</v>
      </c>
      <c r="E508" t="s">
        <v>700</v>
      </c>
      <c r="F508">
        <v>15</v>
      </c>
      <c r="G508">
        <v>15.839183333333301</v>
      </c>
    </row>
    <row r="509" spans="1:7" x14ac:dyDescent="0.35">
      <c r="A509" t="s">
        <v>847</v>
      </c>
      <c r="B509" t="s">
        <v>676</v>
      </c>
      <c r="C509" s="83">
        <v>46155</v>
      </c>
      <c r="D509" t="s">
        <v>678</v>
      </c>
      <c r="E509" t="s">
        <v>705</v>
      </c>
      <c r="F509">
        <v>8</v>
      </c>
      <c r="G509">
        <v>4.0013666666666703</v>
      </c>
    </row>
    <row r="510" spans="1:7" x14ac:dyDescent="0.35">
      <c r="A510" t="s">
        <v>847</v>
      </c>
      <c r="B510" t="s">
        <v>676</v>
      </c>
      <c r="C510" s="83">
        <v>46155</v>
      </c>
      <c r="D510" t="s">
        <v>679</v>
      </c>
      <c r="E510" t="s">
        <v>697</v>
      </c>
      <c r="F510">
        <v>46</v>
      </c>
      <c r="G510">
        <v>29.302866666666699</v>
      </c>
    </row>
    <row r="511" spans="1:7" x14ac:dyDescent="0.35">
      <c r="A511" t="s">
        <v>847</v>
      </c>
      <c r="B511" t="s">
        <v>676</v>
      </c>
      <c r="C511" s="83">
        <v>46155</v>
      </c>
      <c r="D511" t="s">
        <v>679</v>
      </c>
      <c r="E511" t="s">
        <v>700</v>
      </c>
      <c r="F511">
        <v>8</v>
      </c>
      <c r="G511">
        <v>12.490216666666701</v>
      </c>
    </row>
    <row r="512" spans="1:7" x14ac:dyDescent="0.35">
      <c r="A512" t="s">
        <v>847</v>
      </c>
      <c r="B512" t="s">
        <v>676</v>
      </c>
      <c r="C512" s="83">
        <v>46155</v>
      </c>
      <c r="D512" t="s">
        <v>679</v>
      </c>
      <c r="E512" t="s">
        <v>703</v>
      </c>
      <c r="F512">
        <v>7</v>
      </c>
      <c r="G512">
        <v>3.3304833333333299</v>
      </c>
    </row>
    <row r="513" spans="1:7" x14ac:dyDescent="0.35">
      <c r="A513" t="s">
        <v>847</v>
      </c>
      <c r="B513" t="s">
        <v>676</v>
      </c>
      <c r="C513" s="83">
        <v>46156</v>
      </c>
      <c r="D513" t="s">
        <v>678</v>
      </c>
      <c r="E513" t="s">
        <v>700</v>
      </c>
      <c r="F513">
        <v>12</v>
      </c>
      <c r="G513">
        <v>12.4948833333333</v>
      </c>
    </row>
    <row r="514" spans="1:7" x14ac:dyDescent="0.35">
      <c r="A514" t="s">
        <v>847</v>
      </c>
      <c r="B514" t="s">
        <v>676</v>
      </c>
      <c r="C514" s="83">
        <v>46156</v>
      </c>
      <c r="D514" t="s">
        <v>678</v>
      </c>
      <c r="E514" t="s">
        <v>698</v>
      </c>
      <c r="F514">
        <v>5</v>
      </c>
      <c r="G514">
        <v>2.00098333333333</v>
      </c>
    </row>
    <row r="515" spans="1:7" x14ac:dyDescent="0.35">
      <c r="A515" t="s">
        <v>847</v>
      </c>
      <c r="B515" t="s">
        <v>676</v>
      </c>
      <c r="C515" s="83">
        <v>46156</v>
      </c>
      <c r="D515" t="s">
        <v>678</v>
      </c>
      <c r="E515" t="s">
        <v>702</v>
      </c>
      <c r="F515">
        <v>5</v>
      </c>
      <c r="G515">
        <v>2.1603166666666702</v>
      </c>
    </row>
    <row r="516" spans="1:7" x14ac:dyDescent="0.35">
      <c r="A516" t="s">
        <v>847</v>
      </c>
      <c r="B516" t="s">
        <v>676</v>
      </c>
      <c r="C516" s="83">
        <v>46156</v>
      </c>
      <c r="D516" t="s">
        <v>679</v>
      </c>
      <c r="E516" t="s">
        <v>697</v>
      </c>
      <c r="F516">
        <v>31</v>
      </c>
      <c r="G516">
        <v>17.5161333333333</v>
      </c>
    </row>
    <row r="517" spans="1:7" x14ac:dyDescent="0.35">
      <c r="A517" t="s">
        <v>847</v>
      </c>
      <c r="B517" t="s">
        <v>676</v>
      </c>
      <c r="C517" s="83">
        <v>46156</v>
      </c>
      <c r="D517" t="s">
        <v>679</v>
      </c>
      <c r="E517" t="s">
        <v>700</v>
      </c>
      <c r="F517">
        <v>17</v>
      </c>
      <c r="G517">
        <v>18.510833333333299</v>
      </c>
    </row>
    <row r="518" spans="1:7" x14ac:dyDescent="0.35">
      <c r="A518" t="s">
        <v>847</v>
      </c>
      <c r="B518" t="s">
        <v>676</v>
      </c>
      <c r="C518" s="83">
        <v>46156</v>
      </c>
      <c r="D518" t="s">
        <v>679</v>
      </c>
      <c r="E518" t="s">
        <v>709</v>
      </c>
      <c r="F518">
        <v>7</v>
      </c>
      <c r="G518">
        <v>5.3400333333333299</v>
      </c>
    </row>
    <row r="519" spans="1:7" x14ac:dyDescent="0.35">
      <c r="A519" t="s">
        <v>847</v>
      </c>
      <c r="B519" t="s">
        <v>676</v>
      </c>
      <c r="C519" s="83">
        <v>46157</v>
      </c>
      <c r="D519" t="s">
        <v>678</v>
      </c>
      <c r="E519" t="s">
        <v>697</v>
      </c>
      <c r="F519">
        <v>17</v>
      </c>
      <c r="G519">
        <v>8.8302833333333304</v>
      </c>
    </row>
    <row r="520" spans="1:7" x14ac:dyDescent="0.35">
      <c r="A520" t="s">
        <v>847</v>
      </c>
      <c r="B520" t="s">
        <v>676</v>
      </c>
      <c r="C520" s="83">
        <v>46157</v>
      </c>
      <c r="D520" t="s">
        <v>678</v>
      </c>
      <c r="E520" t="s">
        <v>700</v>
      </c>
      <c r="F520">
        <v>14</v>
      </c>
      <c r="G520">
        <v>14.331049999999999</v>
      </c>
    </row>
    <row r="521" spans="1:7" x14ac:dyDescent="0.35">
      <c r="A521" t="s">
        <v>847</v>
      </c>
      <c r="B521" t="s">
        <v>676</v>
      </c>
      <c r="C521" s="83">
        <v>46157</v>
      </c>
      <c r="D521" t="s">
        <v>678</v>
      </c>
      <c r="E521" t="s">
        <v>702</v>
      </c>
      <c r="F521">
        <v>7</v>
      </c>
      <c r="G521">
        <v>6.1523333333333303</v>
      </c>
    </row>
    <row r="522" spans="1:7" x14ac:dyDescent="0.35">
      <c r="A522" t="s">
        <v>847</v>
      </c>
      <c r="B522" t="s">
        <v>676</v>
      </c>
      <c r="C522" s="83">
        <v>46157</v>
      </c>
      <c r="D522" t="s">
        <v>679</v>
      </c>
      <c r="E522" t="s">
        <v>697</v>
      </c>
      <c r="F522">
        <v>77</v>
      </c>
      <c r="G522">
        <v>59.472099999999998</v>
      </c>
    </row>
    <row r="523" spans="1:7" x14ac:dyDescent="0.35">
      <c r="A523" t="s">
        <v>847</v>
      </c>
      <c r="B523" t="s">
        <v>676</v>
      </c>
      <c r="C523" s="83">
        <v>46157</v>
      </c>
      <c r="D523" t="s">
        <v>679</v>
      </c>
      <c r="E523" t="s">
        <v>700</v>
      </c>
      <c r="F523">
        <v>11</v>
      </c>
      <c r="G523">
        <v>9.5119333333333405</v>
      </c>
    </row>
    <row r="524" spans="1:7" x14ac:dyDescent="0.35">
      <c r="A524" t="s">
        <v>847</v>
      </c>
      <c r="B524" t="s">
        <v>676</v>
      </c>
      <c r="C524" s="83">
        <v>46157</v>
      </c>
      <c r="D524" t="s">
        <v>679</v>
      </c>
      <c r="E524" t="s">
        <v>698</v>
      </c>
      <c r="F524">
        <v>8</v>
      </c>
      <c r="G524">
        <v>4.8362999999999996</v>
      </c>
    </row>
    <row r="525" spans="1:7" x14ac:dyDescent="0.35">
      <c r="A525" t="s">
        <v>847</v>
      </c>
      <c r="B525" t="s">
        <v>676</v>
      </c>
      <c r="C525" s="83">
        <v>46158</v>
      </c>
      <c r="D525" t="s">
        <v>678</v>
      </c>
      <c r="E525" t="s">
        <v>699</v>
      </c>
      <c r="F525">
        <v>22</v>
      </c>
      <c r="G525">
        <v>37.373433333333303</v>
      </c>
    </row>
    <row r="526" spans="1:7" x14ac:dyDescent="0.35">
      <c r="A526" t="s">
        <v>847</v>
      </c>
      <c r="B526" t="s">
        <v>676</v>
      </c>
      <c r="C526" s="83">
        <v>46158</v>
      </c>
      <c r="D526" t="s">
        <v>678</v>
      </c>
      <c r="E526" t="s">
        <v>705</v>
      </c>
      <c r="F526">
        <v>17</v>
      </c>
      <c r="G526">
        <v>20.187833333333302</v>
      </c>
    </row>
    <row r="527" spans="1:7" x14ac:dyDescent="0.35">
      <c r="A527" t="s">
        <v>847</v>
      </c>
      <c r="B527" t="s">
        <v>676</v>
      </c>
      <c r="C527" s="83">
        <v>46158</v>
      </c>
      <c r="D527" t="s">
        <v>678</v>
      </c>
      <c r="E527" t="s">
        <v>703</v>
      </c>
      <c r="F527">
        <v>14</v>
      </c>
      <c r="G527">
        <v>9.1771999999999991</v>
      </c>
    </row>
    <row r="528" spans="1:7" x14ac:dyDescent="0.35">
      <c r="A528" t="s">
        <v>847</v>
      </c>
      <c r="B528" t="s">
        <v>676</v>
      </c>
      <c r="C528" s="83">
        <v>46158</v>
      </c>
      <c r="D528" t="s">
        <v>679</v>
      </c>
      <c r="E528" t="s">
        <v>699</v>
      </c>
      <c r="F528">
        <v>24</v>
      </c>
      <c r="G528">
        <v>148.863233333333</v>
      </c>
    </row>
    <row r="529" spans="1:7" x14ac:dyDescent="0.35">
      <c r="A529" t="s">
        <v>847</v>
      </c>
      <c r="B529" t="s">
        <v>676</v>
      </c>
      <c r="C529" s="83">
        <v>46158</v>
      </c>
      <c r="D529" t="s">
        <v>679</v>
      </c>
      <c r="E529" t="s">
        <v>697</v>
      </c>
      <c r="F529">
        <v>23</v>
      </c>
      <c r="G529">
        <v>22.5458833333333</v>
      </c>
    </row>
    <row r="530" spans="1:7" x14ac:dyDescent="0.35">
      <c r="A530" t="s">
        <v>847</v>
      </c>
      <c r="B530" t="s">
        <v>676</v>
      </c>
      <c r="C530" s="83">
        <v>46158</v>
      </c>
      <c r="D530" t="s">
        <v>679</v>
      </c>
      <c r="E530" t="s">
        <v>702</v>
      </c>
      <c r="F530">
        <v>20</v>
      </c>
      <c r="G530">
        <v>64.221783333333306</v>
      </c>
    </row>
    <row r="531" spans="1:7" x14ac:dyDescent="0.35">
      <c r="A531" t="s">
        <v>847</v>
      </c>
      <c r="B531" t="s">
        <v>676</v>
      </c>
      <c r="C531" s="83">
        <v>46159</v>
      </c>
      <c r="D531" t="s">
        <v>678</v>
      </c>
      <c r="E531" t="s">
        <v>700</v>
      </c>
      <c r="F531">
        <v>17</v>
      </c>
      <c r="G531">
        <v>16.509833333333301</v>
      </c>
    </row>
    <row r="532" spans="1:7" x14ac:dyDescent="0.35">
      <c r="A532" t="s">
        <v>847</v>
      </c>
      <c r="B532" t="s">
        <v>676</v>
      </c>
      <c r="C532" s="83">
        <v>46159</v>
      </c>
      <c r="D532" t="s">
        <v>678</v>
      </c>
      <c r="E532" t="s">
        <v>699</v>
      </c>
      <c r="F532">
        <v>11</v>
      </c>
      <c r="G532">
        <v>12.66445</v>
      </c>
    </row>
    <row r="533" spans="1:7" x14ac:dyDescent="0.35">
      <c r="A533" t="s">
        <v>847</v>
      </c>
      <c r="B533" t="s">
        <v>676</v>
      </c>
      <c r="C533" s="83">
        <v>46159</v>
      </c>
      <c r="D533" t="s">
        <v>678</v>
      </c>
      <c r="E533" t="s">
        <v>705</v>
      </c>
      <c r="F533">
        <v>8</v>
      </c>
      <c r="G533">
        <v>3.3293666666666701</v>
      </c>
    </row>
    <row r="534" spans="1:7" x14ac:dyDescent="0.35">
      <c r="A534" t="s">
        <v>847</v>
      </c>
      <c r="B534" t="s">
        <v>676</v>
      </c>
      <c r="C534" s="83">
        <v>46159</v>
      </c>
      <c r="D534" t="s">
        <v>679</v>
      </c>
      <c r="E534" t="s">
        <v>700</v>
      </c>
      <c r="F534">
        <v>16</v>
      </c>
      <c r="G534">
        <v>12.824299999999999</v>
      </c>
    </row>
    <row r="535" spans="1:7" x14ac:dyDescent="0.35">
      <c r="A535" t="s">
        <v>847</v>
      </c>
      <c r="B535" t="s">
        <v>676</v>
      </c>
      <c r="C535" s="83">
        <v>46159</v>
      </c>
      <c r="D535" t="s">
        <v>679</v>
      </c>
      <c r="E535" t="s">
        <v>702</v>
      </c>
      <c r="F535">
        <v>10</v>
      </c>
      <c r="G535">
        <v>7.5032166666666704</v>
      </c>
    </row>
    <row r="536" spans="1:7" x14ac:dyDescent="0.35">
      <c r="A536" t="s">
        <v>847</v>
      </c>
      <c r="B536" t="s">
        <v>676</v>
      </c>
      <c r="C536" s="83">
        <v>46159</v>
      </c>
      <c r="D536" t="s">
        <v>679</v>
      </c>
      <c r="E536" t="s">
        <v>705</v>
      </c>
      <c r="F536">
        <v>9</v>
      </c>
      <c r="G536">
        <v>6.8358999999999996</v>
      </c>
    </row>
    <row r="537" spans="1:7" x14ac:dyDescent="0.35">
      <c r="A537" t="s">
        <v>847</v>
      </c>
      <c r="B537" t="s">
        <v>676</v>
      </c>
      <c r="C537" s="83">
        <v>46160</v>
      </c>
      <c r="D537" t="s">
        <v>678</v>
      </c>
      <c r="E537" t="s">
        <v>700</v>
      </c>
      <c r="F537">
        <v>17</v>
      </c>
      <c r="G537">
        <v>15.3241333333333</v>
      </c>
    </row>
    <row r="538" spans="1:7" x14ac:dyDescent="0.35">
      <c r="A538" t="s">
        <v>847</v>
      </c>
      <c r="B538" t="s">
        <v>676</v>
      </c>
      <c r="C538" s="83">
        <v>46160</v>
      </c>
      <c r="D538" t="s">
        <v>678</v>
      </c>
      <c r="E538" t="s">
        <v>699</v>
      </c>
      <c r="F538">
        <v>14</v>
      </c>
      <c r="G538">
        <v>29.3290166666667</v>
      </c>
    </row>
    <row r="539" spans="1:7" x14ac:dyDescent="0.35">
      <c r="A539" t="s">
        <v>847</v>
      </c>
      <c r="B539" t="s">
        <v>676</v>
      </c>
      <c r="C539" s="83">
        <v>46160</v>
      </c>
      <c r="D539" t="s">
        <v>678</v>
      </c>
      <c r="E539" t="s">
        <v>702</v>
      </c>
      <c r="F539">
        <v>8</v>
      </c>
      <c r="G539">
        <v>3.8287</v>
      </c>
    </row>
    <row r="540" spans="1:7" x14ac:dyDescent="0.35">
      <c r="A540" t="s">
        <v>847</v>
      </c>
      <c r="B540" t="s">
        <v>676</v>
      </c>
      <c r="C540" s="83">
        <v>46160</v>
      </c>
      <c r="D540" t="s">
        <v>679</v>
      </c>
      <c r="E540" t="s">
        <v>697</v>
      </c>
      <c r="F540">
        <v>23</v>
      </c>
      <c r="G540">
        <v>19.8291</v>
      </c>
    </row>
    <row r="541" spans="1:7" x14ac:dyDescent="0.35">
      <c r="A541" t="s">
        <v>847</v>
      </c>
      <c r="B541" t="s">
        <v>676</v>
      </c>
      <c r="C541" s="83">
        <v>46160</v>
      </c>
      <c r="D541" t="s">
        <v>679</v>
      </c>
      <c r="E541" t="s">
        <v>699</v>
      </c>
      <c r="F541">
        <v>12</v>
      </c>
      <c r="G541">
        <v>22.491116666666699</v>
      </c>
    </row>
    <row r="542" spans="1:7" x14ac:dyDescent="0.35">
      <c r="A542" t="s">
        <v>847</v>
      </c>
      <c r="B542" t="s">
        <v>676</v>
      </c>
      <c r="C542" s="83">
        <v>46160</v>
      </c>
      <c r="D542" t="s">
        <v>679</v>
      </c>
      <c r="E542" t="s">
        <v>705</v>
      </c>
      <c r="F542">
        <v>12</v>
      </c>
      <c r="G542">
        <v>11.009833333333299</v>
      </c>
    </row>
    <row r="543" spans="1:7" x14ac:dyDescent="0.35">
      <c r="A543" t="s">
        <v>847</v>
      </c>
      <c r="B543" t="s">
        <v>676</v>
      </c>
      <c r="C543" s="83">
        <v>46161</v>
      </c>
      <c r="D543" t="s">
        <v>678</v>
      </c>
      <c r="E543" t="s">
        <v>697</v>
      </c>
      <c r="F543">
        <v>63</v>
      </c>
      <c r="G543">
        <v>38.175049999999999</v>
      </c>
    </row>
    <row r="544" spans="1:7" x14ac:dyDescent="0.35">
      <c r="A544" t="s">
        <v>847</v>
      </c>
      <c r="B544" t="s">
        <v>676</v>
      </c>
      <c r="C544" s="83">
        <v>46161</v>
      </c>
      <c r="D544" t="s">
        <v>678</v>
      </c>
      <c r="E544" t="s">
        <v>700</v>
      </c>
      <c r="F544">
        <v>22</v>
      </c>
      <c r="G544">
        <v>23.30865</v>
      </c>
    </row>
    <row r="545" spans="1:7" x14ac:dyDescent="0.35">
      <c r="A545" t="s">
        <v>847</v>
      </c>
      <c r="B545" t="s">
        <v>676</v>
      </c>
      <c r="C545" s="83">
        <v>46161</v>
      </c>
      <c r="D545" t="s">
        <v>678</v>
      </c>
      <c r="E545" t="s">
        <v>702</v>
      </c>
      <c r="F545">
        <v>9</v>
      </c>
      <c r="G545">
        <v>3.17605</v>
      </c>
    </row>
    <row r="546" spans="1:7" x14ac:dyDescent="0.35">
      <c r="A546" t="s">
        <v>847</v>
      </c>
      <c r="B546" t="s">
        <v>676</v>
      </c>
      <c r="C546" s="83">
        <v>46161</v>
      </c>
      <c r="D546" t="s">
        <v>679</v>
      </c>
      <c r="E546" t="s">
        <v>700</v>
      </c>
      <c r="F546">
        <v>24</v>
      </c>
      <c r="G546">
        <v>21.095666666666698</v>
      </c>
    </row>
    <row r="547" spans="1:7" x14ac:dyDescent="0.35">
      <c r="A547" t="s">
        <v>847</v>
      </c>
      <c r="B547" t="s">
        <v>676</v>
      </c>
      <c r="C547" s="83">
        <v>46161</v>
      </c>
      <c r="D547" t="s">
        <v>679</v>
      </c>
      <c r="E547" t="s">
        <v>702</v>
      </c>
      <c r="F547">
        <v>13</v>
      </c>
      <c r="G547">
        <v>6.0056833333333302</v>
      </c>
    </row>
    <row r="548" spans="1:7" x14ac:dyDescent="0.35">
      <c r="A548" t="s">
        <v>847</v>
      </c>
      <c r="B548" t="s">
        <v>676</v>
      </c>
      <c r="C548" s="83">
        <v>46161</v>
      </c>
      <c r="D548" t="s">
        <v>679</v>
      </c>
      <c r="E548" t="s">
        <v>697</v>
      </c>
      <c r="F548">
        <v>10</v>
      </c>
      <c r="G548">
        <v>7.1688999999999998</v>
      </c>
    </row>
    <row r="549" spans="1:7" x14ac:dyDescent="0.35">
      <c r="A549" t="s">
        <v>847</v>
      </c>
      <c r="B549" t="s">
        <v>676</v>
      </c>
      <c r="C549" s="83">
        <v>46162</v>
      </c>
      <c r="D549" t="s">
        <v>678</v>
      </c>
      <c r="E549" t="s">
        <v>700</v>
      </c>
      <c r="F549">
        <v>21</v>
      </c>
      <c r="G549">
        <v>17.681483333333301</v>
      </c>
    </row>
    <row r="550" spans="1:7" x14ac:dyDescent="0.35">
      <c r="A550" t="s">
        <v>847</v>
      </c>
      <c r="B550" t="s">
        <v>676</v>
      </c>
      <c r="C550" s="83">
        <v>46162</v>
      </c>
      <c r="D550" t="s">
        <v>678</v>
      </c>
      <c r="E550" t="s">
        <v>697</v>
      </c>
      <c r="F550">
        <v>8</v>
      </c>
      <c r="G550">
        <v>4.83575</v>
      </c>
    </row>
    <row r="551" spans="1:7" x14ac:dyDescent="0.35">
      <c r="A551" t="s">
        <v>847</v>
      </c>
      <c r="B551" t="s">
        <v>676</v>
      </c>
      <c r="C551" s="83">
        <v>46162</v>
      </c>
      <c r="D551" t="s">
        <v>678</v>
      </c>
      <c r="E551" t="s">
        <v>702</v>
      </c>
      <c r="F551">
        <v>3</v>
      </c>
      <c r="G551">
        <v>0.50033333333333296</v>
      </c>
    </row>
    <row r="552" spans="1:7" x14ac:dyDescent="0.35">
      <c r="A552" t="s">
        <v>847</v>
      </c>
      <c r="B552" t="s">
        <v>676</v>
      </c>
      <c r="C552" s="83">
        <v>46162</v>
      </c>
      <c r="D552" t="s">
        <v>679</v>
      </c>
      <c r="E552" t="s">
        <v>700</v>
      </c>
      <c r="F552">
        <v>22</v>
      </c>
      <c r="G552">
        <v>20.173883333333301</v>
      </c>
    </row>
    <row r="553" spans="1:7" x14ac:dyDescent="0.35">
      <c r="A553" t="s">
        <v>847</v>
      </c>
      <c r="B553" t="s">
        <v>676</v>
      </c>
      <c r="C553" s="83">
        <v>46162</v>
      </c>
      <c r="D553" t="s">
        <v>679</v>
      </c>
      <c r="E553" t="s">
        <v>705</v>
      </c>
      <c r="F553">
        <v>11</v>
      </c>
      <c r="G553">
        <v>18.999833333333299</v>
      </c>
    </row>
    <row r="554" spans="1:7" x14ac:dyDescent="0.35">
      <c r="A554" t="s">
        <v>847</v>
      </c>
      <c r="B554" t="s">
        <v>676</v>
      </c>
      <c r="C554" s="83">
        <v>46162</v>
      </c>
      <c r="D554" t="s">
        <v>679</v>
      </c>
      <c r="E554" t="s">
        <v>702</v>
      </c>
      <c r="F554">
        <v>8</v>
      </c>
      <c r="G554">
        <v>4.48938333333333</v>
      </c>
    </row>
    <row r="555" spans="1:7" x14ac:dyDescent="0.35">
      <c r="A555" t="s">
        <v>847</v>
      </c>
      <c r="B555" t="s">
        <v>676</v>
      </c>
      <c r="C555" s="83">
        <v>46163</v>
      </c>
      <c r="D555" t="s">
        <v>678</v>
      </c>
      <c r="E555" t="s">
        <v>700</v>
      </c>
      <c r="F555">
        <v>12</v>
      </c>
      <c r="G555">
        <v>10.50005</v>
      </c>
    </row>
    <row r="556" spans="1:7" x14ac:dyDescent="0.35">
      <c r="A556" t="s">
        <v>847</v>
      </c>
      <c r="B556" t="s">
        <v>676</v>
      </c>
      <c r="C556" s="83">
        <v>46163</v>
      </c>
      <c r="D556" t="s">
        <v>678</v>
      </c>
      <c r="E556" t="s">
        <v>703</v>
      </c>
      <c r="F556">
        <v>4</v>
      </c>
      <c r="G556">
        <v>2.6707999999999998</v>
      </c>
    </row>
    <row r="557" spans="1:7" x14ac:dyDescent="0.35">
      <c r="A557" t="s">
        <v>847</v>
      </c>
      <c r="B557" t="s">
        <v>676</v>
      </c>
      <c r="C557" s="83">
        <v>46163</v>
      </c>
      <c r="D557" t="s">
        <v>678</v>
      </c>
      <c r="E557" t="s">
        <v>699</v>
      </c>
      <c r="F557">
        <v>3</v>
      </c>
      <c r="G557">
        <v>196.18403333333299</v>
      </c>
    </row>
    <row r="558" spans="1:7" x14ac:dyDescent="0.35">
      <c r="A558" t="s">
        <v>847</v>
      </c>
      <c r="B558" t="s">
        <v>676</v>
      </c>
      <c r="C558" s="83">
        <v>46163</v>
      </c>
      <c r="D558" t="s">
        <v>679</v>
      </c>
      <c r="E558" t="s">
        <v>698</v>
      </c>
      <c r="F558">
        <v>13</v>
      </c>
      <c r="G558">
        <v>10.175366666666701</v>
      </c>
    </row>
    <row r="559" spans="1:7" x14ac:dyDescent="0.35">
      <c r="A559" t="s">
        <v>847</v>
      </c>
      <c r="B559" t="s">
        <v>676</v>
      </c>
      <c r="C559" s="83">
        <v>46163</v>
      </c>
      <c r="D559" t="s">
        <v>679</v>
      </c>
      <c r="E559" t="s">
        <v>700</v>
      </c>
      <c r="F559">
        <v>11</v>
      </c>
      <c r="G559">
        <v>10.341283333333299</v>
      </c>
    </row>
    <row r="560" spans="1:7" x14ac:dyDescent="0.35">
      <c r="A560" t="s">
        <v>847</v>
      </c>
      <c r="B560" t="s">
        <v>676</v>
      </c>
      <c r="C560" s="83">
        <v>46163</v>
      </c>
      <c r="D560" t="s">
        <v>679</v>
      </c>
      <c r="E560" t="s">
        <v>702</v>
      </c>
      <c r="F560">
        <v>8</v>
      </c>
      <c r="G560">
        <v>4.99125</v>
      </c>
    </row>
    <row r="561" spans="1:7" x14ac:dyDescent="0.35">
      <c r="A561" t="s">
        <v>847</v>
      </c>
      <c r="B561" t="s">
        <v>676</v>
      </c>
      <c r="C561" s="83">
        <v>46164</v>
      </c>
      <c r="D561" t="s">
        <v>678</v>
      </c>
      <c r="E561" t="s">
        <v>700</v>
      </c>
      <c r="F561">
        <v>29</v>
      </c>
      <c r="G561">
        <v>25.5150166666667</v>
      </c>
    </row>
    <row r="562" spans="1:7" x14ac:dyDescent="0.35">
      <c r="A562" t="s">
        <v>847</v>
      </c>
      <c r="B562" t="s">
        <v>676</v>
      </c>
      <c r="C562" s="83">
        <v>46164</v>
      </c>
      <c r="D562" t="s">
        <v>678</v>
      </c>
      <c r="E562" t="s">
        <v>702</v>
      </c>
      <c r="F562">
        <v>15</v>
      </c>
      <c r="G562">
        <v>6.3164833333333297</v>
      </c>
    </row>
    <row r="563" spans="1:7" x14ac:dyDescent="0.35">
      <c r="A563" t="s">
        <v>847</v>
      </c>
      <c r="B563" t="s">
        <v>676</v>
      </c>
      <c r="C563" s="83">
        <v>46164</v>
      </c>
      <c r="D563" t="s">
        <v>678</v>
      </c>
      <c r="E563" t="s">
        <v>697</v>
      </c>
      <c r="F563">
        <v>8</v>
      </c>
      <c r="G563">
        <v>5.3313166666666696</v>
      </c>
    </row>
    <row r="564" spans="1:7" x14ac:dyDescent="0.35">
      <c r="A564" t="s">
        <v>847</v>
      </c>
      <c r="B564" t="s">
        <v>676</v>
      </c>
      <c r="C564" s="83">
        <v>46164</v>
      </c>
      <c r="D564" t="s">
        <v>679</v>
      </c>
      <c r="E564" t="s">
        <v>700</v>
      </c>
      <c r="F564">
        <v>26</v>
      </c>
      <c r="G564">
        <v>24.494433333333301</v>
      </c>
    </row>
    <row r="565" spans="1:7" x14ac:dyDescent="0.35">
      <c r="A565" t="s">
        <v>847</v>
      </c>
      <c r="B565" t="s">
        <v>676</v>
      </c>
      <c r="C565" s="83">
        <v>46164</v>
      </c>
      <c r="D565" t="s">
        <v>679</v>
      </c>
      <c r="E565" t="s">
        <v>702</v>
      </c>
      <c r="F565">
        <v>8</v>
      </c>
      <c r="G565">
        <v>4.3298500000000004</v>
      </c>
    </row>
    <row r="566" spans="1:7" x14ac:dyDescent="0.35">
      <c r="A566" t="s">
        <v>847</v>
      </c>
      <c r="B566" t="s">
        <v>676</v>
      </c>
      <c r="C566" s="83">
        <v>46164</v>
      </c>
      <c r="D566" t="s">
        <v>679</v>
      </c>
      <c r="E566" t="s">
        <v>698</v>
      </c>
      <c r="F566">
        <v>6</v>
      </c>
      <c r="G566">
        <v>3.32873333333333</v>
      </c>
    </row>
    <row r="567" spans="1:7" x14ac:dyDescent="0.35">
      <c r="A567" t="s">
        <v>847</v>
      </c>
      <c r="B567" t="s">
        <v>676</v>
      </c>
      <c r="C567" s="83">
        <v>46165</v>
      </c>
      <c r="D567" t="s">
        <v>678</v>
      </c>
      <c r="E567" t="s">
        <v>700</v>
      </c>
      <c r="F567">
        <v>16</v>
      </c>
      <c r="G567">
        <v>21.160799999999998</v>
      </c>
    </row>
    <row r="568" spans="1:7" x14ac:dyDescent="0.35">
      <c r="A568" t="s">
        <v>847</v>
      </c>
      <c r="B568" t="s">
        <v>676</v>
      </c>
      <c r="C568" s="83">
        <v>46165</v>
      </c>
      <c r="D568" t="s">
        <v>678</v>
      </c>
      <c r="E568" t="s">
        <v>697</v>
      </c>
      <c r="F568">
        <v>13</v>
      </c>
      <c r="G568">
        <v>12.8303333333333</v>
      </c>
    </row>
    <row r="569" spans="1:7" x14ac:dyDescent="0.35">
      <c r="A569" t="s">
        <v>847</v>
      </c>
      <c r="B569" t="s">
        <v>676</v>
      </c>
      <c r="C569" s="83">
        <v>46165</v>
      </c>
      <c r="D569" t="s">
        <v>678</v>
      </c>
      <c r="E569" t="s">
        <v>702</v>
      </c>
      <c r="F569">
        <v>13</v>
      </c>
      <c r="G569">
        <v>11.336816666666699</v>
      </c>
    </row>
    <row r="570" spans="1:7" x14ac:dyDescent="0.35">
      <c r="A570" t="s">
        <v>847</v>
      </c>
      <c r="B570" t="s">
        <v>676</v>
      </c>
      <c r="C570" s="83">
        <v>46165</v>
      </c>
      <c r="D570" t="s">
        <v>679</v>
      </c>
      <c r="E570" t="s">
        <v>702</v>
      </c>
      <c r="F570">
        <v>12</v>
      </c>
      <c r="G570">
        <v>6.1643166666666698</v>
      </c>
    </row>
    <row r="571" spans="1:7" x14ac:dyDescent="0.35">
      <c r="A571" t="s">
        <v>847</v>
      </c>
      <c r="B571" t="s">
        <v>676</v>
      </c>
      <c r="C571" s="83">
        <v>46165</v>
      </c>
      <c r="D571" t="s">
        <v>679</v>
      </c>
      <c r="E571" t="s">
        <v>700</v>
      </c>
      <c r="F571">
        <v>12</v>
      </c>
      <c r="G571">
        <v>14.6819166666667</v>
      </c>
    </row>
    <row r="572" spans="1:7" x14ac:dyDescent="0.35">
      <c r="A572" t="s">
        <v>847</v>
      </c>
      <c r="B572" t="s">
        <v>676</v>
      </c>
      <c r="C572" s="83">
        <v>46165</v>
      </c>
      <c r="D572" t="s">
        <v>679</v>
      </c>
      <c r="E572" t="s">
        <v>699</v>
      </c>
      <c r="F572">
        <v>10</v>
      </c>
      <c r="G572">
        <v>9.48518333333333</v>
      </c>
    </row>
    <row r="573" spans="1:7" x14ac:dyDescent="0.35">
      <c r="A573" t="s">
        <v>847</v>
      </c>
      <c r="B573" t="s">
        <v>676</v>
      </c>
      <c r="C573" s="83">
        <v>46166</v>
      </c>
      <c r="D573" t="s">
        <v>678</v>
      </c>
      <c r="E573" t="s">
        <v>700</v>
      </c>
      <c r="F573">
        <v>13</v>
      </c>
      <c r="G573">
        <v>14.677516666666699</v>
      </c>
    </row>
    <row r="574" spans="1:7" x14ac:dyDescent="0.35">
      <c r="A574" t="s">
        <v>847</v>
      </c>
      <c r="B574" t="s">
        <v>676</v>
      </c>
      <c r="C574" s="83">
        <v>46166</v>
      </c>
      <c r="D574" t="s">
        <v>678</v>
      </c>
      <c r="E574" t="s">
        <v>697</v>
      </c>
      <c r="F574">
        <v>13</v>
      </c>
      <c r="G574">
        <v>11.15225</v>
      </c>
    </row>
    <row r="575" spans="1:7" x14ac:dyDescent="0.35">
      <c r="A575" t="s">
        <v>847</v>
      </c>
      <c r="B575" t="s">
        <v>676</v>
      </c>
      <c r="C575" s="83">
        <v>46166</v>
      </c>
      <c r="D575" t="s">
        <v>678</v>
      </c>
      <c r="E575" t="s">
        <v>703</v>
      </c>
      <c r="F575">
        <v>8</v>
      </c>
      <c r="G575">
        <v>436.20305000000002</v>
      </c>
    </row>
    <row r="576" spans="1:7" x14ac:dyDescent="0.35">
      <c r="A576" t="s">
        <v>847</v>
      </c>
      <c r="B576" t="s">
        <v>676</v>
      </c>
      <c r="C576" s="83">
        <v>46166</v>
      </c>
      <c r="D576" t="s">
        <v>679</v>
      </c>
      <c r="E576" t="s">
        <v>700</v>
      </c>
      <c r="F576">
        <v>10</v>
      </c>
      <c r="G576">
        <v>12.665983333333299</v>
      </c>
    </row>
    <row r="577" spans="1:7" x14ac:dyDescent="0.35">
      <c r="A577" t="s">
        <v>847</v>
      </c>
      <c r="B577" t="s">
        <v>676</v>
      </c>
      <c r="C577" s="83">
        <v>46166</v>
      </c>
      <c r="D577" t="s">
        <v>679</v>
      </c>
      <c r="E577" t="s">
        <v>702</v>
      </c>
      <c r="F577">
        <v>10</v>
      </c>
      <c r="G577">
        <v>4.0061999999999998</v>
      </c>
    </row>
    <row r="578" spans="1:7" x14ac:dyDescent="0.35">
      <c r="A578" t="s">
        <v>847</v>
      </c>
      <c r="B578" t="s">
        <v>676</v>
      </c>
      <c r="C578" s="83">
        <v>46166</v>
      </c>
      <c r="D578" t="s">
        <v>679</v>
      </c>
      <c r="E578" t="s">
        <v>698</v>
      </c>
      <c r="F578">
        <v>6</v>
      </c>
      <c r="G578">
        <v>570.87323333333302</v>
      </c>
    </row>
    <row r="579" spans="1:7" x14ac:dyDescent="0.35">
      <c r="A579" t="s">
        <v>847</v>
      </c>
      <c r="B579" t="s">
        <v>676</v>
      </c>
      <c r="C579" s="83">
        <v>46167</v>
      </c>
      <c r="D579" t="s">
        <v>678</v>
      </c>
      <c r="E579" t="s">
        <v>702</v>
      </c>
      <c r="F579">
        <v>27</v>
      </c>
      <c r="G579">
        <v>16.6922</v>
      </c>
    </row>
    <row r="580" spans="1:7" x14ac:dyDescent="0.35">
      <c r="A580" t="s">
        <v>847</v>
      </c>
      <c r="B580" t="s">
        <v>676</v>
      </c>
      <c r="C580" s="83">
        <v>46167</v>
      </c>
      <c r="D580" t="s">
        <v>678</v>
      </c>
      <c r="E580" t="s">
        <v>700</v>
      </c>
      <c r="F580">
        <v>25</v>
      </c>
      <c r="G580">
        <v>26.1657166666667</v>
      </c>
    </row>
    <row r="581" spans="1:7" x14ac:dyDescent="0.35">
      <c r="A581" t="s">
        <v>847</v>
      </c>
      <c r="B581" t="s">
        <v>676</v>
      </c>
      <c r="C581" s="83">
        <v>46167</v>
      </c>
      <c r="D581" t="s">
        <v>678</v>
      </c>
      <c r="E581" t="s">
        <v>697</v>
      </c>
      <c r="F581">
        <v>14</v>
      </c>
      <c r="G581">
        <v>10.175133333333299</v>
      </c>
    </row>
    <row r="582" spans="1:7" x14ac:dyDescent="0.35">
      <c r="A582" t="s">
        <v>847</v>
      </c>
      <c r="B582" t="s">
        <v>676</v>
      </c>
      <c r="C582" s="83">
        <v>46167</v>
      </c>
      <c r="D582" t="s">
        <v>679</v>
      </c>
      <c r="E582" t="s">
        <v>702</v>
      </c>
      <c r="F582">
        <v>22</v>
      </c>
      <c r="G582">
        <v>12.167999999999999</v>
      </c>
    </row>
    <row r="583" spans="1:7" x14ac:dyDescent="0.35">
      <c r="A583" t="s">
        <v>847</v>
      </c>
      <c r="B583" t="s">
        <v>676</v>
      </c>
      <c r="C583" s="83">
        <v>46167</v>
      </c>
      <c r="D583" t="s">
        <v>679</v>
      </c>
      <c r="E583" t="s">
        <v>700</v>
      </c>
      <c r="F583">
        <v>18</v>
      </c>
      <c r="G583">
        <v>20.993166666666699</v>
      </c>
    </row>
    <row r="584" spans="1:7" x14ac:dyDescent="0.35">
      <c r="A584" t="s">
        <v>847</v>
      </c>
      <c r="B584" t="s">
        <v>676</v>
      </c>
      <c r="C584" s="83">
        <v>46167</v>
      </c>
      <c r="D584" t="s">
        <v>679</v>
      </c>
      <c r="E584" t="s">
        <v>699</v>
      </c>
      <c r="F584">
        <v>4</v>
      </c>
      <c r="G584">
        <v>4.8220666666666698</v>
      </c>
    </row>
    <row r="585" spans="1:7" x14ac:dyDescent="0.35">
      <c r="A585" t="s">
        <v>847</v>
      </c>
      <c r="B585" t="s">
        <v>676</v>
      </c>
      <c r="C585" s="83">
        <v>46168</v>
      </c>
      <c r="D585" t="s">
        <v>678</v>
      </c>
      <c r="E585" t="s">
        <v>700</v>
      </c>
      <c r="F585">
        <v>17</v>
      </c>
      <c r="G585">
        <v>11.171483333333301</v>
      </c>
    </row>
    <row r="586" spans="1:7" x14ac:dyDescent="0.35">
      <c r="A586" t="s">
        <v>847</v>
      </c>
      <c r="B586" t="s">
        <v>676</v>
      </c>
      <c r="C586" s="83">
        <v>46168</v>
      </c>
      <c r="D586" t="s">
        <v>678</v>
      </c>
      <c r="E586" t="s">
        <v>702</v>
      </c>
      <c r="F586">
        <v>15</v>
      </c>
      <c r="G586">
        <v>35.153516666666697</v>
      </c>
    </row>
    <row r="587" spans="1:7" x14ac:dyDescent="0.35">
      <c r="A587" t="s">
        <v>847</v>
      </c>
      <c r="B587" t="s">
        <v>676</v>
      </c>
      <c r="C587" s="83">
        <v>46168</v>
      </c>
      <c r="D587" t="s">
        <v>678</v>
      </c>
      <c r="E587" t="s">
        <v>697</v>
      </c>
      <c r="F587">
        <v>14</v>
      </c>
      <c r="G587">
        <v>11.006016666666699</v>
      </c>
    </row>
    <row r="588" spans="1:7" x14ac:dyDescent="0.35">
      <c r="A588" t="s">
        <v>847</v>
      </c>
      <c r="B588" t="s">
        <v>676</v>
      </c>
      <c r="C588" s="83">
        <v>46168</v>
      </c>
      <c r="D588" t="s">
        <v>679</v>
      </c>
      <c r="E588" t="s">
        <v>700</v>
      </c>
      <c r="F588">
        <v>15</v>
      </c>
      <c r="G588">
        <v>56.180816666666701</v>
      </c>
    </row>
    <row r="589" spans="1:7" x14ac:dyDescent="0.35">
      <c r="A589" t="s">
        <v>847</v>
      </c>
      <c r="B589" t="s">
        <v>676</v>
      </c>
      <c r="C589" s="83">
        <v>46168</v>
      </c>
      <c r="D589" t="s">
        <v>679</v>
      </c>
      <c r="E589" t="s">
        <v>698</v>
      </c>
      <c r="F589">
        <v>11</v>
      </c>
      <c r="G589">
        <v>21.167649999999998</v>
      </c>
    </row>
    <row r="590" spans="1:7" x14ac:dyDescent="0.35">
      <c r="A590" t="s">
        <v>847</v>
      </c>
      <c r="B590" t="s">
        <v>676</v>
      </c>
      <c r="C590" s="83">
        <v>46168</v>
      </c>
      <c r="D590" t="s">
        <v>679</v>
      </c>
      <c r="E590" t="s">
        <v>699</v>
      </c>
      <c r="F590">
        <v>10</v>
      </c>
      <c r="G590">
        <v>33.511749999999999</v>
      </c>
    </row>
    <row r="591" spans="1:7" x14ac:dyDescent="0.35">
      <c r="A591" t="s">
        <v>847</v>
      </c>
      <c r="B591" t="s">
        <v>676</v>
      </c>
      <c r="C591" s="83">
        <v>46169</v>
      </c>
      <c r="D591" t="s">
        <v>678</v>
      </c>
      <c r="E591" t="s">
        <v>700</v>
      </c>
      <c r="F591">
        <v>28</v>
      </c>
      <c r="G591">
        <v>22.005516666666701</v>
      </c>
    </row>
    <row r="592" spans="1:7" x14ac:dyDescent="0.35">
      <c r="A592" t="s">
        <v>847</v>
      </c>
      <c r="B592" t="s">
        <v>676</v>
      </c>
      <c r="C592" s="83">
        <v>46169</v>
      </c>
      <c r="D592" t="s">
        <v>678</v>
      </c>
      <c r="E592" t="s">
        <v>697</v>
      </c>
      <c r="F592">
        <v>17</v>
      </c>
      <c r="G592">
        <v>11.5031833333333</v>
      </c>
    </row>
    <row r="593" spans="1:7" x14ac:dyDescent="0.35">
      <c r="A593" t="s">
        <v>847</v>
      </c>
      <c r="B593" t="s">
        <v>676</v>
      </c>
      <c r="C593" s="83">
        <v>46169</v>
      </c>
      <c r="D593" t="s">
        <v>678</v>
      </c>
      <c r="E593" t="s">
        <v>702</v>
      </c>
      <c r="F593">
        <v>14</v>
      </c>
      <c r="G593">
        <v>10.999599999999999</v>
      </c>
    </row>
    <row r="594" spans="1:7" x14ac:dyDescent="0.35">
      <c r="A594" t="s">
        <v>847</v>
      </c>
      <c r="B594" t="s">
        <v>676</v>
      </c>
      <c r="C594" s="83">
        <v>46169</v>
      </c>
      <c r="D594" t="s">
        <v>679</v>
      </c>
      <c r="E594" t="s">
        <v>700</v>
      </c>
      <c r="F594">
        <v>21</v>
      </c>
      <c r="G594">
        <v>20.164433333333299</v>
      </c>
    </row>
    <row r="595" spans="1:7" x14ac:dyDescent="0.35">
      <c r="A595" t="s">
        <v>847</v>
      </c>
      <c r="B595" t="s">
        <v>676</v>
      </c>
      <c r="C595" s="83">
        <v>46169</v>
      </c>
      <c r="D595" t="s">
        <v>679</v>
      </c>
      <c r="E595" t="s">
        <v>702</v>
      </c>
      <c r="F595">
        <v>17</v>
      </c>
      <c r="G595">
        <v>8.0141500000000008</v>
      </c>
    </row>
    <row r="596" spans="1:7" x14ac:dyDescent="0.35">
      <c r="A596" t="s">
        <v>847</v>
      </c>
      <c r="B596" t="s">
        <v>676</v>
      </c>
      <c r="C596" s="83">
        <v>46169</v>
      </c>
      <c r="D596" t="s">
        <v>679</v>
      </c>
      <c r="E596" t="s">
        <v>698</v>
      </c>
      <c r="F596">
        <v>11</v>
      </c>
      <c r="G596">
        <v>4.0009333333333297</v>
      </c>
    </row>
    <row r="597" spans="1:7" x14ac:dyDescent="0.35">
      <c r="A597" t="s">
        <v>847</v>
      </c>
      <c r="B597" t="s">
        <v>676</v>
      </c>
      <c r="C597" s="83">
        <v>46170</v>
      </c>
      <c r="D597" t="s">
        <v>678</v>
      </c>
      <c r="E597" t="s">
        <v>700</v>
      </c>
      <c r="F597">
        <v>17</v>
      </c>
      <c r="G597">
        <v>16.345083333333299</v>
      </c>
    </row>
    <row r="598" spans="1:7" x14ac:dyDescent="0.35">
      <c r="A598" t="s">
        <v>847</v>
      </c>
      <c r="B598" t="s">
        <v>676</v>
      </c>
      <c r="C598" s="83">
        <v>46170</v>
      </c>
      <c r="D598" t="s">
        <v>678</v>
      </c>
      <c r="E598" t="s">
        <v>697</v>
      </c>
      <c r="F598">
        <v>13</v>
      </c>
      <c r="G598">
        <v>7.4916833333333299</v>
      </c>
    </row>
    <row r="599" spans="1:7" x14ac:dyDescent="0.35">
      <c r="A599" t="s">
        <v>847</v>
      </c>
      <c r="B599" t="s">
        <v>676</v>
      </c>
      <c r="C599" s="83">
        <v>46170</v>
      </c>
      <c r="D599" t="s">
        <v>678</v>
      </c>
      <c r="E599" t="s">
        <v>702</v>
      </c>
      <c r="F599">
        <v>11</v>
      </c>
      <c r="G599">
        <v>3.4854500000000002</v>
      </c>
    </row>
    <row r="600" spans="1:7" x14ac:dyDescent="0.35">
      <c r="A600" t="s">
        <v>847</v>
      </c>
      <c r="B600" t="s">
        <v>676</v>
      </c>
      <c r="C600" s="83">
        <v>46170</v>
      </c>
      <c r="D600" t="s">
        <v>679</v>
      </c>
      <c r="E600" t="s">
        <v>700</v>
      </c>
      <c r="F600">
        <v>19</v>
      </c>
      <c r="G600">
        <v>18.1660166666667</v>
      </c>
    </row>
    <row r="601" spans="1:7" x14ac:dyDescent="0.35">
      <c r="A601" t="s">
        <v>847</v>
      </c>
      <c r="B601" t="s">
        <v>676</v>
      </c>
      <c r="C601" s="83">
        <v>46170</v>
      </c>
      <c r="D601" t="s">
        <v>679</v>
      </c>
      <c r="E601" t="s">
        <v>702</v>
      </c>
      <c r="F601">
        <v>10</v>
      </c>
      <c r="G601">
        <v>2.9913666666666701</v>
      </c>
    </row>
    <row r="602" spans="1:7" x14ac:dyDescent="0.35">
      <c r="A602" t="s">
        <v>847</v>
      </c>
      <c r="B602" t="s">
        <v>676</v>
      </c>
      <c r="C602" s="83">
        <v>46170</v>
      </c>
      <c r="D602" t="s">
        <v>679</v>
      </c>
      <c r="E602" t="s">
        <v>698</v>
      </c>
      <c r="F602">
        <v>6</v>
      </c>
      <c r="G602">
        <v>1.83253333333333</v>
      </c>
    </row>
    <row r="603" spans="1:7" x14ac:dyDescent="0.35">
      <c r="A603" t="s">
        <v>847</v>
      </c>
      <c r="B603" t="s">
        <v>676</v>
      </c>
      <c r="C603" s="83">
        <v>46171</v>
      </c>
      <c r="D603" t="s">
        <v>678</v>
      </c>
      <c r="E603" t="s">
        <v>697</v>
      </c>
      <c r="F603">
        <v>25</v>
      </c>
      <c r="G603">
        <v>28.178533333333299</v>
      </c>
    </row>
    <row r="604" spans="1:7" x14ac:dyDescent="0.35">
      <c r="A604" t="s">
        <v>847</v>
      </c>
      <c r="B604" t="s">
        <v>676</v>
      </c>
      <c r="C604" s="83">
        <v>46171</v>
      </c>
      <c r="D604" t="s">
        <v>678</v>
      </c>
      <c r="E604" t="s">
        <v>700</v>
      </c>
      <c r="F604">
        <v>23</v>
      </c>
      <c r="G604">
        <v>20.515550000000001</v>
      </c>
    </row>
    <row r="605" spans="1:7" x14ac:dyDescent="0.35">
      <c r="A605" t="s">
        <v>847</v>
      </c>
      <c r="B605" t="s">
        <v>676</v>
      </c>
      <c r="C605" s="83">
        <v>46171</v>
      </c>
      <c r="D605" t="s">
        <v>678</v>
      </c>
      <c r="E605" t="s">
        <v>705</v>
      </c>
      <c r="F605">
        <v>17</v>
      </c>
      <c r="G605">
        <v>8.1743000000000006</v>
      </c>
    </row>
    <row r="606" spans="1:7" x14ac:dyDescent="0.35">
      <c r="A606" t="s">
        <v>847</v>
      </c>
      <c r="B606" t="s">
        <v>676</v>
      </c>
      <c r="C606" s="83">
        <v>46171</v>
      </c>
      <c r="D606" t="s">
        <v>679</v>
      </c>
      <c r="E606" t="s">
        <v>698</v>
      </c>
      <c r="F606">
        <v>21</v>
      </c>
      <c r="G606">
        <v>16.835833333333301</v>
      </c>
    </row>
    <row r="607" spans="1:7" x14ac:dyDescent="0.35">
      <c r="A607" t="s">
        <v>847</v>
      </c>
      <c r="B607" t="s">
        <v>676</v>
      </c>
      <c r="C607" s="83">
        <v>46171</v>
      </c>
      <c r="D607" t="s">
        <v>679</v>
      </c>
      <c r="E607" t="s">
        <v>700</v>
      </c>
      <c r="F607">
        <v>19</v>
      </c>
      <c r="G607">
        <v>21.177350000000001</v>
      </c>
    </row>
    <row r="608" spans="1:7" x14ac:dyDescent="0.35">
      <c r="A608" t="s">
        <v>847</v>
      </c>
      <c r="B608" t="s">
        <v>676</v>
      </c>
      <c r="C608" s="83">
        <v>46171</v>
      </c>
      <c r="D608" t="s">
        <v>679</v>
      </c>
      <c r="E608" t="s">
        <v>702</v>
      </c>
      <c r="F608">
        <v>7</v>
      </c>
      <c r="G608">
        <v>3.1649333333333298</v>
      </c>
    </row>
    <row r="609" spans="1:7" x14ac:dyDescent="0.35">
      <c r="A609" t="s">
        <v>847</v>
      </c>
      <c r="B609" t="s">
        <v>676</v>
      </c>
      <c r="C609" s="83">
        <v>46172</v>
      </c>
      <c r="D609" t="s">
        <v>678</v>
      </c>
      <c r="E609" t="s">
        <v>700</v>
      </c>
      <c r="F609">
        <v>24</v>
      </c>
      <c r="G609">
        <v>16.3448666666667</v>
      </c>
    </row>
    <row r="610" spans="1:7" x14ac:dyDescent="0.35">
      <c r="A610" t="s">
        <v>847</v>
      </c>
      <c r="B610" t="s">
        <v>676</v>
      </c>
      <c r="C610" s="83">
        <v>46172</v>
      </c>
      <c r="D610" t="s">
        <v>678</v>
      </c>
      <c r="E610" t="s">
        <v>697</v>
      </c>
      <c r="F610">
        <v>13</v>
      </c>
      <c r="G610">
        <v>7.5142166666666697</v>
      </c>
    </row>
    <row r="611" spans="1:7" x14ac:dyDescent="0.35">
      <c r="A611" t="s">
        <v>847</v>
      </c>
      <c r="B611" t="s">
        <v>676</v>
      </c>
      <c r="C611" s="83">
        <v>46172</v>
      </c>
      <c r="D611" t="s">
        <v>678</v>
      </c>
      <c r="E611" t="s">
        <v>702</v>
      </c>
      <c r="F611">
        <v>12</v>
      </c>
      <c r="G611">
        <v>3.157</v>
      </c>
    </row>
    <row r="612" spans="1:7" x14ac:dyDescent="0.35">
      <c r="A612" t="s">
        <v>847</v>
      </c>
      <c r="B612" t="s">
        <v>676</v>
      </c>
      <c r="C612" s="83">
        <v>46172</v>
      </c>
      <c r="D612" t="s">
        <v>679</v>
      </c>
      <c r="E612" t="s">
        <v>700</v>
      </c>
      <c r="F612">
        <v>20</v>
      </c>
      <c r="G612">
        <v>17.165800000000001</v>
      </c>
    </row>
    <row r="613" spans="1:7" x14ac:dyDescent="0.35">
      <c r="A613" t="s">
        <v>847</v>
      </c>
      <c r="B613" t="s">
        <v>676</v>
      </c>
      <c r="C613" s="83">
        <v>46172</v>
      </c>
      <c r="D613" t="s">
        <v>679</v>
      </c>
      <c r="E613" t="s">
        <v>702</v>
      </c>
      <c r="F613">
        <v>7</v>
      </c>
      <c r="G613">
        <v>1.9895</v>
      </c>
    </row>
    <row r="614" spans="1:7" x14ac:dyDescent="0.35">
      <c r="A614" t="s">
        <v>847</v>
      </c>
      <c r="B614" t="s">
        <v>676</v>
      </c>
      <c r="C614" s="83">
        <v>46172</v>
      </c>
      <c r="D614" t="s">
        <v>679</v>
      </c>
      <c r="E614" t="s">
        <v>698</v>
      </c>
      <c r="F614">
        <v>5</v>
      </c>
      <c r="G614">
        <v>1.0004833333333301</v>
      </c>
    </row>
    <row r="615" spans="1:7" x14ac:dyDescent="0.35">
      <c r="A615" t="s">
        <v>847</v>
      </c>
      <c r="B615" t="s">
        <v>676</v>
      </c>
      <c r="C615" s="83">
        <v>46173</v>
      </c>
      <c r="D615" t="s">
        <v>678</v>
      </c>
      <c r="E615" t="s">
        <v>700</v>
      </c>
      <c r="F615">
        <v>33</v>
      </c>
      <c r="G615">
        <v>28.1862833333333</v>
      </c>
    </row>
    <row r="616" spans="1:7" x14ac:dyDescent="0.35">
      <c r="A616" t="s">
        <v>847</v>
      </c>
      <c r="B616" t="s">
        <v>676</v>
      </c>
      <c r="C616" s="83">
        <v>46173</v>
      </c>
      <c r="D616" t="s">
        <v>678</v>
      </c>
      <c r="E616" t="s">
        <v>697</v>
      </c>
      <c r="F616">
        <v>16</v>
      </c>
      <c r="G616">
        <v>8.4967833333333296</v>
      </c>
    </row>
    <row r="617" spans="1:7" x14ac:dyDescent="0.35">
      <c r="A617" t="s">
        <v>847</v>
      </c>
      <c r="B617" t="s">
        <v>676</v>
      </c>
      <c r="C617" s="83">
        <v>46173</v>
      </c>
      <c r="D617" t="s">
        <v>678</v>
      </c>
      <c r="E617" t="s">
        <v>702</v>
      </c>
      <c r="F617">
        <v>7</v>
      </c>
      <c r="G617">
        <v>2.67681666666667</v>
      </c>
    </row>
    <row r="618" spans="1:7" x14ac:dyDescent="0.35">
      <c r="A618" t="s">
        <v>847</v>
      </c>
      <c r="B618" t="s">
        <v>676</v>
      </c>
      <c r="C618" s="83">
        <v>46173</v>
      </c>
      <c r="D618" t="s">
        <v>679</v>
      </c>
      <c r="E618" t="s">
        <v>700</v>
      </c>
      <c r="F618">
        <v>25</v>
      </c>
      <c r="G618">
        <v>26.167533333333299</v>
      </c>
    </row>
    <row r="619" spans="1:7" x14ac:dyDescent="0.35">
      <c r="A619" t="s">
        <v>847</v>
      </c>
      <c r="B619" t="s">
        <v>676</v>
      </c>
      <c r="C619" s="83">
        <v>46173</v>
      </c>
      <c r="D619" t="s">
        <v>679</v>
      </c>
      <c r="E619" t="s">
        <v>697</v>
      </c>
      <c r="F619">
        <v>8</v>
      </c>
      <c r="G619">
        <v>5.33805</v>
      </c>
    </row>
    <row r="620" spans="1:7" x14ac:dyDescent="0.35">
      <c r="A620" t="s">
        <v>847</v>
      </c>
      <c r="B620" t="s">
        <v>676</v>
      </c>
      <c r="C620" s="83">
        <v>46173</v>
      </c>
      <c r="D620" t="s">
        <v>679</v>
      </c>
      <c r="E620" t="s">
        <v>702</v>
      </c>
      <c r="F620">
        <v>8</v>
      </c>
      <c r="G620">
        <v>2.3339166666666702</v>
      </c>
    </row>
    <row r="621" spans="1:7" x14ac:dyDescent="0.35">
      <c r="A621" t="s">
        <v>847</v>
      </c>
      <c r="B621" t="s">
        <v>676</v>
      </c>
      <c r="C621" s="83">
        <v>46174</v>
      </c>
      <c r="D621" t="s">
        <v>678</v>
      </c>
      <c r="E621" t="s">
        <v>700</v>
      </c>
      <c r="F621">
        <v>26</v>
      </c>
      <c r="G621">
        <v>25.416983333333299</v>
      </c>
    </row>
    <row r="622" spans="1:7" x14ac:dyDescent="0.35">
      <c r="A622" t="s">
        <v>847</v>
      </c>
      <c r="B622" t="s">
        <v>676</v>
      </c>
      <c r="C622" s="83">
        <v>46174</v>
      </c>
      <c r="D622" t="s">
        <v>678</v>
      </c>
      <c r="E622" t="s">
        <v>697</v>
      </c>
      <c r="F622">
        <v>16</v>
      </c>
      <c r="G622">
        <v>11.441750000000001</v>
      </c>
    </row>
    <row r="623" spans="1:7" x14ac:dyDescent="0.35">
      <c r="A623" t="s">
        <v>847</v>
      </c>
      <c r="B623" t="s">
        <v>676</v>
      </c>
      <c r="C623" s="83">
        <v>46174</v>
      </c>
      <c r="D623" t="s">
        <v>678</v>
      </c>
      <c r="E623" t="s">
        <v>702</v>
      </c>
      <c r="F623">
        <v>12</v>
      </c>
      <c r="G623">
        <v>5.5206999999999997</v>
      </c>
    </row>
    <row r="624" spans="1:7" x14ac:dyDescent="0.35">
      <c r="A624" t="s">
        <v>847</v>
      </c>
      <c r="B624" t="s">
        <v>676</v>
      </c>
      <c r="C624" s="83">
        <v>46174</v>
      </c>
      <c r="D624" t="s">
        <v>679</v>
      </c>
      <c r="E624" t="s">
        <v>702</v>
      </c>
      <c r="F624">
        <v>40</v>
      </c>
      <c r="G624">
        <v>36.432450000000003</v>
      </c>
    </row>
    <row r="625" spans="1:7" x14ac:dyDescent="0.35">
      <c r="A625" t="s">
        <v>847</v>
      </c>
      <c r="B625" t="s">
        <v>676</v>
      </c>
      <c r="C625" s="83">
        <v>46174</v>
      </c>
      <c r="D625" t="s">
        <v>679</v>
      </c>
      <c r="E625" t="s">
        <v>700</v>
      </c>
      <c r="F625">
        <v>22</v>
      </c>
      <c r="G625">
        <v>17.067766666666699</v>
      </c>
    </row>
    <row r="626" spans="1:7" x14ac:dyDescent="0.35">
      <c r="A626" t="s">
        <v>847</v>
      </c>
      <c r="B626" t="s">
        <v>676</v>
      </c>
      <c r="C626" s="83">
        <v>46174</v>
      </c>
      <c r="D626" t="s">
        <v>679</v>
      </c>
      <c r="E626" t="s">
        <v>704</v>
      </c>
      <c r="F626">
        <v>19</v>
      </c>
      <c r="G626">
        <v>17.692266666666701</v>
      </c>
    </row>
    <row r="627" spans="1:7" x14ac:dyDescent="0.35">
      <c r="A627" t="s">
        <v>847</v>
      </c>
      <c r="B627" t="s">
        <v>676</v>
      </c>
      <c r="C627" s="83">
        <v>46175</v>
      </c>
      <c r="D627" t="s">
        <v>678</v>
      </c>
      <c r="E627" t="s">
        <v>700</v>
      </c>
      <c r="F627">
        <v>25</v>
      </c>
      <c r="G627">
        <v>21.531783333333301</v>
      </c>
    </row>
    <row r="628" spans="1:7" x14ac:dyDescent="0.35">
      <c r="A628" t="s">
        <v>847</v>
      </c>
      <c r="B628" t="s">
        <v>676</v>
      </c>
      <c r="C628" s="83">
        <v>46175</v>
      </c>
      <c r="D628" t="s">
        <v>678</v>
      </c>
      <c r="E628" t="s">
        <v>697</v>
      </c>
      <c r="F628">
        <v>19</v>
      </c>
      <c r="G628">
        <v>11.040800000000001</v>
      </c>
    </row>
    <row r="629" spans="1:7" x14ac:dyDescent="0.35">
      <c r="A629" t="s">
        <v>847</v>
      </c>
      <c r="B629" t="s">
        <v>676</v>
      </c>
      <c r="C629" s="83">
        <v>46175</v>
      </c>
      <c r="D629" t="s">
        <v>678</v>
      </c>
      <c r="E629" t="s">
        <v>698</v>
      </c>
      <c r="F629">
        <v>6</v>
      </c>
      <c r="G629">
        <v>5.2146166666666698</v>
      </c>
    </row>
    <row r="630" spans="1:7" x14ac:dyDescent="0.35">
      <c r="A630" t="s">
        <v>847</v>
      </c>
      <c r="B630" t="s">
        <v>676</v>
      </c>
      <c r="C630" s="83">
        <v>46175</v>
      </c>
      <c r="D630" t="s">
        <v>679</v>
      </c>
      <c r="E630" t="s">
        <v>704</v>
      </c>
      <c r="F630">
        <v>31</v>
      </c>
      <c r="G630">
        <v>41.9848</v>
      </c>
    </row>
    <row r="631" spans="1:7" x14ac:dyDescent="0.35">
      <c r="A631" t="s">
        <v>847</v>
      </c>
      <c r="B631" t="s">
        <v>676</v>
      </c>
      <c r="C631" s="83">
        <v>46175</v>
      </c>
      <c r="D631" t="s">
        <v>679</v>
      </c>
      <c r="E631" t="s">
        <v>700</v>
      </c>
      <c r="F631">
        <v>22</v>
      </c>
      <c r="G631">
        <v>22.016816666666699</v>
      </c>
    </row>
    <row r="632" spans="1:7" x14ac:dyDescent="0.35">
      <c r="A632" t="s">
        <v>847</v>
      </c>
      <c r="B632" t="s">
        <v>676</v>
      </c>
      <c r="C632" s="83">
        <v>46175</v>
      </c>
      <c r="D632" t="s">
        <v>679</v>
      </c>
      <c r="E632" t="s">
        <v>699</v>
      </c>
      <c r="F632">
        <v>10</v>
      </c>
      <c r="G632">
        <v>49.6306333333333</v>
      </c>
    </row>
    <row r="633" spans="1:7" x14ac:dyDescent="0.35">
      <c r="A633" t="s">
        <v>847</v>
      </c>
      <c r="B633" t="s">
        <v>676</v>
      </c>
      <c r="C633" s="83">
        <v>46176</v>
      </c>
      <c r="D633" t="s">
        <v>678</v>
      </c>
      <c r="E633" t="s">
        <v>697</v>
      </c>
      <c r="F633">
        <v>68</v>
      </c>
      <c r="G633">
        <v>51.664283333333302</v>
      </c>
    </row>
    <row r="634" spans="1:7" x14ac:dyDescent="0.35">
      <c r="A634" t="s">
        <v>847</v>
      </c>
      <c r="B634" t="s">
        <v>676</v>
      </c>
      <c r="C634" s="83">
        <v>46176</v>
      </c>
      <c r="D634" t="s">
        <v>678</v>
      </c>
      <c r="E634" t="s">
        <v>700</v>
      </c>
      <c r="F634">
        <v>26</v>
      </c>
      <c r="G634">
        <v>23.52965</v>
      </c>
    </row>
    <row r="635" spans="1:7" x14ac:dyDescent="0.35">
      <c r="A635" t="s">
        <v>847</v>
      </c>
      <c r="B635" t="s">
        <v>676</v>
      </c>
      <c r="C635" s="83">
        <v>46176</v>
      </c>
      <c r="D635" t="s">
        <v>678</v>
      </c>
      <c r="E635" t="s">
        <v>702</v>
      </c>
      <c r="F635">
        <v>12</v>
      </c>
      <c r="G635">
        <v>13.481033333333301</v>
      </c>
    </row>
    <row r="636" spans="1:7" x14ac:dyDescent="0.35">
      <c r="A636" t="s">
        <v>847</v>
      </c>
      <c r="B636" t="s">
        <v>676</v>
      </c>
      <c r="C636" s="83">
        <v>46176</v>
      </c>
      <c r="D636" t="s">
        <v>679</v>
      </c>
      <c r="E636" t="s">
        <v>704</v>
      </c>
      <c r="F636">
        <v>31</v>
      </c>
      <c r="G636">
        <v>30.404833333333301</v>
      </c>
    </row>
    <row r="637" spans="1:7" x14ac:dyDescent="0.35">
      <c r="A637" t="s">
        <v>847</v>
      </c>
      <c r="B637" t="s">
        <v>676</v>
      </c>
      <c r="C637" s="83">
        <v>46176</v>
      </c>
      <c r="D637" t="s">
        <v>679</v>
      </c>
      <c r="E637" t="s">
        <v>700</v>
      </c>
      <c r="F637">
        <v>23</v>
      </c>
      <c r="G637">
        <v>23.188466666666699</v>
      </c>
    </row>
    <row r="638" spans="1:7" x14ac:dyDescent="0.35">
      <c r="A638" t="s">
        <v>847</v>
      </c>
      <c r="B638" t="s">
        <v>676</v>
      </c>
      <c r="C638" s="83">
        <v>46176</v>
      </c>
      <c r="D638" t="s">
        <v>679</v>
      </c>
      <c r="E638" t="s">
        <v>697</v>
      </c>
      <c r="F638">
        <v>17</v>
      </c>
      <c r="G638">
        <v>11.2451666666667</v>
      </c>
    </row>
    <row r="639" spans="1:7" x14ac:dyDescent="0.35">
      <c r="A639" t="s">
        <v>847</v>
      </c>
      <c r="B639" t="s">
        <v>676</v>
      </c>
      <c r="C639" s="83">
        <v>46177</v>
      </c>
      <c r="D639" t="s">
        <v>678</v>
      </c>
      <c r="E639" t="s">
        <v>700</v>
      </c>
      <c r="F639">
        <v>25</v>
      </c>
      <c r="G639">
        <v>23.302966666666698</v>
      </c>
    </row>
    <row r="640" spans="1:7" x14ac:dyDescent="0.35">
      <c r="A640" t="s">
        <v>847</v>
      </c>
      <c r="B640" t="s">
        <v>676</v>
      </c>
      <c r="C640" s="83">
        <v>46177</v>
      </c>
      <c r="D640" t="s">
        <v>678</v>
      </c>
      <c r="E640" t="s">
        <v>697</v>
      </c>
      <c r="F640">
        <v>23</v>
      </c>
      <c r="G640">
        <v>15.746083333333299</v>
      </c>
    </row>
    <row r="641" spans="1:7" x14ac:dyDescent="0.35">
      <c r="A641" t="s">
        <v>847</v>
      </c>
      <c r="B641" t="s">
        <v>676</v>
      </c>
      <c r="C641" s="83">
        <v>46177</v>
      </c>
      <c r="D641" t="s">
        <v>678</v>
      </c>
      <c r="E641" t="s">
        <v>702</v>
      </c>
      <c r="F641">
        <v>11</v>
      </c>
      <c r="G641">
        <v>4.1984666666666701</v>
      </c>
    </row>
    <row r="642" spans="1:7" x14ac:dyDescent="0.35">
      <c r="A642" t="s">
        <v>847</v>
      </c>
      <c r="B642" t="s">
        <v>676</v>
      </c>
      <c r="C642" s="83">
        <v>46177</v>
      </c>
      <c r="D642" t="s">
        <v>679</v>
      </c>
      <c r="E642" t="s">
        <v>710</v>
      </c>
      <c r="F642">
        <v>27</v>
      </c>
      <c r="G642">
        <v>79.467916666666696</v>
      </c>
    </row>
    <row r="643" spans="1:7" x14ac:dyDescent="0.35">
      <c r="A643" t="s">
        <v>847</v>
      </c>
      <c r="B643" t="s">
        <v>676</v>
      </c>
      <c r="C643" s="83">
        <v>46177</v>
      </c>
      <c r="D643" t="s">
        <v>679</v>
      </c>
      <c r="E643" t="s">
        <v>704</v>
      </c>
      <c r="F643">
        <v>19</v>
      </c>
      <c r="G643">
        <v>15.2809666666667</v>
      </c>
    </row>
    <row r="644" spans="1:7" x14ac:dyDescent="0.35">
      <c r="A644" t="s">
        <v>847</v>
      </c>
      <c r="B644" t="s">
        <v>676</v>
      </c>
      <c r="C644" s="83">
        <v>46177</v>
      </c>
      <c r="D644" t="s">
        <v>679</v>
      </c>
      <c r="E644" t="s">
        <v>699</v>
      </c>
      <c r="F644">
        <v>19</v>
      </c>
      <c r="G644">
        <v>59.351566666666699</v>
      </c>
    </row>
    <row r="645" spans="1:7" x14ac:dyDescent="0.35">
      <c r="A645" t="s">
        <v>847</v>
      </c>
      <c r="B645" t="s">
        <v>676</v>
      </c>
      <c r="C645" s="83">
        <v>46178</v>
      </c>
      <c r="D645" t="s">
        <v>678</v>
      </c>
      <c r="E645" t="s">
        <v>700</v>
      </c>
      <c r="F645">
        <v>25</v>
      </c>
      <c r="G645">
        <v>20.015283333333301</v>
      </c>
    </row>
    <row r="646" spans="1:7" x14ac:dyDescent="0.35">
      <c r="A646" t="s">
        <v>847</v>
      </c>
      <c r="B646" t="s">
        <v>676</v>
      </c>
      <c r="C646" s="83">
        <v>46178</v>
      </c>
      <c r="D646" t="s">
        <v>678</v>
      </c>
      <c r="E646" t="s">
        <v>697</v>
      </c>
      <c r="F646">
        <v>12</v>
      </c>
      <c r="G646">
        <v>6.00986666666667</v>
      </c>
    </row>
    <row r="647" spans="1:7" x14ac:dyDescent="0.35">
      <c r="A647" t="s">
        <v>847</v>
      </c>
      <c r="B647" t="s">
        <v>676</v>
      </c>
      <c r="C647" s="83">
        <v>46178</v>
      </c>
      <c r="D647" t="s">
        <v>678</v>
      </c>
      <c r="E647" t="s">
        <v>705</v>
      </c>
      <c r="F647">
        <v>11</v>
      </c>
      <c r="G647">
        <v>4.5064000000000002</v>
      </c>
    </row>
    <row r="648" spans="1:7" x14ac:dyDescent="0.35">
      <c r="A648" t="s">
        <v>847</v>
      </c>
      <c r="B648" t="s">
        <v>676</v>
      </c>
      <c r="C648" s="83">
        <v>46178</v>
      </c>
      <c r="D648" t="s">
        <v>679</v>
      </c>
      <c r="E648" t="s">
        <v>700</v>
      </c>
      <c r="F648">
        <v>21</v>
      </c>
      <c r="G648">
        <v>19.8428166666667</v>
      </c>
    </row>
    <row r="649" spans="1:7" x14ac:dyDescent="0.35">
      <c r="A649" t="s">
        <v>847</v>
      </c>
      <c r="B649" t="s">
        <v>676</v>
      </c>
      <c r="C649" s="83">
        <v>46178</v>
      </c>
      <c r="D649" t="s">
        <v>679</v>
      </c>
      <c r="E649" t="s">
        <v>702</v>
      </c>
      <c r="F649">
        <v>11</v>
      </c>
      <c r="G649">
        <v>8.8343166666666697</v>
      </c>
    </row>
    <row r="650" spans="1:7" x14ac:dyDescent="0.35">
      <c r="A650" t="s">
        <v>847</v>
      </c>
      <c r="B650" t="s">
        <v>676</v>
      </c>
      <c r="C650" s="83">
        <v>46178</v>
      </c>
      <c r="D650" t="s">
        <v>679</v>
      </c>
      <c r="E650" t="s">
        <v>697</v>
      </c>
      <c r="F650">
        <v>7</v>
      </c>
      <c r="G650">
        <v>3.4986000000000002</v>
      </c>
    </row>
    <row r="651" spans="1:7" x14ac:dyDescent="0.35">
      <c r="A651" t="s">
        <v>847</v>
      </c>
      <c r="B651" t="s">
        <v>676</v>
      </c>
      <c r="C651" s="83">
        <v>46179</v>
      </c>
      <c r="D651" t="s">
        <v>678</v>
      </c>
      <c r="E651" t="s">
        <v>697</v>
      </c>
      <c r="F651">
        <v>23</v>
      </c>
      <c r="G651">
        <v>15.8500333333333</v>
      </c>
    </row>
    <row r="652" spans="1:7" x14ac:dyDescent="0.35">
      <c r="A652" t="s">
        <v>847</v>
      </c>
      <c r="B652" t="s">
        <v>676</v>
      </c>
      <c r="C652" s="83">
        <v>46179</v>
      </c>
      <c r="D652" t="s">
        <v>678</v>
      </c>
      <c r="E652" t="s">
        <v>700</v>
      </c>
      <c r="F652">
        <v>14</v>
      </c>
      <c r="G652">
        <v>19.8397166666667</v>
      </c>
    </row>
    <row r="653" spans="1:7" x14ac:dyDescent="0.35">
      <c r="A653" t="s">
        <v>847</v>
      </c>
      <c r="B653" t="s">
        <v>676</v>
      </c>
      <c r="C653" s="83">
        <v>46179</v>
      </c>
      <c r="D653" t="s">
        <v>678</v>
      </c>
      <c r="E653" t="s">
        <v>702</v>
      </c>
      <c r="F653">
        <v>13</v>
      </c>
      <c r="G653">
        <v>6.3330333333333302</v>
      </c>
    </row>
    <row r="654" spans="1:7" x14ac:dyDescent="0.35">
      <c r="A654" t="s">
        <v>847</v>
      </c>
      <c r="B654" t="s">
        <v>676</v>
      </c>
      <c r="C654" s="83">
        <v>46179</v>
      </c>
      <c r="D654" t="s">
        <v>679</v>
      </c>
      <c r="E654" t="s">
        <v>697</v>
      </c>
      <c r="F654">
        <v>28</v>
      </c>
      <c r="G654">
        <v>18.355616666666702</v>
      </c>
    </row>
    <row r="655" spans="1:7" x14ac:dyDescent="0.35">
      <c r="A655" t="s">
        <v>847</v>
      </c>
      <c r="B655" t="s">
        <v>676</v>
      </c>
      <c r="C655" s="83">
        <v>46179</v>
      </c>
      <c r="D655" t="s">
        <v>679</v>
      </c>
      <c r="E655" t="s">
        <v>700</v>
      </c>
      <c r="F655">
        <v>15</v>
      </c>
      <c r="G655">
        <v>14.99015</v>
      </c>
    </row>
    <row r="656" spans="1:7" x14ac:dyDescent="0.35">
      <c r="A656" t="s">
        <v>847</v>
      </c>
      <c r="B656" t="s">
        <v>676</v>
      </c>
      <c r="C656" s="83">
        <v>46179</v>
      </c>
      <c r="D656" t="s">
        <v>679</v>
      </c>
      <c r="E656" t="s">
        <v>698</v>
      </c>
      <c r="F656">
        <v>7</v>
      </c>
      <c r="G656">
        <v>9.4925333333333306</v>
      </c>
    </row>
    <row r="657" spans="1:7" x14ac:dyDescent="0.35">
      <c r="A657" t="s">
        <v>847</v>
      </c>
      <c r="B657" t="s">
        <v>676</v>
      </c>
      <c r="C657" s="83">
        <v>46180</v>
      </c>
      <c r="D657" t="s">
        <v>678</v>
      </c>
      <c r="E657" t="s">
        <v>697</v>
      </c>
      <c r="F657">
        <v>48</v>
      </c>
      <c r="G657">
        <v>31.851233333333301</v>
      </c>
    </row>
    <row r="658" spans="1:7" x14ac:dyDescent="0.35">
      <c r="A658" t="s">
        <v>847</v>
      </c>
      <c r="B658" t="s">
        <v>676</v>
      </c>
      <c r="C658" s="83">
        <v>46180</v>
      </c>
      <c r="D658" t="s">
        <v>678</v>
      </c>
      <c r="E658" t="s">
        <v>700</v>
      </c>
      <c r="F658">
        <v>16</v>
      </c>
      <c r="G658">
        <v>18.838333333333299</v>
      </c>
    </row>
    <row r="659" spans="1:7" x14ac:dyDescent="0.35">
      <c r="A659" t="s">
        <v>847</v>
      </c>
      <c r="B659" t="s">
        <v>676</v>
      </c>
      <c r="C659" s="83">
        <v>46180</v>
      </c>
      <c r="D659" t="s">
        <v>678</v>
      </c>
      <c r="E659" t="s">
        <v>705</v>
      </c>
      <c r="F659">
        <v>10</v>
      </c>
      <c r="G659">
        <v>8.1575500000000005</v>
      </c>
    </row>
    <row r="660" spans="1:7" x14ac:dyDescent="0.35">
      <c r="A660" t="s">
        <v>847</v>
      </c>
      <c r="B660" t="s">
        <v>676</v>
      </c>
      <c r="C660" s="83">
        <v>46180</v>
      </c>
      <c r="D660" t="s">
        <v>679</v>
      </c>
      <c r="E660" t="s">
        <v>700</v>
      </c>
      <c r="F660">
        <v>14</v>
      </c>
      <c r="G660">
        <v>17.670266666666699</v>
      </c>
    </row>
    <row r="661" spans="1:7" x14ac:dyDescent="0.35">
      <c r="A661" t="s">
        <v>847</v>
      </c>
      <c r="B661" t="s">
        <v>676</v>
      </c>
      <c r="C661" s="83">
        <v>46180</v>
      </c>
      <c r="D661" t="s">
        <v>679</v>
      </c>
      <c r="E661" t="s">
        <v>697</v>
      </c>
      <c r="F661">
        <v>12</v>
      </c>
      <c r="G661">
        <v>7.1811166666666697</v>
      </c>
    </row>
    <row r="662" spans="1:7" x14ac:dyDescent="0.35">
      <c r="A662" t="s">
        <v>847</v>
      </c>
      <c r="B662" t="s">
        <v>676</v>
      </c>
      <c r="C662" s="83">
        <v>46180</v>
      </c>
      <c r="D662" t="s">
        <v>679</v>
      </c>
      <c r="E662" t="s">
        <v>705</v>
      </c>
      <c r="F662">
        <v>9</v>
      </c>
      <c r="G662">
        <v>2.6864666666666701</v>
      </c>
    </row>
    <row r="663" spans="1:7" x14ac:dyDescent="0.35">
      <c r="A663" t="s">
        <v>847</v>
      </c>
      <c r="B663" t="s">
        <v>676</v>
      </c>
      <c r="C663" s="83">
        <v>46181</v>
      </c>
      <c r="D663" t="s">
        <v>678</v>
      </c>
      <c r="E663" t="s">
        <v>697</v>
      </c>
      <c r="F663">
        <v>45</v>
      </c>
      <c r="G663">
        <v>27.971900000000002</v>
      </c>
    </row>
    <row r="664" spans="1:7" x14ac:dyDescent="0.35">
      <c r="A664" t="s">
        <v>847</v>
      </c>
      <c r="B664" t="s">
        <v>676</v>
      </c>
      <c r="C664" s="83">
        <v>46181</v>
      </c>
      <c r="D664" t="s">
        <v>678</v>
      </c>
      <c r="E664" t="s">
        <v>700</v>
      </c>
      <c r="F664">
        <v>16</v>
      </c>
      <c r="G664">
        <v>16.6626333333333</v>
      </c>
    </row>
    <row r="665" spans="1:7" x14ac:dyDescent="0.35">
      <c r="A665" t="s">
        <v>847</v>
      </c>
      <c r="B665" t="s">
        <v>676</v>
      </c>
      <c r="C665" s="83">
        <v>46181</v>
      </c>
      <c r="D665" t="s">
        <v>678</v>
      </c>
      <c r="E665" t="s">
        <v>702</v>
      </c>
      <c r="F665">
        <v>14</v>
      </c>
      <c r="G665">
        <v>11.339033333333299</v>
      </c>
    </row>
    <row r="666" spans="1:7" x14ac:dyDescent="0.35">
      <c r="A666" t="s">
        <v>847</v>
      </c>
      <c r="B666" t="s">
        <v>676</v>
      </c>
      <c r="C666" s="83">
        <v>46181</v>
      </c>
      <c r="D666" t="s">
        <v>679</v>
      </c>
      <c r="E666" t="s">
        <v>700</v>
      </c>
      <c r="F666">
        <v>14</v>
      </c>
      <c r="G666">
        <v>16.1749333333333</v>
      </c>
    </row>
    <row r="667" spans="1:7" x14ac:dyDescent="0.35">
      <c r="A667" t="s">
        <v>847</v>
      </c>
      <c r="B667" t="s">
        <v>676</v>
      </c>
      <c r="C667" s="83">
        <v>46181</v>
      </c>
      <c r="D667" t="s">
        <v>679</v>
      </c>
      <c r="E667" t="s">
        <v>698</v>
      </c>
      <c r="F667">
        <v>4</v>
      </c>
      <c r="G667">
        <v>3.1613833333333301</v>
      </c>
    </row>
    <row r="668" spans="1:7" x14ac:dyDescent="0.35">
      <c r="A668" t="s">
        <v>847</v>
      </c>
      <c r="B668" t="s">
        <v>676</v>
      </c>
      <c r="C668" s="83">
        <v>46181</v>
      </c>
      <c r="D668" t="s">
        <v>679</v>
      </c>
      <c r="E668" t="s">
        <v>702</v>
      </c>
      <c r="F668">
        <v>3</v>
      </c>
      <c r="G668">
        <v>0.67568333333333297</v>
      </c>
    </row>
    <row r="669" spans="1:7" x14ac:dyDescent="0.35">
      <c r="A669" t="s">
        <v>847</v>
      </c>
      <c r="B669" t="s">
        <v>676</v>
      </c>
      <c r="C669" s="83">
        <v>46182</v>
      </c>
      <c r="D669" t="s">
        <v>678</v>
      </c>
      <c r="E669" t="s">
        <v>697</v>
      </c>
      <c r="F669">
        <v>12</v>
      </c>
      <c r="G669">
        <v>24.328150000000001</v>
      </c>
    </row>
    <row r="670" spans="1:7" x14ac:dyDescent="0.35">
      <c r="A670" t="s">
        <v>847</v>
      </c>
      <c r="B670" t="s">
        <v>676</v>
      </c>
      <c r="C670" s="83">
        <v>46182</v>
      </c>
      <c r="D670" t="s">
        <v>678</v>
      </c>
      <c r="E670" t="s">
        <v>699</v>
      </c>
      <c r="F670">
        <v>7</v>
      </c>
      <c r="G670">
        <v>307.52101666666698</v>
      </c>
    </row>
    <row r="671" spans="1:7" x14ac:dyDescent="0.35">
      <c r="A671" t="s">
        <v>847</v>
      </c>
      <c r="B671" t="s">
        <v>676</v>
      </c>
      <c r="C671" s="83">
        <v>46182</v>
      </c>
      <c r="D671" t="s">
        <v>678</v>
      </c>
      <c r="E671" t="s">
        <v>702</v>
      </c>
      <c r="F671">
        <v>4</v>
      </c>
      <c r="G671">
        <v>3.0156499999999999</v>
      </c>
    </row>
    <row r="672" spans="1:7" x14ac:dyDescent="0.35">
      <c r="A672" t="s">
        <v>847</v>
      </c>
      <c r="B672" t="s">
        <v>676</v>
      </c>
      <c r="C672" s="83">
        <v>46182</v>
      </c>
      <c r="D672" t="s">
        <v>679</v>
      </c>
      <c r="E672" t="s">
        <v>699</v>
      </c>
      <c r="F672">
        <v>11</v>
      </c>
      <c r="G672">
        <v>77.001183333333302</v>
      </c>
    </row>
    <row r="673" spans="1:7" x14ac:dyDescent="0.35">
      <c r="A673" t="s">
        <v>847</v>
      </c>
      <c r="B673" t="s">
        <v>676</v>
      </c>
      <c r="C673" s="83">
        <v>46182</v>
      </c>
      <c r="D673" t="s">
        <v>679</v>
      </c>
      <c r="E673" t="s">
        <v>702</v>
      </c>
      <c r="F673">
        <v>8</v>
      </c>
      <c r="G673">
        <v>7.4928999999999997</v>
      </c>
    </row>
    <row r="674" spans="1:7" x14ac:dyDescent="0.35">
      <c r="A674" t="s">
        <v>847</v>
      </c>
      <c r="B674" t="s">
        <v>676</v>
      </c>
      <c r="C674" s="83">
        <v>46182</v>
      </c>
      <c r="D674" t="s">
        <v>679</v>
      </c>
      <c r="E674" t="s">
        <v>700</v>
      </c>
      <c r="F674">
        <v>5</v>
      </c>
      <c r="G674">
        <v>4.4990333333333297</v>
      </c>
    </row>
    <row r="675" spans="1:7" x14ac:dyDescent="0.35">
      <c r="A675" t="s">
        <v>847</v>
      </c>
      <c r="B675" t="s">
        <v>676</v>
      </c>
      <c r="C675" s="83">
        <v>46183</v>
      </c>
      <c r="D675" t="s">
        <v>678</v>
      </c>
      <c r="E675" t="s">
        <v>700</v>
      </c>
      <c r="F675">
        <v>19</v>
      </c>
      <c r="G675">
        <v>21.972016666666701</v>
      </c>
    </row>
    <row r="676" spans="1:7" x14ac:dyDescent="0.35">
      <c r="A676" t="s">
        <v>847</v>
      </c>
      <c r="B676" t="s">
        <v>676</v>
      </c>
      <c r="C676" s="83">
        <v>46183</v>
      </c>
      <c r="D676" t="s">
        <v>678</v>
      </c>
      <c r="E676" t="s">
        <v>697</v>
      </c>
      <c r="F676">
        <v>12</v>
      </c>
      <c r="G676">
        <v>7.1730166666666699</v>
      </c>
    </row>
    <row r="677" spans="1:7" x14ac:dyDescent="0.35">
      <c r="A677" t="s">
        <v>847</v>
      </c>
      <c r="B677" t="s">
        <v>676</v>
      </c>
      <c r="C677" s="83">
        <v>46183</v>
      </c>
      <c r="D677" t="s">
        <v>678</v>
      </c>
      <c r="E677" t="s">
        <v>702</v>
      </c>
      <c r="F677">
        <v>10</v>
      </c>
      <c r="G677">
        <v>3.6694833333333299</v>
      </c>
    </row>
    <row r="678" spans="1:7" x14ac:dyDescent="0.35">
      <c r="A678" t="s">
        <v>847</v>
      </c>
      <c r="B678" t="s">
        <v>676</v>
      </c>
      <c r="C678" s="83">
        <v>46183</v>
      </c>
      <c r="D678" t="s">
        <v>679</v>
      </c>
      <c r="E678" t="s">
        <v>700</v>
      </c>
      <c r="F678">
        <v>17</v>
      </c>
      <c r="G678">
        <v>20.000133333333299</v>
      </c>
    </row>
    <row r="679" spans="1:7" x14ac:dyDescent="0.35">
      <c r="A679" t="s">
        <v>847</v>
      </c>
      <c r="B679" t="s">
        <v>676</v>
      </c>
      <c r="C679" s="83">
        <v>46183</v>
      </c>
      <c r="D679" t="s">
        <v>679</v>
      </c>
      <c r="E679" t="s">
        <v>697</v>
      </c>
      <c r="F679">
        <v>11</v>
      </c>
      <c r="G679">
        <v>9.9986499999999996</v>
      </c>
    </row>
    <row r="680" spans="1:7" x14ac:dyDescent="0.35">
      <c r="A680" t="s">
        <v>847</v>
      </c>
      <c r="B680" t="s">
        <v>676</v>
      </c>
      <c r="C680" s="83">
        <v>46183</v>
      </c>
      <c r="D680" t="s">
        <v>679</v>
      </c>
      <c r="E680" t="s">
        <v>702</v>
      </c>
      <c r="F680">
        <v>7</v>
      </c>
      <c r="G680">
        <v>2.50363333333333</v>
      </c>
    </row>
    <row r="681" spans="1:7" x14ac:dyDescent="0.35">
      <c r="A681" t="s">
        <v>847</v>
      </c>
      <c r="B681" t="s">
        <v>676</v>
      </c>
      <c r="C681" s="83">
        <v>46184</v>
      </c>
      <c r="D681" t="s">
        <v>678</v>
      </c>
      <c r="E681" t="s">
        <v>700</v>
      </c>
      <c r="F681">
        <v>26</v>
      </c>
      <c r="G681">
        <v>30.813683333333302</v>
      </c>
    </row>
    <row r="682" spans="1:7" x14ac:dyDescent="0.35">
      <c r="A682" t="s">
        <v>847</v>
      </c>
      <c r="B682" t="s">
        <v>676</v>
      </c>
      <c r="C682" s="83">
        <v>46184</v>
      </c>
      <c r="D682" t="s">
        <v>678</v>
      </c>
      <c r="E682" t="s">
        <v>702</v>
      </c>
      <c r="F682">
        <v>15</v>
      </c>
      <c r="G682">
        <v>11.015283333333301</v>
      </c>
    </row>
    <row r="683" spans="1:7" x14ac:dyDescent="0.35">
      <c r="A683" t="s">
        <v>847</v>
      </c>
      <c r="B683" t="s">
        <v>676</v>
      </c>
      <c r="C683" s="83">
        <v>46184</v>
      </c>
      <c r="D683" t="s">
        <v>678</v>
      </c>
      <c r="E683" t="s">
        <v>705</v>
      </c>
      <c r="F683">
        <v>8</v>
      </c>
      <c r="G683">
        <v>6.3452000000000002</v>
      </c>
    </row>
    <row r="684" spans="1:7" x14ac:dyDescent="0.35">
      <c r="A684" t="s">
        <v>847</v>
      </c>
      <c r="B684" t="s">
        <v>676</v>
      </c>
      <c r="C684" s="83">
        <v>46184</v>
      </c>
      <c r="D684" t="s">
        <v>679</v>
      </c>
      <c r="E684" t="s">
        <v>700</v>
      </c>
      <c r="F684">
        <v>25</v>
      </c>
      <c r="G684">
        <v>29.498483333333301</v>
      </c>
    </row>
    <row r="685" spans="1:7" x14ac:dyDescent="0.35">
      <c r="A685" t="s">
        <v>847</v>
      </c>
      <c r="B685" t="s">
        <v>676</v>
      </c>
      <c r="C685" s="83">
        <v>46184</v>
      </c>
      <c r="D685" t="s">
        <v>679</v>
      </c>
      <c r="E685" t="s">
        <v>702</v>
      </c>
      <c r="F685">
        <v>12</v>
      </c>
      <c r="G685">
        <v>11.8333833333333</v>
      </c>
    </row>
    <row r="686" spans="1:7" x14ac:dyDescent="0.35">
      <c r="A686" t="s">
        <v>847</v>
      </c>
      <c r="B686" t="s">
        <v>676</v>
      </c>
      <c r="C686" s="83">
        <v>46184</v>
      </c>
      <c r="D686" t="s">
        <v>679</v>
      </c>
      <c r="E686" t="s">
        <v>705</v>
      </c>
      <c r="F686">
        <v>7</v>
      </c>
      <c r="G686">
        <v>5.9983166666666703</v>
      </c>
    </row>
    <row r="687" spans="1:7" x14ac:dyDescent="0.35">
      <c r="A687" t="s">
        <v>847</v>
      </c>
      <c r="B687" t="s">
        <v>676</v>
      </c>
      <c r="C687" s="83">
        <v>46185</v>
      </c>
      <c r="D687" t="s">
        <v>678</v>
      </c>
      <c r="E687" t="s">
        <v>700</v>
      </c>
      <c r="F687">
        <v>27</v>
      </c>
      <c r="G687">
        <v>32.303516666666702</v>
      </c>
    </row>
    <row r="688" spans="1:7" x14ac:dyDescent="0.35">
      <c r="A688" t="s">
        <v>847</v>
      </c>
      <c r="B688" t="s">
        <v>676</v>
      </c>
      <c r="C688" s="83">
        <v>46185</v>
      </c>
      <c r="D688" t="s">
        <v>678</v>
      </c>
      <c r="E688" t="s">
        <v>702</v>
      </c>
      <c r="F688">
        <v>11</v>
      </c>
      <c r="G688">
        <v>3.8366333333333298</v>
      </c>
    </row>
    <row r="689" spans="1:7" x14ac:dyDescent="0.35">
      <c r="A689" t="s">
        <v>847</v>
      </c>
      <c r="B689" t="s">
        <v>676</v>
      </c>
      <c r="C689" s="83">
        <v>46185</v>
      </c>
      <c r="D689" t="s">
        <v>678</v>
      </c>
      <c r="E689" t="s">
        <v>699</v>
      </c>
      <c r="F689">
        <v>4</v>
      </c>
      <c r="G689">
        <v>16.340666666666699</v>
      </c>
    </row>
    <row r="690" spans="1:7" x14ac:dyDescent="0.35">
      <c r="A690" t="s">
        <v>847</v>
      </c>
      <c r="B690" t="s">
        <v>676</v>
      </c>
      <c r="C690" s="83">
        <v>46185</v>
      </c>
      <c r="D690" t="s">
        <v>679</v>
      </c>
      <c r="E690" t="s">
        <v>700</v>
      </c>
      <c r="F690">
        <v>21</v>
      </c>
      <c r="G690">
        <v>14.6754333333333</v>
      </c>
    </row>
    <row r="691" spans="1:7" x14ac:dyDescent="0.35">
      <c r="A691" t="s">
        <v>847</v>
      </c>
      <c r="B691" t="s">
        <v>676</v>
      </c>
      <c r="C691" s="83">
        <v>46185</v>
      </c>
      <c r="D691" t="s">
        <v>679</v>
      </c>
      <c r="E691" t="s">
        <v>702</v>
      </c>
      <c r="F691">
        <v>11</v>
      </c>
      <c r="G691">
        <v>5.0132666666666701</v>
      </c>
    </row>
    <row r="692" spans="1:7" x14ac:dyDescent="0.35">
      <c r="A692" t="s">
        <v>847</v>
      </c>
      <c r="B692" t="s">
        <v>676</v>
      </c>
      <c r="C692" s="83">
        <v>46185</v>
      </c>
      <c r="D692" t="s">
        <v>679</v>
      </c>
      <c r="E692" t="s">
        <v>699</v>
      </c>
      <c r="F692">
        <v>6</v>
      </c>
      <c r="G692">
        <v>36.494133333333302</v>
      </c>
    </row>
    <row r="693" spans="1:7" x14ac:dyDescent="0.35">
      <c r="A693" t="s">
        <v>847</v>
      </c>
      <c r="B693" t="s">
        <v>676</v>
      </c>
      <c r="C693" s="83">
        <v>46186</v>
      </c>
      <c r="D693" t="s">
        <v>678</v>
      </c>
      <c r="E693" t="s">
        <v>700</v>
      </c>
      <c r="F693">
        <v>22</v>
      </c>
      <c r="G693">
        <v>26.166149999999998</v>
      </c>
    </row>
    <row r="694" spans="1:7" x14ac:dyDescent="0.35">
      <c r="A694" t="s">
        <v>847</v>
      </c>
      <c r="B694" t="s">
        <v>676</v>
      </c>
      <c r="C694" s="83">
        <v>46186</v>
      </c>
      <c r="D694" t="s">
        <v>678</v>
      </c>
      <c r="E694" t="s">
        <v>697</v>
      </c>
      <c r="F694">
        <v>15</v>
      </c>
      <c r="G694">
        <v>20.351316666666701</v>
      </c>
    </row>
    <row r="695" spans="1:7" x14ac:dyDescent="0.35">
      <c r="A695" t="s">
        <v>847</v>
      </c>
      <c r="B695" t="s">
        <v>676</v>
      </c>
      <c r="C695" s="83">
        <v>46186</v>
      </c>
      <c r="D695" t="s">
        <v>678</v>
      </c>
      <c r="E695" t="s">
        <v>702</v>
      </c>
      <c r="F695">
        <v>10</v>
      </c>
      <c r="G695">
        <v>3.1566999999999998</v>
      </c>
    </row>
    <row r="696" spans="1:7" x14ac:dyDescent="0.35">
      <c r="A696" t="s">
        <v>847</v>
      </c>
      <c r="B696" t="s">
        <v>676</v>
      </c>
      <c r="C696" s="83">
        <v>46186</v>
      </c>
      <c r="D696" t="s">
        <v>679</v>
      </c>
      <c r="E696" t="s">
        <v>702</v>
      </c>
      <c r="F696">
        <v>22</v>
      </c>
      <c r="G696">
        <v>16.853833333333299</v>
      </c>
    </row>
    <row r="697" spans="1:7" x14ac:dyDescent="0.35">
      <c r="A697" t="s">
        <v>847</v>
      </c>
      <c r="B697" t="s">
        <v>676</v>
      </c>
      <c r="C697" s="83">
        <v>46186</v>
      </c>
      <c r="D697" t="s">
        <v>679</v>
      </c>
      <c r="E697" t="s">
        <v>700</v>
      </c>
      <c r="F697">
        <v>16</v>
      </c>
      <c r="G697">
        <v>19.8322</v>
      </c>
    </row>
    <row r="698" spans="1:7" x14ac:dyDescent="0.35">
      <c r="A698" t="s">
        <v>847</v>
      </c>
      <c r="B698" t="s">
        <v>676</v>
      </c>
      <c r="C698" s="83">
        <v>46186</v>
      </c>
      <c r="D698" t="s">
        <v>679</v>
      </c>
      <c r="E698" t="s">
        <v>698</v>
      </c>
      <c r="F698">
        <v>8</v>
      </c>
      <c r="G698">
        <v>2.33938333333333</v>
      </c>
    </row>
    <row r="699" spans="1:7" x14ac:dyDescent="0.35">
      <c r="A699" t="s">
        <v>847</v>
      </c>
      <c r="B699" t="s">
        <v>676</v>
      </c>
      <c r="C699" s="83">
        <v>46187</v>
      </c>
      <c r="D699" t="s">
        <v>678</v>
      </c>
      <c r="E699" t="s">
        <v>700</v>
      </c>
      <c r="F699">
        <v>16</v>
      </c>
      <c r="G699">
        <v>18.666899999999998</v>
      </c>
    </row>
    <row r="700" spans="1:7" x14ac:dyDescent="0.35">
      <c r="A700" t="s">
        <v>847</v>
      </c>
      <c r="B700" t="s">
        <v>676</v>
      </c>
      <c r="C700" s="83">
        <v>46187</v>
      </c>
      <c r="D700" t="s">
        <v>678</v>
      </c>
      <c r="E700" t="s">
        <v>697</v>
      </c>
      <c r="F700">
        <v>14</v>
      </c>
      <c r="G700">
        <v>15.83365</v>
      </c>
    </row>
    <row r="701" spans="1:7" x14ac:dyDescent="0.35">
      <c r="A701" t="s">
        <v>847</v>
      </c>
      <c r="B701" t="s">
        <v>676</v>
      </c>
      <c r="C701" s="83">
        <v>46187</v>
      </c>
      <c r="D701" t="s">
        <v>678</v>
      </c>
      <c r="E701" t="s">
        <v>703</v>
      </c>
      <c r="F701">
        <v>7</v>
      </c>
      <c r="G701">
        <v>2.3255666666666701</v>
      </c>
    </row>
    <row r="702" spans="1:7" x14ac:dyDescent="0.35">
      <c r="A702" t="s">
        <v>847</v>
      </c>
      <c r="B702" t="s">
        <v>676</v>
      </c>
      <c r="C702" s="83">
        <v>46187</v>
      </c>
      <c r="D702" t="s">
        <v>679</v>
      </c>
      <c r="E702" t="s">
        <v>702</v>
      </c>
      <c r="F702">
        <v>20</v>
      </c>
      <c r="G702">
        <v>13.5050833333333</v>
      </c>
    </row>
    <row r="703" spans="1:7" x14ac:dyDescent="0.35">
      <c r="A703" t="s">
        <v>847</v>
      </c>
      <c r="B703" t="s">
        <v>676</v>
      </c>
      <c r="C703" s="83">
        <v>46187</v>
      </c>
      <c r="D703" t="s">
        <v>679</v>
      </c>
      <c r="E703" t="s">
        <v>700</v>
      </c>
      <c r="F703">
        <v>18</v>
      </c>
      <c r="G703">
        <v>17.4905333333333</v>
      </c>
    </row>
    <row r="704" spans="1:7" x14ac:dyDescent="0.35">
      <c r="A704" t="s">
        <v>847</v>
      </c>
      <c r="B704" t="s">
        <v>676</v>
      </c>
      <c r="C704" s="83">
        <v>46187</v>
      </c>
      <c r="D704" t="s">
        <v>679</v>
      </c>
      <c r="E704" t="s">
        <v>698</v>
      </c>
      <c r="F704">
        <v>14</v>
      </c>
      <c r="G704">
        <v>7.6694333333333304</v>
      </c>
    </row>
    <row r="705" spans="1:7" x14ac:dyDescent="0.35">
      <c r="A705" t="s">
        <v>847</v>
      </c>
      <c r="B705" t="s">
        <v>676</v>
      </c>
      <c r="C705" s="83">
        <v>46188</v>
      </c>
      <c r="D705" t="s">
        <v>678</v>
      </c>
      <c r="E705" t="s">
        <v>700</v>
      </c>
      <c r="F705">
        <v>23</v>
      </c>
      <c r="G705">
        <v>20.525566666666698</v>
      </c>
    </row>
    <row r="706" spans="1:7" x14ac:dyDescent="0.35">
      <c r="A706" t="s">
        <v>847</v>
      </c>
      <c r="B706" t="s">
        <v>676</v>
      </c>
      <c r="C706" s="83">
        <v>46188</v>
      </c>
      <c r="D706" t="s">
        <v>678</v>
      </c>
      <c r="E706" t="s">
        <v>697</v>
      </c>
      <c r="F706">
        <v>17</v>
      </c>
      <c r="G706">
        <v>13.334099999999999</v>
      </c>
    </row>
    <row r="707" spans="1:7" x14ac:dyDescent="0.35">
      <c r="A707" t="s">
        <v>847</v>
      </c>
      <c r="B707" t="s">
        <v>676</v>
      </c>
      <c r="C707" s="83">
        <v>46188</v>
      </c>
      <c r="D707" t="s">
        <v>678</v>
      </c>
      <c r="E707" t="s">
        <v>702</v>
      </c>
      <c r="F707">
        <v>9</v>
      </c>
      <c r="G707">
        <v>3.34433333333333</v>
      </c>
    </row>
    <row r="708" spans="1:7" x14ac:dyDescent="0.35">
      <c r="A708" t="s">
        <v>847</v>
      </c>
      <c r="B708" t="s">
        <v>676</v>
      </c>
      <c r="C708" s="83">
        <v>46188</v>
      </c>
      <c r="D708" t="s">
        <v>679</v>
      </c>
      <c r="E708" t="s">
        <v>702</v>
      </c>
      <c r="F708">
        <v>24</v>
      </c>
      <c r="G708">
        <v>53.066033333333301</v>
      </c>
    </row>
    <row r="709" spans="1:7" x14ac:dyDescent="0.35">
      <c r="A709" t="s">
        <v>847</v>
      </c>
      <c r="B709" t="s">
        <v>676</v>
      </c>
      <c r="C709" s="83">
        <v>46188</v>
      </c>
      <c r="D709" t="s">
        <v>679</v>
      </c>
      <c r="E709" t="s">
        <v>700</v>
      </c>
      <c r="F709">
        <v>15</v>
      </c>
      <c r="G709">
        <v>17.496783333333301</v>
      </c>
    </row>
    <row r="710" spans="1:7" x14ac:dyDescent="0.35">
      <c r="A710" t="s">
        <v>847</v>
      </c>
      <c r="B710" t="s">
        <v>676</v>
      </c>
      <c r="C710" s="83">
        <v>46188</v>
      </c>
      <c r="D710" t="s">
        <v>679</v>
      </c>
      <c r="E710" t="s">
        <v>698</v>
      </c>
      <c r="F710">
        <v>6</v>
      </c>
      <c r="G710">
        <v>2.49583333333333</v>
      </c>
    </row>
    <row r="711" spans="1:7" x14ac:dyDescent="0.35">
      <c r="A711" t="s">
        <v>847</v>
      </c>
      <c r="B711" t="s">
        <v>676</v>
      </c>
      <c r="C711" s="83">
        <v>46189</v>
      </c>
      <c r="D711" t="s">
        <v>678</v>
      </c>
      <c r="E711" t="s">
        <v>700</v>
      </c>
      <c r="F711">
        <v>21</v>
      </c>
      <c r="G711">
        <v>21.662216666666701</v>
      </c>
    </row>
    <row r="712" spans="1:7" x14ac:dyDescent="0.35">
      <c r="A712" t="s">
        <v>847</v>
      </c>
      <c r="B712" t="s">
        <v>676</v>
      </c>
      <c r="C712" s="83">
        <v>46189</v>
      </c>
      <c r="D712" t="s">
        <v>678</v>
      </c>
      <c r="E712" t="s">
        <v>702</v>
      </c>
      <c r="F712">
        <v>8</v>
      </c>
      <c r="G712">
        <v>4.1712166666666697</v>
      </c>
    </row>
    <row r="713" spans="1:7" x14ac:dyDescent="0.35">
      <c r="A713" t="s">
        <v>847</v>
      </c>
      <c r="B713" t="s">
        <v>676</v>
      </c>
      <c r="C713" s="83">
        <v>46189</v>
      </c>
      <c r="D713" t="s">
        <v>678</v>
      </c>
      <c r="E713" t="s">
        <v>699</v>
      </c>
      <c r="F713">
        <v>7</v>
      </c>
      <c r="G713">
        <v>69.669049999999999</v>
      </c>
    </row>
    <row r="714" spans="1:7" x14ac:dyDescent="0.35">
      <c r="A714" t="s">
        <v>847</v>
      </c>
      <c r="B714" t="s">
        <v>676</v>
      </c>
      <c r="C714" s="83">
        <v>46189</v>
      </c>
      <c r="D714" t="s">
        <v>679</v>
      </c>
      <c r="E714" t="s">
        <v>700</v>
      </c>
      <c r="F714">
        <v>15</v>
      </c>
      <c r="G714">
        <v>17.169983333333299</v>
      </c>
    </row>
    <row r="715" spans="1:7" x14ac:dyDescent="0.35">
      <c r="A715" t="s">
        <v>847</v>
      </c>
      <c r="B715" t="s">
        <v>676</v>
      </c>
      <c r="C715" s="83">
        <v>46189</v>
      </c>
      <c r="D715" t="s">
        <v>679</v>
      </c>
      <c r="E715" t="s">
        <v>702</v>
      </c>
      <c r="F715">
        <v>14</v>
      </c>
      <c r="G715">
        <v>19.993766666666701</v>
      </c>
    </row>
    <row r="716" spans="1:7" x14ac:dyDescent="0.35">
      <c r="A716" t="s">
        <v>847</v>
      </c>
      <c r="B716" t="s">
        <v>676</v>
      </c>
      <c r="C716" s="83">
        <v>46189</v>
      </c>
      <c r="D716" t="s">
        <v>679</v>
      </c>
      <c r="E716" t="s">
        <v>705</v>
      </c>
      <c r="F716">
        <v>8</v>
      </c>
      <c r="G716">
        <v>11.006033333333299</v>
      </c>
    </row>
    <row r="717" spans="1:7" x14ac:dyDescent="0.35">
      <c r="A717" t="s">
        <v>847</v>
      </c>
      <c r="B717" t="s">
        <v>676</v>
      </c>
      <c r="C717" s="83">
        <v>46190</v>
      </c>
      <c r="D717" t="s">
        <v>678</v>
      </c>
      <c r="E717" t="s">
        <v>700</v>
      </c>
      <c r="F717">
        <v>24</v>
      </c>
      <c r="G717">
        <v>23.676300000000001</v>
      </c>
    </row>
    <row r="718" spans="1:7" x14ac:dyDescent="0.35">
      <c r="A718" t="s">
        <v>847</v>
      </c>
      <c r="B718" t="s">
        <v>676</v>
      </c>
      <c r="C718" s="83">
        <v>46190</v>
      </c>
      <c r="D718" t="s">
        <v>678</v>
      </c>
      <c r="E718" t="s">
        <v>697</v>
      </c>
      <c r="F718">
        <v>5</v>
      </c>
      <c r="G718">
        <v>2.8324500000000001</v>
      </c>
    </row>
    <row r="719" spans="1:7" x14ac:dyDescent="0.35">
      <c r="A719" t="s">
        <v>847</v>
      </c>
      <c r="B719" t="s">
        <v>676</v>
      </c>
      <c r="C719" s="83">
        <v>46190</v>
      </c>
      <c r="D719" t="s">
        <v>678</v>
      </c>
      <c r="E719" t="s">
        <v>702</v>
      </c>
      <c r="F719">
        <v>3</v>
      </c>
      <c r="G719">
        <v>0.66758333333333297</v>
      </c>
    </row>
    <row r="720" spans="1:7" x14ac:dyDescent="0.35">
      <c r="A720" t="s">
        <v>847</v>
      </c>
      <c r="B720" t="s">
        <v>676</v>
      </c>
      <c r="C720" s="83">
        <v>46190</v>
      </c>
      <c r="D720" t="s">
        <v>679</v>
      </c>
      <c r="E720" t="s">
        <v>700</v>
      </c>
      <c r="F720">
        <v>20</v>
      </c>
      <c r="G720">
        <v>20.678083333333301</v>
      </c>
    </row>
    <row r="721" spans="1:7" x14ac:dyDescent="0.35">
      <c r="A721" t="s">
        <v>847</v>
      </c>
      <c r="B721" t="s">
        <v>676</v>
      </c>
      <c r="C721" s="83">
        <v>46190</v>
      </c>
      <c r="D721" t="s">
        <v>679</v>
      </c>
      <c r="E721" t="s">
        <v>698</v>
      </c>
      <c r="F721">
        <v>9</v>
      </c>
      <c r="G721">
        <v>11.8442166666667</v>
      </c>
    </row>
    <row r="722" spans="1:7" x14ac:dyDescent="0.35">
      <c r="A722" t="s">
        <v>847</v>
      </c>
      <c r="B722" t="s">
        <v>676</v>
      </c>
      <c r="C722" s="83">
        <v>46190</v>
      </c>
      <c r="D722" t="s">
        <v>679</v>
      </c>
      <c r="E722" t="s">
        <v>697</v>
      </c>
      <c r="F722">
        <v>5</v>
      </c>
      <c r="G722">
        <v>10.3409</v>
      </c>
    </row>
    <row r="723" spans="1:7" x14ac:dyDescent="0.35">
      <c r="A723" t="s">
        <v>847</v>
      </c>
      <c r="B723" t="s">
        <v>676</v>
      </c>
      <c r="C723" s="83">
        <v>46191</v>
      </c>
      <c r="D723" t="s">
        <v>678</v>
      </c>
      <c r="E723" t="s">
        <v>700</v>
      </c>
      <c r="F723">
        <v>30</v>
      </c>
      <c r="G723">
        <v>31.657550000000001</v>
      </c>
    </row>
    <row r="724" spans="1:7" x14ac:dyDescent="0.35">
      <c r="A724" t="s">
        <v>847</v>
      </c>
      <c r="B724" t="s">
        <v>676</v>
      </c>
      <c r="C724" s="83">
        <v>46191</v>
      </c>
      <c r="D724" t="s">
        <v>678</v>
      </c>
      <c r="E724" t="s">
        <v>702</v>
      </c>
      <c r="F724">
        <v>9</v>
      </c>
      <c r="G724">
        <v>2.4984500000000001</v>
      </c>
    </row>
    <row r="725" spans="1:7" x14ac:dyDescent="0.35">
      <c r="A725" t="s">
        <v>847</v>
      </c>
      <c r="B725" t="s">
        <v>676</v>
      </c>
      <c r="C725" s="83">
        <v>46191</v>
      </c>
      <c r="D725" t="s">
        <v>678</v>
      </c>
      <c r="E725" t="s">
        <v>697</v>
      </c>
      <c r="F725">
        <v>6</v>
      </c>
      <c r="G725">
        <v>1.8380000000000001</v>
      </c>
    </row>
    <row r="726" spans="1:7" x14ac:dyDescent="0.35">
      <c r="A726" t="s">
        <v>847</v>
      </c>
      <c r="B726" t="s">
        <v>676</v>
      </c>
      <c r="C726" s="83">
        <v>46191</v>
      </c>
      <c r="D726" t="s">
        <v>679</v>
      </c>
      <c r="E726" t="s">
        <v>700</v>
      </c>
      <c r="F726">
        <v>23</v>
      </c>
      <c r="G726">
        <v>23.4909833333333</v>
      </c>
    </row>
    <row r="727" spans="1:7" x14ac:dyDescent="0.35">
      <c r="A727" t="s">
        <v>847</v>
      </c>
      <c r="B727" t="s">
        <v>676</v>
      </c>
      <c r="C727" s="83">
        <v>46191</v>
      </c>
      <c r="D727" t="s">
        <v>679</v>
      </c>
      <c r="E727" t="s">
        <v>702</v>
      </c>
      <c r="F727">
        <v>17</v>
      </c>
      <c r="G727">
        <v>11.682266666666701</v>
      </c>
    </row>
    <row r="728" spans="1:7" x14ac:dyDescent="0.35">
      <c r="A728" t="s">
        <v>847</v>
      </c>
      <c r="B728" t="s">
        <v>676</v>
      </c>
      <c r="C728" s="83">
        <v>46191</v>
      </c>
      <c r="D728" t="s">
        <v>679</v>
      </c>
      <c r="E728" t="s">
        <v>698</v>
      </c>
      <c r="F728">
        <v>6</v>
      </c>
      <c r="G728">
        <v>1.9964833333333301</v>
      </c>
    </row>
    <row r="729" spans="1:7" x14ac:dyDescent="0.35">
      <c r="A729" t="s">
        <v>847</v>
      </c>
      <c r="B729" t="s">
        <v>676</v>
      </c>
      <c r="C729" s="83">
        <v>46192</v>
      </c>
      <c r="D729" t="s">
        <v>678</v>
      </c>
      <c r="E729" t="s">
        <v>700</v>
      </c>
      <c r="F729">
        <v>25</v>
      </c>
      <c r="G729">
        <v>23.179266666666699</v>
      </c>
    </row>
    <row r="730" spans="1:7" x14ac:dyDescent="0.35">
      <c r="A730" t="s">
        <v>847</v>
      </c>
      <c r="B730" t="s">
        <v>676</v>
      </c>
      <c r="C730" s="83">
        <v>46192</v>
      </c>
      <c r="D730" t="s">
        <v>678</v>
      </c>
      <c r="E730" t="s">
        <v>702</v>
      </c>
      <c r="F730">
        <v>14</v>
      </c>
      <c r="G730">
        <v>5.8254999999999999</v>
      </c>
    </row>
    <row r="731" spans="1:7" x14ac:dyDescent="0.35">
      <c r="A731" t="s">
        <v>847</v>
      </c>
      <c r="B731" t="s">
        <v>676</v>
      </c>
      <c r="C731" s="83">
        <v>46192</v>
      </c>
      <c r="D731" t="s">
        <v>678</v>
      </c>
      <c r="E731" t="s">
        <v>697</v>
      </c>
      <c r="F731">
        <v>5</v>
      </c>
      <c r="G731">
        <v>3.1570499999999999</v>
      </c>
    </row>
    <row r="732" spans="1:7" x14ac:dyDescent="0.35">
      <c r="A732" t="s">
        <v>847</v>
      </c>
      <c r="B732" t="s">
        <v>676</v>
      </c>
      <c r="C732" s="83">
        <v>46192</v>
      </c>
      <c r="D732" t="s">
        <v>679</v>
      </c>
      <c r="E732" t="s">
        <v>700</v>
      </c>
      <c r="F732">
        <v>26</v>
      </c>
      <c r="G732">
        <v>26.170533333333299</v>
      </c>
    </row>
    <row r="733" spans="1:7" x14ac:dyDescent="0.35">
      <c r="A733" t="s">
        <v>847</v>
      </c>
      <c r="B733" t="s">
        <v>676</v>
      </c>
      <c r="C733" s="83">
        <v>46192</v>
      </c>
      <c r="D733" t="s">
        <v>679</v>
      </c>
      <c r="E733" t="s">
        <v>702</v>
      </c>
      <c r="F733">
        <v>19</v>
      </c>
      <c r="G733">
        <v>15.6808666666667</v>
      </c>
    </row>
    <row r="734" spans="1:7" x14ac:dyDescent="0.35">
      <c r="A734" t="s">
        <v>847</v>
      </c>
      <c r="B734" t="s">
        <v>676</v>
      </c>
      <c r="C734" s="83">
        <v>46192</v>
      </c>
      <c r="D734" t="s">
        <v>679</v>
      </c>
      <c r="E734" t="s">
        <v>698</v>
      </c>
      <c r="F734">
        <v>12</v>
      </c>
      <c r="G734">
        <v>3.8252999999999999</v>
      </c>
    </row>
    <row r="735" spans="1:7" x14ac:dyDescent="0.35">
      <c r="A735" t="s">
        <v>847</v>
      </c>
      <c r="B735" t="s">
        <v>676</v>
      </c>
      <c r="C735" s="83">
        <v>46193</v>
      </c>
      <c r="D735" t="s">
        <v>678</v>
      </c>
      <c r="E735" t="s">
        <v>700</v>
      </c>
      <c r="F735">
        <v>19</v>
      </c>
      <c r="G735">
        <v>15.9915</v>
      </c>
    </row>
    <row r="736" spans="1:7" x14ac:dyDescent="0.35">
      <c r="A736" t="s">
        <v>847</v>
      </c>
      <c r="B736" t="s">
        <v>676</v>
      </c>
      <c r="C736" s="83">
        <v>46193</v>
      </c>
      <c r="D736" t="s">
        <v>678</v>
      </c>
      <c r="E736" t="s">
        <v>705</v>
      </c>
      <c r="F736">
        <v>7</v>
      </c>
      <c r="G736">
        <v>2.9939499999999999</v>
      </c>
    </row>
    <row r="737" spans="1:7" x14ac:dyDescent="0.35">
      <c r="A737" t="s">
        <v>847</v>
      </c>
      <c r="B737" t="s">
        <v>676</v>
      </c>
      <c r="C737" s="83">
        <v>46193</v>
      </c>
      <c r="D737" t="s">
        <v>678</v>
      </c>
      <c r="E737" t="s">
        <v>702</v>
      </c>
      <c r="F737">
        <v>5</v>
      </c>
      <c r="G737">
        <v>2.3365833333333299</v>
      </c>
    </row>
    <row r="738" spans="1:7" x14ac:dyDescent="0.35">
      <c r="A738" t="s">
        <v>847</v>
      </c>
      <c r="B738" t="s">
        <v>676</v>
      </c>
      <c r="C738" s="83">
        <v>46193</v>
      </c>
      <c r="D738" t="s">
        <v>679</v>
      </c>
      <c r="E738" t="s">
        <v>700</v>
      </c>
      <c r="F738">
        <v>20</v>
      </c>
      <c r="G738">
        <v>18.846866666666699</v>
      </c>
    </row>
    <row r="739" spans="1:7" x14ac:dyDescent="0.35">
      <c r="A739" t="s">
        <v>847</v>
      </c>
      <c r="B739" t="s">
        <v>676</v>
      </c>
      <c r="C739" s="83">
        <v>46193</v>
      </c>
      <c r="D739" t="s">
        <v>679</v>
      </c>
      <c r="E739" t="s">
        <v>702</v>
      </c>
      <c r="F739">
        <v>19</v>
      </c>
      <c r="G739">
        <v>10.212016666666701</v>
      </c>
    </row>
    <row r="740" spans="1:7" x14ac:dyDescent="0.35">
      <c r="A740" t="s">
        <v>847</v>
      </c>
      <c r="B740" t="s">
        <v>676</v>
      </c>
      <c r="C740" s="83">
        <v>46193</v>
      </c>
      <c r="D740" t="s">
        <v>679</v>
      </c>
      <c r="E740" t="s">
        <v>698</v>
      </c>
      <c r="F740">
        <v>7</v>
      </c>
      <c r="G740">
        <v>4.8388666666666698</v>
      </c>
    </row>
    <row r="741" spans="1:7" x14ac:dyDescent="0.35">
      <c r="A741" t="s">
        <v>847</v>
      </c>
      <c r="B741" t="s">
        <v>676</v>
      </c>
      <c r="C741" s="83">
        <v>46194</v>
      </c>
      <c r="D741" t="s">
        <v>678</v>
      </c>
      <c r="E741" t="s">
        <v>699</v>
      </c>
      <c r="F741">
        <v>22</v>
      </c>
      <c r="G741">
        <v>511.70816666666701</v>
      </c>
    </row>
    <row r="742" spans="1:7" x14ac:dyDescent="0.35">
      <c r="A742" t="s">
        <v>847</v>
      </c>
      <c r="B742" t="s">
        <v>676</v>
      </c>
      <c r="C742" s="83">
        <v>46194</v>
      </c>
      <c r="D742" t="s">
        <v>678</v>
      </c>
      <c r="E742" t="s">
        <v>705</v>
      </c>
      <c r="F742">
        <v>13</v>
      </c>
      <c r="G742">
        <v>10.3281166666667</v>
      </c>
    </row>
    <row r="743" spans="1:7" x14ac:dyDescent="0.35">
      <c r="A743" t="s">
        <v>847</v>
      </c>
      <c r="B743" t="s">
        <v>676</v>
      </c>
      <c r="C743" s="83">
        <v>46194</v>
      </c>
      <c r="D743" t="s">
        <v>678</v>
      </c>
      <c r="E743" t="s">
        <v>700</v>
      </c>
      <c r="F743">
        <v>6</v>
      </c>
      <c r="G743">
        <v>4.8292333333333302</v>
      </c>
    </row>
    <row r="744" spans="1:7" x14ac:dyDescent="0.35">
      <c r="A744" t="s">
        <v>847</v>
      </c>
      <c r="B744" t="s">
        <v>676</v>
      </c>
      <c r="C744" s="83">
        <v>46194</v>
      </c>
      <c r="D744" t="s">
        <v>679</v>
      </c>
      <c r="E744" t="s">
        <v>703</v>
      </c>
      <c r="F744">
        <v>12</v>
      </c>
      <c r="G744">
        <v>8.1643500000000007</v>
      </c>
    </row>
    <row r="745" spans="1:7" x14ac:dyDescent="0.35">
      <c r="A745" t="s">
        <v>847</v>
      </c>
      <c r="B745" t="s">
        <v>676</v>
      </c>
      <c r="C745" s="83">
        <v>46194</v>
      </c>
      <c r="D745" t="s">
        <v>679</v>
      </c>
      <c r="E745" t="s">
        <v>705</v>
      </c>
      <c r="F745">
        <v>9</v>
      </c>
      <c r="G745">
        <v>7.0112166666666704</v>
      </c>
    </row>
    <row r="746" spans="1:7" x14ac:dyDescent="0.35">
      <c r="A746" t="s">
        <v>847</v>
      </c>
      <c r="B746" t="s">
        <v>676</v>
      </c>
      <c r="C746" s="83">
        <v>46194</v>
      </c>
      <c r="D746" t="s">
        <v>679</v>
      </c>
      <c r="E746" t="s">
        <v>700</v>
      </c>
      <c r="F746">
        <v>8</v>
      </c>
      <c r="G746">
        <v>18.659333333333301</v>
      </c>
    </row>
    <row r="747" spans="1:7" x14ac:dyDescent="0.35">
      <c r="A747" t="s">
        <v>847</v>
      </c>
      <c r="B747" t="s">
        <v>676</v>
      </c>
      <c r="C747" s="83">
        <v>46195</v>
      </c>
      <c r="D747" t="s">
        <v>678</v>
      </c>
      <c r="E747" t="s">
        <v>700</v>
      </c>
      <c r="F747">
        <v>20</v>
      </c>
      <c r="G747">
        <v>34.8354833333333</v>
      </c>
    </row>
    <row r="748" spans="1:7" x14ac:dyDescent="0.35">
      <c r="A748" t="s">
        <v>847</v>
      </c>
      <c r="B748" t="s">
        <v>676</v>
      </c>
      <c r="C748" s="83">
        <v>46195</v>
      </c>
      <c r="D748" t="s">
        <v>678</v>
      </c>
      <c r="E748" t="s">
        <v>705</v>
      </c>
      <c r="F748">
        <v>20</v>
      </c>
      <c r="G748">
        <v>19.9955833333333</v>
      </c>
    </row>
    <row r="749" spans="1:7" x14ac:dyDescent="0.35">
      <c r="A749" t="s">
        <v>847</v>
      </c>
      <c r="B749" t="s">
        <v>676</v>
      </c>
      <c r="C749" s="83">
        <v>46195</v>
      </c>
      <c r="D749" t="s">
        <v>678</v>
      </c>
      <c r="E749" t="s">
        <v>709</v>
      </c>
      <c r="F749">
        <v>10</v>
      </c>
      <c r="G749">
        <v>6.6567166666666697</v>
      </c>
    </row>
    <row r="750" spans="1:7" x14ac:dyDescent="0.35">
      <c r="A750" t="s">
        <v>847</v>
      </c>
      <c r="B750" t="s">
        <v>676</v>
      </c>
      <c r="C750" s="83">
        <v>46195</v>
      </c>
      <c r="D750" t="s">
        <v>679</v>
      </c>
      <c r="E750" t="s">
        <v>705</v>
      </c>
      <c r="F750">
        <v>27</v>
      </c>
      <c r="G750">
        <v>37.362716666666699</v>
      </c>
    </row>
    <row r="751" spans="1:7" x14ac:dyDescent="0.35">
      <c r="A751" t="s">
        <v>847</v>
      </c>
      <c r="B751" t="s">
        <v>676</v>
      </c>
      <c r="C751" s="83">
        <v>46195</v>
      </c>
      <c r="D751" t="s">
        <v>679</v>
      </c>
      <c r="E751" t="s">
        <v>702</v>
      </c>
      <c r="F751">
        <v>15</v>
      </c>
      <c r="G751">
        <v>23.162500000000001</v>
      </c>
    </row>
    <row r="752" spans="1:7" x14ac:dyDescent="0.35">
      <c r="A752" t="s">
        <v>847</v>
      </c>
      <c r="B752" t="s">
        <v>676</v>
      </c>
      <c r="C752" s="83">
        <v>46195</v>
      </c>
      <c r="D752" t="s">
        <v>679</v>
      </c>
      <c r="E752" t="s">
        <v>703</v>
      </c>
      <c r="F752">
        <v>14</v>
      </c>
      <c r="G752">
        <v>10.3371166666667</v>
      </c>
    </row>
    <row r="753" spans="1:7" x14ac:dyDescent="0.35">
      <c r="A753" t="s">
        <v>847</v>
      </c>
      <c r="B753" t="s">
        <v>676</v>
      </c>
      <c r="C753" s="83">
        <v>46196</v>
      </c>
      <c r="D753" t="s">
        <v>678</v>
      </c>
      <c r="E753" t="s">
        <v>705</v>
      </c>
      <c r="F753">
        <v>23</v>
      </c>
      <c r="G753">
        <v>29.65645</v>
      </c>
    </row>
    <row r="754" spans="1:7" x14ac:dyDescent="0.35">
      <c r="A754" t="s">
        <v>847</v>
      </c>
      <c r="B754" t="s">
        <v>676</v>
      </c>
      <c r="C754" s="83">
        <v>46196</v>
      </c>
      <c r="D754" t="s">
        <v>678</v>
      </c>
      <c r="E754" t="s">
        <v>700</v>
      </c>
      <c r="F754">
        <v>18</v>
      </c>
      <c r="G754">
        <v>16.847733333333299</v>
      </c>
    </row>
    <row r="755" spans="1:7" x14ac:dyDescent="0.35">
      <c r="A755" t="s">
        <v>847</v>
      </c>
      <c r="B755" t="s">
        <v>676</v>
      </c>
      <c r="C755" s="83">
        <v>46196</v>
      </c>
      <c r="D755" t="s">
        <v>678</v>
      </c>
      <c r="E755" t="s">
        <v>709</v>
      </c>
      <c r="F755">
        <v>17</v>
      </c>
      <c r="G755">
        <v>21.9908</v>
      </c>
    </row>
    <row r="756" spans="1:7" x14ac:dyDescent="0.35">
      <c r="A756" t="s">
        <v>847</v>
      </c>
      <c r="B756" t="s">
        <v>676</v>
      </c>
      <c r="C756" s="83">
        <v>46196</v>
      </c>
      <c r="D756" t="s">
        <v>679</v>
      </c>
      <c r="E756" t="s">
        <v>705</v>
      </c>
      <c r="F756">
        <v>21</v>
      </c>
      <c r="G756">
        <v>20.8166166666667</v>
      </c>
    </row>
    <row r="757" spans="1:7" x14ac:dyDescent="0.35">
      <c r="A757" t="s">
        <v>847</v>
      </c>
      <c r="B757" t="s">
        <v>676</v>
      </c>
      <c r="C757" s="83">
        <v>46196</v>
      </c>
      <c r="D757" t="s">
        <v>679</v>
      </c>
      <c r="E757" t="s">
        <v>699</v>
      </c>
      <c r="F757">
        <v>17</v>
      </c>
      <c r="G757">
        <v>27.356733333333299</v>
      </c>
    </row>
    <row r="758" spans="1:7" x14ac:dyDescent="0.35">
      <c r="A758" t="s">
        <v>847</v>
      </c>
      <c r="B758" t="s">
        <v>676</v>
      </c>
      <c r="C758" s="83">
        <v>46196</v>
      </c>
      <c r="D758" t="s">
        <v>679</v>
      </c>
      <c r="E758" t="s">
        <v>703</v>
      </c>
      <c r="F758">
        <v>14</v>
      </c>
      <c r="G758">
        <v>13.1631</v>
      </c>
    </row>
    <row r="759" spans="1:7" x14ac:dyDescent="0.35">
      <c r="A759" t="s">
        <v>847</v>
      </c>
      <c r="B759" t="s">
        <v>676</v>
      </c>
      <c r="C759" s="83">
        <v>46197</v>
      </c>
      <c r="D759" t="s">
        <v>678</v>
      </c>
      <c r="E759" t="s">
        <v>700</v>
      </c>
      <c r="F759">
        <v>20</v>
      </c>
      <c r="G759">
        <v>17.178833333333301</v>
      </c>
    </row>
    <row r="760" spans="1:7" x14ac:dyDescent="0.35">
      <c r="A760" t="s">
        <v>847</v>
      </c>
      <c r="B760" t="s">
        <v>676</v>
      </c>
      <c r="C760" s="83">
        <v>46197</v>
      </c>
      <c r="D760" t="s">
        <v>678</v>
      </c>
      <c r="E760" t="s">
        <v>705</v>
      </c>
      <c r="F760">
        <v>15</v>
      </c>
      <c r="G760">
        <v>9.6546500000000002</v>
      </c>
    </row>
    <row r="761" spans="1:7" x14ac:dyDescent="0.35">
      <c r="A761" t="s">
        <v>847</v>
      </c>
      <c r="B761" t="s">
        <v>676</v>
      </c>
      <c r="C761" s="83">
        <v>46197</v>
      </c>
      <c r="D761" t="s">
        <v>678</v>
      </c>
      <c r="E761" t="s">
        <v>702</v>
      </c>
      <c r="F761">
        <v>10</v>
      </c>
      <c r="G761">
        <v>12.331383333333299</v>
      </c>
    </row>
    <row r="762" spans="1:7" x14ac:dyDescent="0.35">
      <c r="A762" t="s">
        <v>847</v>
      </c>
      <c r="B762" t="s">
        <v>676</v>
      </c>
      <c r="C762" s="83">
        <v>46197</v>
      </c>
      <c r="D762" t="s">
        <v>679</v>
      </c>
      <c r="E762" t="s">
        <v>702</v>
      </c>
      <c r="F762">
        <v>20</v>
      </c>
      <c r="G762">
        <v>10.8532166666667</v>
      </c>
    </row>
    <row r="763" spans="1:7" x14ac:dyDescent="0.35">
      <c r="A763" t="s">
        <v>847</v>
      </c>
      <c r="B763" t="s">
        <v>676</v>
      </c>
      <c r="C763" s="83">
        <v>46197</v>
      </c>
      <c r="D763" t="s">
        <v>679</v>
      </c>
      <c r="E763" t="s">
        <v>700</v>
      </c>
      <c r="F763">
        <v>15</v>
      </c>
      <c r="G763">
        <v>18.00075</v>
      </c>
    </row>
    <row r="764" spans="1:7" x14ac:dyDescent="0.35">
      <c r="A764" t="s">
        <v>847</v>
      </c>
      <c r="B764" t="s">
        <v>676</v>
      </c>
      <c r="C764" s="83">
        <v>46197</v>
      </c>
      <c r="D764" t="s">
        <v>679</v>
      </c>
      <c r="E764" t="s">
        <v>705</v>
      </c>
      <c r="F764">
        <v>8</v>
      </c>
      <c r="G764">
        <v>8.5006000000000004</v>
      </c>
    </row>
    <row r="765" spans="1:7" x14ac:dyDescent="0.35">
      <c r="A765" t="s">
        <v>847</v>
      </c>
      <c r="B765" t="s">
        <v>676</v>
      </c>
      <c r="C765" s="83">
        <v>46198</v>
      </c>
      <c r="D765" t="s">
        <v>678</v>
      </c>
      <c r="E765" t="s">
        <v>697</v>
      </c>
      <c r="F765">
        <v>105</v>
      </c>
      <c r="G765">
        <v>84.882800000000003</v>
      </c>
    </row>
    <row r="766" spans="1:7" x14ac:dyDescent="0.35">
      <c r="A766" t="s">
        <v>847</v>
      </c>
      <c r="B766" t="s">
        <v>676</v>
      </c>
      <c r="C766" s="83">
        <v>46198</v>
      </c>
      <c r="D766" t="s">
        <v>678</v>
      </c>
      <c r="E766" t="s">
        <v>699</v>
      </c>
      <c r="F766">
        <v>13</v>
      </c>
      <c r="G766">
        <v>27.811233333333298</v>
      </c>
    </row>
    <row r="767" spans="1:7" x14ac:dyDescent="0.35">
      <c r="A767" t="s">
        <v>847</v>
      </c>
      <c r="B767" t="s">
        <v>676</v>
      </c>
      <c r="C767" s="83">
        <v>46198</v>
      </c>
      <c r="D767" t="s">
        <v>678</v>
      </c>
      <c r="E767" t="s">
        <v>703</v>
      </c>
      <c r="F767">
        <v>13</v>
      </c>
      <c r="G767">
        <v>5.3318666666666701</v>
      </c>
    </row>
    <row r="768" spans="1:7" x14ac:dyDescent="0.35">
      <c r="A768" t="s">
        <v>847</v>
      </c>
      <c r="B768" t="s">
        <v>676</v>
      </c>
      <c r="C768" s="83">
        <v>46198</v>
      </c>
      <c r="D768" t="s">
        <v>679</v>
      </c>
      <c r="E768" t="s">
        <v>703</v>
      </c>
      <c r="F768">
        <v>24</v>
      </c>
      <c r="G768">
        <v>15.513350000000001</v>
      </c>
    </row>
    <row r="769" spans="1:7" x14ac:dyDescent="0.35">
      <c r="A769" t="s">
        <v>847</v>
      </c>
      <c r="B769" t="s">
        <v>676</v>
      </c>
      <c r="C769" s="83">
        <v>46198</v>
      </c>
      <c r="D769" t="s">
        <v>679</v>
      </c>
      <c r="E769" t="s">
        <v>700</v>
      </c>
      <c r="F769">
        <v>20</v>
      </c>
      <c r="G769">
        <v>26.842133333333301</v>
      </c>
    </row>
    <row r="770" spans="1:7" x14ac:dyDescent="0.35">
      <c r="A770" t="s">
        <v>847</v>
      </c>
      <c r="B770" t="s">
        <v>676</v>
      </c>
      <c r="C770" s="83">
        <v>46198</v>
      </c>
      <c r="D770" t="s">
        <v>679</v>
      </c>
      <c r="E770" t="s">
        <v>697</v>
      </c>
      <c r="F770">
        <v>19</v>
      </c>
      <c r="G770">
        <v>19.675633333333302</v>
      </c>
    </row>
    <row r="771" spans="1:7" x14ac:dyDescent="0.35">
      <c r="A771" t="s">
        <v>847</v>
      </c>
      <c r="B771" t="s">
        <v>676</v>
      </c>
      <c r="C771" s="83">
        <v>46199</v>
      </c>
      <c r="D771" t="s">
        <v>678</v>
      </c>
      <c r="E771" t="s">
        <v>700</v>
      </c>
      <c r="F771">
        <v>20</v>
      </c>
      <c r="G771">
        <v>18.687899999999999</v>
      </c>
    </row>
    <row r="772" spans="1:7" x14ac:dyDescent="0.35">
      <c r="A772" t="s">
        <v>847</v>
      </c>
      <c r="B772" t="s">
        <v>676</v>
      </c>
      <c r="C772" s="83">
        <v>46199</v>
      </c>
      <c r="D772" t="s">
        <v>678</v>
      </c>
      <c r="E772" t="s">
        <v>702</v>
      </c>
      <c r="F772">
        <v>10</v>
      </c>
      <c r="G772">
        <v>5.5041833333333301</v>
      </c>
    </row>
    <row r="773" spans="1:7" x14ac:dyDescent="0.35">
      <c r="A773" t="s">
        <v>847</v>
      </c>
      <c r="B773" t="s">
        <v>676</v>
      </c>
      <c r="C773" s="83">
        <v>46199</v>
      </c>
      <c r="D773" t="s">
        <v>678</v>
      </c>
      <c r="E773" t="s">
        <v>697</v>
      </c>
      <c r="F773">
        <v>9</v>
      </c>
      <c r="G773">
        <v>5.5026999999999999</v>
      </c>
    </row>
    <row r="774" spans="1:7" x14ac:dyDescent="0.35">
      <c r="A774" t="s">
        <v>847</v>
      </c>
      <c r="B774" t="s">
        <v>676</v>
      </c>
      <c r="C774" s="83">
        <v>46199</v>
      </c>
      <c r="D774" t="s">
        <v>679</v>
      </c>
      <c r="E774" t="s">
        <v>702</v>
      </c>
      <c r="F774">
        <v>22</v>
      </c>
      <c r="G774">
        <v>10.6628166666667</v>
      </c>
    </row>
    <row r="775" spans="1:7" x14ac:dyDescent="0.35">
      <c r="A775" t="s">
        <v>847</v>
      </c>
      <c r="B775" t="s">
        <v>676</v>
      </c>
      <c r="C775" s="83">
        <v>46199</v>
      </c>
      <c r="D775" t="s">
        <v>679</v>
      </c>
      <c r="E775" t="s">
        <v>700</v>
      </c>
      <c r="F775">
        <v>18</v>
      </c>
      <c r="G775">
        <v>19.4944666666667</v>
      </c>
    </row>
    <row r="776" spans="1:7" x14ac:dyDescent="0.35">
      <c r="A776" t="s">
        <v>847</v>
      </c>
      <c r="B776" t="s">
        <v>676</v>
      </c>
      <c r="C776" s="83">
        <v>46199</v>
      </c>
      <c r="D776" t="s">
        <v>679</v>
      </c>
      <c r="E776" t="s">
        <v>698</v>
      </c>
      <c r="F776">
        <v>7</v>
      </c>
      <c r="G776">
        <v>2.6620666666666701</v>
      </c>
    </row>
    <row r="777" spans="1:7" x14ac:dyDescent="0.35">
      <c r="A777" t="s">
        <v>847</v>
      </c>
      <c r="B777" t="s">
        <v>676</v>
      </c>
      <c r="C777" s="83">
        <v>46200</v>
      </c>
      <c r="D777" t="s">
        <v>678</v>
      </c>
      <c r="E777" t="s">
        <v>700</v>
      </c>
      <c r="F777">
        <v>18</v>
      </c>
      <c r="G777">
        <v>20.8398166666667</v>
      </c>
    </row>
    <row r="778" spans="1:7" x14ac:dyDescent="0.35">
      <c r="A778" t="s">
        <v>847</v>
      </c>
      <c r="B778" t="s">
        <v>676</v>
      </c>
      <c r="C778" s="83">
        <v>46200</v>
      </c>
      <c r="D778" t="s">
        <v>678</v>
      </c>
      <c r="E778" t="s">
        <v>702</v>
      </c>
      <c r="F778">
        <v>13</v>
      </c>
      <c r="G778">
        <v>5.0082666666666702</v>
      </c>
    </row>
    <row r="779" spans="1:7" x14ac:dyDescent="0.35">
      <c r="A779" t="s">
        <v>847</v>
      </c>
      <c r="B779" t="s">
        <v>676</v>
      </c>
      <c r="C779" s="83">
        <v>46200</v>
      </c>
      <c r="D779" t="s">
        <v>678</v>
      </c>
      <c r="E779" t="s">
        <v>697</v>
      </c>
      <c r="F779">
        <v>4</v>
      </c>
      <c r="G779">
        <v>3.3345833333333301</v>
      </c>
    </row>
    <row r="780" spans="1:7" x14ac:dyDescent="0.35">
      <c r="A780" t="s">
        <v>847</v>
      </c>
      <c r="B780" t="s">
        <v>676</v>
      </c>
      <c r="C780" s="83">
        <v>46200</v>
      </c>
      <c r="D780" t="s">
        <v>679</v>
      </c>
      <c r="E780" t="s">
        <v>700</v>
      </c>
      <c r="F780">
        <v>17</v>
      </c>
      <c r="G780">
        <v>18.5092833333333</v>
      </c>
    </row>
    <row r="781" spans="1:7" x14ac:dyDescent="0.35">
      <c r="A781" t="s">
        <v>847</v>
      </c>
      <c r="B781" t="s">
        <v>676</v>
      </c>
      <c r="C781" s="83">
        <v>46200</v>
      </c>
      <c r="D781" t="s">
        <v>679</v>
      </c>
      <c r="E781" t="s">
        <v>702</v>
      </c>
      <c r="F781">
        <v>15</v>
      </c>
      <c r="G781">
        <v>9.9816166666666692</v>
      </c>
    </row>
    <row r="782" spans="1:7" x14ac:dyDescent="0.35">
      <c r="A782" t="s">
        <v>847</v>
      </c>
      <c r="B782" t="s">
        <v>676</v>
      </c>
      <c r="C782" s="83">
        <v>46200</v>
      </c>
      <c r="D782" t="s">
        <v>679</v>
      </c>
      <c r="E782" t="s">
        <v>698</v>
      </c>
      <c r="F782">
        <v>5</v>
      </c>
      <c r="G782">
        <v>3.6675499999999999</v>
      </c>
    </row>
    <row r="783" spans="1:7" x14ac:dyDescent="0.35">
      <c r="A783" t="s">
        <v>847</v>
      </c>
      <c r="B783" t="s">
        <v>676</v>
      </c>
      <c r="C783" s="83">
        <v>46201</v>
      </c>
      <c r="D783" t="s">
        <v>678</v>
      </c>
      <c r="E783" t="s">
        <v>700</v>
      </c>
      <c r="F783">
        <v>23</v>
      </c>
      <c r="G783">
        <v>19.502783333333301</v>
      </c>
    </row>
    <row r="784" spans="1:7" x14ac:dyDescent="0.35">
      <c r="A784" t="s">
        <v>847</v>
      </c>
      <c r="B784" t="s">
        <v>676</v>
      </c>
      <c r="C784" s="83">
        <v>46201</v>
      </c>
      <c r="D784" t="s">
        <v>678</v>
      </c>
      <c r="E784" t="s">
        <v>702</v>
      </c>
      <c r="F784">
        <v>14</v>
      </c>
      <c r="G784">
        <v>3.67241666666667</v>
      </c>
    </row>
    <row r="785" spans="1:7" x14ac:dyDescent="0.35">
      <c r="A785" t="s">
        <v>847</v>
      </c>
      <c r="B785" t="s">
        <v>676</v>
      </c>
      <c r="C785" s="83">
        <v>46201</v>
      </c>
      <c r="D785" t="s">
        <v>678</v>
      </c>
      <c r="E785" t="s">
        <v>705</v>
      </c>
      <c r="F785">
        <v>14</v>
      </c>
      <c r="G785">
        <v>4.6746166666666698</v>
      </c>
    </row>
    <row r="786" spans="1:7" x14ac:dyDescent="0.35">
      <c r="A786" t="s">
        <v>847</v>
      </c>
      <c r="B786" t="s">
        <v>676</v>
      </c>
      <c r="C786" s="83">
        <v>46201</v>
      </c>
      <c r="D786" t="s">
        <v>679</v>
      </c>
      <c r="E786" t="s">
        <v>698</v>
      </c>
      <c r="F786">
        <v>18</v>
      </c>
      <c r="G786">
        <v>21.841666666666701</v>
      </c>
    </row>
    <row r="787" spans="1:7" x14ac:dyDescent="0.35">
      <c r="A787" t="s">
        <v>847</v>
      </c>
      <c r="B787" t="s">
        <v>676</v>
      </c>
      <c r="C787" s="83">
        <v>46201</v>
      </c>
      <c r="D787" t="s">
        <v>679</v>
      </c>
      <c r="E787" t="s">
        <v>700</v>
      </c>
      <c r="F787">
        <v>14</v>
      </c>
      <c r="G787">
        <v>15.835699999999999</v>
      </c>
    </row>
    <row r="788" spans="1:7" x14ac:dyDescent="0.35">
      <c r="A788" t="s">
        <v>847</v>
      </c>
      <c r="B788" t="s">
        <v>676</v>
      </c>
      <c r="C788" s="83">
        <v>46201</v>
      </c>
      <c r="D788" t="s">
        <v>679</v>
      </c>
      <c r="E788" t="s">
        <v>702</v>
      </c>
      <c r="F788">
        <v>13</v>
      </c>
      <c r="G788">
        <v>13.655250000000001</v>
      </c>
    </row>
    <row r="789" spans="1:7" x14ac:dyDescent="0.35">
      <c r="A789" t="s">
        <v>847</v>
      </c>
      <c r="B789" t="s">
        <v>676</v>
      </c>
      <c r="C789" s="83">
        <v>46202</v>
      </c>
      <c r="D789" t="s">
        <v>678</v>
      </c>
      <c r="E789" t="s">
        <v>700</v>
      </c>
      <c r="F789">
        <v>24</v>
      </c>
      <c r="G789">
        <v>24.486499999999999</v>
      </c>
    </row>
    <row r="790" spans="1:7" x14ac:dyDescent="0.35">
      <c r="A790" t="s">
        <v>847</v>
      </c>
      <c r="B790" t="s">
        <v>676</v>
      </c>
      <c r="C790" s="83">
        <v>46202</v>
      </c>
      <c r="D790" t="s">
        <v>678</v>
      </c>
      <c r="E790" t="s">
        <v>702</v>
      </c>
      <c r="F790">
        <v>17</v>
      </c>
      <c r="G790">
        <v>7.6654666666666698</v>
      </c>
    </row>
    <row r="791" spans="1:7" x14ac:dyDescent="0.35">
      <c r="A791" t="s">
        <v>847</v>
      </c>
      <c r="B791" t="s">
        <v>676</v>
      </c>
      <c r="C791" s="83">
        <v>46202</v>
      </c>
      <c r="D791" t="s">
        <v>678</v>
      </c>
      <c r="E791" t="s">
        <v>697</v>
      </c>
      <c r="F791">
        <v>14</v>
      </c>
      <c r="G791">
        <v>11.991816666666701</v>
      </c>
    </row>
    <row r="792" spans="1:7" x14ac:dyDescent="0.35">
      <c r="A792" t="s">
        <v>847</v>
      </c>
      <c r="B792" t="s">
        <v>676</v>
      </c>
      <c r="C792" s="83">
        <v>46202</v>
      </c>
      <c r="D792" t="s">
        <v>679</v>
      </c>
      <c r="E792" t="s">
        <v>700</v>
      </c>
      <c r="F792">
        <v>25</v>
      </c>
      <c r="G792">
        <v>32.136033333333302</v>
      </c>
    </row>
    <row r="793" spans="1:7" x14ac:dyDescent="0.35">
      <c r="A793" t="s">
        <v>847</v>
      </c>
      <c r="B793" t="s">
        <v>676</v>
      </c>
      <c r="C793" s="83">
        <v>46202</v>
      </c>
      <c r="D793" t="s">
        <v>679</v>
      </c>
      <c r="E793" t="s">
        <v>702</v>
      </c>
      <c r="F793">
        <v>10</v>
      </c>
      <c r="G793">
        <v>15.1686833333333</v>
      </c>
    </row>
    <row r="794" spans="1:7" x14ac:dyDescent="0.35">
      <c r="A794" t="s">
        <v>847</v>
      </c>
      <c r="B794" t="s">
        <v>676</v>
      </c>
      <c r="C794" s="83">
        <v>46202</v>
      </c>
      <c r="D794" t="s">
        <v>679</v>
      </c>
      <c r="E794" t="s">
        <v>697</v>
      </c>
      <c r="F794">
        <v>7</v>
      </c>
      <c r="G794">
        <v>5.4947666666666697</v>
      </c>
    </row>
    <row r="795" spans="1:7" x14ac:dyDescent="0.35">
      <c r="A795" t="s">
        <v>847</v>
      </c>
      <c r="B795" t="s">
        <v>676</v>
      </c>
      <c r="C795" s="83">
        <v>46203</v>
      </c>
      <c r="D795" t="s">
        <v>678</v>
      </c>
      <c r="E795" t="s">
        <v>700</v>
      </c>
      <c r="F795">
        <v>23</v>
      </c>
      <c r="G795">
        <v>21.3379333333333</v>
      </c>
    </row>
    <row r="796" spans="1:7" x14ac:dyDescent="0.35">
      <c r="A796" t="s">
        <v>847</v>
      </c>
      <c r="B796" t="s">
        <v>676</v>
      </c>
      <c r="C796" s="83">
        <v>46203</v>
      </c>
      <c r="D796" t="s">
        <v>678</v>
      </c>
      <c r="E796" t="s">
        <v>702</v>
      </c>
      <c r="F796">
        <v>10</v>
      </c>
      <c r="G796">
        <v>4.1597666666666697</v>
      </c>
    </row>
    <row r="797" spans="1:7" x14ac:dyDescent="0.35">
      <c r="A797" t="s">
        <v>847</v>
      </c>
      <c r="B797" t="s">
        <v>676</v>
      </c>
      <c r="C797" s="83">
        <v>46203</v>
      </c>
      <c r="D797" t="s">
        <v>678</v>
      </c>
      <c r="E797" t="s">
        <v>698</v>
      </c>
      <c r="F797">
        <v>7</v>
      </c>
      <c r="G797">
        <v>7.9855</v>
      </c>
    </row>
    <row r="798" spans="1:7" x14ac:dyDescent="0.35">
      <c r="A798" t="s">
        <v>847</v>
      </c>
      <c r="B798" t="s">
        <v>676</v>
      </c>
      <c r="C798" s="83">
        <v>46203</v>
      </c>
      <c r="D798" t="s">
        <v>679</v>
      </c>
      <c r="E798" t="s">
        <v>700</v>
      </c>
      <c r="F798">
        <v>20</v>
      </c>
      <c r="G798">
        <v>20.4819833333333</v>
      </c>
    </row>
    <row r="799" spans="1:7" x14ac:dyDescent="0.35">
      <c r="A799" t="s">
        <v>847</v>
      </c>
      <c r="B799" t="s">
        <v>676</v>
      </c>
      <c r="C799" s="83">
        <v>46203</v>
      </c>
      <c r="D799" t="s">
        <v>679</v>
      </c>
      <c r="E799" t="s">
        <v>702</v>
      </c>
      <c r="F799">
        <v>19</v>
      </c>
      <c r="G799">
        <v>9.6529000000000007</v>
      </c>
    </row>
    <row r="800" spans="1:7" x14ac:dyDescent="0.35">
      <c r="A800" t="s">
        <v>847</v>
      </c>
      <c r="B800" t="s">
        <v>676</v>
      </c>
      <c r="C800" s="83">
        <v>46203</v>
      </c>
      <c r="D800" t="s">
        <v>679</v>
      </c>
      <c r="E800" t="s">
        <v>697</v>
      </c>
      <c r="F800">
        <v>4</v>
      </c>
      <c r="G800">
        <v>2.8311166666666701</v>
      </c>
    </row>
    <row r="801" spans="1:7" x14ac:dyDescent="0.35">
      <c r="A801" t="s">
        <v>847</v>
      </c>
      <c r="B801" t="s">
        <v>676</v>
      </c>
      <c r="C801" s="83">
        <v>46204</v>
      </c>
      <c r="D801" t="s">
        <v>678</v>
      </c>
      <c r="E801" t="s">
        <v>700</v>
      </c>
      <c r="F801">
        <v>21</v>
      </c>
      <c r="G801">
        <v>14.8509833333333</v>
      </c>
    </row>
    <row r="802" spans="1:7" x14ac:dyDescent="0.35">
      <c r="A802" t="s">
        <v>847</v>
      </c>
      <c r="B802" t="s">
        <v>676</v>
      </c>
      <c r="C802" s="83">
        <v>46204</v>
      </c>
      <c r="D802" t="s">
        <v>678</v>
      </c>
      <c r="E802" t="s">
        <v>698</v>
      </c>
      <c r="F802">
        <v>16</v>
      </c>
      <c r="G802">
        <v>22.014766666666699</v>
      </c>
    </row>
    <row r="803" spans="1:7" x14ac:dyDescent="0.35">
      <c r="A803" t="s">
        <v>847</v>
      </c>
      <c r="B803" t="s">
        <v>676</v>
      </c>
      <c r="C803" s="83">
        <v>46204</v>
      </c>
      <c r="D803" t="s">
        <v>678</v>
      </c>
      <c r="E803" t="s">
        <v>702</v>
      </c>
      <c r="F803">
        <v>11</v>
      </c>
      <c r="G803">
        <v>3.3343833333333301</v>
      </c>
    </row>
    <row r="804" spans="1:7" x14ac:dyDescent="0.35">
      <c r="A804" t="s">
        <v>847</v>
      </c>
      <c r="B804" t="s">
        <v>676</v>
      </c>
      <c r="C804" s="83">
        <v>46204</v>
      </c>
      <c r="D804" t="s">
        <v>679</v>
      </c>
      <c r="E804" t="s">
        <v>700</v>
      </c>
      <c r="F804">
        <v>22</v>
      </c>
      <c r="G804">
        <v>24.6786833333333</v>
      </c>
    </row>
    <row r="805" spans="1:7" x14ac:dyDescent="0.35">
      <c r="A805" t="s">
        <v>847</v>
      </c>
      <c r="B805" t="s">
        <v>676</v>
      </c>
      <c r="C805" s="83">
        <v>46204</v>
      </c>
      <c r="D805" t="s">
        <v>679</v>
      </c>
      <c r="E805" t="s">
        <v>702</v>
      </c>
      <c r="F805">
        <v>14</v>
      </c>
      <c r="G805">
        <v>12.0062333333333</v>
      </c>
    </row>
    <row r="806" spans="1:7" x14ac:dyDescent="0.35">
      <c r="A806" t="s">
        <v>847</v>
      </c>
      <c r="B806" t="s">
        <v>676</v>
      </c>
      <c r="C806" s="83">
        <v>46204</v>
      </c>
      <c r="D806" t="s">
        <v>679</v>
      </c>
      <c r="E806" t="s">
        <v>697</v>
      </c>
      <c r="F806">
        <v>5</v>
      </c>
      <c r="G806">
        <v>4.1712666666666696</v>
      </c>
    </row>
    <row r="807" spans="1:7" x14ac:dyDescent="0.35">
      <c r="A807" t="s">
        <v>847</v>
      </c>
      <c r="B807" t="s">
        <v>676</v>
      </c>
      <c r="C807" s="83">
        <v>46205</v>
      </c>
      <c r="D807" t="s">
        <v>678</v>
      </c>
      <c r="E807" t="s">
        <v>700</v>
      </c>
      <c r="F807">
        <v>22</v>
      </c>
      <c r="G807">
        <v>22.181316666666699</v>
      </c>
    </row>
    <row r="808" spans="1:7" x14ac:dyDescent="0.35">
      <c r="A808" t="s">
        <v>847</v>
      </c>
      <c r="B808" t="s">
        <v>676</v>
      </c>
      <c r="C808" s="83">
        <v>46205</v>
      </c>
      <c r="D808" t="s">
        <v>678</v>
      </c>
      <c r="E808" t="s">
        <v>702</v>
      </c>
      <c r="F808">
        <v>12</v>
      </c>
      <c r="G808">
        <v>5.5069499999999998</v>
      </c>
    </row>
    <row r="809" spans="1:7" x14ac:dyDescent="0.35">
      <c r="A809" t="s">
        <v>847</v>
      </c>
      <c r="B809" t="s">
        <v>676</v>
      </c>
      <c r="C809" s="83">
        <v>46205</v>
      </c>
      <c r="D809" t="s">
        <v>678</v>
      </c>
      <c r="E809" t="s">
        <v>697</v>
      </c>
      <c r="F809">
        <v>8</v>
      </c>
      <c r="G809">
        <v>6.6719833333333298</v>
      </c>
    </row>
    <row r="810" spans="1:7" x14ac:dyDescent="0.35">
      <c r="A810" t="s">
        <v>847</v>
      </c>
      <c r="B810" t="s">
        <v>676</v>
      </c>
      <c r="C810" s="83">
        <v>46205</v>
      </c>
      <c r="D810" t="s">
        <v>679</v>
      </c>
      <c r="E810" t="s">
        <v>700</v>
      </c>
      <c r="F810">
        <v>20</v>
      </c>
      <c r="G810">
        <v>20.996033333333301</v>
      </c>
    </row>
    <row r="811" spans="1:7" x14ac:dyDescent="0.35">
      <c r="A811" t="s">
        <v>847</v>
      </c>
      <c r="B811" t="s">
        <v>676</v>
      </c>
      <c r="C811" s="83">
        <v>46205</v>
      </c>
      <c r="D811" t="s">
        <v>679</v>
      </c>
      <c r="E811" t="s">
        <v>702</v>
      </c>
      <c r="F811">
        <v>19</v>
      </c>
      <c r="G811">
        <v>11.011466666666699</v>
      </c>
    </row>
    <row r="812" spans="1:7" x14ac:dyDescent="0.35">
      <c r="A812" t="s">
        <v>847</v>
      </c>
      <c r="B812" t="s">
        <v>676</v>
      </c>
      <c r="C812" s="83">
        <v>46205</v>
      </c>
      <c r="D812" t="s">
        <v>679</v>
      </c>
      <c r="E812" t="s">
        <v>699</v>
      </c>
      <c r="F812">
        <v>4</v>
      </c>
      <c r="G812">
        <v>3.32925</v>
      </c>
    </row>
    <row r="813" spans="1:7" x14ac:dyDescent="0.35">
      <c r="A813" t="s">
        <v>847</v>
      </c>
      <c r="B813" t="s">
        <v>676</v>
      </c>
      <c r="C813" s="83">
        <v>46206</v>
      </c>
      <c r="D813" t="s">
        <v>678</v>
      </c>
      <c r="E813" t="s">
        <v>700</v>
      </c>
      <c r="F813">
        <v>17</v>
      </c>
      <c r="G813">
        <v>16.182833333333299</v>
      </c>
    </row>
    <row r="814" spans="1:7" x14ac:dyDescent="0.35">
      <c r="A814" t="s">
        <v>847</v>
      </c>
      <c r="B814" t="s">
        <v>676</v>
      </c>
      <c r="C814" s="83">
        <v>46206</v>
      </c>
      <c r="D814" t="s">
        <v>678</v>
      </c>
      <c r="E814" t="s">
        <v>702</v>
      </c>
      <c r="F814">
        <v>12</v>
      </c>
      <c r="G814">
        <v>3.1763499999999998</v>
      </c>
    </row>
    <row r="815" spans="1:7" x14ac:dyDescent="0.35">
      <c r="A815" t="s">
        <v>847</v>
      </c>
      <c r="B815" t="s">
        <v>676</v>
      </c>
      <c r="C815" s="83">
        <v>46206</v>
      </c>
      <c r="D815" t="s">
        <v>678</v>
      </c>
      <c r="E815" t="s">
        <v>699</v>
      </c>
      <c r="F815">
        <v>3</v>
      </c>
      <c r="G815">
        <v>4.3303500000000001</v>
      </c>
    </row>
    <row r="816" spans="1:7" x14ac:dyDescent="0.35">
      <c r="A816" t="s">
        <v>847</v>
      </c>
      <c r="B816" t="s">
        <v>676</v>
      </c>
      <c r="C816" s="83">
        <v>46206</v>
      </c>
      <c r="D816" t="s">
        <v>679</v>
      </c>
      <c r="E816" t="s">
        <v>700</v>
      </c>
      <c r="F816">
        <v>16</v>
      </c>
      <c r="G816">
        <v>14.3614</v>
      </c>
    </row>
    <row r="817" spans="1:7" x14ac:dyDescent="0.35">
      <c r="A817" t="s">
        <v>847</v>
      </c>
      <c r="B817" t="s">
        <v>676</v>
      </c>
      <c r="C817" s="83">
        <v>46206</v>
      </c>
      <c r="D817" t="s">
        <v>679</v>
      </c>
      <c r="E817" t="s">
        <v>702</v>
      </c>
      <c r="F817">
        <v>16</v>
      </c>
      <c r="G817">
        <v>51.521383333333297</v>
      </c>
    </row>
    <row r="818" spans="1:7" x14ac:dyDescent="0.35">
      <c r="A818" t="s">
        <v>847</v>
      </c>
      <c r="B818" t="s">
        <v>676</v>
      </c>
      <c r="C818" s="83">
        <v>46206</v>
      </c>
      <c r="D818" t="s">
        <v>679</v>
      </c>
      <c r="E818" t="s">
        <v>698</v>
      </c>
      <c r="F818">
        <v>9</v>
      </c>
      <c r="G818">
        <v>4.3552833333333298</v>
      </c>
    </row>
    <row r="819" spans="1:7" x14ac:dyDescent="0.35">
      <c r="A819" t="s">
        <v>847</v>
      </c>
      <c r="B819" t="s">
        <v>676</v>
      </c>
      <c r="C819" s="83">
        <v>46207</v>
      </c>
      <c r="D819" t="s">
        <v>678</v>
      </c>
      <c r="E819" t="s">
        <v>700</v>
      </c>
      <c r="F819">
        <v>26</v>
      </c>
      <c r="G819">
        <v>23.3495666666667</v>
      </c>
    </row>
    <row r="820" spans="1:7" x14ac:dyDescent="0.35">
      <c r="A820" t="s">
        <v>847</v>
      </c>
      <c r="B820" t="s">
        <v>676</v>
      </c>
      <c r="C820" s="83">
        <v>46207</v>
      </c>
      <c r="D820" t="s">
        <v>678</v>
      </c>
      <c r="E820" t="s">
        <v>702</v>
      </c>
      <c r="F820">
        <v>16</v>
      </c>
      <c r="G820">
        <v>7.2349833333333304</v>
      </c>
    </row>
    <row r="821" spans="1:7" x14ac:dyDescent="0.35">
      <c r="A821" t="s">
        <v>847</v>
      </c>
      <c r="B821" t="s">
        <v>676</v>
      </c>
      <c r="C821" s="83">
        <v>46207</v>
      </c>
      <c r="D821" t="s">
        <v>678</v>
      </c>
      <c r="E821" t="s">
        <v>699</v>
      </c>
      <c r="F821">
        <v>2</v>
      </c>
      <c r="G821">
        <v>0.499033333333333</v>
      </c>
    </row>
    <row r="822" spans="1:7" x14ac:dyDescent="0.35">
      <c r="A822" t="s">
        <v>847</v>
      </c>
      <c r="B822" t="s">
        <v>676</v>
      </c>
      <c r="C822" s="83">
        <v>46207</v>
      </c>
      <c r="D822" t="s">
        <v>679</v>
      </c>
      <c r="E822" t="s">
        <v>700</v>
      </c>
      <c r="F822">
        <v>23</v>
      </c>
      <c r="G822">
        <v>19.333749999999998</v>
      </c>
    </row>
    <row r="823" spans="1:7" x14ac:dyDescent="0.35">
      <c r="A823" t="s">
        <v>847</v>
      </c>
      <c r="B823" t="s">
        <v>676</v>
      </c>
      <c r="C823" s="83">
        <v>46207</v>
      </c>
      <c r="D823" t="s">
        <v>679</v>
      </c>
      <c r="E823" t="s">
        <v>702</v>
      </c>
      <c r="F823">
        <v>20</v>
      </c>
      <c r="G823">
        <v>7.54111666666667</v>
      </c>
    </row>
    <row r="824" spans="1:7" x14ac:dyDescent="0.35">
      <c r="A824" t="s">
        <v>847</v>
      </c>
      <c r="B824" t="s">
        <v>676</v>
      </c>
      <c r="C824" s="83">
        <v>46207</v>
      </c>
      <c r="D824" t="s">
        <v>679</v>
      </c>
      <c r="E824" t="s">
        <v>698</v>
      </c>
      <c r="F824">
        <v>9</v>
      </c>
      <c r="G824">
        <v>5.9993999999999996</v>
      </c>
    </row>
    <row r="825" spans="1:7" x14ac:dyDescent="0.35">
      <c r="A825" t="s">
        <v>847</v>
      </c>
      <c r="B825" t="s">
        <v>676</v>
      </c>
      <c r="C825" s="83">
        <v>46208</v>
      </c>
      <c r="D825" t="s">
        <v>678</v>
      </c>
      <c r="E825" t="s">
        <v>700</v>
      </c>
      <c r="F825">
        <v>25</v>
      </c>
      <c r="G825">
        <v>25.668600000000001</v>
      </c>
    </row>
    <row r="826" spans="1:7" x14ac:dyDescent="0.35">
      <c r="A826" t="s">
        <v>847</v>
      </c>
      <c r="B826" t="s">
        <v>676</v>
      </c>
      <c r="C826" s="83">
        <v>46208</v>
      </c>
      <c r="D826" t="s">
        <v>678</v>
      </c>
      <c r="E826" t="s">
        <v>702</v>
      </c>
      <c r="F826">
        <v>23</v>
      </c>
      <c r="G826">
        <v>8.8279166666666704</v>
      </c>
    </row>
    <row r="827" spans="1:7" x14ac:dyDescent="0.35">
      <c r="A827" t="s">
        <v>847</v>
      </c>
      <c r="B827" t="s">
        <v>676</v>
      </c>
      <c r="C827" s="83">
        <v>46208</v>
      </c>
      <c r="D827" t="s">
        <v>678</v>
      </c>
      <c r="E827" t="s">
        <v>697</v>
      </c>
      <c r="F827">
        <v>7</v>
      </c>
      <c r="G827">
        <v>6.3609499999999999</v>
      </c>
    </row>
    <row r="828" spans="1:7" x14ac:dyDescent="0.35">
      <c r="A828" t="s">
        <v>847</v>
      </c>
      <c r="B828" t="s">
        <v>676</v>
      </c>
      <c r="C828" s="83">
        <v>46208</v>
      </c>
      <c r="D828" t="s">
        <v>679</v>
      </c>
      <c r="E828" t="s">
        <v>698</v>
      </c>
      <c r="F828">
        <v>22</v>
      </c>
      <c r="G828">
        <v>35.341999999999999</v>
      </c>
    </row>
    <row r="829" spans="1:7" x14ac:dyDescent="0.35">
      <c r="A829" t="s">
        <v>847</v>
      </c>
      <c r="B829" t="s">
        <v>676</v>
      </c>
      <c r="C829" s="83">
        <v>46208</v>
      </c>
      <c r="D829" t="s">
        <v>679</v>
      </c>
      <c r="E829" t="s">
        <v>702</v>
      </c>
      <c r="F829">
        <v>16</v>
      </c>
      <c r="G829">
        <v>8.6661333333333292</v>
      </c>
    </row>
    <row r="830" spans="1:7" x14ac:dyDescent="0.35">
      <c r="A830" t="s">
        <v>847</v>
      </c>
      <c r="B830" t="s">
        <v>676</v>
      </c>
      <c r="C830" s="83">
        <v>46208</v>
      </c>
      <c r="D830" t="s">
        <v>679</v>
      </c>
      <c r="E830" t="s">
        <v>700</v>
      </c>
      <c r="F830">
        <v>16</v>
      </c>
      <c r="G830">
        <v>15.735516666666699</v>
      </c>
    </row>
    <row r="831" spans="1:7" x14ac:dyDescent="0.35">
      <c r="A831" t="s">
        <v>847</v>
      </c>
      <c r="B831" t="s">
        <v>676</v>
      </c>
      <c r="C831" s="83">
        <v>46209</v>
      </c>
      <c r="D831" t="s">
        <v>678</v>
      </c>
      <c r="E831" t="s">
        <v>700</v>
      </c>
      <c r="F831">
        <v>20</v>
      </c>
      <c r="G831">
        <v>15.66595</v>
      </c>
    </row>
    <row r="832" spans="1:7" x14ac:dyDescent="0.35">
      <c r="A832" t="s">
        <v>847</v>
      </c>
      <c r="B832" t="s">
        <v>676</v>
      </c>
      <c r="C832" s="83">
        <v>46209</v>
      </c>
      <c r="D832" t="s">
        <v>678</v>
      </c>
      <c r="E832" t="s">
        <v>702</v>
      </c>
      <c r="F832">
        <v>13</v>
      </c>
      <c r="G832">
        <v>4.3301166666666697</v>
      </c>
    </row>
    <row r="833" spans="1:7" x14ac:dyDescent="0.35">
      <c r="A833" t="s">
        <v>847</v>
      </c>
      <c r="B833" t="s">
        <v>676</v>
      </c>
      <c r="C833" s="83">
        <v>46209</v>
      </c>
      <c r="D833" t="s">
        <v>678</v>
      </c>
      <c r="E833" t="s">
        <v>699</v>
      </c>
      <c r="F833">
        <v>5</v>
      </c>
      <c r="G833">
        <v>3.8374000000000001</v>
      </c>
    </row>
    <row r="834" spans="1:7" x14ac:dyDescent="0.35">
      <c r="A834" t="s">
        <v>847</v>
      </c>
      <c r="B834" t="s">
        <v>676</v>
      </c>
      <c r="C834" s="83">
        <v>46209</v>
      </c>
      <c r="D834" t="s">
        <v>679</v>
      </c>
      <c r="E834" t="s">
        <v>700</v>
      </c>
      <c r="F834">
        <v>17</v>
      </c>
      <c r="G834">
        <v>94.840133333333299</v>
      </c>
    </row>
    <row r="835" spans="1:7" x14ac:dyDescent="0.35">
      <c r="A835" t="s">
        <v>847</v>
      </c>
      <c r="B835" t="s">
        <v>676</v>
      </c>
      <c r="C835" s="83">
        <v>46209</v>
      </c>
      <c r="D835" t="s">
        <v>679</v>
      </c>
      <c r="E835" t="s">
        <v>702</v>
      </c>
      <c r="F835">
        <v>11</v>
      </c>
      <c r="G835">
        <v>4.4923833333333301</v>
      </c>
    </row>
    <row r="836" spans="1:7" x14ac:dyDescent="0.35">
      <c r="A836" t="s">
        <v>847</v>
      </c>
      <c r="B836" t="s">
        <v>676</v>
      </c>
      <c r="C836" s="83">
        <v>46209</v>
      </c>
      <c r="D836" t="s">
        <v>679</v>
      </c>
      <c r="E836" t="s">
        <v>697</v>
      </c>
      <c r="F836">
        <v>10</v>
      </c>
      <c r="G836">
        <v>8.1771999999999991</v>
      </c>
    </row>
    <row r="837" spans="1:7" x14ac:dyDescent="0.35">
      <c r="A837" t="s">
        <v>847</v>
      </c>
      <c r="B837" t="s">
        <v>676</v>
      </c>
      <c r="C837" s="83">
        <v>46210</v>
      </c>
      <c r="D837" t="s">
        <v>678</v>
      </c>
      <c r="E837" t="s">
        <v>700</v>
      </c>
      <c r="F837">
        <v>28</v>
      </c>
      <c r="G837">
        <v>22.164300000000001</v>
      </c>
    </row>
    <row r="838" spans="1:7" x14ac:dyDescent="0.35">
      <c r="A838" t="s">
        <v>847</v>
      </c>
      <c r="B838" t="s">
        <v>676</v>
      </c>
      <c r="C838" s="83">
        <v>46210</v>
      </c>
      <c r="D838" t="s">
        <v>678</v>
      </c>
      <c r="E838" t="s">
        <v>702</v>
      </c>
      <c r="F838">
        <v>13</v>
      </c>
      <c r="G838">
        <v>3.4905166666666698</v>
      </c>
    </row>
    <row r="839" spans="1:7" x14ac:dyDescent="0.35">
      <c r="A839" t="s">
        <v>847</v>
      </c>
      <c r="B839" t="s">
        <v>676</v>
      </c>
      <c r="C839" s="83">
        <v>46210</v>
      </c>
      <c r="D839" t="s">
        <v>678</v>
      </c>
      <c r="E839" t="s">
        <v>711</v>
      </c>
      <c r="F839">
        <v>2</v>
      </c>
      <c r="G839">
        <v>0.33884999999999998</v>
      </c>
    </row>
    <row r="840" spans="1:7" x14ac:dyDescent="0.35">
      <c r="A840" t="s">
        <v>847</v>
      </c>
      <c r="B840" t="s">
        <v>676</v>
      </c>
      <c r="C840" s="83">
        <v>46210</v>
      </c>
      <c r="D840" t="s">
        <v>679</v>
      </c>
      <c r="E840" t="s">
        <v>700</v>
      </c>
      <c r="F840">
        <v>15</v>
      </c>
      <c r="G840">
        <v>11.977866666666699</v>
      </c>
    </row>
    <row r="841" spans="1:7" x14ac:dyDescent="0.35">
      <c r="A841" t="s">
        <v>847</v>
      </c>
      <c r="B841" t="s">
        <v>676</v>
      </c>
      <c r="C841" s="83">
        <v>46210</v>
      </c>
      <c r="D841" t="s">
        <v>679</v>
      </c>
      <c r="E841" t="s">
        <v>702</v>
      </c>
      <c r="F841">
        <v>11</v>
      </c>
      <c r="G841">
        <v>8.3156999999999996</v>
      </c>
    </row>
    <row r="842" spans="1:7" x14ac:dyDescent="0.35">
      <c r="A842" t="s">
        <v>847</v>
      </c>
      <c r="B842" t="s">
        <v>676</v>
      </c>
      <c r="C842" s="83">
        <v>46210</v>
      </c>
      <c r="D842" t="s">
        <v>679</v>
      </c>
      <c r="E842" t="s">
        <v>697</v>
      </c>
      <c r="F842">
        <v>10</v>
      </c>
      <c r="G842">
        <v>6.1686333333333296</v>
      </c>
    </row>
    <row r="843" spans="1:7" x14ac:dyDescent="0.35">
      <c r="A843" t="s">
        <v>847</v>
      </c>
      <c r="B843" t="s">
        <v>676</v>
      </c>
      <c r="C843" s="83">
        <v>46211</v>
      </c>
      <c r="D843" t="s">
        <v>678</v>
      </c>
      <c r="E843" t="s">
        <v>700</v>
      </c>
      <c r="F843">
        <v>26</v>
      </c>
      <c r="G843">
        <v>24.831883333333302</v>
      </c>
    </row>
    <row r="844" spans="1:7" x14ac:dyDescent="0.35">
      <c r="A844" t="s">
        <v>847</v>
      </c>
      <c r="B844" t="s">
        <v>676</v>
      </c>
      <c r="C844" s="83">
        <v>46211</v>
      </c>
      <c r="D844" t="s">
        <v>678</v>
      </c>
      <c r="E844" t="s">
        <v>702</v>
      </c>
      <c r="F844">
        <v>12</v>
      </c>
      <c r="G844">
        <v>2.50705</v>
      </c>
    </row>
    <row r="845" spans="1:7" x14ac:dyDescent="0.35">
      <c r="A845" t="s">
        <v>847</v>
      </c>
      <c r="B845" t="s">
        <v>676</v>
      </c>
      <c r="C845" s="83">
        <v>46211</v>
      </c>
      <c r="D845" t="s">
        <v>678</v>
      </c>
      <c r="E845" t="s">
        <v>699</v>
      </c>
      <c r="F845">
        <v>7</v>
      </c>
      <c r="G845">
        <v>11.83825</v>
      </c>
    </row>
    <row r="846" spans="1:7" x14ac:dyDescent="0.35">
      <c r="A846" t="s">
        <v>847</v>
      </c>
      <c r="B846" t="s">
        <v>676</v>
      </c>
      <c r="C846" s="83">
        <v>46211</v>
      </c>
      <c r="D846" t="s">
        <v>679</v>
      </c>
      <c r="E846" t="s">
        <v>700</v>
      </c>
      <c r="F846">
        <v>19</v>
      </c>
      <c r="G846">
        <v>16.1755666666667</v>
      </c>
    </row>
    <row r="847" spans="1:7" x14ac:dyDescent="0.35">
      <c r="A847" t="s">
        <v>847</v>
      </c>
      <c r="B847" t="s">
        <v>676</v>
      </c>
      <c r="C847" s="83">
        <v>46211</v>
      </c>
      <c r="D847" t="s">
        <v>679</v>
      </c>
      <c r="E847" t="s">
        <v>702</v>
      </c>
      <c r="F847">
        <v>16</v>
      </c>
      <c r="G847">
        <v>9.50721666666667</v>
      </c>
    </row>
    <row r="848" spans="1:7" x14ac:dyDescent="0.35">
      <c r="A848" t="s">
        <v>847</v>
      </c>
      <c r="B848" t="s">
        <v>676</v>
      </c>
      <c r="C848" s="83">
        <v>46211</v>
      </c>
      <c r="D848" t="s">
        <v>679</v>
      </c>
      <c r="E848" t="s">
        <v>698</v>
      </c>
      <c r="F848">
        <v>8</v>
      </c>
      <c r="G848">
        <v>1.4995333333333301</v>
      </c>
    </row>
    <row r="849" spans="1:7" x14ac:dyDescent="0.35">
      <c r="A849" t="s">
        <v>847</v>
      </c>
      <c r="B849" t="s">
        <v>676</v>
      </c>
      <c r="C849" s="83">
        <v>46212</v>
      </c>
      <c r="D849" t="s">
        <v>678</v>
      </c>
      <c r="E849" t="s">
        <v>700</v>
      </c>
      <c r="F849">
        <v>28</v>
      </c>
      <c r="G849">
        <v>29.176549999999999</v>
      </c>
    </row>
    <row r="850" spans="1:7" x14ac:dyDescent="0.35">
      <c r="A850" t="s">
        <v>847</v>
      </c>
      <c r="B850" t="s">
        <v>676</v>
      </c>
      <c r="C850" s="83">
        <v>46212</v>
      </c>
      <c r="D850" t="s">
        <v>678</v>
      </c>
      <c r="E850" t="s">
        <v>702</v>
      </c>
      <c r="F850">
        <v>20</v>
      </c>
      <c r="G850">
        <v>10.1563833333333</v>
      </c>
    </row>
    <row r="851" spans="1:7" x14ac:dyDescent="0.35">
      <c r="A851" t="s">
        <v>847</v>
      </c>
      <c r="B851" t="s">
        <v>676</v>
      </c>
      <c r="C851" s="83">
        <v>46212</v>
      </c>
      <c r="D851" t="s">
        <v>678</v>
      </c>
      <c r="E851" t="s">
        <v>705</v>
      </c>
      <c r="F851">
        <v>5</v>
      </c>
      <c r="G851">
        <v>2.5061</v>
      </c>
    </row>
    <row r="852" spans="1:7" x14ac:dyDescent="0.35">
      <c r="A852" t="s">
        <v>847</v>
      </c>
      <c r="B852" t="s">
        <v>676</v>
      </c>
      <c r="C852" s="83">
        <v>46212</v>
      </c>
      <c r="D852" t="s">
        <v>679</v>
      </c>
      <c r="E852" t="s">
        <v>700</v>
      </c>
      <c r="F852">
        <v>27</v>
      </c>
      <c r="G852">
        <v>35.534950000000002</v>
      </c>
    </row>
    <row r="853" spans="1:7" x14ac:dyDescent="0.35">
      <c r="A853" t="s">
        <v>847</v>
      </c>
      <c r="B853" t="s">
        <v>676</v>
      </c>
      <c r="C853" s="83">
        <v>46212</v>
      </c>
      <c r="D853" t="s">
        <v>679</v>
      </c>
      <c r="E853" t="s">
        <v>702</v>
      </c>
      <c r="F853">
        <v>19</v>
      </c>
      <c r="G853">
        <v>18.0003833333333</v>
      </c>
    </row>
    <row r="854" spans="1:7" x14ac:dyDescent="0.35">
      <c r="A854" t="s">
        <v>847</v>
      </c>
      <c r="B854" t="s">
        <v>676</v>
      </c>
      <c r="C854" s="83">
        <v>46212</v>
      </c>
      <c r="D854" t="s">
        <v>679</v>
      </c>
      <c r="E854" t="s">
        <v>698</v>
      </c>
      <c r="F854">
        <v>3</v>
      </c>
      <c r="G854">
        <v>0.17180000000000001</v>
      </c>
    </row>
    <row r="855" spans="1:7" x14ac:dyDescent="0.35">
      <c r="A855" t="s">
        <v>847</v>
      </c>
      <c r="B855" t="s">
        <v>676</v>
      </c>
      <c r="C855" s="83">
        <v>46213</v>
      </c>
      <c r="D855" t="s">
        <v>678</v>
      </c>
      <c r="E855" t="s">
        <v>700</v>
      </c>
      <c r="F855">
        <v>26</v>
      </c>
      <c r="G855">
        <v>23.860683333333299</v>
      </c>
    </row>
    <row r="856" spans="1:7" x14ac:dyDescent="0.35">
      <c r="A856" t="s">
        <v>847</v>
      </c>
      <c r="B856" t="s">
        <v>676</v>
      </c>
      <c r="C856" s="83">
        <v>46213</v>
      </c>
      <c r="D856" t="s">
        <v>678</v>
      </c>
      <c r="E856" t="s">
        <v>697</v>
      </c>
      <c r="F856">
        <v>6</v>
      </c>
      <c r="G856">
        <v>2.83503333333333</v>
      </c>
    </row>
    <row r="857" spans="1:7" x14ac:dyDescent="0.35">
      <c r="A857" t="s">
        <v>847</v>
      </c>
      <c r="B857" t="s">
        <v>676</v>
      </c>
      <c r="C857" s="83">
        <v>46213</v>
      </c>
      <c r="D857" t="s">
        <v>678</v>
      </c>
      <c r="E857" t="s">
        <v>702</v>
      </c>
      <c r="F857">
        <v>6</v>
      </c>
      <c r="G857">
        <v>2.3285999999999998</v>
      </c>
    </row>
    <row r="858" spans="1:7" x14ac:dyDescent="0.35">
      <c r="A858" t="s">
        <v>847</v>
      </c>
      <c r="B858" t="s">
        <v>676</v>
      </c>
      <c r="C858" s="83">
        <v>46213</v>
      </c>
      <c r="D858" t="s">
        <v>679</v>
      </c>
      <c r="E858" t="s">
        <v>700</v>
      </c>
      <c r="F858">
        <v>27</v>
      </c>
      <c r="G858">
        <v>24.852233333333299</v>
      </c>
    </row>
    <row r="859" spans="1:7" x14ac:dyDescent="0.35">
      <c r="A859" t="s">
        <v>847</v>
      </c>
      <c r="B859" t="s">
        <v>676</v>
      </c>
      <c r="C859" s="83">
        <v>46213</v>
      </c>
      <c r="D859" t="s">
        <v>679</v>
      </c>
      <c r="E859" t="s">
        <v>702</v>
      </c>
      <c r="F859">
        <v>12</v>
      </c>
      <c r="G859">
        <v>5.0151333333333303</v>
      </c>
    </row>
    <row r="860" spans="1:7" x14ac:dyDescent="0.35">
      <c r="A860" t="s">
        <v>847</v>
      </c>
      <c r="B860" t="s">
        <v>676</v>
      </c>
      <c r="C860" s="83">
        <v>46213</v>
      </c>
      <c r="D860" t="s">
        <v>679</v>
      </c>
      <c r="E860" t="s">
        <v>698</v>
      </c>
      <c r="F860">
        <v>5</v>
      </c>
      <c r="G860">
        <v>4.3333833333333303</v>
      </c>
    </row>
    <row r="861" spans="1:7" x14ac:dyDescent="0.35">
      <c r="A861" t="s">
        <v>847</v>
      </c>
      <c r="B861" t="s">
        <v>676</v>
      </c>
      <c r="C861" s="83">
        <v>46214</v>
      </c>
      <c r="D861" t="s">
        <v>678</v>
      </c>
      <c r="E861" t="s">
        <v>697</v>
      </c>
      <c r="F861">
        <v>32</v>
      </c>
      <c r="G861">
        <v>21.847283333333301</v>
      </c>
    </row>
    <row r="862" spans="1:7" x14ac:dyDescent="0.35">
      <c r="A862" t="s">
        <v>847</v>
      </c>
      <c r="B862" t="s">
        <v>676</v>
      </c>
      <c r="C862" s="83">
        <v>46214</v>
      </c>
      <c r="D862" t="s">
        <v>678</v>
      </c>
      <c r="E862" t="s">
        <v>699</v>
      </c>
      <c r="F862">
        <v>10</v>
      </c>
      <c r="G862">
        <v>21.503866666666699</v>
      </c>
    </row>
    <row r="863" spans="1:7" x14ac:dyDescent="0.35">
      <c r="A863" t="s">
        <v>847</v>
      </c>
      <c r="B863" t="s">
        <v>676</v>
      </c>
      <c r="C863" s="83">
        <v>46214</v>
      </c>
      <c r="D863" t="s">
        <v>678</v>
      </c>
      <c r="E863" t="s">
        <v>709</v>
      </c>
      <c r="F863">
        <v>6</v>
      </c>
      <c r="G863">
        <v>1.5005666666666699</v>
      </c>
    </row>
    <row r="864" spans="1:7" x14ac:dyDescent="0.35">
      <c r="A864" t="s">
        <v>847</v>
      </c>
      <c r="B864" t="s">
        <v>676</v>
      </c>
      <c r="C864" s="83">
        <v>46214</v>
      </c>
      <c r="D864" t="s">
        <v>679</v>
      </c>
      <c r="E864" t="s">
        <v>699</v>
      </c>
      <c r="F864">
        <v>10</v>
      </c>
      <c r="G864">
        <v>463.95963333333299</v>
      </c>
    </row>
    <row r="865" spans="1:7" x14ac:dyDescent="0.35">
      <c r="A865" t="s">
        <v>847</v>
      </c>
      <c r="B865" t="s">
        <v>676</v>
      </c>
      <c r="C865" s="83">
        <v>46214</v>
      </c>
      <c r="D865" t="s">
        <v>679</v>
      </c>
      <c r="E865" t="s">
        <v>702</v>
      </c>
      <c r="F865">
        <v>10</v>
      </c>
      <c r="G865">
        <v>11.6589833333333</v>
      </c>
    </row>
    <row r="866" spans="1:7" x14ac:dyDescent="0.35">
      <c r="A866" t="s">
        <v>847</v>
      </c>
      <c r="B866" t="s">
        <v>676</v>
      </c>
      <c r="C866" s="83">
        <v>46214</v>
      </c>
      <c r="D866" t="s">
        <v>679</v>
      </c>
      <c r="E866" t="s">
        <v>698</v>
      </c>
      <c r="F866">
        <v>8</v>
      </c>
      <c r="G866">
        <v>57.024050000000003</v>
      </c>
    </row>
    <row r="867" spans="1:7" x14ac:dyDescent="0.35">
      <c r="A867" t="s">
        <v>847</v>
      </c>
      <c r="B867" t="s">
        <v>676</v>
      </c>
      <c r="C867" s="83">
        <v>46215</v>
      </c>
      <c r="D867" t="s">
        <v>678</v>
      </c>
      <c r="E867" t="s">
        <v>697</v>
      </c>
      <c r="F867">
        <v>47</v>
      </c>
      <c r="G867">
        <v>30.3611166666667</v>
      </c>
    </row>
    <row r="868" spans="1:7" x14ac:dyDescent="0.35">
      <c r="A868" t="s">
        <v>847</v>
      </c>
      <c r="B868" t="s">
        <v>676</v>
      </c>
      <c r="C868" s="83">
        <v>46215</v>
      </c>
      <c r="D868" t="s">
        <v>678</v>
      </c>
      <c r="E868" t="s">
        <v>700</v>
      </c>
      <c r="F868">
        <v>12</v>
      </c>
      <c r="G868">
        <v>15.32835</v>
      </c>
    </row>
    <row r="869" spans="1:7" x14ac:dyDescent="0.35">
      <c r="A869" t="s">
        <v>847</v>
      </c>
      <c r="B869" t="s">
        <v>676</v>
      </c>
      <c r="C869" s="83">
        <v>46215</v>
      </c>
      <c r="D869" t="s">
        <v>678</v>
      </c>
      <c r="E869" t="s">
        <v>705</v>
      </c>
      <c r="F869">
        <v>11</v>
      </c>
      <c r="G869">
        <v>10.159516666666701</v>
      </c>
    </row>
    <row r="870" spans="1:7" x14ac:dyDescent="0.35">
      <c r="A870" t="s">
        <v>847</v>
      </c>
      <c r="B870" t="s">
        <v>676</v>
      </c>
      <c r="C870" s="83">
        <v>46215</v>
      </c>
      <c r="D870" t="s">
        <v>679</v>
      </c>
      <c r="E870" t="s">
        <v>704</v>
      </c>
      <c r="F870">
        <v>106</v>
      </c>
      <c r="G870">
        <v>117.0329</v>
      </c>
    </row>
    <row r="871" spans="1:7" x14ac:dyDescent="0.35">
      <c r="A871" t="s">
        <v>847</v>
      </c>
      <c r="B871" t="s">
        <v>676</v>
      </c>
      <c r="C871" s="83">
        <v>46215</v>
      </c>
      <c r="D871" t="s">
        <v>679</v>
      </c>
      <c r="E871" t="s">
        <v>705</v>
      </c>
      <c r="F871">
        <v>15</v>
      </c>
      <c r="G871">
        <v>51.666283333333297</v>
      </c>
    </row>
    <row r="872" spans="1:7" x14ac:dyDescent="0.35">
      <c r="A872" t="s">
        <v>847</v>
      </c>
      <c r="B872" t="s">
        <v>676</v>
      </c>
      <c r="C872" s="83">
        <v>46215</v>
      </c>
      <c r="D872" t="s">
        <v>679</v>
      </c>
      <c r="E872" t="s">
        <v>697</v>
      </c>
      <c r="F872">
        <v>12</v>
      </c>
      <c r="G872">
        <v>10.348316666666699</v>
      </c>
    </row>
    <row r="873" spans="1:7" x14ac:dyDescent="0.35">
      <c r="A873" t="s">
        <v>847</v>
      </c>
      <c r="B873" t="s">
        <v>676</v>
      </c>
      <c r="C873" s="83">
        <v>46216</v>
      </c>
      <c r="D873" t="s">
        <v>678</v>
      </c>
      <c r="E873" t="s">
        <v>697</v>
      </c>
      <c r="F873">
        <v>59</v>
      </c>
      <c r="G873">
        <v>42.498750000000001</v>
      </c>
    </row>
    <row r="874" spans="1:7" x14ac:dyDescent="0.35">
      <c r="A874" t="s">
        <v>847</v>
      </c>
      <c r="B874" t="s">
        <v>676</v>
      </c>
      <c r="C874" s="83">
        <v>46216</v>
      </c>
      <c r="D874" t="s">
        <v>678</v>
      </c>
      <c r="E874" t="s">
        <v>700</v>
      </c>
      <c r="F874">
        <v>14</v>
      </c>
      <c r="G874">
        <v>15.837666666666699</v>
      </c>
    </row>
    <row r="875" spans="1:7" x14ac:dyDescent="0.35">
      <c r="A875" t="s">
        <v>847</v>
      </c>
      <c r="B875" t="s">
        <v>676</v>
      </c>
      <c r="C875" s="83">
        <v>46216</v>
      </c>
      <c r="D875" t="s">
        <v>678</v>
      </c>
      <c r="E875" t="s">
        <v>702</v>
      </c>
      <c r="F875">
        <v>7</v>
      </c>
      <c r="G875">
        <v>4.1649000000000003</v>
      </c>
    </row>
    <row r="876" spans="1:7" x14ac:dyDescent="0.35">
      <c r="A876" t="s">
        <v>847</v>
      </c>
      <c r="B876" t="s">
        <v>676</v>
      </c>
      <c r="C876" s="83">
        <v>46216</v>
      </c>
      <c r="D876" t="s">
        <v>679</v>
      </c>
      <c r="E876" t="s">
        <v>704</v>
      </c>
      <c r="F876">
        <v>103</v>
      </c>
      <c r="G876">
        <v>88.1773666666667</v>
      </c>
    </row>
    <row r="877" spans="1:7" x14ac:dyDescent="0.35">
      <c r="A877" t="s">
        <v>847</v>
      </c>
      <c r="B877" t="s">
        <v>676</v>
      </c>
      <c r="C877" s="83">
        <v>46216</v>
      </c>
      <c r="D877" t="s">
        <v>679</v>
      </c>
      <c r="E877" t="s">
        <v>697</v>
      </c>
      <c r="F877">
        <v>16</v>
      </c>
      <c r="G877">
        <v>11.173766666666699</v>
      </c>
    </row>
    <row r="878" spans="1:7" x14ac:dyDescent="0.35">
      <c r="A878" t="s">
        <v>847</v>
      </c>
      <c r="B878" t="s">
        <v>676</v>
      </c>
      <c r="C878" s="83">
        <v>46216</v>
      </c>
      <c r="D878" t="s">
        <v>679</v>
      </c>
      <c r="E878" t="s">
        <v>705</v>
      </c>
      <c r="F878">
        <v>14</v>
      </c>
      <c r="G878">
        <v>12.6756833333333</v>
      </c>
    </row>
    <row r="879" spans="1:7" x14ac:dyDescent="0.35">
      <c r="A879" t="s">
        <v>847</v>
      </c>
      <c r="B879" t="s">
        <v>676</v>
      </c>
      <c r="C879" s="83">
        <v>46217</v>
      </c>
      <c r="D879" t="s">
        <v>678</v>
      </c>
      <c r="E879" t="s">
        <v>697</v>
      </c>
      <c r="F879">
        <v>30</v>
      </c>
      <c r="G879">
        <v>14.309749999999999</v>
      </c>
    </row>
    <row r="880" spans="1:7" x14ac:dyDescent="0.35">
      <c r="A880" t="s">
        <v>847</v>
      </c>
      <c r="B880" t="s">
        <v>676</v>
      </c>
      <c r="C880" s="83">
        <v>46217</v>
      </c>
      <c r="D880" t="s">
        <v>678</v>
      </c>
      <c r="E880" t="s">
        <v>700</v>
      </c>
      <c r="F880">
        <v>10</v>
      </c>
      <c r="G880">
        <v>8.6503833333333304</v>
      </c>
    </row>
    <row r="881" spans="1:7" x14ac:dyDescent="0.35">
      <c r="A881" t="s">
        <v>847</v>
      </c>
      <c r="B881" t="s">
        <v>676</v>
      </c>
      <c r="C881" s="83">
        <v>46217</v>
      </c>
      <c r="D881" t="s">
        <v>678</v>
      </c>
      <c r="E881" t="s">
        <v>702</v>
      </c>
      <c r="F881">
        <v>8</v>
      </c>
      <c r="G881">
        <v>2.9910333333333301</v>
      </c>
    </row>
    <row r="882" spans="1:7" x14ac:dyDescent="0.35">
      <c r="A882" t="s">
        <v>847</v>
      </c>
      <c r="B882" t="s">
        <v>676</v>
      </c>
      <c r="C882" s="83">
        <v>46217</v>
      </c>
      <c r="D882" t="s">
        <v>679</v>
      </c>
      <c r="E882" t="s">
        <v>704</v>
      </c>
      <c r="F882">
        <v>53</v>
      </c>
      <c r="G882">
        <v>43.356200000000001</v>
      </c>
    </row>
    <row r="883" spans="1:7" x14ac:dyDescent="0.35">
      <c r="A883" t="s">
        <v>847</v>
      </c>
      <c r="B883" t="s">
        <v>676</v>
      </c>
      <c r="C883" s="83">
        <v>46217</v>
      </c>
      <c r="D883" t="s">
        <v>679</v>
      </c>
      <c r="E883" t="s">
        <v>697</v>
      </c>
      <c r="F883">
        <v>32</v>
      </c>
      <c r="G883">
        <v>19.988233333333302</v>
      </c>
    </row>
    <row r="884" spans="1:7" x14ac:dyDescent="0.35">
      <c r="A884" t="s">
        <v>847</v>
      </c>
      <c r="B884" t="s">
        <v>676</v>
      </c>
      <c r="C884" s="83">
        <v>46217</v>
      </c>
      <c r="D884" t="s">
        <v>679</v>
      </c>
      <c r="E884" t="s">
        <v>700</v>
      </c>
      <c r="F884">
        <v>11</v>
      </c>
      <c r="G884">
        <v>8.6651666666666696</v>
      </c>
    </row>
    <row r="885" spans="1:7" x14ac:dyDescent="0.35">
      <c r="A885" t="s">
        <v>847</v>
      </c>
      <c r="B885" t="s">
        <v>676</v>
      </c>
      <c r="C885" s="83">
        <v>46218</v>
      </c>
      <c r="D885" t="s">
        <v>678</v>
      </c>
      <c r="E885" t="s">
        <v>700</v>
      </c>
      <c r="F885">
        <v>10</v>
      </c>
      <c r="G885">
        <v>11.6886833333333</v>
      </c>
    </row>
    <row r="886" spans="1:7" x14ac:dyDescent="0.35">
      <c r="A886" t="s">
        <v>847</v>
      </c>
      <c r="B886" t="s">
        <v>676</v>
      </c>
      <c r="C886" s="83">
        <v>46218</v>
      </c>
      <c r="D886" t="s">
        <v>678</v>
      </c>
      <c r="E886" t="s">
        <v>702</v>
      </c>
      <c r="F886">
        <v>9</v>
      </c>
      <c r="G886">
        <v>5.8326833333333301</v>
      </c>
    </row>
    <row r="887" spans="1:7" x14ac:dyDescent="0.35">
      <c r="A887" t="s">
        <v>847</v>
      </c>
      <c r="B887" t="s">
        <v>676</v>
      </c>
      <c r="C887" s="83">
        <v>46218</v>
      </c>
      <c r="D887" t="s">
        <v>678</v>
      </c>
      <c r="E887" t="s">
        <v>697</v>
      </c>
      <c r="F887">
        <v>7</v>
      </c>
      <c r="G887">
        <v>3.1624333333333299</v>
      </c>
    </row>
    <row r="888" spans="1:7" x14ac:dyDescent="0.35">
      <c r="A888" t="s">
        <v>847</v>
      </c>
      <c r="B888" t="s">
        <v>676</v>
      </c>
      <c r="C888" s="83">
        <v>46218</v>
      </c>
      <c r="D888" t="s">
        <v>679</v>
      </c>
      <c r="E888" t="s">
        <v>697</v>
      </c>
      <c r="F888">
        <v>28</v>
      </c>
      <c r="G888">
        <v>17.643350000000002</v>
      </c>
    </row>
    <row r="889" spans="1:7" x14ac:dyDescent="0.35">
      <c r="A889" t="s">
        <v>847</v>
      </c>
      <c r="B889" t="s">
        <v>676</v>
      </c>
      <c r="C889" s="83">
        <v>46218</v>
      </c>
      <c r="D889" t="s">
        <v>679</v>
      </c>
      <c r="E889" t="s">
        <v>704</v>
      </c>
      <c r="F889">
        <v>18</v>
      </c>
      <c r="G889">
        <v>8.6609333333333307</v>
      </c>
    </row>
    <row r="890" spans="1:7" x14ac:dyDescent="0.35">
      <c r="A890" t="s">
        <v>847</v>
      </c>
      <c r="B890" t="s">
        <v>676</v>
      </c>
      <c r="C890" s="83">
        <v>46218</v>
      </c>
      <c r="D890" t="s">
        <v>679</v>
      </c>
      <c r="E890" t="s">
        <v>700</v>
      </c>
      <c r="F890">
        <v>12</v>
      </c>
      <c r="G890">
        <v>11.0018166666667</v>
      </c>
    </row>
    <row r="891" spans="1:7" x14ac:dyDescent="0.35">
      <c r="A891" t="s">
        <v>847</v>
      </c>
      <c r="B891" t="s">
        <v>676</v>
      </c>
      <c r="C891" s="83">
        <v>46219</v>
      </c>
      <c r="D891" t="s">
        <v>678</v>
      </c>
      <c r="E891" t="s">
        <v>700</v>
      </c>
      <c r="F891">
        <v>15</v>
      </c>
      <c r="G891">
        <v>13.754200000000001</v>
      </c>
    </row>
    <row r="892" spans="1:7" x14ac:dyDescent="0.35">
      <c r="A892" t="s">
        <v>847</v>
      </c>
      <c r="B892" t="s">
        <v>676</v>
      </c>
      <c r="C892" s="83">
        <v>46219</v>
      </c>
      <c r="D892" t="s">
        <v>678</v>
      </c>
      <c r="E892" t="s">
        <v>697</v>
      </c>
      <c r="F892">
        <v>10</v>
      </c>
      <c r="G892">
        <v>6.3514666666666697</v>
      </c>
    </row>
    <row r="893" spans="1:7" x14ac:dyDescent="0.35">
      <c r="A893" t="s">
        <v>847</v>
      </c>
      <c r="B893" t="s">
        <v>676</v>
      </c>
      <c r="C893" s="83">
        <v>46219</v>
      </c>
      <c r="D893" t="s">
        <v>678</v>
      </c>
      <c r="E893" t="s">
        <v>702</v>
      </c>
      <c r="F893">
        <v>5</v>
      </c>
      <c r="G893">
        <v>0.67205000000000004</v>
      </c>
    </row>
    <row r="894" spans="1:7" x14ac:dyDescent="0.35">
      <c r="A894" t="s">
        <v>847</v>
      </c>
      <c r="B894" t="s">
        <v>676</v>
      </c>
      <c r="C894" s="83">
        <v>46219</v>
      </c>
      <c r="D894" t="s">
        <v>679</v>
      </c>
      <c r="E894" t="s">
        <v>704</v>
      </c>
      <c r="F894">
        <v>31</v>
      </c>
      <c r="G894">
        <v>63.221800000000002</v>
      </c>
    </row>
    <row r="895" spans="1:7" x14ac:dyDescent="0.35">
      <c r="A895" t="s">
        <v>847</v>
      </c>
      <c r="B895" t="s">
        <v>676</v>
      </c>
      <c r="C895" s="83">
        <v>46219</v>
      </c>
      <c r="D895" t="s">
        <v>679</v>
      </c>
      <c r="E895" t="s">
        <v>697</v>
      </c>
      <c r="F895">
        <v>21</v>
      </c>
      <c r="G895">
        <v>12.0512833333333</v>
      </c>
    </row>
    <row r="896" spans="1:7" x14ac:dyDescent="0.35">
      <c r="A896" t="s">
        <v>847</v>
      </c>
      <c r="B896" t="s">
        <v>676</v>
      </c>
      <c r="C896" s="83">
        <v>46219</v>
      </c>
      <c r="D896" t="s">
        <v>679</v>
      </c>
      <c r="E896" t="s">
        <v>700</v>
      </c>
      <c r="F896">
        <v>14</v>
      </c>
      <c r="G896">
        <v>13.92455</v>
      </c>
    </row>
    <row r="897" spans="1:7" x14ac:dyDescent="0.35">
      <c r="A897" t="s">
        <v>847</v>
      </c>
      <c r="B897" t="s">
        <v>676</v>
      </c>
      <c r="C897" s="83">
        <v>46220</v>
      </c>
      <c r="D897" t="s">
        <v>678</v>
      </c>
      <c r="E897" t="s">
        <v>705</v>
      </c>
      <c r="F897">
        <v>21</v>
      </c>
      <c r="G897">
        <v>18.835149999999999</v>
      </c>
    </row>
    <row r="898" spans="1:7" x14ac:dyDescent="0.35">
      <c r="A898" t="s">
        <v>847</v>
      </c>
      <c r="B898" t="s">
        <v>676</v>
      </c>
      <c r="C898" s="83">
        <v>46220</v>
      </c>
      <c r="D898" t="s">
        <v>678</v>
      </c>
      <c r="E898" t="s">
        <v>700</v>
      </c>
      <c r="F898">
        <v>17</v>
      </c>
      <c r="G898">
        <v>13.1680166666667</v>
      </c>
    </row>
    <row r="899" spans="1:7" x14ac:dyDescent="0.35">
      <c r="A899" t="s">
        <v>847</v>
      </c>
      <c r="B899" t="s">
        <v>676</v>
      </c>
      <c r="C899" s="83">
        <v>46220</v>
      </c>
      <c r="D899" t="s">
        <v>678</v>
      </c>
      <c r="E899" t="s">
        <v>709</v>
      </c>
      <c r="F899">
        <v>16</v>
      </c>
      <c r="G899">
        <v>8.8308499999999999</v>
      </c>
    </row>
    <row r="900" spans="1:7" x14ac:dyDescent="0.35">
      <c r="A900" t="s">
        <v>847</v>
      </c>
      <c r="B900" t="s">
        <v>676</v>
      </c>
      <c r="C900" s="83">
        <v>46220</v>
      </c>
      <c r="D900" t="s">
        <v>679</v>
      </c>
      <c r="E900" t="s">
        <v>704</v>
      </c>
      <c r="F900">
        <v>47</v>
      </c>
      <c r="G900">
        <v>44.844433333333299</v>
      </c>
    </row>
    <row r="901" spans="1:7" x14ac:dyDescent="0.35">
      <c r="A901" t="s">
        <v>847</v>
      </c>
      <c r="B901" t="s">
        <v>676</v>
      </c>
      <c r="C901" s="83">
        <v>46220</v>
      </c>
      <c r="D901" t="s">
        <v>679</v>
      </c>
      <c r="E901" t="s">
        <v>702</v>
      </c>
      <c r="F901">
        <v>15</v>
      </c>
      <c r="G901">
        <v>7.3208500000000001</v>
      </c>
    </row>
    <row r="902" spans="1:7" x14ac:dyDescent="0.35">
      <c r="A902" t="s">
        <v>847</v>
      </c>
      <c r="B902" t="s">
        <v>676</v>
      </c>
      <c r="C902" s="83">
        <v>46220</v>
      </c>
      <c r="D902" t="s">
        <v>679</v>
      </c>
      <c r="E902" t="s">
        <v>700</v>
      </c>
      <c r="F902">
        <v>13</v>
      </c>
      <c r="G902">
        <v>10.156183333333299</v>
      </c>
    </row>
    <row r="903" spans="1:7" x14ac:dyDescent="0.35">
      <c r="A903" t="s">
        <v>847</v>
      </c>
      <c r="B903" t="s">
        <v>676</v>
      </c>
      <c r="C903" s="83">
        <v>46221</v>
      </c>
      <c r="D903" t="s">
        <v>678</v>
      </c>
      <c r="E903" t="s">
        <v>705</v>
      </c>
      <c r="F903">
        <v>35</v>
      </c>
      <c r="G903">
        <v>22.869350000000001</v>
      </c>
    </row>
    <row r="904" spans="1:7" x14ac:dyDescent="0.35">
      <c r="A904" t="s">
        <v>847</v>
      </c>
      <c r="B904" t="s">
        <v>676</v>
      </c>
      <c r="C904" s="83">
        <v>46221</v>
      </c>
      <c r="D904" t="s">
        <v>678</v>
      </c>
      <c r="E904" t="s">
        <v>700</v>
      </c>
      <c r="F904">
        <v>22</v>
      </c>
      <c r="G904">
        <v>13.987716666666699</v>
      </c>
    </row>
    <row r="905" spans="1:7" x14ac:dyDescent="0.35">
      <c r="A905" t="s">
        <v>847</v>
      </c>
      <c r="B905" t="s">
        <v>676</v>
      </c>
      <c r="C905" s="83">
        <v>46221</v>
      </c>
      <c r="D905" t="s">
        <v>678</v>
      </c>
      <c r="E905" t="s">
        <v>709</v>
      </c>
      <c r="F905">
        <v>21</v>
      </c>
      <c r="G905">
        <v>8.3444833333333293</v>
      </c>
    </row>
    <row r="906" spans="1:7" x14ac:dyDescent="0.35">
      <c r="A906" t="s">
        <v>847</v>
      </c>
      <c r="B906" t="s">
        <v>676</v>
      </c>
      <c r="C906" s="83">
        <v>46221</v>
      </c>
      <c r="D906" t="s">
        <v>679</v>
      </c>
      <c r="E906" t="s">
        <v>700</v>
      </c>
      <c r="F906">
        <v>16</v>
      </c>
      <c r="G906">
        <v>15.514900000000001</v>
      </c>
    </row>
    <row r="907" spans="1:7" x14ac:dyDescent="0.35">
      <c r="A907" t="s">
        <v>847</v>
      </c>
      <c r="B907" t="s">
        <v>676</v>
      </c>
      <c r="C907" s="83">
        <v>46221</v>
      </c>
      <c r="D907" t="s">
        <v>679</v>
      </c>
      <c r="E907" t="s">
        <v>705</v>
      </c>
      <c r="F907">
        <v>16</v>
      </c>
      <c r="G907">
        <v>8.4939</v>
      </c>
    </row>
    <row r="908" spans="1:7" x14ac:dyDescent="0.35">
      <c r="A908" t="s">
        <v>847</v>
      </c>
      <c r="B908" t="s">
        <v>676</v>
      </c>
      <c r="C908" s="83">
        <v>46221</v>
      </c>
      <c r="D908" t="s">
        <v>679</v>
      </c>
      <c r="E908" t="s">
        <v>702</v>
      </c>
      <c r="F908">
        <v>15</v>
      </c>
      <c r="G908">
        <v>6.48938333333333</v>
      </c>
    </row>
    <row r="909" spans="1:7" x14ac:dyDescent="0.35">
      <c r="A909" t="s">
        <v>847</v>
      </c>
      <c r="B909" t="s">
        <v>676</v>
      </c>
      <c r="C909" s="83">
        <v>46222</v>
      </c>
      <c r="D909" t="s">
        <v>678</v>
      </c>
      <c r="E909" t="s">
        <v>700</v>
      </c>
      <c r="F909">
        <v>17</v>
      </c>
      <c r="G909">
        <v>15.0087333333333</v>
      </c>
    </row>
    <row r="910" spans="1:7" x14ac:dyDescent="0.35">
      <c r="A910" t="s">
        <v>847</v>
      </c>
      <c r="B910" t="s">
        <v>676</v>
      </c>
      <c r="C910" s="83">
        <v>46222</v>
      </c>
      <c r="D910" t="s">
        <v>678</v>
      </c>
      <c r="E910" t="s">
        <v>705</v>
      </c>
      <c r="F910">
        <v>17</v>
      </c>
      <c r="G910">
        <v>10.1550166666667</v>
      </c>
    </row>
    <row r="911" spans="1:7" x14ac:dyDescent="0.35">
      <c r="A911" t="s">
        <v>847</v>
      </c>
      <c r="B911" t="s">
        <v>676</v>
      </c>
      <c r="C911" s="83">
        <v>46222</v>
      </c>
      <c r="D911" t="s">
        <v>678</v>
      </c>
      <c r="E911" t="s">
        <v>699</v>
      </c>
      <c r="F911">
        <v>11</v>
      </c>
      <c r="G911">
        <v>13.684283333333299</v>
      </c>
    </row>
    <row r="912" spans="1:7" x14ac:dyDescent="0.35">
      <c r="A912" t="s">
        <v>847</v>
      </c>
      <c r="B912" t="s">
        <v>676</v>
      </c>
      <c r="C912" s="83">
        <v>46222</v>
      </c>
      <c r="D912" t="s">
        <v>679</v>
      </c>
      <c r="E912" t="s">
        <v>700</v>
      </c>
      <c r="F912">
        <v>13</v>
      </c>
      <c r="G912">
        <v>15.15555</v>
      </c>
    </row>
    <row r="913" spans="1:7" x14ac:dyDescent="0.35">
      <c r="A913" t="s">
        <v>847</v>
      </c>
      <c r="B913" t="s">
        <v>676</v>
      </c>
      <c r="C913" s="83">
        <v>46222</v>
      </c>
      <c r="D913" t="s">
        <v>679</v>
      </c>
      <c r="E913" t="s">
        <v>699</v>
      </c>
      <c r="F913">
        <v>12</v>
      </c>
      <c r="G913">
        <v>68.337366666666696</v>
      </c>
    </row>
    <row r="914" spans="1:7" x14ac:dyDescent="0.35">
      <c r="A914" t="s">
        <v>847</v>
      </c>
      <c r="B914" t="s">
        <v>676</v>
      </c>
      <c r="C914" s="83">
        <v>46222</v>
      </c>
      <c r="D914" t="s">
        <v>679</v>
      </c>
      <c r="E914" t="s">
        <v>698</v>
      </c>
      <c r="F914">
        <v>9</v>
      </c>
      <c r="G914">
        <v>24.175650000000001</v>
      </c>
    </row>
    <row r="915" spans="1:7" x14ac:dyDescent="0.35">
      <c r="A915" t="s">
        <v>847</v>
      </c>
      <c r="B915" t="s">
        <v>676</v>
      </c>
      <c r="C915" s="83">
        <v>46223</v>
      </c>
      <c r="D915" t="s">
        <v>678</v>
      </c>
      <c r="E915" t="s">
        <v>697</v>
      </c>
      <c r="F915">
        <v>34</v>
      </c>
      <c r="G915">
        <v>31.0035833333333</v>
      </c>
    </row>
    <row r="916" spans="1:7" x14ac:dyDescent="0.35">
      <c r="A916" t="s">
        <v>847</v>
      </c>
      <c r="B916" t="s">
        <v>676</v>
      </c>
      <c r="C916" s="83">
        <v>46223</v>
      </c>
      <c r="D916" t="s">
        <v>678</v>
      </c>
      <c r="E916" t="s">
        <v>709</v>
      </c>
      <c r="F916">
        <v>12</v>
      </c>
      <c r="G916">
        <v>36.8516166666667</v>
      </c>
    </row>
    <row r="917" spans="1:7" x14ac:dyDescent="0.35">
      <c r="A917" t="s">
        <v>847</v>
      </c>
      <c r="B917" t="s">
        <v>676</v>
      </c>
      <c r="C917" s="83">
        <v>46223</v>
      </c>
      <c r="D917" t="s">
        <v>678</v>
      </c>
      <c r="E917" t="s">
        <v>700</v>
      </c>
      <c r="F917">
        <v>10</v>
      </c>
      <c r="G917">
        <v>9.8354666666666706</v>
      </c>
    </row>
    <row r="918" spans="1:7" x14ac:dyDescent="0.35">
      <c r="A918" t="s">
        <v>847</v>
      </c>
      <c r="B918" t="s">
        <v>676</v>
      </c>
      <c r="C918" s="83">
        <v>46223</v>
      </c>
      <c r="D918" t="s">
        <v>679</v>
      </c>
      <c r="E918" t="s">
        <v>697</v>
      </c>
      <c r="F918">
        <v>25</v>
      </c>
      <c r="G918">
        <v>24.5149333333333</v>
      </c>
    </row>
    <row r="919" spans="1:7" x14ac:dyDescent="0.35">
      <c r="A919" t="s">
        <v>847</v>
      </c>
      <c r="B919" t="s">
        <v>676</v>
      </c>
      <c r="C919" s="83">
        <v>46223</v>
      </c>
      <c r="D919" t="s">
        <v>679</v>
      </c>
      <c r="E919" t="s">
        <v>700</v>
      </c>
      <c r="F919">
        <v>10</v>
      </c>
      <c r="G919">
        <v>8.1513000000000009</v>
      </c>
    </row>
    <row r="920" spans="1:7" x14ac:dyDescent="0.35">
      <c r="A920" t="s">
        <v>847</v>
      </c>
      <c r="B920" t="s">
        <v>676</v>
      </c>
      <c r="C920" s="83">
        <v>46223</v>
      </c>
      <c r="D920" t="s">
        <v>679</v>
      </c>
      <c r="E920" t="s">
        <v>702</v>
      </c>
      <c r="F920">
        <v>7</v>
      </c>
      <c r="G920">
        <v>6.6656500000000003</v>
      </c>
    </row>
    <row r="921" spans="1:7" x14ac:dyDescent="0.35">
      <c r="A921" t="s">
        <v>847</v>
      </c>
      <c r="B921" t="s">
        <v>676</v>
      </c>
      <c r="C921" s="83">
        <v>46224</v>
      </c>
      <c r="D921" t="s">
        <v>678</v>
      </c>
      <c r="E921" t="s">
        <v>700</v>
      </c>
      <c r="F921">
        <v>22</v>
      </c>
      <c r="G921">
        <v>39.0071333333333</v>
      </c>
    </row>
    <row r="922" spans="1:7" x14ac:dyDescent="0.35">
      <c r="A922" t="s">
        <v>847</v>
      </c>
      <c r="B922" t="s">
        <v>676</v>
      </c>
      <c r="C922" s="83">
        <v>46224</v>
      </c>
      <c r="D922" t="s">
        <v>678</v>
      </c>
      <c r="E922" t="s">
        <v>702</v>
      </c>
      <c r="F922">
        <v>12</v>
      </c>
      <c r="G922">
        <v>8.1557999999999993</v>
      </c>
    </row>
    <row r="923" spans="1:7" x14ac:dyDescent="0.35">
      <c r="A923" t="s">
        <v>847</v>
      </c>
      <c r="B923" t="s">
        <v>676</v>
      </c>
      <c r="C923" s="83">
        <v>46224</v>
      </c>
      <c r="D923" t="s">
        <v>678</v>
      </c>
      <c r="E923" t="s">
        <v>703</v>
      </c>
      <c r="F923">
        <v>7</v>
      </c>
      <c r="G923">
        <v>4.5087999999999999</v>
      </c>
    </row>
    <row r="924" spans="1:7" x14ac:dyDescent="0.35">
      <c r="A924" t="s">
        <v>847</v>
      </c>
      <c r="B924" t="s">
        <v>676</v>
      </c>
      <c r="C924" s="83">
        <v>46224</v>
      </c>
      <c r="D924" t="s">
        <v>679</v>
      </c>
      <c r="E924" t="s">
        <v>700</v>
      </c>
      <c r="F924">
        <v>16</v>
      </c>
      <c r="G924">
        <v>12.8449333333333</v>
      </c>
    </row>
    <row r="925" spans="1:7" x14ac:dyDescent="0.35">
      <c r="A925" t="s">
        <v>847</v>
      </c>
      <c r="B925" t="s">
        <v>676</v>
      </c>
      <c r="C925" s="83">
        <v>46224</v>
      </c>
      <c r="D925" t="s">
        <v>679</v>
      </c>
      <c r="E925" t="s">
        <v>698</v>
      </c>
      <c r="F925">
        <v>8</v>
      </c>
      <c r="G925">
        <v>4.5040833333333303</v>
      </c>
    </row>
    <row r="926" spans="1:7" x14ac:dyDescent="0.35">
      <c r="A926" t="s">
        <v>847</v>
      </c>
      <c r="B926" t="s">
        <v>676</v>
      </c>
      <c r="C926" s="83">
        <v>46224</v>
      </c>
      <c r="D926" t="s">
        <v>679</v>
      </c>
      <c r="E926" t="s">
        <v>702</v>
      </c>
      <c r="F926">
        <v>8</v>
      </c>
      <c r="G926">
        <v>3.5088333333333299</v>
      </c>
    </row>
    <row r="927" spans="1:7" x14ac:dyDescent="0.35">
      <c r="A927" t="s">
        <v>847</v>
      </c>
      <c r="B927" t="s">
        <v>676</v>
      </c>
      <c r="C927" s="83">
        <v>46225</v>
      </c>
      <c r="D927" t="s">
        <v>678</v>
      </c>
      <c r="E927" t="s">
        <v>700</v>
      </c>
      <c r="F927">
        <v>9</v>
      </c>
      <c r="G927">
        <v>7.8294333333333297</v>
      </c>
    </row>
    <row r="928" spans="1:7" x14ac:dyDescent="0.35">
      <c r="A928" t="s">
        <v>847</v>
      </c>
      <c r="B928" t="s">
        <v>676</v>
      </c>
      <c r="C928" s="83">
        <v>46225</v>
      </c>
      <c r="D928" t="s">
        <v>678</v>
      </c>
      <c r="E928" t="s">
        <v>697</v>
      </c>
      <c r="F928">
        <v>4</v>
      </c>
      <c r="G928">
        <v>1.5106333333333299</v>
      </c>
    </row>
    <row r="929" spans="1:7" x14ac:dyDescent="0.35">
      <c r="A929" t="s">
        <v>847</v>
      </c>
      <c r="B929" t="s">
        <v>676</v>
      </c>
      <c r="C929" s="83">
        <v>46225</v>
      </c>
      <c r="D929" t="s">
        <v>678</v>
      </c>
      <c r="E929" t="s">
        <v>702</v>
      </c>
      <c r="F929">
        <v>4</v>
      </c>
      <c r="G929">
        <v>1.84096666666667</v>
      </c>
    </row>
    <row r="930" spans="1:7" x14ac:dyDescent="0.35">
      <c r="A930" t="s">
        <v>847</v>
      </c>
      <c r="B930" t="s">
        <v>676</v>
      </c>
      <c r="C930" s="83">
        <v>46225</v>
      </c>
      <c r="D930" t="s">
        <v>679</v>
      </c>
      <c r="E930" t="s">
        <v>700</v>
      </c>
      <c r="F930">
        <v>9</v>
      </c>
      <c r="G930">
        <v>8.7510166666666702</v>
      </c>
    </row>
    <row r="931" spans="1:7" x14ac:dyDescent="0.35">
      <c r="A931" t="s">
        <v>847</v>
      </c>
      <c r="B931" t="s">
        <v>676</v>
      </c>
      <c r="C931" s="83">
        <v>46225</v>
      </c>
      <c r="D931" t="s">
        <v>679</v>
      </c>
      <c r="E931" t="s">
        <v>697</v>
      </c>
      <c r="F931">
        <v>5</v>
      </c>
      <c r="G931">
        <v>1.6687333333333301</v>
      </c>
    </row>
    <row r="932" spans="1:7" x14ac:dyDescent="0.35">
      <c r="A932" t="s">
        <v>847</v>
      </c>
      <c r="B932" t="s">
        <v>676</v>
      </c>
      <c r="C932" s="83">
        <v>46225</v>
      </c>
      <c r="D932" t="s">
        <v>679</v>
      </c>
      <c r="E932" t="s">
        <v>702</v>
      </c>
      <c r="F932">
        <v>5</v>
      </c>
      <c r="G932">
        <v>2.1504666666666701</v>
      </c>
    </row>
    <row r="933" spans="1:7" x14ac:dyDescent="0.35">
      <c r="A933" t="s">
        <v>847</v>
      </c>
      <c r="B933" t="s">
        <v>676</v>
      </c>
      <c r="C933" s="83">
        <v>46226</v>
      </c>
      <c r="D933" t="s">
        <v>678</v>
      </c>
      <c r="E933" t="s">
        <v>700</v>
      </c>
      <c r="F933">
        <v>17</v>
      </c>
      <c r="G933">
        <v>12.634499999999999</v>
      </c>
    </row>
    <row r="934" spans="1:7" x14ac:dyDescent="0.35">
      <c r="A934" t="s">
        <v>847</v>
      </c>
      <c r="B934" t="s">
        <v>676</v>
      </c>
      <c r="C934" s="83">
        <v>46226</v>
      </c>
      <c r="D934" t="s">
        <v>678</v>
      </c>
      <c r="E934" t="s">
        <v>697</v>
      </c>
      <c r="F934">
        <v>17</v>
      </c>
      <c r="G934">
        <v>9.8482666666666692</v>
      </c>
    </row>
    <row r="935" spans="1:7" x14ac:dyDescent="0.35">
      <c r="A935" t="s">
        <v>847</v>
      </c>
      <c r="B935" t="s">
        <v>676</v>
      </c>
      <c r="C935" s="83">
        <v>46226</v>
      </c>
      <c r="D935" t="s">
        <v>678</v>
      </c>
      <c r="E935" t="s">
        <v>702</v>
      </c>
      <c r="F935">
        <v>9</v>
      </c>
      <c r="G935">
        <v>15.6748666666667</v>
      </c>
    </row>
    <row r="936" spans="1:7" x14ac:dyDescent="0.35">
      <c r="A936" t="s">
        <v>847</v>
      </c>
      <c r="B936" t="s">
        <v>676</v>
      </c>
      <c r="C936" s="83">
        <v>46226</v>
      </c>
      <c r="D936" t="s">
        <v>679</v>
      </c>
      <c r="E936" t="s">
        <v>700</v>
      </c>
      <c r="F936">
        <v>14</v>
      </c>
      <c r="G936">
        <v>15.4964333333333</v>
      </c>
    </row>
    <row r="937" spans="1:7" x14ac:dyDescent="0.35">
      <c r="A937" t="s">
        <v>847</v>
      </c>
      <c r="B937" t="s">
        <v>676</v>
      </c>
      <c r="C937" s="83">
        <v>46226</v>
      </c>
      <c r="D937" t="s">
        <v>679</v>
      </c>
      <c r="E937" t="s">
        <v>698</v>
      </c>
      <c r="F937">
        <v>6</v>
      </c>
      <c r="G937">
        <v>6.4977666666666698</v>
      </c>
    </row>
    <row r="938" spans="1:7" x14ac:dyDescent="0.35">
      <c r="A938" t="s">
        <v>847</v>
      </c>
      <c r="B938" t="s">
        <v>676</v>
      </c>
      <c r="C938" s="83">
        <v>46226</v>
      </c>
      <c r="D938" t="s">
        <v>679</v>
      </c>
      <c r="E938" t="s">
        <v>702</v>
      </c>
      <c r="F938">
        <v>4</v>
      </c>
      <c r="G938">
        <v>1.3430833333333301</v>
      </c>
    </row>
    <row r="939" spans="1:7" x14ac:dyDescent="0.35">
      <c r="A939" t="s">
        <v>847</v>
      </c>
      <c r="B939" t="s">
        <v>676</v>
      </c>
      <c r="C939" s="83">
        <v>46227</v>
      </c>
      <c r="D939" t="s">
        <v>678</v>
      </c>
      <c r="E939" t="s">
        <v>700</v>
      </c>
      <c r="F939">
        <v>19</v>
      </c>
      <c r="G939">
        <v>15.5834666666667</v>
      </c>
    </row>
    <row r="940" spans="1:7" x14ac:dyDescent="0.35">
      <c r="A940" t="s">
        <v>847</v>
      </c>
      <c r="B940" t="s">
        <v>676</v>
      </c>
      <c r="C940" s="83">
        <v>46227</v>
      </c>
      <c r="D940" t="s">
        <v>678</v>
      </c>
      <c r="E940" t="s">
        <v>697</v>
      </c>
      <c r="F940">
        <v>14</v>
      </c>
      <c r="G940">
        <v>13.991566666666699</v>
      </c>
    </row>
    <row r="941" spans="1:7" x14ac:dyDescent="0.35">
      <c r="A941" t="s">
        <v>847</v>
      </c>
      <c r="B941" t="s">
        <v>676</v>
      </c>
      <c r="C941" s="83">
        <v>46227</v>
      </c>
      <c r="D941" t="s">
        <v>678</v>
      </c>
      <c r="E941" t="s">
        <v>702</v>
      </c>
      <c r="F941">
        <v>11</v>
      </c>
      <c r="G941">
        <v>3.9974833333333302</v>
      </c>
    </row>
    <row r="942" spans="1:7" x14ac:dyDescent="0.35">
      <c r="A942" t="s">
        <v>847</v>
      </c>
      <c r="B942" t="s">
        <v>676</v>
      </c>
      <c r="C942" s="83">
        <v>46227</v>
      </c>
      <c r="D942" t="s">
        <v>679</v>
      </c>
      <c r="E942" t="s">
        <v>700</v>
      </c>
      <c r="F942">
        <v>14</v>
      </c>
      <c r="G942">
        <v>20.508866666666702</v>
      </c>
    </row>
    <row r="943" spans="1:7" x14ac:dyDescent="0.35">
      <c r="A943" t="s">
        <v>847</v>
      </c>
      <c r="B943" t="s">
        <v>676</v>
      </c>
      <c r="C943" s="83">
        <v>46227</v>
      </c>
      <c r="D943" t="s">
        <v>679</v>
      </c>
      <c r="E943" t="s">
        <v>702</v>
      </c>
      <c r="F943">
        <v>3</v>
      </c>
      <c r="G943">
        <v>0.83453333333333302</v>
      </c>
    </row>
    <row r="944" spans="1:7" x14ac:dyDescent="0.35">
      <c r="A944" t="s">
        <v>847</v>
      </c>
      <c r="B944" t="s">
        <v>676</v>
      </c>
      <c r="C944" s="83">
        <v>46227</v>
      </c>
      <c r="D944" t="s">
        <v>679</v>
      </c>
      <c r="E944" t="s">
        <v>698</v>
      </c>
      <c r="F944">
        <v>3</v>
      </c>
      <c r="G944">
        <v>2.0017166666666699</v>
      </c>
    </row>
    <row r="945" spans="1:7" x14ac:dyDescent="0.35">
      <c r="A945" t="s">
        <v>847</v>
      </c>
      <c r="B945" t="s">
        <v>676</v>
      </c>
      <c r="C945" s="83">
        <v>46228</v>
      </c>
      <c r="D945" t="s">
        <v>678</v>
      </c>
      <c r="E945" t="s">
        <v>700</v>
      </c>
      <c r="F945">
        <v>17</v>
      </c>
      <c r="G945">
        <v>14.7919</v>
      </c>
    </row>
    <row r="946" spans="1:7" x14ac:dyDescent="0.35">
      <c r="A946" t="s">
        <v>847</v>
      </c>
      <c r="B946" t="s">
        <v>676</v>
      </c>
      <c r="C946" s="83">
        <v>46228</v>
      </c>
      <c r="D946" t="s">
        <v>678</v>
      </c>
      <c r="E946" t="s">
        <v>702</v>
      </c>
      <c r="F946">
        <v>9</v>
      </c>
      <c r="G946">
        <v>2.7061166666666701</v>
      </c>
    </row>
    <row r="947" spans="1:7" x14ac:dyDescent="0.35">
      <c r="A947" t="s">
        <v>847</v>
      </c>
      <c r="B947" t="s">
        <v>676</v>
      </c>
      <c r="C947" s="83">
        <v>46228</v>
      </c>
      <c r="D947" t="s">
        <v>678</v>
      </c>
      <c r="E947" t="s">
        <v>699</v>
      </c>
      <c r="F947">
        <v>4</v>
      </c>
      <c r="G947">
        <v>3.0284666666666702</v>
      </c>
    </row>
    <row r="948" spans="1:7" x14ac:dyDescent="0.35">
      <c r="A948" t="s">
        <v>847</v>
      </c>
      <c r="B948" t="s">
        <v>676</v>
      </c>
      <c r="C948" s="83">
        <v>46228</v>
      </c>
      <c r="D948" t="s">
        <v>679</v>
      </c>
      <c r="E948" t="s">
        <v>700</v>
      </c>
      <c r="F948">
        <v>12</v>
      </c>
      <c r="G948">
        <v>14.087483333333299</v>
      </c>
    </row>
    <row r="949" spans="1:7" x14ac:dyDescent="0.35">
      <c r="A949" t="s">
        <v>847</v>
      </c>
      <c r="B949" t="s">
        <v>676</v>
      </c>
      <c r="C949" s="83">
        <v>46228</v>
      </c>
      <c r="D949" t="s">
        <v>679</v>
      </c>
      <c r="E949" t="s">
        <v>699</v>
      </c>
      <c r="F949">
        <v>7</v>
      </c>
      <c r="G949">
        <v>255.07814999999999</v>
      </c>
    </row>
    <row r="950" spans="1:7" x14ac:dyDescent="0.35">
      <c r="A950" t="s">
        <v>847</v>
      </c>
      <c r="B950" t="s">
        <v>676</v>
      </c>
      <c r="C950" s="83">
        <v>46228</v>
      </c>
      <c r="D950" t="s">
        <v>679</v>
      </c>
      <c r="E950" t="s">
        <v>697</v>
      </c>
      <c r="F950">
        <v>4</v>
      </c>
      <c r="G950">
        <v>3.8454666666666699</v>
      </c>
    </row>
    <row r="951" spans="1:7" x14ac:dyDescent="0.35">
      <c r="A951" t="s">
        <v>847</v>
      </c>
      <c r="B951" t="s">
        <v>676</v>
      </c>
      <c r="C951" s="83">
        <v>46229</v>
      </c>
      <c r="D951" t="s">
        <v>678</v>
      </c>
      <c r="E951" t="s">
        <v>700</v>
      </c>
      <c r="F951">
        <v>22</v>
      </c>
      <c r="G951">
        <v>23.679733333333299</v>
      </c>
    </row>
    <row r="952" spans="1:7" x14ac:dyDescent="0.35">
      <c r="A952" t="s">
        <v>847</v>
      </c>
      <c r="B952" t="s">
        <v>676</v>
      </c>
      <c r="C952" s="83">
        <v>46229</v>
      </c>
      <c r="D952" t="s">
        <v>678</v>
      </c>
      <c r="E952" t="s">
        <v>697</v>
      </c>
      <c r="F952">
        <v>8</v>
      </c>
      <c r="G952">
        <v>5.1798000000000002</v>
      </c>
    </row>
    <row r="953" spans="1:7" x14ac:dyDescent="0.35">
      <c r="A953" t="s">
        <v>847</v>
      </c>
      <c r="B953" t="s">
        <v>676</v>
      </c>
      <c r="C953" s="83">
        <v>46229</v>
      </c>
      <c r="D953" t="s">
        <v>678</v>
      </c>
      <c r="E953" t="s">
        <v>702</v>
      </c>
      <c r="F953">
        <v>4</v>
      </c>
      <c r="G953">
        <v>1.17913333333333</v>
      </c>
    </row>
    <row r="954" spans="1:7" x14ac:dyDescent="0.35">
      <c r="A954" t="s">
        <v>847</v>
      </c>
      <c r="B954" t="s">
        <v>676</v>
      </c>
      <c r="C954" s="83">
        <v>46229</v>
      </c>
      <c r="D954" t="s">
        <v>679</v>
      </c>
      <c r="E954" t="s">
        <v>700</v>
      </c>
      <c r="F954">
        <v>18</v>
      </c>
      <c r="G954">
        <v>15.295666666666699</v>
      </c>
    </row>
    <row r="955" spans="1:7" x14ac:dyDescent="0.35">
      <c r="A955" t="s">
        <v>847</v>
      </c>
      <c r="B955" t="s">
        <v>676</v>
      </c>
      <c r="C955" s="83">
        <v>46229</v>
      </c>
      <c r="D955" t="s">
        <v>679</v>
      </c>
      <c r="E955" t="s">
        <v>697</v>
      </c>
      <c r="F955">
        <v>5</v>
      </c>
      <c r="G955">
        <v>2.8574666666666699</v>
      </c>
    </row>
    <row r="956" spans="1:7" x14ac:dyDescent="0.35">
      <c r="A956" t="s">
        <v>847</v>
      </c>
      <c r="B956" t="s">
        <v>676</v>
      </c>
      <c r="C956" s="83">
        <v>46229</v>
      </c>
      <c r="D956" t="s">
        <v>679</v>
      </c>
      <c r="E956" t="s">
        <v>702</v>
      </c>
      <c r="F956">
        <v>4</v>
      </c>
      <c r="G956">
        <v>1.3563499999999999</v>
      </c>
    </row>
    <row r="957" spans="1:7" x14ac:dyDescent="0.35">
      <c r="A957" t="s">
        <v>847</v>
      </c>
      <c r="B957" t="s">
        <v>676</v>
      </c>
      <c r="C957" s="83">
        <v>46230</v>
      </c>
      <c r="D957" t="s">
        <v>678</v>
      </c>
      <c r="E957" t="s">
        <v>700</v>
      </c>
      <c r="F957">
        <v>19</v>
      </c>
      <c r="G957">
        <v>20.6580166666667</v>
      </c>
    </row>
    <row r="958" spans="1:7" x14ac:dyDescent="0.35">
      <c r="A958" t="s">
        <v>847</v>
      </c>
      <c r="B958" t="s">
        <v>676</v>
      </c>
      <c r="C958" s="83">
        <v>46230</v>
      </c>
      <c r="D958" t="s">
        <v>678</v>
      </c>
      <c r="E958" t="s">
        <v>697</v>
      </c>
      <c r="F958">
        <v>13</v>
      </c>
      <c r="G958">
        <v>11.9471833333333</v>
      </c>
    </row>
    <row r="959" spans="1:7" x14ac:dyDescent="0.35">
      <c r="A959" t="s">
        <v>847</v>
      </c>
      <c r="B959" t="s">
        <v>676</v>
      </c>
      <c r="C959" s="83">
        <v>46230</v>
      </c>
      <c r="D959" t="s">
        <v>678</v>
      </c>
      <c r="E959" t="s">
        <v>702</v>
      </c>
      <c r="F959">
        <v>5</v>
      </c>
      <c r="G959">
        <v>1.00098333333333</v>
      </c>
    </row>
    <row r="960" spans="1:7" x14ac:dyDescent="0.35">
      <c r="A960" t="s">
        <v>847</v>
      </c>
      <c r="B960" t="s">
        <v>676</v>
      </c>
      <c r="C960" s="83">
        <v>46230</v>
      </c>
      <c r="D960" t="s">
        <v>679</v>
      </c>
      <c r="E960" t="s">
        <v>700</v>
      </c>
      <c r="F960">
        <v>23</v>
      </c>
      <c r="G960">
        <v>21.6923666666667</v>
      </c>
    </row>
    <row r="961" spans="1:7" x14ac:dyDescent="0.35">
      <c r="A961" t="s">
        <v>847</v>
      </c>
      <c r="B961" t="s">
        <v>676</v>
      </c>
      <c r="C961" s="83">
        <v>46230</v>
      </c>
      <c r="D961" t="s">
        <v>679</v>
      </c>
      <c r="E961" t="s">
        <v>702</v>
      </c>
      <c r="F961">
        <v>4</v>
      </c>
      <c r="G961">
        <v>1.0007333333333299</v>
      </c>
    </row>
    <row r="962" spans="1:7" x14ac:dyDescent="0.35">
      <c r="A962" t="s">
        <v>847</v>
      </c>
      <c r="B962" t="s">
        <v>676</v>
      </c>
      <c r="C962" s="83">
        <v>46230</v>
      </c>
      <c r="D962" t="s">
        <v>679</v>
      </c>
      <c r="E962" t="s">
        <v>699</v>
      </c>
      <c r="F962">
        <v>3</v>
      </c>
      <c r="G962">
        <v>0.83389999999999997</v>
      </c>
    </row>
    <row r="963" spans="1:7" x14ac:dyDescent="0.35">
      <c r="A963" t="s">
        <v>847</v>
      </c>
      <c r="B963" t="s">
        <v>676</v>
      </c>
      <c r="C963" s="83">
        <v>46231</v>
      </c>
      <c r="D963" t="s">
        <v>678</v>
      </c>
      <c r="E963" t="s">
        <v>700</v>
      </c>
      <c r="F963">
        <v>19</v>
      </c>
      <c r="G963">
        <v>16.638933333333298</v>
      </c>
    </row>
    <row r="964" spans="1:7" x14ac:dyDescent="0.35">
      <c r="A964" t="s">
        <v>847</v>
      </c>
      <c r="B964" t="s">
        <v>676</v>
      </c>
      <c r="C964" s="83">
        <v>46231</v>
      </c>
      <c r="D964" t="s">
        <v>678</v>
      </c>
      <c r="E964" t="s">
        <v>697</v>
      </c>
      <c r="F964">
        <v>13</v>
      </c>
      <c r="G964">
        <v>8.7533333333333303</v>
      </c>
    </row>
    <row r="965" spans="1:7" x14ac:dyDescent="0.35">
      <c r="A965" t="s">
        <v>847</v>
      </c>
      <c r="B965" t="s">
        <v>676</v>
      </c>
      <c r="C965" s="83">
        <v>46231</v>
      </c>
      <c r="D965" t="s">
        <v>678</v>
      </c>
      <c r="E965" t="s">
        <v>702</v>
      </c>
      <c r="F965">
        <v>5</v>
      </c>
      <c r="G965">
        <v>1.16845</v>
      </c>
    </row>
    <row r="966" spans="1:7" x14ac:dyDescent="0.35">
      <c r="A966" t="s">
        <v>847</v>
      </c>
      <c r="B966" t="s">
        <v>676</v>
      </c>
      <c r="C966" s="83">
        <v>46231</v>
      </c>
      <c r="D966" t="s">
        <v>679</v>
      </c>
      <c r="E966" t="s">
        <v>700</v>
      </c>
      <c r="F966">
        <v>16</v>
      </c>
      <c r="G966">
        <v>14.127316666666699</v>
      </c>
    </row>
    <row r="967" spans="1:7" x14ac:dyDescent="0.35">
      <c r="A967" t="s">
        <v>847</v>
      </c>
      <c r="B967" t="s">
        <v>676</v>
      </c>
      <c r="C967" s="83">
        <v>46231</v>
      </c>
      <c r="D967" t="s">
        <v>679</v>
      </c>
      <c r="E967" t="s">
        <v>697</v>
      </c>
      <c r="F967">
        <v>5</v>
      </c>
      <c r="G967">
        <v>2.5111333333333299</v>
      </c>
    </row>
    <row r="968" spans="1:7" x14ac:dyDescent="0.35">
      <c r="A968" t="s">
        <v>847</v>
      </c>
      <c r="B968" t="s">
        <v>676</v>
      </c>
      <c r="C968" s="83">
        <v>46231</v>
      </c>
      <c r="D968" t="s">
        <v>679</v>
      </c>
      <c r="E968" t="s">
        <v>698</v>
      </c>
      <c r="F968">
        <v>5</v>
      </c>
      <c r="G968">
        <v>14.943433333333299</v>
      </c>
    </row>
    <row r="969" spans="1:7" x14ac:dyDescent="0.35">
      <c r="A969" t="s">
        <v>847</v>
      </c>
      <c r="B969" t="s">
        <v>676</v>
      </c>
      <c r="C969" s="83">
        <v>46232</v>
      </c>
      <c r="D969" t="s">
        <v>678</v>
      </c>
      <c r="E969" t="s">
        <v>700</v>
      </c>
      <c r="F969">
        <v>3</v>
      </c>
      <c r="G969">
        <v>3.8683999999999998</v>
      </c>
    </row>
    <row r="970" spans="1:7" x14ac:dyDescent="0.35">
      <c r="A970" t="s">
        <v>847</v>
      </c>
      <c r="B970" t="s">
        <v>676</v>
      </c>
      <c r="C970" s="83">
        <v>46232</v>
      </c>
      <c r="D970" t="s">
        <v>678</v>
      </c>
      <c r="E970" t="s">
        <v>697</v>
      </c>
      <c r="F970">
        <v>2</v>
      </c>
      <c r="G970">
        <v>1.01125</v>
      </c>
    </row>
    <row r="971" spans="1:7" x14ac:dyDescent="0.35">
      <c r="A971" t="s">
        <v>847</v>
      </c>
      <c r="B971" t="s">
        <v>676</v>
      </c>
      <c r="C971" s="83">
        <v>46232</v>
      </c>
      <c r="D971" t="s">
        <v>678</v>
      </c>
      <c r="E971" t="s">
        <v>699</v>
      </c>
      <c r="F971">
        <v>2</v>
      </c>
      <c r="G971">
        <v>1194.6489833333301</v>
      </c>
    </row>
    <row r="972" spans="1:7" x14ac:dyDescent="0.35">
      <c r="A972" t="s">
        <v>847</v>
      </c>
      <c r="B972" t="s">
        <v>676</v>
      </c>
      <c r="C972" s="83">
        <v>46232</v>
      </c>
      <c r="D972" t="s">
        <v>679</v>
      </c>
      <c r="E972" t="s">
        <v>708</v>
      </c>
      <c r="F972">
        <v>2</v>
      </c>
      <c r="G972">
        <v>5.8871833333333301</v>
      </c>
    </row>
    <row r="973" spans="1:7" x14ac:dyDescent="0.35">
      <c r="A973" t="s">
        <v>847</v>
      </c>
      <c r="B973" t="s">
        <v>676</v>
      </c>
      <c r="C973" s="83">
        <v>46232</v>
      </c>
      <c r="D973" t="s">
        <v>679</v>
      </c>
      <c r="E973" t="s">
        <v>700</v>
      </c>
      <c r="F973">
        <v>2</v>
      </c>
      <c r="G973">
        <v>2.6916166666666701</v>
      </c>
    </row>
    <row r="974" spans="1:7" x14ac:dyDescent="0.35">
      <c r="A974" t="s">
        <v>847</v>
      </c>
      <c r="B974" t="s">
        <v>676</v>
      </c>
      <c r="C974" s="83">
        <v>46232</v>
      </c>
      <c r="D974" t="s">
        <v>679</v>
      </c>
      <c r="E974" t="s">
        <v>699</v>
      </c>
      <c r="F974">
        <v>1</v>
      </c>
      <c r="G974">
        <v>1187.2480499999999</v>
      </c>
    </row>
    <row r="975" spans="1:7" x14ac:dyDescent="0.35">
      <c r="A975" t="s">
        <v>847</v>
      </c>
      <c r="B975" t="s">
        <v>676</v>
      </c>
      <c r="C975" s="83">
        <v>46233</v>
      </c>
      <c r="D975" t="s">
        <v>678</v>
      </c>
      <c r="E975" t="s">
        <v>699</v>
      </c>
      <c r="F975">
        <v>1</v>
      </c>
      <c r="G975">
        <v>1440</v>
      </c>
    </row>
    <row r="976" spans="1:7" x14ac:dyDescent="0.35">
      <c r="A976" t="s">
        <v>847</v>
      </c>
      <c r="B976" t="s">
        <v>676</v>
      </c>
      <c r="C976" s="83">
        <v>46233</v>
      </c>
      <c r="D976" t="s">
        <v>679</v>
      </c>
      <c r="E976" t="s">
        <v>699</v>
      </c>
      <c r="F976">
        <v>1</v>
      </c>
      <c r="G976">
        <v>1440</v>
      </c>
    </row>
    <row r="977" spans="1:7" x14ac:dyDescent="0.35">
      <c r="A977" t="s">
        <v>847</v>
      </c>
      <c r="B977" t="s">
        <v>676</v>
      </c>
      <c r="C977" s="83">
        <v>46234</v>
      </c>
      <c r="D977" t="s">
        <v>678</v>
      </c>
      <c r="E977" t="s">
        <v>699</v>
      </c>
      <c r="F977">
        <v>1</v>
      </c>
      <c r="G977">
        <v>1440</v>
      </c>
    </row>
    <row r="978" spans="1:7" x14ac:dyDescent="0.35">
      <c r="A978" t="s">
        <v>847</v>
      </c>
      <c r="B978" t="s">
        <v>676</v>
      </c>
      <c r="C978" s="83">
        <v>46234</v>
      </c>
      <c r="D978" t="s">
        <v>679</v>
      </c>
      <c r="E978" t="s">
        <v>699</v>
      </c>
      <c r="F978">
        <v>1</v>
      </c>
      <c r="G978">
        <v>1440</v>
      </c>
    </row>
    <row r="979" spans="1:7" x14ac:dyDescent="0.35">
      <c r="A979" t="s">
        <v>847</v>
      </c>
      <c r="B979" t="s">
        <v>676</v>
      </c>
      <c r="C979" s="83">
        <v>46235</v>
      </c>
      <c r="D979" t="s">
        <v>678</v>
      </c>
      <c r="E979" t="s">
        <v>699</v>
      </c>
      <c r="F979">
        <v>1</v>
      </c>
      <c r="G979">
        <v>1440</v>
      </c>
    </row>
    <row r="980" spans="1:7" x14ac:dyDescent="0.35">
      <c r="A980" t="s">
        <v>847</v>
      </c>
      <c r="B980" t="s">
        <v>676</v>
      </c>
      <c r="C980" s="83">
        <v>46235</v>
      </c>
      <c r="D980" t="s">
        <v>679</v>
      </c>
      <c r="E980" t="s">
        <v>699</v>
      </c>
      <c r="F980">
        <v>1</v>
      </c>
      <c r="G980">
        <v>1440</v>
      </c>
    </row>
    <row r="981" spans="1:7" x14ac:dyDescent="0.35">
      <c r="A981" t="s">
        <v>847</v>
      </c>
      <c r="B981" t="s">
        <v>676</v>
      </c>
      <c r="C981" s="83">
        <v>46236</v>
      </c>
      <c r="D981" t="s">
        <v>678</v>
      </c>
      <c r="E981" t="s">
        <v>699</v>
      </c>
      <c r="F981">
        <v>1</v>
      </c>
      <c r="G981">
        <v>1440</v>
      </c>
    </row>
    <row r="982" spans="1:7" x14ac:dyDescent="0.35">
      <c r="A982" t="s">
        <v>847</v>
      </c>
      <c r="B982" t="s">
        <v>676</v>
      </c>
      <c r="C982" s="83">
        <v>46236</v>
      </c>
      <c r="D982" t="s">
        <v>679</v>
      </c>
      <c r="E982" t="s">
        <v>699</v>
      </c>
      <c r="F982">
        <v>1</v>
      </c>
      <c r="G982">
        <v>1440</v>
      </c>
    </row>
    <row r="983" spans="1:7" x14ac:dyDescent="0.35">
      <c r="A983" t="s">
        <v>847</v>
      </c>
      <c r="B983" t="s">
        <v>676</v>
      </c>
      <c r="C983" s="83">
        <v>46237</v>
      </c>
      <c r="D983" t="s">
        <v>678</v>
      </c>
      <c r="E983" t="s">
        <v>699</v>
      </c>
      <c r="F983">
        <v>1</v>
      </c>
      <c r="G983">
        <v>1440</v>
      </c>
    </row>
    <row r="984" spans="1:7" x14ac:dyDescent="0.35">
      <c r="A984" t="s">
        <v>847</v>
      </c>
      <c r="B984" t="s">
        <v>676</v>
      </c>
      <c r="C984" s="83">
        <v>46237</v>
      </c>
      <c r="D984" t="s">
        <v>679</v>
      </c>
      <c r="E984" t="s">
        <v>699</v>
      </c>
      <c r="F984">
        <v>1</v>
      </c>
      <c r="G984">
        <v>1440</v>
      </c>
    </row>
    <row r="985" spans="1:7" x14ac:dyDescent="0.35">
      <c r="A985" t="s">
        <v>847</v>
      </c>
      <c r="B985" t="s">
        <v>676</v>
      </c>
      <c r="C985" s="83">
        <v>46238</v>
      </c>
      <c r="D985" t="s">
        <v>678</v>
      </c>
      <c r="E985" t="s">
        <v>699</v>
      </c>
      <c r="F985">
        <v>1</v>
      </c>
      <c r="G985">
        <v>1440</v>
      </c>
    </row>
    <row r="986" spans="1:7" x14ac:dyDescent="0.35">
      <c r="A986" t="s">
        <v>847</v>
      </c>
      <c r="B986" t="s">
        <v>676</v>
      </c>
      <c r="C986" s="83">
        <v>46238</v>
      </c>
      <c r="D986" t="s">
        <v>679</v>
      </c>
      <c r="E986" t="s">
        <v>699</v>
      </c>
      <c r="F986">
        <v>1</v>
      </c>
      <c r="G986">
        <v>1440</v>
      </c>
    </row>
    <row r="987" spans="1:7" x14ac:dyDescent="0.35">
      <c r="A987" t="s">
        <v>847</v>
      </c>
      <c r="B987" t="s">
        <v>676</v>
      </c>
      <c r="C987" s="83">
        <v>46239</v>
      </c>
      <c r="D987" t="s">
        <v>678</v>
      </c>
      <c r="E987" t="s">
        <v>699</v>
      </c>
      <c r="F987">
        <v>1</v>
      </c>
      <c r="G987">
        <v>1440</v>
      </c>
    </row>
    <row r="988" spans="1:7" x14ac:dyDescent="0.35">
      <c r="A988" t="s">
        <v>847</v>
      </c>
      <c r="B988" t="s">
        <v>676</v>
      </c>
      <c r="C988" s="83">
        <v>46239</v>
      </c>
      <c r="D988" t="s">
        <v>679</v>
      </c>
      <c r="E988" t="s">
        <v>699</v>
      </c>
      <c r="F988">
        <v>1</v>
      </c>
      <c r="G988">
        <v>1440</v>
      </c>
    </row>
    <row r="989" spans="1:7" x14ac:dyDescent="0.35">
      <c r="A989" t="s">
        <v>847</v>
      </c>
      <c r="B989" t="s">
        <v>676</v>
      </c>
      <c r="C989" s="83">
        <v>46240</v>
      </c>
      <c r="D989" t="s">
        <v>678</v>
      </c>
      <c r="E989" t="s">
        <v>699</v>
      </c>
      <c r="F989">
        <v>1</v>
      </c>
      <c r="G989">
        <v>1440</v>
      </c>
    </row>
    <row r="990" spans="1:7" x14ac:dyDescent="0.35">
      <c r="A990" t="s">
        <v>847</v>
      </c>
      <c r="B990" t="s">
        <v>676</v>
      </c>
      <c r="C990" s="83">
        <v>46240</v>
      </c>
      <c r="D990" t="s">
        <v>679</v>
      </c>
      <c r="E990" t="s">
        <v>699</v>
      </c>
      <c r="F990">
        <v>1</v>
      </c>
      <c r="G990">
        <v>1440</v>
      </c>
    </row>
    <row r="991" spans="1:7" x14ac:dyDescent="0.35">
      <c r="A991" t="s">
        <v>847</v>
      </c>
      <c r="B991" t="s">
        <v>676</v>
      </c>
      <c r="C991" s="83">
        <v>46241</v>
      </c>
      <c r="D991" t="s">
        <v>678</v>
      </c>
      <c r="E991" t="s">
        <v>699</v>
      </c>
      <c r="F991">
        <v>1</v>
      </c>
      <c r="G991">
        <v>1440</v>
      </c>
    </row>
    <row r="992" spans="1:7" x14ac:dyDescent="0.35">
      <c r="A992" t="s">
        <v>847</v>
      </c>
      <c r="B992" t="s">
        <v>676</v>
      </c>
      <c r="C992" s="83">
        <v>46241</v>
      </c>
      <c r="D992" t="s">
        <v>679</v>
      </c>
      <c r="E992" t="s">
        <v>699</v>
      </c>
      <c r="F992">
        <v>1</v>
      </c>
      <c r="G992">
        <v>1440</v>
      </c>
    </row>
    <row r="993" spans="1:7" x14ac:dyDescent="0.35">
      <c r="A993" t="s">
        <v>847</v>
      </c>
      <c r="B993" t="s">
        <v>676</v>
      </c>
      <c r="C993" s="83">
        <v>46242</v>
      </c>
      <c r="D993" t="s">
        <v>678</v>
      </c>
      <c r="E993" t="s">
        <v>699</v>
      </c>
      <c r="F993">
        <v>1</v>
      </c>
      <c r="G993">
        <v>1440</v>
      </c>
    </row>
    <row r="994" spans="1:7" x14ac:dyDescent="0.35">
      <c r="A994" t="s">
        <v>847</v>
      </c>
      <c r="B994" t="s">
        <v>676</v>
      </c>
      <c r="C994" s="83">
        <v>46242</v>
      </c>
      <c r="D994" t="s">
        <v>679</v>
      </c>
      <c r="E994" t="s">
        <v>699</v>
      </c>
      <c r="F994">
        <v>1</v>
      </c>
      <c r="G994">
        <v>1440</v>
      </c>
    </row>
    <row r="995" spans="1:7" x14ac:dyDescent="0.35">
      <c r="A995" t="s">
        <v>847</v>
      </c>
      <c r="B995" t="s">
        <v>676</v>
      </c>
      <c r="C995" s="83">
        <v>46243</v>
      </c>
      <c r="D995" t="s">
        <v>678</v>
      </c>
      <c r="E995" t="s">
        <v>699</v>
      </c>
      <c r="F995">
        <v>1</v>
      </c>
      <c r="G995">
        <v>1440</v>
      </c>
    </row>
    <row r="996" spans="1:7" x14ac:dyDescent="0.35">
      <c r="A996" t="s">
        <v>847</v>
      </c>
      <c r="B996" t="s">
        <v>676</v>
      </c>
      <c r="C996" s="83">
        <v>46243</v>
      </c>
      <c r="D996" t="s">
        <v>679</v>
      </c>
      <c r="E996" t="s">
        <v>699</v>
      </c>
      <c r="F996">
        <v>1</v>
      </c>
      <c r="G996">
        <v>1440</v>
      </c>
    </row>
    <row r="997" spans="1:7" x14ac:dyDescent="0.35">
      <c r="A997" t="s">
        <v>847</v>
      </c>
      <c r="B997" t="s">
        <v>676</v>
      </c>
      <c r="C997" s="83">
        <v>46244</v>
      </c>
      <c r="D997" t="s">
        <v>678</v>
      </c>
      <c r="E997" t="s">
        <v>699</v>
      </c>
      <c r="F997">
        <v>1</v>
      </c>
      <c r="G997">
        <v>1440</v>
      </c>
    </row>
    <row r="998" spans="1:7" x14ac:dyDescent="0.35">
      <c r="A998" t="s">
        <v>847</v>
      </c>
      <c r="B998" t="s">
        <v>676</v>
      </c>
      <c r="C998" s="83">
        <v>46244</v>
      </c>
      <c r="D998" t="s">
        <v>679</v>
      </c>
      <c r="E998" t="s">
        <v>699</v>
      </c>
      <c r="F998">
        <v>1</v>
      </c>
      <c r="G998">
        <v>1440</v>
      </c>
    </row>
    <row r="999" spans="1:7" x14ac:dyDescent="0.35">
      <c r="A999" t="s">
        <v>847</v>
      </c>
      <c r="B999" t="s">
        <v>676</v>
      </c>
      <c r="C999" s="83">
        <v>46245</v>
      </c>
      <c r="D999" t="s">
        <v>678</v>
      </c>
      <c r="E999" t="s">
        <v>699</v>
      </c>
      <c r="F999">
        <v>1</v>
      </c>
      <c r="G999">
        <v>1440</v>
      </c>
    </row>
    <row r="1000" spans="1:7" x14ac:dyDescent="0.35">
      <c r="A1000" t="s">
        <v>847</v>
      </c>
      <c r="B1000" t="s">
        <v>676</v>
      </c>
      <c r="C1000" s="83">
        <v>46245</v>
      </c>
      <c r="D1000" t="s">
        <v>679</v>
      </c>
      <c r="E1000" t="s">
        <v>699</v>
      </c>
      <c r="F1000">
        <v>1</v>
      </c>
      <c r="G1000">
        <v>1440</v>
      </c>
    </row>
    <row r="1001" spans="1:7" x14ac:dyDescent="0.35">
      <c r="A1001" t="s">
        <v>847</v>
      </c>
      <c r="B1001" t="s">
        <v>676</v>
      </c>
      <c r="C1001" s="83">
        <v>46246</v>
      </c>
      <c r="D1001" t="s">
        <v>678</v>
      </c>
      <c r="E1001" t="s">
        <v>699</v>
      </c>
      <c r="F1001">
        <v>1</v>
      </c>
      <c r="G1001">
        <v>1440</v>
      </c>
    </row>
    <row r="1002" spans="1:7" x14ac:dyDescent="0.35">
      <c r="A1002" t="s">
        <v>847</v>
      </c>
      <c r="B1002" t="s">
        <v>692</v>
      </c>
      <c r="C1002" s="83"/>
      <c r="F1002">
        <v>15825</v>
      </c>
      <c r="G1002">
        <v>75686.494133333603</v>
      </c>
    </row>
    <row r="1003" spans="1:7" x14ac:dyDescent="0.35">
      <c r="A1003" t="s">
        <v>847</v>
      </c>
      <c r="B1003" t="s">
        <v>676</v>
      </c>
      <c r="C1003" s="83">
        <v>46246</v>
      </c>
      <c r="D1003" t="s">
        <v>679</v>
      </c>
      <c r="E1003" t="s">
        <v>699</v>
      </c>
      <c r="F1003">
        <v>1</v>
      </c>
      <c r="G1003">
        <v>1440</v>
      </c>
    </row>
    <row r="1004" spans="1:7" x14ac:dyDescent="0.35">
      <c r="A1004" t="s">
        <v>847</v>
      </c>
      <c r="B1004" t="s">
        <v>676</v>
      </c>
      <c r="C1004" s="83">
        <v>46247</v>
      </c>
      <c r="D1004" t="s">
        <v>678</v>
      </c>
      <c r="E1004" t="s">
        <v>699</v>
      </c>
      <c r="F1004">
        <v>1</v>
      </c>
      <c r="G1004">
        <v>330</v>
      </c>
    </row>
    <row r="1005" spans="1:7" x14ac:dyDescent="0.35">
      <c r="A1005" t="s">
        <v>847</v>
      </c>
      <c r="B1005" t="s">
        <v>676</v>
      </c>
      <c r="C1005" s="83">
        <v>46247</v>
      </c>
      <c r="D1005" t="s">
        <v>679</v>
      </c>
      <c r="E1005" t="s">
        <v>699</v>
      </c>
      <c r="F1005">
        <v>1</v>
      </c>
      <c r="G1005">
        <v>330</v>
      </c>
    </row>
    <row r="1006" spans="1:7" x14ac:dyDescent="0.35">
      <c r="A1006" t="s">
        <v>847</v>
      </c>
      <c r="B1006" t="s">
        <v>676</v>
      </c>
      <c r="C1006" s="83">
        <v>46249</v>
      </c>
      <c r="D1006" t="s">
        <v>678</v>
      </c>
      <c r="E1006" t="s">
        <v>712</v>
      </c>
      <c r="F1006">
        <v>1</v>
      </c>
      <c r="G1006">
        <v>1110</v>
      </c>
    </row>
    <row r="1007" spans="1:7" x14ac:dyDescent="0.35">
      <c r="A1007" t="s">
        <v>847</v>
      </c>
      <c r="B1007" t="s">
        <v>676</v>
      </c>
      <c r="C1007" s="83">
        <v>46249</v>
      </c>
      <c r="D1007" t="s">
        <v>679</v>
      </c>
      <c r="E1007" t="s">
        <v>712</v>
      </c>
      <c r="F1007">
        <v>1</v>
      </c>
      <c r="G1007">
        <v>1110</v>
      </c>
    </row>
    <row r="1008" spans="1:7" x14ac:dyDescent="0.35">
      <c r="A1008" t="s">
        <v>847</v>
      </c>
      <c r="B1008" t="s">
        <v>676</v>
      </c>
      <c r="C1008" s="83">
        <v>46250</v>
      </c>
      <c r="D1008" t="s">
        <v>678</v>
      </c>
      <c r="E1008" t="s">
        <v>699</v>
      </c>
      <c r="F1008">
        <v>5</v>
      </c>
      <c r="G1008">
        <v>4.5431999999999997</v>
      </c>
    </row>
    <row r="1009" spans="1:7" x14ac:dyDescent="0.35">
      <c r="A1009" t="s">
        <v>847</v>
      </c>
      <c r="B1009" t="s">
        <v>676</v>
      </c>
      <c r="C1009" s="83">
        <v>46250</v>
      </c>
      <c r="D1009" t="s">
        <v>678</v>
      </c>
      <c r="E1009" t="s">
        <v>711</v>
      </c>
      <c r="F1009">
        <v>4</v>
      </c>
      <c r="G1009">
        <v>87.097449999999995</v>
      </c>
    </row>
    <row r="1010" spans="1:7" x14ac:dyDescent="0.35">
      <c r="A1010" t="s">
        <v>847</v>
      </c>
      <c r="B1010" t="s">
        <v>676</v>
      </c>
      <c r="C1010" s="83">
        <v>46250</v>
      </c>
      <c r="D1010" t="s">
        <v>678</v>
      </c>
      <c r="E1010" t="s">
        <v>702</v>
      </c>
      <c r="F1010">
        <v>3</v>
      </c>
      <c r="G1010">
        <v>4.2040333333333297</v>
      </c>
    </row>
    <row r="1011" spans="1:7" x14ac:dyDescent="0.35">
      <c r="A1011" t="s">
        <v>847</v>
      </c>
      <c r="B1011" t="s">
        <v>676</v>
      </c>
      <c r="C1011" s="83">
        <v>46250</v>
      </c>
      <c r="D1011" t="s">
        <v>679</v>
      </c>
      <c r="E1011" t="s">
        <v>699</v>
      </c>
      <c r="F1011">
        <v>7</v>
      </c>
      <c r="G1011">
        <v>220.56811666666701</v>
      </c>
    </row>
    <row r="1012" spans="1:7" x14ac:dyDescent="0.35">
      <c r="A1012" t="s">
        <v>847</v>
      </c>
      <c r="B1012" t="s">
        <v>676</v>
      </c>
      <c r="C1012" s="83">
        <v>46250</v>
      </c>
      <c r="D1012" t="s">
        <v>679</v>
      </c>
      <c r="E1012" t="s">
        <v>713</v>
      </c>
      <c r="F1012">
        <v>6</v>
      </c>
      <c r="G1012">
        <v>3.0389666666666701</v>
      </c>
    </row>
    <row r="1013" spans="1:7" x14ac:dyDescent="0.35">
      <c r="A1013" t="s">
        <v>847</v>
      </c>
      <c r="B1013" t="s">
        <v>676</v>
      </c>
      <c r="C1013" s="83">
        <v>46250</v>
      </c>
      <c r="D1013" t="s">
        <v>679</v>
      </c>
      <c r="E1013" t="s">
        <v>714</v>
      </c>
      <c r="F1013">
        <v>2</v>
      </c>
      <c r="G1013">
        <v>0.333633333333333</v>
      </c>
    </row>
    <row r="1014" spans="1:7" x14ac:dyDescent="0.35">
      <c r="A1014" t="s">
        <v>847</v>
      </c>
      <c r="B1014" t="s">
        <v>676</v>
      </c>
      <c r="C1014" s="83">
        <v>46251</v>
      </c>
      <c r="D1014" t="s">
        <v>678</v>
      </c>
      <c r="E1014" t="s">
        <v>700</v>
      </c>
      <c r="F1014">
        <v>12</v>
      </c>
      <c r="G1014">
        <v>12.1442833333333</v>
      </c>
    </row>
    <row r="1015" spans="1:7" x14ac:dyDescent="0.35">
      <c r="A1015" t="s">
        <v>847</v>
      </c>
      <c r="B1015" t="s">
        <v>676</v>
      </c>
      <c r="C1015" s="83">
        <v>46251</v>
      </c>
      <c r="D1015" t="s">
        <v>678</v>
      </c>
      <c r="E1015" t="s">
        <v>698</v>
      </c>
      <c r="F1015">
        <v>9</v>
      </c>
      <c r="G1015">
        <v>7.7503500000000001</v>
      </c>
    </row>
    <row r="1016" spans="1:7" x14ac:dyDescent="0.35">
      <c r="A1016" t="s">
        <v>847</v>
      </c>
      <c r="B1016" t="s">
        <v>676</v>
      </c>
      <c r="C1016" s="83">
        <v>46251</v>
      </c>
      <c r="D1016" t="s">
        <v>678</v>
      </c>
      <c r="E1016" t="s">
        <v>702</v>
      </c>
      <c r="F1016">
        <v>9</v>
      </c>
      <c r="G1016">
        <v>12.2482333333333</v>
      </c>
    </row>
    <row r="1017" spans="1:7" x14ac:dyDescent="0.35">
      <c r="A1017" t="s">
        <v>847</v>
      </c>
      <c r="B1017" t="s">
        <v>676</v>
      </c>
      <c r="C1017" s="83">
        <v>46251</v>
      </c>
      <c r="D1017" t="s">
        <v>679</v>
      </c>
      <c r="E1017" t="s">
        <v>697</v>
      </c>
      <c r="F1017">
        <v>20</v>
      </c>
      <c r="G1017">
        <v>8.9236500000000003</v>
      </c>
    </row>
    <row r="1018" spans="1:7" x14ac:dyDescent="0.35">
      <c r="A1018" t="s">
        <v>847</v>
      </c>
      <c r="B1018" t="s">
        <v>676</v>
      </c>
      <c r="C1018" s="83">
        <v>46251</v>
      </c>
      <c r="D1018" t="s">
        <v>679</v>
      </c>
      <c r="E1018" t="s">
        <v>700</v>
      </c>
      <c r="F1018">
        <v>13</v>
      </c>
      <c r="G1018">
        <v>10.787316666666699</v>
      </c>
    </row>
    <row r="1019" spans="1:7" x14ac:dyDescent="0.35">
      <c r="A1019" t="s">
        <v>847</v>
      </c>
      <c r="B1019" t="s">
        <v>676</v>
      </c>
      <c r="C1019" s="83">
        <v>46251</v>
      </c>
      <c r="D1019" t="s">
        <v>679</v>
      </c>
      <c r="E1019" t="s">
        <v>703</v>
      </c>
      <c r="F1019">
        <v>7</v>
      </c>
      <c r="G1019">
        <v>3.7121</v>
      </c>
    </row>
    <row r="1020" spans="1:7" x14ac:dyDescent="0.35">
      <c r="A1020" t="s">
        <v>847</v>
      </c>
      <c r="B1020" t="s">
        <v>676</v>
      </c>
      <c r="C1020" s="83">
        <v>46252</v>
      </c>
      <c r="D1020" t="s">
        <v>678</v>
      </c>
      <c r="E1020" t="s">
        <v>697</v>
      </c>
      <c r="F1020">
        <v>21</v>
      </c>
      <c r="G1020">
        <v>16.96405</v>
      </c>
    </row>
    <row r="1021" spans="1:7" x14ac:dyDescent="0.35">
      <c r="A1021" t="s">
        <v>847</v>
      </c>
      <c r="B1021" t="s">
        <v>676</v>
      </c>
      <c r="C1021" s="83">
        <v>46252</v>
      </c>
      <c r="D1021" t="s">
        <v>678</v>
      </c>
      <c r="E1021" t="s">
        <v>700</v>
      </c>
      <c r="F1021">
        <v>15</v>
      </c>
      <c r="G1021">
        <v>12.775166666666699</v>
      </c>
    </row>
    <row r="1022" spans="1:7" x14ac:dyDescent="0.35">
      <c r="A1022" t="s">
        <v>847</v>
      </c>
      <c r="B1022" t="s">
        <v>676</v>
      </c>
      <c r="C1022" s="83">
        <v>46252</v>
      </c>
      <c r="D1022" t="s">
        <v>678</v>
      </c>
      <c r="E1022" t="s">
        <v>698</v>
      </c>
      <c r="F1022">
        <v>7</v>
      </c>
      <c r="G1022">
        <v>3.1287333333333298</v>
      </c>
    </row>
    <row r="1023" spans="1:7" x14ac:dyDescent="0.35">
      <c r="A1023" t="s">
        <v>847</v>
      </c>
      <c r="B1023" t="s">
        <v>676</v>
      </c>
      <c r="C1023" s="83">
        <v>46252</v>
      </c>
      <c r="D1023" t="s">
        <v>679</v>
      </c>
      <c r="E1023" t="s">
        <v>697</v>
      </c>
      <c r="F1023">
        <v>34</v>
      </c>
      <c r="G1023">
        <v>21.0932</v>
      </c>
    </row>
    <row r="1024" spans="1:7" x14ac:dyDescent="0.35">
      <c r="A1024" t="s">
        <v>847</v>
      </c>
      <c r="B1024" t="s">
        <v>676</v>
      </c>
      <c r="C1024" s="83">
        <v>46252</v>
      </c>
      <c r="D1024" t="s">
        <v>679</v>
      </c>
      <c r="E1024" t="s">
        <v>700</v>
      </c>
      <c r="F1024">
        <v>15</v>
      </c>
      <c r="G1024">
        <v>11.6076</v>
      </c>
    </row>
    <row r="1025" spans="1:7" x14ac:dyDescent="0.35">
      <c r="A1025" t="s">
        <v>847</v>
      </c>
      <c r="B1025" t="s">
        <v>676</v>
      </c>
      <c r="C1025" s="83">
        <v>46252</v>
      </c>
      <c r="D1025" t="s">
        <v>679</v>
      </c>
      <c r="E1025" t="s">
        <v>699</v>
      </c>
      <c r="F1025">
        <v>5</v>
      </c>
      <c r="G1025">
        <v>2.5235333333333299</v>
      </c>
    </row>
    <row r="1026" spans="1:7" x14ac:dyDescent="0.35">
      <c r="A1026" t="s">
        <v>847</v>
      </c>
      <c r="B1026" t="s">
        <v>676</v>
      </c>
      <c r="C1026" s="83">
        <v>46253</v>
      </c>
      <c r="D1026" t="s">
        <v>678</v>
      </c>
      <c r="E1026" t="s">
        <v>700</v>
      </c>
      <c r="F1026">
        <v>12</v>
      </c>
      <c r="G1026">
        <v>9.2205166666666702</v>
      </c>
    </row>
    <row r="1027" spans="1:7" x14ac:dyDescent="0.35">
      <c r="A1027" t="s">
        <v>847</v>
      </c>
      <c r="B1027" t="s">
        <v>676</v>
      </c>
      <c r="C1027" s="83">
        <v>46253</v>
      </c>
      <c r="D1027" t="s">
        <v>678</v>
      </c>
      <c r="E1027" t="s">
        <v>697</v>
      </c>
      <c r="F1027">
        <v>9</v>
      </c>
      <c r="G1027">
        <v>4.8536999999999999</v>
      </c>
    </row>
    <row r="1028" spans="1:7" x14ac:dyDescent="0.35">
      <c r="A1028" t="s">
        <v>847</v>
      </c>
      <c r="B1028" t="s">
        <v>676</v>
      </c>
      <c r="C1028" s="83">
        <v>46253</v>
      </c>
      <c r="D1028" t="s">
        <v>678</v>
      </c>
      <c r="E1028" t="s">
        <v>715</v>
      </c>
      <c r="F1028">
        <v>6</v>
      </c>
      <c r="G1028">
        <v>44.334350000000001</v>
      </c>
    </row>
    <row r="1029" spans="1:7" x14ac:dyDescent="0.35">
      <c r="A1029" t="s">
        <v>847</v>
      </c>
      <c r="B1029" t="s">
        <v>676</v>
      </c>
      <c r="C1029" s="83">
        <v>46253</v>
      </c>
      <c r="D1029" t="s">
        <v>679</v>
      </c>
      <c r="E1029" t="s">
        <v>697</v>
      </c>
      <c r="F1029">
        <v>14</v>
      </c>
      <c r="G1029">
        <v>8.3420000000000005</v>
      </c>
    </row>
    <row r="1030" spans="1:7" x14ac:dyDescent="0.35">
      <c r="A1030" t="s">
        <v>847</v>
      </c>
      <c r="B1030" t="s">
        <v>676</v>
      </c>
      <c r="C1030" s="83">
        <v>46253</v>
      </c>
      <c r="D1030" t="s">
        <v>679</v>
      </c>
      <c r="E1030" t="s">
        <v>700</v>
      </c>
      <c r="F1030">
        <v>14</v>
      </c>
      <c r="G1030">
        <v>10.9150666666667</v>
      </c>
    </row>
    <row r="1031" spans="1:7" x14ac:dyDescent="0.35">
      <c r="A1031" t="s">
        <v>847</v>
      </c>
      <c r="B1031" t="s">
        <v>676</v>
      </c>
      <c r="C1031" s="83">
        <v>46253</v>
      </c>
      <c r="D1031" t="s">
        <v>679</v>
      </c>
      <c r="E1031" t="s">
        <v>699</v>
      </c>
      <c r="F1031">
        <v>3</v>
      </c>
      <c r="G1031">
        <v>0.83748333333333302</v>
      </c>
    </row>
    <row r="1032" spans="1:7" x14ac:dyDescent="0.35">
      <c r="A1032" t="s">
        <v>847</v>
      </c>
      <c r="B1032" t="s">
        <v>676</v>
      </c>
      <c r="C1032" s="83">
        <v>46254</v>
      </c>
      <c r="D1032" t="s">
        <v>678</v>
      </c>
      <c r="E1032" t="s">
        <v>697</v>
      </c>
      <c r="F1032">
        <v>27</v>
      </c>
      <c r="G1032">
        <v>21.1444166666667</v>
      </c>
    </row>
    <row r="1033" spans="1:7" x14ac:dyDescent="0.35">
      <c r="A1033" t="s">
        <v>847</v>
      </c>
      <c r="B1033" t="s">
        <v>676</v>
      </c>
      <c r="C1033" s="83">
        <v>46254</v>
      </c>
      <c r="D1033" t="s">
        <v>678</v>
      </c>
      <c r="E1033" t="s">
        <v>700</v>
      </c>
      <c r="F1033">
        <v>15</v>
      </c>
      <c r="G1033">
        <v>16.0353666666667</v>
      </c>
    </row>
    <row r="1034" spans="1:7" x14ac:dyDescent="0.35">
      <c r="A1034" t="s">
        <v>847</v>
      </c>
      <c r="B1034" t="s">
        <v>676</v>
      </c>
      <c r="C1034" s="83">
        <v>46254</v>
      </c>
      <c r="D1034" t="s">
        <v>678</v>
      </c>
      <c r="E1034" t="s">
        <v>702</v>
      </c>
      <c r="F1034">
        <v>11</v>
      </c>
      <c r="G1034">
        <v>4.8463333333333303</v>
      </c>
    </row>
    <row r="1035" spans="1:7" x14ac:dyDescent="0.35">
      <c r="A1035" t="s">
        <v>847</v>
      </c>
      <c r="B1035" t="s">
        <v>676</v>
      </c>
      <c r="C1035" s="83">
        <v>46254</v>
      </c>
      <c r="D1035" t="s">
        <v>679</v>
      </c>
      <c r="E1035" t="s">
        <v>697</v>
      </c>
      <c r="F1035">
        <v>38</v>
      </c>
      <c r="G1035">
        <v>28.4561833333333</v>
      </c>
    </row>
    <row r="1036" spans="1:7" x14ac:dyDescent="0.35">
      <c r="A1036" t="s">
        <v>847</v>
      </c>
      <c r="B1036" t="s">
        <v>676</v>
      </c>
      <c r="C1036" s="83">
        <v>46254</v>
      </c>
      <c r="D1036" t="s">
        <v>679</v>
      </c>
      <c r="E1036" t="s">
        <v>700</v>
      </c>
      <c r="F1036">
        <v>18</v>
      </c>
      <c r="G1036">
        <v>25.7746</v>
      </c>
    </row>
    <row r="1037" spans="1:7" x14ac:dyDescent="0.35">
      <c r="A1037" t="s">
        <v>847</v>
      </c>
      <c r="B1037" t="s">
        <v>676</v>
      </c>
      <c r="C1037" s="83">
        <v>46254</v>
      </c>
      <c r="D1037" t="s">
        <v>679</v>
      </c>
      <c r="E1037" t="s">
        <v>699</v>
      </c>
      <c r="F1037">
        <v>6</v>
      </c>
      <c r="G1037">
        <v>7.1723833333333298</v>
      </c>
    </row>
    <row r="1038" spans="1:7" x14ac:dyDescent="0.35">
      <c r="A1038" t="s">
        <v>847</v>
      </c>
      <c r="B1038" t="s">
        <v>676</v>
      </c>
      <c r="C1038" s="83">
        <v>46255</v>
      </c>
      <c r="D1038" t="s">
        <v>678</v>
      </c>
      <c r="E1038" t="s">
        <v>700</v>
      </c>
      <c r="F1038">
        <v>22</v>
      </c>
      <c r="G1038">
        <v>20.514949999999999</v>
      </c>
    </row>
    <row r="1039" spans="1:7" x14ac:dyDescent="0.35">
      <c r="A1039" t="s">
        <v>847</v>
      </c>
      <c r="B1039" t="s">
        <v>676</v>
      </c>
      <c r="C1039" s="83">
        <v>46255</v>
      </c>
      <c r="D1039" t="s">
        <v>678</v>
      </c>
      <c r="E1039" t="s">
        <v>702</v>
      </c>
      <c r="F1039">
        <v>10</v>
      </c>
      <c r="G1039">
        <v>3.3351833333333301</v>
      </c>
    </row>
    <row r="1040" spans="1:7" x14ac:dyDescent="0.35">
      <c r="A1040" t="s">
        <v>847</v>
      </c>
      <c r="B1040" t="s">
        <v>676</v>
      </c>
      <c r="C1040" s="83">
        <v>46255</v>
      </c>
      <c r="D1040" t="s">
        <v>678</v>
      </c>
      <c r="E1040" t="s">
        <v>697</v>
      </c>
      <c r="F1040">
        <v>5</v>
      </c>
      <c r="G1040">
        <v>3.0024166666666701</v>
      </c>
    </row>
    <row r="1041" spans="1:7" x14ac:dyDescent="0.35">
      <c r="A1041" t="s">
        <v>847</v>
      </c>
      <c r="B1041" t="s">
        <v>676</v>
      </c>
      <c r="C1041" s="83">
        <v>46255</v>
      </c>
      <c r="D1041" t="s">
        <v>679</v>
      </c>
      <c r="E1041" t="s">
        <v>700</v>
      </c>
      <c r="F1041">
        <v>22</v>
      </c>
      <c r="G1041">
        <v>22.202033333333301</v>
      </c>
    </row>
    <row r="1042" spans="1:7" x14ac:dyDescent="0.35">
      <c r="A1042" t="s">
        <v>847</v>
      </c>
      <c r="B1042" t="s">
        <v>676</v>
      </c>
      <c r="C1042" s="83">
        <v>46255</v>
      </c>
      <c r="D1042" t="s">
        <v>679</v>
      </c>
      <c r="E1042" t="s">
        <v>697</v>
      </c>
      <c r="F1042">
        <v>21</v>
      </c>
      <c r="G1042">
        <v>12.5788166666667</v>
      </c>
    </row>
    <row r="1043" spans="1:7" x14ac:dyDescent="0.35">
      <c r="A1043" t="s">
        <v>847</v>
      </c>
      <c r="B1043" t="s">
        <v>676</v>
      </c>
      <c r="C1043" s="83">
        <v>46255</v>
      </c>
      <c r="D1043" t="s">
        <v>679</v>
      </c>
      <c r="E1043" t="s">
        <v>702</v>
      </c>
      <c r="F1043">
        <v>5</v>
      </c>
      <c r="G1043">
        <v>2.1731833333333301</v>
      </c>
    </row>
    <row r="1044" spans="1:7" x14ac:dyDescent="0.35">
      <c r="A1044" t="s">
        <v>847</v>
      </c>
      <c r="B1044" t="s">
        <v>676</v>
      </c>
      <c r="C1044" s="83">
        <v>46256</v>
      </c>
      <c r="D1044" t="s">
        <v>678</v>
      </c>
      <c r="E1044" t="s">
        <v>700</v>
      </c>
      <c r="F1044">
        <v>20</v>
      </c>
      <c r="G1044">
        <v>18.639233333333301</v>
      </c>
    </row>
    <row r="1045" spans="1:7" x14ac:dyDescent="0.35">
      <c r="A1045" t="s">
        <v>847</v>
      </c>
      <c r="B1045" t="s">
        <v>676</v>
      </c>
      <c r="C1045" s="83">
        <v>46256</v>
      </c>
      <c r="D1045" t="s">
        <v>678</v>
      </c>
      <c r="E1045" t="s">
        <v>697</v>
      </c>
      <c r="F1045">
        <v>15</v>
      </c>
      <c r="G1045">
        <v>12.318899999999999</v>
      </c>
    </row>
    <row r="1046" spans="1:7" x14ac:dyDescent="0.35">
      <c r="A1046" t="s">
        <v>847</v>
      </c>
      <c r="B1046" t="s">
        <v>676</v>
      </c>
      <c r="C1046" s="83">
        <v>46256</v>
      </c>
      <c r="D1046" t="s">
        <v>678</v>
      </c>
      <c r="E1046" t="s">
        <v>702</v>
      </c>
      <c r="F1046">
        <v>7</v>
      </c>
      <c r="G1046">
        <v>2.5046166666666698</v>
      </c>
    </row>
    <row r="1047" spans="1:7" x14ac:dyDescent="0.35">
      <c r="A1047" t="s">
        <v>847</v>
      </c>
      <c r="B1047" t="s">
        <v>676</v>
      </c>
      <c r="C1047" s="83">
        <v>46256</v>
      </c>
      <c r="D1047" t="s">
        <v>679</v>
      </c>
      <c r="E1047" t="s">
        <v>700</v>
      </c>
      <c r="F1047">
        <v>23</v>
      </c>
      <c r="G1047">
        <v>20.1756666666667</v>
      </c>
    </row>
    <row r="1048" spans="1:7" x14ac:dyDescent="0.35">
      <c r="A1048" t="s">
        <v>847</v>
      </c>
      <c r="B1048" t="s">
        <v>676</v>
      </c>
      <c r="C1048" s="83">
        <v>46256</v>
      </c>
      <c r="D1048" t="s">
        <v>679</v>
      </c>
      <c r="E1048" t="s">
        <v>697</v>
      </c>
      <c r="F1048">
        <v>14</v>
      </c>
      <c r="G1048">
        <v>7.1718000000000002</v>
      </c>
    </row>
    <row r="1049" spans="1:7" x14ac:dyDescent="0.35">
      <c r="A1049" t="s">
        <v>847</v>
      </c>
      <c r="B1049" t="s">
        <v>676</v>
      </c>
      <c r="C1049" s="83">
        <v>46256</v>
      </c>
      <c r="D1049" t="s">
        <v>679</v>
      </c>
      <c r="E1049" t="s">
        <v>702</v>
      </c>
      <c r="F1049">
        <v>12</v>
      </c>
      <c r="G1049">
        <v>4.1756833333333301</v>
      </c>
    </row>
    <row r="1050" spans="1:7" x14ac:dyDescent="0.35">
      <c r="A1050" t="s">
        <v>847</v>
      </c>
      <c r="B1050" t="s">
        <v>676</v>
      </c>
      <c r="C1050" s="83">
        <v>46257</v>
      </c>
      <c r="D1050" t="s">
        <v>678</v>
      </c>
      <c r="E1050" t="s">
        <v>697</v>
      </c>
      <c r="F1050">
        <v>22</v>
      </c>
      <c r="G1050">
        <v>22.7350666666667</v>
      </c>
    </row>
    <row r="1051" spans="1:7" x14ac:dyDescent="0.35">
      <c r="A1051" t="s">
        <v>847</v>
      </c>
      <c r="B1051" t="s">
        <v>676</v>
      </c>
      <c r="C1051" s="83">
        <v>46257</v>
      </c>
      <c r="D1051" t="s">
        <v>678</v>
      </c>
      <c r="E1051" t="s">
        <v>700</v>
      </c>
      <c r="F1051">
        <v>22</v>
      </c>
      <c r="G1051">
        <v>17.0018666666667</v>
      </c>
    </row>
    <row r="1052" spans="1:7" x14ac:dyDescent="0.35">
      <c r="A1052" t="s">
        <v>847</v>
      </c>
      <c r="B1052" t="s">
        <v>676</v>
      </c>
      <c r="C1052" s="83">
        <v>46257</v>
      </c>
      <c r="D1052" t="s">
        <v>678</v>
      </c>
      <c r="E1052" t="s">
        <v>702</v>
      </c>
      <c r="F1052">
        <v>11</v>
      </c>
      <c r="G1052">
        <v>3.4934166666666702</v>
      </c>
    </row>
    <row r="1053" spans="1:7" x14ac:dyDescent="0.35">
      <c r="A1053" t="s">
        <v>847</v>
      </c>
      <c r="B1053" t="s">
        <v>676</v>
      </c>
      <c r="C1053" s="83">
        <v>46257</v>
      </c>
      <c r="D1053" t="s">
        <v>679</v>
      </c>
      <c r="E1053" t="s">
        <v>700</v>
      </c>
      <c r="F1053">
        <v>21</v>
      </c>
      <c r="G1053">
        <v>17.33455</v>
      </c>
    </row>
    <row r="1054" spans="1:7" x14ac:dyDescent="0.35">
      <c r="A1054" t="s">
        <v>847</v>
      </c>
      <c r="B1054" t="s">
        <v>676</v>
      </c>
      <c r="C1054" s="83">
        <v>46257</v>
      </c>
      <c r="D1054" t="s">
        <v>679</v>
      </c>
      <c r="E1054" t="s">
        <v>698</v>
      </c>
      <c r="F1054">
        <v>14</v>
      </c>
      <c r="G1054">
        <v>28.8221666666667</v>
      </c>
    </row>
    <row r="1055" spans="1:7" x14ac:dyDescent="0.35">
      <c r="A1055" t="s">
        <v>847</v>
      </c>
      <c r="B1055" t="s">
        <v>676</v>
      </c>
      <c r="C1055" s="83">
        <v>46257</v>
      </c>
      <c r="D1055" t="s">
        <v>679</v>
      </c>
      <c r="E1055" t="s">
        <v>704</v>
      </c>
      <c r="F1055">
        <v>13</v>
      </c>
      <c r="G1055">
        <v>20.235016666666699</v>
      </c>
    </row>
    <row r="1056" spans="1:7" x14ac:dyDescent="0.35">
      <c r="A1056" t="s">
        <v>847</v>
      </c>
      <c r="B1056" t="s">
        <v>676</v>
      </c>
      <c r="C1056" s="83">
        <v>46258</v>
      </c>
      <c r="D1056" t="s">
        <v>678</v>
      </c>
      <c r="E1056" t="s">
        <v>700</v>
      </c>
      <c r="F1056">
        <v>20</v>
      </c>
      <c r="G1056">
        <v>16.658716666666699</v>
      </c>
    </row>
    <row r="1057" spans="1:7" x14ac:dyDescent="0.35">
      <c r="A1057" t="s">
        <v>847</v>
      </c>
      <c r="B1057" t="s">
        <v>676</v>
      </c>
      <c r="C1057" s="83">
        <v>46258</v>
      </c>
      <c r="D1057" t="s">
        <v>678</v>
      </c>
      <c r="E1057" t="s">
        <v>705</v>
      </c>
      <c r="F1057">
        <v>19</v>
      </c>
      <c r="G1057">
        <v>39.82535</v>
      </c>
    </row>
    <row r="1058" spans="1:7" x14ac:dyDescent="0.35">
      <c r="A1058" t="s">
        <v>847</v>
      </c>
      <c r="B1058" t="s">
        <v>676</v>
      </c>
      <c r="C1058" s="83">
        <v>46258</v>
      </c>
      <c r="D1058" t="s">
        <v>678</v>
      </c>
      <c r="E1058" t="s">
        <v>699</v>
      </c>
      <c r="F1058">
        <v>11</v>
      </c>
      <c r="G1058">
        <v>58.652383333333297</v>
      </c>
    </row>
    <row r="1059" spans="1:7" x14ac:dyDescent="0.35">
      <c r="A1059" t="s">
        <v>847</v>
      </c>
      <c r="B1059" t="s">
        <v>676</v>
      </c>
      <c r="C1059" s="83">
        <v>46258</v>
      </c>
      <c r="D1059" t="s">
        <v>679</v>
      </c>
      <c r="E1059" t="s">
        <v>705</v>
      </c>
      <c r="F1059">
        <v>31</v>
      </c>
      <c r="G1059">
        <v>24.983000000000001</v>
      </c>
    </row>
    <row r="1060" spans="1:7" x14ac:dyDescent="0.35">
      <c r="A1060" t="s">
        <v>847</v>
      </c>
      <c r="B1060" t="s">
        <v>676</v>
      </c>
      <c r="C1060" s="83">
        <v>46258</v>
      </c>
      <c r="D1060" t="s">
        <v>679</v>
      </c>
      <c r="E1060" t="s">
        <v>704</v>
      </c>
      <c r="F1060">
        <v>31</v>
      </c>
      <c r="G1060">
        <v>51.579949999999997</v>
      </c>
    </row>
    <row r="1061" spans="1:7" x14ac:dyDescent="0.35">
      <c r="A1061" t="s">
        <v>847</v>
      </c>
      <c r="B1061" t="s">
        <v>676</v>
      </c>
      <c r="C1061" s="83">
        <v>46258</v>
      </c>
      <c r="D1061" t="s">
        <v>679</v>
      </c>
      <c r="E1061" t="s">
        <v>709</v>
      </c>
      <c r="F1061">
        <v>23</v>
      </c>
      <c r="G1061">
        <v>10.155583333333301</v>
      </c>
    </row>
    <row r="1062" spans="1:7" x14ac:dyDescent="0.35">
      <c r="A1062" t="s">
        <v>847</v>
      </c>
      <c r="B1062" t="s">
        <v>676</v>
      </c>
      <c r="C1062" s="83">
        <v>46259</v>
      </c>
      <c r="D1062" t="s">
        <v>678</v>
      </c>
      <c r="E1062" t="s">
        <v>697</v>
      </c>
      <c r="F1062">
        <v>41</v>
      </c>
      <c r="G1062">
        <v>31.333766666666701</v>
      </c>
    </row>
    <row r="1063" spans="1:7" x14ac:dyDescent="0.35">
      <c r="A1063" t="s">
        <v>847</v>
      </c>
      <c r="B1063" t="s">
        <v>676</v>
      </c>
      <c r="C1063" s="83">
        <v>46259</v>
      </c>
      <c r="D1063" t="s">
        <v>678</v>
      </c>
      <c r="E1063" t="s">
        <v>700</v>
      </c>
      <c r="F1063">
        <v>13</v>
      </c>
      <c r="G1063">
        <v>11.676716666666699</v>
      </c>
    </row>
    <row r="1064" spans="1:7" x14ac:dyDescent="0.35">
      <c r="A1064" t="s">
        <v>847</v>
      </c>
      <c r="B1064" t="s">
        <v>676</v>
      </c>
      <c r="C1064" s="83">
        <v>46259</v>
      </c>
      <c r="D1064" t="s">
        <v>678</v>
      </c>
      <c r="E1064" t="s">
        <v>699</v>
      </c>
      <c r="F1064">
        <v>9</v>
      </c>
      <c r="G1064">
        <v>15.3251333333333</v>
      </c>
    </row>
    <row r="1065" spans="1:7" x14ac:dyDescent="0.35">
      <c r="A1065" t="s">
        <v>847</v>
      </c>
      <c r="B1065" t="s">
        <v>676</v>
      </c>
      <c r="C1065" s="83">
        <v>46259</v>
      </c>
      <c r="D1065" t="s">
        <v>679</v>
      </c>
      <c r="E1065" t="s">
        <v>697</v>
      </c>
      <c r="F1065">
        <v>15</v>
      </c>
      <c r="G1065">
        <v>9.3323999999999998</v>
      </c>
    </row>
    <row r="1066" spans="1:7" x14ac:dyDescent="0.35">
      <c r="A1066" t="s">
        <v>847</v>
      </c>
      <c r="B1066" t="s">
        <v>676</v>
      </c>
      <c r="C1066" s="83">
        <v>46259</v>
      </c>
      <c r="D1066" t="s">
        <v>679</v>
      </c>
      <c r="E1066" t="s">
        <v>700</v>
      </c>
      <c r="F1066">
        <v>13</v>
      </c>
      <c r="G1066">
        <v>16.167999999999999</v>
      </c>
    </row>
    <row r="1067" spans="1:7" x14ac:dyDescent="0.35">
      <c r="A1067" t="s">
        <v>847</v>
      </c>
      <c r="B1067" t="s">
        <v>676</v>
      </c>
      <c r="C1067" s="83">
        <v>46259</v>
      </c>
      <c r="D1067" t="s">
        <v>679</v>
      </c>
      <c r="E1067" t="s">
        <v>703</v>
      </c>
      <c r="F1067">
        <v>12</v>
      </c>
      <c r="G1067">
        <v>7.1645666666666701</v>
      </c>
    </row>
    <row r="1068" spans="1:7" x14ac:dyDescent="0.35">
      <c r="A1068" t="s">
        <v>847</v>
      </c>
      <c r="B1068" t="s">
        <v>676</v>
      </c>
      <c r="C1068" s="83">
        <v>46260</v>
      </c>
      <c r="D1068" t="s">
        <v>678</v>
      </c>
      <c r="E1068" t="s">
        <v>697</v>
      </c>
      <c r="F1068">
        <v>74</v>
      </c>
      <c r="G1068">
        <v>57.824816666666699</v>
      </c>
    </row>
    <row r="1069" spans="1:7" x14ac:dyDescent="0.35">
      <c r="A1069" t="s">
        <v>847</v>
      </c>
      <c r="B1069" t="s">
        <v>676</v>
      </c>
      <c r="C1069" s="83">
        <v>46260</v>
      </c>
      <c r="D1069" t="s">
        <v>678</v>
      </c>
      <c r="E1069" t="s">
        <v>700</v>
      </c>
      <c r="F1069">
        <v>26</v>
      </c>
      <c r="G1069">
        <v>22.00515</v>
      </c>
    </row>
    <row r="1070" spans="1:7" x14ac:dyDescent="0.35">
      <c r="A1070" t="s">
        <v>847</v>
      </c>
      <c r="B1070" t="s">
        <v>676</v>
      </c>
      <c r="C1070" s="83">
        <v>46260</v>
      </c>
      <c r="D1070" t="s">
        <v>678</v>
      </c>
      <c r="E1070" t="s">
        <v>702</v>
      </c>
      <c r="F1070">
        <v>11</v>
      </c>
      <c r="G1070">
        <v>4.1687166666666702</v>
      </c>
    </row>
    <row r="1071" spans="1:7" x14ac:dyDescent="0.35">
      <c r="A1071" t="s">
        <v>847</v>
      </c>
      <c r="B1071" t="s">
        <v>676</v>
      </c>
      <c r="C1071" s="83">
        <v>46260</v>
      </c>
      <c r="D1071" t="s">
        <v>679</v>
      </c>
      <c r="E1071" t="s">
        <v>697</v>
      </c>
      <c r="F1071">
        <v>26</v>
      </c>
      <c r="G1071">
        <v>18.997216666666699</v>
      </c>
    </row>
    <row r="1072" spans="1:7" x14ac:dyDescent="0.35">
      <c r="A1072" t="s">
        <v>847</v>
      </c>
      <c r="B1072" t="s">
        <v>676</v>
      </c>
      <c r="C1072" s="83">
        <v>46260</v>
      </c>
      <c r="D1072" t="s">
        <v>679</v>
      </c>
      <c r="E1072" t="s">
        <v>700</v>
      </c>
      <c r="F1072">
        <v>21</v>
      </c>
      <c r="G1072">
        <v>18.328766666666699</v>
      </c>
    </row>
    <row r="1073" spans="1:7" x14ac:dyDescent="0.35">
      <c r="A1073" t="s">
        <v>847</v>
      </c>
      <c r="B1073" t="s">
        <v>676</v>
      </c>
      <c r="C1073" s="83">
        <v>46260</v>
      </c>
      <c r="D1073" t="s">
        <v>679</v>
      </c>
      <c r="E1073" t="s">
        <v>699</v>
      </c>
      <c r="F1073">
        <v>7</v>
      </c>
      <c r="G1073">
        <v>14.336600000000001</v>
      </c>
    </row>
    <row r="1074" spans="1:7" x14ac:dyDescent="0.35">
      <c r="A1074" t="s">
        <v>847</v>
      </c>
      <c r="B1074" t="s">
        <v>676</v>
      </c>
      <c r="C1074" s="83">
        <v>46261</v>
      </c>
      <c r="D1074" t="s">
        <v>678</v>
      </c>
      <c r="E1074" t="s">
        <v>697</v>
      </c>
      <c r="F1074">
        <v>36</v>
      </c>
      <c r="G1074">
        <v>25.336833333333299</v>
      </c>
    </row>
    <row r="1075" spans="1:7" x14ac:dyDescent="0.35">
      <c r="A1075" t="s">
        <v>847</v>
      </c>
      <c r="B1075" t="s">
        <v>676</v>
      </c>
      <c r="C1075" s="83">
        <v>46261</v>
      </c>
      <c r="D1075" t="s">
        <v>678</v>
      </c>
      <c r="E1075" t="s">
        <v>700</v>
      </c>
      <c r="F1075">
        <v>20</v>
      </c>
      <c r="G1075">
        <v>30.004716666666699</v>
      </c>
    </row>
    <row r="1076" spans="1:7" x14ac:dyDescent="0.35">
      <c r="A1076" t="s">
        <v>847</v>
      </c>
      <c r="B1076" t="s">
        <v>676</v>
      </c>
      <c r="C1076" s="83">
        <v>46261</v>
      </c>
      <c r="D1076" t="s">
        <v>678</v>
      </c>
      <c r="E1076" t="s">
        <v>702</v>
      </c>
      <c r="F1076">
        <v>11</v>
      </c>
      <c r="G1076">
        <v>3.5085333333333302</v>
      </c>
    </row>
    <row r="1077" spans="1:7" x14ac:dyDescent="0.35">
      <c r="A1077" t="s">
        <v>847</v>
      </c>
      <c r="B1077" t="s">
        <v>676</v>
      </c>
      <c r="C1077" s="83">
        <v>46261</v>
      </c>
      <c r="D1077" t="s">
        <v>679</v>
      </c>
      <c r="E1077" t="s">
        <v>697</v>
      </c>
      <c r="F1077">
        <v>39</v>
      </c>
      <c r="G1077">
        <v>24.3672166666667</v>
      </c>
    </row>
    <row r="1078" spans="1:7" x14ac:dyDescent="0.35">
      <c r="A1078" t="s">
        <v>847</v>
      </c>
      <c r="B1078" t="s">
        <v>676</v>
      </c>
      <c r="C1078" s="83">
        <v>46261</v>
      </c>
      <c r="D1078" t="s">
        <v>679</v>
      </c>
      <c r="E1078" t="s">
        <v>700</v>
      </c>
      <c r="F1078">
        <v>20</v>
      </c>
      <c r="G1078">
        <v>22.1661</v>
      </c>
    </row>
    <row r="1079" spans="1:7" x14ac:dyDescent="0.35">
      <c r="A1079" t="s">
        <v>847</v>
      </c>
      <c r="B1079" t="s">
        <v>676</v>
      </c>
      <c r="C1079" s="83">
        <v>46261</v>
      </c>
      <c r="D1079" t="s">
        <v>679</v>
      </c>
      <c r="E1079" t="s">
        <v>699</v>
      </c>
      <c r="F1079">
        <v>16</v>
      </c>
      <c r="G1079">
        <v>22.324750000000002</v>
      </c>
    </row>
    <row r="1080" spans="1:7" x14ac:dyDescent="0.35">
      <c r="A1080" t="s">
        <v>847</v>
      </c>
      <c r="B1080" t="s">
        <v>676</v>
      </c>
      <c r="C1080" s="83">
        <v>46262</v>
      </c>
      <c r="D1080" t="s">
        <v>678</v>
      </c>
      <c r="E1080" t="s">
        <v>699</v>
      </c>
      <c r="F1080">
        <v>2</v>
      </c>
      <c r="G1080">
        <v>1203.0180666666699</v>
      </c>
    </row>
    <row r="1081" spans="1:7" x14ac:dyDescent="0.35">
      <c r="A1081" t="s">
        <v>847</v>
      </c>
      <c r="B1081" t="s">
        <v>676</v>
      </c>
      <c r="C1081" s="83">
        <v>46262</v>
      </c>
      <c r="D1081" t="s">
        <v>678</v>
      </c>
      <c r="E1081" t="s">
        <v>700</v>
      </c>
      <c r="F1081">
        <v>2</v>
      </c>
      <c r="G1081">
        <v>1.8333666666666699</v>
      </c>
    </row>
    <row r="1082" spans="1:7" x14ac:dyDescent="0.35">
      <c r="A1082" t="s">
        <v>847</v>
      </c>
      <c r="B1082" t="s">
        <v>676</v>
      </c>
      <c r="C1082" s="83">
        <v>46262</v>
      </c>
      <c r="D1082" t="s">
        <v>679</v>
      </c>
      <c r="E1082" t="s">
        <v>697</v>
      </c>
      <c r="F1082">
        <v>5</v>
      </c>
      <c r="G1082">
        <v>3.0024333333333302</v>
      </c>
    </row>
    <row r="1083" spans="1:7" x14ac:dyDescent="0.35">
      <c r="A1083" t="s">
        <v>847</v>
      </c>
      <c r="B1083" t="s">
        <v>676</v>
      </c>
      <c r="C1083" s="83">
        <v>46262</v>
      </c>
      <c r="D1083" t="s">
        <v>679</v>
      </c>
      <c r="E1083" t="s">
        <v>703</v>
      </c>
      <c r="F1083">
        <v>4</v>
      </c>
      <c r="G1083">
        <v>3.1714500000000001</v>
      </c>
    </row>
    <row r="1084" spans="1:7" x14ac:dyDescent="0.35">
      <c r="A1084" t="s">
        <v>847</v>
      </c>
      <c r="B1084" t="s">
        <v>676</v>
      </c>
      <c r="C1084" s="83">
        <v>46262</v>
      </c>
      <c r="D1084" t="s">
        <v>679</v>
      </c>
      <c r="E1084" t="s">
        <v>699</v>
      </c>
      <c r="F1084">
        <v>3</v>
      </c>
      <c r="G1084">
        <v>1205.68523333333</v>
      </c>
    </row>
    <row r="1085" spans="1:7" x14ac:dyDescent="0.35">
      <c r="A1085" t="s">
        <v>847</v>
      </c>
      <c r="B1085" t="s">
        <v>676</v>
      </c>
      <c r="C1085" s="83">
        <v>46263</v>
      </c>
      <c r="D1085" t="s">
        <v>678</v>
      </c>
      <c r="E1085" t="s">
        <v>697</v>
      </c>
      <c r="F1085">
        <v>18</v>
      </c>
      <c r="G1085">
        <v>13.37805</v>
      </c>
    </row>
    <row r="1086" spans="1:7" x14ac:dyDescent="0.35">
      <c r="A1086" t="s">
        <v>847</v>
      </c>
      <c r="B1086" t="s">
        <v>676</v>
      </c>
      <c r="C1086" s="83">
        <v>46263</v>
      </c>
      <c r="D1086" t="s">
        <v>678</v>
      </c>
      <c r="E1086" t="s">
        <v>700</v>
      </c>
      <c r="F1086">
        <v>11</v>
      </c>
      <c r="G1086">
        <v>15.7093166666667</v>
      </c>
    </row>
    <row r="1087" spans="1:7" x14ac:dyDescent="0.35">
      <c r="A1087" t="s">
        <v>847</v>
      </c>
      <c r="B1087" t="s">
        <v>676</v>
      </c>
      <c r="C1087" s="83">
        <v>46263</v>
      </c>
      <c r="D1087" t="s">
        <v>678</v>
      </c>
      <c r="E1087" t="s">
        <v>702</v>
      </c>
      <c r="F1087">
        <v>10</v>
      </c>
      <c r="G1087">
        <v>4.3647499999999999</v>
      </c>
    </row>
    <row r="1088" spans="1:7" x14ac:dyDescent="0.35">
      <c r="A1088" t="s">
        <v>847</v>
      </c>
      <c r="B1088" t="s">
        <v>676</v>
      </c>
      <c r="C1088" s="83">
        <v>46263</v>
      </c>
      <c r="D1088" t="s">
        <v>679</v>
      </c>
      <c r="E1088" t="s">
        <v>700</v>
      </c>
      <c r="F1088">
        <v>14</v>
      </c>
      <c r="G1088">
        <v>13.025183333333301</v>
      </c>
    </row>
    <row r="1089" spans="1:7" x14ac:dyDescent="0.35">
      <c r="A1089" t="s">
        <v>847</v>
      </c>
      <c r="B1089" t="s">
        <v>676</v>
      </c>
      <c r="C1089" s="83">
        <v>46263</v>
      </c>
      <c r="D1089" t="s">
        <v>679</v>
      </c>
      <c r="E1089" t="s">
        <v>697</v>
      </c>
      <c r="F1089">
        <v>11</v>
      </c>
      <c r="G1089">
        <v>9.3933666666666706</v>
      </c>
    </row>
    <row r="1090" spans="1:7" x14ac:dyDescent="0.35">
      <c r="A1090" t="s">
        <v>847</v>
      </c>
      <c r="B1090" t="s">
        <v>676</v>
      </c>
      <c r="C1090" s="83">
        <v>46263</v>
      </c>
      <c r="D1090" t="s">
        <v>679</v>
      </c>
      <c r="E1090" t="s">
        <v>703</v>
      </c>
      <c r="F1090">
        <v>8</v>
      </c>
      <c r="G1090">
        <v>12.957100000000001</v>
      </c>
    </row>
    <row r="1091" spans="1:7" x14ac:dyDescent="0.35">
      <c r="A1091" t="s">
        <v>847</v>
      </c>
      <c r="B1091" t="s">
        <v>676</v>
      </c>
      <c r="C1091" s="83">
        <v>46264</v>
      </c>
      <c r="D1091" t="s">
        <v>678</v>
      </c>
      <c r="E1091" t="s">
        <v>700</v>
      </c>
      <c r="F1091">
        <v>22</v>
      </c>
      <c r="G1091">
        <v>24.82555</v>
      </c>
    </row>
    <row r="1092" spans="1:7" x14ac:dyDescent="0.35">
      <c r="A1092" t="s">
        <v>847</v>
      </c>
      <c r="B1092" t="s">
        <v>676</v>
      </c>
      <c r="C1092" s="83">
        <v>46264</v>
      </c>
      <c r="D1092" t="s">
        <v>678</v>
      </c>
      <c r="E1092" t="s">
        <v>697</v>
      </c>
      <c r="F1092">
        <v>15</v>
      </c>
      <c r="G1092">
        <v>11.508466666666701</v>
      </c>
    </row>
    <row r="1093" spans="1:7" x14ac:dyDescent="0.35">
      <c r="A1093" t="s">
        <v>847</v>
      </c>
      <c r="B1093" t="s">
        <v>676</v>
      </c>
      <c r="C1093" s="83">
        <v>46264</v>
      </c>
      <c r="D1093" t="s">
        <v>678</v>
      </c>
      <c r="E1093" t="s">
        <v>702</v>
      </c>
      <c r="F1093">
        <v>7</v>
      </c>
      <c r="G1093">
        <v>2.3326500000000001</v>
      </c>
    </row>
    <row r="1094" spans="1:7" x14ac:dyDescent="0.35">
      <c r="A1094" t="s">
        <v>847</v>
      </c>
      <c r="B1094" t="s">
        <v>676</v>
      </c>
      <c r="C1094" s="83">
        <v>46264</v>
      </c>
      <c r="D1094" t="s">
        <v>679</v>
      </c>
      <c r="E1094" t="s">
        <v>697</v>
      </c>
      <c r="F1094">
        <v>36</v>
      </c>
      <c r="G1094">
        <v>27.176166666666699</v>
      </c>
    </row>
    <row r="1095" spans="1:7" x14ac:dyDescent="0.35">
      <c r="A1095" t="s">
        <v>847</v>
      </c>
      <c r="B1095" t="s">
        <v>676</v>
      </c>
      <c r="C1095" s="83">
        <v>46264</v>
      </c>
      <c r="D1095" t="s">
        <v>679</v>
      </c>
      <c r="E1095" t="s">
        <v>700</v>
      </c>
      <c r="F1095">
        <v>17</v>
      </c>
      <c r="G1095">
        <v>13.818716666666701</v>
      </c>
    </row>
    <row r="1096" spans="1:7" x14ac:dyDescent="0.35">
      <c r="A1096" t="s">
        <v>847</v>
      </c>
      <c r="B1096" t="s">
        <v>676</v>
      </c>
      <c r="C1096" s="83">
        <v>46264</v>
      </c>
      <c r="D1096" t="s">
        <v>679</v>
      </c>
      <c r="E1096" t="s">
        <v>699</v>
      </c>
      <c r="F1096">
        <v>13</v>
      </c>
      <c r="G1096">
        <v>29.1914333333333</v>
      </c>
    </row>
    <row r="1097" spans="1:7" x14ac:dyDescent="0.35">
      <c r="A1097" t="s">
        <v>847</v>
      </c>
      <c r="B1097" t="s">
        <v>676</v>
      </c>
      <c r="C1097" s="83">
        <v>46265</v>
      </c>
      <c r="D1097" t="s">
        <v>678</v>
      </c>
      <c r="E1097" t="s">
        <v>700</v>
      </c>
      <c r="F1097">
        <v>36</v>
      </c>
      <c r="G1097">
        <v>34.1815833333333</v>
      </c>
    </row>
    <row r="1098" spans="1:7" x14ac:dyDescent="0.35">
      <c r="A1098" t="s">
        <v>847</v>
      </c>
      <c r="B1098" t="s">
        <v>676</v>
      </c>
      <c r="C1098" s="83">
        <v>46265</v>
      </c>
      <c r="D1098" t="s">
        <v>678</v>
      </c>
      <c r="E1098" t="s">
        <v>697</v>
      </c>
      <c r="F1098">
        <v>13</v>
      </c>
      <c r="G1098">
        <v>7.4951166666666698</v>
      </c>
    </row>
    <row r="1099" spans="1:7" x14ac:dyDescent="0.35">
      <c r="A1099" t="s">
        <v>847</v>
      </c>
      <c r="B1099" t="s">
        <v>676</v>
      </c>
      <c r="C1099" s="83">
        <v>46265</v>
      </c>
      <c r="D1099" t="s">
        <v>678</v>
      </c>
      <c r="E1099" t="s">
        <v>702</v>
      </c>
      <c r="F1099">
        <v>5</v>
      </c>
      <c r="G1099">
        <v>1.1619333333333299</v>
      </c>
    </row>
    <row r="1100" spans="1:7" x14ac:dyDescent="0.35">
      <c r="A1100" t="s">
        <v>847</v>
      </c>
      <c r="B1100" t="s">
        <v>676</v>
      </c>
      <c r="C1100" s="83">
        <v>46265</v>
      </c>
      <c r="D1100" t="s">
        <v>679</v>
      </c>
      <c r="E1100" t="s">
        <v>697</v>
      </c>
      <c r="F1100">
        <v>36</v>
      </c>
      <c r="G1100">
        <v>17.6650666666667</v>
      </c>
    </row>
    <row r="1101" spans="1:7" x14ac:dyDescent="0.35">
      <c r="A1101" t="s">
        <v>847</v>
      </c>
      <c r="B1101" t="s">
        <v>676</v>
      </c>
      <c r="C1101" s="83">
        <v>46265</v>
      </c>
      <c r="D1101" t="s">
        <v>679</v>
      </c>
      <c r="E1101" t="s">
        <v>700</v>
      </c>
      <c r="F1101">
        <v>21</v>
      </c>
      <c r="G1101">
        <v>16.51765</v>
      </c>
    </row>
    <row r="1102" spans="1:7" x14ac:dyDescent="0.35">
      <c r="A1102" t="s">
        <v>847</v>
      </c>
      <c r="B1102" t="s">
        <v>676</v>
      </c>
      <c r="C1102" s="83">
        <v>46265</v>
      </c>
      <c r="D1102" t="s">
        <v>679</v>
      </c>
      <c r="E1102" t="s">
        <v>702</v>
      </c>
      <c r="F1102">
        <v>4</v>
      </c>
      <c r="G1102">
        <v>1.4968666666666699</v>
      </c>
    </row>
    <row r="1103" spans="1:7" x14ac:dyDescent="0.35">
      <c r="A1103" t="s">
        <v>847</v>
      </c>
      <c r="B1103" t="s">
        <v>676</v>
      </c>
      <c r="C1103" s="83">
        <v>46266</v>
      </c>
      <c r="D1103" t="s">
        <v>678</v>
      </c>
      <c r="E1103" t="s">
        <v>697</v>
      </c>
      <c r="F1103">
        <v>48</v>
      </c>
      <c r="G1103">
        <v>34.351566666666699</v>
      </c>
    </row>
    <row r="1104" spans="1:7" x14ac:dyDescent="0.35">
      <c r="A1104" t="s">
        <v>847</v>
      </c>
      <c r="B1104" t="s">
        <v>676</v>
      </c>
      <c r="C1104" s="83">
        <v>46266</v>
      </c>
      <c r="D1104" t="s">
        <v>678</v>
      </c>
      <c r="E1104" t="s">
        <v>700</v>
      </c>
      <c r="F1104">
        <v>21</v>
      </c>
      <c r="G1104">
        <v>25.9911666666667</v>
      </c>
    </row>
    <row r="1105" spans="1:7" x14ac:dyDescent="0.35">
      <c r="A1105" t="s">
        <v>847</v>
      </c>
      <c r="B1105" t="s">
        <v>676</v>
      </c>
      <c r="C1105" s="83">
        <v>46266</v>
      </c>
      <c r="D1105" t="s">
        <v>678</v>
      </c>
      <c r="E1105" t="s">
        <v>702</v>
      </c>
      <c r="F1105">
        <v>4</v>
      </c>
      <c r="G1105">
        <v>1.16533333333333</v>
      </c>
    </row>
    <row r="1106" spans="1:7" x14ac:dyDescent="0.35">
      <c r="A1106" t="s">
        <v>847</v>
      </c>
      <c r="B1106" t="s">
        <v>676</v>
      </c>
      <c r="C1106" s="83">
        <v>46266</v>
      </c>
      <c r="D1106" t="s">
        <v>679</v>
      </c>
      <c r="E1106" t="s">
        <v>697</v>
      </c>
      <c r="F1106">
        <v>57</v>
      </c>
      <c r="G1106">
        <v>37.189399999999999</v>
      </c>
    </row>
    <row r="1107" spans="1:7" x14ac:dyDescent="0.35">
      <c r="A1107" t="s">
        <v>847</v>
      </c>
      <c r="B1107" t="s">
        <v>676</v>
      </c>
      <c r="C1107" s="83">
        <v>46266</v>
      </c>
      <c r="D1107" t="s">
        <v>679</v>
      </c>
      <c r="E1107" t="s">
        <v>700</v>
      </c>
      <c r="F1107">
        <v>20</v>
      </c>
      <c r="G1107">
        <v>21.327266666666699</v>
      </c>
    </row>
    <row r="1108" spans="1:7" x14ac:dyDescent="0.35">
      <c r="A1108" t="s">
        <v>847</v>
      </c>
      <c r="B1108" t="s">
        <v>676</v>
      </c>
      <c r="C1108" s="83">
        <v>46266</v>
      </c>
      <c r="D1108" t="s">
        <v>679</v>
      </c>
      <c r="E1108" t="s">
        <v>703</v>
      </c>
      <c r="F1108">
        <v>6</v>
      </c>
      <c r="G1108">
        <v>1.5047666666666699</v>
      </c>
    </row>
    <row r="1109" spans="1:7" x14ac:dyDescent="0.35">
      <c r="A1109" t="s">
        <v>847</v>
      </c>
      <c r="B1109" t="s">
        <v>676</v>
      </c>
      <c r="C1109" s="83">
        <v>46267</v>
      </c>
      <c r="D1109" t="s">
        <v>678</v>
      </c>
      <c r="E1109" t="s">
        <v>700</v>
      </c>
      <c r="F1109">
        <v>11</v>
      </c>
      <c r="G1109">
        <v>319.36601666666701</v>
      </c>
    </row>
    <row r="1110" spans="1:7" x14ac:dyDescent="0.35">
      <c r="A1110" t="s">
        <v>847</v>
      </c>
      <c r="B1110" t="s">
        <v>676</v>
      </c>
      <c r="C1110" s="83">
        <v>46267</v>
      </c>
      <c r="D1110" t="s">
        <v>678</v>
      </c>
      <c r="E1110" t="s">
        <v>697</v>
      </c>
      <c r="F1110">
        <v>9</v>
      </c>
      <c r="G1110">
        <v>7.8333833333333303</v>
      </c>
    </row>
    <row r="1111" spans="1:7" x14ac:dyDescent="0.35">
      <c r="A1111" t="s">
        <v>847</v>
      </c>
      <c r="B1111" t="s">
        <v>676</v>
      </c>
      <c r="C1111" s="83">
        <v>46267</v>
      </c>
      <c r="D1111" t="s">
        <v>678</v>
      </c>
      <c r="E1111" t="s">
        <v>699</v>
      </c>
      <c r="F1111">
        <v>7</v>
      </c>
      <c r="G1111">
        <v>59.171316666666698</v>
      </c>
    </row>
    <row r="1112" spans="1:7" x14ac:dyDescent="0.35">
      <c r="A1112" t="s">
        <v>847</v>
      </c>
      <c r="B1112" t="s">
        <v>676</v>
      </c>
      <c r="C1112" s="83">
        <v>46267</v>
      </c>
      <c r="D1112" t="s">
        <v>679</v>
      </c>
      <c r="E1112" t="s">
        <v>699</v>
      </c>
      <c r="F1112">
        <v>13</v>
      </c>
      <c r="G1112">
        <v>23.515883333333299</v>
      </c>
    </row>
    <row r="1113" spans="1:7" x14ac:dyDescent="0.35">
      <c r="A1113" t="s">
        <v>847</v>
      </c>
      <c r="B1113" t="s">
        <v>676</v>
      </c>
      <c r="C1113" s="83">
        <v>46267</v>
      </c>
      <c r="D1113" t="s">
        <v>679</v>
      </c>
      <c r="E1113" t="s">
        <v>698</v>
      </c>
      <c r="F1113">
        <v>13</v>
      </c>
      <c r="G1113">
        <v>22.652383333333301</v>
      </c>
    </row>
    <row r="1114" spans="1:7" x14ac:dyDescent="0.35">
      <c r="A1114" t="s">
        <v>847</v>
      </c>
      <c r="B1114" t="s">
        <v>676</v>
      </c>
      <c r="C1114" s="83">
        <v>46267</v>
      </c>
      <c r="D1114" t="s">
        <v>679</v>
      </c>
      <c r="E1114" t="s">
        <v>713</v>
      </c>
      <c r="F1114">
        <v>9</v>
      </c>
      <c r="G1114">
        <v>18.672433333333299</v>
      </c>
    </row>
    <row r="1115" spans="1:7" x14ac:dyDescent="0.35">
      <c r="A1115" t="s">
        <v>847</v>
      </c>
      <c r="B1115" t="s">
        <v>676</v>
      </c>
      <c r="C1115" s="83">
        <v>46268</v>
      </c>
      <c r="D1115" t="s">
        <v>678</v>
      </c>
      <c r="E1115" t="s">
        <v>700</v>
      </c>
      <c r="F1115">
        <v>22</v>
      </c>
      <c r="G1115">
        <v>23.009333333333299</v>
      </c>
    </row>
    <row r="1116" spans="1:7" x14ac:dyDescent="0.35">
      <c r="A1116" t="s">
        <v>847</v>
      </c>
      <c r="B1116" t="s">
        <v>676</v>
      </c>
      <c r="C1116" s="83">
        <v>46268</v>
      </c>
      <c r="D1116" t="s">
        <v>678</v>
      </c>
      <c r="E1116" t="s">
        <v>701</v>
      </c>
      <c r="F1116">
        <v>12</v>
      </c>
      <c r="G1116">
        <v>4.4991500000000002</v>
      </c>
    </row>
    <row r="1117" spans="1:7" x14ac:dyDescent="0.35">
      <c r="A1117" t="s">
        <v>847</v>
      </c>
      <c r="B1117" t="s">
        <v>676</v>
      </c>
      <c r="C1117" s="83">
        <v>46268</v>
      </c>
      <c r="D1117" t="s">
        <v>678</v>
      </c>
      <c r="E1117" t="s">
        <v>702</v>
      </c>
      <c r="F1117">
        <v>10</v>
      </c>
      <c r="G1117">
        <v>2.3387500000000001</v>
      </c>
    </row>
    <row r="1118" spans="1:7" x14ac:dyDescent="0.35">
      <c r="A1118" t="s">
        <v>847</v>
      </c>
      <c r="B1118" t="s">
        <v>676</v>
      </c>
      <c r="C1118" s="83">
        <v>46268</v>
      </c>
      <c r="D1118" t="s">
        <v>679</v>
      </c>
      <c r="E1118" t="s">
        <v>701</v>
      </c>
      <c r="F1118">
        <v>22</v>
      </c>
      <c r="G1118">
        <v>6.6641333333333304</v>
      </c>
    </row>
    <row r="1119" spans="1:7" x14ac:dyDescent="0.35">
      <c r="A1119" t="s">
        <v>847</v>
      </c>
      <c r="B1119" t="s">
        <v>676</v>
      </c>
      <c r="C1119" s="83">
        <v>46268</v>
      </c>
      <c r="D1119" t="s">
        <v>679</v>
      </c>
      <c r="E1119" t="s">
        <v>700</v>
      </c>
      <c r="F1119">
        <v>16</v>
      </c>
      <c r="G1119">
        <v>14.3456666666667</v>
      </c>
    </row>
    <row r="1120" spans="1:7" x14ac:dyDescent="0.35">
      <c r="A1120" t="s">
        <v>847</v>
      </c>
      <c r="B1120" t="s">
        <v>676</v>
      </c>
      <c r="C1120" s="83">
        <v>46268</v>
      </c>
      <c r="D1120" t="s">
        <v>679</v>
      </c>
      <c r="E1120" t="s">
        <v>698</v>
      </c>
      <c r="F1120">
        <v>10</v>
      </c>
      <c r="G1120">
        <v>7.6654833333333299</v>
      </c>
    </row>
    <row r="1121" spans="1:7" x14ac:dyDescent="0.35">
      <c r="A1121" t="s">
        <v>847</v>
      </c>
      <c r="B1121" t="s">
        <v>676</v>
      </c>
      <c r="C1121" s="83">
        <v>46269</v>
      </c>
      <c r="D1121" t="s">
        <v>678</v>
      </c>
      <c r="E1121" t="s">
        <v>700</v>
      </c>
      <c r="F1121">
        <v>4</v>
      </c>
      <c r="G1121">
        <v>5.1616499999999998</v>
      </c>
    </row>
    <row r="1122" spans="1:7" x14ac:dyDescent="0.35">
      <c r="A1122" t="s">
        <v>847</v>
      </c>
      <c r="B1122" t="s">
        <v>676</v>
      </c>
      <c r="C1122" s="83">
        <v>46269</v>
      </c>
      <c r="D1122" t="s">
        <v>678</v>
      </c>
      <c r="E1122" t="s">
        <v>697</v>
      </c>
      <c r="F1122">
        <v>3</v>
      </c>
      <c r="G1122">
        <v>3.99525</v>
      </c>
    </row>
    <row r="1123" spans="1:7" x14ac:dyDescent="0.35">
      <c r="A1123" t="s">
        <v>847</v>
      </c>
      <c r="B1123" t="s">
        <v>676</v>
      </c>
      <c r="C1123" s="83">
        <v>46269</v>
      </c>
      <c r="D1123" t="s">
        <v>678</v>
      </c>
      <c r="E1123" t="s">
        <v>702</v>
      </c>
      <c r="F1123">
        <v>3</v>
      </c>
      <c r="G1123">
        <v>0.83303333333333296</v>
      </c>
    </row>
    <row r="1124" spans="1:7" x14ac:dyDescent="0.35">
      <c r="A1124" t="s">
        <v>847</v>
      </c>
      <c r="B1124" t="s">
        <v>676</v>
      </c>
      <c r="C1124" s="83">
        <v>46269</v>
      </c>
      <c r="D1124" t="s">
        <v>679</v>
      </c>
      <c r="E1124" t="s">
        <v>700</v>
      </c>
      <c r="F1124">
        <v>4</v>
      </c>
      <c r="G1124">
        <v>3.1669833333333299</v>
      </c>
    </row>
    <row r="1125" spans="1:7" x14ac:dyDescent="0.35">
      <c r="A1125" t="s">
        <v>847</v>
      </c>
      <c r="B1125" t="s">
        <v>676</v>
      </c>
      <c r="C1125" s="83">
        <v>46269</v>
      </c>
      <c r="D1125" t="s">
        <v>679</v>
      </c>
      <c r="E1125" t="s">
        <v>702</v>
      </c>
      <c r="F1125">
        <v>3</v>
      </c>
      <c r="G1125">
        <v>0.67554999999999998</v>
      </c>
    </row>
    <row r="1126" spans="1:7" x14ac:dyDescent="0.35">
      <c r="A1126" t="s">
        <v>847</v>
      </c>
      <c r="B1126" t="s">
        <v>676</v>
      </c>
      <c r="C1126" s="83">
        <v>46269</v>
      </c>
      <c r="D1126" t="s">
        <v>679</v>
      </c>
      <c r="E1126" t="s">
        <v>699</v>
      </c>
      <c r="F1126">
        <v>3</v>
      </c>
      <c r="G1126">
        <v>1181.7137166666701</v>
      </c>
    </row>
    <row r="1127" spans="1:7" x14ac:dyDescent="0.35">
      <c r="A1127" t="s">
        <v>847</v>
      </c>
      <c r="B1127" t="s">
        <v>676</v>
      </c>
      <c r="C1127" s="83">
        <v>46270</v>
      </c>
      <c r="D1127" t="s">
        <v>678</v>
      </c>
      <c r="E1127" t="s">
        <v>702</v>
      </c>
      <c r="F1127">
        <v>17</v>
      </c>
      <c r="G1127">
        <v>12.512700000000001</v>
      </c>
    </row>
    <row r="1128" spans="1:7" x14ac:dyDescent="0.35">
      <c r="A1128" t="s">
        <v>847</v>
      </c>
      <c r="B1128" t="s">
        <v>676</v>
      </c>
      <c r="C1128" s="83">
        <v>46270</v>
      </c>
      <c r="D1128" t="s">
        <v>678</v>
      </c>
      <c r="E1128" t="s">
        <v>700</v>
      </c>
      <c r="F1128">
        <v>8</v>
      </c>
      <c r="G1128">
        <v>8.0090000000000003</v>
      </c>
    </row>
    <row r="1129" spans="1:7" x14ac:dyDescent="0.35">
      <c r="A1129" t="s">
        <v>847</v>
      </c>
      <c r="B1129" t="s">
        <v>676</v>
      </c>
      <c r="C1129" s="83">
        <v>46270</v>
      </c>
      <c r="D1129" t="s">
        <v>678</v>
      </c>
      <c r="E1129" t="s">
        <v>701</v>
      </c>
      <c r="F1129">
        <v>6</v>
      </c>
      <c r="G1129">
        <v>4.1770333333333296</v>
      </c>
    </row>
    <row r="1130" spans="1:7" x14ac:dyDescent="0.35">
      <c r="A1130" t="s">
        <v>847</v>
      </c>
      <c r="B1130" t="s">
        <v>676</v>
      </c>
      <c r="C1130" s="83">
        <v>46270</v>
      </c>
      <c r="D1130" t="s">
        <v>679</v>
      </c>
      <c r="E1130" t="s">
        <v>697</v>
      </c>
      <c r="F1130">
        <v>7</v>
      </c>
      <c r="G1130">
        <v>4.8298333333333296</v>
      </c>
    </row>
    <row r="1131" spans="1:7" x14ac:dyDescent="0.35">
      <c r="A1131" t="s">
        <v>847</v>
      </c>
      <c r="B1131" t="s">
        <v>676</v>
      </c>
      <c r="C1131" s="83">
        <v>46270</v>
      </c>
      <c r="D1131" t="s">
        <v>679</v>
      </c>
      <c r="E1131" t="s">
        <v>700</v>
      </c>
      <c r="F1131">
        <v>6</v>
      </c>
      <c r="G1131">
        <v>4.1676166666666701</v>
      </c>
    </row>
    <row r="1132" spans="1:7" x14ac:dyDescent="0.35">
      <c r="A1132" t="s">
        <v>847</v>
      </c>
      <c r="B1132" t="s">
        <v>676</v>
      </c>
      <c r="C1132" s="83">
        <v>46270</v>
      </c>
      <c r="D1132" t="s">
        <v>679</v>
      </c>
      <c r="E1132" t="s">
        <v>702</v>
      </c>
      <c r="F1132">
        <v>5</v>
      </c>
      <c r="G1132">
        <v>0.83783333333333299</v>
      </c>
    </row>
    <row r="1133" spans="1:7" x14ac:dyDescent="0.35">
      <c r="A1133" t="s">
        <v>847</v>
      </c>
      <c r="B1133" t="s">
        <v>676</v>
      </c>
      <c r="C1133" s="83">
        <v>46271</v>
      </c>
      <c r="D1133" t="s">
        <v>678</v>
      </c>
      <c r="E1133" t="s">
        <v>700</v>
      </c>
      <c r="F1133">
        <v>26</v>
      </c>
      <c r="G1133">
        <v>21.662199999999999</v>
      </c>
    </row>
    <row r="1134" spans="1:7" x14ac:dyDescent="0.35">
      <c r="A1134" t="s">
        <v>847</v>
      </c>
      <c r="B1134" t="s">
        <v>676</v>
      </c>
      <c r="C1134" s="83">
        <v>46271</v>
      </c>
      <c r="D1134" t="s">
        <v>678</v>
      </c>
      <c r="E1134" t="s">
        <v>697</v>
      </c>
      <c r="F1134">
        <v>11</v>
      </c>
      <c r="G1134">
        <v>9.3382333333333296</v>
      </c>
    </row>
    <row r="1135" spans="1:7" x14ac:dyDescent="0.35">
      <c r="A1135" t="s">
        <v>847</v>
      </c>
      <c r="B1135" t="s">
        <v>676</v>
      </c>
      <c r="C1135" s="83">
        <v>46271</v>
      </c>
      <c r="D1135" t="s">
        <v>678</v>
      </c>
      <c r="E1135" t="s">
        <v>702</v>
      </c>
      <c r="F1135">
        <v>10</v>
      </c>
      <c r="G1135">
        <v>5.1564500000000004</v>
      </c>
    </row>
    <row r="1136" spans="1:7" x14ac:dyDescent="0.35">
      <c r="A1136" t="s">
        <v>847</v>
      </c>
      <c r="B1136" t="s">
        <v>676</v>
      </c>
      <c r="C1136" s="83">
        <v>46271</v>
      </c>
      <c r="D1136" t="s">
        <v>679</v>
      </c>
      <c r="E1136" t="s">
        <v>697</v>
      </c>
      <c r="F1136">
        <v>19</v>
      </c>
      <c r="G1136">
        <v>19.484500000000001</v>
      </c>
    </row>
    <row r="1137" spans="1:7" x14ac:dyDescent="0.35">
      <c r="A1137" t="s">
        <v>847</v>
      </c>
      <c r="B1137" t="s">
        <v>676</v>
      </c>
      <c r="C1137" s="83">
        <v>46271</v>
      </c>
      <c r="D1137" t="s">
        <v>679</v>
      </c>
      <c r="E1137" t="s">
        <v>700</v>
      </c>
      <c r="F1137">
        <v>19</v>
      </c>
      <c r="G1137">
        <v>18.825199999999999</v>
      </c>
    </row>
    <row r="1138" spans="1:7" x14ac:dyDescent="0.35">
      <c r="A1138" t="s">
        <v>847</v>
      </c>
      <c r="B1138" t="s">
        <v>676</v>
      </c>
      <c r="C1138" s="83">
        <v>46271</v>
      </c>
      <c r="D1138" t="s">
        <v>679</v>
      </c>
      <c r="E1138" t="s">
        <v>702</v>
      </c>
      <c r="F1138">
        <v>6</v>
      </c>
      <c r="G1138">
        <v>2.6711833333333299</v>
      </c>
    </row>
    <row r="1139" spans="1:7" x14ac:dyDescent="0.35">
      <c r="A1139" t="s">
        <v>847</v>
      </c>
      <c r="B1139" t="s">
        <v>676</v>
      </c>
      <c r="C1139" s="83">
        <v>46272</v>
      </c>
      <c r="D1139" t="s">
        <v>678</v>
      </c>
      <c r="E1139" t="s">
        <v>700</v>
      </c>
      <c r="F1139">
        <v>9</v>
      </c>
      <c r="G1139">
        <v>7.01105</v>
      </c>
    </row>
    <row r="1140" spans="1:7" x14ac:dyDescent="0.35">
      <c r="A1140" t="s">
        <v>847</v>
      </c>
      <c r="B1140" t="s">
        <v>676</v>
      </c>
      <c r="C1140" s="83">
        <v>46272</v>
      </c>
      <c r="D1140" t="s">
        <v>678</v>
      </c>
      <c r="E1140" t="s">
        <v>702</v>
      </c>
      <c r="F1140">
        <v>9</v>
      </c>
      <c r="G1140">
        <v>8.6683833333333293</v>
      </c>
    </row>
    <row r="1141" spans="1:7" x14ac:dyDescent="0.35">
      <c r="A1141" t="s">
        <v>847</v>
      </c>
      <c r="B1141" t="s">
        <v>676</v>
      </c>
      <c r="C1141" s="83">
        <v>46272</v>
      </c>
      <c r="D1141" t="s">
        <v>678</v>
      </c>
      <c r="E1141" t="s">
        <v>699</v>
      </c>
      <c r="F1141">
        <v>6</v>
      </c>
      <c r="G1141">
        <v>9.1579333333333306</v>
      </c>
    </row>
    <row r="1142" spans="1:7" x14ac:dyDescent="0.35">
      <c r="A1142" t="s">
        <v>847</v>
      </c>
      <c r="B1142" t="s">
        <v>676</v>
      </c>
      <c r="C1142" s="83">
        <v>46272</v>
      </c>
      <c r="D1142" t="s">
        <v>679</v>
      </c>
      <c r="E1142" t="s">
        <v>700</v>
      </c>
      <c r="F1142">
        <v>11</v>
      </c>
      <c r="G1142">
        <v>29.0088166666667</v>
      </c>
    </row>
    <row r="1143" spans="1:7" x14ac:dyDescent="0.35">
      <c r="A1143" t="s">
        <v>847</v>
      </c>
      <c r="B1143" t="s">
        <v>676</v>
      </c>
      <c r="C1143" s="83">
        <v>46272</v>
      </c>
      <c r="D1143" t="s">
        <v>679</v>
      </c>
      <c r="E1143" t="s">
        <v>716</v>
      </c>
      <c r="F1143">
        <v>8</v>
      </c>
      <c r="G1143">
        <v>21.0117166666667</v>
      </c>
    </row>
    <row r="1144" spans="1:7" x14ac:dyDescent="0.35">
      <c r="A1144" t="s">
        <v>847</v>
      </c>
      <c r="B1144" t="s">
        <v>676</v>
      </c>
      <c r="C1144" s="83">
        <v>46272</v>
      </c>
      <c r="D1144" t="s">
        <v>679</v>
      </c>
      <c r="E1144" t="s">
        <v>699</v>
      </c>
      <c r="F1144">
        <v>6</v>
      </c>
      <c r="G1144">
        <v>6.1570166666666699</v>
      </c>
    </row>
    <row r="1145" spans="1:7" x14ac:dyDescent="0.35">
      <c r="A1145" t="s">
        <v>847</v>
      </c>
      <c r="B1145" t="s">
        <v>676</v>
      </c>
      <c r="C1145" s="83">
        <v>46273</v>
      </c>
      <c r="D1145" t="s">
        <v>678</v>
      </c>
      <c r="E1145" t="s">
        <v>700</v>
      </c>
      <c r="F1145">
        <v>22</v>
      </c>
      <c r="G1145">
        <v>19.907699999999998</v>
      </c>
    </row>
    <row r="1146" spans="1:7" x14ac:dyDescent="0.35">
      <c r="A1146" t="s">
        <v>847</v>
      </c>
      <c r="B1146" t="s">
        <v>676</v>
      </c>
      <c r="C1146" s="83">
        <v>46273</v>
      </c>
      <c r="D1146" t="s">
        <v>678</v>
      </c>
      <c r="E1146" t="s">
        <v>697</v>
      </c>
      <c r="F1146">
        <v>10</v>
      </c>
      <c r="G1146">
        <v>6.3432666666666702</v>
      </c>
    </row>
    <row r="1147" spans="1:7" x14ac:dyDescent="0.35">
      <c r="A1147" t="s">
        <v>847</v>
      </c>
      <c r="B1147" t="s">
        <v>676</v>
      </c>
      <c r="C1147" s="83">
        <v>46273</v>
      </c>
      <c r="D1147" t="s">
        <v>678</v>
      </c>
      <c r="E1147" t="s">
        <v>702</v>
      </c>
      <c r="F1147">
        <v>5</v>
      </c>
      <c r="G1147">
        <v>1.3326166666666699</v>
      </c>
    </row>
    <row r="1148" spans="1:7" x14ac:dyDescent="0.35">
      <c r="A1148" t="s">
        <v>847</v>
      </c>
      <c r="B1148" t="s">
        <v>676</v>
      </c>
      <c r="C1148" s="83">
        <v>46273</v>
      </c>
      <c r="D1148" t="s">
        <v>679</v>
      </c>
      <c r="E1148" t="s">
        <v>701</v>
      </c>
      <c r="F1148">
        <v>39</v>
      </c>
      <c r="G1148">
        <v>45.18215</v>
      </c>
    </row>
    <row r="1149" spans="1:7" x14ac:dyDescent="0.35">
      <c r="A1149" t="s">
        <v>847</v>
      </c>
      <c r="B1149" t="s">
        <v>676</v>
      </c>
      <c r="C1149" s="83">
        <v>46273</v>
      </c>
      <c r="D1149" t="s">
        <v>679</v>
      </c>
      <c r="E1149" t="s">
        <v>705</v>
      </c>
      <c r="F1149">
        <v>16</v>
      </c>
      <c r="G1149">
        <v>10.173400000000001</v>
      </c>
    </row>
    <row r="1150" spans="1:7" x14ac:dyDescent="0.35">
      <c r="A1150" t="s">
        <v>847</v>
      </c>
      <c r="B1150" t="s">
        <v>676</v>
      </c>
      <c r="C1150" s="83">
        <v>46273</v>
      </c>
      <c r="D1150" t="s">
        <v>679</v>
      </c>
      <c r="E1150" t="s">
        <v>700</v>
      </c>
      <c r="F1150">
        <v>12</v>
      </c>
      <c r="G1150">
        <v>13.996883333333299</v>
      </c>
    </row>
    <row r="1151" spans="1:7" x14ac:dyDescent="0.35">
      <c r="A1151" t="s">
        <v>847</v>
      </c>
      <c r="B1151" t="s">
        <v>676</v>
      </c>
      <c r="C1151" s="83">
        <v>46274</v>
      </c>
      <c r="D1151" t="s">
        <v>678</v>
      </c>
      <c r="E1151" t="s">
        <v>700</v>
      </c>
      <c r="F1151">
        <v>25</v>
      </c>
      <c r="G1151">
        <v>31.401583333333299</v>
      </c>
    </row>
    <row r="1152" spans="1:7" x14ac:dyDescent="0.35">
      <c r="A1152" t="s">
        <v>847</v>
      </c>
      <c r="B1152" t="s">
        <v>676</v>
      </c>
      <c r="C1152" s="83">
        <v>46274</v>
      </c>
      <c r="D1152" t="s">
        <v>678</v>
      </c>
      <c r="E1152" t="s">
        <v>697</v>
      </c>
      <c r="F1152">
        <v>20</v>
      </c>
      <c r="G1152">
        <v>14.8424666666667</v>
      </c>
    </row>
    <row r="1153" spans="1:7" x14ac:dyDescent="0.35">
      <c r="A1153" t="s">
        <v>847</v>
      </c>
      <c r="B1153" t="s">
        <v>676</v>
      </c>
      <c r="C1153" s="83">
        <v>46274</v>
      </c>
      <c r="D1153" t="s">
        <v>678</v>
      </c>
      <c r="E1153" t="s">
        <v>702</v>
      </c>
      <c r="F1153">
        <v>7</v>
      </c>
      <c r="G1153">
        <v>1.9919833333333301</v>
      </c>
    </row>
    <row r="1154" spans="1:7" x14ac:dyDescent="0.35">
      <c r="A1154" t="s">
        <v>847</v>
      </c>
      <c r="B1154" t="s">
        <v>676</v>
      </c>
      <c r="C1154" s="83">
        <v>46274</v>
      </c>
      <c r="D1154" t="s">
        <v>679</v>
      </c>
      <c r="E1154" t="s">
        <v>697</v>
      </c>
      <c r="F1154">
        <v>20</v>
      </c>
      <c r="G1154">
        <v>20.181516666666699</v>
      </c>
    </row>
    <row r="1155" spans="1:7" x14ac:dyDescent="0.35">
      <c r="A1155" t="s">
        <v>847</v>
      </c>
      <c r="B1155" t="s">
        <v>676</v>
      </c>
      <c r="C1155" s="83">
        <v>46274</v>
      </c>
      <c r="D1155" t="s">
        <v>679</v>
      </c>
      <c r="E1155" t="s">
        <v>700</v>
      </c>
      <c r="F1155">
        <v>14</v>
      </c>
      <c r="G1155">
        <v>16.483599999999999</v>
      </c>
    </row>
    <row r="1156" spans="1:7" x14ac:dyDescent="0.35">
      <c r="A1156" t="s">
        <v>847</v>
      </c>
      <c r="B1156" t="s">
        <v>676</v>
      </c>
      <c r="C1156" s="83">
        <v>46274</v>
      </c>
      <c r="D1156" t="s">
        <v>679</v>
      </c>
      <c r="E1156" t="s">
        <v>698</v>
      </c>
      <c r="F1156">
        <v>8</v>
      </c>
      <c r="G1156">
        <v>37.165183333333303</v>
      </c>
    </row>
    <row r="1157" spans="1:7" x14ac:dyDescent="0.35">
      <c r="A1157" t="s">
        <v>847</v>
      </c>
      <c r="B1157" t="s">
        <v>676</v>
      </c>
      <c r="C1157" s="83">
        <v>46275</v>
      </c>
      <c r="D1157" t="s">
        <v>678</v>
      </c>
      <c r="E1157" t="s">
        <v>697</v>
      </c>
      <c r="F1157">
        <v>22</v>
      </c>
      <c r="G1157">
        <v>18.361366666666701</v>
      </c>
    </row>
    <row r="1158" spans="1:7" x14ac:dyDescent="0.35">
      <c r="A1158" t="s">
        <v>847</v>
      </c>
      <c r="B1158" t="s">
        <v>676</v>
      </c>
      <c r="C1158" s="83">
        <v>46275</v>
      </c>
      <c r="D1158" t="s">
        <v>678</v>
      </c>
      <c r="E1158" t="s">
        <v>701</v>
      </c>
      <c r="F1158">
        <v>19</v>
      </c>
      <c r="G1158">
        <v>61.511800000000001</v>
      </c>
    </row>
    <row r="1159" spans="1:7" x14ac:dyDescent="0.35">
      <c r="A1159" t="s">
        <v>847</v>
      </c>
      <c r="B1159" t="s">
        <v>676</v>
      </c>
      <c r="C1159" s="83">
        <v>46275</v>
      </c>
      <c r="D1159" t="s">
        <v>678</v>
      </c>
      <c r="E1159" t="s">
        <v>700</v>
      </c>
      <c r="F1159">
        <v>13</v>
      </c>
      <c r="G1159">
        <v>23.00365</v>
      </c>
    </row>
    <row r="1160" spans="1:7" x14ac:dyDescent="0.35">
      <c r="A1160" t="s">
        <v>847</v>
      </c>
      <c r="B1160" t="s">
        <v>676</v>
      </c>
      <c r="C1160" s="83">
        <v>46275</v>
      </c>
      <c r="D1160" t="s">
        <v>679</v>
      </c>
      <c r="E1160" t="s">
        <v>700</v>
      </c>
      <c r="F1160">
        <v>9</v>
      </c>
      <c r="G1160">
        <v>249.29564999999999</v>
      </c>
    </row>
    <row r="1161" spans="1:7" x14ac:dyDescent="0.35">
      <c r="A1161" t="s">
        <v>847</v>
      </c>
      <c r="B1161" t="s">
        <v>676</v>
      </c>
      <c r="C1161" s="83">
        <v>46275</v>
      </c>
      <c r="D1161" t="s">
        <v>679</v>
      </c>
      <c r="E1161" t="s">
        <v>698</v>
      </c>
      <c r="F1161">
        <v>8</v>
      </c>
      <c r="G1161">
        <v>80.844350000000006</v>
      </c>
    </row>
    <row r="1162" spans="1:7" x14ac:dyDescent="0.35">
      <c r="A1162" t="s">
        <v>847</v>
      </c>
      <c r="B1162" t="s">
        <v>676</v>
      </c>
      <c r="C1162" s="83">
        <v>46275</v>
      </c>
      <c r="D1162" t="s">
        <v>679</v>
      </c>
      <c r="E1162" t="s">
        <v>699</v>
      </c>
      <c r="F1162">
        <v>5</v>
      </c>
      <c r="G1162">
        <v>11.852866666666699</v>
      </c>
    </row>
    <row r="1163" spans="1:7" x14ac:dyDescent="0.35">
      <c r="A1163" t="s">
        <v>847</v>
      </c>
      <c r="B1163" t="s">
        <v>676</v>
      </c>
      <c r="C1163" s="83">
        <v>46276</v>
      </c>
      <c r="D1163" t="s">
        <v>678</v>
      </c>
      <c r="E1163" t="s">
        <v>697</v>
      </c>
      <c r="F1163">
        <v>16</v>
      </c>
      <c r="G1163">
        <v>110.5201</v>
      </c>
    </row>
    <row r="1164" spans="1:7" x14ac:dyDescent="0.35">
      <c r="A1164" t="s">
        <v>847</v>
      </c>
      <c r="B1164" t="s">
        <v>676</v>
      </c>
      <c r="C1164" s="83">
        <v>46276</v>
      </c>
      <c r="D1164" t="s">
        <v>678</v>
      </c>
      <c r="E1164" t="s">
        <v>700</v>
      </c>
      <c r="F1164">
        <v>10</v>
      </c>
      <c r="G1164">
        <v>10.493</v>
      </c>
    </row>
    <row r="1165" spans="1:7" x14ac:dyDescent="0.35">
      <c r="A1165" t="s">
        <v>847</v>
      </c>
      <c r="B1165" t="s">
        <v>676</v>
      </c>
      <c r="C1165" s="83">
        <v>46276</v>
      </c>
      <c r="D1165" t="s">
        <v>678</v>
      </c>
      <c r="E1165" t="s">
        <v>698</v>
      </c>
      <c r="F1165">
        <v>8</v>
      </c>
      <c r="G1165">
        <v>23.1702333333333</v>
      </c>
    </row>
    <row r="1166" spans="1:7" x14ac:dyDescent="0.35">
      <c r="A1166" t="s">
        <v>847</v>
      </c>
      <c r="B1166" t="s">
        <v>676</v>
      </c>
      <c r="C1166" s="83">
        <v>46276</v>
      </c>
      <c r="D1166" t="s">
        <v>679</v>
      </c>
      <c r="E1166" t="s">
        <v>698</v>
      </c>
      <c r="F1166">
        <v>12</v>
      </c>
      <c r="G1166">
        <v>101.835883333333</v>
      </c>
    </row>
    <row r="1167" spans="1:7" x14ac:dyDescent="0.35">
      <c r="A1167" t="s">
        <v>847</v>
      </c>
      <c r="B1167" t="s">
        <v>676</v>
      </c>
      <c r="C1167" s="83">
        <v>46276</v>
      </c>
      <c r="D1167" t="s">
        <v>679</v>
      </c>
      <c r="E1167" t="s">
        <v>699</v>
      </c>
      <c r="F1167">
        <v>8</v>
      </c>
      <c r="G1167">
        <v>47.681283333333297</v>
      </c>
    </row>
    <row r="1168" spans="1:7" x14ac:dyDescent="0.35">
      <c r="A1168" t="s">
        <v>847</v>
      </c>
      <c r="B1168" t="s">
        <v>676</v>
      </c>
      <c r="C1168" s="83">
        <v>46276</v>
      </c>
      <c r="D1168" t="s">
        <v>679</v>
      </c>
      <c r="E1168" t="s">
        <v>705</v>
      </c>
      <c r="F1168">
        <v>7</v>
      </c>
      <c r="G1168">
        <v>1.9956833333333299</v>
      </c>
    </row>
    <row r="1169" spans="1:7" x14ac:dyDescent="0.35">
      <c r="A1169" t="s">
        <v>847</v>
      </c>
      <c r="B1169" t="s">
        <v>676</v>
      </c>
      <c r="C1169" s="83">
        <v>46277</v>
      </c>
      <c r="D1169" t="s">
        <v>678</v>
      </c>
      <c r="E1169" t="s">
        <v>700</v>
      </c>
      <c r="F1169">
        <v>8</v>
      </c>
      <c r="G1169">
        <v>5.5055166666666704</v>
      </c>
    </row>
    <row r="1170" spans="1:7" x14ac:dyDescent="0.35">
      <c r="A1170" t="s">
        <v>847</v>
      </c>
      <c r="B1170" t="s">
        <v>676</v>
      </c>
      <c r="C1170" s="83">
        <v>46277</v>
      </c>
      <c r="D1170" t="s">
        <v>678</v>
      </c>
      <c r="E1170" t="s">
        <v>702</v>
      </c>
      <c r="F1170">
        <v>5</v>
      </c>
      <c r="G1170">
        <v>0.83304999999999996</v>
      </c>
    </row>
    <row r="1171" spans="1:7" x14ac:dyDescent="0.35">
      <c r="A1171" t="s">
        <v>847</v>
      </c>
      <c r="B1171" t="s">
        <v>676</v>
      </c>
      <c r="C1171" s="83">
        <v>46277</v>
      </c>
      <c r="D1171" t="s">
        <v>678</v>
      </c>
      <c r="E1171" t="s">
        <v>715</v>
      </c>
      <c r="F1171">
        <v>3</v>
      </c>
      <c r="G1171">
        <v>4.3305999999999996</v>
      </c>
    </row>
    <row r="1172" spans="1:7" x14ac:dyDescent="0.35">
      <c r="A1172" t="s">
        <v>847</v>
      </c>
      <c r="B1172" t="s">
        <v>676</v>
      </c>
      <c r="C1172" s="83">
        <v>46277</v>
      </c>
      <c r="D1172" t="s">
        <v>679</v>
      </c>
      <c r="E1172" t="s">
        <v>700</v>
      </c>
      <c r="F1172">
        <v>10</v>
      </c>
      <c r="G1172">
        <v>5.9892833333333302</v>
      </c>
    </row>
    <row r="1173" spans="1:7" x14ac:dyDescent="0.35">
      <c r="A1173" t="s">
        <v>847</v>
      </c>
      <c r="B1173" t="s">
        <v>676</v>
      </c>
      <c r="C1173" s="83">
        <v>46277</v>
      </c>
      <c r="D1173" t="s">
        <v>679</v>
      </c>
      <c r="E1173" t="s">
        <v>702</v>
      </c>
      <c r="F1173">
        <v>3</v>
      </c>
      <c r="G1173">
        <v>1.5048666666666699</v>
      </c>
    </row>
    <row r="1174" spans="1:7" x14ac:dyDescent="0.35">
      <c r="A1174" t="s">
        <v>847</v>
      </c>
      <c r="B1174" t="s">
        <v>676</v>
      </c>
      <c r="C1174" s="83">
        <v>46277</v>
      </c>
      <c r="D1174" t="s">
        <v>679</v>
      </c>
      <c r="E1174" t="s">
        <v>697</v>
      </c>
      <c r="F1174">
        <v>2</v>
      </c>
      <c r="G1174">
        <v>0.33381666666666698</v>
      </c>
    </row>
    <row r="1175" spans="1:7" x14ac:dyDescent="0.35">
      <c r="A1175" t="s">
        <v>847</v>
      </c>
      <c r="B1175" t="s">
        <v>692</v>
      </c>
      <c r="C1175" s="83"/>
      <c r="F1175">
        <v>15825</v>
      </c>
      <c r="G1175">
        <v>75686.494133333603</v>
      </c>
    </row>
    <row r="1176" spans="1:7" x14ac:dyDescent="0.35">
      <c r="A1176" t="s">
        <v>847</v>
      </c>
      <c r="B1176" t="s">
        <v>680</v>
      </c>
      <c r="C1176" s="83">
        <v>46023</v>
      </c>
      <c r="D1176" t="s">
        <v>681</v>
      </c>
      <c r="E1176" t="s">
        <v>297</v>
      </c>
      <c r="F1176">
        <v>72</v>
      </c>
      <c r="G1176">
        <v>43.825316666666701</v>
      </c>
    </row>
    <row r="1177" spans="1:7" x14ac:dyDescent="0.35">
      <c r="A1177" t="s">
        <v>847</v>
      </c>
      <c r="B1177" t="s">
        <v>680</v>
      </c>
      <c r="C1177" s="83">
        <v>46023</v>
      </c>
      <c r="D1177" t="s">
        <v>681</v>
      </c>
      <c r="E1177" t="s">
        <v>296</v>
      </c>
      <c r="F1177">
        <v>59</v>
      </c>
      <c r="G1177">
        <v>33.189766666666699</v>
      </c>
    </row>
    <row r="1178" spans="1:7" x14ac:dyDescent="0.35">
      <c r="A1178" t="s">
        <v>847</v>
      </c>
      <c r="B1178" t="s">
        <v>680</v>
      </c>
      <c r="C1178" s="83">
        <v>46023</v>
      </c>
      <c r="D1178" t="s">
        <v>681</v>
      </c>
      <c r="E1178" t="s">
        <v>332</v>
      </c>
      <c r="F1178">
        <v>27</v>
      </c>
      <c r="G1178">
        <v>50.830566666666698</v>
      </c>
    </row>
    <row r="1179" spans="1:7" x14ac:dyDescent="0.35">
      <c r="A1179" t="s">
        <v>847</v>
      </c>
      <c r="B1179" t="s">
        <v>680</v>
      </c>
      <c r="C1179" s="83">
        <v>46023</v>
      </c>
      <c r="D1179" t="s">
        <v>683</v>
      </c>
      <c r="E1179" t="s">
        <v>298</v>
      </c>
      <c r="F1179">
        <v>66</v>
      </c>
      <c r="G1179">
        <v>135.500683333333</v>
      </c>
    </row>
    <row r="1180" spans="1:7" x14ac:dyDescent="0.35">
      <c r="A1180" t="s">
        <v>847</v>
      </c>
      <c r="B1180" t="s">
        <v>680</v>
      </c>
      <c r="C1180" s="83">
        <v>46023</v>
      </c>
      <c r="D1180" t="s">
        <v>683</v>
      </c>
      <c r="E1180" t="s">
        <v>296</v>
      </c>
      <c r="F1180">
        <v>23</v>
      </c>
      <c r="G1180">
        <v>9.4538499999999992</v>
      </c>
    </row>
    <row r="1181" spans="1:7" x14ac:dyDescent="0.35">
      <c r="A1181" t="s">
        <v>847</v>
      </c>
      <c r="B1181" t="s">
        <v>680</v>
      </c>
      <c r="C1181" s="83">
        <v>46023</v>
      </c>
      <c r="D1181" t="s">
        <v>683</v>
      </c>
      <c r="E1181" t="s">
        <v>304</v>
      </c>
      <c r="F1181">
        <v>13</v>
      </c>
      <c r="G1181">
        <v>4.9960333333333304</v>
      </c>
    </row>
    <row r="1182" spans="1:7" x14ac:dyDescent="0.35">
      <c r="A1182" t="s">
        <v>847</v>
      </c>
      <c r="B1182" t="s">
        <v>680</v>
      </c>
      <c r="C1182" s="83">
        <v>46023</v>
      </c>
      <c r="D1182" t="s">
        <v>689</v>
      </c>
      <c r="E1182" t="s">
        <v>296</v>
      </c>
      <c r="F1182">
        <v>63</v>
      </c>
      <c r="G1182">
        <v>33.647083333333299</v>
      </c>
    </row>
    <row r="1183" spans="1:7" x14ac:dyDescent="0.35">
      <c r="A1183" t="s">
        <v>847</v>
      </c>
      <c r="B1183" t="s">
        <v>680</v>
      </c>
      <c r="C1183" s="83">
        <v>46023</v>
      </c>
      <c r="D1183" t="s">
        <v>689</v>
      </c>
      <c r="E1183" t="s">
        <v>334</v>
      </c>
      <c r="F1183">
        <v>16</v>
      </c>
      <c r="G1183">
        <v>14.1572666666667</v>
      </c>
    </row>
    <row r="1184" spans="1:7" x14ac:dyDescent="0.35">
      <c r="A1184" t="s">
        <v>847</v>
      </c>
      <c r="B1184" t="s">
        <v>680</v>
      </c>
      <c r="C1184" s="83">
        <v>46023</v>
      </c>
      <c r="D1184" t="s">
        <v>689</v>
      </c>
      <c r="E1184" t="s">
        <v>297</v>
      </c>
      <c r="F1184">
        <v>13</v>
      </c>
      <c r="G1184">
        <v>4.83538333333333</v>
      </c>
    </row>
    <row r="1185" spans="1:7" x14ac:dyDescent="0.35">
      <c r="A1185" t="s">
        <v>847</v>
      </c>
      <c r="B1185" t="s">
        <v>680</v>
      </c>
      <c r="C1185" s="83">
        <v>46023</v>
      </c>
      <c r="D1185" t="s">
        <v>684</v>
      </c>
      <c r="E1185" t="s">
        <v>296</v>
      </c>
      <c r="F1185">
        <v>40</v>
      </c>
      <c r="G1185">
        <v>19.479533333333301</v>
      </c>
    </row>
    <row r="1186" spans="1:7" x14ac:dyDescent="0.35">
      <c r="A1186" t="s">
        <v>847</v>
      </c>
      <c r="B1186" t="s">
        <v>680</v>
      </c>
      <c r="C1186" s="83">
        <v>46023</v>
      </c>
      <c r="D1186" t="s">
        <v>684</v>
      </c>
      <c r="E1186" t="s">
        <v>300</v>
      </c>
      <c r="F1186">
        <v>18</v>
      </c>
      <c r="G1186">
        <v>5.8156833333333298</v>
      </c>
    </row>
    <row r="1187" spans="1:7" x14ac:dyDescent="0.35">
      <c r="A1187" t="s">
        <v>847</v>
      </c>
      <c r="B1187" t="s">
        <v>680</v>
      </c>
      <c r="C1187" s="83">
        <v>46023</v>
      </c>
      <c r="D1187" t="s">
        <v>684</v>
      </c>
      <c r="E1187" t="s">
        <v>297</v>
      </c>
      <c r="F1187">
        <v>18</v>
      </c>
      <c r="G1187">
        <v>13.486000000000001</v>
      </c>
    </row>
    <row r="1188" spans="1:7" x14ac:dyDescent="0.35">
      <c r="A1188" t="s">
        <v>847</v>
      </c>
      <c r="B1188" t="s">
        <v>680</v>
      </c>
      <c r="C1188" s="83">
        <v>46023</v>
      </c>
      <c r="D1188" t="s">
        <v>687</v>
      </c>
      <c r="E1188" t="s">
        <v>717</v>
      </c>
      <c r="F1188">
        <v>3</v>
      </c>
      <c r="G1188">
        <v>0.67223333333333302</v>
      </c>
    </row>
    <row r="1189" spans="1:7" x14ac:dyDescent="0.35">
      <c r="A1189" t="s">
        <v>847</v>
      </c>
      <c r="B1189" t="s">
        <v>680</v>
      </c>
      <c r="C1189" s="83">
        <v>46023</v>
      </c>
      <c r="D1189" t="s">
        <v>687</v>
      </c>
      <c r="E1189" t="s">
        <v>719</v>
      </c>
      <c r="F1189">
        <v>2</v>
      </c>
      <c r="G1189">
        <v>1.84</v>
      </c>
    </row>
    <row r="1190" spans="1:7" x14ac:dyDescent="0.35">
      <c r="A1190" t="s">
        <v>847</v>
      </c>
      <c r="B1190" t="s">
        <v>680</v>
      </c>
      <c r="C1190" s="83">
        <v>46023</v>
      </c>
      <c r="D1190" t="s">
        <v>687</v>
      </c>
      <c r="E1190" t="s">
        <v>718</v>
      </c>
      <c r="F1190">
        <v>2</v>
      </c>
      <c r="G1190">
        <v>1.49986666666667</v>
      </c>
    </row>
    <row r="1191" spans="1:7" x14ac:dyDescent="0.35">
      <c r="A1191" t="s">
        <v>847</v>
      </c>
      <c r="B1191" t="s">
        <v>680</v>
      </c>
      <c r="C1191" s="83">
        <v>46023</v>
      </c>
      <c r="D1191" t="s">
        <v>688</v>
      </c>
      <c r="E1191" t="s">
        <v>321</v>
      </c>
      <c r="F1191">
        <v>70</v>
      </c>
      <c r="G1191">
        <v>195.147633333333</v>
      </c>
    </row>
    <row r="1192" spans="1:7" x14ac:dyDescent="0.35">
      <c r="A1192" t="s">
        <v>847</v>
      </c>
      <c r="B1192" t="s">
        <v>680</v>
      </c>
      <c r="C1192" s="83">
        <v>46023</v>
      </c>
      <c r="D1192" t="s">
        <v>688</v>
      </c>
      <c r="E1192" t="s">
        <v>311</v>
      </c>
      <c r="F1192">
        <v>7</v>
      </c>
      <c r="G1192">
        <v>3.9983499999999998</v>
      </c>
    </row>
    <row r="1193" spans="1:7" x14ac:dyDescent="0.35">
      <c r="A1193" t="s">
        <v>847</v>
      </c>
      <c r="B1193" t="s">
        <v>680</v>
      </c>
      <c r="C1193" s="83">
        <v>46023</v>
      </c>
      <c r="D1193" t="s">
        <v>688</v>
      </c>
      <c r="E1193" t="s">
        <v>720</v>
      </c>
      <c r="F1193">
        <v>3</v>
      </c>
      <c r="G1193">
        <v>2.1678000000000002</v>
      </c>
    </row>
    <row r="1194" spans="1:7" x14ac:dyDescent="0.35">
      <c r="A1194" t="s">
        <v>847</v>
      </c>
      <c r="B1194" t="s">
        <v>680</v>
      </c>
      <c r="C1194" s="83">
        <v>46023</v>
      </c>
      <c r="D1194" t="s">
        <v>690</v>
      </c>
      <c r="E1194" t="s">
        <v>311</v>
      </c>
      <c r="F1194">
        <v>17</v>
      </c>
      <c r="G1194">
        <v>14.648099999999999</v>
      </c>
    </row>
    <row r="1195" spans="1:7" x14ac:dyDescent="0.35">
      <c r="A1195" t="s">
        <v>847</v>
      </c>
      <c r="B1195" t="s">
        <v>680</v>
      </c>
      <c r="C1195" s="83">
        <v>46023</v>
      </c>
      <c r="D1195" t="s">
        <v>690</v>
      </c>
      <c r="E1195" t="s">
        <v>316</v>
      </c>
      <c r="F1195">
        <v>8</v>
      </c>
      <c r="G1195">
        <v>18.488800000000001</v>
      </c>
    </row>
    <row r="1196" spans="1:7" x14ac:dyDescent="0.35">
      <c r="A1196" t="s">
        <v>847</v>
      </c>
      <c r="B1196" t="s">
        <v>680</v>
      </c>
      <c r="C1196" s="83">
        <v>46023</v>
      </c>
      <c r="D1196" t="s">
        <v>690</v>
      </c>
      <c r="E1196" t="s">
        <v>321</v>
      </c>
      <c r="F1196">
        <v>4</v>
      </c>
      <c r="G1196">
        <v>1.6598333333333299</v>
      </c>
    </row>
    <row r="1197" spans="1:7" x14ac:dyDescent="0.35">
      <c r="A1197" t="s">
        <v>847</v>
      </c>
      <c r="B1197" t="s">
        <v>680</v>
      </c>
      <c r="C1197" s="83">
        <v>46023</v>
      </c>
      <c r="D1197" t="s">
        <v>685</v>
      </c>
      <c r="E1197" t="s">
        <v>311</v>
      </c>
      <c r="F1197">
        <v>18</v>
      </c>
      <c r="G1197">
        <v>19.643799999999999</v>
      </c>
    </row>
    <row r="1198" spans="1:7" x14ac:dyDescent="0.35">
      <c r="A1198" t="s">
        <v>847</v>
      </c>
      <c r="B1198" t="s">
        <v>680</v>
      </c>
      <c r="C1198" s="83">
        <v>46023</v>
      </c>
      <c r="D1198" t="s">
        <v>685</v>
      </c>
      <c r="E1198" t="s">
        <v>316</v>
      </c>
      <c r="F1198">
        <v>8</v>
      </c>
      <c r="G1198">
        <v>33.176349999999999</v>
      </c>
    </row>
    <row r="1199" spans="1:7" x14ac:dyDescent="0.35">
      <c r="A1199" t="s">
        <v>847</v>
      </c>
      <c r="B1199" t="s">
        <v>680</v>
      </c>
      <c r="C1199" s="83">
        <v>46023</v>
      </c>
      <c r="D1199" t="s">
        <v>685</v>
      </c>
      <c r="E1199" t="s">
        <v>721</v>
      </c>
      <c r="F1199">
        <v>6</v>
      </c>
      <c r="G1199">
        <v>79.834716666666694</v>
      </c>
    </row>
    <row r="1200" spans="1:7" x14ac:dyDescent="0.35">
      <c r="A1200" t="s">
        <v>847</v>
      </c>
      <c r="B1200" t="s">
        <v>680</v>
      </c>
      <c r="C1200" s="83">
        <v>46024</v>
      </c>
      <c r="D1200" t="s">
        <v>681</v>
      </c>
      <c r="E1200" t="s">
        <v>296</v>
      </c>
      <c r="F1200">
        <v>26</v>
      </c>
      <c r="G1200">
        <v>6.6842166666666696</v>
      </c>
    </row>
    <row r="1201" spans="1:7" x14ac:dyDescent="0.35">
      <c r="A1201" t="s">
        <v>847</v>
      </c>
      <c r="B1201" t="s">
        <v>680</v>
      </c>
      <c r="C1201" s="83">
        <v>46024</v>
      </c>
      <c r="D1201" t="s">
        <v>681</v>
      </c>
      <c r="E1201" t="s">
        <v>297</v>
      </c>
      <c r="F1201">
        <v>14</v>
      </c>
      <c r="G1201">
        <v>16.490166666666699</v>
      </c>
    </row>
    <row r="1202" spans="1:7" x14ac:dyDescent="0.35">
      <c r="A1202" t="s">
        <v>847</v>
      </c>
      <c r="B1202" t="s">
        <v>680</v>
      </c>
      <c r="C1202" s="83">
        <v>46024</v>
      </c>
      <c r="D1202" t="s">
        <v>681</v>
      </c>
      <c r="E1202" t="s">
        <v>334</v>
      </c>
      <c r="F1202">
        <v>6</v>
      </c>
      <c r="G1202">
        <v>24.3370833333333</v>
      </c>
    </row>
    <row r="1203" spans="1:7" x14ac:dyDescent="0.35">
      <c r="A1203" t="s">
        <v>847</v>
      </c>
      <c r="B1203" t="s">
        <v>680</v>
      </c>
      <c r="C1203" s="83">
        <v>46024</v>
      </c>
      <c r="D1203" t="s">
        <v>683</v>
      </c>
      <c r="E1203" t="s">
        <v>298</v>
      </c>
      <c r="F1203">
        <v>19</v>
      </c>
      <c r="G1203">
        <v>26.9790833333333</v>
      </c>
    </row>
    <row r="1204" spans="1:7" x14ac:dyDescent="0.35">
      <c r="A1204" t="s">
        <v>847</v>
      </c>
      <c r="B1204" t="s">
        <v>680</v>
      </c>
      <c r="C1204" s="83">
        <v>46024</v>
      </c>
      <c r="D1204" t="s">
        <v>683</v>
      </c>
      <c r="E1204" t="s">
        <v>296</v>
      </c>
      <c r="F1204">
        <v>14</v>
      </c>
      <c r="G1204">
        <v>5.4945500000000003</v>
      </c>
    </row>
    <row r="1205" spans="1:7" x14ac:dyDescent="0.35">
      <c r="A1205" t="s">
        <v>847</v>
      </c>
      <c r="B1205" t="s">
        <v>680</v>
      </c>
      <c r="C1205" s="83">
        <v>46024</v>
      </c>
      <c r="D1205" t="s">
        <v>683</v>
      </c>
      <c r="E1205" t="s">
        <v>334</v>
      </c>
      <c r="F1205">
        <v>10</v>
      </c>
      <c r="G1205">
        <v>6.1761333333333299</v>
      </c>
    </row>
    <row r="1206" spans="1:7" x14ac:dyDescent="0.35">
      <c r="A1206" t="s">
        <v>847</v>
      </c>
      <c r="B1206" t="s">
        <v>680</v>
      </c>
      <c r="C1206" s="83">
        <v>46024</v>
      </c>
      <c r="D1206" t="s">
        <v>689</v>
      </c>
      <c r="E1206" t="s">
        <v>296</v>
      </c>
      <c r="F1206">
        <v>24</v>
      </c>
      <c r="G1206">
        <v>12.17205</v>
      </c>
    </row>
    <row r="1207" spans="1:7" x14ac:dyDescent="0.35">
      <c r="A1207" t="s">
        <v>847</v>
      </c>
      <c r="B1207" t="s">
        <v>680</v>
      </c>
      <c r="C1207" s="83">
        <v>46024</v>
      </c>
      <c r="D1207" t="s">
        <v>689</v>
      </c>
      <c r="E1207" t="s">
        <v>332</v>
      </c>
      <c r="F1207">
        <v>8</v>
      </c>
      <c r="G1207">
        <v>4.5055333333333296</v>
      </c>
    </row>
    <row r="1208" spans="1:7" x14ac:dyDescent="0.35">
      <c r="A1208" t="s">
        <v>847</v>
      </c>
      <c r="B1208" t="s">
        <v>680</v>
      </c>
      <c r="C1208" s="83">
        <v>46024</v>
      </c>
      <c r="D1208" t="s">
        <v>689</v>
      </c>
      <c r="E1208" t="s">
        <v>334</v>
      </c>
      <c r="F1208">
        <v>7</v>
      </c>
      <c r="G1208">
        <v>7.9953500000000002</v>
      </c>
    </row>
    <row r="1209" spans="1:7" x14ac:dyDescent="0.35">
      <c r="A1209" t="s">
        <v>847</v>
      </c>
      <c r="B1209" t="s">
        <v>680</v>
      </c>
      <c r="C1209" s="83">
        <v>46024</v>
      </c>
      <c r="D1209" t="s">
        <v>684</v>
      </c>
      <c r="E1209" t="s">
        <v>296</v>
      </c>
      <c r="F1209">
        <v>20</v>
      </c>
      <c r="G1209">
        <v>9.3160666666666696</v>
      </c>
    </row>
    <row r="1210" spans="1:7" x14ac:dyDescent="0.35">
      <c r="A1210" t="s">
        <v>847</v>
      </c>
      <c r="B1210" t="s">
        <v>680</v>
      </c>
      <c r="C1210" s="83">
        <v>46024</v>
      </c>
      <c r="D1210" t="s">
        <v>684</v>
      </c>
      <c r="E1210" t="s">
        <v>300</v>
      </c>
      <c r="F1210">
        <v>8</v>
      </c>
      <c r="G1210">
        <v>5.6711166666666699</v>
      </c>
    </row>
    <row r="1211" spans="1:7" x14ac:dyDescent="0.35">
      <c r="A1211" t="s">
        <v>847</v>
      </c>
      <c r="B1211" t="s">
        <v>680</v>
      </c>
      <c r="C1211" s="83">
        <v>46024</v>
      </c>
      <c r="D1211" t="s">
        <v>684</v>
      </c>
      <c r="E1211" t="s">
        <v>297</v>
      </c>
      <c r="F1211">
        <v>7</v>
      </c>
      <c r="G1211">
        <v>8.8295333333333303</v>
      </c>
    </row>
    <row r="1212" spans="1:7" x14ac:dyDescent="0.35">
      <c r="A1212" t="s">
        <v>847</v>
      </c>
      <c r="B1212" t="s">
        <v>680</v>
      </c>
      <c r="C1212" s="83">
        <v>46024</v>
      </c>
      <c r="D1212" t="s">
        <v>687</v>
      </c>
      <c r="E1212" t="s">
        <v>719</v>
      </c>
      <c r="F1212">
        <v>6</v>
      </c>
      <c r="G1212">
        <v>1.0062</v>
      </c>
    </row>
    <row r="1213" spans="1:7" x14ac:dyDescent="0.35">
      <c r="A1213" t="s">
        <v>847</v>
      </c>
      <c r="B1213" t="s">
        <v>680</v>
      </c>
      <c r="C1213" s="83">
        <v>46024</v>
      </c>
      <c r="D1213" t="s">
        <v>687</v>
      </c>
      <c r="E1213" t="s">
        <v>717</v>
      </c>
      <c r="F1213">
        <v>4</v>
      </c>
      <c r="G1213">
        <v>4.5011333333333301</v>
      </c>
    </row>
    <row r="1214" spans="1:7" x14ac:dyDescent="0.35">
      <c r="A1214" t="s">
        <v>847</v>
      </c>
      <c r="B1214" t="s">
        <v>680</v>
      </c>
      <c r="C1214" s="83">
        <v>46024</v>
      </c>
      <c r="D1214" t="s">
        <v>687</v>
      </c>
      <c r="E1214" t="s">
        <v>722</v>
      </c>
      <c r="F1214">
        <v>3</v>
      </c>
      <c r="G1214">
        <v>1.0004833333333301</v>
      </c>
    </row>
    <row r="1215" spans="1:7" x14ac:dyDescent="0.35">
      <c r="A1215" t="s">
        <v>847</v>
      </c>
      <c r="B1215" t="s">
        <v>680</v>
      </c>
      <c r="C1215" s="83">
        <v>46024</v>
      </c>
      <c r="D1215" t="s">
        <v>688</v>
      </c>
      <c r="E1215" t="s">
        <v>311</v>
      </c>
      <c r="F1215">
        <v>8</v>
      </c>
      <c r="G1215">
        <v>4.82771666666667</v>
      </c>
    </row>
    <row r="1216" spans="1:7" x14ac:dyDescent="0.35">
      <c r="A1216" t="s">
        <v>847</v>
      </c>
      <c r="B1216" t="s">
        <v>680</v>
      </c>
      <c r="C1216" s="83">
        <v>46024</v>
      </c>
      <c r="D1216" t="s">
        <v>688</v>
      </c>
      <c r="E1216" t="s">
        <v>338</v>
      </c>
      <c r="F1216">
        <v>5</v>
      </c>
      <c r="G1216">
        <v>0.84709999999999996</v>
      </c>
    </row>
    <row r="1217" spans="1:7" x14ac:dyDescent="0.35">
      <c r="A1217" t="s">
        <v>847</v>
      </c>
      <c r="B1217" t="s">
        <v>680</v>
      </c>
      <c r="C1217" s="83">
        <v>46024</v>
      </c>
      <c r="D1217" t="s">
        <v>688</v>
      </c>
      <c r="E1217" t="s">
        <v>720</v>
      </c>
      <c r="F1217">
        <v>5</v>
      </c>
      <c r="G1217">
        <v>2.0011000000000001</v>
      </c>
    </row>
    <row r="1218" spans="1:7" x14ac:dyDescent="0.35">
      <c r="A1218" t="s">
        <v>847</v>
      </c>
      <c r="B1218" t="s">
        <v>680</v>
      </c>
      <c r="C1218" s="83">
        <v>46024</v>
      </c>
      <c r="D1218" t="s">
        <v>690</v>
      </c>
      <c r="E1218" t="s">
        <v>311</v>
      </c>
      <c r="F1218">
        <v>19</v>
      </c>
      <c r="G1218">
        <v>10.015183333333299</v>
      </c>
    </row>
    <row r="1219" spans="1:7" x14ac:dyDescent="0.35">
      <c r="A1219" t="s">
        <v>847</v>
      </c>
      <c r="B1219" t="s">
        <v>680</v>
      </c>
      <c r="C1219" s="83">
        <v>46024</v>
      </c>
      <c r="D1219" t="s">
        <v>690</v>
      </c>
      <c r="E1219" t="s">
        <v>720</v>
      </c>
      <c r="F1219">
        <v>8</v>
      </c>
      <c r="G1219">
        <v>5.3512833333333303</v>
      </c>
    </row>
    <row r="1220" spans="1:7" x14ac:dyDescent="0.35">
      <c r="A1220" t="s">
        <v>847</v>
      </c>
      <c r="B1220" t="s">
        <v>680</v>
      </c>
      <c r="C1220" s="83">
        <v>46024</v>
      </c>
      <c r="D1220" t="s">
        <v>690</v>
      </c>
      <c r="E1220" t="s">
        <v>321</v>
      </c>
      <c r="F1220">
        <v>6</v>
      </c>
      <c r="G1220">
        <v>3.1600666666666699</v>
      </c>
    </row>
    <row r="1221" spans="1:7" x14ac:dyDescent="0.35">
      <c r="A1221" t="s">
        <v>847</v>
      </c>
      <c r="B1221" t="s">
        <v>680</v>
      </c>
      <c r="C1221" s="83">
        <v>46024</v>
      </c>
      <c r="D1221" t="s">
        <v>685</v>
      </c>
      <c r="E1221" t="s">
        <v>311</v>
      </c>
      <c r="F1221">
        <v>12</v>
      </c>
      <c r="G1221">
        <v>10.682133333333301</v>
      </c>
    </row>
    <row r="1222" spans="1:7" x14ac:dyDescent="0.35">
      <c r="A1222" t="s">
        <v>847</v>
      </c>
      <c r="B1222" t="s">
        <v>680</v>
      </c>
      <c r="C1222" s="83">
        <v>46024</v>
      </c>
      <c r="D1222" t="s">
        <v>685</v>
      </c>
      <c r="E1222" t="s">
        <v>723</v>
      </c>
      <c r="F1222">
        <v>6</v>
      </c>
      <c r="G1222">
        <v>25.172733333333301</v>
      </c>
    </row>
    <row r="1223" spans="1:7" x14ac:dyDescent="0.35">
      <c r="A1223" t="s">
        <v>847</v>
      </c>
      <c r="B1223" t="s">
        <v>680</v>
      </c>
      <c r="C1223" s="83">
        <v>46024</v>
      </c>
      <c r="D1223" t="s">
        <v>685</v>
      </c>
      <c r="E1223" t="s">
        <v>720</v>
      </c>
      <c r="F1223">
        <v>4</v>
      </c>
      <c r="G1223">
        <v>2.1723166666666698</v>
      </c>
    </row>
    <row r="1224" spans="1:7" x14ac:dyDescent="0.35">
      <c r="A1224" t="s">
        <v>847</v>
      </c>
      <c r="B1224" t="s">
        <v>680</v>
      </c>
      <c r="C1224" s="83">
        <v>46025</v>
      </c>
      <c r="D1224" t="s">
        <v>681</v>
      </c>
      <c r="E1224" t="s">
        <v>296</v>
      </c>
      <c r="F1224">
        <v>26</v>
      </c>
      <c r="G1224">
        <v>10.648149999999999</v>
      </c>
    </row>
    <row r="1225" spans="1:7" x14ac:dyDescent="0.35">
      <c r="A1225" t="s">
        <v>847</v>
      </c>
      <c r="B1225" t="s">
        <v>680</v>
      </c>
      <c r="C1225" s="83">
        <v>46025</v>
      </c>
      <c r="D1225" t="s">
        <v>681</v>
      </c>
      <c r="E1225" t="s">
        <v>297</v>
      </c>
      <c r="F1225">
        <v>25</v>
      </c>
      <c r="G1225">
        <v>12.3211666666667</v>
      </c>
    </row>
    <row r="1226" spans="1:7" x14ac:dyDescent="0.35">
      <c r="A1226" t="s">
        <v>847</v>
      </c>
      <c r="B1226" t="s">
        <v>680</v>
      </c>
      <c r="C1226" s="83">
        <v>46025</v>
      </c>
      <c r="D1226" t="s">
        <v>681</v>
      </c>
      <c r="E1226" t="s">
        <v>298</v>
      </c>
      <c r="F1226">
        <v>14</v>
      </c>
      <c r="G1226">
        <v>15.327533333333299</v>
      </c>
    </row>
    <row r="1227" spans="1:7" x14ac:dyDescent="0.35">
      <c r="A1227" t="s">
        <v>847</v>
      </c>
      <c r="B1227" t="s">
        <v>680</v>
      </c>
      <c r="C1227" s="83">
        <v>46025</v>
      </c>
      <c r="D1227" t="s">
        <v>683</v>
      </c>
      <c r="E1227" t="s">
        <v>298</v>
      </c>
      <c r="F1227">
        <v>11</v>
      </c>
      <c r="G1227">
        <v>17.494616666666701</v>
      </c>
    </row>
    <row r="1228" spans="1:7" x14ac:dyDescent="0.35">
      <c r="A1228" t="s">
        <v>847</v>
      </c>
      <c r="B1228" t="s">
        <v>680</v>
      </c>
      <c r="C1228" s="83">
        <v>46025</v>
      </c>
      <c r="D1228" t="s">
        <v>683</v>
      </c>
      <c r="E1228" t="s">
        <v>296</v>
      </c>
      <c r="F1228">
        <v>10</v>
      </c>
      <c r="G1228">
        <v>2.32033333333333</v>
      </c>
    </row>
    <row r="1229" spans="1:7" x14ac:dyDescent="0.35">
      <c r="A1229" t="s">
        <v>847</v>
      </c>
      <c r="B1229" t="s">
        <v>680</v>
      </c>
      <c r="C1229" s="83">
        <v>46025</v>
      </c>
      <c r="D1229" t="s">
        <v>683</v>
      </c>
      <c r="E1229" t="s">
        <v>297</v>
      </c>
      <c r="F1229">
        <v>9</v>
      </c>
      <c r="G1229">
        <v>3.1481666666666701</v>
      </c>
    </row>
    <row r="1230" spans="1:7" x14ac:dyDescent="0.35">
      <c r="A1230" t="s">
        <v>847</v>
      </c>
      <c r="B1230" t="s">
        <v>680</v>
      </c>
      <c r="C1230" s="83">
        <v>46025</v>
      </c>
      <c r="D1230" t="s">
        <v>689</v>
      </c>
      <c r="E1230" t="s">
        <v>296</v>
      </c>
      <c r="F1230">
        <v>35</v>
      </c>
      <c r="G1230">
        <v>15.805249999999999</v>
      </c>
    </row>
    <row r="1231" spans="1:7" x14ac:dyDescent="0.35">
      <c r="A1231" t="s">
        <v>847</v>
      </c>
      <c r="B1231" t="s">
        <v>680</v>
      </c>
      <c r="C1231" s="83">
        <v>46025</v>
      </c>
      <c r="D1231" t="s">
        <v>689</v>
      </c>
      <c r="E1231" t="s">
        <v>298</v>
      </c>
      <c r="F1231">
        <v>6</v>
      </c>
      <c r="G1231">
        <v>7.1703333333333301</v>
      </c>
    </row>
    <row r="1232" spans="1:7" x14ac:dyDescent="0.35">
      <c r="A1232" t="s">
        <v>847</v>
      </c>
      <c r="B1232" t="s">
        <v>680</v>
      </c>
      <c r="C1232" s="83">
        <v>46025</v>
      </c>
      <c r="D1232" t="s">
        <v>689</v>
      </c>
      <c r="E1232" t="s">
        <v>300</v>
      </c>
      <c r="F1232">
        <v>3</v>
      </c>
      <c r="G1232">
        <v>2.6671499999999999</v>
      </c>
    </row>
    <row r="1233" spans="1:7" x14ac:dyDescent="0.35">
      <c r="A1233" t="s">
        <v>847</v>
      </c>
      <c r="B1233" t="s">
        <v>680</v>
      </c>
      <c r="C1233" s="83">
        <v>46025</v>
      </c>
      <c r="D1233" t="s">
        <v>684</v>
      </c>
      <c r="E1233" t="s">
        <v>296</v>
      </c>
      <c r="F1233">
        <v>8</v>
      </c>
      <c r="G1233">
        <v>3.6582499999999998</v>
      </c>
    </row>
    <row r="1234" spans="1:7" x14ac:dyDescent="0.35">
      <c r="A1234" t="s">
        <v>847</v>
      </c>
      <c r="B1234" t="s">
        <v>680</v>
      </c>
      <c r="C1234" s="83">
        <v>46025</v>
      </c>
      <c r="D1234" t="s">
        <v>684</v>
      </c>
      <c r="E1234" t="s">
        <v>300</v>
      </c>
      <c r="F1234">
        <v>8</v>
      </c>
      <c r="G1234">
        <v>8.3286499999999997</v>
      </c>
    </row>
    <row r="1235" spans="1:7" x14ac:dyDescent="0.35">
      <c r="A1235" t="s">
        <v>847</v>
      </c>
      <c r="B1235" t="s">
        <v>680</v>
      </c>
      <c r="C1235" s="83">
        <v>46025</v>
      </c>
      <c r="D1235" t="s">
        <v>684</v>
      </c>
      <c r="E1235" t="s">
        <v>332</v>
      </c>
      <c r="F1235">
        <v>7</v>
      </c>
      <c r="G1235">
        <v>3.1620333333333299</v>
      </c>
    </row>
    <row r="1236" spans="1:7" x14ac:dyDescent="0.35">
      <c r="A1236" t="s">
        <v>847</v>
      </c>
      <c r="B1236" t="s">
        <v>680</v>
      </c>
      <c r="C1236" s="83">
        <v>46025</v>
      </c>
      <c r="D1236" t="s">
        <v>687</v>
      </c>
      <c r="E1236" t="s">
        <v>719</v>
      </c>
      <c r="F1236">
        <v>5</v>
      </c>
      <c r="G1236">
        <v>3.3343333333333298</v>
      </c>
    </row>
    <row r="1237" spans="1:7" x14ac:dyDescent="0.35">
      <c r="A1237" t="s">
        <v>847</v>
      </c>
      <c r="B1237" t="s">
        <v>680</v>
      </c>
      <c r="C1237" s="83">
        <v>46025</v>
      </c>
      <c r="D1237" t="s">
        <v>687</v>
      </c>
      <c r="E1237" t="s">
        <v>717</v>
      </c>
      <c r="F1237">
        <v>4</v>
      </c>
      <c r="G1237">
        <v>4.3450333333333298</v>
      </c>
    </row>
    <row r="1238" spans="1:7" x14ac:dyDescent="0.35">
      <c r="A1238" t="s">
        <v>847</v>
      </c>
      <c r="B1238" t="s">
        <v>680</v>
      </c>
      <c r="C1238" s="83">
        <v>46025</v>
      </c>
      <c r="D1238" t="s">
        <v>687</v>
      </c>
      <c r="E1238" t="s">
        <v>718</v>
      </c>
      <c r="F1238">
        <v>3</v>
      </c>
      <c r="G1238">
        <v>2.3390166666666699</v>
      </c>
    </row>
    <row r="1239" spans="1:7" x14ac:dyDescent="0.35">
      <c r="A1239" t="s">
        <v>847</v>
      </c>
      <c r="B1239" t="s">
        <v>680</v>
      </c>
      <c r="C1239" s="83">
        <v>46025</v>
      </c>
      <c r="D1239" t="s">
        <v>688</v>
      </c>
      <c r="E1239" t="s">
        <v>312</v>
      </c>
      <c r="F1239">
        <v>12</v>
      </c>
      <c r="G1239">
        <v>5.81788333333333</v>
      </c>
    </row>
    <row r="1240" spans="1:7" x14ac:dyDescent="0.35">
      <c r="A1240" t="s">
        <v>847</v>
      </c>
      <c r="B1240" t="s">
        <v>680</v>
      </c>
      <c r="C1240" s="83">
        <v>46025</v>
      </c>
      <c r="D1240" t="s">
        <v>688</v>
      </c>
      <c r="E1240" t="s">
        <v>311</v>
      </c>
      <c r="F1240">
        <v>11</v>
      </c>
      <c r="G1240">
        <v>7.5080833333333299</v>
      </c>
    </row>
    <row r="1241" spans="1:7" x14ac:dyDescent="0.35">
      <c r="A1241" t="s">
        <v>847</v>
      </c>
      <c r="B1241" t="s">
        <v>680</v>
      </c>
      <c r="C1241" s="83">
        <v>46025</v>
      </c>
      <c r="D1241" t="s">
        <v>688</v>
      </c>
      <c r="E1241" t="s">
        <v>720</v>
      </c>
      <c r="F1241">
        <v>10</v>
      </c>
      <c r="G1241">
        <v>5.1522333333333297</v>
      </c>
    </row>
    <row r="1242" spans="1:7" x14ac:dyDescent="0.35">
      <c r="A1242" t="s">
        <v>847</v>
      </c>
      <c r="B1242" t="s">
        <v>680</v>
      </c>
      <c r="C1242" s="83">
        <v>46025</v>
      </c>
      <c r="D1242" t="s">
        <v>690</v>
      </c>
      <c r="E1242" t="s">
        <v>311</v>
      </c>
      <c r="F1242">
        <v>16</v>
      </c>
      <c r="G1242">
        <v>9.6542499999999993</v>
      </c>
    </row>
    <row r="1243" spans="1:7" x14ac:dyDescent="0.35">
      <c r="A1243" t="s">
        <v>847</v>
      </c>
      <c r="B1243" t="s">
        <v>680</v>
      </c>
      <c r="C1243" s="83">
        <v>46025</v>
      </c>
      <c r="D1243" t="s">
        <v>690</v>
      </c>
      <c r="E1243" t="s">
        <v>720</v>
      </c>
      <c r="F1243">
        <v>8</v>
      </c>
      <c r="G1243">
        <v>2.3262166666666699</v>
      </c>
    </row>
    <row r="1244" spans="1:7" x14ac:dyDescent="0.35">
      <c r="A1244" t="s">
        <v>847</v>
      </c>
      <c r="B1244" t="s">
        <v>680</v>
      </c>
      <c r="C1244" s="83">
        <v>46025</v>
      </c>
      <c r="D1244" t="s">
        <v>690</v>
      </c>
      <c r="E1244" t="s">
        <v>724</v>
      </c>
      <c r="F1244">
        <v>3</v>
      </c>
      <c r="G1244">
        <v>2.6784333333333299</v>
      </c>
    </row>
    <row r="1245" spans="1:7" x14ac:dyDescent="0.35">
      <c r="A1245" t="s">
        <v>847</v>
      </c>
      <c r="B1245" t="s">
        <v>680</v>
      </c>
      <c r="C1245" s="83">
        <v>46025</v>
      </c>
      <c r="D1245" t="s">
        <v>685</v>
      </c>
      <c r="E1245" t="s">
        <v>311</v>
      </c>
      <c r="F1245">
        <v>16</v>
      </c>
      <c r="G1245">
        <v>10.3351333333333</v>
      </c>
    </row>
    <row r="1246" spans="1:7" x14ac:dyDescent="0.35">
      <c r="A1246" t="s">
        <v>847</v>
      </c>
      <c r="B1246" t="s">
        <v>680</v>
      </c>
      <c r="C1246" s="83">
        <v>46025</v>
      </c>
      <c r="D1246" t="s">
        <v>685</v>
      </c>
      <c r="E1246" t="s">
        <v>725</v>
      </c>
      <c r="F1246">
        <v>2</v>
      </c>
      <c r="G1246">
        <v>0.33334999999999998</v>
      </c>
    </row>
    <row r="1247" spans="1:7" x14ac:dyDescent="0.35">
      <c r="A1247" t="s">
        <v>847</v>
      </c>
      <c r="B1247" t="s">
        <v>680</v>
      </c>
      <c r="C1247" s="83">
        <v>46025</v>
      </c>
      <c r="D1247" t="s">
        <v>685</v>
      </c>
      <c r="E1247" t="s">
        <v>720</v>
      </c>
      <c r="F1247">
        <v>2</v>
      </c>
      <c r="G1247">
        <v>0.50049999999999994</v>
      </c>
    </row>
    <row r="1248" spans="1:7" x14ac:dyDescent="0.35">
      <c r="A1248" t="s">
        <v>847</v>
      </c>
      <c r="B1248" t="s">
        <v>680</v>
      </c>
      <c r="C1248" s="83">
        <v>46026</v>
      </c>
      <c r="D1248" t="s">
        <v>681</v>
      </c>
      <c r="E1248" t="s">
        <v>296</v>
      </c>
      <c r="F1248">
        <v>35</v>
      </c>
      <c r="G1248">
        <v>16.803633333333298</v>
      </c>
    </row>
    <row r="1249" spans="1:7" x14ac:dyDescent="0.35">
      <c r="A1249" t="s">
        <v>847</v>
      </c>
      <c r="B1249" t="s">
        <v>680</v>
      </c>
      <c r="C1249" s="83">
        <v>46026</v>
      </c>
      <c r="D1249" t="s">
        <v>681</v>
      </c>
      <c r="E1249" t="s">
        <v>332</v>
      </c>
      <c r="F1249">
        <v>18</v>
      </c>
      <c r="G1249">
        <v>29.683150000000001</v>
      </c>
    </row>
    <row r="1250" spans="1:7" x14ac:dyDescent="0.35">
      <c r="A1250" t="s">
        <v>847</v>
      </c>
      <c r="B1250" t="s">
        <v>680</v>
      </c>
      <c r="C1250" s="83">
        <v>46026</v>
      </c>
      <c r="D1250" t="s">
        <v>681</v>
      </c>
      <c r="E1250" t="s">
        <v>298</v>
      </c>
      <c r="F1250">
        <v>17</v>
      </c>
      <c r="G1250">
        <v>15.006016666666699</v>
      </c>
    </row>
    <row r="1251" spans="1:7" x14ac:dyDescent="0.35">
      <c r="A1251" t="s">
        <v>847</v>
      </c>
      <c r="B1251" t="s">
        <v>680</v>
      </c>
      <c r="C1251" s="83">
        <v>46026</v>
      </c>
      <c r="D1251" t="s">
        <v>683</v>
      </c>
      <c r="E1251" t="s">
        <v>296</v>
      </c>
      <c r="F1251">
        <v>24</v>
      </c>
      <c r="G1251">
        <v>35.668266666666703</v>
      </c>
    </row>
    <row r="1252" spans="1:7" x14ac:dyDescent="0.35">
      <c r="A1252" t="s">
        <v>847</v>
      </c>
      <c r="B1252" t="s">
        <v>680</v>
      </c>
      <c r="C1252" s="83">
        <v>46026</v>
      </c>
      <c r="D1252" t="s">
        <v>683</v>
      </c>
      <c r="E1252" t="s">
        <v>297</v>
      </c>
      <c r="F1252">
        <v>14</v>
      </c>
      <c r="G1252">
        <v>4.8317333333333297</v>
      </c>
    </row>
    <row r="1253" spans="1:7" x14ac:dyDescent="0.35">
      <c r="A1253" t="s">
        <v>847</v>
      </c>
      <c r="B1253" t="s">
        <v>680</v>
      </c>
      <c r="C1253" s="83">
        <v>46026</v>
      </c>
      <c r="D1253" t="s">
        <v>683</v>
      </c>
      <c r="E1253" t="s">
        <v>298</v>
      </c>
      <c r="F1253">
        <v>11</v>
      </c>
      <c r="G1253">
        <v>10.349299999999999</v>
      </c>
    </row>
    <row r="1254" spans="1:7" x14ac:dyDescent="0.35">
      <c r="A1254" t="s">
        <v>847</v>
      </c>
      <c r="B1254" t="s">
        <v>680</v>
      </c>
      <c r="C1254" s="83">
        <v>46026</v>
      </c>
      <c r="D1254" t="s">
        <v>689</v>
      </c>
      <c r="E1254" t="s">
        <v>296</v>
      </c>
      <c r="F1254">
        <v>19</v>
      </c>
      <c r="G1254">
        <v>8.0250833333333293</v>
      </c>
    </row>
    <row r="1255" spans="1:7" x14ac:dyDescent="0.35">
      <c r="A1255" t="s">
        <v>847</v>
      </c>
      <c r="B1255" t="s">
        <v>680</v>
      </c>
      <c r="C1255" s="83">
        <v>46026</v>
      </c>
      <c r="D1255" t="s">
        <v>689</v>
      </c>
      <c r="E1255" t="s">
        <v>300</v>
      </c>
      <c r="F1255">
        <v>6</v>
      </c>
      <c r="G1255">
        <v>6.99691666666667</v>
      </c>
    </row>
    <row r="1256" spans="1:7" x14ac:dyDescent="0.35">
      <c r="A1256" t="s">
        <v>847</v>
      </c>
      <c r="B1256" t="s">
        <v>680</v>
      </c>
      <c r="C1256" s="83">
        <v>46026</v>
      </c>
      <c r="D1256" t="s">
        <v>689</v>
      </c>
      <c r="E1256" t="s">
        <v>332</v>
      </c>
      <c r="F1256">
        <v>4</v>
      </c>
      <c r="G1256">
        <v>2.3336333333333301</v>
      </c>
    </row>
    <row r="1257" spans="1:7" x14ac:dyDescent="0.35">
      <c r="A1257" t="s">
        <v>847</v>
      </c>
      <c r="B1257" t="s">
        <v>680</v>
      </c>
      <c r="C1257" s="83">
        <v>46026</v>
      </c>
      <c r="D1257" t="s">
        <v>684</v>
      </c>
      <c r="E1257" t="s">
        <v>296</v>
      </c>
      <c r="F1257">
        <v>18</v>
      </c>
      <c r="G1257">
        <v>13.6674333333333</v>
      </c>
    </row>
    <row r="1258" spans="1:7" x14ac:dyDescent="0.35">
      <c r="A1258" t="s">
        <v>847</v>
      </c>
      <c r="B1258" t="s">
        <v>680</v>
      </c>
      <c r="C1258" s="83">
        <v>46026</v>
      </c>
      <c r="D1258" t="s">
        <v>684</v>
      </c>
      <c r="E1258" t="s">
        <v>298</v>
      </c>
      <c r="F1258">
        <v>12</v>
      </c>
      <c r="G1258">
        <v>23.1692</v>
      </c>
    </row>
    <row r="1259" spans="1:7" x14ac:dyDescent="0.35">
      <c r="A1259" t="s">
        <v>847</v>
      </c>
      <c r="B1259" t="s">
        <v>680</v>
      </c>
      <c r="C1259" s="83">
        <v>46026</v>
      </c>
      <c r="D1259" t="s">
        <v>684</v>
      </c>
      <c r="E1259" t="s">
        <v>297</v>
      </c>
      <c r="F1259">
        <v>8</v>
      </c>
      <c r="G1259">
        <v>2.3348</v>
      </c>
    </row>
    <row r="1260" spans="1:7" x14ac:dyDescent="0.35">
      <c r="A1260" t="s">
        <v>847</v>
      </c>
      <c r="B1260" t="s">
        <v>680</v>
      </c>
      <c r="C1260" s="83">
        <v>46026</v>
      </c>
      <c r="D1260" t="s">
        <v>687</v>
      </c>
      <c r="E1260" t="s">
        <v>717</v>
      </c>
      <c r="F1260">
        <v>5</v>
      </c>
      <c r="G1260">
        <v>6.6613833333333297</v>
      </c>
    </row>
    <row r="1261" spans="1:7" x14ac:dyDescent="0.35">
      <c r="A1261" t="s">
        <v>847</v>
      </c>
      <c r="B1261" t="s">
        <v>680</v>
      </c>
      <c r="C1261" s="83">
        <v>46026</v>
      </c>
      <c r="D1261" t="s">
        <v>687</v>
      </c>
      <c r="E1261" t="s">
        <v>726</v>
      </c>
      <c r="F1261">
        <v>4</v>
      </c>
      <c r="G1261">
        <v>4.8336499999999996</v>
      </c>
    </row>
    <row r="1262" spans="1:7" x14ac:dyDescent="0.35">
      <c r="A1262" t="s">
        <v>847</v>
      </c>
      <c r="B1262" t="s">
        <v>680</v>
      </c>
      <c r="C1262" s="83">
        <v>46026</v>
      </c>
      <c r="D1262" t="s">
        <v>687</v>
      </c>
      <c r="E1262" t="s">
        <v>718</v>
      </c>
      <c r="F1262">
        <v>2</v>
      </c>
      <c r="G1262">
        <v>0.67300000000000004</v>
      </c>
    </row>
    <row r="1263" spans="1:7" x14ac:dyDescent="0.35">
      <c r="A1263" t="s">
        <v>847</v>
      </c>
      <c r="B1263" t="s">
        <v>680</v>
      </c>
      <c r="C1263" s="83">
        <v>46026</v>
      </c>
      <c r="D1263" t="s">
        <v>688</v>
      </c>
      <c r="E1263" t="s">
        <v>720</v>
      </c>
      <c r="F1263">
        <v>24</v>
      </c>
      <c r="G1263">
        <v>13.369899999999999</v>
      </c>
    </row>
    <row r="1264" spans="1:7" x14ac:dyDescent="0.35">
      <c r="A1264" t="s">
        <v>847</v>
      </c>
      <c r="B1264" t="s">
        <v>680</v>
      </c>
      <c r="C1264" s="83">
        <v>46026</v>
      </c>
      <c r="D1264" t="s">
        <v>688</v>
      </c>
      <c r="E1264" t="s">
        <v>316</v>
      </c>
      <c r="F1264">
        <v>13</v>
      </c>
      <c r="G1264">
        <v>5.2985333333333298</v>
      </c>
    </row>
    <row r="1265" spans="1:7" x14ac:dyDescent="0.35">
      <c r="A1265" t="s">
        <v>847</v>
      </c>
      <c r="B1265" t="s">
        <v>680</v>
      </c>
      <c r="C1265" s="83">
        <v>46026</v>
      </c>
      <c r="D1265" t="s">
        <v>688</v>
      </c>
      <c r="E1265" t="s">
        <v>311</v>
      </c>
      <c r="F1265">
        <v>8</v>
      </c>
      <c r="G1265">
        <v>11.673349999999999</v>
      </c>
    </row>
    <row r="1266" spans="1:7" x14ac:dyDescent="0.35">
      <c r="A1266" t="s">
        <v>847</v>
      </c>
      <c r="B1266" t="s">
        <v>680</v>
      </c>
      <c r="C1266" s="83">
        <v>46026</v>
      </c>
      <c r="D1266" t="s">
        <v>690</v>
      </c>
      <c r="E1266" t="s">
        <v>311</v>
      </c>
      <c r="F1266">
        <v>11</v>
      </c>
      <c r="G1266">
        <v>19.9784333333333</v>
      </c>
    </row>
    <row r="1267" spans="1:7" x14ac:dyDescent="0.35">
      <c r="A1267" t="s">
        <v>847</v>
      </c>
      <c r="B1267" t="s">
        <v>680</v>
      </c>
      <c r="C1267" s="83">
        <v>46026</v>
      </c>
      <c r="D1267" t="s">
        <v>690</v>
      </c>
      <c r="E1267" t="s">
        <v>720</v>
      </c>
      <c r="F1267">
        <v>10</v>
      </c>
      <c r="G1267">
        <v>6.4763999999999999</v>
      </c>
    </row>
    <row r="1268" spans="1:7" x14ac:dyDescent="0.35">
      <c r="A1268" t="s">
        <v>847</v>
      </c>
      <c r="B1268" t="s">
        <v>680</v>
      </c>
      <c r="C1268" s="83">
        <v>46026</v>
      </c>
      <c r="D1268" t="s">
        <v>690</v>
      </c>
      <c r="E1268" t="s">
        <v>723</v>
      </c>
      <c r="F1268">
        <v>7</v>
      </c>
      <c r="G1268">
        <v>3.8443499999999999</v>
      </c>
    </row>
    <row r="1269" spans="1:7" x14ac:dyDescent="0.35">
      <c r="A1269" t="s">
        <v>847</v>
      </c>
      <c r="B1269" t="s">
        <v>680</v>
      </c>
      <c r="C1269" s="83">
        <v>46026</v>
      </c>
      <c r="D1269" t="s">
        <v>685</v>
      </c>
      <c r="E1269" t="s">
        <v>311</v>
      </c>
      <c r="F1269">
        <v>9</v>
      </c>
      <c r="G1269">
        <v>5.1794833333333301</v>
      </c>
    </row>
    <row r="1270" spans="1:7" x14ac:dyDescent="0.35">
      <c r="A1270" t="s">
        <v>847</v>
      </c>
      <c r="B1270" t="s">
        <v>680</v>
      </c>
      <c r="C1270" s="83">
        <v>46026</v>
      </c>
      <c r="D1270" t="s">
        <v>685</v>
      </c>
      <c r="E1270" t="s">
        <v>720</v>
      </c>
      <c r="F1270">
        <v>3</v>
      </c>
      <c r="G1270">
        <v>0.661283333333333</v>
      </c>
    </row>
    <row r="1271" spans="1:7" x14ac:dyDescent="0.35">
      <c r="A1271" t="s">
        <v>847</v>
      </c>
      <c r="B1271" t="s">
        <v>680</v>
      </c>
      <c r="C1271" s="83">
        <v>46026</v>
      </c>
      <c r="D1271" t="s">
        <v>685</v>
      </c>
      <c r="E1271" t="s">
        <v>312</v>
      </c>
      <c r="F1271">
        <v>3</v>
      </c>
      <c r="G1271">
        <v>2.1735833333333301</v>
      </c>
    </row>
    <row r="1272" spans="1:7" x14ac:dyDescent="0.35">
      <c r="A1272" t="s">
        <v>847</v>
      </c>
      <c r="B1272" t="s">
        <v>680</v>
      </c>
      <c r="C1272" s="83">
        <v>46027</v>
      </c>
      <c r="D1272" t="s">
        <v>681</v>
      </c>
      <c r="E1272" t="s">
        <v>296</v>
      </c>
      <c r="F1272">
        <v>35</v>
      </c>
      <c r="G1272">
        <v>15.5042333333333</v>
      </c>
    </row>
    <row r="1273" spans="1:7" x14ac:dyDescent="0.35">
      <c r="A1273" t="s">
        <v>847</v>
      </c>
      <c r="B1273" t="s">
        <v>680</v>
      </c>
      <c r="C1273" s="83">
        <v>46027</v>
      </c>
      <c r="D1273" t="s">
        <v>681</v>
      </c>
      <c r="E1273" t="s">
        <v>298</v>
      </c>
      <c r="F1273">
        <v>10</v>
      </c>
      <c r="G1273">
        <v>8.5139333333333305</v>
      </c>
    </row>
    <row r="1274" spans="1:7" x14ac:dyDescent="0.35">
      <c r="A1274" t="s">
        <v>847</v>
      </c>
      <c r="B1274" t="s">
        <v>680</v>
      </c>
      <c r="C1274" s="83">
        <v>46027</v>
      </c>
      <c r="D1274" t="s">
        <v>681</v>
      </c>
      <c r="E1274" t="s">
        <v>645</v>
      </c>
      <c r="F1274">
        <v>8</v>
      </c>
      <c r="G1274">
        <v>1.83408333333333</v>
      </c>
    </row>
    <row r="1275" spans="1:7" x14ac:dyDescent="0.35">
      <c r="A1275" t="s">
        <v>847</v>
      </c>
      <c r="B1275" t="s">
        <v>680</v>
      </c>
      <c r="C1275" s="83">
        <v>46027</v>
      </c>
      <c r="D1275" t="s">
        <v>683</v>
      </c>
      <c r="E1275" t="s">
        <v>334</v>
      </c>
      <c r="F1275">
        <v>15</v>
      </c>
      <c r="G1275">
        <v>5.84791666666667</v>
      </c>
    </row>
    <row r="1276" spans="1:7" x14ac:dyDescent="0.35">
      <c r="A1276" t="s">
        <v>847</v>
      </c>
      <c r="B1276" t="s">
        <v>680</v>
      </c>
      <c r="C1276" s="83">
        <v>46027</v>
      </c>
      <c r="D1276" t="s">
        <v>683</v>
      </c>
      <c r="E1276" t="s">
        <v>727</v>
      </c>
      <c r="F1276">
        <v>10</v>
      </c>
      <c r="G1276">
        <v>158.02029999999999</v>
      </c>
    </row>
    <row r="1277" spans="1:7" x14ac:dyDescent="0.35">
      <c r="A1277" t="s">
        <v>847</v>
      </c>
      <c r="B1277" t="s">
        <v>680</v>
      </c>
      <c r="C1277" s="83">
        <v>46027</v>
      </c>
      <c r="D1277" t="s">
        <v>683</v>
      </c>
      <c r="E1277" t="s">
        <v>297</v>
      </c>
      <c r="F1277">
        <v>10</v>
      </c>
      <c r="G1277">
        <v>3.33938333333333</v>
      </c>
    </row>
    <row r="1278" spans="1:7" x14ac:dyDescent="0.35">
      <c r="A1278" t="s">
        <v>847</v>
      </c>
      <c r="B1278" t="s">
        <v>680</v>
      </c>
      <c r="C1278" s="83">
        <v>46027</v>
      </c>
      <c r="D1278" t="s">
        <v>689</v>
      </c>
      <c r="E1278" t="s">
        <v>296</v>
      </c>
      <c r="F1278">
        <v>24</v>
      </c>
      <c r="G1278">
        <v>10.001516666666699</v>
      </c>
    </row>
    <row r="1279" spans="1:7" x14ac:dyDescent="0.35">
      <c r="A1279" t="s">
        <v>847</v>
      </c>
      <c r="B1279" t="s">
        <v>680</v>
      </c>
      <c r="C1279" s="83">
        <v>46027</v>
      </c>
      <c r="D1279" t="s">
        <v>689</v>
      </c>
      <c r="E1279" t="s">
        <v>297</v>
      </c>
      <c r="F1279">
        <v>19</v>
      </c>
      <c r="G1279">
        <v>7.5244</v>
      </c>
    </row>
    <row r="1280" spans="1:7" x14ac:dyDescent="0.35">
      <c r="A1280" t="s">
        <v>847</v>
      </c>
      <c r="B1280" t="s">
        <v>680</v>
      </c>
      <c r="C1280" s="83">
        <v>46027</v>
      </c>
      <c r="D1280" t="s">
        <v>689</v>
      </c>
      <c r="E1280" t="s">
        <v>332</v>
      </c>
      <c r="F1280">
        <v>14</v>
      </c>
      <c r="G1280">
        <v>8.1657333333333302</v>
      </c>
    </row>
    <row r="1281" spans="1:7" x14ac:dyDescent="0.35">
      <c r="A1281" t="s">
        <v>847</v>
      </c>
      <c r="B1281" t="s">
        <v>680</v>
      </c>
      <c r="C1281" s="83">
        <v>46027</v>
      </c>
      <c r="D1281" t="s">
        <v>684</v>
      </c>
      <c r="E1281" t="s">
        <v>296</v>
      </c>
      <c r="F1281">
        <v>13</v>
      </c>
      <c r="G1281">
        <v>5.4944166666666696</v>
      </c>
    </row>
    <row r="1282" spans="1:7" x14ac:dyDescent="0.35">
      <c r="A1282" t="s">
        <v>847</v>
      </c>
      <c r="B1282" t="s">
        <v>680</v>
      </c>
      <c r="C1282" s="83">
        <v>46027</v>
      </c>
      <c r="D1282" t="s">
        <v>684</v>
      </c>
      <c r="E1282" t="s">
        <v>728</v>
      </c>
      <c r="F1282">
        <v>7</v>
      </c>
      <c r="G1282">
        <v>1.8392166666666701</v>
      </c>
    </row>
    <row r="1283" spans="1:7" x14ac:dyDescent="0.35">
      <c r="A1283" t="s">
        <v>847</v>
      </c>
      <c r="B1283" t="s">
        <v>680</v>
      </c>
      <c r="C1283" s="83">
        <v>46027</v>
      </c>
      <c r="D1283" t="s">
        <v>684</v>
      </c>
      <c r="E1283" t="s">
        <v>298</v>
      </c>
      <c r="F1283">
        <v>7</v>
      </c>
      <c r="G1283">
        <v>7.8336499999999996</v>
      </c>
    </row>
    <row r="1284" spans="1:7" x14ac:dyDescent="0.35">
      <c r="A1284" t="s">
        <v>847</v>
      </c>
      <c r="B1284" t="s">
        <v>680</v>
      </c>
      <c r="C1284" s="83">
        <v>46027</v>
      </c>
      <c r="D1284" t="s">
        <v>687</v>
      </c>
      <c r="E1284" t="s">
        <v>718</v>
      </c>
      <c r="F1284">
        <v>10</v>
      </c>
      <c r="G1284">
        <v>7.4986166666666696</v>
      </c>
    </row>
    <row r="1285" spans="1:7" x14ac:dyDescent="0.35">
      <c r="A1285" t="s">
        <v>847</v>
      </c>
      <c r="B1285" t="s">
        <v>680</v>
      </c>
      <c r="C1285" s="83">
        <v>46027</v>
      </c>
      <c r="D1285" t="s">
        <v>687</v>
      </c>
      <c r="E1285" t="s">
        <v>717</v>
      </c>
      <c r="F1285">
        <v>8</v>
      </c>
      <c r="G1285">
        <v>11.9913666666667</v>
      </c>
    </row>
    <row r="1286" spans="1:7" x14ac:dyDescent="0.35">
      <c r="A1286" t="s">
        <v>847</v>
      </c>
      <c r="B1286" t="s">
        <v>680</v>
      </c>
      <c r="C1286" s="83">
        <v>46027</v>
      </c>
      <c r="D1286" t="s">
        <v>687</v>
      </c>
      <c r="E1286" t="s">
        <v>729</v>
      </c>
      <c r="F1286">
        <v>5</v>
      </c>
      <c r="G1286">
        <v>1.66763333333333</v>
      </c>
    </row>
    <row r="1287" spans="1:7" x14ac:dyDescent="0.35">
      <c r="A1287" t="s">
        <v>847</v>
      </c>
      <c r="B1287" t="s">
        <v>680</v>
      </c>
      <c r="C1287" s="83">
        <v>46027</v>
      </c>
      <c r="D1287" t="s">
        <v>688</v>
      </c>
      <c r="E1287" t="s">
        <v>311</v>
      </c>
      <c r="F1287">
        <v>12</v>
      </c>
      <c r="G1287">
        <v>6.1664833333333302</v>
      </c>
    </row>
    <row r="1288" spans="1:7" x14ac:dyDescent="0.35">
      <c r="A1288" t="s">
        <v>847</v>
      </c>
      <c r="B1288" t="s">
        <v>680</v>
      </c>
      <c r="C1288" s="83">
        <v>46027</v>
      </c>
      <c r="D1288" t="s">
        <v>688</v>
      </c>
      <c r="E1288" t="s">
        <v>720</v>
      </c>
      <c r="F1288">
        <v>5</v>
      </c>
      <c r="G1288">
        <v>1.82683333333333</v>
      </c>
    </row>
    <row r="1289" spans="1:7" x14ac:dyDescent="0.35">
      <c r="A1289" t="s">
        <v>847</v>
      </c>
      <c r="B1289" t="s">
        <v>680</v>
      </c>
      <c r="C1289" s="83">
        <v>46027</v>
      </c>
      <c r="D1289" t="s">
        <v>688</v>
      </c>
      <c r="E1289" t="s">
        <v>126</v>
      </c>
      <c r="F1289">
        <v>4</v>
      </c>
      <c r="G1289">
        <v>3.0066333333333302</v>
      </c>
    </row>
    <row r="1290" spans="1:7" x14ac:dyDescent="0.35">
      <c r="A1290" t="s">
        <v>847</v>
      </c>
      <c r="B1290" t="s">
        <v>680</v>
      </c>
      <c r="C1290" s="83">
        <v>46027</v>
      </c>
      <c r="D1290" t="s">
        <v>690</v>
      </c>
      <c r="E1290" t="s">
        <v>720</v>
      </c>
      <c r="F1290">
        <v>8</v>
      </c>
      <c r="G1290">
        <v>4.3227166666666701</v>
      </c>
    </row>
    <row r="1291" spans="1:7" x14ac:dyDescent="0.35">
      <c r="A1291" t="s">
        <v>847</v>
      </c>
      <c r="B1291" t="s">
        <v>680</v>
      </c>
      <c r="C1291" s="83">
        <v>46027</v>
      </c>
      <c r="D1291" t="s">
        <v>690</v>
      </c>
      <c r="E1291" t="s">
        <v>316</v>
      </c>
      <c r="F1291">
        <v>7</v>
      </c>
      <c r="G1291">
        <v>3.3423166666666702</v>
      </c>
    </row>
    <row r="1292" spans="1:7" x14ac:dyDescent="0.35">
      <c r="A1292" t="s">
        <v>847</v>
      </c>
      <c r="B1292" t="s">
        <v>680</v>
      </c>
      <c r="C1292" s="83">
        <v>46027</v>
      </c>
      <c r="D1292" t="s">
        <v>690</v>
      </c>
      <c r="E1292" t="s">
        <v>321</v>
      </c>
      <c r="F1292">
        <v>6</v>
      </c>
      <c r="G1292">
        <v>4.3277666666666699</v>
      </c>
    </row>
    <row r="1293" spans="1:7" x14ac:dyDescent="0.35">
      <c r="A1293" t="s">
        <v>847</v>
      </c>
      <c r="B1293" t="s">
        <v>680</v>
      </c>
      <c r="C1293" s="83">
        <v>46027</v>
      </c>
      <c r="D1293" t="s">
        <v>685</v>
      </c>
      <c r="E1293" t="s">
        <v>311</v>
      </c>
      <c r="F1293">
        <v>3</v>
      </c>
      <c r="G1293">
        <v>6.6648833333333304</v>
      </c>
    </row>
    <row r="1294" spans="1:7" x14ac:dyDescent="0.35">
      <c r="A1294" t="s">
        <v>847</v>
      </c>
      <c r="B1294" t="s">
        <v>680</v>
      </c>
      <c r="C1294" s="83">
        <v>46027</v>
      </c>
      <c r="D1294" t="s">
        <v>685</v>
      </c>
      <c r="E1294" t="s">
        <v>338</v>
      </c>
      <c r="F1294">
        <v>3</v>
      </c>
      <c r="G1294">
        <v>4.3329166666666703</v>
      </c>
    </row>
    <row r="1295" spans="1:7" x14ac:dyDescent="0.35">
      <c r="A1295" t="s">
        <v>847</v>
      </c>
      <c r="B1295" t="s">
        <v>680</v>
      </c>
      <c r="C1295" s="83">
        <v>46027</v>
      </c>
      <c r="D1295" t="s">
        <v>685</v>
      </c>
      <c r="E1295" t="s">
        <v>720</v>
      </c>
      <c r="F1295">
        <v>3</v>
      </c>
      <c r="G1295">
        <v>0.50656666666666705</v>
      </c>
    </row>
    <row r="1296" spans="1:7" x14ac:dyDescent="0.35">
      <c r="A1296" t="s">
        <v>847</v>
      </c>
      <c r="B1296" t="s">
        <v>680</v>
      </c>
      <c r="C1296" s="83">
        <v>46028</v>
      </c>
      <c r="D1296" t="s">
        <v>681</v>
      </c>
      <c r="E1296" t="s">
        <v>296</v>
      </c>
      <c r="F1296">
        <v>49</v>
      </c>
      <c r="G1296">
        <v>22.610099999999999</v>
      </c>
    </row>
    <row r="1297" spans="1:7" x14ac:dyDescent="0.35">
      <c r="A1297" t="s">
        <v>847</v>
      </c>
      <c r="B1297" t="s">
        <v>680</v>
      </c>
      <c r="C1297" s="83">
        <v>46028</v>
      </c>
      <c r="D1297" t="s">
        <v>681</v>
      </c>
      <c r="E1297" t="s">
        <v>297</v>
      </c>
      <c r="F1297">
        <v>16</v>
      </c>
      <c r="G1297">
        <v>6.1615000000000002</v>
      </c>
    </row>
    <row r="1298" spans="1:7" x14ac:dyDescent="0.35">
      <c r="A1298" t="s">
        <v>847</v>
      </c>
      <c r="B1298" t="s">
        <v>680</v>
      </c>
      <c r="C1298" s="83">
        <v>46028</v>
      </c>
      <c r="D1298" t="s">
        <v>681</v>
      </c>
      <c r="E1298" t="s">
        <v>298</v>
      </c>
      <c r="F1298">
        <v>14</v>
      </c>
      <c r="G1298">
        <v>10.344049999999999</v>
      </c>
    </row>
    <row r="1299" spans="1:7" x14ac:dyDescent="0.35">
      <c r="A1299" t="s">
        <v>847</v>
      </c>
      <c r="B1299" t="s">
        <v>680</v>
      </c>
      <c r="C1299" s="83">
        <v>46028</v>
      </c>
      <c r="D1299" t="s">
        <v>683</v>
      </c>
      <c r="E1299" t="s">
        <v>298</v>
      </c>
      <c r="F1299">
        <v>8</v>
      </c>
      <c r="G1299">
        <v>17.828766666666699</v>
      </c>
    </row>
    <row r="1300" spans="1:7" x14ac:dyDescent="0.35">
      <c r="A1300" t="s">
        <v>847</v>
      </c>
      <c r="B1300" t="s">
        <v>680</v>
      </c>
      <c r="C1300" s="83">
        <v>46028</v>
      </c>
      <c r="D1300" t="s">
        <v>683</v>
      </c>
      <c r="E1300" t="s">
        <v>730</v>
      </c>
      <c r="F1300">
        <v>5</v>
      </c>
      <c r="G1300">
        <v>4.1674666666666704</v>
      </c>
    </row>
    <row r="1301" spans="1:7" x14ac:dyDescent="0.35">
      <c r="A1301" t="s">
        <v>847</v>
      </c>
      <c r="B1301" t="s">
        <v>680</v>
      </c>
      <c r="C1301" s="83">
        <v>46028</v>
      </c>
      <c r="D1301" t="s">
        <v>683</v>
      </c>
      <c r="E1301" t="s">
        <v>334</v>
      </c>
      <c r="F1301">
        <v>4</v>
      </c>
      <c r="G1301">
        <v>5.8352000000000004</v>
      </c>
    </row>
    <row r="1302" spans="1:7" x14ac:dyDescent="0.35">
      <c r="A1302" t="s">
        <v>847</v>
      </c>
      <c r="B1302" t="s">
        <v>680</v>
      </c>
      <c r="C1302" s="83">
        <v>46028</v>
      </c>
      <c r="D1302" t="s">
        <v>689</v>
      </c>
      <c r="E1302" t="s">
        <v>298</v>
      </c>
      <c r="F1302">
        <v>17</v>
      </c>
      <c r="G1302">
        <v>9.5165833333333296</v>
      </c>
    </row>
    <row r="1303" spans="1:7" x14ac:dyDescent="0.35">
      <c r="A1303" t="s">
        <v>847</v>
      </c>
      <c r="B1303" t="s">
        <v>680</v>
      </c>
      <c r="C1303" s="83">
        <v>46028</v>
      </c>
      <c r="D1303" t="s">
        <v>689</v>
      </c>
      <c r="E1303" t="s">
        <v>332</v>
      </c>
      <c r="F1303">
        <v>15</v>
      </c>
      <c r="G1303">
        <v>17.494883333333298</v>
      </c>
    </row>
    <row r="1304" spans="1:7" x14ac:dyDescent="0.35">
      <c r="A1304" t="s">
        <v>847</v>
      </c>
      <c r="B1304" t="s">
        <v>680</v>
      </c>
      <c r="C1304" s="83">
        <v>46028</v>
      </c>
      <c r="D1304" t="s">
        <v>689</v>
      </c>
      <c r="E1304" t="s">
        <v>296</v>
      </c>
      <c r="F1304">
        <v>13</v>
      </c>
      <c r="G1304">
        <v>7.0256333333333298</v>
      </c>
    </row>
    <row r="1305" spans="1:7" x14ac:dyDescent="0.35">
      <c r="A1305" t="s">
        <v>847</v>
      </c>
      <c r="B1305" t="s">
        <v>680</v>
      </c>
      <c r="C1305" s="83">
        <v>46028</v>
      </c>
      <c r="D1305" t="s">
        <v>684</v>
      </c>
      <c r="E1305" t="s">
        <v>300</v>
      </c>
      <c r="F1305">
        <v>13</v>
      </c>
      <c r="G1305">
        <v>51.668133333333301</v>
      </c>
    </row>
    <row r="1306" spans="1:7" x14ac:dyDescent="0.35">
      <c r="A1306" t="s">
        <v>847</v>
      </c>
      <c r="B1306" t="s">
        <v>680</v>
      </c>
      <c r="C1306" s="83">
        <v>46028</v>
      </c>
      <c r="D1306" t="s">
        <v>684</v>
      </c>
      <c r="E1306" t="s">
        <v>297</v>
      </c>
      <c r="F1306">
        <v>6</v>
      </c>
      <c r="G1306">
        <v>3.1614666666666702</v>
      </c>
    </row>
    <row r="1307" spans="1:7" x14ac:dyDescent="0.35">
      <c r="A1307" t="s">
        <v>847</v>
      </c>
      <c r="B1307" t="s">
        <v>680</v>
      </c>
      <c r="C1307" s="83">
        <v>46028</v>
      </c>
      <c r="D1307" t="s">
        <v>684</v>
      </c>
      <c r="E1307" t="s">
        <v>298</v>
      </c>
      <c r="F1307">
        <v>6</v>
      </c>
      <c r="G1307">
        <v>11.1658833333333</v>
      </c>
    </row>
    <row r="1308" spans="1:7" x14ac:dyDescent="0.35">
      <c r="A1308" t="s">
        <v>847</v>
      </c>
      <c r="B1308" t="s">
        <v>680</v>
      </c>
      <c r="C1308" s="83">
        <v>46028</v>
      </c>
      <c r="D1308" t="s">
        <v>687</v>
      </c>
      <c r="E1308" t="s">
        <v>718</v>
      </c>
      <c r="F1308">
        <v>11</v>
      </c>
      <c r="G1308">
        <v>13.8472833333333</v>
      </c>
    </row>
    <row r="1309" spans="1:7" x14ac:dyDescent="0.35">
      <c r="A1309" t="s">
        <v>847</v>
      </c>
      <c r="B1309" t="s">
        <v>680</v>
      </c>
      <c r="C1309" s="83">
        <v>46028</v>
      </c>
      <c r="D1309" t="s">
        <v>687</v>
      </c>
      <c r="E1309" t="s">
        <v>717</v>
      </c>
      <c r="F1309">
        <v>5</v>
      </c>
      <c r="G1309">
        <v>2.3356666666666701</v>
      </c>
    </row>
    <row r="1310" spans="1:7" x14ac:dyDescent="0.35">
      <c r="A1310" t="s">
        <v>847</v>
      </c>
      <c r="B1310" t="s">
        <v>680</v>
      </c>
      <c r="C1310" s="83">
        <v>46028</v>
      </c>
      <c r="D1310" t="s">
        <v>687</v>
      </c>
      <c r="E1310" t="s">
        <v>729</v>
      </c>
      <c r="F1310">
        <v>3</v>
      </c>
      <c r="G1310">
        <v>4.0067666666666701</v>
      </c>
    </row>
    <row r="1311" spans="1:7" x14ac:dyDescent="0.35">
      <c r="A1311" t="s">
        <v>847</v>
      </c>
      <c r="B1311" t="s">
        <v>680</v>
      </c>
      <c r="C1311" s="83">
        <v>46028</v>
      </c>
      <c r="D1311" t="s">
        <v>688</v>
      </c>
      <c r="E1311" t="s">
        <v>311</v>
      </c>
      <c r="F1311">
        <v>8</v>
      </c>
      <c r="G1311">
        <v>5.6525666666666696</v>
      </c>
    </row>
    <row r="1312" spans="1:7" x14ac:dyDescent="0.35">
      <c r="A1312" t="s">
        <v>847</v>
      </c>
      <c r="B1312" t="s">
        <v>680</v>
      </c>
      <c r="C1312" s="83">
        <v>46028</v>
      </c>
      <c r="D1312" t="s">
        <v>688</v>
      </c>
      <c r="E1312" t="s">
        <v>720</v>
      </c>
      <c r="F1312">
        <v>2</v>
      </c>
      <c r="G1312">
        <v>0.66681666666666695</v>
      </c>
    </row>
    <row r="1313" spans="1:7" x14ac:dyDescent="0.35">
      <c r="A1313" t="s">
        <v>847</v>
      </c>
      <c r="B1313" t="s">
        <v>680</v>
      </c>
      <c r="C1313" s="83">
        <v>46028</v>
      </c>
      <c r="D1313" t="s">
        <v>690</v>
      </c>
      <c r="E1313" t="s">
        <v>720</v>
      </c>
      <c r="F1313">
        <v>12</v>
      </c>
      <c r="G1313">
        <v>8.3140666666666707</v>
      </c>
    </row>
    <row r="1314" spans="1:7" x14ac:dyDescent="0.35">
      <c r="A1314" t="s">
        <v>847</v>
      </c>
      <c r="B1314" t="s">
        <v>680</v>
      </c>
      <c r="C1314" s="83">
        <v>46028</v>
      </c>
      <c r="D1314" t="s">
        <v>690</v>
      </c>
      <c r="E1314" t="s">
        <v>311</v>
      </c>
      <c r="F1314">
        <v>7</v>
      </c>
      <c r="G1314">
        <v>11.1830833333333</v>
      </c>
    </row>
    <row r="1315" spans="1:7" x14ac:dyDescent="0.35">
      <c r="A1315" t="s">
        <v>847</v>
      </c>
      <c r="B1315" t="s">
        <v>680</v>
      </c>
      <c r="C1315" s="83">
        <v>46028</v>
      </c>
      <c r="D1315" t="s">
        <v>690</v>
      </c>
      <c r="E1315" t="s">
        <v>321</v>
      </c>
      <c r="F1315">
        <v>4</v>
      </c>
      <c r="G1315">
        <v>1.16671666666667</v>
      </c>
    </row>
    <row r="1316" spans="1:7" x14ac:dyDescent="0.35">
      <c r="A1316" t="s">
        <v>847</v>
      </c>
      <c r="B1316" t="s">
        <v>680</v>
      </c>
      <c r="C1316" s="83">
        <v>46028</v>
      </c>
      <c r="D1316" t="s">
        <v>685</v>
      </c>
      <c r="E1316" t="s">
        <v>720</v>
      </c>
      <c r="F1316">
        <v>24</v>
      </c>
      <c r="G1316">
        <v>13.3358333333333</v>
      </c>
    </row>
    <row r="1317" spans="1:7" x14ac:dyDescent="0.35">
      <c r="A1317" t="s">
        <v>847</v>
      </c>
      <c r="B1317" t="s">
        <v>680</v>
      </c>
      <c r="C1317" s="83">
        <v>46028</v>
      </c>
      <c r="D1317" t="s">
        <v>685</v>
      </c>
      <c r="E1317" t="s">
        <v>311</v>
      </c>
      <c r="F1317">
        <v>15</v>
      </c>
      <c r="G1317">
        <v>11.1772666666667</v>
      </c>
    </row>
    <row r="1318" spans="1:7" x14ac:dyDescent="0.35">
      <c r="A1318" t="s">
        <v>847</v>
      </c>
      <c r="B1318" t="s">
        <v>680</v>
      </c>
      <c r="C1318" s="83">
        <v>46028</v>
      </c>
      <c r="D1318" t="s">
        <v>685</v>
      </c>
      <c r="E1318" t="s">
        <v>316</v>
      </c>
      <c r="F1318">
        <v>5</v>
      </c>
      <c r="G1318">
        <v>3.3342999999999998</v>
      </c>
    </row>
    <row r="1319" spans="1:7" x14ac:dyDescent="0.35">
      <c r="A1319" t="s">
        <v>847</v>
      </c>
      <c r="B1319" t="s">
        <v>680</v>
      </c>
      <c r="C1319" s="83">
        <v>46029</v>
      </c>
      <c r="D1319" t="s">
        <v>681</v>
      </c>
      <c r="E1319" t="s">
        <v>297</v>
      </c>
      <c r="F1319">
        <v>27</v>
      </c>
      <c r="G1319">
        <v>13.0148166666667</v>
      </c>
    </row>
    <row r="1320" spans="1:7" x14ac:dyDescent="0.35">
      <c r="A1320" t="s">
        <v>847</v>
      </c>
      <c r="B1320" t="s">
        <v>680</v>
      </c>
      <c r="C1320" s="83">
        <v>46029</v>
      </c>
      <c r="D1320" t="s">
        <v>681</v>
      </c>
      <c r="E1320" t="s">
        <v>296</v>
      </c>
      <c r="F1320">
        <v>18</v>
      </c>
      <c r="G1320">
        <v>11.8325666666667</v>
      </c>
    </row>
    <row r="1321" spans="1:7" x14ac:dyDescent="0.35">
      <c r="A1321" t="s">
        <v>847</v>
      </c>
      <c r="B1321" t="s">
        <v>680</v>
      </c>
      <c r="C1321" s="83">
        <v>46029</v>
      </c>
      <c r="D1321" t="s">
        <v>681</v>
      </c>
      <c r="E1321" t="s">
        <v>300</v>
      </c>
      <c r="F1321">
        <v>8</v>
      </c>
      <c r="G1321">
        <v>2.3284500000000001</v>
      </c>
    </row>
    <row r="1322" spans="1:7" x14ac:dyDescent="0.35">
      <c r="A1322" t="s">
        <v>847</v>
      </c>
      <c r="B1322" t="s">
        <v>680</v>
      </c>
      <c r="C1322" s="83">
        <v>46029</v>
      </c>
      <c r="D1322" t="s">
        <v>683</v>
      </c>
      <c r="E1322" t="s">
        <v>300</v>
      </c>
      <c r="F1322">
        <v>16</v>
      </c>
      <c r="G1322">
        <v>7.0120666666666702</v>
      </c>
    </row>
    <row r="1323" spans="1:7" x14ac:dyDescent="0.35">
      <c r="A1323" t="s">
        <v>847</v>
      </c>
      <c r="B1323" t="s">
        <v>680</v>
      </c>
      <c r="C1323" s="83">
        <v>46029</v>
      </c>
      <c r="D1323" t="s">
        <v>683</v>
      </c>
      <c r="E1323" t="s">
        <v>298</v>
      </c>
      <c r="F1323">
        <v>8</v>
      </c>
      <c r="G1323">
        <v>6.6658333333333299</v>
      </c>
    </row>
    <row r="1324" spans="1:7" x14ac:dyDescent="0.35">
      <c r="A1324" t="s">
        <v>847</v>
      </c>
      <c r="B1324" t="s">
        <v>680</v>
      </c>
      <c r="C1324" s="83">
        <v>46029</v>
      </c>
      <c r="D1324" t="s">
        <v>683</v>
      </c>
      <c r="E1324" t="s">
        <v>730</v>
      </c>
      <c r="F1324">
        <v>4</v>
      </c>
      <c r="G1324">
        <v>0.66096666666666704</v>
      </c>
    </row>
    <row r="1325" spans="1:7" x14ac:dyDescent="0.35">
      <c r="A1325" t="s">
        <v>847</v>
      </c>
      <c r="B1325" t="s">
        <v>680</v>
      </c>
      <c r="C1325" s="83">
        <v>46029</v>
      </c>
      <c r="D1325" t="s">
        <v>689</v>
      </c>
      <c r="E1325" t="s">
        <v>296</v>
      </c>
      <c r="F1325">
        <v>19</v>
      </c>
      <c r="G1325">
        <v>9.5210666666666697</v>
      </c>
    </row>
    <row r="1326" spans="1:7" x14ac:dyDescent="0.35">
      <c r="A1326" t="s">
        <v>847</v>
      </c>
      <c r="B1326" t="s">
        <v>680</v>
      </c>
      <c r="C1326" s="83">
        <v>46029</v>
      </c>
      <c r="D1326" t="s">
        <v>689</v>
      </c>
      <c r="E1326" t="s">
        <v>332</v>
      </c>
      <c r="F1326">
        <v>19</v>
      </c>
      <c r="G1326">
        <v>24.3241333333333</v>
      </c>
    </row>
    <row r="1327" spans="1:7" x14ac:dyDescent="0.35">
      <c r="A1327" t="s">
        <v>847</v>
      </c>
      <c r="B1327" t="s">
        <v>680</v>
      </c>
      <c r="C1327" s="83">
        <v>46029</v>
      </c>
      <c r="D1327" t="s">
        <v>689</v>
      </c>
      <c r="E1327" t="s">
        <v>298</v>
      </c>
      <c r="F1327">
        <v>18</v>
      </c>
      <c r="G1327">
        <v>9.0006500000000003</v>
      </c>
    </row>
    <row r="1328" spans="1:7" x14ac:dyDescent="0.35">
      <c r="A1328" t="s">
        <v>847</v>
      </c>
      <c r="B1328" t="s">
        <v>680</v>
      </c>
      <c r="C1328" s="83">
        <v>46029</v>
      </c>
      <c r="D1328" t="s">
        <v>684</v>
      </c>
      <c r="E1328" t="s">
        <v>298</v>
      </c>
      <c r="F1328">
        <v>22</v>
      </c>
      <c r="G1328">
        <v>17.6693</v>
      </c>
    </row>
    <row r="1329" spans="1:7" x14ac:dyDescent="0.35">
      <c r="A1329" t="s">
        <v>847</v>
      </c>
      <c r="B1329" t="s">
        <v>680</v>
      </c>
      <c r="C1329" s="83">
        <v>46029</v>
      </c>
      <c r="D1329" t="s">
        <v>684</v>
      </c>
      <c r="E1329" t="s">
        <v>300</v>
      </c>
      <c r="F1329">
        <v>8</v>
      </c>
      <c r="G1329">
        <v>8.8376666666666708</v>
      </c>
    </row>
    <row r="1330" spans="1:7" x14ac:dyDescent="0.35">
      <c r="A1330" t="s">
        <v>847</v>
      </c>
      <c r="B1330" t="s">
        <v>680</v>
      </c>
      <c r="C1330" s="83">
        <v>46029</v>
      </c>
      <c r="D1330" t="s">
        <v>684</v>
      </c>
      <c r="E1330" t="s">
        <v>332</v>
      </c>
      <c r="F1330">
        <v>8</v>
      </c>
      <c r="G1330">
        <v>4.9997833333333297</v>
      </c>
    </row>
    <row r="1331" spans="1:7" x14ac:dyDescent="0.35">
      <c r="A1331" t="s">
        <v>847</v>
      </c>
      <c r="B1331" t="s">
        <v>680</v>
      </c>
      <c r="C1331" s="83">
        <v>46029</v>
      </c>
      <c r="D1331" t="s">
        <v>687</v>
      </c>
      <c r="E1331" t="s">
        <v>717</v>
      </c>
      <c r="F1331">
        <v>5</v>
      </c>
      <c r="G1331">
        <v>2.3471500000000001</v>
      </c>
    </row>
    <row r="1332" spans="1:7" x14ac:dyDescent="0.35">
      <c r="A1332" t="s">
        <v>847</v>
      </c>
      <c r="B1332" t="s">
        <v>680</v>
      </c>
      <c r="C1332" s="83">
        <v>46029</v>
      </c>
      <c r="D1332" t="s">
        <v>687</v>
      </c>
      <c r="E1332" t="s">
        <v>718</v>
      </c>
      <c r="F1332">
        <v>4</v>
      </c>
      <c r="G1332">
        <v>5.0082166666666703</v>
      </c>
    </row>
    <row r="1333" spans="1:7" x14ac:dyDescent="0.35">
      <c r="A1333" t="s">
        <v>847</v>
      </c>
      <c r="B1333" t="s">
        <v>680</v>
      </c>
      <c r="C1333" s="83">
        <v>46029</v>
      </c>
      <c r="D1333" t="s">
        <v>687</v>
      </c>
      <c r="E1333" t="s">
        <v>731</v>
      </c>
      <c r="F1333">
        <v>2</v>
      </c>
      <c r="G1333">
        <v>0.16673333333333301</v>
      </c>
    </row>
    <row r="1334" spans="1:7" x14ac:dyDescent="0.35">
      <c r="A1334" t="s">
        <v>847</v>
      </c>
      <c r="B1334" t="s">
        <v>680</v>
      </c>
      <c r="C1334" s="83">
        <v>46029</v>
      </c>
      <c r="D1334" t="s">
        <v>688</v>
      </c>
      <c r="E1334" t="s">
        <v>720</v>
      </c>
      <c r="F1334">
        <v>13</v>
      </c>
      <c r="G1334">
        <v>7.6659499999999996</v>
      </c>
    </row>
    <row r="1335" spans="1:7" x14ac:dyDescent="0.35">
      <c r="A1335" t="s">
        <v>847</v>
      </c>
      <c r="B1335" t="s">
        <v>680</v>
      </c>
      <c r="C1335" s="83">
        <v>46029</v>
      </c>
      <c r="D1335" t="s">
        <v>688</v>
      </c>
      <c r="E1335" t="s">
        <v>312</v>
      </c>
      <c r="F1335">
        <v>6</v>
      </c>
      <c r="G1335">
        <v>2.8294666666666699</v>
      </c>
    </row>
    <row r="1336" spans="1:7" x14ac:dyDescent="0.35">
      <c r="A1336" t="s">
        <v>847</v>
      </c>
      <c r="B1336" t="s">
        <v>680</v>
      </c>
      <c r="C1336" s="83">
        <v>46029</v>
      </c>
      <c r="D1336" t="s">
        <v>688</v>
      </c>
      <c r="E1336" t="s">
        <v>732</v>
      </c>
      <c r="F1336">
        <v>5</v>
      </c>
      <c r="G1336">
        <v>3.3409166666666699</v>
      </c>
    </row>
    <row r="1337" spans="1:7" x14ac:dyDescent="0.35">
      <c r="A1337" t="s">
        <v>847</v>
      </c>
      <c r="B1337" t="s">
        <v>680</v>
      </c>
      <c r="C1337" s="83">
        <v>46029</v>
      </c>
      <c r="D1337" t="s">
        <v>690</v>
      </c>
      <c r="E1337" t="s">
        <v>312</v>
      </c>
      <c r="F1337">
        <v>9</v>
      </c>
      <c r="G1337">
        <v>7.0224500000000001</v>
      </c>
    </row>
    <row r="1338" spans="1:7" x14ac:dyDescent="0.35">
      <c r="A1338" t="s">
        <v>847</v>
      </c>
      <c r="B1338" t="s">
        <v>680</v>
      </c>
      <c r="C1338" s="83">
        <v>46029</v>
      </c>
      <c r="D1338" t="s">
        <v>690</v>
      </c>
      <c r="E1338" t="s">
        <v>720</v>
      </c>
      <c r="F1338">
        <v>6</v>
      </c>
      <c r="G1338">
        <v>2.3488333333333302</v>
      </c>
    </row>
    <row r="1339" spans="1:7" x14ac:dyDescent="0.35">
      <c r="A1339" t="s">
        <v>847</v>
      </c>
      <c r="B1339" t="s">
        <v>680</v>
      </c>
      <c r="C1339" s="83">
        <v>46029</v>
      </c>
      <c r="D1339" t="s">
        <v>690</v>
      </c>
      <c r="E1339" t="s">
        <v>126</v>
      </c>
      <c r="F1339">
        <v>4</v>
      </c>
      <c r="G1339">
        <v>3.00626666666667</v>
      </c>
    </row>
    <row r="1340" spans="1:7" x14ac:dyDescent="0.35">
      <c r="A1340" t="s">
        <v>847</v>
      </c>
      <c r="B1340" t="s">
        <v>680</v>
      </c>
      <c r="C1340" s="83">
        <v>46029</v>
      </c>
      <c r="D1340" t="s">
        <v>685</v>
      </c>
      <c r="E1340" t="s">
        <v>720</v>
      </c>
      <c r="F1340">
        <v>16</v>
      </c>
      <c r="G1340">
        <v>12.489333333333301</v>
      </c>
    </row>
    <row r="1341" spans="1:7" x14ac:dyDescent="0.35">
      <c r="A1341" t="s">
        <v>847</v>
      </c>
      <c r="B1341" t="s">
        <v>680</v>
      </c>
      <c r="C1341" s="83">
        <v>46029</v>
      </c>
      <c r="D1341" t="s">
        <v>685</v>
      </c>
      <c r="E1341" t="s">
        <v>311</v>
      </c>
      <c r="F1341">
        <v>14</v>
      </c>
      <c r="G1341">
        <v>12.6597333333333</v>
      </c>
    </row>
    <row r="1342" spans="1:7" x14ac:dyDescent="0.35">
      <c r="A1342" t="s">
        <v>847</v>
      </c>
      <c r="B1342" t="s">
        <v>680</v>
      </c>
      <c r="C1342" s="83">
        <v>46029</v>
      </c>
      <c r="D1342" t="s">
        <v>685</v>
      </c>
      <c r="E1342" t="s">
        <v>126</v>
      </c>
      <c r="F1342">
        <v>9</v>
      </c>
      <c r="G1342">
        <v>6.83646666666667</v>
      </c>
    </row>
    <row r="1343" spans="1:7" x14ac:dyDescent="0.35">
      <c r="A1343" t="s">
        <v>847</v>
      </c>
      <c r="B1343" t="s">
        <v>680</v>
      </c>
      <c r="C1343" s="83">
        <v>46030</v>
      </c>
      <c r="D1343" t="s">
        <v>681</v>
      </c>
      <c r="E1343" t="s">
        <v>297</v>
      </c>
      <c r="F1343">
        <v>11</v>
      </c>
      <c r="G1343">
        <v>5.3281499999999999</v>
      </c>
    </row>
    <row r="1344" spans="1:7" x14ac:dyDescent="0.35">
      <c r="A1344" t="s">
        <v>847</v>
      </c>
      <c r="B1344" t="s">
        <v>680</v>
      </c>
      <c r="C1344" s="83">
        <v>46030</v>
      </c>
      <c r="D1344" t="s">
        <v>681</v>
      </c>
      <c r="E1344" t="s">
        <v>296</v>
      </c>
      <c r="F1344">
        <v>11</v>
      </c>
      <c r="G1344">
        <v>3.1669</v>
      </c>
    </row>
    <row r="1345" spans="1:7" x14ac:dyDescent="0.35">
      <c r="A1345" t="s">
        <v>847</v>
      </c>
      <c r="B1345" t="s">
        <v>680</v>
      </c>
      <c r="C1345" s="83">
        <v>46030</v>
      </c>
      <c r="D1345" t="s">
        <v>681</v>
      </c>
      <c r="E1345" t="s">
        <v>332</v>
      </c>
      <c r="F1345">
        <v>10</v>
      </c>
      <c r="G1345">
        <v>11.0122</v>
      </c>
    </row>
    <row r="1346" spans="1:7" x14ac:dyDescent="0.35">
      <c r="A1346" t="s">
        <v>847</v>
      </c>
      <c r="B1346" t="s">
        <v>680</v>
      </c>
      <c r="C1346" s="83">
        <v>46030</v>
      </c>
      <c r="D1346" t="s">
        <v>683</v>
      </c>
      <c r="E1346" t="s">
        <v>298</v>
      </c>
      <c r="F1346">
        <v>13</v>
      </c>
      <c r="G1346">
        <v>7.0167000000000002</v>
      </c>
    </row>
    <row r="1347" spans="1:7" x14ac:dyDescent="0.35">
      <c r="A1347" t="s">
        <v>847</v>
      </c>
      <c r="B1347" t="s">
        <v>680</v>
      </c>
      <c r="C1347" s="83">
        <v>46030</v>
      </c>
      <c r="D1347" t="s">
        <v>683</v>
      </c>
      <c r="E1347" t="s">
        <v>296</v>
      </c>
      <c r="F1347">
        <v>12</v>
      </c>
      <c r="G1347">
        <v>4.3284500000000001</v>
      </c>
    </row>
    <row r="1348" spans="1:7" x14ac:dyDescent="0.35">
      <c r="A1348" t="s">
        <v>847</v>
      </c>
      <c r="B1348" t="s">
        <v>680</v>
      </c>
      <c r="C1348" s="83">
        <v>46030</v>
      </c>
      <c r="D1348" t="s">
        <v>683</v>
      </c>
      <c r="E1348" t="s">
        <v>297</v>
      </c>
      <c r="F1348">
        <v>7</v>
      </c>
      <c r="G1348">
        <v>3.66655</v>
      </c>
    </row>
    <row r="1349" spans="1:7" x14ac:dyDescent="0.35">
      <c r="A1349" t="s">
        <v>847</v>
      </c>
      <c r="B1349" t="s">
        <v>680</v>
      </c>
      <c r="C1349" s="83">
        <v>46030</v>
      </c>
      <c r="D1349" t="s">
        <v>689</v>
      </c>
      <c r="E1349" t="s">
        <v>296</v>
      </c>
      <c r="F1349">
        <v>22</v>
      </c>
      <c r="G1349">
        <v>14.342783333333299</v>
      </c>
    </row>
    <row r="1350" spans="1:7" x14ac:dyDescent="0.35">
      <c r="A1350" t="s">
        <v>847</v>
      </c>
      <c r="B1350" t="s">
        <v>680</v>
      </c>
      <c r="C1350" s="83">
        <v>46030</v>
      </c>
      <c r="D1350" t="s">
        <v>689</v>
      </c>
      <c r="E1350" t="s">
        <v>298</v>
      </c>
      <c r="F1350">
        <v>20</v>
      </c>
      <c r="G1350">
        <v>9.8412166666666696</v>
      </c>
    </row>
    <row r="1351" spans="1:7" x14ac:dyDescent="0.35">
      <c r="A1351" t="s">
        <v>847</v>
      </c>
      <c r="B1351" t="s">
        <v>680</v>
      </c>
      <c r="C1351" s="83">
        <v>46030</v>
      </c>
      <c r="D1351" t="s">
        <v>689</v>
      </c>
      <c r="E1351" t="s">
        <v>332</v>
      </c>
      <c r="F1351">
        <v>13</v>
      </c>
      <c r="G1351">
        <v>7.1656500000000003</v>
      </c>
    </row>
    <row r="1352" spans="1:7" x14ac:dyDescent="0.35">
      <c r="A1352" t="s">
        <v>847</v>
      </c>
      <c r="B1352" t="s">
        <v>680</v>
      </c>
      <c r="C1352" s="83">
        <v>46030</v>
      </c>
      <c r="D1352" t="s">
        <v>684</v>
      </c>
      <c r="E1352" t="s">
        <v>298</v>
      </c>
      <c r="F1352">
        <v>11</v>
      </c>
      <c r="G1352">
        <v>13.827716666666699</v>
      </c>
    </row>
    <row r="1353" spans="1:7" x14ac:dyDescent="0.35">
      <c r="A1353" t="s">
        <v>847</v>
      </c>
      <c r="B1353" t="s">
        <v>680</v>
      </c>
      <c r="C1353" s="83">
        <v>46030</v>
      </c>
      <c r="D1353" t="s">
        <v>684</v>
      </c>
      <c r="E1353" t="s">
        <v>300</v>
      </c>
      <c r="F1353">
        <v>10</v>
      </c>
      <c r="G1353">
        <v>3.67953333333333</v>
      </c>
    </row>
    <row r="1354" spans="1:7" x14ac:dyDescent="0.35">
      <c r="A1354" t="s">
        <v>847</v>
      </c>
      <c r="B1354" t="s">
        <v>680</v>
      </c>
      <c r="C1354" s="83">
        <v>46030</v>
      </c>
      <c r="D1354" t="s">
        <v>684</v>
      </c>
      <c r="E1354" t="s">
        <v>332</v>
      </c>
      <c r="F1354">
        <v>4</v>
      </c>
      <c r="G1354">
        <v>0.50028333333333297</v>
      </c>
    </row>
    <row r="1355" spans="1:7" x14ac:dyDescent="0.35">
      <c r="A1355" t="s">
        <v>847</v>
      </c>
      <c r="B1355" t="s">
        <v>680</v>
      </c>
      <c r="C1355" s="83">
        <v>46030</v>
      </c>
      <c r="D1355" t="s">
        <v>687</v>
      </c>
      <c r="E1355" t="s">
        <v>726</v>
      </c>
      <c r="F1355">
        <v>3</v>
      </c>
      <c r="G1355">
        <v>1.8360666666666701</v>
      </c>
    </row>
    <row r="1356" spans="1:7" x14ac:dyDescent="0.35">
      <c r="A1356" t="s">
        <v>847</v>
      </c>
      <c r="B1356" t="s">
        <v>680</v>
      </c>
      <c r="C1356" s="83">
        <v>46030</v>
      </c>
      <c r="D1356" t="s">
        <v>687</v>
      </c>
      <c r="E1356" t="s">
        <v>733</v>
      </c>
      <c r="F1356">
        <v>2</v>
      </c>
      <c r="G1356">
        <v>3.1667333333333301</v>
      </c>
    </row>
    <row r="1357" spans="1:7" x14ac:dyDescent="0.35">
      <c r="A1357" t="s">
        <v>847</v>
      </c>
      <c r="B1357" t="s">
        <v>680</v>
      </c>
      <c r="C1357" s="83">
        <v>46030</v>
      </c>
      <c r="D1357" t="s">
        <v>687</v>
      </c>
      <c r="E1357" t="s">
        <v>718</v>
      </c>
      <c r="F1357">
        <v>2</v>
      </c>
      <c r="G1357">
        <v>0.16694999999999999</v>
      </c>
    </row>
    <row r="1358" spans="1:7" x14ac:dyDescent="0.35">
      <c r="A1358" t="s">
        <v>847</v>
      </c>
      <c r="B1358" t="s">
        <v>680</v>
      </c>
      <c r="C1358" s="83">
        <v>46030</v>
      </c>
      <c r="D1358" t="s">
        <v>688</v>
      </c>
      <c r="E1358" t="s">
        <v>311</v>
      </c>
      <c r="F1358">
        <v>9</v>
      </c>
      <c r="G1358">
        <v>5.6753</v>
      </c>
    </row>
    <row r="1359" spans="1:7" x14ac:dyDescent="0.35">
      <c r="A1359" t="s">
        <v>847</v>
      </c>
      <c r="B1359" t="s">
        <v>680</v>
      </c>
      <c r="C1359" s="83">
        <v>46030</v>
      </c>
      <c r="D1359" t="s">
        <v>688</v>
      </c>
      <c r="E1359" t="s">
        <v>720</v>
      </c>
      <c r="F1359">
        <v>9</v>
      </c>
      <c r="G1359">
        <v>8.0152000000000001</v>
      </c>
    </row>
    <row r="1360" spans="1:7" x14ac:dyDescent="0.35">
      <c r="A1360" t="s">
        <v>847</v>
      </c>
      <c r="B1360" t="s">
        <v>680</v>
      </c>
      <c r="C1360" s="83">
        <v>46030</v>
      </c>
      <c r="D1360" t="s">
        <v>688</v>
      </c>
      <c r="E1360" t="s">
        <v>338</v>
      </c>
      <c r="F1360">
        <v>8</v>
      </c>
      <c r="G1360">
        <v>5.00078333333333</v>
      </c>
    </row>
    <row r="1361" spans="1:7" x14ac:dyDescent="0.35">
      <c r="A1361" t="s">
        <v>847</v>
      </c>
      <c r="B1361" t="s">
        <v>680</v>
      </c>
      <c r="C1361" s="83">
        <v>46030</v>
      </c>
      <c r="D1361" t="s">
        <v>690</v>
      </c>
      <c r="E1361" t="s">
        <v>311</v>
      </c>
      <c r="F1361">
        <v>6</v>
      </c>
      <c r="G1361">
        <v>3.6684000000000001</v>
      </c>
    </row>
    <row r="1362" spans="1:7" x14ac:dyDescent="0.35">
      <c r="A1362" t="s">
        <v>847</v>
      </c>
      <c r="B1362" t="s">
        <v>680</v>
      </c>
      <c r="C1362" s="83">
        <v>46030</v>
      </c>
      <c r="D1362" t="s">
        <v>690</v>
      </c>
      <c r="E1362" t="s">
        <v>720</v>
      </c>
      <c r="F1362">
        <v>3</v>
      </c>
      <c r="G1362">
        <v>0.67379999999999995</v>
      </c>
    </row>
    <row r="1363" spans="1:7" x14ac:dyDescent="0.35">
      <c r="A1363" t="s">
        <v>847</v>
      </c>
      <c r="B1363" t="s">
        <v>680</v>
      </c>
      <c r="C1363" s="83">
        <v>46030</v>
      </c>
      <c r="D1363" t="s">
        <v>690</v>
      </c>
      <c r="E1363" t="s">
        <v>734</v>
      </c>
      <c r="F1363">
        <v>2</v>
      </c>
      <c r="G1363">
        <v>0.33339999999999997</v>
      </c>
    </row>
    <row r="1364" spans="1:7" x14ac:dyDescent="0.35">
      <c r="A1364" t="s">
        <v>847</v>
      </c>
      <c r="B1364" t="s">
        <v>680</v>
      </c>
      <c r="C1364" s="83">
        <v>46030</v>
      </c>
      <c r="D1364" t="s">
        <v>685</v>
      </c>
      <c r="E1364" t="s">
        <v>311</v>
      </c>
      <c r="F1364">
        <v>14</v>
      </c>
      <c r="G1364">
        <v>14.170166666666701</v>
      </c>
    </row>
    <row r="1365" spans="1:7" x14ac:dyDescent="0.35">
      <c r="A1365" t="s">
        <v>847</v>
      </c>
      <c r="B1365" t="s">
        <v>680</v>
      </c>
      <c r="C1365" s="83">
        <v>46030</v>
      </c>
      <c r="D1365" t="s">
        <v>685</v>
      </c>
      <c r="E1365" t="s">
        <v>316</v>
      </c>
      <c r="F1365">
        <v>13</v>
      </c>
      <c r="G1365">
        <v>9.3265333333333302</v>
      </c>
    </row>
    <row r="1366" spans="1:7" x14ac:dyDescent="0.35">
      <c r="A1366" t="s">
        <v>847</v>
      </c>
      <c r="B1366" t="s">
        <v>680</v>
      </c>
      <c r="C1366" s="83">
        <v>46030</v>
      </c>
      <c r="D1366" t="s">
        <v>685</v>
      </c>
      <c r="E1366" t="s">
        <v>720</v>
      </c>
      <c r="F1366">
        <v>13</v>
      </c>
      <c r="G1366">
        <v>6.1857666666666704</v>
      </c>
    </row>
    <row r="1367" spans="1:7" x14ac:dyDescent="0.35">
      <c r="A1367" t="s">
        <v>847</v>
      </c>
      <c r="B1367" t="s">
        <v>680</v>
      </c>
      <c r="C1367" s="83">
        <v>46031</v>
      </c>
      <c r="D1367" t="s">
        <v>681</v>
      </c>
      <c r="E1367" t="s">
        <v>296</v>
      </c>
      <c r="F1367">
        <v>26</v>
      </c>
      <c r="G1367">
        <v>9.6633499999999994</v>
      </c>
    </row>
    <row r="1368" spans="1:7" x14ac:dyDescent="0.35">
      <c r="A1368" t="s">
        <v>847</v>
      </c>
      <c r="B1368" t="s">
        <v>680</v>
      </c>
      <c r="C1368" s="83">
        <v>46031</v>
      </c>
      <c r="D1368" t="s">
        <v>681</v>
      </c>
      <c r="E1368" t="s">
        <v>297</v>
      </c>
      <c r="F1368">
        <v>25</v>
      </c>
      <c r="G1368">
        <v>13.454183333333299</v>
      </c>
    </row>
    <row r="1369" spans="1:7" x14ac:dyDescent="0.35">
      <c r="A1369" t="s">
        <v>847</v>
      </c>
      <c r="B1369" t="s">
        <v>680</v>
      </c>
      <c r="C1369" s="83">
        <v>46031</v>
      </c>
      <c r="D1369" t="s">
        <v>681</v>
      </c>
      <c r="E1369" t="s">
        <v>298</v>
      </c>
      <c r="F1369">
        <v>25</v>
      </c>
      <c r="G1369">
        <v>36.502766666666702</v>
      </c>
    </row>
    <row r="1370" spans="1:7" x14ac:dyDescent="0.35">
      <c r="A1370" t="s">
        <v>847</v>
      </c>
      <c r="B1370" t="s">
        <v>680</v>
      </c>
      <c r="C1370" s="83">
        <v>46031</v>
      </c>
      <c r="D1370" t="s">
        <v>683</v>
      </c>
      <c r="E1370" t="s">
        <v>728</v>
      </c>
      <c r="F1370">
        <v>29</v>
      </c>
      <c r="G1370">
        <v>16.7083333333333</v>
      </c>
    </row>
    <row r="1371" spans="1:7" x14ac:dyDescent="0.35">
      <c r="A1371" t="s">
        <v>847</v>
      </c>
      <c r="B1371" t="s">
        <v>680</v>
      </c>
      <c r="C1371" s="83">
        <v>46031</v>
      </c>
      <c r="D1371" t="s">
        <v>683</v>
      </c>
      <c r="E1371" t="s">
        <v>296</v>
      </c>
      <c r="F1371">
        <v>25</v>
      </c>
      <c r="G1371">
        <v>10.66675</v>
      </c>
    </row>
    <row r="1372" spans="1:7" x14ac:dyDescent="0.35">
      <c r="A1372" t="s">
        <v>847</v>
      </c>
      <c r="B1372" t="s">
        <v>680</v>
      </c>
      <c r="C1372" s="83">
        <v>46031</v>
      </c>
      <c r="D1372" t="s">
        <v>683</v>
      </c>
      <c r="E1372" t="s">
        <v>727</v>
      </c>
      <c r="F1372">
        <v>8</v>
      </c>
      <c r="G1372">
        <v>2.8357000000000001</v>
      </c>
    </row>
    <row r="1373" spans="1:7" x14ac:dyDescent="0.35">
      <c r="A1373" t="s">
        <v>847</v>
      </c>
      <c r="B1373" t="s">
        <v>680</v>
      </c>
      <c r="C1373" s="83">
        <v>46031</v>
      </c>
      <c r="D1373" t="s">
        <v>689</v>
      </c>
      <c r="E1373" t="s">
        <v>296</v>
      </c>
      <c r="F1373">
        <v>63</v>
      </c>
      <c r="G1373">
        <v>24.49315</v>
      </c>
    </row>
    <row r="1374" spans="1:7" x14ac:dyDescent="0.35">
      <c r="A1374" t="s">
        <v>847</v>
      </c>
      <c r="B1374" t="s">
        <v>680</v>
      </c>
      <c r="C1374" s="83">
        <v>46031</v>
      </c>
      <c r="D1374" t="s">
        <v>689</v>
      </c>
      <c r="E1374" t="s">
        <v>332</v>
      </c>
      <c r="F1374">
        <v>49</v>
      </c>
      <c r="G1374">
        <v>52.699383333333301</v>
      </c>
    </row>
    <row r="1375" spans="1:7" x14ac:dyDescent="0.35">
      <c r="A1375" t="s">
        <v>847</v>
      </c>
      <c r="B1375" t="s">
        <v>680</v>
      </c>
      <c r="C1375" s="83">
        <v>46031</v>
      </c>
      <c r="D1375" t="s">
        <v>689</v>
      </c>
      <c r="E1375" t="s">
        <v>298</v>
      </c>
      <c r="F1375">
        <v>39</v>
      </c>
      <c r="G1375">
        <v>55.5025166666667</v>
      </c>
    </row>
    <row r="1376" spans="1:7" x14ac:dyDescent="0.35">
      <c r="A1376" t="s">
        <v>847</v>
      </c>
      <c r="B1376" t="s">
        <v>680</v>
      </c>
      <c r="C1376" s="83">
        <v>46031</v>
      </c>
      <c r="D1376" t="s">
        <v>684</v>
      </c>
      <c r="E1376" t="s">
        <v>298</v>
      </c>
      <c r="F1376">
        <v>10</v>
      </c>
      <c r="G1376">
        <v>11.499166666666699</v>
      </c>
    </row>
    <row r="1377" spans="1:7" x14ac:dyDescent="0.35">
      <c r="A1377" t="s">
        <v>847</v>
      </c>
      <c r="B1377" t="s">
        <v>680</v>
      </c>
      <c r="C1377" s="83">
        <v>46031</v>
      </c>
      <c r="D1377" t="s">
        <v>684</v>
      </c>
      <c r="E1377" t="s">
        <v>296</v>
      </c>
      <c r="F1377">
        <v>8</v>
      </c>
      <c r="G1377">
        <v>7.16123333333333</v>
      </c>
    </row>
    <row r="1378" spans="1:7" x14ac:dyDescent="0.35">
      <c r="A1378" t="s">
        <v>847</v>
      </c>
      <c r="B1378" t="s">
        <v>680</v>
      </c>
      <c r="C1378" s="83">
        <v>46031</v>
      </c>
      <c r="D1378" t="s">
        <v>684</v>
      </c>
      <c r="E1378" t="s">
        <v>343</v>
      </c>
      <c r="F1378">
        <v>4</v>
      </c>
      <c r="G1378">
        <v>3.66065</v>
      </c>
    </row>
    <row r="1379" spans="1:7" x14ac:dyDescent="0.35">
      <c r="A1379" t="s">
        <v>847</v>
      </c>
      <c r="B1379" t="s">
        <v>680</v>
      </c>
      <c r="C1379" s="83">
        <v>46031</v>
      </c>
      <c r="D1379" t="s">
        <v>687</v>
      </c>
      <c r="E1379" t="s">
        <v>717</v>
      </c>
      <c r="F1379">
        <v>4</v>
      </c>
      <c r="G1379">
        <v>3.6723833333333298</v>
      </c>
    </row>
    <row r="1380" spans="1:7" x14ac:dyDescent="0.35">
      <c r="A1380" t="s">
        <v>847</v>
      </c>
      <c r="B1380" t="s">
        <v>680</v>
      </c>
      <c r="C1380" s="83">
        <v>46031</v>
      </c>
      <c r="D1380" t="s">
        <v>687</v>
      </c>
      <c r="E1380" t="s">
        <v>735</v>
      </c>
      <c r="F1380">
        <v>3</v>
      </c>
      <c r="G1380">
        <v>3.66496666666667</v>
      </c>
    </row>
    <row r="1381" spans="1:7" x14ac:dyDescent="0.35">
      <c r="A1381" t="s">
        <v>847</v>
      </c>
      <c r="B1381" t="s">
        <v>680</v>
      </c>
      <c r="C1381" s="83">
        <v>46031</v>
      </c>
      <c r="D1381" t="s">
        <v>687</v>
      </c>
      <c r="E1381" t="s">
        <v>726</v>
      </c>
      <c r="F1381">
        <v>3</v>
      </c>
      <c r="G1381">
        <v>2.3407666666666702</v>
      </c>
    </row>
    <row r="1382" spans="1:7" x14ac:dyDescent="0.35">
      <c r="A1382" t="s">
        <v>847</v>
      </c>
      <c r="B1382" t="s">
        <v>680</v>
      </c>
      <c r="C1382" s="83">
        <v>46031</v>
      </c>
      <c r="D1382" t="s">
        <v>688</v>
      </c>
      <c r="E1382" t="s">
        <v>338</v>
      </c>
      <c r="F1382">
        <v>9</v>
      </c>
      <c r="G1382">
        <v>81.827566666666698</v>
      </c>
    </row>
    <row r="1383" spans="1:7" x14ac:dyDescent="0.35">
      <c r="A1383" t="s">
        <v>847</v>
      </c>
      <c r="B1383" t="s">
        <v>680</v>
      </c>
      <c r="C1383" s="83">
        <v>46031</v>
      </c>
      <c r="D1383" t="s">
        <v>688</v>
      </c>
      <c r="E1383" t="s">
        <v>316</v>
      </c>
      <c r="F1383">
        <v>8</v>
      </c>
      <c r="G1383">
        <v>4.6802000000000001</v>
      </c>
    </row>
    <row r="1384" spans="1:7" x14ac:dyDescent="0.35">
      <c r="A1384" t="s">
        <v>847</v>
      </c>
      <c r="B1384" t="s">
        <v>680</v>
      </c>
      <c r="C1384" s="83">
        <v>46031</v>
      </c>
      <c r="D1384" t="s">
        <v>688</v>
      </c>
      <c r="E1384" t="s">
        <v>720</v>
      </c>
      <c r="F1384">
        <v>6</v>
      </c>
      <c r="G1384">
        <v>1.66693333333333</v>
      </c>
    </row>
    <row r="1385" spans="1:7" x14ac:dyDescent="0.35">
      <c r="A1385" t="s">
        <v>847</v>
      </c>
      <c r="B1385" t="s">
        <v>680</v>
      </c>
      <c r="C1385" s="83">
        <v>46031</v>
      </c>
      <c r="D1385" t="s">
        <v>690</v>
      </c>
      <c r="E1385" t="s">
        <v>321</v>
      </c>
      <c r="F1385">
        <v>6</v>
      </c>
      <c r="G1385">
        <v>3.50836666666667</v>
      </c>
    </row>
    <row r="1386" spans="1:7" x14ac:dyDescent="0.35">
      <c r="A1386" t="s">
        <v>847</v>
      </c>
      <c r="B1386" t="s">
        <v>680</v>
      </c>
      <c r="C1386" s="83">
        <v>46031</v>
      </c>
      <c r="D1386" t="s">
        <v>690</v>
      </c>
      <c r="E1386" t="s">
        <v>126</v>
      </c>
      <c r="F1386">
        <v>6</v>
      </c>
      <c r="G1386">
        <v>3.3244500000000001</v>
      </c>
    </row>
    <row r="1387" spans="1:7" x14ac:dyDescent="0.35">
      <c r="A1387" t="s">
        <v>847</v>
      </c>
      <c r="B1387" t="s">
        <v>680</v>
      </c>
      <c r="C1387" s="83">
        <v>46031</v>
      </c>
      <c r="D1387" t="s">
        <v>690</v>
      </c>
      <c r="E1387" t="s">
        <v>723</v>
      </c>
      <c r="F1387">
        <v>5</v>
      </c>
      <c r="G1387">
        <v>3.8132666666666699</v>
      </c>
    </row>
    <row r="1388" spans="1:7" x14ac:dyDescent="0.35">
      <c r="A1388" t="s">
        <v>847</v>
      </c>
      <c r="B1388" t="s">
        <v>680</v>
      </c>
      <c r="C1388" s="83">
        <v>46031</v>
      </c>
      <c r="D1388" t="s">
        <v>685</v>
      </c>
      <c r="E1388" t="s">
        <v>720</v>
      </c>
      <c r="F1388">
        <v>11</v>
      </c>
      <c r="G1388">
        <v>8.3354333333333308</v>
      </c>
    </row>
    <row r="1389" spans="1:7" x14ac:dyDescent="0.35">
      <c r="A1389" t="s">
        <v>847</v>
      </c>
      <c r="B1389" t="s">
        <v>680</v>
      </c>
      <c r="C1389" s="83">
        <v>46031</v>
      </c>
      <c r="D1389" t="s">
        <v>685</v>
      </c>
      <c r="E1389" t="s">
        <v>312</v>
      </c>
      <c r="F1389">
        <v>9</v>
      </c>
      <c r="G1389">
        <v>14.3379666666667</v>
      </c>
    </row>
    <row r="1390" spans="1:7" x14ac:dyDescent="0.35">
      <c r="A1390" t="s">
        <v>847</v>
      </c>
      <c r="B1390" t="s">
        <v>680</v>
      </c>
      <c r="C1390" s="83">
        <v>46031</v>
      </c>
      <c r="D1390" t="s">
        <v>685</v>
      </c>
      <c r="E1390" t="s">
        <v>311</v>
      </c>
      <c r="F1390">
        <v>7</v>
      </c>
      <c r="G1390">
        <v>5.51413333333333</v>
      </c>
    </row>
    <row r="1391" spans="1:7" x14ac:dyDescent="0.35">
      <c r="A1391" t="s">
        <v>847</v>
      </c>
      <c r="B1391" t="s">
        <v>680</v>
      </c>
      <c r="C1391" s="83">
        <v>46032</v>
      </c>
      <c r="D1391" t="s">
        <v>681</v>
      </c>
      <c r="E1391" t="s">
        <v>727</v>
      </c>
      <c r="F1391">
        <v>13</v>
      </c>
      <c r="G1391">
        <v>53.275300000000001</v>
      </c>
    </row>
    <row r="1392" spans="1:7" x14ac:dyDescent="0.35">
      <c r="A1392" t="s">
        <v>847</v>
      </c>
      <c r="B1392" t="s">
        <v>680</v>
      </c>
      <c r="C1392" s="83">
        <v>46032</v>
      </c>
      <c r="D1392" t="s">
        <v>681</v>
      </c>
      <c r="E1392" t="s">
        <v>297</v>
      </c>
      <c r="F1392">
        <v>13</v>
      </c>
      <c r="G1392">
        <v>13.016400000000001</v>
      </c>
    </row>
    <row r="1393" spans="1:7" x14ac:dyDescent="0.35">
      <c r="A1393" t="s">
        <v>847</v>
      </c>
      <c r="B1393" t="s">
        <v>680</v>
      </c>
      <c r="C1393" s="83">
        <v>46032</v>
      </c>
      <c r="D1393" t="s">
        <v>681</v>
      </c>
      <c r="E1393" t="s">
        <v>332</v>
      </c>
      <c r="F1393">
        <v>13</v>
      </c>
      <c r="G1393">
        <v>17.000433333333302</v>
      </c>
    </row>
    <row r="1394" spans="1:7" x14ac:dyDescent="0.35">
      <c r="A1394" t="s">
        <v>847</v>
      </c>
      <c r="B1394" t="s">
        <v>680</v>
      </c>
      <c r="C1394" s="83">
        <v>46032</v>
      </c>
      <c r="D1394" t="s">
        <v>683</v>
      </c>
      <c r="E1394" t="s">
        <v>296</v>
      </c>
      <c r="F1394">
        <v>15</v>
      </c>
      <c r="G1394">
        <v>4.3476999999999997</v>
      </c>
    </row>
    <row r="1395" spans="1:7" x14ac:dyDescent="0.35">
      <c r="A1395" t="s">
        <v>847</v>
      </c>
      <c r="B1395" t="s">
        <v>680</v>
      </c>
      <c r="C1395" s="83">
        <v>46032</v>
      </c>
      <c r="D1395" t="s">
        <v>683</v>
      </c>
      <c r="E1395" t="s">
        <v>727</v>
      </c>
      <c r="F1395">
        <v>5</v>
      </c>
      <c r="G1395">
        <v>14.2008333333333</v>
      </c>
    </row>
    <row r="1396" spans="1:7" x14ac:dyDescent="0.35">
      <c r="A1396" t="s">
        <v>847</v>
      </c>
      <c r="B1396" t="s">
        <v>680</v>
      </c>
      <c r="C1396" s="83">
        <v>46032</v>
      </c>
      <c r="D1396" t="s">
        <v>683</v>
      </c>
      <c r="E1396" t="s">
        <v>334</v>
      </c>
      <c r="F1396">
        <v>5</v>
      </c>
      <c r="G1396">
        <v>2.0011666666666699</v>
      </c>
    </row>
    <row r="1397" spans="1:7" x14ac:dyDescent="0.35">
      <c r="A1397" t="s">
        <v>847</v>
      </c>
      <c r="B1397" t="s">
        <v>680</v>
      </c>
      <c r="C1397" s="83">
        <v>46032</v>
      </c>
      <c r="D1397" t="s">
        <v>689</v>
      </c>
      <c r="E1397" t="s">
        <v>332</v>
      </c>
      <c r="F1397">
        <v>55</v>
      </c>
      <c r="G1397">
        <v>35.352766666666703</v>
      </c>
    </row>
    <row r="1398" spans="1:7" x14ac:dyDescent="0.35">
      <c r="A1398" t="s">
        <v>847</v>
      </c>
      <c r="B1398" t="s">
        <v>680</v>
      </c>
      <c r="C1398" s="83">
        <v>46032</v>
      </c>
      <c r="D1398" t="s">
        <v>689</v>
      </c>
      <c r="E1398" t="s">
        <v>296</v>
      </c>
      <c r="F1398">
        <v>41</v>
      </c>
      <c r="G1398">
        <v>19.011500000000002</v>
      </c>
    </row>
    <row r="1399" spans="1:7" x14ac:dyDescent="0.35">
      <c r="A1399" t="s">
        <v>847</v>
      </c>
      <c r="B1399" t="s">
        <v>680</v>
      </c>
      <c r="C1399" s="83">
        <v>46032</v>
      </c>
      <c r="D1399" t="s">
        <v>689</v>
      </c>
      <c r="E1399" t="s">
        <v>297</v>
      </c>
      <c r="F1399">
        <v>23</v>
      </c>
      <c r="G1399">
        <v>11.3494666666667</v>
      </c>
    </row>
    <row r="1400" spans="1:7" x14ac:dyDescent="0.35">
      <c r="A1400" t="s">
        <v>847</v>
      </c>
      <c r="B1400" t="s">
        <v>680</v>
      </c>
      <c r="C1400" s="83">
        <v>46032</v>
      </c>
      <c r="D1400" t="s">
        <v>684</v>
      </c>
      <c r="E1400" t="s">
        <v>298</v>
      </c>
      <c r="F1400">
        <v>11</v>
      </c>
      <c r="G1400">
        <v>12.330399999999999</v>
      </c>
    </row>
    <row r="1401" spans="1:7" x14ac:dyDescent="0.35">
      <c r="A1401" t="s">
        <v>847</v>
      </c>
      <c r="B1401" t="s">
        <v>680</v>
      </c>
      <c r="C1401" s="83">
        <v>46032</v>
      </c>
      <c r="D1401" t="s">
        <v>684</v>
      </c>
      <c r="E1401" t="s">
        <v>296</v>
      </c>
      <c r="F1401">
        <v>7</v>
      </c>
      <c r="G1401">
        <v>3.9861666666666702</v>
      </c>
    </row>
    <row r="1402" spans="1:7" x14ac:dyDescent="0.35">
      <c r="A1402" t="s">
        <v>847</v>
      </c>
      <c r="B1402" t="s">
        <v>680</v>
      </c>
      <c r="C1402" s="83">
        <v>46032</v>
      </c>
      <c r="D1402" t="s">
        <v>684</v>
      </c>
      <c r="E1402" t="s">
        <v>735</v>
      </c>
      <c r="F1402">
        <v>3</v>
      </c>
      <c r="G1402">
        <v>12.9893</v>
      </c>
    </row>
    <row r="1403" spans="1:7" x14ac:dyDescent="0.35">
      <c r="A1403" t="s">
        <v>847</v>
      </c>
      <c r="B1403" t="s">
        <v>680</v>
      </c>
      <c r="C1403" s="83">
        <v>46032</v>
      </c>
      <c r="D1403" t="s">
        <v>687</v>
      </c>
      <c r="E1403" t="s">
        <v>717</v>
      </c>
      <c r="F1403">
        <v>11</v>
      </c>
      <c r="G1403">
        <v>15.6504333333333</v>
      </c>
    </row>
    <row r="1404" spans="1:7" x14ac:dyDescent="0.35">
      <c r="A1404" t="s">
        <v>847</v>
      </c>
      <c r="B1404" t="s">
        <v>680</v>
      </c>
      <c r="C1404" s="83">
        <v>46032</v>
      </c>
      <c r="D1404" t="s">
        <v>687</v>
      </c>
      <c r="E1404" t="s">
        <v>733</v>
      </c>
      <c r="F1404">
        <v>5</v>
      </c>
      <c r="G1404">
        <v>2.3355000000000001</v>
      </c>
    </row>
    <row r="1405" spans="1:7" x14ac:dyDescent="0.35">
      <c r="A1405" t="s">
        <v>847</v>
      </c>
      <c r="B1405" t="s">
        <v>680</v>
      </c>
      <c r="C1405" s="83">
        <v>46032</v>
      </c>
      <c r="D1405" t="s">
        <v>687</v>
      </c>
      <c r="E1405" t="s">
        <v>718</v>
      </c>
      <c r="F1405">
        <v>3</v>
      </c>
      <c r="G1405">
        <v>1.0006999999999999</v>
      </c>
    </row>
    <row r="1406" spans="1:7" x14ac:dyDescent="0.35">
      <c r="A1406" t="s">
        <v>847</v>
      </c>
      <c r="B1406" t="s">
        <v>680</v>
      </c>
      <c r="C1406" s="83">
        <v>46032</v>
      </c>
      <c r="D1406" t="s">
        <v>688</v>
      </c>
      <c r="E1406" t="s">
        <v>316</v>
      </c>
      <c r="F1406">
        <v>29</v>
      </c>
      <c r="G1406">
        <v>15.2037</v>
      </c>
    </row>
    <row r="1407" spans="1:7" x14ac:dyDescent="0.35">
      <c r="A1407" t="s">
        <v>847</v>
      </c>
      <c r="B1407" t="s">
        <v>680</v>
      </c>
      <c r="C1407" s="83">
        <v>46032</v>
      </c>
      <c r="D1407" t="s">
        <v>688</v>
      </c>
      <c r="E1407" t="s">
        <v>720</v>
      </c>
      <c r="F1407">
        <v>5</v>
      </c>
      <c r="G1407">
        <v>5.3513666666666699</v>
      </c>
    </row>
    <row r="1408" spans="1:7" x14ac:dyDescent="0.35">
      <c r="A1408" t="s">
        <v>847</v>
      </c>
      <c r="B1408" t="s">
        <v>680</v>
      </c>
      <c r="C1408" s="83">
        <v>46032</v>
      </c>
      <c r="D1408" t="s">
        <v>688</v>
      </c>
      <c r="E1408" t="s">
        <v>723</v>
      </c>
      <c r="F1408">
        <v>3</v>
      </c>
      <c r="G1408">
        <v>10.319466666666701</v>
      </c>
    </row>
    <row r="1409" spans="1:7" x14ac:dyDescent="0.35">
      <c r="A1409" t="s">
        <v>847</v>
      </c>
      <c r="B1409" t="s">
        <v>680</v>
      </c>
      <c r="C1409" s="83">
        <v>46032</v>
      </c>
      <c r="D1409" t="s">
        <v>690</v>
      </c>
      <c r="E1409" t="s">
        <v>126</v>
      </c>
      <c r="F1409">
        <v>9</v>
      </c>
      <c r="G1409">
        <v>6.0033000000000003</v>
      </c>
    </row>
    <row r="1410" spans="1:7" x14ac:dyDescent="0.35">
      <c r="A1410" t="s">
        <v>847</v>
      </c>
      <c r="B1410" t="s">
        <v>680</v>
      </c>
      <c r="C1410" s="83">
        <v>46032</v>
      </c>
      <c r="D1410" t="s">
        <v>690</v>
      </c>
      <c r="E1410" t="s">
        <v>311</v>
      </c>
      <c r="F1410">
        <v>3</v>
      </c>
      <c r="G1410">
        <v>3.6819000000000002</v>
      </c>
    </row>
    <row r="1411" spans="1:7" x14ac:dyDescent="0.35">
      <c r="A1411" t="s">
        <v>847</v>
      </c>
      <c r="B1411" t="s">
        <v>680</v>
      </c>
      <c r="C1411" s="83">
        <v>46032</v>
      </c>
      <c r="D1411" t="s">
        <v>685</v>
      </c>
      <c r="E1411" t="s">
        <v>311</v>
      </c>
      <c r="F1411">
        <v>17</v>
      </c>
      <c r="G1411">
        <v>79.377333333333297</v>
      </c>
    </row>
    <row r="1412" spans="1:7" x14ac:dyDescent="0.35">
      <c r="A1412" t="s">
        <v>847</v>
      </c>
      <c r="B1412" t="s">
        <v>680</v>
      </c>
      <c r="C1412" s="83">
        <v>46032</v>
      </c>
      <c r="D1412" t="s">
        <v>685</v>
      </c>
      <c r="E1412" t="s">
        <v>720</v>
      </c>
      <c r="F1412">
        <v>7</v>
      </c>
      <c r="G1412">
        <v>2.65336666666667</v>
      </c>
    </row>
    <row r="1413" spans="1:7" x14ac:dyDescent="0.35">
      <c r="A1413" t="s">
        <v>847</v>
      </c>
      <c r="B1413" t="s">
        <v>680</v>
      </c>
      <c r="C1413" s="83">
        <v>46032</v>
      </c>
      <c r="D1413" t="s">
        <v>685</v>
      </c>
      <c r="E1413" t="s">
        <v>319</v>
      </c>
      <c r="F1413">
        <v>3</v>
      </c>
      <c r="G1413">
        <v>1.33293333333333</v>
      </c>
    </row>
    <row r="1414" spans="1:7" x14ac:dyDescent="0.35">
      <c r="A1414" t="s">
        <v>847</v>
      </c>
      <c r="B1414" t="s">
        <v>680</v>
      </c>
      <c r="C1414" s="83">
        <v>46033</v>
      </c>
      <c r="D1414" t="s">
        <v>681</v>
      </c>
      <c r="E1414" t="s">
        <v>296</v>
      </c>
      <c r="F1414">
        <v>28</v>
      </c>
      <c r="G1414">
        <v>9.3643000000000001</v>
      </c>
    </row>
    <row r="1415" spans="1:7" x14ac:dyDescent="0.35">
      <c r="A1415" t="s">
        <v>847</v>
      </c>
      <c r="B1415" t="s">
        <v>680</v>
      </c>
      <c r="C1415" s="83">
        <v>46033</v>
      </c>
      <c r="D1415" t="s">
        <v>681</v>
      </c>
      <c r="E1415" t="s">
        <v>297</v>
      </c>
      <c r="F1415">
        <v>16</v>
      </c>
      <c r="G1415">
        <v>6.9779166666666699</v>
      </c>
    </row>
    <row r="1416" spans="1:7" x14ac:dyDescent="0.35">
      <c r="A1416" t="s">
        <v>847</v>
      </c>
      <c r="B1416" t="s">
        <v>680</v>
      </c>
      <c r="C1416" s="83">
        <v>46033</v>
      </c>
      <c r="D1416" t="s">
        <v>681</v>
      </c>
      <c r="E1416" t="s">
        <v>332</v>
      </c>
      <c r="F1416">
        <v>11</v>
      </c>
      <c r="G1416">
        <v>15.4868166666667</v>
      </c>
    </row>
    <row r="1417" spans="1:7" x14ac:dyDescent="0.35">
      <c r="A1417" t="s">
        <v>847</v>
      </c>
      <c r="B1417" t="s">
        <v>680</v>
      </c>
      <c r="C1417" s="83">
        <v>46033</v>
      </c>
      <c r="D1417" t="s">
        <v>683</v>
      </c>
      <c r="E1417" t="s">
        <v>298</v>
      </c>
      <c r="F1417">
        <v>14</v>
      </c>
      <c r="G1417">
        <v>19.668133333333301</v>
      </c>
    </row>
    <row r="1418" spans="1:7" x14ac:dyDescent="0.35">
      <c r="A1418" t="s">
        <v>847</v>
      </c>
      <c r="B1418" t="s">
        <v>680</v>
      </c>
      <c r="C1418" s="83">
        <v>46033</v>
      </c>
      <c r="D1418" t="s">
        <v>683</v>
      </c>
      <c r="E1418" t="s">
        <v>296</v>
      </c>
      <c r="F1418">
        <v>11</v>
      </c>
      <c r="G1418">
        <v>5.3338000000000001</v>
      </c>
    </row>
    <row r="1419" spans="1:7" x14ac:dyDescent="0.35">
      <c r="A1419" t="s">
        <v>847</v>
      </c>
      <c r="B1419" t="s">
        <v>680</v>
      </c>
      <c r="C1419" s="83">
        <v>46033</v>
      </c>
      <c r="D1419" t="s">
        <v>683</v>
      </c>
      <c r="E1419" t="s">
        <v>334</v>
      </c>
      <c r="F1419">
        <v>9</v>
      </c>
      <c r="G1419">
        <v>4.8315333333333301</v>
      </c>
    </row>
    <row r="1420" spans="1:7" x14ac:dyDescent="0.35">
      <c r="A1420" t="s">
        <v>847</v>
      </c>
      <c r="B1420" t="s">
        <v>680</v>
      </c>
      <c r="C1420" s="83">
        <v>46033</v>
      </c>
      <c r="D1420" t="s">
        <v>689</v>
      </c>
      <c r="E1420" t="s">
        <v>296</v>
      </c>
      <c r="F1420">
        <v>43</v>
      </c>
      <c r="G1420">
        <v>38.179116666666701</v>
      </c>
    </row>
    <row r="1421" spans="1:7" x14ac:dyDescent="0.35">
      <c r="A1421" t="s">
        <v>847</v>
      </c>
      <c r="B1421" t="s">
        <v>680</v>
      </c>
      <c r="C1421" s="83">
        <v>46033</v>
      </c>
      <c r="D1421" t="s">
        <v>689</v>
      </c>
      <c r="E1421" t="s">
        <v>332</v>
      </c>
      <c r="F1421">
        <v>17</v>
      </c>
      <c r="G1421">
        <v>9.1815166666666705</v>
      </c>
    </row>
    <row r="1422" spans="1:7" x14ac:dyDescent="0.35">
      <c r="A1422" t="s">
        <v>847</v>
      </c>
      <c r="B1422" t="s">
        <v>680</v>
      </c>
      <c r="C1422" s="83">
        <v>46033</v>
      </c>
      <c r="D1422" t="s">
        <v>689</v>
      </c>
      <c r="E1422" t="s">
        <v>298</v>
      </c>
      <c r="F1422">
        <v>11</v>
      </c>
      <c r="G1422">
        <v>4.0107166666666698</v>
      </c>
    </row>
    <row r="1423" spans="1:7" x14ac:dyDescent="0.35">
      <c r="A1423" t="s">
        <v>847</v>
      </c>
      <c r="B1423" t="s">
        <v>680</v>
      </c>
      <c r="C1423" s="83">
        <v>46033</v>
      </c>
      <c r="D1423" t="s">
        <v>684</v>
      </c>
      <c r="E1423" t="s">
        <v>296</v>
      </c>
      <c r="F1423">
        <v>16</v>
      </c>
      <c r="G1423">
        <v>11.4979666666667</v>
      </c>
    </row>
    <row r="1424" spans="1:7" x14ac:dyDescent="0.35">
      <c r="A1424" t="s">
        <v>847</v>
      </c>
      <c r="B1424" t="s">
        <v>680</v>
      </c>
      <c r="C1424" s="83">
        <v>46033</v>
      </c>
      <c r="D1424" t="s">
        <v>684</v>
      </c>
      <c r="E1424" t="s">
        <v>298</v>
      </c>
      <c r="F1424">
        <v>9</v>
      </c>
      <c r="G1424">
        <v>3.5127000000000002</v>
      </c>
    </row>
    <row r="1425" spans="1:7" x14ac:dyDescent="0.35">
      <c r="A1425" t="s">
        <v>847</v>
      </c>
      <c r="B1425" t="s">
        <v>680</v>
      </c>
      <c r="C1425" s="83">
        <v>46033</v>
      </c>
      <c r="D1425" t="s">
        <v>684</v>
      </c>
      <c r="E1425" t="s">
        <v>334</v>
      </c>
      <c r="F1425">
        <v>4</v>
      </c>
      <c r="G1425">
        <v>1.8383</v>
      </c>
    </row>
    <row r="1426" spans="1:7" x14ac:dyDescent="0.35">
      <c r="A1426" t="s">
        <v>847</v>
      </c>
      <c r="B1426" t="s">
        <v>680</v>
      </c>
      <c r="C1426" s="83">
        <v>46033</v>
      </c>
      <c r="D1426" t="s">
        <v>687</v>
      </c>
      <c r="E1426" t="s">
        <v>717</v>
      </c>
      <c r="F1426">
        <v>16</v>
      </c>
      <c r="G1426">
        <v>29.155149999999999</v>
      </c>
    </row>
    <row r="1427" spans="1:7" x14ac:dyDescent="0.35">
      <c r="A1427" t="s">
        <v>847</v>
      </c>
      <c r="B1427" t="s">
        <v>680</v>
      </c>
      <c r="C1427" s="83">
        <v>46033</v>
      </c>
      <c r="D1427" t="s">
        <v>687</v>
      </c>
      <c r="E1427" t="s">
        <v>718</v>
      </c>
      <c r="F1427">
        <v>11</v>
      </c>
      <c r="G1427">
        <v>6.16198333333333</v>
      </c>
    </row>
    <row r="1428" spans="1:7" x14ac:dyDescent="0.35">
      <c r="A1428" t="s">
        <v>847</v>
      </c>
      <c r="B1428" t="s">
        <v>680</v>
      </c>
      <c r="C1428" s="83">
        <v>46033</v>
      </c>
      <c r="D1428" t="s">
        <v>687</v>
      </c>
      <c r="E1428" t="s">
        <v>726</v>
      </c>
      <c r="F1428">
        <v>10</v>
      </c>
      <c r="G1428">
        <v>17.816266666666699</v>
      </c>
    </row>
    <row r="1429" spans="1:7" x14ac:dyDescent="0.35">
      <c r="A1429" t="s">
        <v>847</v>
      </c>
      <c r="B1429" t="s">
        <v>680</v>
      </c>
      <c r="C1429" s="83">
        <v>46033</v>
      </c>
      <c r="D1429" t="s">
        <v>688</v>
      </c>
      <c r="E1429" t="s">
        <v>312</v>
      </c>
      <c r="F1429">
        <v>26</v>
      </c>
      <c r="G1429">
        <v>10.514283333333299</v>
      </c>
    </row>
    <row r="1430" spans="1:7" x14ac:dyDescent="0.35">
      <c r="A1430" t="s">
        <v>847</v>
      </c>
      <c r="B1430" t="s">
        <v>680</v>
      </c>
      <c r="C1430" s="83">
        <v>46033</v>
      </c>
      <c r="D1430" t="s">
        <v>688</v>
      </c>
      <c r="E1430" t="s">
        <v>720</v>
      </c>
      <c r="F1430">
        <v>18</v>
      </c>
      <c r="G1430">
        <v>27.347816666666699</v>
      </c>
    </row>
    <row r="1431" spans="1:7" x14ac:dyDescent="0.35">
      <c r="A1431" t="s">
        <v>847</v>
      </c>
      <c r="B1431" t="s">
        <v>680</v>
      </c>
      <c r="C1431" s="83">
        <v>46033</v>
      </c>
      <c r="D1431" t="s">
        <v>688</v>
      </c>
      <c r="E1431" t="s">
        <v>732</v>
      </c>
      <c r="F1431">
        <v>4</v>
      </c>
      <c r="G1431">
        <v>3.3272833333333298</v>
      </c>
    </row>
    <row r="1432" spans="1:7" x14ac:dyDescent="0.35">
      <c r="A1432" t="s">
        <v>847</v>
      </c>
      <c r="B1432" t="s">
        <v>680</v>
      </c>
      <c r="C1432" s="83">
        <v>46033</v>
      </c>
      <c r="D1432" t="s">
        <v>690</v>
      </c>
      <c r="E1432" t="s">
        <v>126</v>
      </c>
      <c r="F1432">
        <v>13</v>
      </c>
      <c r="G1432">
        <v>10.148149999999999</v>
      </c>
    </row>
    <row r="1433" spans="1:7" x14ac:dyDescent="0.35">
      <c r="A1433" t="s">
        <v>847</v>
      </c>
      <c r="B1433" t="s">
        <v>680</v>
      </c>
      <c r="C1433" s="83">
        <v>46033</v>
      </c>
      <c r="D1433" t="s">
        <v>690</v>
      </c>
      <c r="E1433" t="s">
        <v>321</v>
      </c>
      <c r="F1433">
        <v>7</v>
      </c>
      <c r="G1433">
        <v>2.3250333333333302</v>
      </c>
    </row>
    <row r="1434" spans="1:7" x14ac:dyDescent="0.35">
      <c r="A1434" t="s">
        <v>847</v>
      </c>
      <c r="B1434" t="s">
        <v>680</v>
      </c>
      <c r="C1434" s="83">
        <v>46033</v>
      </c>
      <c r="D1434" t="s">
        <v>690</v>
      </c>
      <c r="E1434" t="s">
        <v>723</v>
      </c>
      <c r="F1434">
        <v>4</v>
      </c>
      <c r="G1434">
        <v>3.66801666666667</v>
      </c>
    </row>
    <row r="1435" spans="1:7" x14ac:dyDescent="0.35">
      <c r="A1435" t="s">
        <v>847</v>
      </c>
      <c r="B1435" t="s">
        <v>680</v>
      </c>
      <c r="C1435" s="83">
        <v>46033</v>
      </c>
      <c r="D1435" t="s">
        <v>685</v>
      </c>
      <c r="E1435" t="s">
        <v>126</v>
      </c>
      <c r="F1435">
        <v>13</v>
      </c>
      <c r="G1435">
        <v>11.6926166666667</v>
      </c>
    </row>
    <row r="1436" spans="1:7" x14ac:dyDescent="0.35">
      <c r="A1436" t="s">
        <v>847</v>
      </c>
      <c r="B1436" t="s">
        <v>680</v>
      </c>
      <c r="C1436" s="83">
        <v>46033</v>
      </c>
      <c r="D1436" t="s">
        <v>685</v>
      </c>
      <c r="E1436" t="s">
        <v>720</v>
      </c>
      <c r="F1436">
        <v>10</v>
      </c>
      <c r="G1436">
        <v>12.6619166666667</v>
      </c>
    </row>
    <row r="1437" spans="1:7" x14ac:dyDescent="0.35">
      <c r="A1437" t="s">
        <v>847</v>
      </c>
      <c r="B1437" t="s">
        <v>680</v>
      </c>
      <c r="C1437" s="83">
        <v>46033</v>
      </c>
      <c r="D1437" t="s">
        <v>685</v>
      </c>
      <c r="E1437" t="s">
        <v>311</v>
      </c>
      <c r="F1437">
        <v>7</v>
      </c>
      <c r="G1437">
        <v>5.1600666666666699</v>
      </c>
    </row>
    <row r="1438" spans="1:7" x14ac:dyDescent="0.35">
      <c r="A1438" t="s">
        <v>847</v>
      </c>
      <c r="B1438" t="s">
        <v>680</v>
      </c>
      <c r="C1438" s="83">
        <v>46034</v>
      </c>
      <c r="D1438" t="s">
        <v>681</v>
      </c>
      <c r="E1438" t="s">
        <v>297</v>
      </c>
      <c r="F1438">
        <v>40</v>
      </c>
      <c r="G1438">
        <v>16.990033333333301</v>
      </c>
    </row>
    <row r="1439" spans="1:7" x14ac:dyDescent="0.35">
      <c r="A1439" t="s">
        <v>847</v>
      </c>
      <c r="B1439" t="s">
        <v>680</v>
      </c>
      <c r="C1439" s="83">
        <v>46034</v>
      </c>
      <c r="D1439" t="s">
        <v>681</v>
      </c>
      <c r="E1439" t="s">
        <v>296</v>
      </c>
      <c r="F1439">
        <v>18</v>
      </c>
      <c r="G1439">
        <v>9.5024166666666705</v>
      </c>
    </row>
    <row r="1440" spans="1:7" x14ac:dyDescent="0.35">
      <c r="A1440" t="s">
        <v>847</v>
      </c>
      <c r="B1440" t="s">
        <v>680</v>
      </c>
      <c r="C1440" s="83">
        <v>46034</v>
      </c>
      <c r="D1440" t="s">
        <v>681</v>
      </c>
      <c r="E1440" t="s">
        <v>298</v>
      </c>
      <c r="F1440">
        <v>14</v>
      </c>
      <c r="G1440">
        <v>20.6986666666667</v>
      </c>
    </row>
    <row r="1441" spans="1:7" x14ac:dyDescent="0.35">
      <c r="A1441" t="s">
        <v>847</v>
      </c>
      <c r="B1441" t="s">
        <v>680</v>
      </c>
      <c r="C1441" s="83">
        <v>46034</v>
      </c>
      <c r="D1441" t="s">
        <v>683</v>
      </c>
      <c r="E1441" t="s">
        <v>296</v>
      </c>
      <c r="F1441">
        <v>11</v>
      </c>
      <c r="G1441">
        <v>5.5065833333333298</v>
      </c>
    </row>
    <row r="1442" spans="1:7" x14ac:dyDescent="0.35">
      <c r="A1442" t="s">
        <v>847</v>
      </c>
      <c r="B1442" t="s">
        <v>680</v>
      </c>
      <c r="C1442" s="83">
        <v>46034</v>
      </c>
      <c r="D1442" t="s">
        <v>683</v>
      </c>
      <c r="E1442" t="s">
        <v>298</v>
      </c>
      <c r="F1442">
        <v>11</v>
      </c>
      <c r="G1442">
        <v>18.673366666666698</v>
      </c>
    </row>
    <row r="1443" spans="1:7" x14ac:dyDescent="0.35">
      <c r="A1443" t="s">
        <v>847</v>
      </c>
      <c r="B1443" t="s">
        <v>680</v>
      </c>
      <c r="C1443" s="83">
        <v>46034</v>
      </c>
      <c r="D1443" t="s">
        <v>683</v>
      </c>
      <c r="E1443" t="s">
        <v>727</v>
      </c>
      <c r="F1443">
        <v>9</v>
      </c>
      <c r="G1443">
        <v>12.169883333333299</v>
      </c>
    </row>
    <row r="1444" spans="1:7" x14ac:dyDescent="0.35">
      <c r="A1444" t="s">
        <v>847</v>
      </c>
      <c r="B1444" t="s">
        <v>680</v>
      </c>
      <c r="C1444" s="83">
        <v>46034</v>
      </c>
      <c r="D1444" t="s">
        <v>689</v>
      </c>
      <c r="E1444" t="s">
        <v>296</v>
      </c>
      <c r="F1444">
        <v>37</v>
      </c>
      <c r="G1444">
        <v>16.793949999999999</v>
      </c>
    </row>
    <row r="1445" spans="1:7" x14ac:dyDescent="0.35">
      <c r="A1445" t="s">
        <v>847</v>
      </c>
      <c r="B1445" t="s">
        <v>680</v>
      </c>
      <c r="C1445" s="83">
        <v>46034</v>
      </c>
      <c r="D1445" t="s">
        <v>689</v>
      </c>
      <c r="E1445" t="s">
        <v>298</v>
      </c>
      <c r="F1445">
        <v>18</v>
      </c>
      <c r="G1445">
        <v>6.5082666666666702</v>
      </c>
    </row>
    <row r="1446" spans="1:7" x14ac:dyDescent="0.35">
      <c r="A1446" t="s">
        <v>847</v>
      </c>
      <c r="B1446" t="s">
        <v>680</v>
      </c>
      <c r="C1446" s="83">
        <v>46034</v>
      </c>
      <c r="D1446" t="s">
        <v>689</v>
      </c>
      <c r="E1446" t="s">
        <v>728</v>
      </c>
      <c r="F1446">
        <v>8</v>
      </c>
      <c r="G1446">
        <v>9.5017499999999995</v>
      </c>
    </row>
    <row r="1447" spans="1:7" x14ac:dyDescent="0.35">
      <c r="A1447" t="s">
        <v>847</v>
      </c>
      <c r="B1447" t="s">
        <v>680</v>
      </c>
      <c r="C1447" s="83">
        <v>46034</v>
      </c>
      <c r="D1447" t="s">
        <v>684</v>
      </c>
      <c r="E1447" t="s">
        <v>298</v>
      </c>
      <c r="F1447">
        <v>15</v>
      </c>
      <c r="G1447">
        <v>9.6661000000000001</v>
      </c>
    </row>
    <row r="1448" spans="1:7" x14ac:dyDescent="0.35">
      <c r="A1448" t="s">
        <v>847</v>
      </c>
      <c r="B1448" t="s">
        <v>680</v>
      </c>
      <c r="C1448" s="83">
        <v>46034</v>
      </c>
      <c r="D1448" t="s">
        <v>684</v>
      </c>
      <c r="E1448" t="s">
        <v>297</v>
      </c>
      <c r="F1448">
        <v>7</v>
      </c>
      <c r="G1448">
        <v>4.4928333333333299</v>
      </c>
    </row>
    <row r="1449" spans="1:7" x14ac:dyDescent="0.35">
      <c r="A1449" t="s">
        <v>847</v>
      </c>
      <c r="B1449" t="s">
        <v>680</v>
      </c>
      <c r="C1449" s="83">
        <v>46034</v>
      </c>
      <c r="D1449" t="s">
        <v>684</v>
      </c>
      <c r="E1449" t="s">
        <v>736</v>
      </c>
      <c r="F1449">
        <v>4</v>
      </c>
      <c r="G1449">
        <v>0.501033333333333</v>
      </c>
    </row>
    <row r="1450" spans="1:7" x14ac:dyDescent="0.35">
      <c r="A1450" t="s">
        <v>847</v>
      </c>
      <c r="B1450" t="s">
        <v>680</v>
      </c>
      <c r="C1450" s="83">
        <v>46034</v>
      </c>
      <c r="D1450" t="s">
        <v>687</v>
      </c>
      <c r="E1450" t="s">
        <v>726</v>
      </c>
      <c r="F1450">
        <v>7</v>
      </c>
      <c r="G1450">
        <v>12.347766666666701</v>
      </c>
    </row>
    <row r="1451" spans="1:7" x14ac:dyDescent="0.35">
      <c r="A1451" t="s">
        <v>847</v>
      </c>
      <c r="B1451" t="s">
        <v>680</v>
      </c>
      <c r="C1451" s="83">
        <v>46034</v>
      </c>
      <c r="D1451" t="s">
        <v>687</v>
      </c>
      <c r="E1451" t="s">
        <v>718</v>
      </c>
      <c r="F1451">
        <v>6</v>
      </c>
      <c r="G1451">
        <v>8.1573666666666593</v>
      </c>
    </row>
    <row r="1452" spans="1:7" x14ac:dyDescent="0.35">
      <c r="A1452" t="s">
        <v>847</v>
      </c>
      <c r="B1452" t="s">
        <v>680</v>
      </c>
      <c r="C1452" s="83">
        <v>46034</v>
      </c>
      <c r="D1452" t="s">
        <v>687</v>
      </c>
      <c r="E1452" t="s">
        <v>717</v>
      </c>
      <c r="F1452">
        <v>5</v>
      </c>
      <c r="G1452">
        <v>47.004066666666702</v>
      </c>
    </row>
    <row r="1453" spans="1:7" x14ac:dyDescent="0.35">
      <c r="A1453" t="s">
        <v>847</v>
      </c>
      <c r="B1453" t="s">
        <v>680</v>
      </c>
      <c r="C1453" s="83">
        <v>46034</v>
      </c>
      <c r="D1453" t="s">
        <v>688</v>
      </c>
      <c r="E1453" t="s">
        <v>316</v>
      </c>
      <c r="F1453">
        <v>10</v>
      </c>
      <c r="G1453">
        <v>26.3344666666667</v>
      </c>
    </row>
    <row r="1454" spans="1:7" x14ac:dyDescent="0.35">
      <c r="A1454" t="s">
        <v>847</v>
      </c>
      <c r="B1454" t="s">
        <v>680</v>
      </c>
      <c r="C1454" s="83">
        <v>46034</v>
      </c>
      <c r="D1454" t="s">
        <v>688</v>
      </c>
      <c r="E1454" t="s">
        <v>720</v>
      </c>
      <c r="F1454">
        <v>7</v>
      </c>
      <c r="G1454">
        <v>4.0034000000000001</v>
      </c>
    </row>
    <row r="1455" spans="1:7" x14ac:dyDescent="0.35">
      <c r="A1455" t="s">
        <v>847</v>
      </c>
      <c r="B1455" t="s">
        <v>680</v>
      </c>
      <c r="C1455" s="83">
        <v>46034</v>
      </c>
      <c r="D1455" t="s">
        <v>688</v>
      </c>
      <c r="E1455" t="s">
        <v>311</v>
      </c>
      <c r="F1455">
        <v>4</v>
      </c>
      <c r="G1455">
        <v>3.5018833333333301</v>
      </c>
    </row>
    <row r="1456" spans="1:7" x14ac:dyDescent="0.35">
      <c r="A1456" t="s">
        <v>847</v>
      </c>
      <c r="B1456" t="s">
        <v>680</v>
      </c>
      <c r="C1456" s="83">
        <v>46034</v>
      </c>
      <c r="D1456" t="s">
        <v>690</v>
      </c>
      <c r="E1456" t="s">
        <v>126</v>
      </c>
      <c r="F1456">
        <v>9</v>
      </c>
      <c r="G1456">
        <v>12.829599999999999</v>
      </c>
    </row>
    <row r="1457" spans="1:7" x14ac:dyDescent="0.35">
      <c r="A1457" t="s">
        <v>847</v>
      </c>
      <c r="B1457" t="s">
        <v>680</v>
      </c>
      <c r="C1457" s="83">
        <v>46034</v>
      </c>
      <c r="D1457" t="s">
        <v>690</v>
      </c>
      <c r="E1457" t="s">
        <v>723</v>
      </c>
      <c r="F1457">
        <v>6</v>
      </c>
      <c r="G1457">
        <v>9.3404500000000006</v>
      </c>
    </row>
    <row r="1458" spans="1:7" x14ac:dyDescent="0.35">
      <c r="A1458" t="s">
        <v>847</v>
      </c>
      <c r="B1458" t="s">
        <v>680</v>
      </c>
      <c r="C1458" s="83">
        <v>46034</v>
      </c>
      <c r="D1458" t="s">
        <v>690</v>
      </c>
      <c r="E1458" t="s">
        <v>720</v>
      </c>
      <c r="F1458">
        <v>6</v>
      </c>
      <c r="G1458">
        <v>8.1671166666666704</v>
      </c>
    </row>
    <row r="1459" spans="1:7" x14ac:dyDescent="0.35">
      <c r="A1459" t="s">
        <v>847</v>
      </c>
      <c r="B1459" t="s">
        <v>680</v>
      </c>
      <c r="C1459" s="83">
        <v>46034</v>
      </c>
      <c r="D1459" t="s">
        <v>685</v>
      </c>
      <c r="E1459" t="s">
        <v>126</v>
      </c>
      <c r="F1459">
        <v>14</v>
      </c>
      <c r="G1459">
        <v>17.832650000000001</v>
      </c>
    </row>
    <row r="1460" spans="1:7" x14ac:dyDescent="0.35">
      <c r="A1460" t="s">
        <v>847</v>
      </c>
      <c r="B1460" t="s">
        <v>680</v>
      </c>
      <c r="C1460" s="83">
        <v>46034</v>
      </c>
      <c r="D1460" t="s">
        <v>685</v>
      </c>
      <c r="E1460" t="s">
        <v>311</v>
      </c>
      <c r="F1460">
        <v>14</v>
      </c>
      <c r="G1460">
        <v>13.504350000000001</v>
      </c>
    </row>
    <row r="1461" spans="1:7" x14ac:dyDescent="0.35">
      <c r="A1461" t="s">
        <v>847</v>
      </c>
      <c r="B1461" t="s">
        <v>680</v>
      </c>
      <c r="C1461" s="83">
        <v>46034</v>
      </c>
      <c r="D1461" t="s">
        <v>685</v>
      </c>
      <c r="E1461" t="s">
        <v>657</v>
      </c>
      <c r="F1461">
        <v>8</v>
      </c>
      <c r="G1461">
        <v>15.649900000000001</v>
      </c>
    </row>
    <row r="1462" spans="1:7" x14ac:dyDescent="0.35">
      <c r="A1462" t="s">
        <v>847</v>
      </c>
      <c r="B1462" t="s">
        <v>680</v>
      </c>
      <c r="C1462" s="83">
        <v>46035</v>
      </c>
      <c r="D1462" t="s">
        <v>681</v>
      </c>
      <c r="E1462" t="s">
        <v>332</v>
      </c>
      <c r="F1462">
        <v>33</v>
      </c>
      <c r="G1462">
        <v>45.321066666666702</v>
      </c>
    </row>
    <row r="1463" spans="1:7" x14ac:dyDescent="0.35">
      <c r="A1463" t="s">
        <v>847</v>
      </c>
      <c r="B1463" t="s">
        <v>680</v>
      </c>
      <c r="C1463" s="83">
        <v>46035</v>
      </c>
      <c r="D1463" t="s">
        <v>681</v>
      </c>
      <c r="E1463" t="s">
        <v>298</v>
      </c>
      <c r="F1463">
        <v>25</v>
      </c>
      <c r="G1463">
        <v>26.507466666666701</v>
      </c>
    </row>
    <row r="1464" spans="1:7" x14ac:dyDescent="0.35">
      <c r="A1464" t="s">
        <v>847</v>
      </c>
      <c r="B1464" t="s">
        <v>680</v>
      </c>
      <c r="C1464" s="83">
        <v>46035</v>
      </c>
      <c r="D1464" t="s">
        <v>681</v>
      </c>
      <c r="E1464" t="s">
        <v>727</v>
      </c>
      <c r="F1464">
        <v>7</v>
      </c>
      <c r="G1464">
        <v>2.1612833333333299</v>
      </c>
    </row>
    <row r="1465" spans="1:7" x14ac:dyDescent="0.35">
      <c r="A1465" t="s">
        <v>847</v>
      </c>
      <c r="B1465" t="s">
        <v>680</v>
      </c>
      <c r="C1465" s="83">
        <v>46035</v>
      </c>
      <c r="D1465" t="s">
        <v>683</v>
      </c>
      <c r="E1465" t="s">
        <v>296</v>
      </c>
      <c r="F1465">
        <v>10</v>
      </c>
      <c r="G1465">
        <v>4.5063500000000003</v>
      </c>
    </row>
    <row r="1466" spans="1:7" x14ac:dyDescent="0.35">
      <c r="A1466" t="s">
        <v>847</v>
      </c>
      <c r="B1466" t="s">
        <v>680</v>
      </c>
      <c r="C1466" s="83">
        <v>46035</v>
      </c>
      <c r="D1466" t="s">
        <v>683</v>
      </c>
      <c r="E1466" t="s">
        <v>298</v>
      </c>
      <c r="F1466">
        <v>8</v>
      </c>
      <c r="G1466">
        <v>2.3411499999999998</v>
      </c>
    </row>
    <row r="1467" spans="1:7" x14ac:dyDescent="0.35">
      <c r="A1467" t="s">
        <v>847</v>
      </c>
      <c r="B1467" t="s">
        <v>680</v>
      </c>
      <c r="C1467" s="83">
        <v>46035</v>
      </c>
      <c r="D1467" t="s">
        <v>683</v>
      </c>
      <c r="E1467" t="s">
        <v>300</v>
      </c>
      <c r="F1467">
        <v>8</v>
      </c>
      <c r="G1467">
        <v>3.8367833333333299</v>
      </c>
    </row>
    <row r="1468" spans="1:7" x14ac:dyDescent="0.35">
      <c r="A1468" t="s">
        <v>847</v>
      </c>
      <c r="B1468" t="s">
        <v>680</v>
      </c>
      <c r="C1468" s="83">
        <v>46035</v>
      </c>
      <c r="D1468" t="s">
        <v>689</v>
      </c>
      <c r="E1468" t="s">
        <v>332</v>
      </c>
      <c r="F1468">
        <v>18</v>
      </c>
      <c r="G1468">
        <v>23.164400000000001</v>
      </c>
    </row>
    <row r="1469" spans="1:7" x14ac:dyDescent="0.35">
      <c r="A1469" t="s">
        <v>847</v>
      </c>
      <c r="B1469" t="s">
        <v>680</v>
      </c>
      <c r="C1469" s="83">
        <v>46035</v>
      </c>
      <c r="D1469" t="s">
        <v>689</v>
      </c>
      <c r="E1469" t="s">
        <v>298</v>
      </c>
      <c r="F1469">
        <v>13</v>
      </c>
      <c r="G1469">
        <v>6.1536499999999998</v>
      </c>
    </row>
    <row r="1470" spans="1:7" x14ac:dyDescent="0.35">
      <c r="A1470" t="s">
        <v>847</v>
      </c>
      <c r="B1470" t="s">
        <v>680</v>
      </c>
      <c r="C1470" s="83">
        <v>46035</v>
      </c>
      <c r="D1470" t="s">
        <v>689</v>
      </c>
      <c r="E1470" t="s">
        <v>296</v>
      </c>
      <c r="F1470">
        <v>13</v>
      </c>
      <c r="G1470">
        <v>8.6592000000000002</v>
      </c>
    </row>
    <row r="1471" spans="1:7" x14ac:dyDescent="0.35">
      <c r="A1471" t="s">
        <v>847</v>
      </c>
      <c r="B1471" t="s">
        <v>680</v>
      </c>
      <c r="C1471" s="83">
        <v>46035</v>
      </c>
      <c r="D1471" t="s">
        <v>684</v>
      </c>
      <c r="E1471" t="s">
        <v>298</v>
      </c>
      <c r="F1471">
        <v>14</v>
      </c>
      <c r="G1471">
        <v>10.5232333333333</v>
      </c>
    </row>
    <row r="1472" spans="1:7" x14ac:dyDescent="0.35">
      <c r="A1472" t="s">
        <v>847</v>
      </c>
      <c r="B1472" t="s">
        <v>680</v>
      </c>
      <c r="C1472" s="83">
        <v>46035</v>
      </c>
      <c r="D1472" t="s">
        <v>684</v>
      </c>
      <c r="E1472" t="s">
        <v>727</v>
      </c>
      <c r="F1472">
        <v>4</v>
      </c>
      <c r="G1472">
        <v>5.49505</v>
      </c>
    </row>
    <row r="1473" spans="1:7" x14ac:dyDescent="0.35">
      <c r="A1473" t="s">
        <v>847</v>
      </c>
      <c r="B1473" t="s">
        <v>680</v>
      </c>
      <c r="C1473" s="83">
        <v>46035</v>
      </c>
      <c r="D1473" t="s">
        <v>684</v>
      </c>
      <c r="E1473" t="s">
        <v>737</v>
      </c>
      <c r="F1473">
        <v>3</v>
      </c>
      <c r="G1473">
        <v>0.83345000000000002</v>
      </c>
    </row>
    <row r="1474" spans="1:7" x14ac:dyDescent="0.35">
      <c r="A1474" t="s">
        <v>847</v>
      </c>
      <c r="B1474" t="s">
        <v>680</v>
      </c>
      <c r="C1474" s="83">
        <v>46035</v>
      </c>
      <c r="D1474" t="s">
        <v>687</v>
      </c>
      <c r="E1474" t="s">
        <v>718</v>
      </c>
      <c r="F1474">
        <v>6</v>
      </c>
      <c r="G1474">
        <v>2.1773833333333301</v>
      </c>
    </row>
    <row r="1475" spans="1:7" x14ac:dyDescent="0.35">
      <c r="A1475" t="s">
        <v>847</v>
      </c>
      <c r="B1475" t="s">
        <v>680</v>
      </c>
      <c r="C1475" s="83">
        <v>46035</v>
      </c>
      <c r="D1475" t="s">
        <v>687</v>
      </c>
      <c r="E1475" t="s">
        <v>726</v>
      </c>
      <c r="F1475">
        <v>6</v>
      </c>
      <c r="G1475">
        <v>9.6750833333333297</v>
      </c>
    </row>
    <row r="1476" spans="1:7" x14ac:dyDescent="0.35">
      <c r="A1476" t="s">
        <v>847</v>
      </c>
      <c r="B1476" t="s">
        <v>680</v>
      </c>
      <c r="C1476" s="83">
        <v>46035</v>
      </c>
      <c r="D1476" t="s">
        <v>687</v>
      </c>
      <c r="E1476" t="s">
        <v>729</v>
      </c>
      <c r="F1476">
        <v>3</v>
      </c>
      <c r="G1476">
        <v>2.6642000000000001</v>
      </c>
    </row>
    <row r="1477" spans="1:7" x14ac:dyDescent="0.35">
      <c r="A1477" t="s">
        <v>847</v>
      </c>
      <c r="B1477" t="s">
        <v>680</v>
      </c>
      <c r="C1477" s="83">
        <v>46035</v>
      </c>
      <c r="D1477" t="s">
        <v>688</v>
      </c>
      <c r="E1477" t="s">
        <v>720</v>
      </c>
      <c r="F1477">
        <v>13</v>
      </c>
      <c r="G1477">
        <v>5.9879166666666697</v>
      </c>
    </row>
    <row r="1478" spans="1:7" x14ac:dyDescent="0.35">
      <c r="A1478" t="s">
        <v>847</v>
      </c>
      <c r="B1478" t="s">
        <v>680</v>
      </c>
      <c r="C1478" s="83">
        <v>46035</v>
      </c>
      <c r="D1478" t="s">
        <v>688</v>
      </c>
      <c r="E1478" t="s">
        <v>338</v>
      </c>
      <c r="F1478">
        <v>10</v>
      </c>
      <c r="G1478">
        <v>3.83191666666667</v>
      </c>
    </row>
    <row r="1479" spans="1:7" x14ac:dyDescent="0.35">
      <c r="A1479" t="s">
        <v>847</v>
      </c>
      <c r="B1479" t="s">
        <v>680</v>
      </c>
      <c r="C1479" s="83">
        <v>46035</v>
      </c>
      <c r="D1479" t="s">
        <v>688</v>
      </c>
      <c r="E1479" t="s">
        <v>316</v>
      </c>
      <c r="F1479">
        <v>6</v>
      </c>
      <c r="G1479">
        <v>0.99363333333333304</v>
      </c>
    </row>
    <row r="1480" spans="1:7" x14ac:dyDescent="0.35">
      <c r="A1480" t="s">
        <v>847</v>
      </c>
      <c r="B1480" t="s">
        <v>680</v>
      </c>
      <c r="C1480" s="83">
        <v>46035</v>
      </c>
      <c r="D1480" t="s">
        <v>690</v>
      </c>
      <c r="E1480" t="s">
        <v>126</v>
      </c>
      <c r="F1480">
        <v>7</v>
      </c>
      <c r="G1480">
        <v>5.3272166666666703</v>
      </c>
    </row>
    <row r="1481" spans="1:7" x14ac:dyDescent="0.35">
      <c r="A1481" t="s">
        <v>847</v>
      </c>
      <c r="B1481" t="s">
        <v>680</v>
      </c>
      <c r="C1481" s="83">
        <v>46035</v>
      </c>
      <c r="D1481" t="s">
        <v>690</v>
      </c>
      <c r="E1481" t="s">
        <v>321</v>
      </c>
      <c r="F1481">
        <v>3</v>
      </c>
      <c r="G1481">
        <v>1.82496666666667</v>
      </c>
    </row>
    <row r="1482" spans="1:7" x14ac:dyDescent="0.35">
      <c r="A1482" t="s">
        <v>847</v>
      </c>
      <c r="B1482" t="s">
        <v>680</v>
      </c>
      <c r="C1482" s="83">
        <v>46035</v>
      </c>
      <c r="D1482" t="s">
        <v>690</v>
      </c>
      <c r="E1482" t="s">
        <v>657</v>
      </c>
      <c r="F1482">
        <v>3</v>
      </c>
      <c r="G1482">
        <v>1.33443333333333</v>
      </c>
    </row>
    <row r="1483" spans="1:7" x14ac:dyDescent="0.35">
      <c r="A1483" t="s">
        <v>847</v>
      </c>
      <c r="B1483" t="s">
        <v>680</v>
      </c>
      <c r="C1483" s="83">
        <v>46035</v>
      </c>
      <c r="D1483" t="s">
        <v>685</v>
      </c>
      <c r="E1483" t="s">
        <v>126</v>
      </c>
      <c r="F1483">
        <v>10</v>
      </c>
      <c r="G1483">
        <v>17.510249999999999</v>
      </c>
    </row>
    <row r="1484" spans="1:7" x14ac:dyDescent="0.35">
      <c r="A1484" t="s">
        <v>847</v>
      </c>
      <c r="B1484" t="s">
        <v>680</v>
      </c>
      <c r="C1484" s="83">
        <v>46035</v>
      </c>
      <c r="D1484" t="s">
        <v>685</v>
      </c>
      <c r="E1484" t="s">
        <v>311</v>
      </c>
      <c r="F1484">
        <v>6</v>
      </c>
      <c r="G1484">
        <v>5.0087000000000002</v>
      </c>
    </row>
    <row r="1485" spans="1:7" x14ac:dyDescent="0.35">
      <c r="A1485" t="s">
        <v>847</v>
      </c>
      <c r="B1485" t="s">
        <v>680</v>
      </c>
      <c r="C1485" s="83">
        <v>46035</v>
      </c>
      <c r="D1485" t="s">
        <v>685</v>
      </c>
      <c r="E1485" t="s">
        <v>657</v>
      </c>
      <c r="F1485">
        <v>4</v>
      </c>
      <c r="G1485">
        <v>4.6657500000000001</v>
      </c>
    </row>
    <row r="1486" spans="1:7" x14ac:dyDescent="0.35">
      <c r="A1486" t="s">
        <v>847</v>
      </c>
      <c r="B1486" t="s">
        <v>680</v>
      </c>
      <c r="C1486" s="83">
        <v>46036</v>
      </c>
      <c r="D1486" t="s">
        <v>681</v>
      </c>
      <c r="E1486" t="s">
        <v>298</v>
      </c>
      <c r="F1486">
        <v>17</v>
      </c>
      <c r="G1486">
        <v>13.823033333333299</v>
      </c>
    </row>
    <row r="1487" spans="1:7" x14ac:dyDescent="0.35">
      <c r="A1487" t="s">
        <v>847</v>
      </c>
      <c r="B1487" t="s">
        <v>680</v>
      </c>
      <c r="C1487" s="83">
        <v>46036</v>
      </c>
      <c r="D1487" t="s">
        <v>681</v>
      </c>
      <c r="E1487" t="s">
        <v>332</v>
      </c>
      <c r="F1487">
        <v>17</v>
      </c>
      <c r="G1487">
        <v>22.015366666666701</v>
      </c>
    </row>
    <row r="1488" spans="1:7" x14ac:dyDescent="0.35">
      <c r="A1488" t="s">
        <v>847</v>
      </c>
      <c r="B1488" t="s">
        <v>680</v>
      </c>
      <c r="C1488" s="83">
        <v>46036</v>
      </c>
      <c r="D1488" t="s">
        <v>681</v>
      </c>
      <c r="E1488" t="s">
        <v>297</v>
      </c>
      <c r="F1488">
        <v>9</v>
      </c>
      <c r="G1488">
        <v>4.8345333333333302</v>
      </c>
    </row>
    <row r="1489" spans="1:7" x14ac:dyDescent="0.35">
      <c r="A1489" t="s">
        <v>847</v>
      </c>
      <c r="B1489" t="s">
        <v>680</v>
      </c>
      <c r="C1489" s="83">
        <v>46036</v>
      </c>
      <c r="D1489" t="s">
        <v>683</v>
      </c>
      <c r="E1489" t="s">
        <v>728</v>
      </c>
      <c r="F1489">
        <v>22</v>
      </c>
      <c r="G1489">
        <v>10.681150000000001</v>
      </c>
    </row>
    <row r="1490" spans="1:7" x14ac:dyDescent="0.35">
      <c r="A1490" t="s">
        <v>847</v>
      </c>
      <c r="B1490" t="s">
        <v>680</v>
      </c>
      <c r="C1490" s="83">
        <v>46036</v>
      </c>
      <c r="D1490" t="s">
        <v>683</v>
      </c>
      <c r="E1490" t="s">
        <v>296</v>
      </c>
      <c r="F1490">
        <v>14</v>
      </c>
      <c r="G1490">
        <v>8.3284666666666691</v>
      </c>
    </row>
    <row r="1491" spans="1:7" x14ac:dyDescent="0.35">
      <c r="A1491" t="s">
        <v>847</v>
      </c>
      <c r="B1491" t="s">
        <v>680</v>
      </c>
      <c r="C1491" s="83">
        <v>46036</v>
      </c>
      <c r="D1491" t="s">
        <v>683</v>
      </c>
      <c r="E1491" t="s">
        <v>304</v>
      </c>
      <c r="F1491">
        <v>9</v>
      </c>
      <c r="G1491">
        <v>12.8408333333333</v>
      </c>
    </row>
    <row r="1492" spans="1:7" x14ac:dyDescent="0.35">
      <c r="A1492" t="s">
        <v>847</v>
      </c>
      <c r="B1492" t="s">
        <v>680</v>
      </c>
      <c r="C1492" s="83">
        <v>46036</v>
      </c>
      <c r="D1492" t="s">
        <v>689</v>
      </c>
      <c r="E1492" t="s">
        <v>296</v>
      </c>
      <c r="F1492">
        <v>79</v>
      </c>
      <c r="G1492">
        <v>37.010950000000001</v>
      </c>
    </row>
    <row r="1493" spans="1:7" x14ac:dyDescent="0.35">
      <c r="A1493" t="s">
        <v>847</v>
      </c>
      <c r="B1493" t="s">
        <v>680</v>
      </c>
      <c r="C1493" s="83">
        <v>46036</v>
      </c>
      <c r="D1493" t="s">
        <v>689</v>
      </c>
      <c r="E1493" t="s">
        <v>298</v>
      </c>
      <c r="F1493">
        <v>16</v>
      </c>
      <c r="G1493">
        <v>9.8516999999999992</v>
      </c>
    </row>
    <row r="1494" spans="1:7" x14ac:dyDescent="0.35">
      <c r="A1494" t="s">
        <v>847</v>
      </c>
      <c r="B1494" t="s">
        <v>680</v>
      </c>
      <c r="C1494" s="83">
        <v>46036</v>
      </c>
      <c r="D1494" t="s">
        <v>689</v>
      </c>
      <c r="E1494" t="s">
        <v>332</v>
      </c>
      <c r="F1494">
        <v>13</v>
      </c>
      <c r="G1494">
        <v>30.1726666666667</v>
      </c>
    </row>
    <row r="1495" spans="1:7" x14ac:dyDescent="0.35">
      <c r="A1495" t="s">
        <v>847</v>
      </c>
      <c r="B1495" t="s">
        <v>680</v>
      </c>
      <c r="C1495" s="83">
        <v>46036</v>
      </c>
      <c r="D1495" t="s">
        <v>684</v>
      </c>
      <c r="E1495" t="s">
        <v>298</v>
      </c>
      <c r="F1495">
        <v>12</v>
      </c>
      <c r="G1495">
        <v>8.5111000000000008</v>
      </c>
    </row>
    <row r="1496" spans="1:7" x14ac:dyDescent="0.35">
      <c r="A1496" t="s">
        <v>847</v>
      </c>
      <c r="B1496" t="s">
        <v>680</v>
      </c>
      <c r="C1496" s="83">
        <v>46036</v>
      </c>
      <c r="D1496" t="s">
        <v>684</v>
      </c>
      <c r="E1496" t="s">
        <v>728</v>
      </c>
      <c r="F1496">
        <v>5</v>
      </c>
      <c r="G1496">
        <v>7.8270166666666698</v>
      </c>
    </row>
    <row r="1497" spans="1:7" x14ac:dyDescent="0.35">
      <c r="A1497" t="s">
        <v>847</v>
      </c>
      <c r="B1497" t="s">
        <v>680</v>
      </c>
      <c r="C1497" s="83">
        <v>46036</v>
      </c>
      <c r="D1497" t="s">
        <v>684</v>
      </c>
      <c r="E1497" t="s">
        <v>727</v>
      </c>
      <c r="F1497">
        <v>5</v>
      </c>
      <c r="G1497">
        <v>2.4924833333333298</v>
      </c>
    </row>
    <row r="1498" spans="1:7" x14ac:dyDescent="0.35">
      <c r="A1498" t="s">
        <v>847</v>
      </c>
      <c r="B1498" t="s">
        <v>680</v>
      </c>
      <c r="C1498" s="83">
        <v>46036</v>
      </c>
      <c r="D1498" t="s">
        <v>687</v>
      </c>
      <c r="E1498" t="s">
        <v>717</v>
      </c>
      <c r="F1498">
        <v>5</v>
      </c>
      <c r="G1498">
        <v>8.3352000000000004</v>
      </c>
    </row>
    <row r="1499" spans="1:7" x14ac:dyDescent="0.35">
      <c r="A1499" t="s">
        <v>847</v>
      </c>
      <c r="B1499" t="s">
        <v>680</v>
      </c>
      <c r="C1499" s="83">
        <v>46036</v>
      </c>
      <c r="D1499" t="s">
        <v>687</v>
      </c>
      <c r="E1499" t="s">
        <v>726</v>
      </c>
      <c r="F1499">
        <v>4</v>
      </c>
      <c r="G1499">
        <v>3.9994499999999999</v>
      </c>
    </row>
    <row r="1500" spans="1:7" x14ac:dyDescent="0.35">
      <c r="A1500" t="s">
        <v>847</v>
      </c>
      <c r="B1500" t="s">
        <v>680</v>
      </c>
      <c r="C1500" s="83">
        <v>46036</v>
      </c>
      <c r="D1500" t="s">
        <v>687</v>
      </c>
      <c r="E1500" t="s">
        <v>718</v>
      </c>
      <c r="F1500">
        <v>3</v>
      </c>
      <c r="G1500">
        <v>0.333666666666667</v>
      </c>
    </row>
    <row r="1501" spans="1:7" x14ac:dyDescent="0.35">
      <c r="A1501" t="s">
        <v>847</v>
      </c>
      <c r="B1501" t="s">
        <v>680</v>
      </c>
      <c r="C1501" s="83">
        <v>46036</v>
      </c>
      <c r="D1501" t="s">
        <v>688</v>
      </c>
      <c r="E1501" t="s">
        <v>311</v>
      </c>
      <c r="F1501">
        <v>12</v>
      </c>
      <c r="G1501">
        <v>7.6500666666666701</v>
      </c>
    </row>
    <row r="1502" spans="1:7" x14ac:dyDescent="0.35">
      <c r="A1502" t="s">
        <v>847</v>
      </c>
      <c r="B1502" t="s">
        <v>680</v>
      </c>
      <c r="C1502" s="83">
        <v>46036</v>
      </c>
      <c r="D1502" t="s">
        <v>688</v>
      </c>
      <c r="E1502" t="s">
        <v>126</v>
      </c>
      <c r="F1502">
        <v>11</v>
      </c>
      <c r="G1502">
        <v>9.6588499999999993</v>
      </c>
    </row>
    <row r="1503" spans="1:7" x14ac:dyDescent="0.35">
      <c r="A1503" t="s">
        <v>847</v>
      </c>
      <c r="B1503" t="s">
        <v>693</v>
      </c>
      <c r="C1503" s="83"/>
      <c r="F1503">
        <v>52464</v>
      </c>
      <c r="G1503">
        <v>97795.437083333003</v>
      </c>
    </row>
    <row r="1504" spans="1:7" x14ac:dyDescent="0.35">
      <c r="A1504" t="s">
        <v>847</v>
      </c>
      <c r="B1504" t="s">
        <v>680</v>
      </c>
      <c r="C1504" s="83">
        <v>46036</v>
      </c>
      <c r="D1504" t="s">
        <v>688</v>
      </c>
      <c r="E1504" t="s">
        <v>312</v>
      </c>
      <c r="F1504">
        <v>8</v>
      </c>
      <c r="G1504">
        <v>3.83306666666667</v>
      </c>
    </row>
    <row r="1505" spans="1:7" x14ac:dyDescent="0.35">
      <c r="A1505" t="s">
        <v>847</v>
      </c>
      <c r="B1505" t="s">
        <v>680</v>
      </c>
      <c r="C1505" s="83">
        <v>46036</v>
      </c>
      <c r="D1505" t="s">
        <v>690</v>
      </c>
      <c r="E1505" t="s">
        <v>126</v>
      </c>
      <c r="F1505">
        <v>4</v>
      </c>
      <c r="G1505">
        <v>2.6594333333333302</v>
      </c>
    </row>
    <row r="1506" spans="1:7" x14ac:dyDescent="0.35">
      <c r="A1506" t="s">
        <v>847</v>
      </c>
      <c r="B1506" t="s">
        <v>680</v>
      </c>
      <c r="C1506" s="83">
        <v>46036</v>
      </c>
      <c r="D1506" t="s">
        <v>690</v>
      </c>
      <c r="E1506" t="s">
        <v>316</v>
      </c>
      <c r="F1506">
        <v>2</v>
      </c>
      <c r="G1506">
        <v>19.333733333333299</v>
      </c>
    </row>
    <row r="1507" spans="1:7" x14ac:dyDescent="0.35">
      <c r="A1507" t="s">
        <v>847</v>
      </c>
      <c r="B1507" t="s">
        <v>680</v>
      </c>
      <c r="C1507" s="83">
        <v>46036</v>
      </c>
      <c r="D1507" t="s">
        <v>690</v>
      </c>
      <c r="E1507" t="s">
        <v>321</v>
      </c>
      <c r="F1507">
        <v>2</v>
      </c>
      <c r="G1507">
        <v>1.66801666666667</v>
      </c>
    </row>
    <row r="1508" spans="1:7" x14ac:dyDescent="0.35">
      <c r="A1508" t="s">
        <v>847</v>
      </c>
      <c r="B1508" t="s">
        <v>680</v>
      </c>
      <c r="C1508" s="83">
        <v>46036</v>
      </c>
      <c r="D1508" t="s">
        <v>685</v>
      </c>
      <c r="E1508" t="s">
        <v>720</v>
      </c>
      <c r="F1508">
        <v>3</v>
      </c>
      <c r="G1508">
        <v>0.66713333333333302</v>
      </c>
    </row>
    <row r="1509" spans="1:7" x14ac:dyDescent="0.35">
      <c r="A1509" t="s">
        <v>847</v>
      </c>
      <c r="B1509" t="s">
        <v>680</v>
      </c>
      <c r="C1509" s="83">
        <v>46036</v>
      </c>
      <c r="D1509" t="s">
        <v>685</v>
      </c>
      <c r="E1509" t="s">
        <v>311</v>
      </c>
      <c r="F1509">
        <v>2</v>
      </c>
      <c r="G1509">
        <v>2</v>
      </c>
    </row>
    <row r="1510" spans="1:7" x14ac:dyDescent="0.35">
      <c r="A1510" t="s">
        <v>847</v>
      </c>
      <c r="B1510" t="s">
        <v>680</v>
      </c>
      <c r="C1510" s="83">
        <v>46037</v>
      </c>
      <c r="D1510" t="s">
        <v>681</v>
      </c>
      <c r="E1510" t="s">
        <v>298</v>
      </c>
      <c r="F1510">
        <v>22</v>
      </c>
      <c r="G1510">
        <v>38.9449166666667</v>
      </c>
    </row>
    <row r="1511" spans="1:7" x14ac:dyDescent="0.35">
      <c r="A1511" t="s">
        <v>847</v>
      </c>
      <c r="B1511" t="s">
        <v>680</v>
      </c>
      <c r="C1511" s="83">
        <v>46037</v>
      </c>
      <c r="D1511" t="s">
        <v>681</v>
      </c>
      <c r="E1511" t="s">
        <v>332</v>
      </c>
      <c r="F1511">
        <v>17</v>
      </c>
      <c r="G1511">
        <v>23.6636666666667</v>
      </c>
    </row>
    <row r="1512" spans="1:7" x14ac:dyDescent="0.35">
      <c r="A1512" t="s">
        <v>847</v>
      </c>
      <c r="B1512" t="s">
        <v>680</v>
      </c>
      <c r="C1512" s="83">
        <v>46037</v>
      </c>
      <c r="D1512" t="s">
        <v>681</v>
      </c>
      <c r="E1512" t="s">
        <v>300</v>
      </c>
      <c r="F1512">
        <v>7</v>
      </c>
      <c r="G1512">
        <v>2.6756833333333301</v>
      </c>
    </row>
    <row r="1513" spans="1:7" x14ac:dyDescent="0.35">
      <c r="A1513" t="s">
        <v>847</v>
      </c>
      <c r="B1513" t="s">
        <v>680</v>
      </c>
      <c r="C1513" s="83">
        <v>46037</v>
      </c>
      <c r="D1513" t="s">
        <v>683</v>
      </c>
      <c r="E1513" t="s">
        <v>296</v>
      </c>
      <c r="F1513">
        <v>27</v>
      </c>
      <c r="G1513">
        <v>17.1705166666667</v>
      </c>
    </row>
    <row r="1514" spans="1:7" x14ac:dyDescent="0.35">
      <c r="A1514" t="s">
        <v>847</v>
      </c>
      <c r="B1514" t="s">
        <v>680</v>
      </c>
      <c r="C1514" s="83">
        <v>46037</v>
      </c>
      <c r="D1514" t="s">
        <v>683</v>
      </c>
      <c r="E1514" t="s">
        <v>298</v>
      </c>
      <c r="F1514">
        <v>9</v>
      </c>
      <c r="G1514">
        <v>7.3351166666666696</v>
      </c>
    </row>
    <row r="1515" spans="1:7" x14ac:dyDescent="0.35">
      <c r="A1515" t="s">
        <v>847</v>
      </c>
      <c r="B1515" t="s">
        <v>680</v>
      </c>
      <c r="C1515" s="83">
        <v>46037</v>
      </c>
      <c r="D1515" t="s">
        <v>683</v>
      </c>
      <c r="E1515" t="s">
        <v>727</v>
      </c>
      <c r="F1515">
        <v>6</v>
      </c>
      <c r="G1515">
        <v>4.1787999999999998</v>
      </c>
    </row>
    <row r="1516" spans="1:7" x14ac:dyDescent="0.35">
      <c r="A1516" t="s">
        <v>847</v>
      </c>
      <c r="B1516" t="s">
        <v>680</v>
      </c>
      <c r="C1516" s="83">
        <v>46037</v>
      </c>
      <c r="D1516" t="s">
        <v>689</v>
      </c>
      <c r="E1516" t="s">
        <v>296</v>
      </c>
      <c r="F1516">
        <v>27</v>
      </c>
      <c r="G1516">
        <v>12.8206333333333</v>
      </c>
    </row>
    <row r="1517" spans="1:7" x14ac:dyDescent="0.35">
      <c r="A1517" t="s">
        <v>847</v>
      </c>
      <c r="B1517" t="s">
        <v>680</v>
      </c>
      <c r="C1517" s="83">
        <v>46037</v>
      </c>
      <c r="D1517" t="s">
        <v>689</v>
      </c>
      <c r="E1517" t="s">
        <v>298</v>
      </c>
      <c r="F1517">
        <v>25</v>
      </c>
      <c r="G1517">
        <v>19.0117166666667</v>
      </c>
    </row>
    <row r="1518" spans="1:7" x14ac:dyDescent="0.35">
      <c r="A1518" t="s">
        <v>847</v>
      </c>
      <c r="B1518" t="s">
        <v>680</v>
      </c>
      <c r="C1518" s="83">
        <v>46037</v>
      </c>
      <c r="D1518" t="s">
        <v>689</v>
      </c>
      <c r="E1518" t="s">
        <v>332</v>
      </c>
      <c r="F1518">
        <v>13</v>
      </c>
      <c r="G1518">
        <v>11.4996666666667</v>
      </c>
    </row>
    <row r="1519" spans="1:7" x14ac:dyDescent="0.35">
      <c r="A1519" t="s">
        <v>847</v>
      </c>
      <c r="B1519" t="s">
        <v>680</v>
      </c>
      <c r="C1519" s="83">
        <v>46037</v>
      </c>
      <c r="D1519" t="s">
        <v>684</v>
      </c>
      <c r="E1519" t="s">
        <v>298</v>
      </c>
      <c r="F1519">
        <v>16</v>
      </c>
      <c r="G1519">
        <v>11.162050000000001</v>
      </c>
    </row>
    <row r="1520" spans="1:7" x14ac:dyDescent="0.35">
      <c r="A1520" t="s">
        <v>847</v>
      </c>
      <c r="B1520" t="s">
        <v>680</v>
      </c>
      <c r="C1520" s="83">
        <v>46037</v>
      </c>
      <c r="D1520" t="s">
        <v>684</v>
      </c>
      <c r="E1520" t="s">
        <v>297</v>
      </c>
      <c r="F1520">
        <v>13</v>
      </c>
      <c r="G1520">
        <v>4.8346666666666698</v>
      </c>
    </row>
    <row r="1521" spans="1:7" x14ac:dyDescent="0.35">
      <c r="A1521" t="s">
        <v>847</v>
      </c>
      <c r="B1521" t="s">
        <v>680</v>
      </c>
      <c r="C1521" s="83">
        <v>46037</v>
      </c>
      <c r="D1521" t="s">
        <v>684</v>
      </c>
      <c r="E1521" t="s">
        <v>727</v>
      </c>
      <c r="F1521">
        <v>5</v>
      </c>
      <c r="G1521">
        <v>1.99966666666667</v>
      </c>
    </row>
    <row r="1522" spans="1:7" x14ac:dyDescent="0.35">
      <c r="A1522" t="s">
        <v>847</v>
      </c>
      <c r="B1522" t="s">
        <v>680</v>
      </c>
      <c r="C1522" s="83">
        <v>46037</v>
      </c>
      <c r="D1522" t="s">
        <v>687</v>
      </c>
      <c r="E1522" t="s">
        <v>718</v>
      </c>
      <c r="F1522">
        <v>5</v>
      </c>
      <c r="G1522">
        <v>3.3342666666666698</v>
      </c>
    </row>
    <row r="1523" spans="1:7" x14ac:dyDescent="0.35">
      <c r="A1523" t="s">
        <v>847</v>
      </c>
      <c r="B1523" t="s">
        <v>680</v>
      </c>
      <c r="C1523" s="83">
        <v>46037</v>
      </c>
      <c r="D1523" t="s">
        <v>687</v>
      </c>
      <c r="E1523" t="s">
        <v>726</v>
      </c>
      <c r="F1523">
        <v>5</v>
      </c>
      <c r="G1523">
        <v>13.3335166666667</v>
      </c>
    </row>
    <row r="1524" spans="1:7" x14ac:dyDescent="0.35">
      <c r="A1524" t="s">
        <v>847</v>
      </c>
      <c r="B1524" t="s">
        <v>680</v>
      </c>
      <c r="C1524" s="83">
        <v>46037</v>
      </c>
      <c r="D1524" t="s">
        <v>687</v>
      </c>
      <c r="E1524" t="s">
        <v>738</v>
      </c>
      <c r="F1524">
        <v>3</v>
      </c>
      <c r="G1524">
        <v>5.1607166666666702</v>
      </c>
    </row>
    <row r="1525" spans="1:7" x14ac:dyDescent="0.35">
      <c r="A1525" t="s">
        <v>847</v>
      </c>
      <c r="B1525" t="s">
        <v>680</v>
      </c>
      <c r="C1525" s="83">
        <v>46037</v>
      </c>
      <c r="D1525" t="s">
        <v>688</v>
      </c>
      <c r="E1525" t="s">
        <v>720</v>
      </c>
      <c r="F1525">
        <v>9</v>
      </c>
      <c r="G1525">
        <v>4.5095333333333301</v>
      </c>
    </row>
    <row r="1526" spans="1:7" x14ac:dyDescent="0.35">
      <c r="A1526" t="s">
        <v>847</v>
      </c>
      <c r="B1526" t="s">
        <v>680</v>
      </c>
      <c r="C1526" s="83">
        <v>46037</v>
      </c>
      <c r="D1526" t="s">
        <v>688</v>
      </c>
      <c r="E1526" t="s">
        <v>723</v>
      </c>
      <c r="F1526">
        <v>6</v>
      </c>
      <c r="G1526">
        <v>2.3427500000000001</v>
      </c>
    </row>
    <row r="1527" spans="1:7" x14ac:dyDescent="0.35">
      <c r="A1527" t="s">
        <v>847</v>
      </c>
      <c r="B1527" t="s">
        <v>680</v>
      </c>
      <c r="C1527" s="83">
        <v>46037</v>
      </c>
      <c r="D1527" t="s">
        <v>688</v>
      </c>
      <c r="E1527" t="s">
        <v>311</v>
      </c>
      <c r="F1527">
        <v>5</v>
      </c>
      <c r="G1527">
        <v>3.3477000000000001</v>
      </c>
    </row>
    <row r="1528" spans="1:7" x14ac:dyDescent="0.35">
      <c r="A1528" t="s">
        <v>847</v>
      </c>
      <c r="B1528" t="s">
        <v>680</v>
      </c>
      <c r="C1528" s="83">
        <v>46037</v>
      </c>
      <c r="D1528" t="s">
        <v>690</v>
      </c>
      <c r="E1528" t="s">
        <v>126</v>
      </c>
      <c r="F1528">
        <v>6</v>
      </c>
      <c r="G1528">
        <v>12.675750000000001</v>
      </c>
    </row>
    <row r="1529" spans="1:7" x14ac:dyDescent="0.35">
      <c r="A1529" t="s">
        <v>847</v>
      </c>
      <c r="B1529" t="s">
        <v>680</v>
      </c>
      <c r="C1529" s="83">
        <v>46037</v>
      </c>
      <c r="D1529" t="s">
        <v>690</v>
      </c>
      <c r="E1529" t="s">
        <v>720</v>
      </c>
      <c r="F1529">
        <v>3</v>
      </c>
      <c r="G1529">
        <v>0.99895</v>
      </c>
    </row>
    <row r="1530" spans="1:7" x14ac:dyDescent="0.35">
      <c r="A1530" t="s">
        <v>847</v>
      </c>
      <c r="B1530" t="s">
        <v>680</v>
      </c>
      <c r="C1530" s="83">
        <v>46037</v>
      </c>
      <c r="D1530" t="s">
        <v>690</v>
      </c>
      <c r="E1530" t="s">
        <v>322</v>
      </c>
      <c r="F1530">
        <v>2</v>
      </c>
      <c r="G1530">
        <v>0.83291666666666697</v>
      </c>
    </row>
    <row r="1531" spans="1:7" x14ac:dyDescent="0.35">
      <c r="A1531" t="s">
        <v>847</v>
      </c>
      <c r="B1531" t="s">
        <v>680</v>
      </c>
      <c r="C1531" s="83">
        <v>46037</v>
      </c>
      <c r="D1531" t="s">
        <v>685</v>
      </c>
      <c r="E1531" t="s">
        <v>311</v>
      </c>
      <c r="F1531">
        <v>4</v>
      </c>
      <c r="G1531">
        <v>2.6607500000000002</v>
      </c>
    </row>
    <row r="1532" spans="1:7" x14ac:dyDescent="0.35">
      <c r="A1532" t="s">
        <v>847</v>
      </c>
      <c r="B1532" t="s">
        <v>680</v>
      </c>
      <c r="C1532" s="83">
        <v>46037</v>
      </c>
      <c r="D1532" t="s">
        <v>685</v>
      </c>
      <c r="E1532" t="s">
        <v>720</v>
      </c>
      <c r="F1532">
        <v>3</v>
      </c>
      <c r="G1532">
        <v>0.667333333333333</v>
      </c>
    </row>
    <row r="1533" spans="1:7" x14ac:dyDescent="0.35">
      <c r="A1533" t="s">
        <v>847</v>
      </c>
      <c r="B1533" t="s">
        <v>680</v>
      </c>
      <c r="C1533" s="83">
        <v>46037</v>
      </c>
      <c r="D1533" t="s">
        <v>685</v>
      </c>
      <c r="E1533" t="s">
        <v>734</v>
      </c>
      <c r="F1533">
        <v>2</v>
      </c>
      <c r="G1533">
        <v>0.167116666666667</v>
      </c>
    </row>
    <row r="1534" spans="1:7" x14ac:dyDescent="0.35">
      <c r="A1534" t="s">
        <v>847</v>
      </c>
      <c r="B1534" t="s">
        <v>680</v>
      </c>
      <c r="C1534" s="83">
        <v>46038</v>
      </c>
      <c r="D1534" t="s">
        <v>681</v>
      </c>
      <c r="E1534" t="s">
        <v>727</v>
      </c>
      <c r="F1534">
        <v>16</v>
      </c>
      <c r="G1534">
        <v>8.3548500000000008</v>
      </c>
    </row>
    <row r="1535" spans="1:7" x14ac:dyDescent="0.35">
      <c r="A1535" t="s">
        <v>847</v>
      </c>
      <c r="B1535" t="s">
        <v>680</v>
      </c>
      <c r="C1535" s="83">
        <v>46038</v>
      </c>
      <c r="D1535" t="s">
        <v>681</v>
      </c>
      <c r="E1535" t="s">
        <v>298</v>
      </c>
      <c r="F1535">
        <v>16</v>
      </c>
      <c r="G1535">
        <v>17.759733333333301</v>
      </c>
    </row>
    <row r="1536" spans="1:7" x14ac:dyDescent="0.35">
      <c r="A1536" t="s">
        <v>847</v>
      </c>
      <c r="B1536" t="s">
        <v>680</v>
      </c>
      <c r="C1536" s="83">
        <v>46038</v>
      </c>
      <c r="D1536" t="s">
        <v>681</v>
      </c>
      <c r="E1536" t="s">
        <v>334</v>
      </c>
      <c r="F1536">
        <v>10</v>
      </c>
      <c r="G1536">
        <v>5.68103333333333</v>
      </c>
    </row>
    <row r="1537" spans="1:7" x14ac:dyDescent="0.35">
      <c r="A1537" t="s">
        <v>847</v>
      </c>
      <c r="B1537" t="s">
        <v>680</v>
      </c>
      <c r="C1537" s="83">
        <v>46038</v>
      </c>
      <c r="D1537" t="s">
        <v>683</v>
      </c>
      <c r="E1537" t="s">
        <v>298</v>
      </c>
      <c r="F1537">
        <v>29</v>
      </c>
      <c r="G1537">
        <v>49.1214333333333</v>
      </c>
    </row>
    <row r="1538" spans="1:7" x14ac:dyDescent="0.35">
      <c r="A1538" t="s">
        <v>847</v>
      </c>
      <c r="B1538" t="s">
        <v>680</v>
      </c>
      <c r="C1538" s="83">
        <v>46038</v>
      </c>
      <c r="D1538" t="s">
        <v>683</v>
      </c>
      <c r="E1538" t="s">
        <v>296</v>
      </c>
      <c r="F1538">
        <v>17</v>
      </c>
      <c r="G1538">
        <v>20.646533333333299</v>
      </c>
    </row>
    <row r="1539" spans="1:7" x14ac:dyDescent="0.35">
      <c r="A1539" t="s">
        <v>847</v>
      </c>
      <c r="B1539" t="s">
        <v>680</v>
      </c>
      <c r="C1539" s="83">
        <v>46038</v>
      </c>
      <c r="D1539" t="s">
        <v>683</v>
      </c>
      <c r="E1539" t="s">
        <v>334</v>
      </c>
      <c r="F1539">
        <v>5</v>
      </c>
      <c r="G1539">
        <v>5.8335833333333298</v>
      </c>
    </row>
    <row r="1540" spans="1:7" x14ac:dyDescent="0.35">
      <c r="A1540" t="s">
        <v>847</v>
      </c>
      <c r="B1540" t="s">
        <v>680</v>
      </c>
      <c r="C1540" s="83">
        <v>46038</v>
      </c>
      <c r="D1540" t="s">
        <v>689</v>
      </c>
      <c r="E1540" t="s">
        <v>296</v>
      </c>
      <c r="F1540">
        <v>29</v>
      </c>
      <c r="G1540">
        <v>15.6726333333333</v>
      </c>
    </row>
    <row r="1541" spans="1:7" x14ac:dyDescent="0.35">
      <c r="A1541" t="s">
        <v>847</v>
      </c>
      <c r="B1541" t="s">
        <v>680</v>
      </c>
      <c r="C1541" s="83">
        <v>46038</v>
      </c>
      <c r="D1541" t="s">
        <v>689</v>
      </c>
      <c r="E1541" t="s">
        <v>728</v>
      </c>
      <c r="F1541">
        <v>29</v>
      </c>
      <c r="G1541">
        <v>14.489100000000001</v>
      </c>
    </row>
    <row r="1542" spans="1:7" x14ac:dyDescent="0.35">
      <c r="A1542" t="s">
        <v>847</v>
      </c>
      <c r="B1542" t="s">
        <v>680</v>
      </c>
      <c r="C1542" s="83">
        <v>46038</v>
      </c>
      <c r="D1542" t="s">
        <v>689</v>
      </c>
      <c r="E1542" t="s">
        <v>298</v>
      </c>
      <c r="F1542">
        <v>27</v>
      </c>
      <c r="G1542">
        <v>24.519216666666701</v>
      </c>
    </row>
    <row r="1543" spans="1:7" x14ac:dyDescent="0.35">
      <c r="A1543" t="s">
        <v>847</v>
      </c>
      <c r="B1543" t="s">
        <v>680</v>
      </c>
      <c r="C1543" s="83">
        <v>46038</v>
      </c>
      <c r="D1543" t="s">
        <v>684</v>
      </c>
      <c r="E1543" t="s">
        <v>297</v>
      </c>
      <c r="F1543">
        <v>27</v>
      </c>
      <c r="G1543">
        <v>16.5011333333333</v>
      </c>
    </row>
    <row r="1544" spans="1:7" x14ac:dyDescent="0.35">
      <c r="A1544" t="s">
        <v>847</v>
      </c>
      <c r="B1544" t="s">
        <v>680</v>
      </c>
      <c r="C1544" s="83">
        <v>46038</v>
      </c>
      <c r="D1544" t="s">
        <v>684</v>
      </c>
      <c r="E1544" t="s">
        <v>298</v>
      </c>
      <c r="F1544">
        <v>16</v>
      </c>
      <c r="G1544">
        <v>27.651399999999999</v>
      </c>
    </row>
    <row r="1545" spans="1:7" x14ac:dyDescent="0.35">
      <c r="A1545" t="s">
        <v>847</v>
      </c>
      <c r="B1545" t="s">
        <v>680</v>
      </c>
      <c r="C1545" s="83">
        <v>46038</v>
      </c>
      <c r="D1545" t="s">
        <v>684</v>
      </c>
      <c r="E1545" t="s">
        <v>296</v>
      </c>
      <c r="F1545">
        <v>8</v>
      </c>
      <c r="G1545">
        <v>8.6464499999999997</v>
      </c>
    </row>
    <row r="1546" spans="1:7" x14ac:dyDescent="0.35">
      <c r="A1546" t="s">
        <v>847</v>
      </c>
      <c r="B1546" t="s">
        <v>680</v>
      </c>
      <c r="C1546" s="83">
        <v>46038</v>
      </c>
      <c r="D1546" t="s">
        <v>687</v>
      </c>
      <c r="E1546" t="s">
        <v>726</v>
      </c>
      <c r="F1546">
        <v>14</v>
      </c>
      <c r="G1546">
        <v>37.51585</v>
      </c>
    </row>
    <row r="1547" spans="1:7" x14ac:dyDescent="0.35">
      <c r="A1547" t="s">
        <v>847</v>
      </c>
      <c r="B1547" t="s">
        <v>680</v>
      </c>
      <c r="C1547" s="83">
        <v>46038</v>
      </c>
      <c r="D1547" t="s">
        <v>687</v>
      </c>
      <c r="E1547" t="s">
        <v>717</v>
      </c>
      <c r="F1547">
        <v>6</v>
      </c>
      <c r="G1547">
        <v>2.0062000000000002</v>
      </c>
    </row>
    <row r="1548" spans="1:7" x14ac:dyDescent="0.35">
      <c r="A1548" t="s">
        <v>847</v>
      </c>
      <c r="B1548" t="s">
        <v>680</v>
      </c>
      <c r="C1548" s="83">
        <v>46038</v>
      </c>
      <c r="D1548" t="s">
        <v>687</v>
      </c>
      <c r="E1548" t="s">
        <v>729</v>
      </c>
      <c r="F1548">
        <v>4</v>
      </c>
      <c r="G1548">
        <v>4.4904333333333302</v>
      </c>
    </row>
    <row r="1549" spans="1:7" x14ac:dyDescent="0.35">
      <c r="A1549" t="s">
        <v>847</v>
      </c>
      <c r="B1549" t="s">
        <v>680</v>
      </c>
      <c r="C1549" s="83">
        <v>46038</v>
      </c>
      <c r="D1549" t="s">
        <v>688</v>
      </c>
      <c r="E1549" t="s">
        <v>321</v>
      </c>
      <c r="F1549">
        <v>11</v>
      </c>
      <c r="G1549">
        <v>6.6797166666666703</v>
      </c>
    </row>
    <row r="1550" spans="1:7" x14ac:dyDescent="0.35">
      <c r="A1550" t="s">
        <v>847</v>
      </c>
      <c r="B1550" t="s">
        <v>680</v>
      </c>
      <c r="C1550" s="83">
        <v>46038</v>
      </c>
      <c r="D1550" t="s">
        <v>688</v>
      </c>
      <c r="E1550" t="s">
        <v>126</v>
      </c>
      <c r="F1550">
        <v>8</v>
      </c>
      <c r="G1550">
        <v>9.8561999999999994</v>
      </c>
    </row>
    <row r="1551" spans="1:7" x14ac:dyDescent="0.35">
      <c r="A1551" t="s">
        <v>847</v>
      </c>
      <c r="B1551" t="s">
        <v>680</v>
      </c>
      <c r="C1551" s="83">
        <v>46038</v>
      </c>
      <c r="D1551" t="s">
        <v>688</v>
      </c>
      <c r="E1551" t="s">
        <v>316</v>
      </c>
      <c r="F1551">
        <v>6</v>
      </c>
      <c r="G1551">
        <v>2.1683166666666698</v>
      </c>
    </row>
    <row r="1552" spans="1:7" x14ac:dyDescent="0.35">
      <c r="A1552" t="s">
        <v>847</v>
      </c>
      <c r="B1552" t="s">
        <v>680</v>
      </c>
      <c r="C1552" s="83">
        <v>46038</v>
      </c>
      <c r="D1552" t="s">
        <v>690</v>
      </c>
      <c r="E1552" t="s">
        <v>126</v>
      </c>
      <c r="F1552">
        <v>11</v>
      </c>
      <c r="G1552">
        <v>6.9732000000000003</v>
      </c>
    </row>
    <row r="1553" spans="1:7" x14ac:dyDescent="0.35">
      <c r="A1553" t="s">
        <v>847</v>
      </c>
      <c r="B1553" t="s">
        <v>680</v>
      </c>
      <c r="C1553" s="83">
        <v>46038</v>
      </c>
      <c r="D1553" t="s">
        <v>690</v>
      </c>
      <c r="E1553" t="s">
        <v>739</v>
      </c>
      <c r="F1553">
        <v>4</v>
      </c>
      <c r="G1553">
        <v>5.8344833333333304</v>
      </c>
    </row>
    <row r="1554" spans="1:7" x14ac:dyDescent="0.35">
      <c r="A1554" t="s">
        <v>847</v>
      </c>
      <c r="B1554" t="s">
        <v>680</v>
      </c>
      <c r="C1554" s="83">
        <v>46038</v>
      </c>
      <c r="D1554" t="s">
        <v>690</v>
      </c>
      <c r="E1554" t="s">
        <v>720</v>
      </c>
      <c r="F1554">
        <v>3</v>
      </c>
      <c r="G1554">
        <v>2.1682333333333301</v>
      </c>
    </row>
    <row r="1555" spans="1:7" x14ac:dyDescent="0.35">
      <c r="A1555" t="s">
        <v>847</v>
      </c>
      <c r="B1555" t="s">
        <v>680</v>
      </c>
      <c r="C1555" s="83">
        <v>46038</v>
      </c>
      <c r="D1555" t="s">
        <v>685</v>
      </c>
      <c r="E1555" t="s">
        <v>311</v>
      </c>
      <c r="F1555">
        <v>6</v>
      </c>
      <c r="G1555">
        <v>4.1685333333333299</v>
      </c>
    </row>
    <row r="1556" spans="1:7" x14ac:dyDescent="0.35">
      <c r="A1556" t="s">
        <v>847</v>
      </c>
      <c r="B1556" t="s">
        <v>680</v>
      </c>
      <c r="C1556" s="83">
        <v>46038</v>
      </c>
      <c r="D1556" t="s">
        <v>685</v>
      </c>
      <c r="E1556" t="s">
        <v>720</v>
      </c>
      <c r="F1556">
        <v>3</v>
      </c>
      <c r="G1556">
        <v>2.1608166666666699</v>
      </c>
    </row>
    <row r="1557" spans="1:7" x14ac:dyDescent="0.35">
      <c r="A1557" t="s">
        <v>847</v>
      </c>
      <c r="B1557" t="s">
        <v>680</v>
      </c>
      <c r="C1557" s="83">
        <v>46038</v>
      </c>
      <c r="D1557" t="s">
        <v>685</v>
      </c>
      <c r="E1557" t="s">
        <v>725</v>
      </c>
      <c r="F1557">
        <v>2</v>
      </c>
      <c r="G1557">
        <v>0.33353333333333302</v>
      </c>
    </row>
    <row r="1558" spans="1:7" x14ac:dyDescent="0.35">
      <c r="A1558" t="s">
        <v>847</v>
      </c>
      <c r="B1558" t="s">
        <v>680</v>
      </c>
      <c r="C1558" s="83">
        <v>46039</v>
      </c>
      <c r="D1558" t="s">
        <v>681</v>
      </c>
      <c r="E1558" t="s">
        <v>298</v>
      </c>
      <c r="F1558">
        <v>25</v>
      </c>
      <c r="G1558">
        <v>31.644383333333302</v>
      </c>
    </row>
    <row r="1559" spans="1:7" x14ac:dyDescent="0.35">
      <c r="A1559" t="s">
        <v>847</v>
      </c>
      <c r="B1559" t="s">
        <v>680</v>
      </c>
      <c r="C1559" s="83">
        <v>46039</v>
      </c>
      <c r="D1559" t="s">
        <v>681</v>
      </c>
      <c r="E1559" t="s">
        <v>727</v>
      </c>
      <c r="F1559">
        <v>18</v>
      </c>
      <c r="G1559">
        <v>3.5008166666666698</v>
      </c>
    </row>
    <row r="1560" spans="1:7" x14ac:dyDescent="0.35">
      <c r="A1560" t="s">
        <v>847</v>
      </c>
      <c r="B1560" t="s">
        <v>680</v>
      </c>
      <c r="C1560" s="83">
        <v>46039</v>
      </c>
      <c r="D1560" t="s">
        <v>681</v>
      </c>
      <c r="E1560" t="s">
        <v>332</v>
      </c>
      <c r="F1560">
        <v>13</v>
      </c>
      <c r="G1560">
        <v>11.8265166666667</v>
      </c>
    </row>
    <row r="1561" spans="1:7" x14ac:dyDescent="0.35">
      <c r="A1561" t="s">
        <v>847</v>
      </c>
      <c r="B1561" t="s">
        <v>680</v>
      </c>
      <c r="C1561" s="83">
        <v>46039</v>
      </c>
      <c r="D1561" t="s">
        <v>683</v>
      </c>
      <c r="E1561" t="s">
        <v>296</v>
      </c>
      <c r="F1561">
        <v>15</v>
      </c>
      <c r="G1561">
        <v>4.4912000000000001</v>
      </c>
    </row>
    <row r="1562" spans="1:7" x14ac:dyDescent="0.35">
      <c r="A1562" t="s">
        <v>847</v>
      </c>
      <c r="B1562" t="s">
        <v>680</v>
      </c>
      <c r="C1562" s="83">
        <v>46039</v>
      </c>
      <c r="D1562" t="s">
        <v>683</v>
      </c>
      <c r="E1562" t="s">
        <v>298</v>
      </c>
      <c r="F1562">
        <v>7</v>
      </c>
      <c r="G1562">
        <v>1.8387833333333301</v>
      </c>
    </row>
    <row r="1563" spans="1:7" x14ac:dyDescent="0.35">
      <c r="A1563" t="s">
        <v>847</v>
      </c>
      <c r="B1563" t="s">
        <v>680</v>
      </c>
      <c r="C1563" s="83">
        <v>46039</v>
      </c>
      <c r="D1563" t="s">
        <v>683</v>
      </c>
      <c r="E1563" t="s">
        <v>334</v>
      </c>
      <c r="F1563">
        <v>4</v>
      </c>
      <c r="G1563">
        <v>38.828566666666703</v>
      </c>
    </row>
    <row r="1564" spans="1:7" x14ac:dyDescent="0.35">
      <c r="A1564" t="s">
        <v>847</v>
      </c>
      <c r="B1564" t="s">
        <v>680</v>
      </c>
      <c r="C1564" s="83">
        <v>46039</v>
      </c>
      <c r="D1564" t="s">
        <v>689</v>
      </c>
      <c r="E1564" t="s">
        <v>296</v>
      </c>
      <c r="F1564">
        <v>38</v>
      </c>
      <c r="G1564">
        <v>11.286583333333301</v>
      </c>
    </row>
    <row r="1565" spans="1:7" x14ac:dyDescent="0.35">
      <c r="A1565" t="s">
        <v>847</v>
      </c>
      <c r="B1565" t="s">
        <v>680</v>
      </c>
      <c r="C1565" s="83">
        <v>46039</v>
      </c>
      <c r="D1565" t="s">
        <v>689</v>
      </c>
      <c r="E1565" t="s">
        <v>298</v>
      </c>
      <c r="F1565">
        <v>28</v>
      </c>
      <c r="G1565">
        <v>24.981266666666698</v>
      </c>
    </row>
    <row r="1566" spans="1:7" x14ac:dyDescent="0.35">
      <c r="A1566" t="s">
        <v>847</v>
      </c>
      <c r="B1566" t="s">
        <v>680</v>
      </c>
      <c r="C1566" s="83">
        <v>46039</v>
      </c>
      <c r="D1566" t="s">
        <v>689</v>
      </c>
      <c r="E1566" t="s">
        <v>297</v>
      </c>
      <c r="F1566">
        <v>23</v>
      </c>
      <c r="G1566">
        <v>5.9888000000000003</v>
      </c>
    </row>
    <row r="1567" spans="1:7" x14ac:dyDescent="0.35">
      <c r="A1567" t="s">
        <v>847</v>
      </c>
      <c r="B1567" t="s">
        <v>680</v>
      </c>
      <c r="C1567" s="83">
        <v>46039</v>
      </c>
      <c r="D1567" t="s">
        <v>684</v>
      </c>
      <c r="E1567" t="s">
        <v>298</v>
      </c>
      <c r="F1567">
        <v>9</v>
      </c>
      <c r="G1567">
        <v>40.165866666666702</v>
      </c>
    </row>
    <row r="1568" spans="1:7" x14ac:dyDescent="0.35">
      <c r="A1568" t="s">
        <v>847</v>
      </c>
      <c r="B1568" t="s">
        <v>680</v>
      </c>
      <c r="C1568" s="83">
        <v>46039</v>
      </c>
      <c r="D1568" t="s">
        <v>684</v>
      </c>
      <c r="E1568" t="s">
        <v>297</v>
      </c>
      <c r="F1568">
        <v>4</v>
      </c>
      <c r="G1568">
        <v>1.3264833333333299</v>
      </c>
    </row>
    <row r="1569" spans="1:7" x14ac:dyDescent="0.35">
      <c r="A1569" t="s">
        <v>847</v>
      </c>
      <c r="B1569" t="s">
        <v>680</v>
      </c>
      <c r="C1569" s="83">
        <v>46039</v>
      </c>
      <c r="D1569" t="s">
        <v>684</v>
      </c>
      <c r="E1569" t="s">
        <v>296</v>
      </c>
      <c r="F1569">
        <v>4</v>
      </c>
      <c r="G1569">
        <v>0.83396666666666697</v>
      </c>
    </row>
    <row r="1570" spans="1:7" x14ac:dyDescent="0.35">
      <c r="A1570" t="s">
        <v>847</v>
      </c>
      <c r="B1570" t="s">
        <v>680</v>
      </c>
      <c r="C1570" s="83">
        <v>46039</v>
      </c>
      <c r="D1570" t="s">
        <v>687</v>
      </c>
      <c r="E1570" t="s">
        <v>717</v>
      </c>
      <c r="F1570">
        <v>6</v>
      </c>
      <c r="G1570">
        <v>2.6614</v>
      </c>
    </row>
    <row r="1571" spans="1:7" x14ac:dyDescent="0.35">
      <c r="A1571" t="s">
        <v>847</v>
      </c>
      <c r="B1571" t="s">
        <v>680</v>
      </c>
      <c r="C1571" s="83">
        <v>46039</v>
      </c>
      <c r="D1571" t="s">
        <v>687</v>
      </c>
      <c r="E1571" t="s">
        <v>733</v>
      </c>
      <c r="F1571">
        <v>5</v>
      </c>
      <c r="G1571">
        <v>1.99465</v>
      </c>
    </row>
    <row r="1572" spans="1:7" x14ac:dyDescent="0.35">
      <c r="A1572" t="s">
        <v>847</v>
      </c>
      <c r="B1572" t="s">
        <v>680</v>
      </c>
      <c r="C1572" s="83">
        <v>46039</v>
      </c>
      <c r="D1572" t="s">
        <v>687</v>
      </c>
      <c r="E1572" t="s">
        <v>729</v>
      </c>
      <c r="F1572">
        <v>4</v>
      </c>
      <c r="G1572">
        <v>1.5031333333333301</v>
      </c>
    </row>
    <row r="1573" spans="1:7" x14ac:dyDescent="0.35">
      <c r="A1573" t="s">
        <v>847</v>
      </c>
      <c r="B1573" t="s">
        <v>680</v>
      </c>
      <c r="C1573" s="83">
        <v>46039</v>
      </c>
      <c r="D1573" t="s">
        <v>688</v>
      </c>
      <c r="E1573" t="s">
        <v>311</v>
      </c>
      <c r="F1573">
        <v>10</v>
      </c>
      <c r="G1573">
        <v>7.1632999999999996</v>
      </c>
    </row>
    <row r="1574" spans="1:7" x14ac:dyDescent="0.35">
      <c r="A1574" t="s">
        <v>847</v>
      </c>
      <c r="B1574" t="s">
        <v>680</v>
      </c>
      <c r="C1574" s="83">
        <v>46039</v>
      </c>
      <c r="D1574" t="s">
        <v>688</v>
      </c>
      <c r="E1574" t="s">
        <v>312</v>
      </c>
      <c r="F1574">
        <v>6</v>
      </c>
      <c r="G1574">
        <v>1.83463333333333</v>
      </c>
    </row>
    <row r="1575" spans="1:7" x14ac:dyDescent="0.35">
      <c r="A1575" t="s">
        <v>847</v>
      </c>
      <c r="B1575" t="s">
        <v>680</v>
      </c>
      <c r="C1575" s="83">
        <v>46039</v>
      </c>
      <c r="D1575" t="s">
        <v>688</v>
      </c>
      <c r="E1575" t="s">
        <v>338</v>
      </c>
      <c r="F1575">
        <v>5</v>
      </c>
      <c r="G1575">
        <v>2.5009333333333301</v>
      </c>
    </row>
    <row r="1576" spans="1:7" x14ac:dyDescent="0.35">
      <c r="A1576" t="s">
        <v>847</v>
      </c>
      <c r="B1576" t="s">
        <v>680</v>
      </c>
      <c r="C1576" s="83">
        <v>46039</v>
      </c>
      <c r="D1576" t="s">
        <v>690</v>
      </c>
      <c r="E1576" t="s">
        <v>640</v>
      </c>
      <c r="F1576">
        <v>7</v>
      </c>
      <c r="G1576">
        <v>5.8421333333333303</v>
      </c>
    </row>
    <row r="1577" spans="1:7" x14ac:dyDescent="0.35">
      <c r="A1577" t="s">
        <v>847</v>
      </c>
      <c r="B1577" t="s">
        <v>680</v>
      </c>
      <c r="C1577" s="83">
        <v>46039</v>
      </c>
      <c r="D1577" t="s">
        <v>690</v>
      </c>
      <c r="E1577" t="s">
        <v>739</v>
      </c>
      <c r="F1577">
        <v>5</v>
      </c>
      <c r="G1577">
        <v>5.6593</v>
      </c>
    </row>
    <row r="1578" spans="1:7" x14ac:dyDescent="0.35">
      <c r="A1578" t="s">
        <v>847</v>
      </c>
      <c r="B1578" t="s">
        <v>680</v>
      </c>
      <c r="C1578" s="83">
        <v>46039</v>
      </c>
      <c r="D1578" t="s">
        <v>690</v>
      </c>
      <c r="E1578" t="s">
        <v>126</v>
      </c>
      <c r="F1578">
        <v>4</v>
      </c>
      <c r="G1578">
        <v>3.16631666666667</v>
      </c>
    </row>
    <row r="1579" spans="1:7" x14ac:dyDescent="0.35">
      <c r="A1579" t="s">
        <v>847</v>
      </c>
      <c r="B1579" t="s">
        <v>680</v>
      </c>
      <c r="C1579" s="83">
        <v>46039</v>
      </c>
      <c r="D1579" t="s">
        <v>685</v>
      </c>
      <c r="E1579" t="s">
        <v>311</v>
      </c>
      <c r="F1579">
        <v>4</v>
      </c>
      <c r="G1579">
        <v>3.4994499999999999</v>
      </c>
    </row>
    <row r="1580" spans="1:7" x14ac:dyDescent="0.35">
      <c r="A1580" t="s">
        <v>847</v>
      </c>
      <c r="B1580" t="s">
        <v>680</v>
      </c>
      <c r="C1580" s="83">
        <v>46039</v>
      </c>
      <c r="D1580" t="s">
        <v>685</v>
      </c>
      <c r="E1580" t="s">
        <v>720</v>
      </c>
      <c r="F1580">
        <v>4</v>
      </c>
      <c r="G1580">
        <v>3.8335333333333299</v>
      </c>
    </row>
    <row r="1581" spans="1:7" x14ac:dyDescent="0.35">
      <c r="A1581" t="s">
        <v>847</v>
      </c>
      <c r="B1581" t="s">
        <v>680</v>
      </c>
      <c r="C1581" s="83">
        <v>46039</v>
      </c>
      <c r="D1581" t="s">
        <v>685</v>
      </c>
      <c r="E1581" t="s">
        <v>322</v>
      </c>
      <c r="F1581">
        <v>3</v>
      </c>
      <c r="G1581">
        <v>1.16035</v>
      </c>
    </row>
    <row r="1582" spans="1:7" x14ac:dyDescent="0.35">
      <c r="A1582" t="s">
        <v>847</v>
      </c>
      <c r="B1582" t="s">
        <v>680</v>
      </c>
      <c r="C1582" s="83">
        <v>46040</v>
      </c>
      <c r="D1582" t="s">
        <v>681</v>
      </c>
      <c r="E1582" t="s">
        <v>298</v>
      </c>
      <c r="F1582">
        <v>17</v>
      </c>
      <c r="G1582">
        <v>16.004300000000001</v>
      </c>
    </row>
    <row r="1583" spans="1:7" x14ac:dyDescent="0.35">
      <c r="A1583" t="s">
        <v>847</v>
      </c>
      <c r="B1583" t="s">
        <v>680</v>
      </c>
      <c r="C1583" s="83">
        <v>46040</v>
      </c>
      <c r="D1583" t="s">
        <v>681</v>
      </c>
      <c r="E1583" t="s">
        <v>332</v>
      </c>
      <c r="F1583">
        <v>16</v>
      </c>
      <c r="G1583">
        <v>19.980333333333299</v>
      </c>
    </row>
    <row r="1584" spans="1:7" x14ac:dyDescent="0.35">
      <c r="A1584" t="s">
        <v>847</v>
      </c>
      <c r="B1584" t="s">
        <v>680</v>
      </c>
      <c r="C1584" s="83">
        <v>46040</v>
      </c>
      <c r="D1584" t="s">
        <v>681</v>
      </c>
      <c r="E1584" t="s">
        <v>727</v>
      </c>
      <c r="F1584">
        <v>11</v>
      </c>
      <c r="G1584">
        <v>4.9986499999999996</v>
      </c>
    </row>
    <row r="1585" spans="1:7" x14ac:dyDescent="0.35">
      <c r="A1585" t="s">
        <v>847</v>
      </c>
      <c r="B1585" t="s">
        <v>680</v>
      </c>
      <c r="C1585" s="83">
        <v>46040</v>
      </c>
      <c r="D1585" t="s">
        <v>683</v>
      </c>
      <c r="E1585" t="s">
        <v>296</v>
      </c>
      <c r="F1585">
        <v>8</v>
      </c>
      <c r="G1585">
        <v>3.3322166666666702</v>
      </c>
    </row>
    <row r="1586" spans="1:7" x14ac:dyDescent="0.35">
      <c r="A1586" t="s">
        <v>847</v>
      </c>
      <c r="B1586" t="s">
        <v>680</v>
      </c>
      <c r="C1586" s="83">
        <v>46040</v>
      </c>
      <c r="D1586" t="s">
        <v>683</v>
      </c>
      <c r="E1586" t="s">
        <v>300</v>
      </c>
      <c r="F1586">
        <v>8</v>
      </c>
      <c r="G1586">
        <v>6.4930666666666701</v>
      </c>
    </row>
    <row r="1587" spans="1:7" x14ac:dyDescent="0.35">
      <c r="A1587" t="s">
        <v>847</v>
      </c>
      <c r="B1587" t="s">
        <v>680</v>
      </c>
      <c r="C1587" s="83">
        <v>46040</v>
      </c>
      <c r="D1587" t="s">
        <v>683</v>
      </c>
      <c r="E1587" t="s">
        <v>298</v>
      </c>
      <c r="F1587">
        <v>5</v>
      </c>
      <c r="G1587">
        <v>7.1748166666666702</v>
      </c>
    </row>
    <row r="1588" spans="1:7" x14ac:dyDescent="0.35">
      <c r="A1588" t="s">
        <v>847</v>
      </c>
      <c r="B1588" t="s">
        <v>680</v>
      </c>
      <c r="C1588" s="83">
        <v>46040</v>
      </c>
      <c r="D1588" t="s">
        <v>689</v>
      </c>
      <c r="E1588" t="s">
        <v>298</v>
      </c>
      <c r="F1588">
        <v>17</v>
      </c>
      <c r="G1588">
        <v>17.840216666666699</v>
      </c>
    </row>
    <row r="1589" spans="1:7" x14ac:dyDescent="0.35">
      <c r="A1589" t="s">
        <v>847</v>
      </c>
      <c r="B1589" t="s">
        <v>680</v>
      </c>
      <c r="C1589" s="83">
        <v>46040</v>
      </c>
      <c r="D1589" t="s">
        <v>689</v>
      </c>
      <c r="E1589" t="s">
        <v>296</v>
      </c>
      <c r="F1589">
        <v>14</v>
      </c>
      <c r="G1589">
        <v>7.1397666666666701</v>
      </c>
    </row>
    <row r="1590" spans="1:7" x14ac:dyDescent="0.35">
      <c r="A1590" t="s">
        <v>847</v>
      </c>
      <c r="B1590" t="s">
        <v>680</v>
      </c>
      <c r="C1590" s="83">
        <v>46040</v>
      </c>
      <c r="D1590" t="s">
        <v>689</v>
      </c>
      <c r="E1590" t="s">
        <v>300</v>
      </c>
      <c r="F1590">
        <v>13</v>
      </c>
      <c r="G1590">
        <v>11.6590333333333</v>
      </c>
    </row>
    <row r="1591" spans="1:7" x14ac:dyDescent="0.35">
      <c r="A1591" t="s">
        <v>847</v>
      </c>
      <c r="B1591" t="s">
        <v>680</v>
      </c>
      <c r="C1591" s="83">
        <v>46040</v>
      </c>
      <c r="D1591" t="s">
        <v>684</v>
      </c>
      <c r="E1591" t="s">
        <v>298</v>
      </c>
      <c r="F1591">
        <v>15</v>
      </c>
      <c r="G1591">
        <v>16.3368</v>
      </c>
    </row>
    <row r="1592" spans="1:7" x14ac:dyDescent="0.35">
      <c r="A1592" t="s">
        <v>847</v>
      </c>
      <c r="B1592" t="s">
        <v>680</v>
      </c>
      <c r="C1592" s="83">
        <v>46040</v>
      </c>
      <c r="D1592" t="s">
        <v>684</v>
      </c>
      <c r="E1592" t="s">
        <v>297</v>
      </c>
      <c r="F1592">
        <v>9</v>
      </c>
      <c r="G1592">
        <v>3.4986999999999999</v>
      </c>
    </row>
    <row r="1593" spans="1:7" x14ac:dyDescent="0.35">
      <c r="A1593" t="s">
        <v>847</v>
      </c>
      <c r="B1593" t="s">
        <v>680</v>
      </c>
      <c r="C1593" s="83">
        <v>46040</v>
      </c>
      <c r="D1593" t="s">
        <v>684</v>
      </c>
      <c r="E1593" t="s">
        <v>740</v>
      </c>
      <c r="F1593">
        <v>6</v>
      </c>
      <c r="G1593">
        <v>3.8343333333333298</v>
      </c>
    </row>
    <row r="1594" spans="1:7" x14ac:dyDescent="0.35">
      <c r="A1594" t="s">
        <v>847</v>
      </c>
      <c r="B1594" t="s">
        <v>680</v>
      </c>
      <c r="C1594" s="83">
        <v>46040</v>
      </c>
      <c r="D1594" t="s">
        <v>687</v>
      </c>
      <c r="E1594" t="s">
        <v>726</v>
      </c>
      <c r="F1594">
        <v>5</v>
      </c>
      <c r="G1594">
        <v>9.3292000000000002</v>
      </c>
    </row>
    <row r="1595" spans="1:7" x14ac:dyDescent="0.35">
      <c r="A1595" t="s">
        <v>847</v>
      </c>
      <c r="B1595" t="s">
        <v>680</v>
      </c>
      <c r="C1595" s="83">
        <v>46040</v>
      </c>
      <c r="D1595" t="s">
        <v>687</v>
      </c>
      <c r="E1595" t="s">
        <v>729</v>
      </c>
      <c r="F1595">
        <v>3</v>
      </c>
      <c r="G1595">
        <v>1.3321833333333299</v>
      </c>
    </row>
    <row r="1596" spans="1:7" x14ac:dyDescent="0.35">
      <c r="A1596" t="s">
        <v>847</v>
      </c>
      <c r="B1596" t="s">
        <v>680</v>
      </c>
      <c r="C1596" s="83">
        <v>46040</v>
      </c>
      <c r="D1596" t="s">
        <v>687</v>
      </c>
      <c r="E1596" t="s">
        <v>718</v>
      </c>
      <c r="F1596">
        <v>3</v>
      </c>
      <c r="G1596">
        <v>0.333683333333333</v>
      </c>
    </row>
    <row r="1597" spans="1:7" x14ac:dyDescent="0.35">
      <c r="A1597" t="s">
        <v>847</v>
      </c>
      <c r="B1597" t="s">
        <v>680</v>
      </c>
      <c r="C1597" s="83">
        <v>46040</v>
      </c>
      <c r="D1597" t="s">
        <v>688</v>
      </c>
      <c r="E1597" t="s">
        <v>316</v>
      </c>
      <c r="F1597">
        <v>10</v>
      </c>
      <c r="G1597">
        <v>3.4858333333333298</v>
      </c>
    </row>
    <row r="1598" spans="1:7" x14ac:dyDescent="0.35">
      <c r="A1598" t="s">
        <v>847</v>
      </c>
      <c r="B1598" t="s">
        <v>680</v>
      </c>
      <c r="C1598" s="83">
        <v>46040</v>
      </c>
      <c r="D1598" t="s">
        <v>688</v>
      </c>
      <c r="E1598" t="s">
        <v>321</v>
      </c>
      <c r="F1598">
        <v>8</v>
      </c>
      <c r="G1598">
        <v>3.17133333333333</v>
      </c>
    </row>
    <row r="1599" spans="1:7" x14ac:dyDescent="0.35">
      <c r="A1599" t="s">
        <v>847</v>
      </c>
      <c r="B1599" t="s">
        <v>680</v>
      </c>
      <c r="C1599" s="83">
        <v>46040</v>
      </c>
      <c r="D1599" t="s">
        <v>688</v>
      </c>
      <c r="E1599" t="s">
        <v>311</v>
      </c>
      <c r="F1599">
        <v>6</v>
      </c>
      <c r="G1599">
        <v>2.1665666666666699</v>
      </c>
    </row>
    <row r="1600" spans="1:7" x14ac:dyDescent="0.35">
      <c r="A1600" t="s">
        <v>847</v>
      </c>
      <c r="B1600" t="s">
        <v>680</v>
      </c>
      <c r="C1600" s="83">
        <v>46040</v>
      </c>
      <c r="D1600" t="s">
        <v>690</v>
      </c>
      <c r="E1600" t="s">
        <v>312</v>
      </c>
      <c r="F1600">
        <v>8</v>
      </c>
      <c r="G1600">
        <v>59.326433333333298</v>
      </c>
    </row>
    <row r="1601" spans="1:7" x14ac:dyDescent="0.35">
      <c r="A1601" t="s">
        <v>847</v>
      </c>
      <c r="B1601" t="s">
        <v>680</v>
      </c>
      <c r="C1601" s="83">
        <v>46040</v>
      </c>
      <c r="D1601" t="s">
        <v>690</v>
      </c>
      <c r="E1601" t="s">
        <v>126</v>
      </c>
      <c r="F1601">
        <v>7</v>
      </c>
      <c r="G1601">
        <v>10.3325</v>
      </c>
    </row>
    <row r="1602" spans="1:7" x14ac:dyDescent="0.35">
      <c r="A1602" t="s">
        <v>847</v>
      </c>
      <c r="B1602" t="s">
        <v>680</v>
      </c>
      <c r="C1602" s="83">
        <v>46040</v>
      </c>
      <c r="D1602" t="s">
        <v>690</v>
      </c>
      <c r="E1602" t="s">
        <v>723</v>
      </c>
      <c r="F1602">
        <v>3</v>
      </c>
      <c r="G1602">
        <v>1.83233333333333</v>
      </c>
    </row>
    <row r="1603" spans="1:7" x14ac:dyDescent="0.35">
      <c r="A1603" t="s">
        <v>847</v>
      </c>
      <c r="B1603" t="s">
        <v>680</v>
      </c>
      <c r="C1603" s="83">
        <v>46040</v>
      </c>
      <c r="D1603" t="s">
        <v>685</v>
      </c>
      <c r="E1603" t="s">
        <v>311</v>
      </c>
      <c r="F1603">
        <v>4</v>
      </c>
      <c r="G1603">
        <v>3.8385500000000001</v>
      </c>
    </row>
    <row r="1604" spans="1:7" x14ac:dyDescent="0.35">
      <c r="A1604" t="s">
        <v>847</v>
      </c>
      <c r="B1604" t="s">
        <v>680</v>
      </c>
      <c r="C1604" s="83">
        <v>46040</v>
      </c>
      <c r="D1604" t="s">
        <v>685</v>
      </c>
      <c r="E1604" t="s">
        <v>720</v>
      </c>
      <c r="F1604">
        <v>4</v>
      </c>
      <c r="G1604">
        <v>2.1669833333333299</v>
      </c>
    </row>
    <row r="1605" spans="1:7" x14ac:dyDescent="0.35">
      <c r="A1605" t="s">
        <v>847</v>
      </c>
      <c r="B1605" t="s">
        <v>680</v>
      </c>
      <c r="C1605" s="83">
        <v>46040</v>
      </c>
      <c r="D1605" t="s">
        <v>685</v>
      </c>
      <c r="E1605" t="s">
        <v>316</v>
      </c>
      <c r="F1605">
        <v>2</v>
      </c>
      <c r="G1605">
        <v>0.499983333333333</v>
      </c>
    </row>
    <row r="1606" spans="1:7" x14ac:dyDescent="0.35">
      <c r="A1606" t="s">
        <v>847</v>
      </c>
      <c r="B1606" t="s">
        <v>680</v>
      </c>
      <c r="C1606" s="83">
        <v>46041</v>
      </c>
      <c r="D1606" t="s">
        <v>681</v>
      </c>
      <c r="E1606" t="s">
        <v>298</v>
      </c>
      <c r="F1606">
        <v>16</v>
      </c>
      <c r="G1606">
        <v>15.5247166666667</v>
      </c>
    </row>
    <row r="1607" spans="1:7" x14ac:dyDescent="0.35">
      <c r="A1607" t="s">
        <v>847</v>
      </c>
      <c r="B1607" t="s">
        <v>680</v>
      </c>
      <c r="C1607" s="83">
        <v>46041</v>
      </c>
      <c r="D1607" t="s">
        <v>681</v>
      </c>
      <c r="E1607" t="s">
        <v>332</v>
      </c>
      <c r="F1607">
        <v>12</v>
      </c>
      <c r="G1607">
        <v>12.668950000000001</v>
      </c>
    </row>
    <row r="1608" spans="1:7" x14ac:dyDescent="0.35">
      <c r="A1608" t="s">
        <v>847</v>
      </c>
      <c r="B1608" t="s">
        <v>680</v>
      </c>
      <c r="C1608" s="83">
        <v>46041</v>
      </c>
      <c r="D1608" t="s">
        <v>681</v>
      </c>
      <c r="E1608" t="s">
        <v>296</v>
      </c>
      <c r="F1608">
        <v>7</v>
      </c>
      <c r="G1608">
        <v>1.4983500000000001</v>
      </c>
    </row>
    <row r="1609" spans="1:7" x14ac:dyDescent="0.35">
      <c r="A1609" t="s">
        <v>847</v>
      </c>
      <c r="B1609" t="s">
        <v>680</v>
      </c>
      <c r="C1609" s="83">
        <v>46041</v>
      </c>
      <c r="D1609" t="s">
        <v>683</v>
      </c>
      <c r="E1609" t="s">
        <v>296</v>
      </c>
      <c r="F1609">
        <v>25</v>
      </c>
      <c r="G1609">
        <v>8.8220166666666699</v>
      </c>
    </row>
    <row r="1610" spans="1:7" x14ac:dyDescent="0.35">
      <c r="A1610" t="s">
        <v>847</v>
      </c>
      <c r="B1610" t="s">
        <v>680</v>
      </c>
      <c r="C1610" s="83">
        <v>46041</v>
      </c>
      <c r="D1610" t="s">
        <v>683</v>
      </c>
      <c r="E1610" t="s">
        <v>300</v>
      </c>
      <c r="F1610">
        <v>6</v>
      </c>
      <c r="G1610">
        <v>3.0024666666666699</v>
      </c>
    </row>
    <row r="1611" spans="1:7" x14ac:dyDescent="0.35">
      <c r="A1611" t="s">
        <v>847</v>
      </c>
      <c r="B1611" t="s">
        <v>680</v>
      </c>
      <c r="C1611" s="83">
        <v>46041</v>
      </c>
      <c r="D1611" t="s">
        <v>683</v>
      </c>
      <c r="E1611" t="s">
        <v>298</v>
      </c>
      <c r="F1611">
        <v>4</v>
      </c>
      <c r="G1611">
        <v>4.8191666666666704</v>
      </c>
    </row>
    <row r="1612" spans="1:7" x14ac:dyDescent="0.35">
      <c r="A1612" t="s">
        <v>847</v>
      </c>
      <c r="B1612" t="s">
        <v>680</v>
      </c>
      <c r="C1612" s="83">
        <v>46041</v>
      </c>
      <c r="D1612" t="s">
        <v>689</v>
      </c>
      <c r="E1612" t="s">
        <v>298</v>
      </c>
      <c r="F1612">
        <v>19</v>
      </c>
      <c r="G1612">
        <v>23.992366666666701</v>
      </c>
    </row>
    <row r="1613" spans="1:7" x14ac:dyDescent="0.35">
      <c r="A1613" t="s">
        <v>847</v>
      </c>
      <c r="B1613" t="s">
        <v>680</v>
      </c>
      <c r="C1613" s="83">
        <v>46041</v>
      </c>
      <c r="D1613" t="s">
        <v>689</v>
      </c>
      <c r="E1613" t="s">
        <v>296</v>
      </c>
      <c r="F1613">
        <v>19</v>
      </c>
      <c r="G1613">
        <v>9.0138833333333306</v>
      </c>
    </row>
    <row r="1614" spans="1:7" x14ac:dyDescent="0.35">
      <c r="A1614" t="s">
        <v>847</v>
      </c>
      <c r="B1614" t="s">
        <v>680</v>
      </c>
      <c r="C1614" s="83">
        <v>46041</v>
      </c>
      <c r="D1614" t="s">
        <v>689</v>
      </c>
      <c r="E1614" t="s">
        <v>727</v>
      </c>
      <c r="F1614">
        <v>10</v>
      </c>
      <c r="G1614">
        <v>13.507</v>
      </c>
    </row>
    <row r="1615" spans="1:7" x14ac:dyDescent="0.35">
      <c r="A1615" t="s">
        <v>847</v>
      </c>
      <c r="B1615" t="s">
        <v>680</v>
      </c>
      <c r="C1615" s="83">
        <v>46041</v>
      </c>
      <c r="D1615" t="s">
        <v>684</v>
      </c>
      <c r="E1615" t="s">
        <v>300</v>
      </c>
      <c r="F1615">
        <v>5</v>
      </c>
      <c r="G1615">
        <v>2.1547166666666699</v>
      </c>
    </row>
    <row r="1616" spans="1:7" x14ac:dyDescent="0.35">
      <c r="A1616" t="s">
        <v>847</v>
      </c>
      <c r="B1616" t="s">
        <v>680</v>
      </c>
      <c r="C1616" s="83">
        <v>46041</v>
      </c>
      <c r="D1616" t="s">
        <v>684</v>
      </c>
      <c r="E1616" t="s">
        <v>730</v>
      </c>
      <c r="F1616">
        <v>3</v>
      </c>
      <c r="G1616">
        <v>2.16868333333333</v>
      </c>
    </row>
    <row r="1617" spans="1:7" x14ac:dyDescent="0.35">
      <c r="A1617" t="s">
        <v>847</v>
      </c>
      <c r="B1617" t="s">
        <v>680</v>
      </c>
      <c r="C1617" s="83">
        <v>46041</v>
      </c>
      <c r="D1617" t="s">
        <v>684</v>
      </c>
      <c r="E1617" t="s">
        <v>298</v>
      </c>
      <c r="F1617">
        <v>3</v>
      </c>
      <c r="G1617">
        <v>1.17405</v>
      </c>
    </row>
    <row r="1618" spans="1:7" x14ac:dyDescent="0.35">
      <c r="A1618" t="s">
        <v>847</v>
      </c>
      <c r="B1618" t="s">
        <v>680</v>
      </c>
      <c r="C1618" s="83">
        <v>46041</v>
      </c>
      <c r="D1618" t="s">
        <v>687</v>
      </c>
      <c r="E1618" t="s">
        <v>717</v>
      </c>
      <c r="F1618">
        <v>6</v>
      </c>
      <c r="G1618">
        <v>1.486</v>
      </c>
    </row>
    <row r="1619" spans="1:7" x14ac:dyDescent="0.35">
      <c r="A1619" t="s">
        <v>847</v>
      </c>
      <c r="B1619" t="s">
        <v>680</v>
      </c>
      <c r="C1619" s="83">
        <v>46041</v>
      </c>
      <c r="D1619" t="s">
        <v>687</v>
      </c>
      <c r="E1619" t="s">
        <v>726</v>
      </c>
      <c r="F1619">
        <v>6</v>
      </c>
      <c r="G1619">
        <v>10.993833333333299</v>
      </c>
    </row>
    <row r="1620" spans="1:7" x14ac:dyDescent="0.35">
      <c r="A1620" t="s">
        <v>847</v>
      </c>
      <c r="B1620" t="s">
        <v>680</v>
      </c>
      <c r="C1620" s="83">
        <v>46041</v>
      </c>
      <c r="D1620" t="s">
        <v>687</v>
      </c>
      <c r="E1620" t="s">
        <v>718</v>
      </c>
      <c r="F1620">
        <v>5</v>
      </c>
      <c r="G1620">
        <v>4.8342333333333301</v>
      </c>
    </row>
    <row r="1621" spans="1:7" x14ac:dyDescent="0.35">
      <c r="A1621" t="s">
        <v>847</v>
      </c>
      <c r="B1621" t="s">
        <v>680</v>
      </c>
      <c r="C1621" s="83">
        <v>46041</v>
      </c>
      <c r="D1621" t="s">
        <v>688</v>
      </c>
      <c r="E1621" t="s">
        <v>312</v>
      </c>
      <c r="F1621">
        <v>10</v>
      </c>
      <c r="G1621">
        <v>6.6490166666666699</v>
      </c>
    </row>
    <row r="1622" spans="1:7" x14ac:dyDescent="0.35">
      <c r="A1622" t="s">
        <v>847</v>
      </c>
      <c r="B1622" t="s">
        <v>680</v>
      </c>
      <c r="C1622" s="83">
        <v>46041</v>
      </c>
      <c r="D1622" t="s">
        <v>688</v>
      </c>
      <c r="E1622" t="s">
        <v>720</v>
      </c>
      <c r="F1622">
        <v>10</v>
      </c>
      <c r="G1622">
        <v>6.5032666666666703</v>
      </c>
    </row>
    <row r="1623" spans="1:7" x14ac:dyDescent="0.35">
      <c r="A1623" t="s">
        <v>847</v>
      </c>
      <c r="B1623" t="s">
        <v>680</v>
      </c>
      <c r="C1623" s="83">
        <v>46041</v>
      </c>
      <c r="D1623" t="s">
        <v>688</v>
      </c>
      <c r="E1623" t="s">
        <v>311</v>
      </c>
      <c r="F1623">
        <v>9</v>
      </c>
      <c r="G1623">
        <v>5.1733166666666701</v>
      </c>
    </row>
    <row r="1624" spans="1:7" x14ac:dyDescent="0.35">
      <c r="A1624" t="s">
        <v>847</v>
      </c>
      <c r="B1624" t="s">
        <v>680</v>
      </c>
      <c r="C1624" s="83">
        <v>46041</v>
      </c>
      <c r="D1624" t="s">
        <v>690</v>
      </c>
      <c r="E1624" t="s">
        <v>720</v>
      </c>
      <c r="F1624">
        <v>4</v>
      </c>
      <c r="G1624">
        <v>1.6677833333333301</v>
      </c>
    </row>
    <row r="1625" spans="1:7" x14ac:dyDescent="0.35">
      <c r="A1625" t="s">
        <v>847</v>
      </c>
      <c r="B1625" t="s">
        <v>680</v>
      </c>
      <c r="C1625" s="83">
        <v>46041</v>
      </c>
      <c r="D1625" t="s">
        <v>690</v>
      </c>
      <c r="E1625" t="s">
        <v>640</v>
      </c>
      <c r="F1625">
        <v>3</v>
      </c>
      <c r="G1625">
        <v>2.17513333333333</v>
      </c>
    </row>
    <row r="1626" spans="1:7" x14ac:dyDescent="0.35">
      <c r="A1626" t="s">
        <v>847</v>
      </c>
      <c r="B1626" t="s">
        <v>680</v>
      </c>
      <c r="C1626" s="83">
        <v>46041</v>
      </c>
      <c r="D1626" t="s">
        <v>690</v>
      </c>
      <c r="E1626" t="s">
        <v>739</v>
      </c>
      <c r="F1626">
        <v>3</v>
      </c>
      <c r="G1626">
        <v>3.8257333333333299</v>
      </c>
    </row>
    <row r="1627" spans="1:7" x14ac:dyDescent="0.35">
      <c r="A1627" t="s">
        <v>847</v>
      </c>
      <c r="B1627" t="s">
        <v>680</v>
      </c>
      <c r="C1627" s="83">
        <v>46041</v>
      </c>
      <c r="D1627" t="s">
        <v>685</v>
      </c>
      <c r="E1627" t="s">
        <v>311</v>
      </c>
      <c r="F1627">
        <v>8</v>
      </c>
      <c r="G1627">
        <v>5.1730833333333299</v>
      </c>
    </row>
    <row r="1628" spans="1:7" x14ac:dyDescent="0.35">
      <c r="A1628" t="s">
        <v>847</v>
      </c>
      <c r="B1628" t="s">
        <v>680</v>
      </c>
      <c r="C1628" s="83">
        <v>46041</v>
      </c>
      <c r="D1628" t="s">
        <v>685</v>
      </c>
      <c r="E1628" t="s">
        <v>720</v>
      </c>
      <c r="F1628">
        <v>3</v>
      </c>
      <c r="G1628">
        <v>1.1596500000000001</v>
      </c>
    </row>
    <row r="1629" spans="1:7" x14ac:dyDescent="0.35">
      <c r="A1629" t="s">
        <v>847</v>
      </c>
      <c r="B1629" t="s">
        <v>680</v>
      </c>
      <c r="C1629" s="83">
        <v>46041</v>
      </c>
      <c r="D1629" t="s">
        <v>685</v>
      </c>
      <c r="E1629" t="s">
        <v>741</v>
      </c>
      <c r="F1629">
        <v>2</v>
      </c>
      <c r="G1629">
        <v>0.66603333333333303</v>
      </c>
    </row>
    <row r="1630" spans="1:7" x14ac:dyDescent="0.35">
      <c r="A1630" t="s">
        <v>847</v>
      </c>
      <c r="B1630" t="s">
        <v>680</v>
      </c>
      <c r="C1630" s="83">
        <v>46042</v>
      </c>
      <c r="D1630" t="s">
        <v>681</v>
      </c>
      <c r="E1630" t="s">
        <v>332</v>
      </c>
      <c r="F1630">
        <v>17</v>
      </c>
      <c r="G1630">
        <v>29.5158666666667</v>
      </c>
    </row>
    <row r="1631" spans="1:7" x14ac:dyDescent="0.35">
      <c r="A1631" t="s">
        <v>847</v>
      </c>
      <c r="B1631" t="s">
        <v>680</v>
      </c>
      <c r="C1631" s="83">
        <v>46042</v>
      </c>
      <c r="D1631" t="s">
        <v>681</v>
      </c>
      <c r="E1631" t="s">
        <v>298</v>
      </c>
      <c r="F1631">
        <v>15</v>
      </c>
      <c r="G1631">
        <v>16.174866666666698</v>
      </c>
    </row>
    <row r="1632" spans="1:7" x14ac:dyDescent="0.35">
      <c r="A1632" t="s">
        <v>847</v>
      </c>
      <c r="B1632" t="s">
        <v>680</v>
      </c>
      <c r="C1632" s="83">
        <v>46042</v>
      </c>
      <c r="D1632" t="s">
        <v>681</v>
      </c>
      <c r="E1632" t="s">
        <v>296</v>
      </c>
      <c r="F1632">
        <v>6</v>
      </c>
      <c r="G1632">
        <v>1.6609499999999999</v>
      </c>
    </row>
    <row r="1633" spans="1:7" x14ac:dyDescent="0.35">
      <c r="A1633" t="s">
        <v>847</v>
      </c>
      <c r="B1633" t="s">
        <v>680</v>
      </c>
      <c r="C1633" s="83">
        <v>46042</v>
      </c>
      <c r="D1633" t="s">
        <v>683</v>
      </c>
      <c r="E1633" t="s">
        <v>296</v>
      </c>
      <c r="F1633">
        <v>16</v>
      </c>
      <c r="G1633">
        <v>5.0028499999999996</v>
      </c>
    </row>
    <row r="1634" spans="1:7" x14ac:dyDescent="0.35">
      <c r="A1634" t="s">
        <v>847</v>
      </c>
      <c r="B1634" t="s">
        <v>680</v>
      </c>
      <c r="C1634" s="83">
        <v>46042</v>
      </c>
      <c r="D1634" t="s">
        <v>683</v>
      </c>
      <c r="E1634" t="s">
        <v>298</v>
      </c>
      <c r="F1634">
        <v>7</v>
      </c>
      <c r="G1634">
        <v>6.1570999999999998</v>
      </c>
    </row>
    <row r="1635" spans="1:7" x14ac:dyDescent="0.35">
      <c r="A1635" t="s">
        <v>847</v>
      </c>
      <c r="B1635" t="s">
        <v>680</v>
      </c>
      <c r="C1635" s="83">
        <v>46042</v>
      </c>
      <c r="D1635" t="s">
        <v>683</v>
      </c>
      <c r="E1635" t="s">
        <v>727</v>
      </c>
      <c r="F1635">
        <v>4</v>
      </c>
      <c r="G1635">
        <v>1.0134000000000001</v>
      </c>
    </row>
    <row r="1636" spans="1:7" x14ac:dyDescent="0.35">
      <c r="A1636" t="s">
        <v>847</v>
      </c>
      <c r="B1636" t="s">
        <v>680</v>
      </c>
      <c r="C1636" s="83">
        <v>46042</v>
      </c>
      <c r="D1636" t="s">
        <v>689</v>
      </c>
      <c r="E1636" t="s">
        <v>296</v>
      </c>
      <c r="F1636">
        <v>71</v>
      </c>
      <c r="G1636">
        <v>33.844783333333297</v>
      </c>
    </row>
    <row r="1637" spans="1:7" x14ac:dyDescent="0.35">
      <c r="A1637" t="s">
        <v>847</v>
      </c>
      <c r="B1637" t="s">
        <v>680</v>
      </c>
      <c r="C1637" s="83">
        <v>46042</v>
      </c>
      <c r="D1637" t="s">
        <v>689</v>
      </c>
      <c r="E1637" t="s">
        <v>727</v>
      </c>
      <c r="F1637">
        <v>27</v>
      </c>
      <c r="G1637">
        <v>25.992816666666702</v>
      </c>
    </row>
    <row r="1638" spans="1:7" x14ac:dyDescent="0.35">
      <c r="A1638" t="s">
        <v>847</v>
      </c>
      <c r="B1638" t="s">
        <v>680</v>
      </c>
      <c r="C1638" s="83">
        <v>46042</v>
      </c>
      <c r="D1638" t="s">
        <v>689</v>
      </c>
      <c r="E1638" t="s">
        <v>332</v>
      </c>
      <c r="F1638">
        <v>21</v>
      </c>
      <c r="G1638">
        <v>48.148033333333302</v>
      </c>
    </row>
    <row r="1639" spans="1:7" x14ac:dyDescent="0.35">
      <c r="A1639" t="s">
        <v>847</v>
      </c>
      <c r="B1639" t="s">
        <v>680</v>
      </c>
      <c r="C1639" s="83">
        <v>46042</v>
      </c>
      <c r="D1639" t="s">
        <v>684</v>
      </c>
      <c r="E1639" t="s">
        <v>298</v>
      </c>
      <c r="F1639">
        <v>12</v>
      </c>
      <c r="G1639">
        <v>11.512216666666699</v>
      </c>
    </row>
    <row r="1640" spans="1:7" x14ac:dyDescent="0.35">
      <c r="A1640" t="s">
        <v>847</v>
      </c>
      <c r="B1640" t="s">
        <v>680</v>
      </c>
      <c r="C1640" s="83">
        <v>46042</v>
      </c>
      <c r="D1640" t="s">
        <v>684</v>
      </c>
      <c r="E1640" t="s">
        <v>730</v>
      </c>
      <c r="F1640">
        <v>11</v>
      </c>
      <c r="G1640">
        <v>11.492983333333299</v>
      </c>
    </row>
    <row r="1641" spans="1:7" x14ac:dyDescent="0.35">
      <c r="A1641" t="s">
        <v>847</v>
      </c>
      <c r="B1641" t="s">
        <v>680</v>
      </c>
      <c r="C1641" s="83">
        <v>46042</v>
      </c>
      <c r="D1641" t="s">
        <v>684</v>
      </c>
      <c r="E1641" t="s">
        <v>300</v>
      </c>
      <c r="F1641">
        <v>4</v>
      </c>
      <c r="G1641">
        <v>1.1786333333333301</v>
      </c>
    </row>
    <row r="1642" spans="1:7" x14ac:dyDescent="0.35">
      <c r="A1642" t="s">
        <v>847</v>
      </c>
      <c r="B1642" t="s">
        <v>680</v>
      </c>
      <c r="C1642" s="83">
        <v>46042</v>
      </c>
      <c r="D1642" t="s">
        <v>687</v>
      </c>
      <c r="E1642" t="s">
        <v>742</v>
      </c>
      <c r="F1642">
        <v>7</v>
      </c>
      <c r="G1642">
        <v>6.9885000000000002</v>
      </c>
    </row>
    <row r="1643" spans="1:7" x14ac:dyDescent="0.35">
      <c r="A1643" t="s">
        <v>847</v>
      </c>
      <c r="B1643" t="s">
        <v>680</v>
      </c>
      <c r="C1643" s="83">
        <v>46042</v>
      </c>
      <c r="D1643" t="s">
        <v>687</v>
      </c>
      <c r="E1643" t="s">
        <v>726</v>
      </c>
      <c r="F1643">
        <v>6</v>
      </c>
      <c r="G1643">
        <v>13.6681833333333</v>
      </c>
    </row>
    <row r="1644" spans="1:7" x14ac:dyDescent="0.35">
      <c r="A1644" t="s">
        <v>847</v>
      </c>
      <c r="B1644" t="s">
        <v>680</v>
      </c>
      <c r="C1644" s="83">
        <v>46042</v>
      </c>
      <c r="D1644" t="s">
        <v>687</v>
      </c>
      <c r="E1644" t="s">
        <v>717</v>
      </c>
      <c r="F1644">
        <v>5</v>
      </c>
      <c r="G1644">
        <v>2.6675666666666702</v>
      </c>
    </row>
    <row r="1645" spans="1:7" x14ac:dyDescent="0.35">
      <c r="A1645" t="s">
        <v>847</v>
      </c>
      <c r="B1645" t="s">
        <v>680</v>
      </c>
      <c r="C1645" s="83">
        <v>46042</v>
      </c>
      <c r="D1645" t="s">
        <v>688</v>
      </c>
      <c r="E1645" t="s">
        <v>720</v>
      </c>
      <c r="F1645">
        <v>16</v>
      </c>
      <c r="G1645">
        <v>9.34</v>
      </c>
    </row>
    <row r="1646" spans="1:7" x14ac:dyDescent="0.35">
      <c r="A1646" t="s">
        <v>847</v>
      </c>
      <c r="B1646" t="s">
        <v>680</v>
      </c>
      <c r="C1646" s="83">
        <v>46042</v>
      </c>
      <c r="D1646" t="s">
        <v>688</v>
      </c>
      <c r="E1646" t="s">
        <v>311</v>
      </c>
      <c r="F1646">
        <v>5</v>
      </c>
      <c r="G1646">
        <v>1.8284833333333299</v>
      </c>
    </row>
    <row r="1647" spans="1:7" x14ac:dyDescent="0.35">
      <c r="A1647" t="s">
        <v>847</v>
      </c>
      <c r="B1647" t="s">
        <v>680</v>
      </c>
      <c r="C1647" s="83">
        <v>46042</v>
      </c>
      <c r="D1647" t="s">
        <v>688</v>
      </c>
      <c r="E1647" t="s">
        <v>316</v>
      </c>
      <c r="F1647">
        <v>4</v>
      </c>
      <c r="G1647">
        <v>1.33405</v>
      </c>
    </row>
    <row r="1648" spans="1:7" x14ac:dyDescent="0.35">
      <c r="A1648" t="s">
        <v>847</v>
      </c>
      <c r="B1648" t="s">
        <v>680</v>
      </c>
      <c r="C1648" s="83">
        <v>46042</v>
      </c>
      <c r="D1648" t="s">
        <v>690</v>
      </c>
      <c r="E1648" t="s">
        <v>311</v>
      </c>
      <c r="F1648">
        <v>5</v>
      </c>
      <c r="G1648">
        <v>4.1753</v>
      </c>
    </row>
    <row r="1649" spans="1:7" x14ac:dyDescent="0.35">
      <c r="A1649" t="s">
        <v>847</v>
      </c>
      <c r="B1649" t="s">
        <v>680</v>
      </c>
      <c r="C1649" s="83">
        <v>46042</v>
      </c>
      <c r="D1649" t="s">
        <v>690</v>
      </c>
      <c r="E1649" t="s">
        <v>720</v>
      </c>
      <c r="F1649">
        <v>4</v>
      </c>
      <c r="G1649">
        <v>2.8349333333333302</v>
      </c>
    </row>
    <row r="1650" spans="1:7" x14ac:dyDescent="0.35">
      <c r="A1650" t="s">
        <v>847</v>
      </c>
      <c r="B1650" t="s">
        <v>680</v>
      </c>
      <c r="C1650" s="83">
        <v>46042</v>
      </c>
      <c r="D1650" t="s">
        <v>690</v>
      </c>
      <c r="E1650" t="s">
        <v>724</v>
      </c>
      <c r="F1650">
        <v>3</v>
      </c>
      <c r="G1650">
        <v>2.8322333333333298</v>
      </c>
    </row>
    <row r="1651" spans="1:7" x14ac:dyDescent="0.35">
      <c r="A1651" t="s">
        <v>847</v>
      </c>
      <c r="B1651" t="s">
        <v>680</v>
      </c>
      <c r="C1651" s="83">
        <v>46042</v>
      </c>
      <c r="D1651" t="s">
        <v>685</v>
      </c>
      <c r="E1651" t="s">
        <v>311</v>
      </c>
      <c r="F1651">
        <v>10</v>
      </c>
      <c r="G1651">
        <v>6.0071333333333303</v>
      </c>
    </row>
    <row r="1652" spans="1:7" x14ac:dyDescent="0.35">
      <c r="A1652" t="s">
        <v>847</v>
      </c>
      <c r="B1652" t="s">
        <v>680</v>
      </c>
      <c r="C1652" s="83">
        <v>46042</v>
      </c>
      <c r="D1652" t="s">
        <v>685</v>
      </c>
      <c r="E1652" t="s">
        <v>720</v>
      </c>
      <c r="F1652">
        <v>5</v>
      </c>
      <c r="G1652">
        <v>2.8239999999999998</v>
      </c>
    </row>
    <row r="1653" spans="1:7" x14ac:dyDescent="0.35">
      <c r="A1653" t="s">
        <v>847</v>
      </c>
      <c r="B1653" t="s">
        <v>680</v>
      </c>
      <c r="C1653" s="83">
        <v>46042</v>
      </c>
      <c r="D1653" t="s">
        <v>685</v>
      </c>
      <c r="E1653" t="s">
        <v>322</v>
      </c>
      <c r="F1653">
        <v>2</v>
      </c>
      <c r="G1653">
        <v>0.33291666666666703</v>
      </c>
    </row>
    <row r="1654" spans="1:7" x14ac:dyDescent="0.35">
      <c r="A1654" t="s">
        <v>847</v>
      </c>
      <c r="B1654" t="s">
        <v>680</v>
      </c>
      <c r="C1654" s="83">
        <v>46043</v>
      </c>
      <c r="D1654" t="s">
        <v>681</v>
      </c>
      <c r="E1654" t="s">
        <v>332</v>
      </c>
      <c r="F1654">
        <v>17</v>
      </c>
      <c r="G1654">
        <v>34.811199999999999</v>
      </c>
    </row>
    <row r="1655" spans="1:7" x14ac:dyDescent="0.35">
      <c r="A1655" t="s">
        <v>847</v>
      </c>
      <c r="B1655" t="s">
        <v>680</v>
      </c>
      <c r="C1655" s="83">
        <v>46043</v>
      </c>
      <c r="D1655" t="s">
        <v>681</v>
      </c>
      <c r="E1655" t="s">
        <v>645</v>
      </c>
      <c r="F1655">
        <v>7</v>
      </c>
      <c r="G1655">
        <v>10.517150000000001</v>
      </c>
    </row>
    <row r="1656" spans="1:7" x14ac:dyDescent="0.35">
      <c r="A1656" t="s">
        <v>847</v>
      </c>
      <c r="B1656" t="s">
        <v>680</v>
      </c>
      <c r="C1656" s="83">
        <v>46043</v>
      </c>
      <c r="D1656" t="s">
        <v>681</v>
      </c>
      <c r="E1656" t="s">
        <v>334</v>
      </c>
      <c r="F1656">
        <v>6</v>
      </c>
      <c r="G1656">
        <v>2.49298333333333</v>
      </c>
    </row>
    <row r="1657" spans="1:7" x14ac:dyDescent="0.35">
      <c r="A1657" t="s">
        <v>847</v>
      </c>
      <c r="B1657" t="s">
        <v>680</v>
      </c>
      <c r="C1657" s="83">
        <v>46043</v>
      </c>
      <c r="D1657" t="s">
        <v>683</v>
      </c>
      <c r="E1657" t="s">
        <v>296</v>
      </c>
      <c r="F1657">
        <v>9</v>
      </c>
      <c r="G1657">
        <v>3.1629</v>
      </c>
    </row>
    <row r="1658" spans="1:7" x14ac:dyDescent="0.35">
      <c r="A1658" t="s">
        <v>847</v>
      </c>
      <c r="B1658" t="s">
        <v>680</v>
      </c>
      <c r="C1658" s="83">
        <v>46043</v>
      </c>
      <c r="D1658" t="s">
        <v>683</v>
      </c>
      <c r="E1658" t="s">
        <v>298</v>
      </c>
      <c r="F1658">
        <v>8</v>
      </c>
      <c r="G1658">
        <v>6.3430499999999999</v>
      </c>
    </row>
    <row r="1659" spans="1:7" x14ac:dyDescent="0.35">
      <c r="A1659" t="s">
        <v>847</v>
      </c>
      <c r="B1659" t="s">
        <v>680</v>
      </c>
      <c r="C1659" s="83">
        <v>46043</v>
      </c>
      <c r="D1659" t="s">
        <v>683</v>
      </c>
      <c r="E1659" t="s">
        <v>334</v>
      </c>
      <c r="F1659">
        <v>4</v>
      </c>
      <c r="G1659">
        <v>1.32605</v>
      </c>
    </row>
    <row r="1660" spans="1:7" x14ac:dyDescent="0.35">
      <c r="A1660" t="s">
        <v>847</v>
      </c>
      <c r="B1660" t="s">
        <v>680</v>
      </c>
      <c r="C1660" s="83">
        <v>46043</v>
      </c>
      <c r="D1660" t="s">
        <v>689</v>
      </c>
      <c r="E1660" t="s">
        <v>296</v>
      </c>
      <c r="F1660">
        <v>35</v>
      </c>
      <c r="G1660">
        <v>21.838650000000001</v>
      </c>
    </row>
    <row r="1661" spans="1:7" x14ac:dyDescent="0.35">
      <c r="A1661" t="s">
        <v>847</v>
      </c>
      <c r="B1661" t="s">
        <v>680</v>
      </c>
      <c r="C1661" s="83">
        <v>46043</v>
      </c>
      <c r="D1661" t="s">
        <v>689</v>
      </c>
      <c r="E1661" t="s">
        <v>298</v>
      </c>
      <c r="F1661">
        <v>33</v>
      </c>
      <c r="G1661">
        <v>41.817116666666699</v>
      </c>
    </row>
    <row r="1662" spans="1:7" x14ac:dyDescent="0.35">
      <c r="A1662" t="s">
        <v>847</v>
      </c>
      <c r="B1662" t="s">
        <v>680</v>
      </c>
      <c r="C1662" s="83">
        <v>46043</v>
      </c>
      <c r="D1662" t="s">
        <v>689</v>
      </c>
      <c r="E1662" t="s">
        <v>332</v>
      </c>
      <c r="F1662">
        <v>22</v>
      </c>
      <c r="G1662">
        <v>40.309316666666703</v>
      </c>
    </row>
    <row r="1663" spans="1:7" x14ac:dyDescent="0.35">
      <c r="A1663" t="s">
        <v>847</v>
      </c>
      <c r="B1663" t="s">
        <v>680</v>
      </c>
      <c r="C1663" s="83">
        <v>46043</v>
      </c>
      <c r="D1663" t="s">
        <v>684</v>
      </c>
      <c r="E1663" t="s">
        <v>300</v>
      </c>
      <c r="F1663">
        <v>5</v>
      </c>
      <c r="G1663">
        <v>5.8217999999999996</v>
      </c>
    </row>
    <row r="1664" spans="1:7" x14ac:dyDescent="0.35">
      <c r="A1664" t="s">
        <v>847</v>
      </c>
      <c r="B1664" t="s">
        <v>680</v>
      </c>
      <c r="C1664" s="83">
        <v>46043</v>
      </c>
      <c r="D1664" t="s">
        <v>684</v>
      </c>
      <c r="E1664" t="s">
        <v>298</v>
      </c>
      <c r="F1664">
        <v>5</v>
      </c>
      <c r="G1664">
        <v>9.9832166666666708</v>
      </c>
    </row>
    <row r="1665" spans="1:7" x14ac:dyDescent="0.35">
      <c r="A1665" t="s">
        <v>847</v>
      </c>
      <c r="B1665" t="s">
        <v>680</v>
      </c>
      <c r="C1665" s="83">
        <v>46043</v>
      </c>
      <c r="D1665" t="s">
        <v>684</v>
      </c>
      <c r="E1665" t="s">
        <v>297</v>
      </c>
      <c r="F1665">
        <v>3</v>
      </c>
      <c r="G1665">
        <v>0.66759999999999997</v>
      </c>
    </row>
    <row r="1666" spans="1:7" x14ac:dyDescent="0.35">
      <c r="A1666" t="s">
        <v>847</v>
      </c>
      <c r="B1666" t="s">
        <v>680</v>
      </c>
      <c r="C1666" s="83">
        <v>46043</v>
      </c>
      <c r="D1666" t="s">
        <v>687</v>
      </c>
      <c r="E1666" t="s">
        <v>718</v>
      </c>
      <c r="F1666">
        <v>8</v>
      </c>
      <c r="G1666">
        <v>4.8537333333333299</v>
      </c>
    </row>
    <row r="1667" spans="1:7" x14ac:dyDescent="0.35">
      <c r="A1667" t="s">
        <v>847</v>
      </c>
      <c r="B1667" t="s">
        <v>680</v>
      </c>
      <c r="C1667" s="83">
        <v>46043</v>
      </c>
      <c r="D1667" t="s">
        <v>687</v>
      </c>
      <c r="E1667" t="s">
        <v>743</v>
      </c>
      <c r="F1667">
        <v>3</v>
      </c>
      <c r="G1667">
        <v>2.0065666666666702</v>
      </c>
    </row>
    <row r="1668" spans="1:7" x14ac:dyDescent="0.35">
      <c r="A1668" t="s">
        <v>847</v>
      </c>
      <c r="B1668" t="s">
        <v>680</v>
      </c>
      <c r="C1668" s="83">
        <v>46043</v>
      </c>
      <c r="D1668" t="s">
        <v>687</v>
      </c>
      <c r="E1668" t="s">
        <v>729</v>
      </c>
      <c r="F1668">
        <v>2</v>
      </c>
      <c r="G1668">
        <v>0.16655</v>
      </c>
    </row>
    <row r="1669" spans="1:7" x14ac:dyDescent="0.35">
      <c r="A1669" t="s">
        <v>847</v>
      </c>
      <c r="B1669" t="s">
        <v>680</v>
      </c>
      <c r="C1669" s="83">
        <v>46043</v>
      </c>
      <c r="D1669" t="s">
        <v>688</v>
      </c>
      <c r="E1669" t="s">
        <v>720</v>
      </c>
      <c r="F1669">
        <v>7</v>
      </c>
      <c r="G1669">
        <v>6.0094666666666701</v>
      </c>
    </row>
    <row r="1670" spans="1:7" x14ac:dyDescent="0.35">
      <c r="A1670" t="s">
        <v>847</v>
      </c>
      <c r="B1670" t="s">
        <v>680</v>
      </c>
      <c r="C1670" s="83">
        <v>46043</v>
      </c>
      <c r="D1670" t="s">
        <v>688</v>
      </c>
      <c r="E1670" t="s">
        <v>312</v>
      </c>
      <c r="F1670">
        <v>6</v>
      </c>
      <c r="G1670">
        <v>2.6620166666666698</v>
      </c>
    </row>
    <row r="1671" spans="1:7" x14ac:dyDescent="0.35">
      <c r="A1671" t="s">
        <v>847</v>
      </c>
      <c r="B1671" t="s">
        <v>680</v>
      </c>
      <c r="C1671" s="83">
        <v>46043</v>
      </c>
      <c r="D1671" t="s">
        <v>688</v>
      </c>
      <c r="E1671" t="s">
        <v>316</v>
      </c>
      <c r="F1671">
        <v>5</v>
      </c>
      <c r="G1671">
        <v>1.16686666666667</v>
      </c>
    </row>
    <row r="1672" spans="1:7" x14ac:dyDescent="0.35">
      <c r="A1672" t="s">
        <v>847</v>
      </c>
      <c r="B1672" t="s">
        <v>680</v>
      </c>
      <c r="C1672" s="83">
        <v>46043</v>
      </c>
      <c r="D1672" t="s">
        <v>690</v>
      </c>
      <c r="E1672" t="s">
        <v>724</v>
      </c>
      <c r="F1672">
        <v>3</v>
      </c>
      <c r="G1672">
        <v>5.3360833333333302</v>
      </c>
    </row>
    <row r="1673" spans="1:7" x14ac:dyDescent="0.35">
      <c r="A1673" t="s">
        <v>847</v>
      </c>
      <c r="B1673" t="s">
        <v>680</v>
      </c>
      <c r="C1673" s="83">
        <v>46043</v>
      </c>
      <c r="D1673" t="s">
        <v>690</v>
      </c>
      <c r="E1673" t="s">
        <v>311</v>
      </c>
      <c r="F1673">
        <v>2</v>
      </c>
      <c r="G1673">
        <v>0.33353333333333302</v>
      </c>
    </row>
    <row r="1674" spans="1:7" x14ac:dyDescent="0.35">
      <c r="A1674" t="s">
        <v>847</v>
      </c>
      <c r="B1674" t="s">
        <v>680</v>
      </c>
      <c r="C1674" s="83">
        <v>46043</v>
      </c>
      <c r="D1674" t="s">
        <v>690</v>
      </c>
      <c r="E1674" t="s">
        <v>720</v>
      </c>
      <c r="F1674">
        <v>2</v>
      </c>
      <c r="G1674">
        <v>0.83399999999999996</v>
      </c>
    </row>
    <row r="1675" spans="1:7" x14ac:dyDescent="0.35">
      <c r="A1675" t="s">
        <v>847</v>
      </c>
      <c r="B1675" t="s">
        <v>680</v>
      </c>
      <c r="C1675" s="83">
        <v>46043</v>
      </c>
      <c r="D1675" t="s">
        <v>685</v>
      </c>
      <c r="E1675" t="s">
        <v>720</v>
      </c>
      <c r="F1675">
        <v>10</v>
      </c>
      <c r="G1675">
        <v>21.833850000000002</v>
      </c>
    </row>
    <row r="1676" spans="1:7" x14ac:dyDescent="0.35">
      <c r="A1676" t="s">
        <v>847</v>
      </c>
      <c r="B1676" t="s">
        <v>680</v>
      </c>
      <c r="C1676" s="83">
        <v>46043</v>
      </c>
      <c r="D1676" t="s">
        <v>685</v>
      </c>
      <c r="E1676" t="s">
        <v>321</v>
      </c>
      <c r="F1676">
        <v>3</v>
      </c>
      <c r="G1676">
        <v>0.84013333333333295</v>
      </c>
    </row>
    <row r="1677" spans="1:7" x14ac:dyDescent="0.35">
      <c r="A1677" t="s">
        <v>847</v>
      </c>
      <c r="B1677" t="s">
        <v>680</v>
      </c>
      <c r="C1677" s="83">
        <v>46043</v>
      </c>
      <c r="D1677" t="s">
        <v>685</v>
      </c>
      <c r="E1677" t="s">
        <v>732</v>
      </c>
      <c r="F1677">
        <v>3</v>
      </c>
      <c r="G1677">
        <v>2.1610999999999998</v>
      </c>
    </row>
    <row r="1678" spans="1:7" x14ac:dyDescent="0.35">
      <c r="A1678" t="s">
        <v>847</v>
      </c>
      <c r="B1678" t="s">
        <v>680</v>
      </c>
      <c r="C1678" s="83">
        <v>46044</v>
      </c>
      <c r="D1678" t="s">
        <v>681</v>
      </c>
      <c r="E1678" t="s">
        <v>297</v>
      </c>
      <c r="F1678">
        <v>19</v>
      </c>
      <c r="G1678">
        <v>4.9845499999999996</v>
      </c>
    </row>
    <row r="1679" spans="1:7" x14ac:dyDescent="0.35">
      <c r="A1679" t="s">
        <v>847</v>
      </c>
      <c r="B1679" t="s">
        <v>680</v>
      </c>
      <c r="C1679" s="83">
        <v>46044</v>
      </c>
      <c r="D1679" t="s">
        <v>681</v>
      </c>
      <c r="E1679" t="s">
        <v>296</v>
      </c>
      <c r="F1679">
        <v>18</v>
      </c>
      <c r="G1679">
        <v>5.6801666666666701</v>
      </c>
    </row>
    <row r="1680" spans="1:7" x14ac:dyDescent="0.35">
      <c r="A1680" t="s">
        <v>847</v>
      </c>
      <c r="B1680" t="s">
        <v>680</v>
      </c>
      <c r="C1680" s="83">
        <v>46044</v>
      </c>
      <c r="D1680" t="s">
        <v>681</v>
      </c>
      <c r="E1680" t="s">
        <v>298</v>
      </c>
      <c r="F1680">
        <v>18</v>
      </c>
      <c r="G1680">
        <v>21.331250000000001</v>
      </c>
    </row>
    <row r="1681" spans="1:7" x14ac:dyDescent="0.35">
      <c r="A1681" t="s">
        <v>847</v>
      </c>
      <c r="B1681" t="s">
        <v>680</v>
      </c>
      <c r="C1681" s="83">
        <v>46044</v>
      </c>
      <c r="D1681" t="s">
        <v>683</v>
      </c>
      <c r="E1681" t="s">
        <v>296</v>
      </c>
      <c r="F1681">
        <v>23</v>
      </c>
      <c r="G1681">
        <v>15.512916666666699</v>
      </c>
    </row>
    <row r="1682" spans="1:7" x14ac:dyDescent="0.35">
      <c r="A1682" t="s">
        <v>847</v>
      </c>
      <c r="B1682" t="s">
        <v>680</v>
      </c>
      <c r="C1682" s="83">
        <v>46044</v>
      </c>
      <c r="D1682" t="s">
        <v>683</v>
      </c>
      <c r="E1682" t="s">
        <v>298</v>
      </c>
      <c r="F1682">
        <v>14</v>
      </c>
      <c r="G1682">
        <v>25.484349999999999</v>
      </c>
    </row>
    <row r="1683" spans="1:7" x14ac:dyDescent="0.35">
      <c r="A1683" t="s">
        <v>847</v>
      </c>
      <c r="B1683" t="s">
        <v>680</v>
      </c>
      <c r="C1683" s="83">
        <v>46044</v>
      </c>
      <c r="D1683" t="s">
        <v>683</v>
      </c>
      <c r="E1683" t="s">
        <v>304</v>
      </c>
      <c r="F1683">
        <v>10</v>
      </c>
      <c r="G1683">
        <v>94.500450000000001</v>
      </c>
    </row>
    <row r="1684" spans="1:7" x14ac:dyDescent="0.35">
      <c r="A1684" t="s">
        <v>847</v>
      </c>
      <c r="B1684" t="s">
        <v>680</v>
      </c>
      <c r="C1684" s="83">
        <v>46044</v>
      </c>
      <c r="D1684" t="s">
        <v>689</v>
      </c>
      <c r="E1684" t="s">
        <v>298</v>
      </c>
      <c r="F1684">
        <v>14</v>
      </c>
      <c r="G1684">
        <v>19.4903166666667</v>
      </c>
    </row>
    <row r="1685" spans="1:7" x14ac:dyDescent="0.35">
      <c r="A1685" t="s">
        <v>847</v>
      </c>
      <c r="B1685" t="s">
        <v>680</v>
      </c>
      <c r="C1685" s="83">
        <v>46044</v>
      </c>
      <c r="D1685" t="s">
        <v>689</v>
      </c>
      <c r="E1685" t="s">
        <v>727</v>
      </c>
      <c r="F1685">
        <v>13</v>
      </c>
      <c r="G1685">
        <v>11.682933333333301</v>
      </c>
    </row>
    <row r="1686" spans="1:7" x14ac:dyDescent="0.35">
      <c r="A1686" t="s">
        <v>847</v>
      </c>
      <c r="B1686" t="s">
        <v>680</v>
      </c>
      <c r="C1686" s="83">
        <v>46044</v>
      </c>
      <c r="D1686" t="s">
        <v>689</v>
      </c>
      <c r="E1686" t="s">
        <v>334</v>
      </c>
      <c r="F1686">
        <v>10</v>
      </c>
      <c r="G1686">
        <v>4.8164999999999996</v>
      </c>
    </row>
    <row r="1687" spans="1:7" x14ac:dyDescent="0.35">
      <c r="A1687" t="s">
        <v>847</v>
      </c>
      <c r="B1687" t="s">
        <v>680</v>
      </c>
      <c r="C1687" s="83">
        <v>46044</v>
      </c>
      <c r="D1687" t="s">
        <v>684</v>
      </c>
      <c r="E1687" t="s">
        <v>297</v>
      </c>
      <c r="F1687">
        <v>16</v>
      </c>
      <c r="G1687">
        <v>4.6614833333333303</v>
      </c>
    </row>
    <row r="1688" spans="1:7" x14ac:dyDescent="0.35">
      <c r="A1688" t="s">
        <v>847</v>
      </c>
      <c r="B1688" t="s">
        <v>680</v>
      </c>
      <c r="C1688" s="83">
        <v>46044</v>
      </c>
      <c r="D1688" t="s">
        <v>684</v>
      </c>
      <c r="E1688" t="s">
        <v>334</v>
      </c>
      <c r="F1688">
        <v>11</v>
      </c>
      <c r="G1688">
        <v>7.3232333333333299</v>
      </c>
    </row>
    <row r="1689" spans="1:7" x14ac:dyDescent="0.35">
      <c r="A1689" t="s">
        <v>847</v>
      </c>
      <c r="B1689" t="s">
        <v>680</v>
      </c>
      <c r="C1689" s="83">
        <v>46044</v>
      </c>
      <c r="D1689" t="s">
        <v>684</v>
      </c>
      <c r="E1689" t="s">
        <v>740</v>
      </c>
      <c r="F1689">
        <v>8</v>
      </c>
      <c r="G1689">
        <v>3.9890833333333302</v>
      </c>
    </row>
    <row r="1690" spans="1:7" x14ac:dyDescent="0.35">
      <c r="A1690" t="s">
        <v>847</v>
      </c>
      <c r="B1690" t="s">
        <v>680</v>
      </c>
      <c r="C1690" s="83">
        <v>46044</v>
      </c>
      <c r="D1690" t="s">
        <v>687</v>
      </c>
      <c r="E1690" t="s">
        <v>717</v>
      </c>
      <c r="F1690">
        <v>4</v>
      </c>
      <c r="G1690">
        <v>4.8321833333333304</v>
      </c>
    </row>
    <row r="1691" spans="1:7" x14ac:dyDescent="0.35">
      <c r="A1691" t="s">
        <v>847</v>
      </c>
      <c r="B1691" t="s">
        <v>680</v>
      </c>
      <c r="C1691" s="83">
        <v>46044</v>
      </c>
      <c r="D1691" t="s">
        <v>687</v>
      </c>
      <c r="E1691" t="s">
        <v>729</v>
      </c>
      <c r="F1691">
        <v>4</v>
      </c>
      <c r="G1691">
        <v>1.0065999999999999</v>
      </c>
    </row>
    <row r="1692" spans="1:7" x14ac:dyDescent="0.35">
      <c r="A1692" t="s">
        <v>847</v>
      </c>
      <c r="B1692" t="s">
        <v>680</v>
      </c>
      <c r="C1692" s="83">
        <v>46044</v>
      </c>
      <c r="D1692" t="s">
        <v>687</v>
      </c>
      <c r="E1692" t="s">
        <v>718</v>
      </c>
      <c r="F1692">
        <v>3</v>
      </c>
      <c r="G1692">
        <v>4.8246000000000002</v>
      </c>
    </row>
    <row r="1693" spans="1:7" x14ac:dyDescent="0.35">
      <c r="A1693" t="s">
        <v>847</v>
      </c>
      <c r="B1693" t="s">
        <v>680</v>
      </c>
      <c r="C1693" s="83">
        <v>46044</v>
      </c>
      <c r="D1693" t="s">
        <v>688</v>
      </c>
      <c r="E1693" t="s">
        <v>312</v>
      </c>
      <c r="F1693">
        <v>5</v>
      </c>
      <c r="G1693">
        <v>0.82576666666666698</v>
      </c>
    </row>
    <row r="1694" spans="1:7" x14ac:dyDescent="0.35">
      <c r="A1694" t="s">
        <v>847</v>
      </c>
      <c r="B1694" t="s">
        <v>680</v>
      </c>
      <c r="C1694" s="83">
        <v>46044</v>
      </c>
      <c r="D1694" t="s">
        <v>688</v>
      </c>
      <c r="E1694" t="s">
        <v>316</v>
      </c>
      <c r="F1694">
        <v>4</v>
      </c>
      <c r="G1694">
        <v>1.3343166666666699</v>
      </c>
    </row>
    <row r="1695" spans="1:7" x14ac:dyDescent="0.35">
      <c r="A1695" t="s">
        <v>847</v>
      </c>
      <c r="B1695" t="s">
        <v>680</v>
      </c>
      <c r="C1695" s="83">
        <v>46044</v>
      </c>
      <c r="D1695" t="s">
        <v>688</v>
      </c>
      <c r="E1695" t="s">
        <v>311</v>
      </c>
      <c r="F1695">
        <v>3</v>
      </c>
      <c r="G1695">
        <v>1.16736666666667</v>
      </c>
    </row>
    <row r="1696" spans="1:7" x14ac:dyDescent="0.35">
      <c r="A1696" t="s">
        <v>847</v>
      </c>
      <c r="B1696" t="s">
        <v>680</v>
      </c>
      <c r="C1696" s="83">
        <v>46044</v>
      </c>
      <c r="D1696" t="s">
        <v>690</v>
      </c>
      <c r="E1696" t="s">
        <v>311</v>
      </c>
      <c r="F1696">
        <v>8</v>
      </c>
      <c r="G1696">
        <v>10.780049999999999</v>
      </c>
    </row>
    <row r="1697" spans="1:7" x14ac:dyDescent="0.35">
      <c r="A1697" t="s">
        <v>847</v>
      </c>
      <c r="B1697" t="s">
        <v>680</v>
      </c>
      <c r="C1697" s="83">
        <v>46044</v>
      </c>
      <c r="D1697" t="s">
        <v>690</v>
      </c>
      <c r="E1697" t="s">
        <v>723</v>
      </c>
      <c r="F1697">
        <v>5</v>
      </c>
      <c r="G1697">
        <v>20.153833333333299</v>
      </c>
    </row>
    <row r="1698" spans="1:7" x14ac:dyDescent="0.35">
      <c r="A1698" t="s">
        <v>847</v>
      </c>
      <c r="B1698" t="s">
        <v>680</v>
      </c>
      <c r="C1698" s="83">
        <v>46044</v>
      </c>
      <c r="D1698" t="s">
        <v>690</v>
      </c>
      <c r="E1698" t="s">
        <v>744</v>
      </c>
      <c r="F1698">
        <v>5</v>
      </c>
      <c r="G1698">
        <v>19.336316666666701</v>
      </c>
    </row>
    <row r="1699" spans="1:7" x14ac:dyDescent="0.35">
      <c r="A1699" t="s">
        <v>847</v>
      </c>
      <c r="B1699" t="s">
        <v>680</v>
      </c>
      <c r="C1699" s="83">
        <v>46044</v>
      </c>
      <c r="D1699" t="s">
        <v>685</v>
      </c>
      <c r="E1699" t="s">
        <v>311</v>
      </c>
      <c r="F1699">
        <v>11</v>
      </c>
      <c r="G1699">
        <v>10.6763166666667</v>
      </c>
    </row>
    <row r="1700" spans="1:7" x14ac:dyDescent="0.35">
      <c r="A1700" t="s">
        <v>847</v>
      </c>
      <c r="B1700" t="s">
        <v>680</v>
      </c>
      <c r="C1700" s="83">
        <v>46044</v>
      </c>
      <c r="D1700" t="s">
        <v>685</v>
      </c>
      <c r="E1700" t="s">
        <v>316</v>
      </c>
      <c r="F1700">
        <v>6</v>
      </c>
      <c r="G1700">
        <v>6.5019</v>
      </c>
    </row>
    <row r="1701" spans="1:7" x14ac:dyDescent="0.35">
      <c r="A1701" t="s">
        <v>847</v>
      </c>
      <c r="B1701" t="s">
        <v>680</v>
      </c>
      <c r="C1701" s="83">
        <v>46044</v>
      </c>
      <c r="D1701" t="s">
        <v>685</v>
      </c>
      <c r="E1701" t="s">
        <v>720</v>
      </c>
      <c r="F1701">
        <v>6</v>
      </c>
      <c r="G1701">
        <v>9.6663833333333304</v>
      </c>
    </row>
    <row r="1702" spans="1:7" x14ac:dyDescent="0.35">
      <c r="A1702" t="s">
        <v>847</v>
      </c>
      <c r="B1702" t="s">
        <v>680</v>
      </c>
      <c r="C1702" s="83">
        <v>46045</v>
      </c>
      <c r="D1702" t="s">
        <v>681</v>
      </c>
      <c r="E1702" t="s">
        <v>296</v>
      </c>
      <c r="F1702">
        <v>32</v>
      </c>
      <c r="G1702">
        <v>13.497733333333301</v>
      </c>
    </row>
    <row r="1703" spans="1:7" x14ac:dyDescent="0.35">
      <c r="A1703" t="s">
        <v>847</v>
      </c>
      <c r="B1703" t="s">
        <v>680</v>
      </c>
      <c r="C1703" s="83">
        <v>46045</v>
      </c>
      <c r="D1703" t="s">
        <v>681</v>
      </c>
      <c r="E1703" t="s">
        <v>297</v>
      </c>
      <c r="F1703">
        <v>26</v>
      </c>
      <c r="G1703">
        <v>11.1702166666667</v>
      </c>
    </row>
    <row r="1704" spans="1:7" x14ac:dyDescent="0.35">
      <c r="A1704" t="s">
        <v>847</v>
      </c>
      <c r="B1704" t="s">
        <v>680</v>
      </c>
      <c r="C1704" s="83">
        <v>46045</v>
      </c>
      <c r="D1704" t="s">
        <v>681</v>
      </c>
      <c r="E1704" t="s">
        <v>334</v>
      </c>
      <c r="F1704">
        <v>15</v>
      </c>
      <c r="G1704">
        <v>44.327283333333298</v>
      </c>
    </row>
    <row r="1705" spans="1:7" x14ac:dyDescent="0.35">
      <c r="A1705" t="s">
        <v>847</v>
      </c>
      <c r="B1705" t="s">
        <v>680</v>
      </c>
      <c r="C1705" s="83">
        <v>46045</v>
      </c>
      <c r="D1705" t="s">
        <v>683</v>
      </c>
      <c r="E1705" t="s">
        <v>296</v>
      </c>
      <c r="F1705">
        <v>35</v>
      </c>
      <c r="G1705">
        <v>19.856950000000001</v>
      </c>
    </row>
    <row r="1706" spans="1:7" x14ac:dyDescent="0.35">
      <c r="A1706" t="s">
        <v>847</v>
      </c>
      <c r="B1706" t="s">
        <v>680</v>
      </c>
      <c r="C1706" s="83">
        <v>46045</v>
      </c>
      <c r="D1706" t="s">
        <v>683</v>
      </c>
      <c r="E1706" t="s">
        <v>298</v>
      </c>
      <c r="F1706">
        <v>33</v>
      </c>
      <c r="G1706">
        <v>58.862716666666699</v>
      </c>
    </row>
    <row r="1707" spans="1:7" x14ac:dyDescent="0.35">
      <c r="A1707" t="s">
        <v>847</v>
      </c>
      <c r="B1707" t="s">
        <v>680</v>
      </c>
      <c r="C1707" s="83">
        <v>46045</v>
      </c>
      <c r="D1707" t="s">
        <v>683</v>
      </c>
      <c r="E1707" t="s">
        <v>334</v>
      </c>
      <c r="F1707">
        <v>10</v>
      </c>
      <c r="G1707">
        <v>11.994450000000001</v>
      </c>
    </row>
    <row r="1708" spans="1:7" x14ac:dyDescent="0.35">
      <c r="A1708" t="s">
        <v>847</v>
      </c>
      <c r="B1708" t="s">
        <v>680</v>
      </c>
      <c r="C1708" s="83">
        <v>46045</v>
      </c>
      <c r="D1708" t="s">
        <v>689</v>
      </c>
      <c r="E1708" t="s">
        <v>298</v>
      </c>
      <c r="F1708">
        <v>17</v>
      </c>
      <c r="G1708">
        <v>18.3232</v>
      </c>
    </row>
    <row r="1709" spans="1:7" x14ac:dyDescent="0.35">
      <c r="A1709" t="s">
        <v>847</v>
      </c>
      <c r="B1709" t="s">
        <v>680</v>
      </c>
      <c r="C1709" s="83">
        <v>46045</v>
      </c>
      <c r="D1709" t="s">
        <v>689</v>
      </c>
      <c r="E1709" t="s">
        <v>332</v>
      </c>
      <c r="F1709">
        <v>16</v>
      </c>
      <c r="G1709">
        <v>13.3332333333333</v>
      </c>
    </row>
    <row r="1710" spans="1:7" x14ac:dyDescent="0.35">
      <c r="A1710" t="s">
        <v>847</v>
      </c>
      <c r="B1710" t="s">
        <v>680</v>
      </c>
      <c r="C1710" s="83">
        <v>46045</v>
      </c>
      <c r="D1710" t="s">
        <v>689</v>
      </c>
      <c r="E1710" t="s">
        <v>296</v>
      </c>
      <c r="F1710">
        <v>11</v>
      </c>
      <c r="G1710">
        <v>7.3283500000000004</v>
      </c>
    </row>
    <row r="1711" spans="1:7" x14ac:dyDescent="0.35">
      <c r="A1711" t="s">
        <v>847</v>
      </c>
      <c r="B1711" t="s">
        <v>680</v>
      </c>
      <c r="C1711" s="83">
        <v>46045</v>
      </c>
      <c r="D1711" t="s">
        <v>684</v>
      </c>
      <c r="E1711" t="s">
        <v>300</v>
      </c>
      <c r="F1711">
        <v>6</v>
      </c>
      <c r="G1711">
        <v>9.4890166666666698</v>
      </c>
    </row>
    <row r="1712" spans="1:7" x14ac:dyDescent="0.35">
      <c r="A1712" t="s">
        <v>847</v>
      </c>
      <c r="B1712" t="s">
        <v>680</v>
      </c>
      <c r="C1712" s="83">
        <v>46045</v>
      </c>
      <c r="D1712" t="s">
        <v>684</v>
      </c>
      <c r="E1712" t="s">
        <v>296</v>
      </c>
      <c r="F1712">
        <v>5</v>
      </c>
      <c r="G1712">
        <v>2.8359666666666699</v>
      </c>
    </row>
    <row r="1713" spans="1:7" x14ac:dyDescent="0.35">
      <c r="A1713" t="s">
        <v>847</v>
      </c>
      <c r="B1713" t="s">
        <v>680</v>
      </c>
      <c r="C1713" s="83">
        <v>46045</v>
      </c>
      <c r="D1713" t="s">
        <v>684</v>
      </c>
      <c r="E1713" t="s">
        <v>298</v>
      </c>
      <c r="F1713">
        <v>5</v>
      </c>
      <c r="G1713">
        <v>5.1730499999999999</v>
      </c>
    </row>
    <row r="1714" spans="1:7" x14ac:dyDescent="0.35">
      <c r="A1714" t="s">
        <v>847</v>
      </c>
      <c r="B1714" t="s">
        <v>680</v>
      </c>
      <c r="C1714" s="83">
        <v>46045</v>
      </c>
      <c r="D1714" t="s">
        <v>687</v>
      </c>
      <c r="E1714" t="s">
        <v>742</v>
      </c>
      <c r="F1714">
        <v>6</v>
      </c>
      <c r="G1714">
        <v>30.5104166666667</v>
      </c>
    </row>
    <row r="1715" spans="1:7" x14ac:dyDescent="0.35">
      <c r="A1715" t="s">
        <v>847</v>
      </c>
      <c r="B1715" t="s">
        <v>680</v>
      </c>
      <c r="C1715" s="83">
        <v>46045</v>
      </c>
      <c r="D1715" t="s">
        <v>687</v>
      </c>
      <c r="E1715" t="s">
        <v>726</v>
      </c>
      <c r="F1715">
        <v>4</v>
      </c>
      <c r="G1715">
        <v>2.1684000000000001</v>
      </c>
    </row>
    <row r="1716" spans="1:7" x14ac:dyDescent="0.35">
      <c r="A1716" t="s">
        <v>847</v>
      </c>
      <c r="B1716" t="s">
        <v>680</v>
      </c>
      <c r="C1716" s="83">
        <v>46045</v>
      </c>
      <c r="D1716" t="s">
        <v>687</v>
      </c>
      <c r="E1716" t="s">
        <v>718</v>
      </c>
      <c r="F1716">
        <v>2</v>
      </c>
      <c r="G1716">
        <v>0.17178333333333301</v>
      </c>
    </row>
    <row r="1717" spans="1:7" x14ac:dyDescent="0.35">
      <c r="A1717" t="s">
        <v>847</v>
      </c>
      <c r="B1717" t="s">
        <v>680</v>
      </c>
      <c r="C1717" s="83">
        <v>46045</v>
      </c>
      <c r="D1717" t="s">
        <v>690</v>
      </c>
      <c r="E1717" t="s">
        <v>321</v>
      </c>
      <c r="F1717">
        <v>7</v>
      </c>
      <c r="G1717">
        <v>8.6782833333333294</v>
      </c>
    </row>
    <row r="1718" spans="1:7" x14ac:dyDescent="0.35">
      <c r="A1718" t="s">
        <v>847</v>
      </c>
      <c r="B1718" t="s">
        <v>680</v>
      </c>
      <c r="C1718" s="83">
        <v>46045</v>
      </c>
      <c r="D1718" t="s">
        <v>690</v>
      </c>
      <c r="E1718" t="s">
        <v>720</v>
      </c>
      <c r="F1718">
        <v>7</v>
      </c>
      <c r="G1718">
        <v>5.6685333333333299</v>
      </c>
    </row>
    <row r="1719" spans="1:7" x14ac:dyDescent="0.35">
      <c r="A1719" t="s">
        <v>847</v>
      </c>
      <c r="B1719" t="s">
        <v>680</v>
      </c>
      <c r="C1719" s="83">
        <v>46045</v>
      </c>
      <c r="D1719" t="s">
        <v>690</v>
      </c>
      <c r="E1719" t="s">
        <v>311</v>
      </c>
      <c r="F1719">
        <v>2</v>
      </c>
      <c r="G1719">
        <v>0.49995000000000001</v>
      </c>
    </row>
    <row r="1720" spans="1:7" x14ac:dyDescent="0.35">
      <c r="A1720" t="s">
        <v>847</v>
      </c>
      <c r="B1720" t="s">
        <v>680</v>
      </c>
      <c r="C1720" s="83">
        <v>46045</v>
      </c>
      <c r="D1720" t="s">
        <v>685</v>
      </c>
      <c r="E1720" t="s">
        <v>311</v>
      </c>
      <c r="F1720">
        <v>19</v>
      </c>
      <c r="G1720">
        <v>18.824300000000001</v>
      </c>
    </row>
    <row r="1721" spans="1:7" x14ac:dyDescent="0.35">
      <c r="A1721" t="s">
        <v>847</v>
      </c>
      <c r="B1721" t="s">
        <v>680</v>
      </c>
      <c r="C1721" s="83">
        <v>46045</v>
      </c>
      <c r="D1721" t="s">
        <v>685</v>
      </c>
      <c r="E1721" t="s">
        <v>734</v>
      </c>
      <c r="F1721">
        <v>7</v>
      </c>
      <c r="G1721">
        <v>6.5033666666666701</v>
      </c>
    </row>
    <row r="1722" spans="1:7" x14ac:dyDescent="0.35">
      <c r="A1722" t="s">
        <v>847</v>
      </c>
      <c r="B1722" t="s">
        <v>680</v>
      </c>
      <c r="C1722" s="83">
        <v>46045</v>
      </c>
      <c r="D1722" t="s">
        <v>685</v>
      </c>
      <c r="E1722" t="s">
        <v>316</v>
      </c>
      <c r="F1722">
        <v>5</v>
      </c>
      <c r="G1722">
        <v>3.1806666666666699</v>
      </c>
    </row>
    <row r="1723" spans="1:7" x14ac:dyDescent="0.35">
      <c r="A1723" t="s">
        <v>847</v>
      </c>
      <c r="B1723" t="s">
        <v>680</v>
      </c>
      <c r="C1723" s="83">
        <v>46046</v>
      </c>
      <c r="D1723" t="s">
        <v>681</v>
      </c>
      <c r="E1723" t="s">
        <v>296</v>
      </c>
      <c r="F1723">
        <v>43</v>
      </c>
      <c r="G1723">
        <v>14.481666666666699</v>
      </c>
    </row>
    <row r="1724" spans="1:7" x14ac:dyDescent="0.35">
      <c r="A1724" t="s">
        <v>847</v>
      </c>
      <c r="B1724" t="s">
        <v>680</v>
      </c>
      <c r="C1724" s="83">
        <v>46046</v>
      </c>
      <c r="D1724" t="s">
        <v>681</v>
      </c>
      <c r="E1724" t="s">
        <v>297</v>
      </c>
      <c r="F1724">
        <v>32</v>
      </c>
      <c r="G1724">
        <v>11.985250000000001</v>
      </c>
    </row>
    <row r="1725" spans="1:7" x14ac:dyDescent="0.35">
      <c r="A1725" t="s">
        <v>847</v>
      </c>
      <c r="B1725" t="s">
        <v>680</v>
      </c>
      <c r="C1725" s="83">
        <v>46046</v>
      </c>
      <c r="D1725" t="s">
        <v>681</v>
      </c>
      <c r="E1725" t="s">
        <v>332</v>
      </c>
      <c r="F1725">
        <v>17</v>
      </c>
      <c r="G1725">
        <v>9.1711500000000008</v>
      </c>
    </row>
    <row r="1726" spans="1:7" x14ac:dyDescent="0.35">
      <c r="A1726" t="s">
        <v>847</v>
      </c>
      <c r="B1726" t="s">
        <v>680</v>
      </c>
      <c r="C1726" s="83">
        <v>46046</v>
      </c>
      <c r="D1726" t="s">
        <v>683</v>
      </c>
      <c r="E1726" t="s">
        <v>296</v>
      </c>
      <c r="F1726">
        <v>132</v>
      </c>
      <c r="G1726">
        <v>47.525449999999999</v>
      </c>
    </row>
    <row r="1727" spans="1:7" x14ac:dyDescent="0.35">
      <c r="A1727" t="s">
        <v>847</v>
      </c>
      <c r="B1727" t="s">
        <v>680</v>
      </c>
      <c r="C1727" s="83">
        <v>46046</v>
      </c>
      <c r="D1727" t="s">
        <v>683</v>
      </c>
      <c r="E1727" t="s">
        <v>298</v>
      </c>
      <c r="F1727">
        <v>43</v>
      </c>
      <c r="G1727">
        <v>69.184133333333307</v>
      </c>
    </row>
    <row r="1728" spans="1:7" x14ac:dyDescent="0.35">
      <c r="A1728" t="s">
        <v>847</v>
      </c>
      <c r="B1728" t="s">
        <v>680</v>
      </c>
      <c r="C1728" s="83">
        <v>46046</v>
      </c>
      <c r="D1728" t="s">
        <v>683</v>
      </c>
      <c r="E1728" t="s">
        <v>297</v>
      </c>
      <c r="F1728">
        <v>35</v>
      </c>
      <c r="G1728">
        <v>16.183533333333301</v>
      </c>
    </row>
    <row r="1729" spans="1:7" x14ac:dyDescent="0.35">
      <c r="A1729" t="s">
        <v>847</v>
      </c>
      <c r="B1729" t="s">
        <v>680</v>
      </c>
      <c r="C1729" s="83">
        <v>46046</v>
      </c>
      <c r="D1729" t="s">
        <v>689</v>
      </c>
      <c r="E1729" t="s">
        <v>297</v>
      </c>
      <c r="F1729">
        <v>12</v>
      </c>
      <c r="G1729">
        <v>3.8455833333333298</v>
      </c>
    </row>
    <row r="1730" spans="1:7" x14ac:dyDescent="0.35">
      <c r="A1730" t="s">
        <v>847</v>
      </c>
      <c r="B1730" t="s">
        <v>680</v>
      </c>
      <c r="C1730" s="83">
        <v>46046</v>
      </c>
      <c r="D1730" t="s">
        <v>689</v>
      </c>
      <c r="E1730" t="s">
        <v>334</v>
      </c>
      <c r="F1730">
        <v>8</v>
      </c>
      <c r="G1730">
        <v>5.3264333333333296</v>
      </c>
    </row>
    <row r="1731" spans="1:7" x14ac:dyDescent="0.35">
      <c r="A1731" t="s">
        <v>847</v>
      </c>
      <c r="B1731" t="s">
        <v>680</v>
      </c>
      <c r="C1731" s="83">
        <v>46046</v>
      </c>
      <c r="D1731" t="s">
        <v>689</v>
      </c>
      <c r="E1731" t="s">
        <v>296</v>
      </c>
      <c r="F1731">
        <v>8</v>
      </c>
      <c r="G1731">
        <v>9.4969166666666691</v>
      </c>
    </row>
    <row r="1732" spans="1:7" x14ac:dyDescent="0.35">
      <c r="A1732" t="s">
        <v>847</v>
      </c>
      <c r="B1732" t="s">
        <v>680</v>
      </c>
      <c r="C1732" s="83">
        <v>46046</v>
      </c>
      <c r="D1732" t="s">
        <v>684</v>
      </c>
      <c r="E1732" t="s">
        <v>298</v>
      </c>
      <c r="F1732">
        <v>7</v>
      </c>
      <c r="G1732">
        <v>7.0004833333333298</v>
      </c>
    </row>
    <row r="1733" spans="1:7" x14ac:dyDescent="0.35">
      <c r="A1733" t="s">
        <v>847</v>
      </c>
      <c r="B1733" t="s">
        <v>680</v>
      </c>
      <c r="C1733" s="83">
        <v>46046</v>
      </c>
      <c r="D1733" t="s">
        <v>684</v>
      </c>
      <c r="E1733" t="s">
        <v>296</v>
      </c>
      <c r="F1733">
        <v>6</v>
      </c>
      <c r="G1733">
        <v>1.49993333333333</v>
      </c>
    </row>
    <row r="1734" spans="1:7" x14ac:dyDescent="0.35">
      <c r="A1734" t="s">
        <v>847</v>
      </c>
      <c r="B1734" t="s">
        <v>680</v>
      </c>
      <c r="C1734" s="83">
        <v>46046</v>
      </c>
      <c r="D1734" t="s">
        <v>684</v>
      </c>
      <c r="E1734" t="s">
        <v>332</v>
      </c>
      <c r="F1734">
        <v>3</v>
      </c>
      <c r="G1734">
        <v>0.50019999999999998</v>
      </c>
    </row>
    <row r="1735" spans="1:7" x14ac:dyDescent="0.35">
      <c r="A1735" t="s">
        <v>847</v>
      </c>
      <c r="B1735" t="s">
        <v>680</v>
      </c>
      <c r="C1735" s="83">
        <v>46046</v>
      </c>
      <c r="D1735" t="s">
        <v>687</v>
      </c>
      <c r="E1735" t="s">
        <v>726</v>
      </c>
      <c r="F1735">
        <v>6</v>
      </c>
      <c r="G1735">
        <v>5.6687333333333303</v>
      </c>
    </row>
    <row r="1736" spans="1:7" x14ac:dyDescent="0.35">
      <c r="A1736" t="s">
        <v>847</v>
      </c>
      <c r="B1736" t="s">
        <v>680</v>
      </c>
      <c r="C1736" s="83">
        <v>46046</v>
      </c>
      <c r="D1736" t="s">
        <v>687</v>
      </c>
      <c r="E1736" t="s">
        <v>735</v>
      </c>
      <c r="F1736">
        <v>2</v>
      </c>
      <c r="G1736">
        <v>0.83408333333333295</v>
      </c>
    </row>
    <row r="1737" spans="1:7" x14ac:dyDescent="0.35">
      <c r="A1737" t="s">
        <v>847</v>
      </c>
      <c r="B1737" t="s">
        <v>680</v>
      </c>
      <c r="C1737" s="83">
        <v>46046</v>
      </c>
      <c r="D1737" t="s">
        <v>687</v>
      </c>
      <c r="E1737" t="s">
        <v>733</v>
      </c>
      <c r="F1737">
        <v>2</v>
      </c>
      <c r="G1737">
        <v>0.17248333333333299</v>
      </c>
    </row>
    <row r="1738" spans="1:7" x14ac:dyDescent="0.35">
      <c r="A1738" t="s">
        <v>847</v>
      </c>
      <c r="B1738" t="s">
        <v>680</v>
      </c>
      <c r="C1738" s="83">
        <v>46046</v>
      </c>
      <c r="D1738" t="s">
        <v>690</v>
      </c>
      <c r="E1738" t="s">
        <v>311</v>
      </c>
      <c r="F1738">
        <v>14</v>
      </c>
      <c r="G1738">
        <v>33.3234833333333</v>
      </c>
    </row>
    <row r="1739" spans="1:7" x14ac:dyDescent="0.35">
      <c r="A1739" t="s">
        <v>847</v>
      </c>
      <c r="B1739" t="s">
        <v>680</v>
      </c>
      <c r="C1739" s="83">
        <v>46046</v>
      </c>
      <c r="D1739" t="s">
        <v>690</v>
      </c>
      <c r="E1739" t="s">
        <v>720</v>
      </c>
      <c r="F1739">
        <v>6</v>
      </c>
      <c r="G1739">
        <v>3.50776666666667</v>
      </c>
    </row>
    <row r="1740" spans="1:7" x14ac:dyDescent="0.35">
      <c r="A1740" t="s">
        <v>847</v>
      </c>
      <c r="B1740" t="s">
        <v>680</v>
      </c>
      <c r="C1740" s="83">
        <v>46046</v>
      </c>
      <c r="D1740" t="s">
        <v>690</v>
      </c>
      <c r="E1740" t="s">
        <v>316</v>
      </c>
      <c r="F1740">
        <v>4</v>
      </c>
      <c r="G1740">
        <v>3.3333833333333298</v>
      </c>
    </row>
    <row r="1741" spans="1:7" x14ac:dyDescent="0.35">
      <c r="A1741" t="s">
        <v>847</v>
      </c>
      <c r="B1741" t="s">
        <v>680</v>
      </c>
      <c r="C1741" s="83">
        <v>46046</v>
      </c>
      <c r="D1741" t="s">
        <v>685</v>
      </c>
      <c r="E1741" t="s">
        <v>311</v>
      </c>
      <c r="F1741">
        <v>28</v>
      </c>
      <c r="G1741">
        <v>20.7129333333333</v>
      </c>
    </row>
    <row r="1742" spans="1:7" x14ac:dyDescent="0.35">
      <c r="A1742" t="s">
        <v>847</v>
      </c>
      <c r="B1742" t="s">
        <v>680</v>
      </c>
      <c r="C1742" s="83">
        <v>46046</v>
      </c>
      <c r="D1742" t="s">
        <v>685</v>
      </c>
      <c r="E1742" t="s">
        <v>734</v>
      </c>
      <c r="F1742">
        <v>8</v>
      </c>
      <c r="G1742">
        <v>5.3468166666666699</v>
      </c>
    </row>
    <row r="1743" spans="1:7" x14ac:dyDescent="0.35">
      <c r="A1743" t="s">
        <v>847</v>
      </c>
      <c r="B1743" t="s">
        <v>680</v>
      </c>
      <c r="C1743" s="83">
        <v>46046</v>
      </c>
      <c r="D1743" t="s">
        <v>685</v>
      </c>
      <c r="E1743" t="s">
        <v>720</v>
      </c>
      <c r="F1743">
        <v>6</v>
      </c>
      <c r="G1743">
        <v>4.3333000000000004</v>
      </c>
    </row>
    <row r="1744" spans="1:7" x14ac:dyDescent="0.35">
      <c r="A1744" t="s">
        <v>847</v>
      </c>
      <c r="B1744" t="s">
        <v>680</v>
      </c>
      <c r="C1744" s="83">
        <v>46047</v>
      </c>
      <c r="D1744" t="s">
        <v>681</v>
      </c>
      <c r="E1744" t="s">
        <v>296</v>
      </c>
      <c r="F1744">
        <v>22</v>
      </c>
      <c r="G1744">
        <v>6.3262833333333299</v>
      </c>
    </row>
    <row r="1745" spans="1:7" x14ac:dyDescent="0.35">
      <c r="A1745" t="s">
        <v>847</v>
      </c>
      <c r="B1745" t="s">
        <v>680</v>
      </c>
      <c r="C1745" s="83">
        <v>46047</v>
      </c>
      <c r="D1745" t="s">
        <v>681</v>
      </c>
      <c r="E1745" t="s">
        <v>728</v>
      </c>
      <c r="F1745">
        <v>13</v>
      </c>
      <c r="G1745">
        <v>14.17915</v>
      </c>
    </row>
    <row r="1746" spans="1:7" x14ac:dyDescent="0.35">
      <c r="A1746" t="s">
        <v>847</v>
      </c>
      <c r="B1746" t="s">
        <v>680</v>
      </c>
      <c r="C1746" s="83">
        <v>46047</v>
      </c>
      <c r="D1746" t="s">
        <v>681</v>
      </c>
      <c r="E1746" t="s">
        <v>298</v>
      </c>
      <c r="F1746">
        <v>11</v>
      </c>
      <c r="G1746">
        <v>12.329333333333301</v>
      </c>
    </row>
    <row r="1747" spans="1:7" x14ac:dyDescent="0.35">
      <c r="A1747" t="s">
        <v>847</v>
      </c>
      <c r="B1747" t="s">
        <v>680</v>
      </c>
      <c r="C1747" s="83">
        <v>46047</v>
      </c>
      <c r="D1747" t="s">
        <v>683</v>
      </c>
      <c r="E1747" t="s">
        <v>296</v>
      </c>
      <c r="F1747">
        <v>62</v>
      </c>
      <c r="G1747">
        <v>20.052350000000001</v>
      </c>
    </row>
    <row r="1748" spans="1:7" x14ac:dyDescent="0.35">
      <c r="A1748" t="s">
        <v>847</v>
      </c>
      <c r="B1748" t="s">
        <v>680</v>
      </c>
      <c r="C1748" s="83">
        <v>46047</v>
      </c>
      <c r="D1748" t="s">
        <v>683</v>
      </c>
      <c r="E1748" t="s">
        <v>298</v>
      </c>
      <c r="F1748">
        <v>20</v>
      </c>
      <c r="G1748">
        <v>28.820733333333301</v>
      </c>
    </row>
    <row r="1749" spans="1:7" x14ac:dyDescent="0.35">
      <c r="A1749" t="s">
        <v>847</v>
      </c>
      <c r="B1749" t="s">
        <v>680</v>
      </c>
      <c r="C1749" s="83">
        <v>46047</v>
      </c>
      <c r="D1749" t="s">
        <v>683</v>
      </c>
      <c r="E1749" t="s">
        <v>297</v>
      </c>
      <c r="F1749">
        <v>17</v>
      </c>
      <c r="G1749">
        <v>6.6508833333333301</v>
      </c>
    </row>
    <row r="1750" spans="1:7" x14ac:dyDescent="0.35">
      <c r="A1750" t="s">
        <v>847</v>
      </c>
      <c r="B1750" t="s">
        <v>680</v>
      </c>
      <c r="C1750" s="83">
        <v>46047</v>
      </c>
      <c r="D1750" t="s">
        <v>689</v>
      </c>
      <c r="E1750" t="s">
        <v>332</v>
      </c>
      <c r="F1750">
        <v>58</v>
      </c>
      <c r="G1750">
        <v>57.613716666666697</v>
      </c>
    </row>
    <row r="1751" spans="1:7" x14ac:dyDescent="0.35">
      <c r="A1751" t="s">
        <v>847</v>
      </c>
      <c r="B1751" t="s">
        <v>680</v>
      </c>
      <c r="C1751" s="83">
        <v>46047</v>
      </c>
      <c r="D1751" t="s">
        <v>689</v>
      </c>
      <c r="E1751" t="s">
        <v>296</v>
      </c>
      <c r="F1751">
        <v>30</v>
      </c>
      <c r="G1751">
        <v>5.9813999999999998</v>
      </c>
    </row>
    <row r="1752" spans="1:7" x14ac:dyDescent="0.35">
      <c r="A1752" t="s">
        <v>847</v>
      </c>
      <c r="B1752" t="s">
        <v>680</v>
      </c>
      <c r="C1752" s="83">
        <v>46047</v>
      </c>
      <c r="D1752" t="s">
        <v>689</v>
      </c>
      <c r="E1752" t="s">
        <v>297</v>
      </c>
      <c r="F1752">
        <v>16</v>
      </c>
      <c r="G1752">
        <v>5.1503666666666703</v>
      </c>
    </row>
    <row r="1753" spans="1:7" x14ac:dyDescent="0.35">
      <c r="A1753" t="s">
        <v>847</v>
      </c>
      <c r="B1753" t="s">
        <v>680</v>
      </c>
      <c r="C1753" s="83">
        <v>46047</v>
      </c>
      <c r="D1753" t="s">
        <v>684</v>
      </c>
      <c r="E1753" t="s">
        <v>296</v>
      </c>
      <c r="F1753">
        <v>30</v>
      </c>
      <c r="G1753">
        <v>12.65085</v>
      </c>
    </row>
    <row r="1754" spans="1:7" x14ac:dyDescent="0.35">
      <c r="A1754" t="s">
        <v>847</v>
      </c>
      <c r="B1754" t="s">
        <v>680</v>
      </c>
      <c r="C1754" s="83">
        <v>46047</v>
      </c>
      <c r="D1754" t="s">
        <v>684</v>
      </c>
      <c r="E1754" t="s">
        <v>297</v>
      </c>
      <c r="F1754">
        <v>10</v>
      </c>
      <c r="G1754">
        <v>4.6488666666666703</v>
      </c>
    </row>
    <row r="1755" spans="1:7" x14ac:dyDescent="0.35">
      <c r="A1755" t="s">
        <v>847</v>
      </c>
      <c r="B1755" t="s">
        <v>680</v>
      </c>
      <c r="C1755" s="83">
        <v>46047</v>
      </c>
      <c r="D1755" t="s">
        <v>684</v>
      </c>
      <c r="E1755" t="s">
        <v>300</v>
      </c>
      <c r="F1755">
        <v>4</v>
      </c>
      <c r="G1755">
        <v>6.9938000000000002</v>
      </c>
    </row>
    <row r="1756" spans="1:7" x14ac:dyDescent="0.35">
      <c r="A1756" t="s">
        <v>847</v>
      </c>
      <c r="B1756" t="s">
        <v>680</v>
      </c>
      <c r="C1756" s="83">
        <v>46047</v>
      </c>
      <c r="D1756" t="s">
        <v>687</v>
      </c>
      <c r="E1756" t="s">
        <v>735</v>
      </c>
      <c r="F1756">
        <v>2</v>
      </c>
      <c r="G1756">
        <v>1.5004833333333301</v>
      </c>
    </row>
    <row r="1757" spans="1:7" x14ac:dyDescent="0.35">
      <c r="A1757" t="s">
        <v>847</v>
      </c>
      <c r="B1757" t="s">
        <v>680</v>
      </c>
      <c r="C1757" s="83">
        <v>46047</v>
      </c>
      <c r="D1757" t="s">
        <v>687</v>
      </c>
      <c r="E1757" t="s">
        <v>718</v>
      </c>
      <c r="F1757">
        <v>2</v>
      </c>
      <c r="G1757">
        <v>0.50063333333333304</v>
      </c>
    </row>
    <row r="1758" spans="1:7" x14ac:dyDescent="0.35">
      <c r="A1758" t="s">
        <v>847</v>
      </c>
      <c r="B1758" t="s">
        <v>680</v>
      </c>
      <c r="C1758" s="83">
        <v>46047</v>
      </c>
      <c r="D1758" t="s">
        <v>687</v>
      </c>
      <c r="E1758" t="s">
        <v>745</v>
      </c>
      <c r="F1758">
        <v>2</v>
      </c>
      <c r="G1758">
        <v>4.16693333333333</v>
      </c>
    </row>
    <row r="1759" spans="1:7" x14ac:dyDescent="0.35">
      <c r="A1759" t="s">
        <v>847</v>
      </c>
      <c r="B1759" t="s">
        <v>680</v>
      </c>
      <c r="C1759" s="83">
        <v>46047</v>
      </c>
      <c r="D1759" t="s">
        <v>690</v>
      </c>
      <c r="E1759" t="s">
        <v>126</v>
      </c>
      <c r="F1759">
        <v>4</v>
      </c>
      <c r="G1759">
        <v>4.8348000000000004</v>
      </c>
    </row>
    <row r="1760" spans="1:7" x14ac:dyDescent="0.35">
      <c r="A1760" t="s">
        <v>847</v>
      </c>
      <c r="B1760" t="s">
        <v>680</v>
      </c>
      <c r="C1760" s="83">
        <v>46047</v>
      </c>
      <c r="D1760" t="s">
        <v>690</v>
      </c>
      <c r="E1760" t="s">
        <v>311</v>
      </c>
      <c r="F1760">
        <v>4</v>
      </c>
      <c r="G1760">
        <v>1.00701666666667</v>
      </c>
    </row>
    <row r="1761" spans="1:7" x14ac:dyDescent="0.35">
      <c r="A1761" t="s">
        <v>847</v>
      </c>
      <c r="B1761" t="s">
        <v>680</v>
      </c>
      <c r="C1761" s="83">
        <v>46047</v>
      </c>
      <c r="D1761" t="s">
        <v>690</v>
      </c>
      <c r="E1761" t="s">
        <v>720</v>
      </c>
      <c r="F1761">
        <v>3</v>
      </c>
      <c r="G1761">
        <v>0.66725000000000001</v>
      </c>
    </row>
    <row r="1762" spans="1:7" x14ac:dyDescent="0.35">
      <c r="A1762" t="s">
        <v>847</v>
      </c>
      <c r="B1762" t="s">
        <v>680</v>
      </c>
      <c r="C1762" s="83">
        <v>46047</v>
      </c>
      <c r="D1762" t="s">
        <v>685</v>
      </c>
      <c r="E1762" t="s">
        <v>311</v>
      </c>
      <c r="F1762">
        <v>33</v>
      </c>
      <c r="G1762">
        <v>27.660499999999999</v>
      </c>
    </row>
    <row r="1763" spans="1:7" x14ac:dyDescent="0.35">
      <c r="A1763" t="s">
        <v>847</v>
      </c>
      <c r="B1763" t="s">
        <v>680</v>
      </c>
      <c r="C1763" s="83">
        <v>46047</v>
      </c>
      <c r="D1763" t="s">
        <v>685</v>
      </c>
      <c r="E1763" t="s">
        <v>734</v>
      </c>
      <c r="F1763">
        <v>4</v>
      </c>
      <c r="G1763">
        <v>4.8276500000000002</v>
      </c>
    </row>
    <row r="1764" spans="1:7" x14ac:dyDescent="0.35">
      <c r="A1764" t="s">
        <v>847</v>
      </c>
      <c r="B1764" t="s">
        <v>680</v>
      </c>
      <c r="C1764" s="83">
        <v>46047</v>
      </c>
      <c r="D1764" t="s">
        <v>685</v>
      </c>
      <c r="E1764" t="s">
        <v>316</v>
      </c>
      <c r="F1764">
        <v>3</v>
      </c>
      <c r="G1764">
        <v>0.83398333333333297</v>
      </c>
    </row>
    <row r="1765" spans="1:7" x14ac:dyDescent="0.35">
      <c r="A1765" t="s">
        <v>847</v>
      </c>
      <c r="B1765" t="s">
        <v>680</v>
      </c>
      <c r="C1765" s="83">
        <v>46048</v>
      </c>
      <c r="D1765" t="s">
        <v>684</v>
      </c>
      <c r="E1765" t="s">
        <v>740</v>
      </c>
      <c r="F1765">
        <v>1</v>
      </c>
      <c r="G1765">
        <v>1110</v>
      </c>
    </row>
    <row r="1766" spans="1:7" x14ac:dyDescent="0.35">
      <c r="A1766" t="s">
        <v>847</v>
      </c>
      <c r="B1766" t="s">
        <v>680</v>
      </c>
      <c r="C1766" s="83">
        <v>46048</v>
      </c>
      <c r="D1766" t="s">
        <v>687</v>
      </c>
      <c r="E1766" t="s">
        <v>740</v>
      </c>
      <c r="F1766">
        <v>1</v>
      </c>
      <c r="G1766">
        <v>1440</v>
      </c>
    </row>
    <row r="1767" spans="1:7" x14ac:dyDescent="0.35">
      <c r="A1767" t="s">
        <v>847</v>
      </c>
      <c r="B1767" t="s">
        <v>680</v>
      </c>
      <c r="C1767" s="83">
        <v>46049</v>
      </c>
      <c r="D1767" t="s">
        <v>681</v>
      </c>
      <c r="E1767" t="s">
        <v>296</v>
      </c>
      <c r="F1767">
        <v>17</v>
      </c>
      <c r="G1767">
        <v>8.8239333333333292</v>
      </c>
    </row>
    <row r="1768" spans="1:7" x14ac:dyDescent="0.35">
      <c r="A1768" t="s">
        <v>847</v>
      </c>
      <c r="B1768" t="s">
        <v>680</v>
      </c>
      <c r="C1768" s="83">
        <v>46049</v>
      </c>
      <c r="D1768" t="s">
        <v>681</v>
      </c>
      <c r="E1768" t="s">
        <v>297</v>
      </c>
      <c r="F1768">
        <v>11</v>
      </c>
      <c r="G1768">
        <v>6.6659833333333296</v>
      </c>
    </row>
    <row r="1769" spans="1:7" x14ac:dyDescent="0.35">
      <c r="A1769" t="s">
        <v>847</v>
      </c>
      <c r="B1769" t="s">
        <v>680</v>
      </c>
      <c r="C1769" s="83">
        <v>46049</v>
      </c>
      <c r="D1769" t="s">
        <v>681</v>
      </c>
      <c r="E1769" t="s">
        <v>298</v>
      </c>
      <c r="F1769">
        <v>4</v>
      </c>
      <c r="G1769">
        <v>1.66563333333333</v>
      </c>
    </row>
    <row r="1770" spans="1:7" x14ac:dyDescent="0.35">
      <c r="A1770" t="s">
        <v>847</v>
      </c>
      <c r="B1770" t="s">
        <v>680</v>
      </c>
      <c r="C1770" s="83">
        <v>46049</v>
      </c>
      <c r="D1770" t="s">
        <v>683</v>
      </c>
      <c r="E1770" t="s">
        <v>296</v>
      </c>
      <c r="F1770">
        <v>31</v>
      </c>
      <c r="G1770">
        <v>15.5021166666667</v>
      </c>
    </row>
    <row r="1771" spans="1:7" x14ac:dyDescent="0.35">
      <c r="A1771" t="s">
        <v>847</v>
      </c>
      <c r="B1771" t="s">
        <v>680</v>
      </c>
      <c r="C1771" s="83">
        <v>46049</v>
      </c>
      <c r="D1771" t="s">
        <v>683</v>
      </c>
      <c r="E1771" t="s">
        <v>334</v>
      </c>
      <c r="F1771">
        <v>11</v>
      </c>
      <c r="G1771">
        <v>12.995950000000001</v>
      </c>
    </row>
    <row r="1772" spans="1:7" x14ac:dyDescent="0.35">
      <c r="A1772" t="s">
        <v>847</v>
      </c>
      <c r="B1772" t="s">
        <v>680</v>
      </c>
      <c r="C1772" s="83">
        <v>46049</v>
      </c>
      <c r="D1772" t="s">
        <v>683</v>
      </c>
      <c r="E1772" t="s">
        <v>298</v>
      </c>
      <c r="F1772">
        <v>11</v>
      </c>
      <c r="G1772">
        <v>14.3331</v>
      </c>
    </row>
    <row r="1773" spans="1:7" x14ac:dyDescent="0.35">
      <c r="A1773" t="s">
        <v>847</v>
      </c>
      <c r="B1773" t="s">
        <v>680</v>
      </c>
      <c r="C1773" s="83">
        <v>46049</v>
      </c>
      <c r="D1773" t="s">
        <v>689</v>
      </c>
      <c r="E1773" t="s">
        <v>297</v>
      </c>
      <c r="F1773">
        <v>28</v>
      </c>
      <c r="G1773">
        <v>14.1308166666667</v>
      </c>
    </row>
    <row r="1774" spans="1:7" x14ac:dyDescent="0.35">
      <c r="A1774" t="s">
        <v>847</v>
      </c>
      <c r="B1774" t="s">
        <v>680</v>
      </c>
      <c r="C1774" s="83">
        <v>46049</v>
      </c>
      <c r="D1774" t="s">
        <v>689</v>
      </c>
      <c r="E1774" t="s">
        <v>332</v>
      </c>
      <c r="F1774">
        <v>8</v>
      </c>
      <c r="G1774">
        <v>5.4742166666666696</v>
      </c>
    </row>
    <row r="1775" spans="1:7" x14ac:dyDescent="0.35">
      <c r="A1775" t="s">
        <v>847</v>
      </c>
      <c r="B1775" t="s">
        <v>680</v>
      </c>
      <c r="C1775" s="83">
        <v>46049</v>
      </c>
      <c r="D1775" t="s">
        <v>689</v>
      </c>
      <c r="E1775" t="s">
        <v>334</v>
      </c>
      <c r="F1775">
        <v>4</v>
      </c>
      <c r="G1775">
        <v>0.841716666666667</v>
      </c>
    </row>
    <row r="1776" spans="1:7" x14ac:dyDescent="0.35">
      <c r="A1776" t="s">
        <v>847</v>
      </c>
      <c r="B1776" t="s">
        <v>680</v>
      </c>
      <c r="C1776" s="83">
        <v>46049</v>
      </c>
      <c r="D1776" t="s">
        <v>684</v>
      </c>
      <c r="E1776" t="s">
        <v>297</v>
      </c>
      <c r="F1776">
        <v>4</v>
      </c>
      <c r="G1776">
        <v>1.83283333333333</v>
      </c>
    </row>
    <row r="1777" spans="1:7" x14ac:dyDescent="0.35">
      <c r="A1777" t="s">
        <v>847</v>
      </c>
      <c r="B1777" t="s">
        <v>680</v>
      </c>
      <c r="C1777" s="83">
        <v>46049</v>
      </c>
      <c r="D1777" t="s">
        <v>684</v>
      </c>
      <c r="E1777" t="s">
        <v>296</v>
      </c>
      <c r="F1777">
        <v>4</v>
      </c>
      <c r="G1777">
        <v>0.99958333333333305</v>
      </c>
    </row>
    <row r="1778" spans="1:7" x14ac:dyDescent="0.35">
      <c r="A1778" t="s">
        <v>847</v>
      </c>
      <c r="B1778" t="s">
        <v>680</v>
      </c>
      <c r="C1778" s="83">
        <v>46049</v>
      </c>
      <c r="D1778" t="s">
        <v>684</v>
      </c>
      <c r="E1778" t="s">
        <v>740</v>
      </c>
      <c r="F1778">
        <v>2</v>
      </c>
      <c r="G1778">
        <v>589.5222</v>
      </c>
    </row>
    <row r="1779" spans="1:7" x14ac:dyDescent="0.35">
      <c r="A1779" t="s">
        <v>847</v>
      </c>
      <c r="B1779" t="s">
        <v>680</v>
      </c>
      <c r="C1779" s="83">
        <v>46049</v>
      </c>
      <c r="D1779" t="s">
        <v>687</v>
      </c>
      <c r="E1779" t="s">
        <v>719</v>
      </c>
      <c r="F1779">
        <v>5</v>
      </c>
      <c r="G1779">
        <v>2.99291666666667</v>
      </c>
    </row>
    <row r="1780" spans="1:7" x14ac:dyDescent="0.35">
      <c r="A1780" t="s">
        <v>847</v>
      </c>
      <c r="B1780" t="s">
        <v>680</v>
      </c>
      <c r="C1780" s="83">
        <v>46049</v>
      </c>
      <c r="D1780" t="s">
        <v>687</v>
      </c>
      <c r="E1780" t="s">
        <v>745</v>
      </c>
      <c r="F1780">
        <v>3</v>
      </c>
      <c r="G1780">
        <v>3.1652166666666699</v>
      </c>
    </row>
    <row r="1781" spans="1:7" x14ac:dyDescent="0.35">
      <c r="A1781" t="s">
        <v>847</v>
      </c>
      <c r="B1781" t="s">
        <v>680</v>
      </c>
      <c r="C1781" s="83">
        <v>46049</v>
      </c>
      <c r="D1781" t="s">
        <v>687</v>
      </c>
      <c r="E1781" t="s">
        <v>726</v>
      </c>
      <c r="F1781">
        <v>3</v>
      </c>
      <c r="G1781">
        <v>15.992749999999999</v>
      </c>
    </row>
    <row r="1782" spans="1:7" x14ac:dyDescent="0.35">
      <c r="A1782" t="s">
        <v>847</v>
      </c>
      <c r="B1782" t="s">
        <v>680</v>
      </c>
      <c r="C1782" s="83">
        <v>46049</v>
      </c>
      <c r="D1782" t="s">
        <v>690</v>
      </c>
      <c r="E1782" t="s">
        <v>321</v>
      </c>
      <c r="F1782">
        <v>6</v>
      </c>
      <c r="G1782">
        <v>2.0063499999999999</v>
      </c>
    </row>
    <row r="1783" spans="1:7" x14ac:dyDescent="0.35">
      <c r="A1783" t="s">
        <v>847</v>
      </c>
      <c r="B1783" t="s">
        <v>680</v>
      </c>
      <c r="C1783" s="83">
        <v>46049</v>
      </c>
      <c r="D1783" t="s">
        <v>690</v>
      </c>
      <c r="E1783" t="s">
        <v>640</v>
      </c>
      <c r="F1783">
        <v>3</v>
      </c>
      <c r="G1783">
        <v>1.3270166666666701</v>
      </c>
    </row>
    <row r="1784" spans="1:7" x14ac:dyDescent="0.35">
      <c r="A1784" t="s">
        <v>847</v>
      </c>
      <c r="B1784" t="s">
        <v>680</v>
      </c>
      <c r="C1784" s="83">
        <v>46049</v>
      </c>
      <c r="D1784" t="s">
        <v>690</v>
      </c>
      <c r="E1784" t="s">
        <v>720</v>
      </c>
      <c r="F1784">
        <v>2</v>
      </c>
      <c r="G1784">
        <v>0.83393333333333297</v>
      </c>
    </row>
    <row r="1785" spans="1:7" x14ac:dyDescent="0.35">
      <c r="A1785" t="s">
        <v>847</v>
      </c>
      <c r="B1785" t="s">
        <v>680</v>
      </c>
      <c r="C1785" s="83">
        <v>46049</v>
      </c>
      <c r="D1785" t="s">
        <v>685</v>
      </c>
      <c r="E1785" t="s">
        <v>311</v>
      </c>
      <c r="F1785">
        <v>2</v>
      </c>
      <c r="G1785">
        <v>0.50008333333333299</v>
      </c>
    </row>
    <row r="1786" spans="1:7" x14ac:dyDescent="0.35">
      <c r="A1786" t="s">
        <v>847</v>
      </c>
      <c r="B1786" t="s">
        <v>680</v>
      </c>
      <c r="C1786" s="83">
        <v>46049</v>
      </c>
      <c r="D1786" t="s">
        <v>685</v>
      </c>
      <c r="E1786" t="s">
        <v>732</v>
      </c>
      <c r="F1786">
        <v>2</v>
      </c>
      <c r="G1786">
        <v>0.997983333333333</v>
      </c>
    </row>
    <row r="1787" spans="1:7" x14ac:dyDescent="0.35">
      <c r="A1787" t="s">
        <v>847</v>
      </c>
      <c r="B1787" t="s">
        <v>680</v>
      </c>
      <c r="C1787" s="83">
        <v>46049</v>
      </c>
      <c r="D1787" t="s">
        <v>685</v>
      </c>
      <c r="E1787" t="s">
        <v>312</v>
      </c>
      <c r="F1787">
        <v>2</v>
      </c>
      <c r="G1787">
        <v>54.571649999999998</v>
      </c>
    </row>
    <row r="1788" spans="1:7" x14ac:dyDescent="0.35">
      <c r="A1788" t="s">
        <v>847</v>
      </c>
      <c r="B1788" t="s">
        <v>680</v>
      </c>
      <c r="C1788" s="83">
        <v>46050</v>
      </c>
      <c r="D1788" t="s">
        <v>681</v>
      </c>
      <c r="E1788" t="s">
        <v>332</v>
      </c>
      <c r="F1788">
        <v>31</v>
      </c>
      <c r="G1788">
        <v>31.9968166666667</v>
      </c>
    </row>
    <row r="1789" spans="1:7" x14ac:dyDescent="0.35">
      <c r="A1789" t="s">
        <v>847</v>
      </c>
      <c r="B1789" t="s">
        <v>680</v>
      </c>
      <c r="C1789" s="83">
        <v>46050</v>
      </c>
      <c r="D1789" t="s">
        <v>681</v>
      </c>
      <c r="E1789" t="s">
        <v>297</v>
      </c>
      <c r="F1789">
        <v>17</v>
      </c>
      <c r="G1789">
        <v>5.6641500000000002</v>
      </c>
    </row>
    <row r="1790" spans="1:7" x14ac:dyDescent="0.35">
      <c r="A1790" t="s">
        <v>847</v>
      </c>
      <c r="B1790" t="s">
        <v>680</v>
      </c>
      <c r="C1790" s="83">
        <v>46050</v>
      </c>
      <c r="D1790" t="s">
        <v>681</v>
      </c>
      <c r="E1790" t="s">
        <v>298</v>
      </c>
      <c r="F1790">
        <v>15</v>
      </c>
      <c r="G1790">
        <v>20.997800000000002</v>
      </c>
    </row>
    <row r="1791" spans="1:7" x14ac:dyDescent="0.35">
      <c r="A1791" t="s">
        <v>847</v>
      </c>
      <c r="B1791" t="s">
        <v>680</v>
      </c>
      <c r="C1791" s="83">
        <v>46050</v>
      </c>
      <c r="D1791" t="s">
        <v>683</v>
      </c>
      <c r="E1791" t="s">
        <v>298</v>
      </c>
      <c r="F1791">
        <v>17</v>
      </c>
      <c r="G1791">
        <v>19.981383333333302</v>
      </c>
    </row>
    <row r="1792" spans="1:7" x14ac:dyDescent="0.35">
      <c r="A1792" t="s">
        <v>847</v>
      </c>
      <c r="B1792" t="s">
        <v>680</v>
      </c>
      <c r="C1792" s="83">
        <v>46050</v>
      </c>
      <c r="D1792" t="s">
        <v>683</v>
      </c>
      <c r="E1792" t="s">
        <v>296</v>
      </c>
      <c r="F1792">
        <v>13</v>
      </c>
      <c r="G1792">
        <v>3.9977</v>
      </c>
    </row>
    <row r="1793" spans="1:7" x14ac:dyDescent="0.35">
      <c r="A1793" t="s">
        <v>847</v>
      </c>
      <c r="B1793" t="s">
        <v>680</v>
      </c>
      <c r="C1793" s="83">
        <v>46050</v>
      </c>
      <c r="D1793" t="s">
        <v>683</v>
      </c>
      <c r="E1793" t="s">
        <v>334</v>
      </c>
      <c r="F1793">
        <v>9</v>
      </c>
      <c r="G1793">
        <v>34.821516666666703</v>
      </c>
    </row>
    <row r="1794" spans="1:7" x14ac:dyDescent="0.35">
      <c r="A1794" t="s">
        <v>847</v>
      </c>
      <c r="B1794" t="s">
        <v>680</v>
      </c>
      <c r="C1794" s="83">
        <v>46050</v>
      </c>
      <c r="D1794" t="s">
        <v>689</v>
      </c>
      <c r="E1794" t="s">
        <v>297</v>
      </c>
      <c r="F1794">
        <v>19</v>
      </c>
      <c r="G1794">
        <v>5.3272166666666703</v>
      </c>
    </row>
    <row r="1795" spans="1:7" x14ac:dyDescent="0.35">
      <c r="A1795" t="s">
        <v>847</v>
      </c>
      <c r="B1795" t="s">
        <v>680</v>
      </c>
      <c r="C1795" s="83">
        <v>46050</v>
      </c>
      <c r="D1795" t="s">
        <v>689</v>
      </c>
      <c r="E1795" t="s">
        <v>296</v>
      </c>
      <c r="F1795">
        <v>16</v>
      </c>
      <c r="G1795">
        <v>10.00305</v>
      </c>
    </row>
    <row r="1796" spans="1:7" x14ac:dyDescent="0.35">
      <c r="A1796" t="s">
        <v>847</v>
      </c>
      <c r="B1796" t="s">
        <v>680</v>
      </c>
      <c r="C1796" s="83">
        <v>46050</v>
      </c>
      <c r="D1796" t="s">
        <v>689</v>
      </c>
      <c r="E1796" t="s">
        <v>332</v>
      </c>
      <c r="F1796">
        <v>15</v>
      </c>
      <c r="G1796">
        <v>11.991016666666701</v>
      </c>
    </row>
    <row r="1797" spans="1:7" x14ac:dyDescent="0.35">
      <c r="A1797" t="s">
        <v>847</v>
      </c>
      <c r="B1797" t="s">
        <v>680</v>
      </c>
      <c r="C1797" s="83">
        <v>46050</v>
      </c>
      <c r="D1797" t="s">
        <v>684</v>
      </c>
      <c r="E1797" t="s">
        <v>297</v>
      </c>
      <c r="F1797">
        <v>6</v>
      </c>
      <c r="G1797">
        <v>4.1809000000000003</v>
      </c>
    </row>
    <row r="1798" spans="1:7" x14ac:dyDescent="0.35">
      <c r="A1798" t="s">
        <v>847</v>
      </c>
      <c r="B1798" t="s">
        <v>680</v>
      </c>
      <c r="C1798" s="83">
        <v>46050</v>
      </c>
      <c r="D1798" t="s">
        <v>684</v>
      </c>
      <c r="E1798" t="s">
        <v>296</v>
      </c>
      <c r="F1798">
        <v>6</v>
      </c>
      <c r="G1798">
        <v>1.6517500000000001</v>
      </c>
    </row>
    <row r="1799" spans="1:7" x14ac:dyDescent="0.35">
      <c r="A1799" t="s">
        <v>847</v>
      </c>
      <c r="B1799" t="s">
        <v>680</v>
      </c>
      <c r="C1799" s="83">
        <v>46050</v>
      </c>
      <c r="D1799" t="s">
        <v>684</v>
      </c>
      <c r="E1799" t="s">
        <v>737</v>
      </c>
      <c r="F1799">
        <v>2</v>
      </c>
      <c r="G1799">
        <v>1.16733333333333</v>
      </c>
    </row>
    <row r="1800" spans="1:7" x14ac:dyDescent="0.35">
      <c r="A1800" t="s">
        <v>847</v>
      </c>
      <c r="B1800" t="s">
        <v>680</v>
      </c>
      <c r="C1800" s="83">
        <v>46050</v>
      </c>
      <c r="D1800" t="s">
        <v>687</v>
      </c>
      <c r="E1800" t="s">
        <v>746</v>
      </c>
      <c r="F1800">
        <v>6</v>
      </c>
      <c r="G1800">
        <v>2.8397000000000001</v>
      </c>
    </row>
    <row r="1801" spans="1:7" x14ac:dyDescent="0.35">
      <c r="A1801" t="s">
        <v>847</v>
      </c>
      <c r="B1801" t="s">
        <v>680</v>
      </c>
      <c r="C1801" s="83">
        <v>46050</v>
      </c>
      <c r="D1801" t="s">
        <v>687</v>
      </c>
      <c r="E1801" t="s">
        <v>717</v>
      </c>
      <c r="F1801">
        <v>6</v>
      </c>
      <c r="G1801">
        <v>2.6604000000000001</v>
      </c>
    </row>
    <row r="1802" spans="1:7" x14ac:dyDescent="0.35">
      <c r="A1802" t="s">
        <v>847</v>
      </c>
      <c r="B1802" t="s">
        <v>680</v>
      </c>
      <c r="C1802" s="83">
        <v>46050</v>
      </c>
      <c r="D1802" t="s">
        <v>687</v>
      </c>
      <c r="E1802" t="s">
        <v>733</v>
      </c>
      <c r="F1802">
        <v>2</v>
      </c>
      <c r="G1802">
        <v>0.50078333333333303</v>
      </c>
    </row>
    <row r="1803" spans="1:7" x14ac:dyDescent="0.35">
      <c r="A1803" t="s">
        <v>847</v>
      </c>
      <c r="B1803" t="s">
        <v>680</v>
      </c>
      <c r="C1803" s="83">
        <v>46050</v>
      </c>
      <c r="D1803" t="s">
        <v>688</v>
      </c>
      <c r="E1803" t="s">
        <v>316</v>
      </c>
      <c r="F1803">
        <v>3</v>
      </c>
      <c r="G1803">
        <v>0.50106666666666699</v>
      </c>
    </row>
    <row r="1804" spans="1:7" x14ac:dyDescent="0.35">
      <c r="A1804" t="s">
        <v>847</v>
      </c>
      <c r="B1804" t="s">
        <v>680</v>
      </c>
      <c r="C1804" s="83">
        <v>46050</v>
      </c>
      <c r="D1804" t="s">
        <v>688</v>
      </c>
      <c r="E1804" t="s">
        <v>321</v>
      </c>
      <c r="F1804">
        <v>3</v>
      </c>
      <c r="G1804">
        <v>0.66673333333333296</v>
      </c>
    </row>
    <row r="1805" spans="1:7" x14ac:dyDescent="0.35">
      <c r="A1805" t="s">
        <v>847</v>
      </c>
      <c r="B1805" t="s">
        <v>680</v>
      </c>
      <c r="C1805" s="83">
        <v>46050</v>
      </c>
      <c r="D1805" t="s">
        <v>688</v>
      </c>
      <c r="E1805" t="s">
        <v>338</v>
      </c>
      <c r="F1805">
        <v>3</v>
      </c>
      <c r="G1805">
        <v>2.0084833333333298</v>
      </c>
    </row>
    <row r="1806" spans="1:7" x14ac:dyDescent="0.35">
      <c r="A1806" t="s">
        <v>847</v>
      </c>
      <c r="B1806" t="s">
        <v>680</v>
      </c>
      <c r="C1806" s="83">
        <v>46050</v>
      </c>
      <c r="D1806" t="s">
        <v>690</v>
      </c>
      <c r="E1806" t="s">
        <v>720</v>
      </c>
      <c r="F1806">
        <v>3</v>
      </c>
      <c r="G1806">
        <v>1.5015499999999999</v>
      </c>
    </row>
    <row r="1807" spans="1:7" x14ac:dyDescent="0.35">
      <c r="A1807" t="s">
        <v>847</v>
      </c>
      <c r="B1807" t="s">
        <v>680</v>
      </c>
      <c r="C1807" s="83">
        <v>46050</v>
      </c>
      <c r="D1807" t="s">
        <v>690</v>
      </c>
      <c r="E1807" t="s">
        <v>126</v>
      </c>
      <c r="F1807">
        <v>2</v>
      </c>
      <c r="G1807">
        <v>1.4993666666666701</v>
      </c>
    </row>
    <row r="1808" spans="1:7" x14ac:dyDescent="0.35">
      <c r="A1808" t="s">
        <v>847</v>
      </c>
      <c r="B1808" t="s">
        <v>680</v>
      </c>
      <c r="C1808" s="83">
        <v>46050</v>
      </c>
      <c r="D1808" t="s">
        <v>685</v>
      </c>
      <c r="E1808" t="s">
        <v>338</v>
      </c>
      <c r="F1808">
        <v>6</v>
      </c>
      <c r="G1808">
        <v>3.3361666666666698</v>
      </c>
    </row>
    <row r="1809" spans="1:7" x14ac:dyDescent="0.35">
      <c r="A1809" t="s">
        <v>847</v>
      </c>
      <c r="B1809" t="s">
        <v>680</v>
      </c>
      <c r="C1809" s="83">
        <v>46050</v>
      </c>
      <c r="D1809" t="s">
        <v>685</v>
      </c>
      <c r="E1809" t="s">
        <v>734</v>
      </c>
      <c r="F1809">
        <v>5</v>
      </c>
      <c r="G1809">
        <v>1.8167166666666701</v>
      </c>
    </row>
    <row r="1810" spans="1:7" x14ac:dyDescent="0.35">
      <c r="A1810" t="s">
        <v>847</v>
      </c>
      <c r="B1810" t="s">
        <v>680</v>
      </c>
      <c r="C1810" s="83">
        <v>46050</v>
      </c>
      <c r="D1810" t="s">
        <v>685</v>
      </c>
      <c r="E1810" t="s">
        <v>720</v>
      </c>
      <c r="F1810">
        <v>4</v>
      </c>
      <c r="G1810">
        <v>1.6634</v>
      </c>
    </row>
    <row r="1811" spans="1:7" x14ac:dyDescent="0.35">
      <c r="A1811" t="s">
        <v>847</v>
      </c>
      <c r="B1811" t="s">
        <v>680</v>
      </c>
      <c r="C1811" s="83">
        <v>46051</v>
      </c>
      <c r="D1811" t="s">
        <v>681</v>
      </c>
      <c r="E1811" t="s">
        <v>298</v>
      </c>
      <c r="F1811">
        <v>35</v>
      </c>
      <c r="G1811">
        <v>42.6432</v>
      </c>
    </row>
    <row r="1812" spans="1:7" x14ac:dyDescent="0.35">
      <c r="A1812" t="s">
        <v>847</v>
      </c>
      <c r="B1812" t="s">
        <v>680</v>
      </c>
      <c r="C1812" s="83">
        <v>46051</v>
      </c>
      <c r="D1812" t="s">
        <v>681</v>
      </c>
      <c r="E1812" t="s">
        <v>296</v>
      </c>
      <c r="F1812">
        <v>25</v>
      </c>
      <c r="G1812">
        <v>10.3358333333333</v>
      </c>
    </row>
    <row r="1813" spans="1:7" x14ac:dyDescent="0.35">
      <c r="A1813" t="s">
        <v>847</v>
      </c>
      <c r="B1813" t="s">
        <v>680</v>
      </c>
      <c r="C1813" s="83">
        <v>46051</v>
      </c>
      <c r="D1813" t="s">
        <v>681</v>
      </c>
      <c r="E1813" t="s">
        <v>297</v>
      </c>
      <c r="F1813">
        <v>21</v>
      </c>
      <c r="G1813">
        <v>5.3205</v>
      </c>
    </row>
    <row r="1814" spans="1:7" x14ac:dyDescent="0.35">
      <c r="A1814" t="s">
        <v>847</v>
      </c>
      <c r="B1814" t="s">
        <v>680</v>
      </c>
      <c r="C1814" s="83">
        <v>46051</v>
      </c>
      <c r="D1814" t="s">
        <v>683</v>
      </c>
      <c r="E1814" t="s">
        <v>298</v>
      </c>
      <c r="F1814">
        <v>59</v>
      </c>
      <c r="G1814">
        <v>81.651666666666699</v>
      </c>
    </row>
    <row r="1815" spans="1:7" x14ac:dyDescent="0.35">
      <c r="A1815" t="s">
        <v>847</v>
      </c>
      <c r="B1815" t="s">
        <v>680</v>
      </c>
      <c r="C1815" s="83">
        <v>46051</v>
      </c>
      <c r="D1815" t="s">
        <v>683</v>
      </c>
      <c r="E1815" t="s">
        <v>727</v>
      </c>
      <c r="F1815">
        <v>25</v>
      </c>
      <c r="G1815">
        <v>9.0183999999999997</v>
      </c>
    </row>
    <row r="1816" spans="1:7" x14ac:dyDescent="0.35">
      <c r="A1816" t="s">
        <v>847</v>
      </c>
      <c r="B1816" t="s">
        <v>680</v>
      </c>
      <c r="C1816" s="83">
        <v>46051</v>
      </c>
      <c r="D1816" t="s">
        <v>683</v>
      </c>
      <c r="E1816" t="s">
        <v>334</v>
      </c>
      <c r="F1816">
        <v>15</v>
      </c>
      <c r="G1816">
        <v>6.9698333333333302</v>
      </c>
    </row>
    <row r="1817" spans="1:7" x14ac:dyDescent="0.35">
      <c r="A1817" t="s">
        <v>847</v>
      </c>
      <c r="B1817" t="s">
        <v>680</v>
      </c>
      <c r="C1817" s="83">
        <v>46051</v>
      </c>
      <c r="D1817" t="s">
        <v>689</v>
      </c>
      <c r="E1817" t="s">
        <v>334</v>
      </c>
      <c r="F1817">
        <v>49</v>
      </c>
      <c r="G1817">
        <v>39.280833333333298</v>
      </c>
    </row>
    <row r="1818" spans="1:7" x14ac:dyDescent="0.35">
      <c r="A1818" t="s">
        <v>847</v>
      </c>
      <c r="B1818" t="s">
        <v>680</v>
      </c>
      <c r="C1818" s="83">
        <v>46051</v>
      </c>
      <c r="D1818" t="s">
        <v>689</v>
      </c>
      <c r="E1818" t="s">
        <v>296</v>
      </c>
      <c r="F1818">
        <v>33</v>
      </c>
      <c r="G1818">
        <v>52.019433333333303</v>
      </c>
    </row>
    <row r="1819" spans="1:7" x14ac:dyDescent="0.35">
      <c r="A1819" t="s">
        <v>847</v>
      </c>
      <c r="B1819" t="s">
        <v>680</v>
      </c>
      <c r="C1819" s="83">
        <v>46051</v>
      </c>
      <c r="D1819" t="s">
        <v>689</v>
      </c>
      <c r="E1819" t="s">
        <v>332</v>
      </c>
      <c r="F1819">
        <v>25</v>
      </c>
      <c r="G1819">
        <v>21.004200000000001</v>
      </c>
    </row>
    <row r="1820" spans="1:7" x14ac:dyDescent="0.35">
      <c r="A1820" t="s">
        <v>847</v>
      </c>
      <c r="B1820" t="s">
        <v>680</v>
      </c>
      <c r="C1820" s="83">
        <v>46051</v>
      </c>
      <c r="D1820" t="s">
        <v>684</v>
      </c>
      <c r="E1820" t="s">
        <v>296</v>
      </c>
      <c r="F1820">
        <v>13</v>
      </c>
      <c r="G1820">
        <v>8.6707666666666707</v>
      </c>
    </row>
    <row r="1821" spans="1:7" x14ac:dyDescent="0.35">
      <c r="A1821" t="s">
        <v>847</v>
      </c>
      <c r="B1821" t="s">
        <v>680</v>
      </c>
      <c r="C1821" s="83">
        <v>46051</v>
      </c>
      <c r="D1821" t="s">
        <v>684</v>
      </c>
      <c r="E1821" t="s">
        <v>297</v>
      </c>
      <c r="F1821">
        <v>9</v>
      </c>
      <c r="G1821">
        <v>4.3367333333333304</v>
      </c>
    </row>
    <row r="1822" spans="1:7" x14ac:dyDescent="0.35">
      <c r="A1822" t="s">
        <v>847</v>
      </c>
      <c r="B1822" t="s">
        <v>680</v>
      </c>
      <c r="C1822" s="83">
        <v>46051</v>
      </c>
      <c r="D1822" t="s">
        <v>684</v>
      </c>
      <c r="E1822" t="s">
        <v>334</v>
      </c>
      <c r="F1822">
        <v>5</v>
      </c>
      <c r="G1822">
        <v>3.3301333333333298</v>
      </c>
    </row>
    <row r="1823" spans="1:7" x14ac:dyDescent="0.35">
      <c r="A1823" t="s">
        <v>847</v>
      </c>
      <c r="B1823" t="s">
        <v>680</v>
      </c>
      <c r="C1823" s="83">
        <v>46051</v>
      </c>
      <c r="D1823" t="s">
        <v>687</v>
      </c>
      <c r="E1823" t="s">
        <v>718</v>
      </c>
      <c r="F1823">
        <v>5</v>
      </c>
      <c r="G1823">
        <v>2.3353333333333302</v>
      </c>
    </row>
    <row r="1824" spans="1:7" x14ac:dyDescent="0.35">
      <c r="A1824" t="s">
        <v>847</v>
      </c>
      <c r="B1824" t="s">
        <v>680</v>
      </c>
      <c r="C1824" s="83">
        <v>46051</v>
      </c>
      <c r="D1824" t="s">
        <v>687</v>
      </c>
      <c r="E1824" t="s">
        <v>747</v>
      </c>
      <c r="F1824">
        <v>3</v>
      </c>
      <c r="G1824">
        <v>0.66859999999999997</v>
      </c>
    </row>
    <row r="1825" spans="1:7" x14ac:dyDescent="0.35">
      <c r="A1825" t="s">
        <v>847</v>
      </c>
      <c r="B1825" t="s">
        <v>680</v>
      </c>
      <c r="C1825" s="83">
        <v>46051</v>
      </c>
      <c r="D1825" t="s">
        <v>687</v>
      </c>
      <c r="E1825" t="s">
        <v>717</v>
      </c>
      <c r="F1825">
        <v>3</v>
      </c>
      <c r="G1825">
        <v>0.34563333333333301</v>
      </c>
    </row>
    <row r="1826" spans="1:7" x14ac:dyDescent="0.35">
      <c r="A1826" t="s">
        <v>847</v>
      </c>
      <c r="B1826" t="s">
        <v>680</v>
      </c>
      <c r="C1826" s="83">
        <v>46051</v>
      </c>
      <c r="D1826" t="s">
        <v>688</v>
      </c>
      <c r="E1826" t="s">
        <v>316</v>
      </c>
      <c r="F1826">
        <v>5</v>
      </c>
      <c r="G1826">
        <v>1.65113333333333</v>
      </c>
    </row>
    <row r="1827" spans="1:7" x14ac:dyDescent="0.35">
      <c r="A1827" t="s">
        <v>847</v>
      </c>
      <c r="B1827" t="s">
        <v>680</v>
      </c>
      <c r="C1827" s="83">
        <v>46051</v>
      </c>
      <c r="D1827" t="s">
        <v>688</v>
      </c>
      <c r="E1827" t="s">
        <v>723</v>
      </c>
      <c r="F1827">
        <v>5</v>
      </c>
      <c r="G1827">
        <v>5.3344666666666702</v>
      </c>
    </row>
    <row r="1828" spans="1:7" x14ac:dyDescent="0.35">
      <c r="A1828" t="s">
        <v>847</v>
      </c>
      <c r="B1828" t="s">
        <v>680</v>
      </c>
      <c r="C1828" s="83">
        <v>46051</v>
      </c>
      <c r="D1828" t="s">
        <v>688</v>
      </c>
      <c r="E1828" t="s">
        <v>720</v>
      </c>
      <c r="F1828">
        <v>5</v>
      </c>
      <c r="G1828">
        <v>8.3174666666666699</v>
      </c>
    </row>
    <row r="1829" spans="1:7" x14ac:dyDescent="0.35">
      <c r="A1829" t="s">
        <v>847</v>
      </c>
      <c r="B1829" t="s">
        <v>680</v>
      </c>
      <c r="C1829" s="83">
        <v>46051</v>
      </c>
      <c r="D1829" t="s">
        <v>690</v>
      </c>
      <c r="E1829" t="s">
        <v>720</v>
      </c>
      <c r="F1829">
        <v>11</v>
      </c>
      <c r="G1829">
        <v>8.9982666666666695</v>
      </c>
    </row>
    <row r="1830" spans="1:7" x14ac:dyDescent="0.35">
      <c r="A1830" t="s">
        <v>847</v>
      </c>
      <c r="B1830" t="s">
        <v>680</v>
      </c>
      <c r="C1830" s="83">
        <v>46051</v>
      </c>
      <c r="D1830" t="s">
        <v>690</v>
      </c>
      <c r="E1830" t="s">
        <v>724</v>
      </c>
      <c r="F1830">
        <v>5</v>
      </c>
      <c r="G1830">
        <v>3.9984000000000002</v>
      </c>
    </row>
    <row r="1831" spans="1:7" x14ac:dyDescent="0.35">
      <c r="A1831" t="s">
        <v>847</v>
      </c>
      <c r="B1831" t="s">
        <v>680</v>
      </c>
      <c r="C1831" s="83">
        <v>46051</v>
      </c>
      <c r="D1831" t="s">
        <v>690</v>
      </c>
      <c r="E1831" t="s">
        <v>311</v>
      </c>
      <c r="F1831">
        <v>5</v>
      </c>
      <c r="G1831">
        <v>1.0009666666666699</v>
      </c>
    </row>
    <row r="1832" spans="1:7" x14ac:dyDescent="0.35">
      <c r="A1832" t="s">
        <v>847</v>
      </c>
      <c r="B1832" t="s">
        <v>680</v>
      </c>
      <c r="C1832" s="83">
        <v>46051</v>
      </c>
      <c r="D1832" t="s">
        <v>685</v>
      </c>
      <c r="E1832" t="s">
        <v>311</v>
      </c>
      <c r="F1832">
        <v>29</v>
      </c>
      <c r="G1832">
        <v>19.731200000000001</v>
      </c>
    </row>
    <row r="1833" spans="1:7" x14ac:dyDescent="0.35">
      <c r="A1833" t="s">
        <v>847</v>
      </c>
      <c r="B1833" t="s">
        <v>680</v>
      </c>
      <c r="C1833" s="83">
        <v>46051</v>
      </c>
      <c r="D1833" t="s">
        <v>685</v>
      </c>
      <c r="E1833" t="s">
        <v>312</v>
      </c>
      <c r="F1833">
        <v>13</v>
      </c>
      <c r="G1833">
        <v>44.6572666666667</v>
      </c>
    </row>
    <row r="1834" spans="1:7" x14ac:dyDescent="0.35">
      <c r="A1834" t="s">
        <v>847</v>
      </c>
      <c r="B1834" t="s">
        <v>680</v>
      </c>
      <c r="C1834" s="83">
        <v>46051</v>
      </c>
      <c r="D1834" t="s">
        <v>685</v>
      </c>
      <c r="E1834" t="s">
        <v>734</v>
      </c>
      <c r="F1834">
        <v>11</v>
      </c>
      <c r="G1834">
        <v>6.9981</v>
      </c>
    </row>
    <row r="1835" spans="1:7" x14ac:dyDescent="0.35">
      <c r="A1835" t="s">
        <v>847</v>
      </c>
      <c r="B1835" t="s">
        <v>680</v>
      </c>
      <c r="C1835" s="83">
        <v>46052</v>
      </c>
      <c r="D1835" t="s">
        <v>681</v>
      </c>
      <c r="E1835" t="s">
        <v>298</v>
      </c>
      <c r="F1835">
        <v>27</v>
      </c>
      <c r="G1835">
        <v>31.5261666666667</v>
      </c>
    </row>
    <row r="1836" spans="1:7" x14ac:dyDescent="0.35">
      <c r="A1836" t="s">
        <v>847</v>
      </c>
      <c r="B1836" t="s">
        <v>680</v>
      </c>
      <c r="C1836" s="83">
        <v>46052</v>
      </c>
      <c r="D1836" t="s">
        <v>681</v>
      </c>
      <c r="E1836" t="s">
        <v>297</v>
      </c>
      <c r="F1836">
        <v>12</v>
      </c>
      <c r="G1836">
        <v>3.68726666666667</v>
      </c>
    </row>
    <row r="1837" spans="1:7" x14ac:dyDescent="0.35">
      <c r="A1837" t="s">
        <v>847</v>
      </c>
      <c r="B1837" t="s">
        <v>680</v>
      </c>
      <c r="C1837" s="83">
        <v>46052</v>
      </c>
      <c r="D1837" t="s">
        <v>681</v>
      </c>
      <c r="E1837" t="s">
        <v>304</v>
      </c>
      <c r="F1837">
        <v>8</v>
      </c>
      <c r="G1837">
        <v>2.8333499999999998</v>
      </c>
    </row>
    <row r="1838" spans="1:7" x14ac:dyDescent="0.35">
      <c r="A1838" t="s">
        <v>847</v>
      </c>
      <c r="B1838" t="s">
        <v>680</v>
      </c>
      <c r="C1838" s="83">
        <v>46052</v>
      </c>
      <c r="D1838" t="s">
        <v>683</v>
      </c>
      <c r="E1838" t="s">
        <v>298</v>
      </c>
      <c r="F1838">
        <v>19</v>
      </c>
      <c r="G1838">
        <v>24.8835333333333</v>
      </c>
    </row>
    <row r="1839" spans="1:7" x14ac:dyDescent="0.35">
      <c r="A1839" t="s">
        <v>847</v>
      </c>
      <c r="B1839" t="s">
        <v>680</v>
      </c>
      <c r="C1839" s="83">
        <v>46052</v>
      </c>
      <c r="D1839" t="s">
        <v>683</v>
      </c>
      <c r="E1839" t="s">
        <v>334</v>
      </c>
      <c r="F1839">
        <v>11</v>
      </c>
      <c r="G1839">
        <v>7.6850166666666704</v>
      </c>
    </row>
    <row r="1840" spans="1:7" x14ac:dyDescent="0.35">
      <c r="A1840" t="s">
        <v>847</v>
      </c>
      <c r="B1840" t="s">
        <v>680</v>
      </c>
      <c r="C1840" s="83">
        <v>46052</v>
      </c>
      <c r="D1840" t="s">
        <v>683</v>
      </c>
      <c r="E1840" t="s">
        <v>727</v>
      </c>
      <c r="F1840">
        <v>10</v>
      </c>
      <c r="G1840">
        <v>4.3397333333333297</v>
      </c>
    </row>
    <row r="1841" spans="1:7" x14ac:dyDescent="0.35">
      <c r="A1841" t="s">
        <v>847</v>
      </c>
      <c r="B1841" t="s">
        <v>680</v>
      </c>
      <c r="C1841" s="83">
        <v>46052</v>
      </c>
      <c r="D1841" t="s">
        <v>689</v>
      </c>
      <c r="E1841" t="s">
        <v>332</v>
      </c>
      <c r="F1841">
        <v>25</v>
      </c>
      <c r="G1841">
        <v>16.367633333333298</v>
      </c>
    </row>
    <row r="1842" spans="1:7" x14ac:dyDescent="0.35">
      <c r="A1842" t="s">
        <v>847</v>
      </c>
      <c r="B1842" t="s">
        <v>680</v>
      </c>
      <c r="C1842" s="83">
        <v>46052</v>
      </c>
      <c r="D1842" t="s">
        <v>689</v>
      </c>
      <c r="E1842" t="s">
        <v>298</v>
      </c>
      <c r="F1842">
        <v>18</v>
      </c>
      <c r="G1842">
        <v>8.3775166666666703</v>
      </c>
    </row>
    <row r="1843" spans="1:7" x14ac:dyDescent="0.35">
      <c r="A1843" t="s">
        <v>847</v>
      </c>
      <c r="B1843" t="s">
        <v>680</v>
      </c>
      <c r="C1843" s="83">
        <v>46052</v>
      </c>
      <c r="D1843" t="s">
        <v>689</v>
      </c>
      <c r="E1843" t="s">
        <v>300</v>
      </c>
      <c r="F1843">
        <v>5</v>
      </c>
      <c r="G1843">
        <v>2.65055</v>
      </c>
    </row>
    <row r="1844" spans="1:7" x14ac:dyDescent="0.35">
      <c r="A1844" t="s">
        <v>847</v>
      </c>
      <c r="B1844" t="s">
        <v>680</v>
      </c>
      <c r="C1844" s="83">
        <v>46052</v>
      </c>
      <c r="D1844" t="s">
        <v>684</v>
      </c>
      <c r="E1844" t="s">
        <v>296</v>
      </c>
      <c r="F1844">
        <v>7</v>
      </c>
      <c r="G1844">
        <v>6.1804500000000004</v>
      </c>
    </row>
    <row r="1845" spans="1:7" x14ac:dyDescent="0.35">
      <c r="A1845" t="s">
        <v>847</v>
      </c>
      <c r="B1845" t="s">
        <v>680</v>
      </c>
      <c r="C1845" s="83">
        <v>46052</v>
      </c>
      <c r="D1845" t="s">
        <v>684</v>
      </c>
      <c r="E1845" t="s">
        <v>304</v>
      </c>
      <c r="F1845">
        <v>2</v>
      </c>
      <c r="G1845">
        <v>4.3333000000000004</v>
      </c>
    </row>
    <row r="1846" spans="1:7" x14ac:dyDescent="0.35">
      <c r="A1846" t="s">
        <v>847</v>
      </c>
      <c r="B1846" t="s">
        <v>680</v>
      </c>
      <c r="C1846" s="83">
        <v>46052</v>
      </c>
      <c r="D1846" t="s">
        <v>684</v>
      </c>
      <c r="E1846" t="s">
        <v>737</v>
      </c>
      <c r="F1846">
        <v>2</v>
      </c>
      <c r="G1846">
        <v>0.99933333333333296</v>
      </c>
    </row>
    <row r="1847" spans="1:7" x14ac:dyDescent="0.35">
      <c r="A1847" t="s">
        <v>847</v>
      </c>
      <c r="B1847" t="s">
        <v>680</v>
      </c>
      <c r="C1847" s="83">
        <v>46052</v>
      </c>
      <c r="D1847" t="s">
        <v>687</v>
      </c>
      <c r="E1847" t="s">
        <v>726</v>
      </c>
      <c r="F1847">
        <v>2</v>
      </c>
      <c r="G1847">
        <v>1.66753333333333</v>
      </c>
    </row>
    <row r="1848" spans="1:7" x14ac:dyDescent="0.35">
      <c r="A1848" t="s">
        <v>847</v>
      </c>
      <c r="B1848" t="s">
        <v>680</v>
      </c>
      <c r="C1848" s="83">
        <v>46052</v>
      </c>
      <c r="D1848" t="s">
        <v>687</v>
      </c>
      <c r="E1848" t="s">
        <v>718</v>
      </c>
      <c r="F1848">
        <v>2</v>
      </c>
      <c r="G1848">
        <v>0.33345000000000002</v>
      </c>
    </row>
    <row r="1849" spans="1:7" x14ac:dyDescent="0.35">
      <c r="A1849" t="s">
        <v>847</v>
      </c>
      <c r="B1849" t="s">
        <v>680</v>
      </c>
      <c r="C1849" s="83">
        <v>46052</v>
      </c>
      <c r="D1849" t="s">
        <v>687</v>
      </c>
      <c r="E1849" t="s">
        <v>746</v>
      </c>
      <c r="F1849">
        <v>2</v>
      </c>
      <c r="G1849">
        <v>0.99321666666666697</v>
      </c>
    </row>
    <row r="1850" spans="1:7" x14ac:dyDescent="0.35">
      <c r="A1850" t="s">
        <v>847</v>
      </c>
      <c r="B1850" t="s">
        <v>680</v>
      </c>
      <c r="C1850" s="83">
        <v>46052</v>
      </c>
      <c r="D1850" t="s">
        <v>688</v>
      </c>
      <c r="E1850" t="s">
        <v>311</v>
      </c>
      <c r="F1850">
        <v>3</v>
      </c>
      <c r="G1850">
        <v>2.66638333333333</v>
      </c>
    </row>
    <row r="1851" spans="1:7" x14ac:dyDescent="0.35">
      <c r="A1851" t="s">
        <v>847</v>
      </c>
      <c r="B1851" t="s">
        <v>680</v>
      </c>
      <c r="C1851" s="83">
        <v>46052</v>
      </c>
      <c r="D1851" t="s">
        <v>688</v>
      </c>
      <c r="E1851" t="s">
        <v>338</v>
      </c>
      <c r="F1851">
        <v>3</v>
      </c>
      <c r="G1851">
        <v>1.1667000000000001</v>
      </c>
    </row>
    <row r="1852" spans="1:7" x14ac:dyDescent="0.35">
      <c r="A1852" t="s">
        <v>847</v>
      </c>
      <c r="B1852" t="s">
        <v>680</v>
      </c>
      <c r="C1852" s="83">
        <v>46052</v>
      </c>
      <c r="D1852" t="s">
        <v>688</v>
      </c>
      <c r="E1852" t="s">
        <v>316</v>
      </c>
      <c r="F1852">
        <v>2</v>
      </c>
      <c r="G1852">
        <v>0.16701666666666701</v>
      </c>
    </row>
    <row r="1853" spans="1:7" x14ac:dyDescent="0.35">
      <c r="A1853" t="s">
        <v>847</v>
      </c>
      <c r="B1853" t="s">
        <v>680</v>
      </c>
      <c r="C1853" s="83">
        <v>46052</v>
      </c>
      <c r="D1853" t="s">
        <v>690</v>
      </c>
      <c r="E1853" t="s">
        <v>311</v>
      </c>
      <c r="F1853">
        <v>12</v>
      </c>
      <c r="G1853">
        <v>5.1606666666666703</v>
      </c>
    </row>
    <row r="1854" spans="1:7" x14ac:dyDescent="0.35">
      <c r="A1854" t="s">
        <v>847</v>
      </c>
      <c r="B1854" t="s">
        <v>680</v>
      </c>
      <c r="C1854" s="83">
        <v>46052</v>
      </c>
      <c r="D1854" t="s">
        <v>690</v>
      </c>
      <c r="E1854" t="s">
        <v>720</v>
      </c>
      <c r="F1854">
        <v>10</v>
      </c>
      <c r="G1854">
        <v>8.00535</v>
      </c>
    </row>
    <row r="1855" spans="1:7" x14ac:dyDescent="0.35">
      <c r="A1855" t="s">
        <v>847</v>
      </c>
      <c r="B1855" t="s">
        <v>680</v>
      </c>
      <c r="C1855" s="83">
        <v>46052</v>
      </c>
      <c r="D1855" t="s">
        <v>690</v>
      </c>
      <c r="E1855" t="s">
        <v>748</v>
      </c>
      <c r="F1855">
        <v>4</v>
      </c>
      <c r="G1855">
        <v>44.845433333333297</v>
      </c>
    </row>
    <row r="1856" spans="1:7" x14ac:dyDescent="0.35">
      <c r="A1856" t="s">
        <v>847</v>
      </c>
      <c r="B1856" t="s">
        <v>680</v>
      </c>
      <c r="C1856" s="83">
        <v>46052</v>
      </c>
      <c r="D1856" t="s">
        <v>685</v>
      </c>
      <c r="E1856" t="s">
        <v>311</v>
      </c>
      <c r="F1856">
        <v>45</v>
      </c>
      <c r="G1856">
        <v>77.351950000000002</v>
      </c>
    </row>
    <row r="1857" spans="1:7" x14ac:dyDescent="0.35">
      <c r="A1857" t="s">
        <v>847</v>
      </c>
      <c r="B1857" t="s">
        <v>680</v>
      </c>
      <c r="C1857" s="83">
        <v>46052</v>
      </c>
      <c r="D1857" t="s">
        <v>685</v>
      </c>
      <c r="E1857" t="s">
        <v>720</v>
      </c>
      <c r="F1857">
        <v>7</v>
      </c>
      <c r="G1857">
        <v>3.6525833333333302</v>
      </c>
    </row>
    <row r="1858" spans="1:7" x14ac:dyDescent="0.35">
      <c r="A1858" t="s">
        <v>847</v>
      </c>
      <c r="B1858" t="s">
        <v>680</v>
      </c>
      <c r="C1858" s="83">
        <v>46052</v>
      </c>
      <c r="D1858" t="s">
        <v>685</v>
      </c>
      <c r="E1858" t="s">
        <v>316</v>
      </c>
      <c r="F1858">
        <v>6</v>
      </c>
      <c r="G1858">
        <v>4.6589666666666698</v>
      </c>
    </row>
    <row r="1859" spans="1:7" x14ac:dyDescent="0.35">
      <c r="A1859" t="s">
        <v>847</v>
      </c>
      <c r="B1859" t="s">
        <v>680</v>
      </c>
      <c r="C1859" s="83">
        <v>46053</v>
      </c>
      <c r="D1859" t="s">
        <v>681</v>
      </c>
      <c r="E1859" t="s">
        <v>296</v>
      </c>
      <c r="F1859">
        <v>40</v>
      </c>
      <c r="G1859">
        <v>24.006733333333301</v>
      </c>
    </row>
    <row r="1860" spans="1:7" x14ac:dyDescent="0.35">
      <c r="A1860" t="s">
        <v>847</v>
      </c>
      <c r="B1860" t="s">
        <v>680</v>
      </c>
      <c r="C1860" s="83">
        <v>46053</v>
      </c>
      <c r="D1860" t="s">
        <v>681</v>
      </c>
      <c r="E1860" t="s">
        <v>298</v>
      </c>
      <c r="F1860">
        <v>24</v>
      </c>
      <c r="G1860">
        <v>23.4968166666667</v>
      </c>
    </row>
    <row r="1861" spans="1:7" x14ac:dyDescent="0.35">
      <c r="A1861" t="s">
        <v>847</v>
      </c>
      <c r="B1861" t="s">
        <v>680</v>
      </c>
      <c r="C1861" s="83">
        <v>46053</v>
      </c>
      <c r="D1861" t="s">
        <v>681</v>
      </c>
      <c r="E1861" t="s">
        <v>297</v>
      </c>
      <c r="F1861">
        <v>21</v>
      </c>
      <c r="G1861">
        <v>16.9604833333333</v>
      </c>
    </row>
    <row r="1862" spans="1:7" x14ac:dyDescent="0.35">
      <c r="A1862" t="s">
        <v>847</v>
      </c>
      <c r="B1862" t="s">
        <v>680</v>
      </c>
      <c r="C1862" s="83">
        <v>46053</v>
      </c>
      <c r="D1862" t="s">
        <v>683</v>
      </c>
      <c r="E1862" t="s">
        <v>298</v>
      </c>
      <c r="F1862">
        <v>46</v>
      </c>
      <c r="G1862">
        <v>57.717683333333298</v>
      </c>
    </row>
    <row r="1863" spans="1:7" x14ac:dyDescent="0.35">
      <c r="A1863" t="s">
        <v>847</v>
      </c>
      <c r="B1863" t="s">
        <v>680</v>
      </c>
      <c r="C1863" s="83">
        <v>46053</v>
      </c>
      <c r="D1863" t="s">
        <v>683</v>
      </c>
      <c r="E1863" t="s">
        <v>297</v>
      </c>
      <c r="F1863">
        <v>15</v>
      </c>
      <c r="G1863">
        <v>6.98471666666667</v>
      </c>
    </row>
    <row r="1864" spans="1:7" x14ac:dyDescent="0.35">
      <c r="A1864" t="s">
        <v>847</v>
      </c>
      <c r="B1864" t="s">
        <v>680</v>
      </c>
      <c r="C1864" s="83">
        <v>46053</v>
      </c>
      <c r="D1864" t="s">
        <v>683</v>
      </c>
      <c r="E1864" t="s">
        <v>730</v>
      </c>
      <c r="F1864">
        <v>10</v>
      </c>
      <c r="G1864">
        <v>3.4911833333333302</v>
      </c>
    </row>
    <row r="1865" spans="1:7" x14ac:dyDescent="0.35">
      <c r="A1865" t="s">
        <v>847</v>
      </c>
      <c r="B1865" t="s">
        <v>680</v>
      </c>
      <c r="C1865" s="83">
        <v>46053</v>
      </c>
      <c r="D1865" t="s">
        <v>689</v>
      </c>
      <c r="E1865" t="s">
        <v>334</v>
      </c>
      <c r="F1865">
        <v>32</v>
      </c>
      <c r="G1865">
        <v>42.989100000000001</v>
      </c>
    </row>
    <row r="1866" spans="1:7" x14ac:dyDescent="0.35">
      <c r="A1866" t="s">
        <v>847</v>
      </c>
      <c r="B1866" t="s">
        <v>680</v>
      </c>
      <c r="C1866" s="83">
        <v>46053</v>
      </c>
      <c r="D1866" t="s">
        <v>689</v>
      </c>
      <c r="E1866" t="s">
        <v>298</v>
      </c>
      <c r="F1866">
        <v>13</v>
      </c>
      <c r="G1866">
        <v>12.3226</v>
      </c>
    </row>
    <row r="1867" spans="1:7" x14ac:dyDescent="0.35">
      <c r="A1867" t="s">
        <v>847</v>
      </c>
      <c r="B1867" t="s">
        <v>680</v>
      </c>
      <c r="C1867" s="83">
        <v>46053</v>
      </c>
      <c r="D1867" t="s">
        <v>689</v>
      </c>
      <c r="E1867" t="s">
        <v>332</v>
      </c>
      <c r="F1867">
        <v>11</v>
      </c>
      <c r="G1867">
        <v>73.522199999999998</v>
      </c>
    </row>
    <row r="1868" spans="1:7" x14ac:dyDescent="0.35">
      <c r="A1868" t="s">
        <v>847</v>
      </c>
      <c r="B1868" t="s">
        <v>680</v>
      </c>
      <c r="C1868" s="83">
        <v>46053</v>
      </c>
      <c r="D1868" t="s">
        <v>684</v>
      </c>
      <c r="E1868" t="s">
        <v>296</v>
      </c>
      <c r="F1868">
        <v>12</v>
      </c>
      <c r="G1868">
        <v>6.8568333333333298</v>
      </c>
    </row>
    <row r="1869" spans="1:7" x14ac:dyDescent="0.35">
      <c r="A1869" t="s">
        <v>847</v>
      </c>
      <c r="B1869" t="s">
        <v>680</v>
      </c>
      <c r="C1869" s="83">
        <v>46053</v>
      </c>
      <c r="D1869" t="s">
        <v>684</v>
      </c>
      <c r="E1869" t="s">
        <v>334</v>
      </c>
      <c r="F1869">
        <v>6</v>
      </c>
      <c r="G1869">
        <v>1.5060500000000001</v>
      </c>
    </row>
    <row r="1870" spans="1:7" x14ac:dyDescent="0.35">
      <c r="A1870" t="s">
        <v>847</v>
      </c>
      <c r="B1870" t="s">
        <v>680</v>
      </c>
      <c r="C1870" s="83">
        <v>46053</v>
      </c>
      <c r="D1870" t="s">
        <v>684</v>
      </c>
      <c r="E1870" t="s">
        <v>304</v>
      </c>
      <c r="F1870">
        <v>5</v>
      </c>
      <c r="G1870">
        <v>0.84821666666666695</v>
      </c>
    </row>
    <row r="1871" spans="1:7" x14ac:dyDescent="0.35">
      <c r="A1871" t="s">
        <v>847</v>
      </c>
      <c r="B1871" t="s">
        <v>680</v>
      </c>
      <c r="C1871" s="83">
        <v>46053</v>
      </c>
      <c r="D1871" t="s">
        <v>687</v>
      </c>
      <c r="E1871" t="s">
        <v>726</v>
      </c>
      <c r="F1871">
        <v>12</v>
      </c>
      <c r="G1871">
        <v>17.000716666666701</v>
      </c>
    </row>
    <row r="1872" spans="1:7" x14ac:dyDescent="0.35">
      <c r="A1872" t="s">
        <v>847</v>
      </c>
      <c r="B1872" t="s">
        <v>680</v>
      </c>
      <c r="C1872" s="83">
        <v>46053</v>
      </c>
      <c r="D1872" t="s">
        <v>687</v>
      </c>
      <c r="E1872" t="s">
        <v>717</v>
      </c>
      <c r="F1872">
        <v>5</v>
      </c>
      <c r="G1872">
        <v>3.6589166666666699</v>
      </c>
    </row>
    <row r="1873" spans="1:7" x14ac:dyDescent="0.35">
      <c r="A1873" t="s">
        <v>847</v>
      </c>
      <c r="B1873" t="s">
        <v>680</v>
      </c>
      <c r="C1873" s="83">
        <v>46053</v>
      </c>
      <c r="D1873" t="s">
        <v>687</v>
      </c>
      <c r="E1873" t="s">
        <v>718</v>
      </c>
      <c r="F1873">
        <v>4</v>
      </c>
      <c r="G1873">
        <v>2.8397000000000001</v>
      </c>
    </row>
    <row r="1874" spans="1:7" x14ac:dyDescent="0.35">
      <c r="A1874" t="s">
        <v>847</v>
      </c>
      <c r="B1874" t="s">
        <v>680</v>
      </c>
      <c r="C1874" s="83">
        <v>46053</v>
      </c>
      <c r="D1874" t="s">
        <v>688</v>
      </c>
      <c r="E1874" t="s">
        <v>316</v>
      </c>
      <c r="F1874">
        <v>5</v>
      </c>
      <c r="G1874">
        <v>2.48383333333333</v>
      </c>
    </row>
    <row r="1875" spans="1:7" x14ac:dyDescent="0.35">
      <c r="A1875" t="s">
        <v>847</v>
      </c>
      <c r="B1875" t="s">
        <v>680</v>
      </c>
      <c r="C1875" s="83">
        <v>46053</v>
      </c>
      <c r="D1875" t="s">
        <v>688</v>
      </c>
      <c r="E1875" t="s">
        <v>720</v>
      </c>
      <c r="F1875">
        <v>3</v>
      </c>
      <c r="G1875">
        <v>1.6755500000000001</v>
      </c>
    </row>
    <row r="1876" spans="1:7" x14ac:dyDescent="0.35">
      <c r="A1876" t="s">
        <v>847</v>
      </c>
      <c r="B1876" t="s">
        <v>680</v>
      </c>
      <c r="C1876" s="83">
        <v>46053</v>
      </c>
      <c r="D1876" t="s">
        <v>688</v>
      </c>
      <c r="E1876" t="s">
        <v>337</v>
      </c>
      <c r="F1876">
        <v>2</v>
      </c>
      <c r="G1876">
        <v>3.00036666666667</v>
      </c>
    </row>
    <row r="1877" spans="1:7" x14ac:dyDescent="0.35">
      <c r="A1877" t="s">
        <v>847</v>
      </c>
      <c r="B1877" t="s">
        <v>680</v>
      </c>
      <c r="C1877" s="83">
        <v>46053</v>
      </c>
      <c r="D1877" t="s">
        <v>690</v>
      </c>
      <c r="E1877" t="s">
        <v>720</v>
      </c>
      <c r="F1877">
        <v>11</v>
      </c>
      <c r="G1877">
        <v>6.9914166666666704</v>
      </c>
    </row>
    <row r="1878" spans="1:7" x14ac:dyDescent="0.35">
      <c r="A1878" t="s">
        <v>847</v>
      </c>
      <c r="B1878" t="s">
        <v>680</v>
      </c>
      <c r="C1878" s="83">
        <v>46053</v>
      </c>
      <c r="D1878" t="s">
        <v>690</v>
      </c>
      <c r="E1878" t="s">
        <v>316</v>
      </c>
      <c r="F1878">
        <v>8</v>
      </c>
      <c r="G1878">
        <v>7.3354833333333298</v>
      </c>
    </row>
    <row r="1879" spans="1:7" x14ac:dyDescent="0.35">
      <c r="A1879" t="s">
        <v>847</v>
      </c>
      <c r="B1879" t="s">
        <v>680</v>
      </c>
      <c r="C1879" s="83">
        <v>46053</v>
      </c>
      <c r="D1879" t="s">
        <v>690</v>
      </c>
      <c r="E1879" t="s">
        <v>321</v>
      </c>
      <c r="F1879">
        <v>3</v>
      </c>
      <c r="G1879">
        <v>0.50760000000000005</v>
      </c>
    </row>
    <row r="1880" spans="1:7" x14ac:dyDescent="0.35">
      <c r="A1880" t="s">
        <v>847</v>
      </c>
      <c r="B1880" t="s">
        <v>680</v>
      </c>
      <c r="C1880" s="83">
        <v>46053</v>
      </c>
      <c r="D1880" t="s">
        <v>685</v>
      </c>
      <c r="E1880" t="s">
        <v>311</v>
      </c>
      <c r="F1880">
        <v>13</v>
      </c>
      <c r="G1880">
        <v>37.008533333333297</v>
      </c>
    </row>
    <row r="1881" spans="1:7" x14ac:dyDescent="0.35">
      <c r="A1881" t="s">
        <v>847</v>
      </c>
      <c r="B1881" t="s">
        <v>680</v>
      </c>
      <c r="C1881" s="83">
        <v>46053</v>
      </c>
      <c r="D1881" t="s">
        <v>685</v>
      </c>
      <c r="E1881" t="s">
        <v>720</v>
      </c>
      <c r="F1881">
        <v>8</v>
      </c>
      <c r="G1881">
        <v>4.5041166666666701</v>
      </c>
    </row>
    <row r="1882" spans="1:7" x14ac:dyDescent="0.35">
      <c r="A1882" t="s">
        <v>847</v>
      </c>
      <c r="B1882" t="s">
        <v>680</v>
      </c>
      <c r="C1882" s="83">
        <v>46053</v>
      </c>
      <c r="D1882" t="s">
        <v>685</v>
      </c>
      <c r="E1882" t="s">
        <v>316</v>
      </c>
      <c r="F1882">
        <v>5</v>
      </c>
      <c r="G1882">
        <v>3.1691500000000001</v>
      </c>
    </row>
    <row r="1883" spans="1:7" x14ac:dyDescent="0.35">
      <c r="A1883" t="s">
        <v>847</v>
      </c>
      <c r="B1883" t="s">
        <v>680</v>
      </c>
      <c r="C1883" s="83">
        <v>46054</v>
      </c>
      <c r="D1883" t="s">
        <v>681</v>
      </c>
      <c r="E1883" t="s">
        <v>296</v>
      </c>
      <c r="F1883">
        <v>57</v>
      </c>
      <c r="G1883">
        <v>17.5379</v>
      </c>
    </row>
    <row r="1884" spans="1:7" x14ac:dyDescent="0.35">
      <c r="A1884" t="s">
        <v>847</v>
      </c>
      <c r="B1884" t="s">
        <v>680</v>
      </c>
      <c r="C1884" s="83">
        <v>46054</v>
      </c>
      <c r="D1884" t="s">
        <v>681</v>
      </c>
      <c r="E1884" t="s">
        <v>297</v>
      </c>
      <c r="F1884">
        <v>55</v>
      </c>
      <c r="G1884">
        <v>18.9907</v>
      </c>
    </row>
    <row r="1885" spans="1:7" x14ac:dyDescent="0.35">
      <c r="A1885" t="s">
        <v>847</v>
      </c>
      <c r="B1885" t="s">
        <v>680</v>
      </c>
      <c r="C1885" s="83">
        <v>46054</v>
      </c>
      <c r="D1885" t="s">
        <v>681</v>
      </c>
      <c r="E1885" t="s">
        <v>298</v>
      </c>
      <c r="F1885">
        <v>17</v>
      </c>
      <c r="G1885">
        <v>16.343450000000001</v>
      </c>
    </row>
    <row r="1886" spans="1:7" x14ac:dyDescent="0.35">
      <c r="A1886" t="s">
        <v>847</v>
      </c>
      <c r="B1886" t="s">
        <v>680</v>
      </c>
      <c r="C1886" s="83">
        <v>46054</v>
      </c>
      <c r="D1886" t="s">
        <v>683</v>
      </c>
      <c r="E1886" t="s">
        <v>730</v>
      </c>
      <c r="F1886">
        <v>15</v>
      </c>
      <c r="G1886">
        <v>4.4920666666666698</v>
      </c>
    </row>
    <row r="1887" spans="1:7" x14ac:dyDescent="0.35">
      <c r="A1887" t="s">
        <v>847</v>
      </c>
      <c r="B1887" t="s">
        <v>680</v>
      </c>
      <c r="C1887" s="83">
        <v>46054</v>
      </c>
      <c r="D1887" t="s">
        <v>683</v>
      </c>
      <c r="E1887" t="s">
        <v>298</v>
      </c>
      <c r="F1887">
        <v>15</v>
      </c>
      <c r="G1887">
        <v>21.036083333333298</v>
      </c>
    </row>
    <row r="1888" spans="1:7" x14ac:dyDescent="0.35">
      <c r="A1888" t="s">
        <v>847</v>
      </c>
      <c r="B1888" t="s">
        <v>680</v>
      </c>
      <c r="C1888" s="83">
        <v>46054</v>
      </c>
      <c r="D1888" t="s">
        <v>683</v>
      </c>
      <c r="E1888" t="s">
        <v>300</v>
      </c>
      <c r="F1888">
        <v>5</v>
      </c>
      <c r="G1888">
        <v>0.82613333333333305</v>
      </c>
    </row>
    <row r="1889" spans="1:7" x14ac:dyDescent="0.35">
      <c r="A1889" t="s">
        <v>847</v>
      </c>
      <c r="B1889" t="s">
        <v>680</v>
      </c>
      <c r="C1889" s="83">
        <v>46054</v>
      </c>
      <c r="D1889" t="s">
        <v>689</v>
      </c>
      <c r="E1889" t="s">
        <v>296</v>
      </c>
      <c r="F1889">
        <v>41</v>
      </c>
      <c r="G1889">
        <v>18.4927666666667</v>
      </c>
    </row>
    <row r="1890" spans="1:7" x14ac:dyDescent="0.35">
      <c r="A1890" t="s">
        <v>847</v>
      </c>
      <c r="B1890" t="s">
        <v>680</v>
      </c>
      <c r="C1890" s="83">
        <v>46054</v>
      </c>
      <c r="D1890" t="s">
        <v>689</v>
      </c>
      <c r="E1890" t="s">
        <v>334</v>
      </c>
      <c r="F1890">
        <v>10</v>
      </c>
      <c r="G1890">
        <v>7.8247833333333299</v>
      </c>
    </row>
    <row r="1891" spans="1:7" x14ac:dyDescent="0.35">
      <c r="A1891" t="s">
        <v>847</v>
      </c>
      <c r="B1891" t="s">
        <v>680</v>
      </c>
      <c r="C1891" s="83">
        <v>46054</v>
      </c>
      <c r="D1891" t="s">
        <v>689</v>
      </c>
      <c r="E1891" t="s">
        <v>332</v>
      </c>
      <c r="F1891">
        <v>10</v>
      </c>
      <c r="G1891">
        <v>7.3452166666666701</v>
      </c>
    </row>
    <row r="1892" spans="1:7" x14ac:dyDescent="0.35">
      <c r="A1892" t="s">
        <v>847</v>
      </c>
      <c r="B1892" t="s">
        <v>680</v>
      </c>
      <c r="C1892" s="83">
        <v>46054</v>
      </c>
      <c r="D1892" t="s">
        <v>684</v>
      </c>
      <c r="E1892" t="s">
        <v>297</v>
      </c>
      <c r="F1892">
        <v>7</v>
      </c>
      <c r="G1892">
        <v>3.6760999999999999</v>
      </c>
    </row>
    <row r="1893" spans="1:7" x14ac:dyDescent="0.35">
      <c r="A1893" t="s">
        <v>847</v>
      </c>
      <c r="B1893" t="s">
        <v>680</v>
      </c>
      <c r="C1893" s="83">
        <v>46054</v>
      </c>
      <c r="D1893" t="s">
        <v>684</v>
      </c>
      <c r="E1893" t="s">
        <v>334</v>
      </c>
      <c r="F1893">
        <v>6</v>
      </c>
      <c r="G1893">
        <v>4.1682333333333297</v>
      </c>
    </row>
    <row r="1894" spans="1:7" x14ac:dyDescent="0.35">
      <c r="A1894" t="s">
        <v>847</v>
      </c>
      <c r="B1894" t="s">
        <v>680</v>
      </c>
      <c r="C1894" s="83">
        <v>46054</v>
      </c>
      <c r="D1894" t="s">
        <v>684</v>
      </c>
      <c r="E1894" t="s">
        <v>296</v>
      </c>
      <c r="F1894">
        <v>4</v>
      </c>
      <c r="G1894">
        <v>3.0008666666666701</v>
      </c>
    </row>
    <row r="1895" spans="1:7" x14ac:dyDescent="0.35">
      <c r="A1895" t="s">
        <v>847</v>
      </c>
      <c r="B1895" t="s">
        <v>680</v>
      </c>
      <c r="C1895" s="83">
        <v>46054</v>
      </c>
      <c r="D1895" t="s">
        <v>687</v>
      </c>
      <c r="E1895" t="s">
        <v>718</v>
      </c>
      <c r="F1895">
        <v>5</v>
      </c>
      <c r="G1895">
        <v>1.49796666666667</v>
      </c>
    </row>
    <row r="1896" spans="1:7" x14ac:dyDescent="0.35">
      <c r="A1896" t="s">
        <v>847</v>
      </c>
      <c r="B1896" t="s">
        <v>680</v>
      </c>
      <c r="C1896" s="83">
        <v>46054</v>
      </c>
      <c r="D1896" t="s">
        <v>687</v>
      </c>
      <c r="E1896" t="s">
        <v>733</v>
      </c>
      <c r="F1896">
        <v>3</v>
      </c>
      <c r="G1896">
        <v>2.0073666666666701</v>
      </c>
    </row>
    <row r="1897" spans="1:7" x14ac:dyDescent="0.35">
      <c r="A1897" t="s">
        <v>847</v>
      </c>
      <c r="B1897" t="s">
        <v>680</v>
      </c>
      <c r="C1897" s="83">
        <v>46054</v>
      </c>
      <c r="D1897" t="s">
        <v>687</v>
      </c>
      <c r="E1897" t="s">
        <v>717</v>
      </c>
      <c r="F1897">
        <v>3</v>
      </c>
      <c r="G1897">
        <v>1.0065833333333301</v>
      </c>
    </row>
    <row r="1898" spans="1:7" x14ac:dyDescent="0.35">
      <c r="A1898" t="s">
        <v>847</v>
      </c>
      <c r="B1898" t="s">
        <v>680</v>
      </c>
      <c r="C1898" s="83">
        <v>46054</v>
      </c>
      <c r="D1898" t="s">
        <v>688</v>
      </c>
      <c r="E1898" t="s">
        <v>316</v>
      </c>
      <c r="F1898">
        <v>9</v>
      </c>
      <c r="G1898">
        <v>7.0050333333333299</v>
      </c>
    </row>
    <row r="1899" spans="1:7" x14ac:dyDescent="0.35">
      <c r="A1899" t="s">
        <v>847</v>
      </c>
      <c r="B1899" t="s">
        <v>680</v>
      </c>
      <c r="C1899" s="83">
        <v>46054</v>
      </c>
      <c r="D1899" t="s">
        <v>688</v>
      </c>
      <c r="E1899" t="s">
        <v>311</v>
      </c>
      <c r="F1899">
        <v>8</v>
      </c>
      <c r="G1899">
        <v>3.34161666666667</v>
      </c>
    </row>
    <row r="1900" spans="1:7" x14ac:dyDescent="0.35">
      <c r="A1900" t="s">
        <v>847</v>
      </c>
      <c r="B1900" t="s">
        <v>680</v>
      </c>
      <c r="C1900" s="83">
        <v>46054</v>
      </c>
      <c r="D1900" t="s">
        <v>688</v>
      </c>
      <c r="E1900" t="s">
        <v>720</v>
      </c>
      <c r="F1900">
        <v>6</v>
      </c>
      <c r="G1900">
        <v>4.3230500000000003</v>
      </c>
    </row>
    <row r="1901" spans="1:7" x14ac:dyDescent="0.35">
      <c r="A1901" t="s">
        <v>847</v>
      </c>
      <c r="B1901" t="s">
        <v>680</v>
      </c>
      <c r="C1901" s="83">
        <v>46054</v>
      </c>
      <c r="D1901" t="s">
        <v>690</v>
      </c>
      <c r="E1901" t="s">
        <v>311</v>
      </c>
      <c r="F1901">
        <v>11</v>
      </c>
      <c r="G1901">
        <v>7.8393166666666696</v>
      </c>
    </row>
    <row r="1902" spans="1:7" x14ac:dyDescent="0.35">
      <c r="A1902" t="s">
        <v>847</v>
      </c>
      <c r="B1902" t="s">
        <v>680</v>
      </c>
      <c r="C1902" s="83">
        <v>46054</v>
      </c>
      <c r="D1902" t="s">
        <v>690</v>
      </c>
      <c r="E1902" t="s">
        <v>126</v>
      </c>
      <c r="F1902">
        <v>8</v>
      </c>
      <c r="G1902">
        <v>8.5104666666666695</v>
      </c>
    </row>
    <row r="1903" spans="1:7" x14ac:dyDescent="0.35">
      <c r="A1903" t="s">
        <v>847</v>
      </c>
      <c r="B1903" t="s">
        <v>680</v>
      </c>
      <c r="C1903" s="83">
        <v>46054</v>
      </c>
      <c r="D1903" t="s">
        <v>690</v>
      </c>
      <c r="E1903" t="s">
        <v>723</v>
      </c>
      <c r="F1903">
        <v>4</v>
      </c>
      <c r="G1903">
        <v>4.3317833333333304</v>
      </c>
    </row>
    <row r="1904" spans="1:7" x14ac:dyDescent="0.35">
      <c r="A1904" t="s">
        <v>847</v>
      </c>
      <c r="B1904" t="s">
        <v>680</v>
      </c>
      <c r="C1904" s="83">
        <v>46054</v>
      </c>
      <c r="D1904" t="s">
        <v>685</v>
      </c>
      <c r="E1904" t="s">
        <v>732</v>
      </c>
      <c r="F1904">
        <v>10</v>
      </c>
      <c r="G1904">
        <v>12.83315</v>
      </c>
    </row>
    <row r="1905" spans="1:7" x14ac:dyDescent="0.35">
      <c r="A1905" t="s">
        <v>847</v>
      </c>
      <c r="B1905" t="s">
        <v>680</v>
      </c>
      <c r="C1905" s="83">
        <v>46054</v>
      </c>
      <c r="D1905" t="s">
        <v>685</v>
      </c>
      <c r="E1905" t="s">
        <v>311</v>
      </c>
      <c r="F1905">
        <v>7</v>
      </c>
      <c r="G1905">
        <v>10.00285</v>
      </c>
    </row>
    <row r="1906" spans="1:7" x14ac:dyDescent="0.35">
      <c r="A1906" t="s">
        <v>847</v>
      </c>
      <c r="B1906" t="s">
        <v>680</v>
      </c>
      <c r="C1906" s="83">
        <v>46054</v>
      </c>
      <c r="D1906" t="s">
        <v>685</v>
      </c>
      <c r="E1906" t="s">
        <v>316</v>
      </c>
      <c r="F1906">
        <v>4</v>
      </c>
      <c r="G1906">
        <v>56.669866666666699</v>
      </c>
    </row>
    <row r="1907" spans="1:7" x14ac:dyDescent="0.35">
      <c r="A1907" t="s">
        <v>847</v>
      </c>
      <c r="B1907" t="s">
        <v>680</v>
      </c>
      <c r="C1907" s="83">
        <v>46055</v>
      </c>
      <c r="D1907" t="s">
        <v>681</v>
      </c>
      <c r="E1907" t="s">
        <v>296</v>
      </c>
      <c r="F1907">
        <v>31</v>
      </c>
      <c r="G1907">
        <v>19.762250000000002</v>
      </c>
    </row>
    <row r="1908" spans="1:7" x14ac:dyDescent="0.35">
      <c r="A1908" t="s">
        <v>847</v>
      </c>
      <c r="B1908" t="s">
        <v>680</v>
      </c>
      <c r="C1908" s="83">
        <v>46055</v>
      </c>
      <c r="D1908" t="s">
        <v>681</v>
      </c>
      <c r="E1908" t="s">
        <v>298</v>
      </c>
      <c r="F1908">
        <v>15</v>
      </c>
      <c r="G1908">
        <v>23.367633333333298</v>
      </c>
    </row>
    <row r="1909" spans="1:7" x14ac:dyDescent="0.35">
      <c r="A1909" t="s">
        <v>847</v>
      </c>
      <c r="B1909" t="s">
        <v>680</v>
      </c>
      <c r="C1909" s="83">
        <v>46055</v>
      </c>
      <c r="D1909" t="s">
        <v>681</v>
      </c>
      <c r="E1909" t="s">
        <v>297</v>
      </c>
      <c r="F1909">
        <v>12</v>
      </c>
      <c r="G1909">
        <v>4.5077666666666696</v>
      </c>
    </row>
    <row r="1910" spans="1:7" x14ac:dyDescent="0.35">
      <c r="A1910" t="s">
        <v>847</v>
      </c>
      <c r="B1910" t="s">
        <v>680</v>
      </c>
      <c r="C1910" s="83">
        <v>46055</v>
      </c>
      <c r="D1910" t="s">
        <v>683</v>
      </c>
      <c r="E1910" t="s">
        <v>298</v>
      </c>
      <c r="F1910">
        <v>19</v>
      </c>
      <c r="G1910">
        <v>33.573966666666699</v>
      </c>
    </row>
    <row r="1911" spans="1:7" x14ac:dyDescent="0.35">
      <c r="A1911" t="s">
        <v>847</v>
      </c>
      <c r="B1911" t="s">
        <v>680</v>
      </c>
      <c r="C1911" s="83">
        <v>46055</v>
      </c>
      <c r="D1911" t="s">
        <v>683</v>
      </c>
      <c r="E1911" t="s">
        <v>296</v>
      </c>
      <c r="F1911">
        <v>16</v>
      </c>
      <c r="G1911">
        <v>24.669599999999999</v>
      </c>
    </row>
    <row r="1912" spans="1:7" x14ac:dyDescent="0.35">
      <c r="A1912" t="s">
        <v>847</v>
      </c>
      <c r="B1912" t="s">
        <v>680</v>
      </c>
      <c r="C1912" s="83">
        <v>46055</v>
      </c>
      <c r="D1912" t="s">
        <v>683</v>
      </c>
      <c r="E1912" t="s">
        <v>730</v>
      </c>
      <c r="F1912">
        <v>12</v>
      </c>
      <c r="G1912">
        <v>8.6370833333333294</v>
      </c>
    </row>
    <row r="1913" spans="1:7" x14ac:dyDescent="0.35">
      <c r="A1913" t="s">
        <v>847</v>
      </c>
      <c r="B1913" t="s">
        <v>680</v>
      </c>
      <c r="C1913" s="83">
        <v>46055</v>
      </c>
      <c r="D1913" t="s">
        <v>689</v>
      </c>
      <c r="E1913" t="s">
        <v>296</v>
      </c>
      <c r="F1913">
        <v>22</v>
      </c>
      <c r="G1913">
        <v>21.0332333333333</v>
      </c>
    </row>
    <row r="1914" spans="1:7" x14ac:dyDescent="0.35">
      <c r="A1914" t="s">
        <v>847</v>
      </c>
      <c r="B1914" t="s">
        <v>680</v>
      </c>
      <c r="C1914" s="83">
        <v>46055</v>
      </c>
      <c r="D1914" t="s">
        <v>689</v>
      </c>
      <c r="E1914" t="s">
        <v>297</v>
      </c>
      <c r="F1914">
        <v>12</v>
      </c>
      <c r="G1914">
        <v>4.9993499999999997</v>
      </c>
    </row>
    <row r="1915" spans="1:7" x14ac:dyDescent="0.35">
      <c r="A1915" t="s">
        <v>847</v>
      </c>
      <c r="B1915" t="s">
        <v>680</v>
      </c>
      <c r="C1915" s="83">
        <v>46055</v>
      </c>
      <c r="D1915" t="s">
        <v>689</v>
      </c>
      <c r="E1915" t="s">
        <v>298</v>
      </c>
      <c r="F1915">
        <v>12</v>
      </c>
      <c r="G1915">
        <v>4.5996333333333297</v>
      </c>
    </row>
    <row r="1916" spans="1:7" x14ac:dyDescent="0.35">
      <c r="A1916" t="s">
        <v>847</v>
      </c>
      <c r="B1916" t="s">
        <v>680</v>
      </c>
      <c r="C1916" s="83">
        <v>46055</v>
      </c>
      <c r="D1916" t="s">
        <v>684</v>
      </c>
      <c r="E1916" t="s">
        <v>296</v>
      </c>
      <c r="F1916">
        <v>6</v>
      </c>
      <c r="G1916">
        <v>1.9107333333333301</v>
      </c>
    </row>
    <row r="1917" spans="1:7" x14ac:dyDescent="0.35">
      <c r="A1917" t="s">
        <v>847</v>
      </c>
      <c r="B1917" t="s">
        <v>680</v>
      </c>
      <c r="C1917" s="83">
        <v>46055</v>
      </c>
      <c r="D1917" t="s">
        <v>684</v>
      </c>
      <c r="E1917" t="s">
        <v>298</v>
      </c>
      <c r="F1917">
        <v>5</v>
      </c>
      <c r="G1917">
        <v>3.9054166666666701</v>
      </c>
    </row>
    <row r="1918" spans="1:7" x14ac:dyDescent="0.35">
      <c r="A1918" t="s">
        <v>847</v>
      </c>
      <c r="B1918" t="s">
        <v>680</v>
      </c>
      <c r="C1918" s="83">
        <v>46055</v>
      </c>
      <c r="D1918" t="s">
        <v>684</v>
      </c>
      <c r="E1918" t="s">
        <v>297</v>
      </c>
      <c r="F1918">
        <v>3</v>
      </c>
      <c r="G1918">
        <v>0.89483333333333304</v>
      </c>
    </row>
    <row r="1919" spans="1:7" x14ac:dyDescent="0.35">
      <c r="A1919" t="s">
        <v>847</v>
      </c>
      <c r="B1919" t="s">
        <v>680</v>
      </c>
      <c r="C1919" s="83">
        <v>46055</v>
      </c>
      <c r="D1919" t="s">
        <v>687</v>
      </c>
      <c r="E1919" t="s">
        <v>717</v>
      </c>
      <c r="F1919">
        <v>5</v>
      </c>
      <c r="G1919">
        <v>1.9987333333333299</v>
      </c>
    </row>
    <row r="1920" spans="1:7" x14ac:dyDescent="0.35">
      <c r="A1920" t="s">
        <v>847</v>
      </c>
      <c r="B1920" t="s">
        <v>680</v>
      </c>
      <c r="C1920" s="83">
        <v>46055</v>
      </c>
      <c r="D1920" t="s">
        <v>687</v>
      </c>
      <c r="E1920" t="s">
        <v>743</v>
      </c>
      <c r="F1920">
        <v>4</v>
      </c>
      <c r="G1920">
        <v>3.1660833333333298</v>
      </c>
    </row>
    <row r="1921" spans="1:7" x14ac:dyDescent="0.35">
      <c r="A1921" t="s">
        <v>847</v>
      </c>
      <c r="B1921" t="s">
        <v>680</v>
      </c>
      <c r="C1921" s="83">
        <v>46055</v>
      </c>
      <c r="D1921" t="s">
        <v>687</v>
      </c>
      <c r="E1921" t="s">
        <v>729</v>
      </c>
      <c r="F1921">
        <v>4</v>
      </c>
      <c r="G1921">
        <v>1.2576166666666699</v>
      </c>
    </row>
    <row r="1922" spans="1:7" x14ac:dyDescent="0.35">
      <c r="A1922" t="s">
        <v>847</v>
      </c>
      <c r="B1922" t="s">
        <v>680</v>
      </c>
      <c r="C1922" s="83">
        <v>46055</v>
      </c>
      <c r="D1922" t="s">
        <v>688</v>
      </c>
      <c r="E1922" t="s">
        <v>338</v>
      </c>
      <c r="F1922">
        <v>37</v>
      </c>
      <c r="G1922">
        <v>66.272866666666701</v>
      </c>
    </row>
    <row r="1923" spans="1:7" x14ac:dyDescent="0.35">
      <c r="A1923" t="s">
        <v>847</v>
      </c>
      <c r="B1923" t="s">
        <v>680</v>
      </c>
      <c r="C1923" s="83">
        <v>46055</v>
      </c>
      <c r="D1923" t="s">
        <v>688</v>
      </c>
      <c r="E1923" t="s">
        <v>316</v>
      </c>
      <c r="F1923">
        <v>16</v>
      </c>
      <c r="G1923">
        <v>6.5626666666666704</v>
      </c>
    </row>
    <row r="1924" spans="1:7" x14ac:dyDescent="0.35">
      <c r="A1924" t="s">
        <v>847</v>
      </c>
      <c r="B1924" t="s">
        <v>680</v>
      </c>
      <c r="C1924" s="83">
        <v>46055</v>
      </c>
      <c r="D1924" t="s">
        <v>688</v>
      </c>
      <c r="E1924" t="s">
        <v>311</v>
      </c>
      <c r="F1924">
        <v>15</v>
      </c>
      <c r="G1924">
        <v>76.403800000000004</v>
      </c>
    </row>
    <row r="1925" spans="1:7" x14ac:dyDescent="0.35">
      <c r="A1925" t="s">
        <v>847</v>
      </c>
      <c r="B1925" t="s">
        <v>680</v>
      </c>
      <c r="C1925" s="83">
        <v>46055</v>
      </c>
      <c r="D1925" t="s">
        <v>690</v>
      </c>
      <c r="E1925" t="s">
        <v>657</v>
      </c>
      <c r="F1925">
        <v>12</v>
      </c>
      <c r="G1925">
        <v>19.521750000000001</v>
      </c>
    </row>
    <row r="1926" spans="1:7" x14ac:dyDescent="0.35">
      <c r="A1926" t="s">
        <v>847</v>
      </c>
      <c r="B1926" t="s">
        <v>680</v>
      </c>
      <c r="C1926" s="83">
        <v>46055</v>
      </c>
      <c r="D1926" t="s">
        <v>690</v>
      </c>
      <c r="E1926" t="s">
        <v>311</v>
      </c>
      <c r="F1926">
        <v>11</v>
      </c>
      <c r="G1926">
        <v>4.0282833333333299</v>
      </c>
    </row>
    <row r="1927" spans="1:7" x14ac:dyDescent="0.35">
      <c r="A1927" t="s">
        <v>847</v>
      </c>
      <c r="B1927" t="s">
        <v>680</v>
      </c>
      <c r="C1927" s="83">
        <v>46055</v>
      </c>
      <c r="D1927" t="s">
        <v>690</v>
      </c>
      <c r="E1927" t="s">
        <v>316</v>
      </c>
      <c r="F1927">
        <v>4</v>
      </c>
      <c r="G1927">
        <v>9.8666166666666708</v>
      </c>
    </row>
    <row r="1928" spans="1:7" x14ac:dyDescent="0.35">
      <c r="A1928" t="s">
        <v>847</v>
      </c>
      <c r="B1928" t="s">
        <v>680</v>
      </c>
      <c r="C1928" s="83">
        <v>46055</v>
      </c>
      <c r="D1928" t="s">
        <v>685</v>
      </c>
      <c r="E1928" t="s">
        <v>734</v>
      </c>
      <c r="F1928">
        <v>10</v>
      </c>
      <c r="G1928">
        <v>9.0465</v>
      </c>
    </row>
    <row r="1929" spans="1:7" x14ac:dyDescent="0.35">
      <c r="A1929" t="s">
        <v>847</v>
      </c>
      <c r="B1929" t="s">
        <v>680</v>
      </c>
      <c r="C1929" s="83">
        <v>46055</v>
      </c>
      <c r="D1929" t="s">
        <v>685</v>
      </c>
      <c r="E1929" t="s">
        <v>311</v>
      </c>
      <c r="F1929">
        <v>7</v>
      </c>
      <c r="G1929">
        <v>8.8321333333333296</v>
      </c>
    </row>
    <row r="1930" spans="1:7" x14ac:dyDescent="0.35">
      <c r="A1930" t="s">
        <v>847</v>
      </c>
      <c r="B1930" t="s">
        <v>680</v>
      </c>
      <c r="C1930" s="83">
        <v>46055</v>
      </c>
      <c r="D1930" t="s">
        <v>685</v>
      </c>
      <c r="E1930" t="s">
        <v>316</v>
      </c>
      <c r="F1930">
        <v>5</v>
      </c>
      <c r="G1930">
        <v>4.7308666666666701</v>
      </c>
    </row>
    <row r="1931" spans="1:7" x14ac:dyDescent="0.35">
      <c r="A1931" t="s">
        <v>847</v>
      </c>
      <c r="B1931" t="s">
        <v>680</v>
      </c>
      <c r="C1931" s="83">
        <v>46056</v>
      </c>
      <c r="D1931" t="s">
        <v>681</v>
      </c>
      <c r="E1931" t="s">
        <v>298</v>
      </c>
      <c r="F1931">
        <v>12</v>
      </c>
      <c r="G1931">
        <v>16.660599999999999</v>
      </c>
    </row>
    <row r="1932" spans="1:7" x14ac:dyDescent="0.35">
      <c r="A1932" t="s">
        <v>847</v>
      </c>
      <c r="B1932" t="s">
        <v>680</v>
      </c>
      <c r="C1932" s="83">
        <v>46056</v>
      </c>
      <c r="D1932" t="s">
        <v>681</v>
      </c>
      <c r="E1932" t="s">
        <v>300</v>
      </c>
      <c r="F1932">
        <v>8</v>
      </c>
      <c r="G1932">
        <v>3.5051000000000001</v>
      </c>
    </row>
    <row r="1933" spans="1:7" x14ac:dyDescent="0.35">
      <c r="A1933" t="s">
        <v>847</v>
      </c>
      <c r="B1933" t="s">
        <v>680</v>
      </c>
      <c r="C1933" s="83">
        <v>46056</v>
      </c>
      <c r="D1933" t="s">
        <v>681</v>
      </c>
      <c r="E1933" t="s">
        <v>296</v>
      </c>
      <c r="F1933">
        <v>6</v>
      </c>
      <c r="G1933">
        <v>1.32521666666667</v>
      </c>
    </row>
    <row r="1934" spans="1:7" x14ac:dyDescent="0.35">
      <c r="A1934" t="s">
        <v>847</v>
      </c>
      <c r="B1934" t="s">
        <v>680</v>
      </c>
      <c r="C1934" s="83">
        <v>46056</v>
      </c>
      <c r="D1934" t="s">
        <v>683</v>
      </c>
      <c r="E1934" t="s">
        <v>298</v>
      </c>
      <c r="F1934">
        <v>15</v>
      </c>
      <c r="G1934">
        <v>12.66465</v>
      </c>
    </row>
    <row r="1935" spans="1:7" x14ac:dyDescent="0.35">
      <c r="A1935" t="s">
        <v>847</v>
      </c>
      <c r="B1935" t="s">
        <v>680</v>
      </c>
      <c r="C1935" s="83">
        <v>46056</v>
      </c>
      <c r="D1935" t="s">
        <v>683</v>
      </c>
      <c r="E1935" t="s">
        <v>296</v>
      </c>
      <c r="F1935">
        <v>12</v>
      </c>
      <c r="G1935">
        <v>4.5143166666666703</v>
      </c>
    </row>
    <row r="1936" spans="1:7" x14ac:dyDescent="0.35">
      <c r="A1936" t="s">
        <v>847</v>
      </c>
      <c r="B1936" t="s">
        <v>680</v>
      </c>
      <c r="C1936" s="83">
        <v>46056</v>
      </c>
      <c r="D1936" t="s">
        <v>683</v>
      </c>
      <c r="E1936" t="s">
        <v>749</v>
      </c>
      <c r="F1936">
        <v>10</v>
      </c>
      <c r="G1936">
        <v>6.9896000000000003</v>
      </c>
    </row>
    <row r="1937" spans="1:7" x14ac:dyDescent="0.35">
      <c r="A1937" t="s">
        <v>847</v>
      </c>
      <c r="B1937" t="s">
        <v>680</v>
      </c>
      <c r="C1937" s="83">
        <v>46056</v>
      </c>
      <c r="D1937" t="s">
        <v>689</v>
      </c>
      <c r="E1937" t="s">
        <v>297</v>
      </c>
      <c r="F1937">
        <v>29</v>
      </c>
      <c r="G1937">
        <v>17.342466666666699</v>
      </c>
    </row>
    <row r="1938" spans="1:7" x14ac:dyDescent="0.35">
      <c r="A1938" t="s">
        <v>847</v>
      </c>
      <c r="B1938" t="s">
        <v>680</v>
      </c>
      <c r="C1938" s="83">
        <v>46056</v>
      </c>
      <c r="D1938" t="s">
        <v>689</v>
      </c>
      <c r="E1938" t="s">
        <v>296</v>
      </c>
      <c r="F1938">
        <v>26</v>
      </c>
      <c r="G1938">
        <v>19.8028333333333</v>
      </c>
    </row>
    <row r="1939" spans="1:7" x14ac:dyDescent="0.35">
      <c r="A1939" t="s">
        <v>847</v>
      </c>
      <c r="B1939" t="s">
        <v>680</v>
      </c>
      <c r="C1939" s="83">
        <v>46056</v>
      </c>
      <c r="D1939" t="s">
        <v>689</v>
      </c>
      <c r="E1939" t="s">
        <v>736</v>
      </c>
      <c r="F1939">
        <v>22</v>
      </c>
      <c r="G1939">
        <v>17.161766666666701</v>
      </c>
    </row>
    <row r="1940" spans="1:7" x14ac:dyDescent="0.35">
      <c r="A1940" t="s">
        <v>847</v>
      </c>
      <c r="B1940" t="s">
        <v>680</v>
      </c>
      <c r="C1940" s="83">
        <v>46056</v>
      </c>
      <c r="D1940" t="s">
        <v>684</v>
      </c>
      <c r="E1940" t="s">
        <v>298</v>
      </c>
      <c r="F1940">
        <v>5</v>
      </c>
      <c r="G1940">
        <v>1.50203333333333</v>
      </c>
    </row>
    <row r="1941" spans="1:7" x14ac:dyDescent="0.35">
      <c r="A1941" t="s">
        <v>847</v>
      </c>
      <c r="B1941" t="s">
        <v>680</v>
      </c>
      <c r="C1941" s="83">
        <v>46056</v>
      </c>
      <c r="D1941" t="s">
        <v>684</v>
      </c>
      <c r="E1941" t="s">
        <v>297</v>
      </c>
      <c r="F1941">
        <v>3</v>
      </c>
      <c r="G1941">
        <v>0.49861666666666699</v>
      </c>
    </row>
    <row r="1942" spans="1:7" x14ac:dyDescent="0.35">
      <c r="A1942" t="s">
        <v>847</v>
      </c>
      <c r="B1942" t="s">
        <v>680</v>
      </c>
      <c r="C1942" s="83">
        <v>46056</v>
      </c>
      <c r="D1942" t="s">
        <v>684</v>
      </c>
      <c r="E1942" t="s">
        <v>334</v>
      </c>
      <c r="F1942">
        <v>2</v>
      </c>
      <c r="G1942">
        <v>0.33346666666666702</v>
      </c>
    </row>
    <row r="1943" spans="1:7" x14ac:dyDescent="0.35">
      <c r="A1943" t="s">
        <v>847</v>
      </c>
      <c r="B1943" t="s">
        <v>680</v>
      </c>
      <c r="C1943" s="83">
        <v>46056</v>
      </c>
      <c r="D1943" t="s">
        <v>687</v>
      </c>
      <c r="E1943" t="s">
        <v>718</v>
      </c>
      <c r="F1943">
        <v>2</v>
      </c>
      <c r="G1943">
        <v>0.667383333333333</v>
      </c>
    </row>
    <row r="1944" spans="1:7" x14ac:dyDescent="0.35">
      <c r="A1944" t="s">
        <v>847</v>
      </c>
      <c r="B1944" t="s">
        <v>680</v>
      </c>
      <c r="C1944" s="83">
        <v>46056</v>
      </c>
      <c r="D1944" t="s">
        <v>687</v>
      </c>
      <c r="E1944" t="s">
        <v>717</v>
      </c>
      <c r="F1944">
        <v>2</v>
      </c>
      <c r="G1944">
        <v>1.4994833333333299</v>
      </c>
    </row>
    <row r="1945" spans="1:7" x14ac:dyDescent="0.35">
      <c r="A1945" t="s">
        <v>847</v>
      </c>
      <c r="B1945" t="s">
        <v>680</v>
      </c>
      <c r="C1945" s="83">
        <v>46056</v>
      </c>
      <c r="D1945" t="s">
        <v>688</v>
      </c>
      <c r="E1945" t="s">
        <v>311</v>
      </c>
      <c r="F1945">
        <v>30</v>
      </c>
      <c r="G1945">
        <v>17.998950000000001</v>
      </c>
    </row>
    <row r="1946" spans="1:7" x14ac:dyDescent="0.35">
      <c r="A1946" t="s">
        <v>847</v>
      </c>
      <c r="B1946" t="s">
        <v>680</v>
      </c>
      <c r="C1946" s="83">
        <v>46056</v>
      </c>
      <c r="D1946" t="s">
        <v>688</v>
      </c>
      <c r="E1946" t="s">
        <v>720</v>
      </c>
      <c r="F1946">
        <v>24</v>
      </c>
      <c r="G1946">
        <v>16.340783333333299</v>
      </c>
    </row>
    <row r="1947" spans="1:7" x14ac:dyDescent="0.35">
      <c r="A1947" t="s">
        <v>847</v>
      </c>
      <c r="B1947" t="s">
        <v>680</v>
      </c>
      <c r="C1947" s="83">
        <v>46056</v>
      </c>
      <c r="D1947" t="s">
        <v>688</v>
      </c>
      <c r="E1947" t="s">
        <v>316</v>
      </c>
      <c r="F1947">
        <v>17</v>
      </c>
      <c r="G1947">
        <v>7.5023499999999999</v>
      </c>
    </row>
    <row r="1948" spans="1:7" x14ac:dyDescent="0.35">
      <c r="A1948" t="s">
        <v>847</v>
      </c>
      <c r="B1948" t="s">
        <v>680</v>
      </c>
      <c r="C1948" s="83">
        <v>46056</v>
      </c>
      <c r="D1948" t="s">
        <v>690</v>
      </c>
      <c r="E1948" t="s">
        <v>724</v>
      </c>
      <c r="F1948">
        <v>10</v>
      </c>
      <c r="G1948">
        <v>24.000416666666698</v>
      </c>
    </row>
    <row r="1949" spans="1:7" x14ac:dyDescent="0.35">
      <c r="A1949" t="s">
        <v>847</v>
      </c>
      <c r="B1949" t="s">
        <v>680</v>
      </c>
      <c r="C1949" s="83">
        <v>46056</v>
      </c>
      <c r="D1949" t="s">
        <v>690</v>
      </c>
      <c r="E1949" t="s">
        <v>311</v>
      </c>
      <c r="F1949">
        <v>8</v>
      </c>
      <c r="G1949">
        <v>8.1483666666666696</v>
      </c>
    </row>
    <row r="1950" spans="1:7" x14ac:dyDescent="0.35">
      <c r="A1950" t="s">
        <v>847</v>
      </c>
      <c r="B1950" t="s">
        <v>680</v>
      </c>
      <c r="C1950" s="83">
        <v>46056</v>
      </c>
      <c r="D1950" t="s">
        <v>690</v>
      </c>
      <c r="E1950" t="s">
        <v>720</v>
      </c>
      <c r="F1950">
        <v>4</v>
      </c>
      <c r="G1950">
        <v>2.33578333333333</v>
      </c>
    </row>
    <row r="1951" spans="1:7" x14ac:dyDescent="0.35">
      <c r="A1951" t="s">
        <v>847</v>
      </c>
      <c r="B1951" t="s">
        <v>680</v>
      </c>
      <c r="C1951" s="83">
        <v>46056</v>
      </c>
      <c r="D1951" t="s">
        <v>685</v>
      </c>
      <c r="E1951" t="s">
        <v>311</v>
      </c>
      <c r="F1951">
        <v>11</v>
      </c>
      <c r="G1951">
        <v>10.3103333333333</v>
      </c>
    </row>
    <row r="1952" spans="1:7" x14ac:dyDescent="0.35">
      <c r="A1952" t="s">
        <v>847</v>
      </c>
      <c r="B1952" t="s">
        <v>680</v>
      </c>
      <c r="C1952" s="83">
        <v>46056</v>
      </c>
      <c r="D1952" t="s">
        <v>685</v>
      </c>
      <c r="E1952" t="s">
        <v>126</v>
      </c>
      <c r="F1952">
        <v>3</v>
      </c>
      <c r="G1952">
        <v>1.0044833333333301</v>
      </c>
    </row>
    <row r="1953" spans="1:7" x14ac:dyDescent="0.35">
      <c r="A1953" t="s">
        <v>847</v>
      </c>
      <c r="B1953" t="s">
        <v>680</v>
      </c>
      <c r="C1953" s="83">
        <v>46056</v>
      </c>
      <c r="D1953" t="s">
        <v>685</v>
      </c>
      <c r="E1953" t="s">
        <v>720</v>
      </c>
      <c r="F1953">
        <v>3</v>
      </c>
      <c r="G1953">
        <v>1.3348500000000001</v>
      </c>
    </row>
    <row r="1954" spans="1:7" x14ac:dyDescent="0.35">
      <c r="A1954" t="s">
        <v>847</v>
      </c>
      <c r="B1954" t="s">
        <v>680</v>
      </c>
      <c r="C1954" s="83">
        <v>46057</v>
      </c>
      <c r="D1954" t="s">
        <v>681</v>
      </c>
      <c r="E1954" t="s">
        <v>298</v>
      </c>
      <c r="F1954">
        <v>15</v>
      </c>
      <c r="G1954">
        <v>10.1680166666667</v>
      </c>
    </row>
    <row r="1955" spans="1:7" x14ac:dyDescent="0.35">
      <c r="A1955" t="s">
        <v>847</v>
      </c>
      <c r="B1955" t="s">
        <v>680</v>
      </c>
      <c r="C1955" s="83">
        <v>46057</v>
      </c>
      <c r="D1955" t="s">
        <v>681</v>
      </c>
      <c r="E1955" t="s">
        <v>645</v>
      </c>
      <c r="F1955">
        <v>15</v>
      </c>
      <c r="G1955">
        <v>20.3343666666667</v>
      </c>
    </row>
    <row r="1956" spans="1:7" x14ac:dyDescent="0.35">
      <c r="A1956" t="s">
        <v>847</v>
      </c>
      <c r="B1956" t="s">
        <v>680</v>
      </c>
      <c r="C1956" s="83">
        <v>46057</v>
      </c>
      <c r="D1956" t="s">
        <v>681</v>
      </c>
      <c r="E1956" t="s">
        <v>296</v>
      </c>
      <c r="F1956">
        <v>12</v>
      </c>
      <c r="G1956">
        <v>6.3184500000000003</v>
      </c>
    </row>
    <row r="1957" spans="1:7" x14ac:dyDescent="0.35">
      <c r="A1957" t="s">
        <v>847</v>
      </c>
      <c r="B1957" t="s">
        <v>680</v>
      </c>
      <c r="C1957" s="83">
        <v>46057</v>
      </c>
      <c r="D1957" t="s">
        <v>683</v>
      </c>
      <c r="E1957" t="s">
        <v>298</v>
      </c>
      <c r="F1957">
        <v>30</v>
      </c>
      <c r="G1957">
        <v>49.331850000000003</v>
      </c>
    </row>
    <row r="1958" spans="1:7" x14ac:dyDescent="0.35">
      <c r="A1958" t="s">
        <v>847</v>
      </c>
      <c r="B1958" t="s">
        <v>680</v>
      </c>
      <c r="C1958" s="83">
        <v>46057</v>
      </c>
      <c r="D1958" t="s">
        <v>683</v>
      </c>
      <c r="E1958" t="s">
        <v>304</v>
      </c>
      <c r="F1958">
        <v>23</v>
      </c>
      <c r="G1958">
        <v>11.671150000000001</v>
      </c>
    </row>
    <row r="1959" spans="1:7" x14ac:dyDescent="0.35">
      <c r="A1959" t="s">
        <v>847</v>
      </c>
      <c r="B1959" t="s">
        <v>680</v>
      </c>
      <c r="C1959" s="83">
        <v>46057</v>
      </c>
      <c r="D1959" t="s">
        <v>683</v>
      </c>
      <c r="E1959" t="s">
        <v>334</v>
      </c>
      <c r="F1959">
        <v>9</v>
      </c>
      <c r="G1959">
        <v>3.3413499999999998</v>
      </c>
    </row>
    <row r="1960" spans="1:7" x14ac:dyDescent="0.35">
      <c r="A1960" t="s">
        <v>847</v>
      </c>
      <c r="B1960" t="s">
        <v>680</v>
      </c>
      <c r="C1960" s="83">
        <v>46057</v>
      </c>
      <c r="D1960" t="s">
        <v>689</v>
      </c>
      <c r="E1960" t="s">
        <v>296</v>
      </c>
      <c r="F1960">
        <v>30</v>
      </c>
      <c r="G1960">
        <v>26.990866666666701</v>
      </c>
    </row>
    <row r="1961" spans="1:7" x14ac:dyDescent="0.35">
      <c r="A1961" t="s">
        <v>847</v>
      </c>
      <c r="B1961" t="s">
        <v>680</v>
      </c>
      <c r="C1961" s="83">
        <v>46057</v>
      </c>
      <c r="D1961" t="s">
        <v>689</v>
      </c>
      <c r="E1961" t="s">
        <v>298</v>
      </c>
      <c r="F1961">
        <v>25</v>
      </c>
      <c r="G1961">
        <v>22.619016666666699</v>
      </c>
    </row>
    <row r="1962" spans="1:7" x14ac:dyDescent="0.35">
      <c r="A1962" t="s">
        <v>847</v>
      </c>
      <c r="B1962" t="s">
        <v>680</v>
      </c>
      <c r="C1962" s="83">
        <v>46057</v>
      </c>
      <c r="D1962" t="s">
        <v>689</v>
      </c>
      <c r="E1962" t="s">
        <v>297</v>
      </c>
      <c r="F1962">
        <v>24</v>
      </c>
      <c r="G1962">
        <v>10.8314166666667</v>
      </c>
    </row>
    <row r="1963" spans="1:7" x14ac:dyDescent="0.35">
      <c r="A1963" t="s">
        <v>847</v>
      </c>
      <c r="B1963" t="s">
        <v>680</v>
      </c>
      <c r="C1963" s="83">
        <v>46057</v>
      </c>
      <c r="D1963" t="s">
        <v>684</v>
      </c>
      <c r="E1963" t="s">
        <v>297</v>
      </c>
      <c r="F1963">
        <v>5</v>
      </c>
      <c r="G1963">
        <v>4.6659666666666704</v>
      </c>
    </row>
    <row r="1964" spans="1:7" x14ac:dyDescent="0.35">
      <c r="A1964" t="s">
        <v>847</v>
      </c>
      <c r="B1964" t="s">
        <v>680</v>
      </c>
      <c r="C1964" s="83">
        <v>46057</v>
      </c>
      <c r="D1964" t="s">
        <v>684</v>
      </c>
      <c r="E1964" t="s">
        <v>334</v>
      </c>
      <c r="F1964">
        <v>4</v>
      </c>
      <c r="G1964">
        <v>1.82633333333333</v>
      </c>
    </row>
    <row r="1965" spans="1:7" x14ac:dyDescent="0.35">
      <c r="A1965" t="s">
        <v>847</v>
      </c>
      <c r="B1965" t="s">
        <v>680</v>
      </c>
      <c r="C1965" s="83">
        <v>46057</v>
      </c>
      <c r="D1965" t="s">
        <v>684</v>
      </c>
      <c r="E1965" t="s">
        <v>298</v>
      </c>
      <c r="F1965">
        <v>4</v>
      </c>
      <c r="G1965">
        <v>4.33348333333333</v>
      </c>
    </row>
    <row r="1966" spans="1:7" x14ac:dyDescent="0.35">
      <c r="A1966" t="s">
        <v>847</v>
      </c>
      <c r="B1966" t="s">
        <v>680</v>
      </c>
      <c r="C1966" s="83">
        <v>46057</v>
      </c>
      <c r="D1966" t="s">
        <v>687</v>
      </c>
      <c r="E1966" t="s">
        <v>726</v>
      </c>
      <c r="F1966">
        <v>7</v>
      </c>
      <c r="G1966">
        <v>9.1638833333333292</v>
      </c>
    </row>
    <row r="1967" spans="1:7" x14ac:dyDescent="0.35">
      <c r="A1967" t="s">
        <v>847</v>
      </c>
      <c r="B1967" t="s">
        <v>680</v>
      </c>
      <c r="C1967" s="83">
        <v>46057</v>
      </c>
      <c r="D1967" t="s">
        <v>687</v>
      </c>
      <c r="E1967" t="s">
        <v>718</v>
      </c>
      <c r="F1967">
        <v>3</v>
      </c>
      <c r="G1967">
        <v>1.99328333333333</v>
      </c>
    </row>
    <row r="1968" spans="1:7" x14ac:dyDescent="0.35">
      <c r="A1968" t="s">
        <v>847</v>
      </c>
      <c r="B1968" t="s">
        <v>680</v>
      </c>
      <c r="C1968" s="83">
        <v>46057</v>
      </c>
      <c r="D1968" t="s">
        <v>687</v>
      </c>
      <c r="E1968" t="s">
        <v>717</v>
      </c>
      <c r="F1968">
        <v>3</v>
      </c>
      <c r="G1968">
        <v>4.0078166666666704</v>
      </c>
    </row>
    <row r="1969" spans="1:7" x14ac:dyDescent="0.35">
      <c r="A1969" t="s">
        <v>847</v>
      </c>
      <c r="B1969" t="s">
        <v>680</v>
      </c>
      <c r="C1969" s="83">
        <v>46057</v>
      </c>
      <c r="D1969" t="s">
        <v>688</v>
      </c>
      <c r="E1969" t="s">
        <v>311</v>
      </c>
      <c r="F1969">
        <v>25</v>
      </c>
      <c r="G1969">
        <v>13.196899999999999</v>
      </c>
    </row>
    <row r="1970" spans="1:7" x14ac:dyDescent="0.35">
      <c r="A1970" t="s">
        <v>847</v>
      </c>
      <c r="B1970" t="s">
        <v>680</v>
      </c>
      <c r="C1970" s="83">
        <v>46057</v>
      </c>
      <c r="D1970" t="s">
        <v>688</v>
      </c>
      <c r="E1970" t="s">
        <v>312</v>
      </c>
      <c r="F1970">
        <v>18</v>
      </c>
      <c r="G1970">
        <v>16.973383333333299</v>
      </c>
    </row>
    <row r="1971" spans="1:7" x14ac:dyDescent="0.35">
      <c r="A1971" t="s">
        <v>847</v>
      </c>
      <c r="B1971" t="s">
        <v>680</v>
      </c>
      <c r="C1971" s="83">
        <v>46057</v>
      </c>
      <c r="D1971" t="s">
        <v>688</v>
      </c>
      <c r="E1971" t="s">
        <v>316</v>
      </c>
      <c r="F1971">
        <v>7</v>
      </c>
      <c r="G1971">
        <v>3.00796666666667</v>
      </c>
    </row>
    <row r="1972" spans="1:7" x14ac:dyDescent="0.35">
      <c r="A1972" t="s">
        <v>847</v>
      </c>
      <c r="B1972" t="s">
        <v>680</v>
      </c>
      <c r="C1972" s="83">
        <v>46057</v>
      </c>
      <c r="D1972" t="s">
        <v>690</v>
      </c>
      <c r="E1972" t="s">
        <v>311</v>
      </c>
      <c r="F1972">
        <v>14</v>
      </c>
      <c r="G1972">
        <v>7.6593499999999999</v>
      </c>
    </row>
    <row r="1973" spans="1:7" x14ac:dyDescent="0.35">
      <c r="A1973" t="s">
        <v>847</v>
      </c>
      <c r="B1973" t="s">
        <v>680</v>
      </c>
      <c r="C1973" s="83">
        <v>46057</v>
      </c>
      <c r="D1973" t="s">
        <v>690</v>
      </c>
      <c r="E1973" t="s">
        <v>321</v>
      </c>
      <c r="F1973">
        <v>5</v>
      </c>
      <c r="G1973">
        <v>2.3351999999999999</v>
      </c>
    </row>
    <row r="1974" spans="1:7" x14ac:dyDescent="0.35">
      <c r="A1974" t="s">
        <v>847</v>
      </c>
      <c r="B1974" t="s">
        <v>680</v>
      </c>
      <c r="C1974" s="83">
        <v>46057</v>
      </c>
      <c r="D1974" t="s">
        <v>690</v>
      </c>
      <c r="E1974" t="s">
        <v>316</v>
      </c>
      <c r="F1974">
        <v>3</v>
      </c>
      <c r="G1974">
        <v>1.31711666666667</v>
      </c>
    </row>
    <row r="1975" spans="1:7" x14ac:dyDescent="0.35">
      <c r="A1975" t="s">
        <v>847</v>
      </c>
      <c r="B1975" t="s">
        <v>680</v>
      </c>
      <c r="C1975" s="83">
        <v>46057</v>
      </c>
      <c r="D1975" t="s">
        <v>685</v>
      </c>
      <c r="E1975" t="s">
        <v>311</v>
      </c>
      <c r="F1975">
        <v>19</v>
      </c>
      <c r="G1975">
        <v>13.5171333333333</v>
      </c>
    </row>
    <row r="1976" spans="1:7" x14ac:dyDescent="0.35">
      <c r="A1976" t="s">
        <v>847</v>
      </c>
      <c r="B1976" t="s">
        <v>680</v>
      </c>
      <c r="C1976" s="83">
        <v>46057</v>
      </c>
      <c r="D1976" t="s">
        <v>685</v>
      </c>
      <c r="E1976" t="s">
        <v>316</v>
      </c>
      <c r="F1976">
        <v>4</v>
      </c>
      <c r="G1976">
        <v>5.1594166666666696</v>
      </c>
    </row>
    <row r="1977" spans="1:7" x14ac:dyDescent="0.35">
      <c r="A1977" t="s">
        <v>847</v>
      </c>
      <c r="B1977" t="s">
        <v>680</v>
      </c>
      <c r="C1977" s="83">
        <v>46057</v>
      </c>
      <c r="D1977" t="s">
        <v>685</v>
      </c>
      <c r="E1977" t="s">
        <v>720</v>
      </c>
      <c r="F1977">
        <v>2</v>
      </c>
      <c r="G1977">
        <v>0.50066666666666704</v>
      </c>
    </row>
    <row r="1978" spans="1:7" x14ac:dyDescent="0.35">
      <c r="A1978" t="s">
        <v>847</v>
      </c>
      <c r="B1978" t="s">
        <v>680</v>
      </c>
      <c r="C1978" s="83">
        <v>46058</v>
      </c>
      <c r="D1978" t="s">
        <v>681</v>
      </c>
      <c r="E1978" t="s">
        <v>298</v>
      </c>
      <c r="F1978">
        <v>24</v>
      </c>
      <c r="G1978">
        <v>18.470266666666699</v>
      </c>
    </row>
    <row r="1979" spans="1:7" x14ac:dyDescent="0.35">
      <c r="A1979" t="s">
        <v>847</v>
      </c>
      <c r="B1979" t="s">
        <v>680</v>
      </c>
      <c r="C1979" s="83">
        <v>46058</v>
      </c>
      <c r="D1979" t="s">
        <v>681</v>
      </c>
      <c r="E1979" t="s">
        <v>296</v>
      </c>
      <c r="F1979">
        <v>16</v>
      </c>
      <c r="G1979">
        <v>3.3347500000000001</v>
      </c>
    </row>
    <row r="1980" spans="1:7" x14ac:dyDescent="0.35">
      <c r="A1980" t="s">
        <v>847</v>
      </c>
      <c r="B1980" t="s">
        <v>680</v>
      </c>
      <c r="C1980" s="83">
        <v>46058</v>
      </c>
      <c r="D1980" t="s">
        <v>681</v>
      </c>
      <c r="E1980" t="s">
        <v>297</v>
      </c>
      <c r="F1980">
        <v>10</v>
      </c>
      <c r="G1980">
        <v>4.4982333333333298</v>
      </c>
    </row>
    <row r="1981" spans="1:7" x14ac:dyDescent="0.35">
      <c r="A1981" t="s">
        <v>847</v>
      </c>
      <c r="B1981" t="s">
        <v>680</v>
      </c>
      <c r="C1981" s="83">
        <v>46058</v>
      </c>
      <c r="D1981" t="s">
        <v>683</v>
      </c>
      <c r="E1981" t="s">
        <v>300</v>
      </c>
      <c r="F1981">
        <v>13</v>
      </c>
      <c r="G1981">
        <v>5.0216166666666702</v>
      </c>
    </row>
    <row r="1982" spans="1:7" x14ac:dyDescent="0.35">
      <c r="A1982" t="s">
        <v>847</v>
      </c>
      <c r="B1982" t="s">
        <v>680</v>
      </c>
      <c r="C1982" s="83">
        <v>46058</v>
      </c>
      <c r="D1982" t="s">
        <v>683</v>
      </c>
      <c r="E1982" t="s">
        <v>296</v>
      </c>
      <c r="F1982">
        <v>9</v>
      </c>
      <c r="G1982">
        <v>5.15241666666667</v>
      </c>
    </row>
    <row r="1983" spans="1:7" x14ac:dyDescent="0.35">
      <c r="A1983" t="s">
        <v>847</v>
      </c>
      <c r="B1983" t="s">
        <v>680</v>
      </c>
      <c r="C1983" s="83">
        <v>46058</v>
      </c>
      <c r="D1983" t="s">
        <v>683</v>
      </c>
      <c r="E1983" t="s">
        <v>298</v>
      </c>
      <c r="F1983">
        <v>9</v>
      </c>
      <c r="G1983">
        <v>10.3432333333333</v>
      </c>
    </row>
    <row r="1984" spans="1:7" x14ac:dyDescent="0.35">
      <c r="A1984" t="s">
        <v>847</v>
      </c>
      <c r="B1984" t="s">
        <v>680</v>
      </c>
      <c r="C1984" s="83">
        <v>46058</v>
      </c>
      <c r="D1984" t="s">
        <v>689</v>
      </c>
      <c r="E1984" t="s">
        <v>298</v>
      </c>
      <c r="F1984">
        <v>29</v>
      </c>
      <c r="G1984">
        <v>37.992449999999998</v>
      </c>
    </row>
    <row r="1985" spans="1:7" x14ac:dyDescent="0.35">
      <c r="A1985" t="s">
        <v>847</v>
      </c>
      <c r="B1985" t="s">
        <v>680</v>
      </c>
      <c r="C1985" s="83">
        <v>46058</v>
      </c>
      <c r="D1985" t="s">
        <v>689</v>
      </c>
      <c r="E1985" t="s">
        <v>297</v>
      </c>
      <c r="F1985">
        <v>19</v>
      </c>
      <c r="G1985">
        <v>11.6780833333333</v>
      </c>
    </row>
    <row r="1986" spans="1:7" x14ac:dyDescent="0.35">
      <c r="A1986" t="s">
        <v>847</v>
      </c>
      <c r="B1986" t="s">
        <v>680</v>
      </c>
      <c r="C1986" s="83">
        <v>46058</v>
      </c>
      <c r="D1986" t="s">
        <v>689</v>
      </c>
      <c r="E1986" t="s">
        <v>296</v>
      </c>
      <c r="F1986">
        <v>17</v>
      </c>
      <c r="G1986">
        <v>9.6705833333333295</v>
      </c>
    </row>
    <row r="1987" spans="1:7" x14ac:dyDescent="0.35">
      <c r="A1987" t="s">
        <v>847</v>
      </c>
      <c r="B1987" t="s">
        <v>680</v>
      </c>
      <c r="C1987" s="83">
        <v>46058</v>
      </c>
      <c r="D1987" t="s">
        <v>684</v>
      </c>
      <c r="E1987" t="s">
        <v>296</v>
      </c>
      <c r="F1987">
        <v>5</v>
      </c>
      <c r="G1987">
        <v>2.3342833333333299</v>
      </c>
    </row>
    <row r="1988" spans="1:7" x14ac:dyDescent="0.35">
      <c r="A1988" t="s">
        <v>847</v>
      </c>
      <c r="B1988" t="s">
        <v>680</v>
      </c>
      <c r="C1988" s="83">
        <v>46058</v>
      </c>
      <c r="D1988" t="s">
        <v>684</v>
      </c>
      <c r="E1988" t="s">
        <v>334</v>
      </c>
      <c r="F1988">
        <v>4</v>
      </c>
      <c r="G1988">
        <v>1.3242499999999999</v>
      </c>
    </row>
    <row r="1989" spans="1:7" x14ac:dyDescent="0.35">
      <c r="A1989" t="s">
        <v>847</v>
      </c>
      <c r="B1989" t="s">
        <v>680</v>
      </c>
      <c r="C1989" s="83">
        <v>46058</v>
      </c>
      <c r="D1989" t="s">
        <v>684</v>
      </c>
      <c r="E1989" t="s">
        <v>298</v>
      </c>
      <c r="F1989">
        <v>4</v>
      </c>
      <c r="G1989">
        <v>2.4927333333333301</v>
      </c>
    </row>
    <row r="1990" spans="1:7" x14ac:dyDescent="0.35">
      <c r="A1990" t="s">
        <v>847</v>
      </c>
      <c r="B1990" t="s">
        <v>680</v>
      </c>
      <c r="C1990" s="83">
        <v>46058</v>
      </c>
      <c r="D1990" t="s">
        <v>687</v>
      </c>
      <c r="E1990" t="s">
        <v>718</v>
      </c>
      <c r="F1990">
        <v>12</v>
      </c>
      <c r="G1990">
        <v>20.327349999999999</v>
      </c>
    </row>
    <row r="1991" spans="1:7" x14ac:dyDescent="0.35">
      <c r="A1991" t="s">
        <v>847</v>
      </c>
      <c r="B1991" t="s">
        <v>680</v>
      </c>
      <c r="C1991" s="83">
        <v>46058</v>
      </c>
      <c r="D1991" t="s">
        <v>687</v>
      </c>
      <c r="E1991" t="s">
        <v>726</v>
      </c>
      <c r="F1991">
        <v>8</v>
      </c>
      <c r="G1991">
        <v>7.8555000000000001</v>
      </c>
    </row>
    <row r="1992" spans="1:7" x14ac:dyDescent="0.35">
      <c r="A1992" t="s">
        <v>847</v>
      </c>
      <c r="B1992" t="s">
        <v>680</v>
      </c>
      <c r="C1992" s="83">
        <v>46058</v>
      </c>
      <c r="D1992" t="s">
        <v>687</v>
      </c>
      <c r="E1992" t="s">
        <v>717</v>
      </c>
      <c r="F1992">
        <v>5</v>
      </c>
      <c r="G1992">
        <v>1.82693333333333</v>
      </c>
    </row>
    <row r="1993" spans="1:7" x14ac:dyDescent="0.35">
      <c r="A1993" t="s">
        <v>847</v>
      </c>
      <c r="B1993" t="s">
        <v>680</v>
      </c>
      <c r="C1993" s="83">
        <v>46058</v>
      </c>
      <c r="D1993" t="s">
        <v>688</v>
      </c>
      <c r="E1993" t="s">
        <v>311</v>
      </c>
      <c r="F1993">
        <v>14</v>
      </c>
      <c r="G1993">
        <v>5.1614666666666702</v>
      </c>
    </row>
    <row r="1994" spans="1:7" x14ac:dyDescent="0.35">
      <c r="A1994" t="s">
        <v>847</v>
      </c>
      <c r="B1994" t="s">
        <v>680</v>
      </c>
      <c r="C1994" s="83">
        <v>46058</v>
      </c>
      <c r="D1994" t="s">
        <v>688</v>
      </c>
      <c r="E1994" t="s">
        <v>312</v>
      </c>
      <c r="F1994">
        <v>6</v>
      </c>
      <c r="G1994">
        <v>2.1769166666666702</v>
      </c>
    </row>
    <row r="1995" spans="1:7" x14ac:dyDescent="0.35">
      <c r="A1995" t="s">
        <v>847</v>
      </c>
      <c r="B1995" t="s">
        <v>680</v>
      </c>
      <c r="C1995" s="83">
        <v>46058</v>
      </c>
      <c r="D1995" t="s">
        <v>688</v>
      </c>
      <c r="E1995" t="s">
        <v>739</v>
      </c>
      <c r="F1995">
        <v>3</v>
      </c>
      <c r="G1995">
        <v>2.16655</v>
      </c>
    </row>
    <row r="1996" spans="1:7" x14ac:dyDescent="0.35">
      <c r="A1996" t="s">
        <v>847</v>
      </c>
      <c r="B1996" t="s">
        <v>680</v>
      </c>
      <c r="C1996" s="83">
        <v>46058</v>
      </c>
      <c r="D1996" t="s">
        <v>690</v>
      </c>
      <c r="E1996" t="s">
        <v>311</v>
      </c>
      <c r="F1996">
        <v>18</v>
      </c>
      <c r="G1996">
        <v>15.677099999999999</v>
      </c>
    </row>
    <row r="1997" spans="1:7" x14ac:dyDescent="0.35">
      <c r="A1997" t="s">
        <v>847</v>
      </c>
      <c r="B1997" t="s">
        <v>680</v>
      </c>
      <c r="C1997" s="83">
        <v>46058</v>
      </c>
      <c r="D1997" t="s">
        <v>690</v>
      </c>
      <c r="E1997" t="s">
        <v>739</v>
      </c>
      <c r="F1997">
        <v>5</v>
      </c>
      <c r="G1997">
        <v>4.1610166666666704</v>
      </c>
    </row>
    <row r="1998" spans="1:7" x14ac:dyDescent="0.35">
      <c r="A1998" t="s">
        <v>847</v>
      </c>
      <c r="B1998" t="s">
        <v>680</v>
      </c>
      <c r="C1998" s="83">
        <v>46058</v>
      </c>
      <c r="D1998" t="s">
        <v>690</v>
      </c>
      <c r="E1998" t="s">
        <v>724</v>
      </c>
      <c r="F1998">
        <v>4</v>
      </c>
      <c r="G1998">
        <v>15.8324</v>
      </c>
    </row>
    <row r="1999" spans="1:7" x14ac:dyDescent="0.35">
      <c r="A1999" t="s">
        <v>847</v>
      </c>
      <c r="B1999" t="s">
        <v>680</v>
      </c>
      <c r="C1999" s="83">
        <v>46058</v>
      </c>
      <c r="D1999" t="s">
        <v>685</v>
      </c>
      <c r="E1999" t="s">
        <v>311</v>
      </c>
      <c r="F1999">
        <v>8</v>
      </c>
      <c r="G1999">
        <v>6.8203166666666704</v>
      </c>
    </row>
    <row r="2000" spans="1:7" x14ac:dyDescent="0.35">
      <c r="A2000" t="s">
        <v>847</v>
      </c>
      <c r="B2000" t="s">
        <v>680</v>
      </c>
      <c r="C2000" s="83">
        <v>46058</v>
      </c>
      <c r="D2000" t="s">
        <v>685</v>
      </c>
      <c r="E2000" t="s">
        <v>720</v>
      </c>
      <c r="F2000">
        <v>3</v>
      </c>
      <c r="G2000">
        <v>4.9997499999999997</v>
      </c>
    </row>
    <row r="2001" spans="1:7" x14ac:dyDescent="0.35">
      <c r="A2001" t="s">
        <v>847</v>
      </c>
      <c r="B2001" t="s">
        <v>680</v>
      </c>
      <c r="C2001" s="83">
        <v>46058</v>
      </c>
      <c r="D2001" t="s">
        <v>685</v>
      </c>
      <c r="E2001" t="s">
        <v>312</v>
      </c>
      <c r="F2001">
        <v>3</v>
      </c>
      <c r="G2001">
        <v>1.8332333333333299</v>
      </c>
    </row>
    <row r="2002" spans="1:7" x14ac:dyDescent="0.35">
      <c r="A2002" t="s">
        <v>847</v>
      </c>
      <c r="B2002" t="s">
        <v>680</v>
      </c>
      <c r="C2002" s="83">
        <v>46059</v>
      </c>
      <c r="D2002" t="s">
        <v>681</v>
      </c>
      <c r="E2002" t="s">
        <v>298</v>
      </c>
      <c r="F2002">
        <v>24</v>
      </c>
      <c r="G2002">
        <v>36.681283333333297</v>
      </c>
    </row>
    <row r="2003" spans="1:7" x14ac:dyDescent="0.35">
      <c r="A2003" t="s">
        <v>847</v>
      </c>
      <c r="B2003" t="s">
        <v>680</v>
      </c>
      <c r="C2003" s="83">
        <v>46059</v>
      </c>
      <c r="D2003" t="s">
        <v>681</v>
      </c>
      <c r="E2003" t="s">
        <v>296</v>
      </c>
      <c r="F2003">
        <v>9</v>
      </c>
      <c r="G2003">
        <v>2.6669</v>
      </c>
    </row>
    <row r="2004" spans="1:7" x14ac:dyDescent="0.35">
      <c r="A2004" t="s">
        <v>847</v>
      </c>
      <c r="B2004" t="s">
        <v>693</v>
      </c>
      <c r="C2004" s="83"/>
      <c r="F2004">
        <v>52464</v>
      </c>
      <c r="G2004">
        <v>97795.437083333003</v>
      </c>
    </row>
    <row r="2005" spans="1:7" x14ac:dyDescent="0.35">
      <c r="A2005" t="s">
        <v>847</v>
      </c>
      <c r="B2005" t="s">
        <v>680</v>
      </c>
      <c r="C2005" s="83">
        <v>46059</v>
      </c>
      <c r="D2005" t="s">
        <v>681</v>
      </c>
      <c r="E2005" t="s">
        <v>645</v>
      </c>
      <c r="F2005">
        <v>8</v>
      </c>
      <c r="G2005">
        <v>19.009399999999999</v>
      </c>
    </row>
    <row r="2006" spans="1:7" x14ac:dyDescent="0.35">
      <c r="A2006" t="s">
        <v>847</v>
      </c>
      <c r="B2006" t="s">
        <v>680</v>
      </c>
      <c r="C2006" s="83">
        <v>46059</v>
      </c>
      <c r="D2006" t="s">
        <v>683</v>
      </c>
      <c r="E2006" t="s">
        <v>300</v>
      </c>
      <c r="F2006">
        <v>9</v>
      </c>
      <c r="G2006">
        <v>4.00725</v>
      </c>
    </row>
    <row r="2007" spans="1:7" x14ac:dyDescent="0.35">
      <c r="A2007" t="s">
        <v>847</v>
      </c>
      <c r="B2007" t="s">
        <v>680</v>
      </c>
      <c r="C2007" s="83">
        <v>46059</v>
      </c>
      <c r="D2007" t="s">
        <v>683</v>
      </c>
      <c r="E2007" t="s">
        <v>750</v>
      </c>
      <c r="F2007">
        <v>5</v>
      </c>
      <c r="G2007">
        <v>1.82086666666667</v>
      </c>
    </row>
    <row r="2008" spans="1:7" x14ac:dyDescent="0.35">
      <c r="A2008" t="s">
        <v>847</v>
      </c>
      <c r="B2008" t="s">
        <v>680</v>
      </c>
      <c r="C2008" s="83">
        <v>46059</v>
      </c>
      <c r="D2008" t="s">
        <v>683</v>
      </c>
      <c r="E2008" t="s">
        <v>343</v>
      </c>
      <c r="F2008">
        <v>5</v>
      </c>
      <c r="G2008">
        <v>1.4999</v>
      </c>
    </row>
    <row r="2009" spans="1:7" x14ac:dyDescent="0.35">
      <c r="A2009" t="s">
        <v>847</v>
      </c>
      <c r="B2009" t="s">
        <v>680</v>
      </c>
      <c r="C2009" s="83">
        <v>46059</v>
      </c>
      <c r="D2009" t="s">
        <v>689</v>
      </c>
      <c r="E2009" t="s">
        <v>298</v>
      </c>
      <c r="F2009">
        <v>32</v>
      </c>
      <c r="G2009">
        <v>45.517150000000001</v>
      </c>
    </row>
    <row r="2010" spans="1:7" x14ac:dyDescent="0.35">
      <c r="A2010" t="s">
        <v>847</v>
      </c>
      <c r="B2010" t="s">
        <v>680</v>
      </c>
      <c r="C2010" s="83">
        <v>46059</v>
      </c>
      <c r="D2010" t="s">
        <v>689</v>
      </c>
      <c r="E2010" t="s">
        <v>296</v>
      </c>
      <c r="F2010">
        <v>13</v>
      </c>
      <c r="G2010">
        <v>5.3375333333333304</v>
      </c>
    </row>
    <row r="2011" spans="1:7" x14ac:dyDescent="0.35">
      <c r="A2011" t="s">
        <v>847</v>
      </c>
      <c r="B2011" t="s">
        <v>680</v>
      </c>
      <c r="C2011" s="83">
        <v>46059</v>
      </c>
      <c r="D2011" t="s">
        <v>689</v>
      </c>
      <c r="E2011" t="s">
        <v>727</v>
      </c>
      <c r="F2011">
        <v>11</v>
      </c>
      <c r="G2011">
        <v>10.1597166666667</v>
      </c>
    </row>
    <row r="2012" spans="1:7" x14ac:dyDescent="0.35">
      <c r="A2012" t="s">
        <v>847</v>
      </c>
      <c r="B2012" t="s">
        <v>680</v>
      </c>
      <c r="C2012" s="83">
        <v>46059</v>
      </c>
      <c r="D2012" t="s">
        <v>684</v>
      </c>
      <c r="E2012" t="s">
        <v>727</v>
      </c>
      <c r="F2012">
        <v>3</v>
      </c>
      <c r="G2012">
        <v>0.50023333333333297</v>
      </c>
    </row>
    <row r="2013" spans="1:7" x14ac:dyDescent="0.35">
      <c r="A2013" t="s">
        <v>847</v>
      </c>
      <c r="B2013" t="s">
        <v>680</v>
      </c>
      <c r="C2013" s="83">
        <v>46059</v>
      </c>
      <c r="D2013" t="s">
        <v>684</v>
      </c>
      <c r="E2013" t="s">
        <v>300</v>
      </c>
      <c r="F2013">
        <v>2</v>
      </c>
      <c r="G2013">
        <v>0.16696666666666701</v>
      </c>
    </row>
    <row r="2014" spans="1:7" x14ac:dyDescent="0.35">
      <c r="A2014" t="s">
        <v>847</v>
      </c>
      <c r="B2014" t="s">
        <v>680</v>
      </c>
      <c r="C2014" s="83">
        <v>46059</v>
      </c>
      <c r="D2014" t="s">
        <v>684</v>
      </c>
      <c r="E2014" t="s">
        <v>736</v>
      </c>
      <c r="F2014">
        <v>2</v>
      </c>
      <c r="G2014">
        <v>0.16700000000000001</v>
      </c>
    </row>
    <row r="2015" spans="1:7" x14ac:dyDescent="0.35">
      <c r="A2015" t="s">
        <v>847</v>
      </c>
      <c r="B2015" t="s">
        <v>680</v>
      </c>
      <c r="C2015" s="83">
        <v>46059</v>
      </c>
      <c r="D2015" t="s">
        <v>687</v>
      </c>
      <c r="E2015" t="s">
        <v>718</v>
      </c>
      <c r="F2015">
        <v>7</v>
      </c>
      <c r="G2015">
        <v>4.9954999999999998</v>
      </c>
    </row>
    <row r="2016" spans="1:7" x14ac:dyDescent="0.35">
      <c r="A2016" t="s">
        <v>847</v>
      </c>
      <c r="B2016" t="s">
        <v>680</v>
      </c>
      <c r="C2016" s="83">
        <v>46059</v>
      </c>
      <c r="D2016" t="s">
        <v>687</v>
      </c>
      <c r="E2016" t="s">
        <v>726</v>
      </c>
      <c r="F2016">
        <v>3</v>
      </c>
      <c r="G2016">
        <v>3.6683833333333302</v>
      </c>
    </row>
    <row r="2017" spans="1:7" x14ac:dyDescent="0.35">
      <c r="A2017" t="s">
        <v>847</v>
      </c>
      <c r="B2017" t="s">
        <v>680</v>
      </c>
      <c r="C2017" s="83">
        <v>46059</v>
      </c>
      <c r="D2017" t="s">
        <v>687</v>
      </c>
      <c r="E2017" t="s">
        <v>729</v>
      </c>
      <c r="F2017">
        <v>2</v>
      </c>
      <c r="G2017">
        <v>1.17468333333333</v>
      </c>
    </row>
    <row r="2018" spans="1:7" x14ac:dyDescent="0.35">
      <c r="A2018" t="s">
        <v>847</v>
      </c>
      <c r="B2018" t="s">
        <v>680</v>
      </c>
      <c r="C2018" s="83">
        <v>46059</v>
      </c>
      <c r="D2018" t="s">
        <v>688</v>
      </c>
      <c r="E2018" t="s">
        <v>311</v>
      </c>
      <c r="F2018">
        <v>13</v>
      </c>
      <c r="G2018">
        <v>9.6889666666666692</v>
      </c>
    </row>
    <row r="2019" spans="1:7" x14ac:dyDescent="0.35">
      <c r="A2019" t="s">
        <v>847</v>
      </c>
      <c r="B2019" t="s">
        <v>680</v>
      </c>
      <c r="C2019" s="83">
        <v>46059</v>
      </c>
      <c r="D2019" t="s">
        <v>688</v>
      </c>
      <c r="E2019" t="s">
        <v>312</v>
      </c>
      <c r="F2019">
        <v>9</v>
      </c>
      <c r="G2019">
        <v>5.0057833333333299</v>
      </c>
    </row>
    <row r="2020" spans="1:7" x14ac:dyDescent="0.35">
      <c r="A2020" t="s">
        <v>847</v>
      </c>
      <c r="B2020" t="s">
        <v>680</v>
      </c>
      <c r="C2020" s="83">
        <v>46059</v>
      </c>
      <c r="D2020" t="s">
        <v>688</v>
      </c>
      <c r="E2020" t="s">
        <v>338</v>
      </c>
      <c r="F2020">
        <v>3</v>
      </c>
      <c r="G2020">
        <v>0.66751666666666698</v>
      </c>
    </row>
    <row r="2021" spans="1:7" x14ac:dyDescent="0.35">
      <c r="A2021" t="s">
        <v>847</v>
      </c>
      <c r="B2021" t="s">
        <v>680</v>
      </c>
      <c r="C2021" s="83">
        <v>46059</v>
      </c>
      <c r="D2021" t="s">
        <v>690</v>
      </c>
      <c r="E2021" t="s">
        <v>311</v>
      </c>
      <c r="F2021">
        <v>16</v>
      </c>
      <c r="G2021">
        <v>10.820266666666701</v>
      </c>
    </row>
    <row r="2022" spans="1:7" x14ac:dyDescent="0.35">
      <c r="A2022" t="s">
        <v>847</v>
      </c>
      <c r="B2022" t="s">
        <v>680</v>
      </c>
      <c r="C2022" s="83">
        <v>46059</v>
      </c>
      <c r="D2022" t="s">
        <v>690</v>
      </c>
      <c r="E2022" t="s">
        <v>720</v>
      </c>
      <c r="F2022">
        <v>5</v>
      </c>
      <c r="G2022">
        <v>4.6678833333333296</v>
      </c>
    </row>
    <row r="2023" spans="1:7" x14ac:dyDescent="0.35">
      <c r="A2023" t="s">
        <v>847</v>
      </c>
      <c r="B2023" t="s">
        <v>680</v>
      </c>
      <c r="C2023" s="83">
        <v>46059</v>
      </c>
      <c r="D2023" t="s">
        <v>690</v>
      </c>
      <c r="E2023" t="s">
        <v>312</v>
      </c>
      <c r="F2023">
        <v>3</v>
      </c>
      <c r="G2023">
        <v>1.33378333333333</v>
      </c>
    </row>
    <row r="2024" spans="1:7" x14ac:dyDescent="0.35">
      <c r="A2024" t="s">
        <v>847</v>
      </c>
      <c r="B2024" t="s">
        <v>680</v>
      </c>
      <c r="C2024" s="83">
        <v>46059</v>
      </c>
      <c r="D2024" t="s">
        <v>685</v>
      </c>
      <c r="E2024" t="s">
        <v>311</v>
      </c>
      <c r="F2024">
        <v>5</v>
      </c>
      <c r="G2024">
        <v>2.3405999999999998</v>
      </c>
    </row>
    <row r="2025" spans="1:7" x14ac:dyDescent="0.35">
      <c r="A2025" t="s">
        <v>847</v>
      </c>
      <c r="B2025" t="s">
        <v>680</v>
      </c>
      <c r="C2025" s="83">
        <v>46059</v>
      </c>
      <c r="D2025" t="s">
        <v>685</v>
      </c>
      <c r="E2025" t="s">
        <v>720</v>
      </c>
      <c r="F2025">
        <v>4</v>
      </c>
      <c r="G2025">
        <v>2.6647833333333302</v>
      </c>
    </row>
    <row r="2026" spans="1:7" x14ac:dyDescent="0.35">
      <c r="A2026" t="s">
        <v>847</v>
      </c>
      <c r="B2026" t="s">
        <v>680</v>
      </c>
      <c r="C2026" s="83">
        <v>46059</v>
      </c>
      <c r="D2026" t="s">
        <v>685</v>
      </c>
      <c r="E2026" t="s">
        <v>751</v>
      </c>
      <c r="F2026">
        <v>2</v>
      </c>
      <c r="G2026">
        <v>2.0006666666666701</v>
      </c>
    </row>
    <row r="2027" spans="1:7" x14ac:dyDescent="0.35">
      <c r="A2027" t="s">
        <v>847</v>
      </c>
      <c r="B2027" t="s">
        <v>680</v>
      </c>
      <c r="C2027" s="83">
        <v>46060</v>
      </c>
      <c r="D2027" t="s">
        <v>681</v>
      </c>
      <c r="E2027" t="s">
        <v>298</v>
      </c>
      <c r="F2027">
        <v>18</v>
      </c>
      <c r="G2027">
        <v>31.687433333333299</v>
      </c>
    </row>
    <row r="2028" spans="1:7" x14ac:dyDescent="0.35">
      <c r="A2028" t="s">
        <v>847</v>
      </c>
      <c r="B2028" t="s">
        <v>680</v>
      </c>
      <c r="C2028" s="83">
        <v>46060</v>
      </c>
      <c r="D2028" t="s">
        <v>681</v>
      </c>
      <c r="E2028" t="s">
        <v>296</v>
      </c>
      <c r="F2028">
        <v>14</v>
      </c>
      <c r="G2028">
        <v>4.1542666666666701</v>
      </c>
    </row>
    <row r="2029" spans="1:7" x14ac:dyDescent="0.35">
      <c r="A2029" t="s">
        <v>847</v>
      </c>
      <c r="B2029" t="s">
        <v>680</v>
      </c>
      <c r="C2029" s="83">
        <v>46060</v>
      </c>
      <c r="D2029" t="s">
        <v>681</v>
      </c>
      <c r="E2029" t="s">
        <v>645</v>
      </c>
      <c r="F2029">
        <v>12</v>
      </c>
      <c r="G2029">
        <v>25.667733333333299</v>
      </c>
    </row>
    <row r="2030" spans="1:7" x14ac:dyDescent="0.35">
      <c r="A2030" t="s">
        <v>847</v>
      </c>
      <c r="B2030" t="s">
        <v>680</v>
      </c>
      <c r="C2030" s="83">
        <v>46060</v>
      </c>
      <c r="D2030" t="s">
        <v>683</v>
      </c>
      <c r="E2030" t="s">
        <v>727</v>
      </c>
      <c r="F2030">
        <v>14</v>
      </c>
      <c r="G2030">
        <v>11.841483333333301</v>
      </c>
    </row>
    <row r="2031" spans="1:7" x14ac:dyDescent="0.35">
      <c r="A2031" t="s">
        <v>847</v>
      </c>
      <c r="B2031" t="s">
        <v>680</v>
      </c>
      <c r="C2031" s="83">
        <v>46060</v>
      </c>
      <c r="D2031" t="s">
        <v>683</v>
      </c>
      <c r="E2031" t="s">
        <v>334</v>
      </c>
      <c r="F2031">
        <v>10</v>
      </c>
      <c r="G2031">
        <v>3.1901333333333302</v>
      </c>
    </row>
    <row r="2032" spans="1:7" x14ac:dyDescent="0.35">
      <c r="A2032" t="s">
        <v>847</v>
      </c>
      <c r="B2032" t="s">
        <v>680</v>
      </c>
      <c r="C2032" s="83">
        <v>46060</v>
      </c>
      <c r="D2032" t="s">
        <v>683</v>
      </c>
      <c r="E2032" t="s">
        <v>750</v>
      </c>
      <c r="F2032">
        <v>8</v>
      </c>
      <c r="G2032">
        <v>8.1687666666666701</v>
      </c>
    </row>
    <row r="2033" spans="1:7" x14ac:dyDescent="0.35">
      <c r="A2033" t="s">
        <v>847</v>
      </c>
      <c r="B2033" t="s">
        <v>680</v>
      </c>
      <c r="C2033" s="83">
        <v>46060</v>
      </c>
      <c r="D2033" t="s">
        <v>689</v>
      </c>
      <c r="E2033" t="s">
        <v>298</v>
      </c>
      <c r="F2033">
        <v>28</v>
      </c>
      <c r="G2033">
        <v>45.983516666666702</v>
      </c>
    </row>
    <row r="2034" spans="1:7" x14ac:dyDescent="0.35">
      <c r="A2034" t="s">
        <v>847</v>
      </c>
      <c r="B2034" t="s">
        <v>680</v>
      </c>
      <c r="C2034" s="83">
        <v>46060</v>
      </c>
      <c r="D2034" t="s">
        <v>689</v>
      </c>
      <c r="E2034" t="s">
        <v>334</v>
      </c>
      <c r="F2034">
        <v>16</v>
      </c>
      <c r="G2034">
        <v>11.6620166666667</v>
      </c>
    </row>
    <row r="2035" spans="1:7" x14ac:dyDescent="0.35">
      <c r="A2035" t="s">
        <v>847</v>
      </c>
      <c r="B2035" t="s">
        <v>680</v>
      </c>
      <c r="C2035" s="83">
        <v>46060</v>
      </c>
      <c r="D2035" t="s">
        <v>689</v>
      </c>
      <c r="E2035" t="s">
        <v>727</v>
      </c>
      <c r="F2035">
        <v>15</v>
      </c>
      <c r="G2035">
        <v>8.0021166666666694</v>
      </c>
    </row>
    <row r="2036" spans="1:7" x14ac:dyDescent="0.35">
      <c r="A2036" t="s">
        <v>847</v>
      </c>
      <c r="B2036" t="s">
        <v>680</v>
      </c>
      <c r="C2036" s="83">
        <v>46060</v>
      </c>
      <c r="D2036" t="s">
        <v>684</v>
      </c>
      <c r="E2036" t="s">
        <v>727</v>
      </c>
      <c r="F2036">
        <v>5</v>
      </c>
      <c r="G2036">
        <v>1.8472833333333301</v>
      </c>
    </row>
    <row r="2037" spans="1:7" x14ac:dyDescent="0.35">
      <c r="A2037" t="s">
        <v>847</v>
      </c>
      <c r="B2037" t="s">
        <v>680</v>
      </c>
      <c r="C2037" s="83">
        <v>46060</v>
      </c>
      <c r="D2037" t="s">
        <v>684</v>
      </c>
      <c r="E2037" t="s">
        <v>296</v>
      </c>
      <c r="F2037">
        <v>5</v>
      </c>
      <c r="G2037">
        <v>1.34791666666667</v>
      </c>
    </row>
    <row r="2038" spans="1:7" x14ac:dyDescent="0.35">
      <c r="A2038" t="s">
        <v>847</v>
      </c>
      <c r="B2038" t="s">
        <v>680</v>
      </c>
      <c r="C2038" s="83">
        <v>46060</v>
      </c>
      <c r="D2038" t="s">
        <v>684</v>
      </c>
      <c r="E2038" t="s">
        <v>298</v>
      </c>
      <c r="F2038">
        <v>4</v>
      </c>
      <c r="G2038">
        <v>6.5009499999999996</v>
      </c>
    </row>
    <row r="2039" spans="1:7" x14ac:dyDescent="0.35">
      <c r="A2039" t="s">
        <v>847</v>
      </c>
      <c r="B2039" t="s">
        <v>680</v>
      </c>
      <c r="C2039" s="83">
        <v>46060</v>
      </c>
      <c r="D2039" t="s">
        <v>687</v>
      </c>
      <c r="E2039" t="s">
        <v>718</v>
      </c>
      <c r="F2039">
        <v>20</v>
      </c>
      <c r="G2039">
        <v>25.84545</v>
      </c>
    </row>
    <row r="2040" spans="1:7" x14ac:dyDescent="0.35">
      <c r="A2040" t="s">
        <v>847</v>
      </c>
      <c r="B2040" t="s">
        <v>680</v>
      </c>
      <c r="C2040" s="83">
        <v>46060</v>
      </c>
      <c r="D2040" t="s">
        <v>687</v>
      </c>
      <c r="E2040" t="s">
        <v>726</v>
      </c>
      <c r="F2040">
        <v>13</v>
      </c>
      <c r="G2040">
        <v>22.49335</v>
      </c>
    </row>
    <row r="2041" spans="1:7" x14ac:dyDescent="0.35">
      <c r="A2041" t="s">
        <v>847</v>
      </c>
      <c r="B2041" t="s">
        <v>680</v>
      </c>
      <c r="C2041" s="83">
        <v>46060</v>
      </c>
      <c r="D2041" t="s">
        <v>687</v>
      </c>
      <c r="E2041" t="s">
        <v>752</v>
      </c>
      <c r="F2041">
        <v>6</v>
      </c>
      <c r="G2041">
        <v>13.001433333333299</v>
      </c>
    </row>
    <row r="2042" spans="1:7" x14ac:dyDescent="0.35">
      <c r="A2042" t="s">
        <v>847</v>
      </c>
      <c r="B2042" t="s">
        <v>680</v>
      </c>
      <c r="C2042" s="83">
        <v>46060</v>
      </c>
      <c r="D2042" t="s">
        <v>688</v>
      </c>
      <c r="E2042" t="s">
        <v>739</v>
      </c>
      <c r="F2042">
        <v>19</v>
      </c>
      <c r="G2042">
        <v>30.163833333333301</v>
      </c>
    </row>
    <row r="2043" spans="1:7" x14ac:dyDescent="0.35">
      <c r="A2043" t="s">
        <v>847</v>
      </c>
      <c r="B2043" t="s">
        <v>680</v>
      </c>
      <c r="C2043" s="83">
        <v>46060</v>
      </c>
      <c r="D2043" t="s">
        <v>688</v>
      </c>
      <c r="E2043" t="s">
        <v>311</v>
      </c>
      <c r="F2043">
        <v>11</v>
      </c>
      <c r="G2043">
        <v>6.8272833333333303</v>
      </c>
    </row>
    <row r="2044" spans="1:7" x14ac:dyDescent="0.35">
      <c r="A2044" t="s">
        <v>847</v>
      </c>
      <c r="B2044" t="s">
        <v>680</v>
      </c>
      <c r="C2044" s="83">
        <v>46060</v>
      </c>
      <c r="D2044" t="s">
        <v>688</v>
      </c>
      <c r="E2044" t="s">
        <v>321</v>
      </c>
      <c r="F2044">
        <v>4</v>
      </c>
      <c r="G2044">
        <v>1.0005500000000001</v>
      </c>
    </row>
    <row r="2045" spans="1:7" x14ac:dyDescent="0.35">
      <c r="A2045" t="s">
        <v>847</v>
      </c>
      <c r="B2045" t="s">
        <v>680</v>
      </c>
      <c r="C2045" s="83">
        <v>46060</v>
      </c>
      <c r="D2045" t="s">
        <v>690</v>
      </c>
      <c r="E2045" t="s">
        <v>724</v>
      </c>
      <c r="F2045">
        <v>7</v>
      </c>
      <c r="G2045">
        <v>11.494566666666699</v>
      </c>
    </row>
    <row r="2046" spans="1:7" x14ac:dyDescent="0.35">
      <c r="A2046" t="s">
        <v>847</v>
      </c>
      <c r="B2046" t="s">
        <v>680</v>
      </c>
      <c r="C2046" s="83">
        <v>46060</v>
      </c>
      <c r="D2046" t="s">
        <v>690</v>
      </c>
      <c r="E2046" t="s">
        <v>311</v>
      </c>
      <c r="F2046">
        <v>6</v>
      </c>
      <c r="G2046">
        <v>6.0013333333333296</v>
      </c>
    </row>
    <row r="2047" spans="1:7" x14ac:dyDescent="0.35">
      <c r="A2047" t="s">
        <v>847</v>
      </c>
      <c r="B2047" t="s">
        <v>680</v>
      </c>
      <c r="C2047" s="83">
        <v>46060</v>
      </c>
      <c r="D2047" t="s">
        <v>690</v>
      </c>
      <c r="E2047" t="s">
        <v>739</v>
      </c>
      <c r="F2047">
        <v>3</v>
      </c>
      <c r="G2047">
        <v>1.1678333333333299</v>
      </c>
    </row>
    <row r="2048" spans="1:7" x14ac:dyDescent="0.35">
      <c r="A2048" t="s">
        <v>847</v>
      </c>
      <c r="B2048" t="s">
        <v>680</v>
      </c>
      <c r="C2048" s="83">
        <v>46060</v>
      </c>
      <c r="D2048" t="s">
        <v>685</v>
      </c>
      <c r="E2048" t="s">
        <v>316</v>
      </c>
      <c r="F2048">
        <v>3</v>
      </c>
      <c r="G2048">
        <v>10.6649166666667</v>
      </c>
    </row>
    <row r="2049" spans="1:7" x14ac:dyDescent="0.35">
      <c r="A2049" t="s">
        <v>847</v>
      </c>
      <c r="B2049" t="s">
        <v>680</v>
      </c>
      <c r="C2049" s="83">
        <v>46060</v>
      </c>
      <c r="D2049" t="s">
        <v>685</v>
      </c>
      <c r="E2049" t="s">
        <v>311</v>
      </c>
      <c r="F2049">
        <v>3</v>
      </c>
      <c r="G2049">
        <v>1.6742333333333299</v>
      </c>
    </row>
    <row r="2050" spans="1:7" x14ac:dyDescent="0.35">
      <c r="A2050" t="s">
        <v>847</v>
      </c>
      <c r="B2050" t="s">
        <v>680</v>
      </c>
      <c r="C2050" s="83">
        <v>46060</v>
      </c>
      <c r="D2050" t="s">
        <v>685</v>
      </c>
      <c r="E2050" t="s">
        <v>319</v>
      </c>
      <c r="F2050">
        <v>2</v>
      </c>
      <c r="G2050">
        <v>0.33389999999999997</v>
      </c>
    </row>
    <row r="2051" spans="1:7" x14ac:dyDescent="0.35">
      <c r="A2051" t="s">
        <v>847</v>
      </c>
      <c r="B2051" t="s">
        <v>680</v>
      </c>
      <c r="C2051" s="83">
        <v>46061</v>
      </c>
      <c r="D2051" t="s">
        <v>681</v>
      </c>
      <c r="E2051" t="s">
        <v>296</v>
      </c>
      <c r="F2051">
        <v>14</v>
      </c>
      <c r="G2051">
        <v>9.6605166666666697</v>
      </c>
    </row>
    <row r="2052" spans="1:7" x14ac:dyDescent="0.35">
      <c r="A2052" t="s">
        <v>847</v>
      </c>
      <c r="B2052" t="s">
        <v>680</v>
      </c>
      <c r="C2052" s="83">
        <v>46061</v>
      </c>
      <c r="D2052" t="s">
        <v>681</v>
      </c>
      <c r="E2052" t="s">
        <v>298</v>
      </c>
      <c r="F2052">
        <v>11</v>
      </c>
      <c r="G2052">
        <v>7.6702333333333304</v>
      </c>
    </row>
    <row r="2053" spans="1:7" x14ac:dyDescent="0.35">
      <c r="A2053" t="s">
        <v>847</v>
      </c>
      <c r="B2053" t="s">
        <v>680</v>
      </c>
      <c r="C2053" s="83">
        <v>46061</v>
      </c>
      <c r="D2053" t="s">
        <v>681</v>
      </c>
      <c r="E2053" t="s">
        <v>334</v>
      </c>
      <c r="F2053">
        <v>6</v>
      </c>
      <c r="G2053">
        <v>4.5217999999999998</v>
      </c>
    </row>
    <row r="2054" spans="1:7" x14ac:dyDescent="0.35">
      <c r="A2054" t="s">
        <v>847</v>
      </c>
      <c r="B2054" t="s">
        <v>680</v>
      </c>
      <c r="C2054" s="83">
        <v>46061</v>
      </c>
      <c r="D2054" t="s">
        <v>683</v>
      </c>
      <c r="E2054" t="s">
        <v>296</v>
      </c>
      <c r="F2054">
        <v>39</v>
      </c>
      <c r="G2054">
        <v>13.134650000000001</v>
      </c>
    </row>
    <row r="2055" spans="1:7" x14ac:dyDescent="0.35">
      <c r="A2055" t="s">
        <v>847</v>
      </c>
      <c r="B2055" t="s">
        <v>680</v>
      </c>
      <c r="C2055" s="83">
        <v>46061</v>
      </c>
      <c r="D2055" t="s">
        <v>683</v>
      </c>
      <c r="E2055" t="s">
        <v>727</v>
      </c>
      <c r="F2055">
        <v>11</v>
      </c>
      <c r="G2055">
        <v>7.1599833333333303</v>
      </c>
    </row>
    <row r="2056" spans="1:7" x14ac:dyDescent="0.35">
      <c r="A2056" t="s">
        <v>847</v>
      </c>
      <c r="B2056" t="s">
        <v>680</v>
      </c>
      <c r="C2056" s="83">
        <v>46061</v>
      </c>
      <c r="D2056" t="s">
        <v>683</v>
      </c>
      <c r="E2056" t="s">
        <v>298</v>
      </c>
      <c r="F2056">
        <v>10</v>
      </c>
      <c r="G2056">
        <v>12.8271</v>
      </c>
    </row>
    <row r="2057" spans="1:7" x14ac:dyDescent="0.35">
      <c r="A2057" t="s">
        <v>847</v>
      </c>
      <c r="B2057" t="s">
        <v>680</v>
      </c>
      <c r="C2057" s="83">
        <v>46061</v>
      </c>
      <c r="D2057" t="s">
        <v>689</v>
      </c>
      <c r="E2057" t="s">
        <v>297</v>
      </c>
      <c r="F2057">
        <v>45</v>
      </c>
      <c r="G2057">
        <v>31.9860333333333</v>
      </c>
    </row>
    <row r="2058" spans="1:7" x14ac:dyDescent="0.35">
      <c r="A2058" t="s">
        <v>847</v>
      </c>
      <c r="B2058" t="s">
        <v>680</v>
      </c>
      <c r="C2058" s="83">
        <v>46061</v>
      </c>
      <c r="D2058" t="s">
        <v>689</v>
      </c>
      <c r="E2058" t="s">
        <v>298</v>
      </c>
      <c r="F2058">
        <v>36</v>
      </c>
      <c r="G2058">
        <v>45.012133333333303</v>
      </c>
    </row>
    <row r="2059" spans="1:7" x14ac:dyDescent="0.35">
      <c r="A2059" t="s">
        <v>847</v>
      </c>
      <c r="B2059" t="s">
        <v>680</v>
      </c>
      <c r="C2059" s="83">
        <v>46061</v>
      </c>
      <c r="D2059" t="s">
        <v>689</v>
      </c>
      <c r="E2059" t="s">
        <v>296</v>
      </c>
      <c r="F2059">
        <v>22</v>
      </c>
      <c r="G2059">
        <v>10.3606833333333</v>
      </c>
    </row>
    <row r="2060" spans="1:7" x14ac:dyDescent="0.35">
      <c r="A2060" t="s">
        <v>847</v>
      </c>
      <c r="B2060" t="s">
        <v>680</v>
      </c>
      <c r="C2060" s="83">
        <v>46061</v>
      </c>
      <c r="D2060" t="s">
        <v>684</v>
      </c>
      <c r="E2060" t="s">
        <v>298</v>
      </c>
      <c r="F2060">
        <v>8</v>
      </c>
      <c r="G2060">
        <v>9.6675666666666693</v>
      </c>
    </row>
    <row r="2061" spans="1:7" x14ac:dyDescent="0.35">
      <c r="A2061" t="s">
        <v>847</v>
      </c>
      <c r="B2061" t="s">
        <v>680</v>
      </c>
      <c r="C2061" s="83">
        <v>46061</v>
      </c>
      <c r="D2061" t="s">
        <v>684</v>
      </c>
      <c r="E2061" t="s">
        <v>300</v>
      </c>
      <c r="F2061">
        <v>2</v>
      </c>
      <c r="G2061">
        <v>1.33348333333333</v>
      </c>
    </row>
    <row r="2062" spans="1:7" x14ac:dyDescent="0.35">
      <c r="A2062" t="s">
        <v>847</v>
      </c>
      <c r="B2062" t="s">
        <v>680</v>
      </c>
      <c r="C2062" s="83">
        <v>46061</v>
      </c>
      <c r="D2062" t="s">
        <v>684</v>
      </c>
      <c r="E2062" t="s">
        <v>297</v>
      </c>
      <c r="F2062">
        <v>2</v>
      </c>
      <c r="G2062">
        <v>0.50055000000000005</v>
      </c>
    </row>
    <row r="2063" spans="1:7" x14ac:dyDescent="0.35">
      <c r="A2063" t="s">
        <v>847</v>
      </c>
      <c r="B2063" t="s">
        <v>680</v>
      </c>
      <c r="C2063" s="83">
        <v>46061</v>
      </c>
      <c r="D2063" t="s">
        <v>687</v>
      </c>
      <c r="E2063" t="s">
        <v>718</v>
      </c>
      <c r="F2063">
        <v>11</v>
      </c>
      <c r="G2063">
        <v>9.6730833333333308</v>
      </c>
    </row>
    <row r="2064" spans="1:7" x14ac:dyDescent="0.35">
      <c r="A2064" t="s">
        <v>847</v>
      </c>
      <c r="B2064" t="s">
        <v>680</v>
      </c>
      <c r="C2064" s="83">
        <v>46061</v>
      </c>
      <c r="D2064" t="s">
        <v>687</v>
      </c>
      <c r="E2064" t="s">
        <v>752</v>
      </c>
      <c r="F2064">
        <v>9</v>
      </c>
      <c r="G2064">
        <v>30.85435</v>
      </c>
    </row>
    <row r="2065" spans="1:7" x14ac:dyDescent="0.35">
      <c r="A2065" t="s">
        <v>847</v>
      </c>
      <c r="B2065" t="s">
        <v>680</v>
      </c>
      <c r="C2065" s="83">
        <v>46061</v>
      </c>
      <c r="D2065" t="s">
        <v>687</v>
      </c>
      <c r="E2065" t="s">
        <v>726</v>
      </c>
      <c r="F2065">
        <v>4</v>
      </c>
      <c r="G2065">
        <v>8.49501666666667</v>
      </c>
    </row>
    <row r="2066" spans="1:7" x14ac:dyDescent="0.35">
      <c r="A2066" t="s">
        <v>847</v>
      </c>
      <c r="B2066" t="s">
        <v>680</v>
      </c>
      <c r="C2066" s="83">
        <v>46061</v>
      </c>
      <c r="D2066" t="s">
        <v>688</v>
      </c>
      <c r="E2066" t="s">
        <v>739</v>
      </c>
      <c r="F2066">
        <v>35</v>
      </c>
      <c r="G2066">
        <v>259.83821666666699</v>
      </c>
    </row>
    <row r="2067" spans="1:7" x14ac:dyDescent="0.35">
      <c r="A2067" t="s">
        <v>847</v>
      </c>
      <c r="B2067" t="s">
        <v>680</v>
      </c>
      <c r="C2067" s="83">
        <v>46061</v>
      </c>
      <c r="D2067" t="s">
        <v>688</v>
      </c>
      <c r="E2067" t="s">
        <v>311</v>
      </c>
      <c r="F2067">
        <v>16</v>
      </c>
      <c r="G2067">
        <v>14.6712666666667</v>
      </c>
    </row>
    <row r="2068" spans="1:7" x14ac:dyDescent="0.35">
      <c r="A2068" t="s">
        <v>847</v>
      </c>
      <c r="B2068" t="s">
        <v>680</v>
      </c>
      <c r="C2068" s="83">
        <v>46061</v>
      </c>
      <c r="D2068" t="s">
        <v>688</v>
      </c>
      <c r="E2068" t="s">
        <v>126</v>
      </c>
      <c r="F2068">
        <v>5</v>
      </c>
      <c r="G2068">
        <v>2.9910999999999999</v>
      </c>
    </row>
    <row r="2069" spans="1:7" x14ac:dyDescent="0.35">
      <c r="A2069" t="s">
        <v>847</v>
      </c>
      <c r="B2069" t="s">
        <v>680</v>
      </c>
      <c r="C2069" s="83">
        <v>46061</v>
      </c>
      <c r="D2069" t="s">
        <v>690</v>
      </c>
      <c r="E2069" t="s">
        <v>311</v>
      </c>
      <c r="F2069">
        <v>10</v>
      </c>
      <c r="G2069">
        <v>12.6582833333333</v>
      </c>
    </row>
    <row r="2070" spans="1:7" x14ac:dyDescent="0.35">
      <c r="A2070" t="s">
        <v>847</v>
      </c>
      <c r="B2070" t="s">
        <v>680</v>
      </c>
      <c r="C2070" s="83">
        <v>46061</v>
      </c>
      <c r="D2070" t="s">
        <v>690</v>
      </c>
      <c r="E2070" t="s">
        <v>724</v>
      </c>
      <c r="F2070">
        <v>4</v>
      </c>
      <c r="G2070">
        <v>7.9929500000000004</v>
      </c>
    </row>
    <row r="2071" spans="1:7" x14ac:dyDescent="0.35">
      <c r="A2071" t="s">
        <v>847</v>
      </c>
      <c r="B2071" t="s">
        <v>680</v>
      </c>
      <c r="C2071" s="83">
        <v>46061</v>
      </c>
      <c r="D2071" t="s">
        <v>690</v>
      </c>
      <c r="E2071" t="s">
        <v>337</v>
      </c>
      <c r="F2071">
        <v>4</v>
      </c>
      <c r="G2071">
        <v>2.00705</v>
      </c>
    </row>
    <row r="2072" spans="1:7" x14ac:dyDescent="0.35">
      <c r="A2072" t="s">
        <v>847</v>
      </c>
      <c r="B2072" t="s">
        <v>680</v>
      </c>
      <c r="C2072" s="83">
        <v>46061</v>
      </c>
      <c r="D2072" t="s">
        <v>685</v>
      </c>
      <c r="E2072" t="s">
        <v>311</v>
      </c>
      <c r="F2072">
        <v>6</v>
      </c>
      <c r="G2072">
        <v>7.6786166666666702</v>
      </c>
    </row>
    <row r="2073" spans="1:7" x14ac:dyDescent="0.35">
      <c r="A2073" t="s">
        <v>847</v>
      </c>
      <c r="B2073" t="s">
        <v>680</v>
      </c>
      <c r="C2073" s="83">
        <v>46061</v>
      </c>
      <c r="D2073" t="s">
        <v>685</v>
      </c>
      <c r="E2073" t="s">
        <v>316</v>
      </c>
      <c r="F2073">
        <v>3</v>
      </c>
      <c r="G2073">
        <v>0.65915000000000001</v>
      </c>
    </row>
    <row r="2074" spans="1:7" x14ac:dyDescent="0.35">
      <c r="A2074" t="s">
        <v>847</v>
      </c>
      <c r="B2074" t="s">
        <v>680</v>
      </c>
      <c r="C2074" s="83">
        <v>46061</v>
      </c>
      <c r="D2074" t="s">
        <v>685</v>
      </c>
      <c r="E2074" t="s">
        <v>734</v>
      </c>
      <c r="F2074">
        <v>2</v>
      </c>
      <c r="G2074">
        <v>1.00131666666667</v>
      </c>
    </row>
    <row r="2075" spans="1:7" x14ac:dyDescent="0.35">
      <c r="A2075" t="s">
        <v>847</v>
      </c>
      <c r="B2075" t="s">
        <v>680</v>
      </c>
      <c r="C2075" s="83">
        <v>46062</v>
      </c>
      <c r="D2075" t="s">
        <v>681</v>
      </c>
      <c r="E2075" t="s">
        <v>298</v>
      </c>
      <c r="F2075">
        <v>28</v>
      </c>
      <c r="G2075">
        <v>44.533566666666701</v>
      </c>
    </row>
    <row r="2076" spans="1:7" x14ac:dyDescent="0.35">
      <c r="A2076" t="s">
        <v>847</v>
      </c>
      <c r="B2076" t="s">
        <v>680</v>
      </c>
      <c r="C2076" s="83">
        <v>46062</v>
      </c>
      <c r="D2076" t="s">
        <v>681</v>
      </c>
      <c r="E2076" t="s">
        <v>727</v>
      </c>
      <c r="F2076">
        <v>16</v>
      </c>
      <c r="G2076">
        <v>6.1538833333333303</v>
      </c>
    </row>
    <row r="2077" spans="1:7" x14ac:dyDescent="0.35">
      <c r="A2077" t="s">
        <v>847</v>
      </c>
      <c r="B2077" t="s">
        <v>680</v>
      </c>
      <c r="C2077" s="83">
        <v>46062</v>
      </c>
      <c r="D2077" t="s">
        <v>681</v>
      </c>
      <c r="E2077" t="s">
        <v>334</v>
      </c>
      <c r="F2077">
        <v>14</v>
      </c>
      <c r="G2077">
        <v>8.3405666666666693</v>
      </c>
    </row>
    <row r="2078" spans="1:7" x14ac:dyDescent="0.35">
      <c r="A2078" t="s">
        <v>847</v>
      </c>
      <c r="B2078" t="s">
        <v>680</v>
      </c>
      <c r="C2078" s="83">
        <v>46062</v>
      </c>
      <c r="D2078" t="s">
        <v>683</v>
      </c>
      <c r="E2078" t="s">
        <v>727</v>
      </c>
      <c r="F2078">
        <v>16</v>
      </c>
      <c r="G2078">
        <v>7.3420333333333296</v>
      </c>
    </row>
    <row r="2079" spans="1:7" x14ac:dyDescent="0.35">
      <c r="A2079" t="s">
        <v>847</v>
      </c>
      <c r="B2079" t="s">
        <v>680</v>
      </c>
      <c r="C2079" s="83">
        <v>46062</v>
      </c>
      <c r="D2079" t="s">
        <v>683</v>
      </c>
      <c r="E2079" t="s">
        <v>730</v>
      </c>
      <c r="F2079">
        <v>16</v>
      </c>
      <c r="G2079">
        <v>7.47746666666667</v>
      </c>
    </row>
    <row r="2080" spans="1:7" x14ac:dyDescent="0.35">
      <c r="A2080" t="s">
        <v>847</v>
      </c>
      <c r="B2080" t="s">
        <v>680</v>
      </c>
      <c r="C2080" s="83">
        <v>46062</v>
      </c>
      <c r="D2080" t="s">
        <v>683</v>
      </c>
      <c r="E2080" t="s">
        <v>298</v>
      </c>
      <c r="F2080">
        <v>10</v>
      </c>
      <c r="G2080">
        <v>13.3195</v>
      </c>
    </row>
    <row r="2081" spans="1:7" x14ac:dyDescent="0.35">
      <c r="A2081" t="s">
        <v>847</v>
      </c>
      <c r="B2081" t="s">
        <v>680</v>
      </c>
      <c r="C2081" s="83">
        <v>46062</v>
      </c>
      <c r="D2081" t="s">
        <v>689</v>
      </c>
      <c r="E2081" t="s">
        <v>297</v>
      </c>
      <c r="F2081">
        <v>31</v>
      </c>
      <c r="G2081">
        <v>12.333183333333301</v>
      </c>
    </row>
    <row r="2082" spans="1:7" x14ac:dyDescent="0.35">
      <c r="A2082" t="s">
        <v>847</v>
      </c>
      <c r="B2082" t="s">
        <v>680</v>
      </c>
      <c r="C2082" s="83">
        <v>46062</v>
      </c>
      <c r="D2082" t="s">
        <v>689</v>
      </c>
      <c r="E2082" t="s">
        <v>298</v>
      </c>
      <c r="F2082">
        <v>30</v>
      </c>
      <c r="G2082">
        <v>48.845833333333303</v>
      </c>
    </row>
    <row r="2083" spans="1:7" x14ac:dyDescent="0.35">
      <c r="A2083" t="s">
        <v>847</v>
      </c>
      <c r="B2083" t="s">
        <v>680</v>
      </c>
      <c r="C2083" s="83">
        <v>46062</v>
      </c>
      <c r="D2083" t="s">
        <v>689</v>
      </c>
      <c r="E2083" t="s">
        <v>736</v>
      </c>
      <c r="F2083">
        <v>9</v>
      </c>
      <c r="G2083">
        <v>12.1666833333333</v>
      </c>
    </row>
    <row r="2084" spans="1:7" x14ac:dyDescent="0.35">
      <c r="A2084" t="s">
        <v>847</v>
      </c>
      <c r="B2084" t="s">
        <v>680</v>
      </c>
      <c r="C2084" s="83">
        <v>46062</v>
      </c>
      <c r="D2084" t="s">
        <v>684</v>
      </c>
      <c r="E2084" t="s">
        <v>296</v>
      </c>
      <c r="F2084">
        <v>13</v>
      </c>
      <c r="G2084">
        <v>8.0035833333333297</v>
      </c>
    </row>
    <row r="2085" spans="1:7" x14ac:dyDescent="0.35">
      <c r="A2085" t="s">
        <v>847</v>
      </c>
      <c r="B2085" t="s">
        <v>680</v>
      </c>
      <c r="C2085" s="83">
        <v>46062</v>
      </c>
      <c r="D2085" t="s">
        <v>684</v>
      </c>
      <c r="E2085" t="s">
        <v>298</v>
      </c>
      <c r="F2085">
        <v>5</v>
      </c>
      <c r="G2085">
        <v>6.8456666666666699</v>
      </c>
    </row>
    <row r="2086" spans="1:7" x14ac:dyDescent="0.35">
      <c r="A2086" t="s">
        <v>847</v>
      </c>
      <c r="B2086" t="s">
        <v>680</v>
      </c>
      <c r="C2086" s="83">
        <v>46062</v>
      </c>
      <c r="D2086" t="s">
        <v>684</v>
      </c>
      <c r="E2086" t="s">
        <v>297</v>
      </c>
      <c r="F2086">
        <v>3</v>
      </c>
      <c r="G2086">
        <v>2.3305333333333298</v>
      </c>
    </row>
    <row r="2087" spans="1:7" x14ac:dyDescent="0.35">
      <c r="A2087" t="s">
        <v>847</v>
      </c>
      <c r="B2087" t="s">
        <v>680</v>
      </c>
      <c r="C2087" s="83">
        <v>46062</v>
      </c>
      <c r="D2087" t="s">
        <v>687</v>
      </c>
      <c r="E2087" t="s">
        <v>752</v>
      </c>
      <c r="F2087">
        <v>4</v>
      </c>
      <c r="G2087">
        <v>2.3289</v>
      </c>
    </row>
    <row r="2088" spans="1:7" x14ac:dyDescent="0.35">
      <c r="A2088" t="s">
        <v>847</v>
      </c>
      <c r="B2088" t="s">
        <v>680</v>
      </c>
      <c r="C2088" s="83">
        <v>46062</v>
      </c>
      <c r="D2088" t="s">
        <v>687</v>
      </c>
      <c r="E2088" t="s">
        <v>718</v>
      </c>
      <c r="F2088">
        <v>4</v>
      </c>
      <c r="G2088">
        <v>8.0008999999999997</v>
      </c>
    </row>
    <row r="2089" spans="1:7" x14ac:dyDescent="0.35">
      <c r="A2089" t="s">
        <v>847</v>
      </c>
      <c r="B2089" t="s">
        <v>680</v>
      </c>
      <c r="C2089" s="83">
        <v>46062</v>
      </c>
      <c r="D2089" t="s">
        <v>687</v>
      </c>
      <c r="E2089" t="s">
        <v>717</v>
      </c>
      <c r="F2089">
        <v>4</v>
      </c>
      <c r="G2089">
        <v>2.6678666666666699</v>
      </c>
    </row>
    <row r="2090" spans="1:7" x14ac:dyDescent="0.35">
      <c r="A2090" t="s">
        <v>847</v>
      </c>
      <c r="B2090" t="s">
        <v>680</v>
      </c>
      <c r="C2090" s="83">
        <v>46062</v>
      </c>
      <c r="D2090" t="s">
        <v>688</v>
      </c>
      <c r="E2090" t="s">
        <v>311</v>
      </c>
      <c r="F2090">
        <v>11</v>
      </c>
      <c r="G2090">
        <v>5.6818833333333298</v>
      </c>
    </row>
    <row r="2091" spans="1:7" x14ac:dyDescent="0.35">
      <c r="A2091" t="s">
        <v>847</v>
      </c>
      <c r="B2091" t="s">
        <v>680</v>
      </c>
      <c r="C2091" s="83">
        <v>46062</v>
      </c>
      <c r="D2091" t="s">
        <v>688</v>
      </c>
      <c r="E2091" t="s">
        <v>720</v>
      </c>
      <c r="F2091">
        <v>8</v>
      </c>
      <c r="G2091">
        <v>4.1786166666666702</v>
      </c>
    </row>
    <row r="2092" spans="1:7" x14ac:dyDescent="0.35">
      <c r="A2092" t="s">
        <v>847</v>
      </c>
      <c r="B2092" t="s">
        <v>680</v>
      </c>
      <c r="C2092" s="83">
        <v>46062</v>
      </c>
      <c r="D2092" t="s">
        <v>688</v>
      </c>
      <c r="E2092" t="s">
        <v>321</v>
      </c>
      <c r="F2092">
        <v>5</v>
      </c>
      <c r="G2092">
        <v>5.8426499999999999</v>
      </c>
    </row>
    <row r="2093" spans="1:7" x14ac:dyDescent="0.35">
      <c r="A2093" t="s">
        <v>847</v>
      </c>
      <c r="B2093" t="s">
        <v>680</v>
      </c>
      <c r="C2093" s="83">
        <v>46062</v>
      </c>
      <c r="D2093" t="s">
        <v>690</v>
      </c>
      <c r="E2093" t="s">
        <v>311</v>
      </c>
      <c r="F2093">
        <v>18</v>
      </c>
      <c r="G2093">
        <v>14.992316666666699</v>
      </c>
    </row>
    <row r="2094" spans="1:7" x14ac:dyDescent="0.35">
      <c r="A2094" t="s">
        <v>847</v>
      </c>
      <c r="B2094" t="s">
        <v>680</v>
      </c>
      <c r="C2094" s="83">
        <v>46062</v>
      </c>
      <c r="D2094" t="s">
        <v>690</v>
      </c>
      <c r="E2094" t="s">
        <v>321</v>
      </c>
      <c r="F2094">
        <v>13</v>
      </c>
      <c r="G2094">
        <v>5.8355166666666696</v>
      </c>
    </row>
    <row r="2095" spans="1:7" x14ac:dyDescent="0.35">
      <c r="A2095" t="s">
        <v>847</v>
      </c>
      <c r="B2095" t="s">
        <v>680</v>
      </c>
      <c r="C2095" s="83">
        <v>46062</v>
      </c>
      <c r="D2095" t="s">
        <v>690</v>
      </c>
      <c r="E2095" t="s">
        <v>720</v>
      </c>
      <c r="F2095">
        <v>3</v>
      </c>
      <c r="G2095">
        <v>1.33001666666667</v>
      </c>
    </row>
    <row r="2096" spans="1:7" x14ac:dyDescent="0.35">
      <c r="A2096" t="s">
        <v>847</v>
      </c>
      <c r="B2096" t="s">
        <v>680</v>
      </c>
      <c r="C2096" s="83">
        <v>46062</v>
      </c>
      <c r="D2096" t="s">
        <v>685</v>
      </c>
      <c r="E2096" t="s">
        <v>311</v>
      </c>
      <c r="F2096">
        <v>7</v>
      </c>
      <c r="G2096">
        <v>8.5067166666666694</v>
      </c>
    </row>
    <row r="2097" spans="1:7" x14ac:dyDescent="0.35">
      <c r="A2097" t="s">
        <v>847</v>
      </c>
      <c r="B2097" t="s">
        <v>680</v>
      </c>
      <c r="C2097" s="83">
        <v>46062</v>
      </c>
      <c r="D2097" t="s">
        <v>685</v>
      </c>
      <c r="E2097" t="s">
        <v>316</v>
      </c>
      <c r="F2097">
        <v>4</v>
      </c>
      <c r="G2097">
        <v>1.50735</v>
      </c>
    </row>
    <row r="2098" spans="1:7" x14ac:dyDescent="0.35">
      <c r="A2098" t="s">
        <v>847</v>
      </c>
      <c r="B2098" t="s">
        <v>680</v>
      </c>
      <c r="C2098" s="83">
        <v>46062</v>
      </c>
      <c r="D2098" t="s">
        <v>685</v>
      </c>
      <c r="E2098" t="s">
        <v>312</v>
      </c>
      <c r="F2098">
        <v>3</v>
      </c>
      <c r="G2098">
        <v>2.0074999999999998</v>
      </c>
    </row>
    <row r="2099" spans="1:7" x14ac:dyDescent="0.35">
      <c r="A2099" t="s">
        <v>847</v>
      </c>
      <c r="B2099" t="s">
        <v>680</v>
      </c>
      <c r="C2099" s="83">
        <v>46063</v>
      </c>
      <c r="D2099" t="s">
        <v>681</v>
      </c>
      <c r="E2099" t="s">
        <v>298</v>
      </c>
      <c r="F2099">
        <v>12</v>
      </c>
      <c r="G2099">
        <v>18.501483333333301</v>
      </c>
    </row>
    <row r="2100" spans="1:7" x14ac:dyDescent="0.35">
      <c r="A2100" t="s">
        <v>847</v>
      </c>
      <c r="B2100" t="s">
        <v>680</v>
      </c>
      <c r="C2100" s="83">
        <v>46063</v>
      </c>
      <c r="D2100" t="s">
        <v>681</v>
      </c>
      <c r="E2100" t="s">
        <v>727</v>
      </c>
      <c r="F2100">
        <v>11</v>
      </c>
      <c r="G2100">
        <v>23.676366666666699</v>
      </c>
    </row>
    <row r="2101" spans="1:7" x14ac:dyDescent="0.35">
      <c r="A2101" t="s">
        <v>847</v>
      </c>
      <c r="B2101" t="s">
        <v>680</v>
      </c>
      <c r="C2101" s="83">
        <v>46063</v>
      </c>
      <c r="D2101" t="s">
        <v>681</v>
      </c>
      <c r="E2101" t="s">
        <v>297</v>
      </c>
      <c r="F2101">
        <v>10</v>
      </c>
      <c r="G2101">
        <v>6.6646999999999998</v>
      </c>
    </row>
    <row r="2102" spans="1:7" x14ac:dyDescent="0.35">
      <c r="A2102" t="s">
        <v>847</v>
      </c>
      <c r="B2102" t="s">
        <v>680</v>
      </c>
      <c r="C2102" s="83">
        <v>46063</v>
      </c>
      <c r="D2102" t="s">
        <v>683</v>
      </c>
      <c r="E2102" t="s">
        <v>730</v>
      </c>
      <c r="F2102">
        <v>17</v>
      </c>
      <c r="G2102">
        <v>9.0015999999999998</v>
      </c>
    </row>
    <row r="2103" spans="1:7" x14ac:dyDescent="0.35">
      <c r="A2103" t="s">
        <v>847</v>
      </c>
      <c r="B2103" t="s">
        <v>680</v>
      </c>
      <c r="C2103" s="83">
        <v>46063</v>
      </c>
      <c r="D2103" t="s">
        <v>683</v>
      </c>
      <c r="E2103" t="s">
        <v>727</v>
      </c>
      <c r="F2103">
        <v>17</v>
      </c>
      <c r="G2103">
        <v>11.007666666666699</v>
      </c>
    </row>
    <row r="2104" spans="1:7" x14ac:dyDescent="0.35">
      <c r="A2104" t="s">
        <v>847</v>
      </c>
      <c r="B2104" t="s">
        <v>680</v>
      </c>
      <c r="C2104" s="83">
        <v>46063</v>
      </c>
      <c r="D2104" t="s">
        <v>683</v>
      </c>
      <c r="E2104" t="s">
        <v>334</v>
      </c>
      <c r="F2104">
        <v>9</v>
      </c>
      <c r="G2104">
        <v>7.7904999999999998</v>
      </c>
    </row>
    <row r="2105" spans="1:7" x14ac:dyDescent="0.35">
      <c r="A2105" t="s">
        <v>847</v>
      </c>
      <c r="B2105" t="s">
        <v>680</v>
      </c>
      <c r="C2105" s="83">
        <v>46063</v>
      </c>
      <c r="D2105" t="s">
        <v>689</v>
      </c>
      <c r="E2105" t="s">
        <v>297</v>
      </c>
      <c r="F2105">
        <v>28</v>
      </c>
      <c r="G2105">
        <v>14.50825</v>
      </c>
    </row>
    <row r="2106" spans="1:7" x14ac:dyDescent="0.35">
      <c r="A2106" t="s">
        <v>847</v>
      </c>
      <c r="B2106" t="s">
        <v>680</v>
      </c>
      <c r="C2106" s="83">
        <v>46063</v>
      </c>
      <c r="D2106" t="s">
        <v>689</v>
      </c>
      <c r="E2106" t="s">
        <v>298</v>
      </c>
      <c r="F2106">
        <v>13</v>
      </c>
      <c r="G2106">
        <v>13.9856</v>
      </c>
    </row>
    <row r="2107" spans="1:7" x14ac:dyDescent="0.35">
      <c r="A2107" t="s">
        <v>847</v>
      </c>
      <c r="B2107" t="s">
        <v>680</v>
      </c>
      <c r="C2107" s="83">
        <v>46063</v>
      </c>
      <c r="D2107" t="s">
        <v>689</v>
      </c>
      <c r="E2107" t="s">
        <v>727</v>
      </c>
      <c r="F2107">
        <v>8</v>
      </c>
      <c r="G2107">
        <v>3.3429000000000002</v>
      </c>
    </row>
    <row r="2108" spans="1:7" x14ac:dyDescent="0.35">
      <c r="A2108" t="s">
        <v>847</v>
      </c>
      <c r="B2108" t="s">
        <v>680</v>
      </c>
      <c r="C2108" s="83">
        <v>46063</v>
      </c>
      <c r="D2108" t="s">
        <v>684</v>
      </c>
      <c r="E2108" t="s">
        <v>300</v>
      </c>
      <c r="F2108">
        <v>3</v>
      </c>
      <c r="G2108">
        <v>2.9932666666666701</v>
      </c>
    </row>
    <row r="2109" spans="1:7" x14ac:dyDescent="0.35">
      <c r="A2109" t="s">
        <v>847</v>
      </c>
      <c r="B2109" t="s">
        <v>680</v>
      </c>
      <c r="C2109" s="83">
        <v>46063</v>
      </c>
      <c r="D2109" t="s">
        <v>684</v>
      </c>
      <c r="E2109" t="s">
        <v>297</v>
      </c>
      <c r="F2109">
        <v>3</v>
      </c>
      <c r="G2109">
        <v>414.20425</v>
      </c>
    </row>
    <row r="2110" spans="1:7" x14ac:dyDescent="0.35">
      <c r="A2110" t="s">
        <v>847</v>
      </c>
      <c r="B2110" t="s">
        <v>680</v>
      </c>
      <c r="C2110" s="83">
        <v>46063</v>
      </c>
      <c r="D2110" t="s">
        <v>684</v>
      </c>
      <c r="E2110" t="s">
        <v>334</v>
      </c>
      <c r="F2110">
        <v>3</v>
      </c>
      <c r="G2110">
        <v>2.0139</v>
      </c>
    </row>
    <row r="2111" spans="1:7" x14ac:dyDescent="0.35">
      <c r="A2111" t="s">
        <v>847</v>
      </c>
      <c r="B2111" t="s">
        <v>680</v>
      </c>
      <c r="C2111" s="83">
        <v>46063</v>
      </c>
      <c r="D2111" t="s">
        <v>687</v>
      </c>
      <c r="E2111" t="s">
        <v>717</v>
      </c>
      <c r="F2111">
        <v>6</v>
      </c>
      <c r="G2111">
        <v>172.68049999999999</v>
      </c>
    </row>
    <row r="2112" spans="1:7" x14ac:dyDescent="0.35">
      <c r="A2112" t="s">
        <v>847</v>
      </c>
      <c r="B2112" t="s">
        <v>680</v>
      </c>
      <c r="C2112" s="83">
        <v>46063</v>
      </c>
      <c r="D2112" t="s">
        <v>687</v>
      </c>
      <c r="E2112" t="s">
        <v>719</v>
      </c>
      <c r="F2112">
        <v>6</v>
      </c>
      <c r="G2112">
        <v>1.17245</v>
      </c>
    </row>
    <row r="2113" spans="1:7" x14ac:dyDescent="0.35">
      <c r="A2113" t="s">
        <v>847</v>
      </c>
      <c r="B2113" t="s">
        <v>680</v>
      </c>
      <c r="C2113" s="83">
        <v>46063</v>
      </c>
      <c r="D2113" t="s">
        <v>687</v>
      </c>
      <c r="E2113" t="s">
        <v>745</v>
      </c>
      <c r="F2113">
        <v>2</v>
      </c>
      <c r="G2113">
        <v>0.50058333333333305</v>
      </c>
    </row>
    <row r="2114" spans="1:7" x14ac:dyDescent="0.35">
      <c r="A2114" t="s">
        <v>847</v>
      </c>
      <c r="B2114" t="s">
        <v>680</v>
      </c>
      <c r="C2114" s="83">
        <v>46063</v>
      </c>
      <c r="D2114" t="s">
        <v>688</v>
      </c>
      <c r="E2114" t="s">
        <v>316</v>
      </c>
      <c r="F2114">
        <v>11</v>
      </c>
      <c r="G2114">
        <v>5.1670666666666696</v>
      </c>
    </row>
    <row r="2115" spans="1:7" x14ac:dyDescent="0.35">
      <c r="A2115" t="s">
        <v>847</v>
      </c>
      <c r="B2115" t="s">
        <v>680</v>
      </c>
      <c r="C2115" s="83">
        <v>46063</v>
      </c>
      <c r="D2115" t="s">
        <v>688</v>
      </c>
      <c r="E2115" t="s">
        <v>311</v>
      </c>
      <c r="F2115">
        <v>9</v>
      </c>
      <c r="G2115">
        <v>4.8324166666666697</v>
      </c>
    </row>
    <row r="2116" spans="1:7" x14ac:dyDescent="0.35">
      <c r="A2116" t="s">
        <v>847</v>
      </c>
      <c r="B2116" t="s">
        <v>680</v>
      </c>
      <c r="C2116" s="83">
        <v>46063</v>
      </c>
      <c r="D2116" t="s">
        <v>688</v>
      </c>
      <c r="E2116" t="s">
        <v>720</v>
      </c>
      <c r="F2116">
        <v>6</v>
      </c>
      <c r="G2116">
        <v>4.0052666666666701</v>
      </c>
    </row>
    <row r="2117" spans="1:7" x14ac:dyDescent="0.35">
      <c r="A2117" t="s">
        <v>847</v>
      </c>
      <c r="B2117" t="s">
        <v>680</v>
      </c>
      <c r="C2117" s="83">
        <v>46063</v>
      </c>
      <c r="D2117" t="s">
        <v>690</v>
      </c>
      <c r="E2117" t="s">
        <v>321</v>
      </c>
      <c r="F2117">
        <v>9</v>
      </c>
      <c r="G2117">
        <v>5.1725500000000002</v>
      </c>
    </row>
    <row r="2118" spans="1:7" x14ac:dyDescent="0.35">
      <c r="A2118" t="s">
        <v>847</v>
      </c>
      <c r="B2118" t="s">
        <v>680</v>
      </c>
      <c r="C2118" s="83">
        <v>46063</v>
      </c>
      <c r="D2118" t="s">
        <v>690</v>
      </c>
      <c r="E2118" t="s">
        <v>720</v>
      </c>
      <c r="F2118">
        <v>3</v>
      </c>
      <c r="G2118">
        <v>4.8398500000000002</v>
      </c>
    </row>
    <row r="2119" spans="1:7" x14ac:dyDescent="0.35">
      <c r="A2119" t="s">
        <v>847</v>
      </c>
      <c r="B2119" t="s">
        <v>680</v>
      </c>
      <c r="C2119" s="83">
        <v>46063</v>
      </c>
      <c r="D2119" t="s">
        <v>690</v>
      </c>
      <c r="E2119" t="s">
        <v>724</v>
      </c>
      <c r="F2119">
        <v>2</v>
      </c>
      <c r="G2119">
        <v>7.0006333333333304</v>
      </c>
    </row>
    <row r="2120" spans="1:7" x14ac:dyDescent="0.35">
      <c r="A2120" t="s">
        <v>847</v>
      </c>
      <c r="B2120" t="s">
        <v>680</v>
      </c>
      <c r="C2120" s="83">
        <v>46063</v>
      </c>
      <c r="D2120" t="s">
        <v>685</v>
      </c>
      <c r="E2120" t="s">
        <v>311</v>
      </c>
      <c r="F2120">
        <v>4</v>
      </c>
      <c r="G2120">
        <v>4.0056833333333302</v>
      </c>
    </row>
    <row r="2121" spans="1:7" x14ac:dyDescent="0.35">
      <c r="A2121" t="s">
        <v>847</v>
      </c>
      <c r="B2121" t="s">
        <v>680</v>
      </c>
      <c r="C2121" s="83">
        <v>46063</v>
      </c>
      <c r="D2121" t="s">
        <v>685</v>
      </c>
      <c r="E2121" t="s">
        <v>720</v>
      </c>
      <c r="F2121">
        <v>2</v>
      </c>
      <c r="G2121">
        <v>0.83256666666666701</v>
      </c>
    </row>
    <row r="2122" spans="1:7" x14ac:dyDescent="0.35">
      <c r="A2122" t="s">
        <v>847</v>
      </c>
      <c r="B2122" t="s">
        <v>680</v>
      </c>
      <c r="C2122" s="83">
        <v>46063</v>
      </c>
      <c r="D2122" t="s">
        <v>685</v>
      </c>
      <c r="E2122" t="s">
        <v>312</v>
      </c>
      <c r="F2122">
        <v>2</v>
      </c>
      <c r="G2122">
        <v>0.33326666666666699</v>
      </c>
    </row>
    <row r="2123" spans="1:7" x14ac:dyDescent="0.35">
      <c r="A2123" t="s">
        <v>847</v>
      </c>
      <c r="B2123" t="s">
        <v>680</v>
      </c>
      <c r="C2123" s="83">
        <v>46064</v>
      </c>
      <c r="D2123" t="s">
        <v>681</v>
      </c>
      <c r="E2123" t="s">
        <v>296</v>
      </c>
      <c r="F2123">
        <v>30</v>
      </c>
      <c r="G2123">
        <v>6.3503499999999997</v>
      </c>
    </row>
    <row r="2124" spans="1:7" x14ac:dyDescent="0.35">
      <c r="A2124" t="s">
        <v>847</v>
      </c>
      <c r="B2124" t="s">
        <v>680</v>
      </c>
      <c r="C2124" s="83">
        <v>46064</v>
      </c>
      <c r="D2124" t="s">
        <v>681</v>
      </c>
      <c r="E2124" t="s">
        <v>297</v>
      </c>
      <c r="F2124">
        <v>13</v>
      </c>
      <c r="G2124">
        <v>4.3126666666666704</v>
      </c>
    </row>
    <row r="2125" spans="1:7" x14ac:dyDescent="0.35">
      <c r="A2125" t="s">
        <v>847</v>
      </c>
      <c r="B2125" t="s">
        <v>680</v>
      </c>
      <c r="C2125" s="83">
        <v>46064</v>
      </c>
      <c r="D2125" t="s">
        <v>681</v>
      </c>
      <c r="E2125" t="s">
        <v>300</v>
      </c>
      <c r="F2125">
        <v>6</v>
      </c>
      <c r="G2125">
        <v>144.66341666666699</v>
      </c>
    </row>
    <row r="2126" spans="1:7" x14ac:dyDescent="0.35">
      <c r="A2126" t="s">
        <v>847</v>
      </c>
      <c r="B2126" t="s">
        <v>680</v>
      </c>
      <c r="C2126" s="83">
        <v>46064</v>
      </c>
      <c r="D2126" t="s">
        <v>683</v>
      </c>
      <c r="E2126" t="s">
        <v>296</v>
      </c>
      <c r="F2126">
        <v>12</v>
      </c>
      <c r="G2126">
        <v>4.6895166666666697</v>
      </c>
    </row>
    <row r="2127" spans="1:7" x14ac:dyDescent="0.35">
      <c r="A2127" t="s">
        <v>847</v>
      </c>
      <c r="B2127" t="s">
        <v>680</v>
      </c>
      <c r="C2127" s="83">
        <v>46064</v>
      </c>
      <c r="D2127" t="s">
        <v>683</v>
      </c>
      <c r="E2127" t="s">
        <v>727</v>
      </c>
      <c r="F2127">
        <v>10</v>
      </c>
      <c r="G2127">
        <v>30.342649999999999</v>
      </c>
    </row>
    <row r="2128" spans="1:7" x14ac:dyDescent="0.35">
      <c r="A2128" t="s">
        <v>847</v>
      </c>
      <c r="B2128" t="s">
        <v>680</v>
      </c>
      <c r="C2128" s="83">
        <v>46064</v>
      </c>
      <c r="D2128" t="s">
        <v>683</v>
      </c>
      <c r="E2128" t="s">
        <v>334</v>
      </c>
      <c r="F2128">
        <v>6</v>
      </c>
      <c r="G2128">
        <v>4.3646833333333301</v>
      </c>
    </row>
    <row r="2129" spans="1:7" x14ac:dyDescent="0.35">
      <c r="A2129" t="s">
        <v>847</v>
      </c>
      <c r="B2129" t="s">
        <v>680</v>
      </c>
      <c r="C2129" s="83">
        <v>46064</v>
      </c>
      <c r="D2129" t="s">
        <v>689</v>
      </c>
      <c r="E2129" t="s">
        <v>728</v>
      </c>
      <c r="F2129">
        <v>11</v>
      </c>
      <c r="G2129">
        <v>13.198183333333301</v>
      </c>
    </row>
    <row r="2130" spans="1:7" x14ac:dyDescent="0.35">
      <c r="A2130" t="s">
        <v>847</v>
      </c>
      <c r="B2130" t="s">
        <v>680</v>
      </c>
      <c r="C2130" s="83">
        <v>46064</v>
      </c>
      <c r="D2130" t="s">
        <v>689</v>
      </c>
      <c r="E2130" t="s">
        <v>727</v>
      </c>
      <c r="F2130">
        <v>6</v>
      </c>
      <c r="G2130">
        <v>2.5081333333333302</v>
      </c>
    </row>
    <row r="2131" spans="1:7" x14ac:dyDescent="0.35">
      <c r="A2131" t="s">
        <v>847</v>
      </c>
      <c r="B2131" t="s">
        <v>680</v>
      </c>
      <c r="C2131" s="83">
        <v>46064</v>
      </c>
      <c r="D2131" t="s">
        <v>689</v>
      </c>
      <c r="E2131" t="s">
        <v>297</v>
      </c>
      <c r="F2131">
        <v>4</v>
      </c>
      <c r="G2131">
        <v>0.66458333333333297</v>
      </c>
    </row>
    <row r="2132" spans="1:7" x14ac:dyDescent="0.35">
      <c r="A2132" t="s">
        <v>847</v>
      </c>
      <c r="B2132" t="s">
        <v>680</v>
      </c>
      <c r="C2132" s="83">
        <v>46064</v>
      </c>
      <c r="D2132" t="s">
        <v>687</v>
      </c>
      <c r="E2132" t="s">
        <v>752</v>
      </c>
      <c r="F2132">
        <v>5</v>
      </c>
      <c r="G2132">
        <v>0.83286666666666698</v>
      </c>
    </row>
    <row r="2133" spans="1:7" x14ac:dyDescent="0.35">
      <c r="A2133" t="s">
        <v>847</v>
      </c>
      <c r="B2133" t="s">
        <v>680</v>
      </c>
      <c r="C2133" s="83">
        <v>46064</v>
      </c>
      <c r="D2133" t="s">
        <v>687</v>
      </c>
      <c r="E2133" t="s">
        <v>740</v>
      </c>
      <c r="F2133">
        <v>4</v>
      </c>
      <c r="G2133">
        <v>7.1811166666666697</v>
      </c>
    </row>
    <row r="2134" spans="1:7" x14ac:dyDescent="0.35">
      <c r="A2134" t="s">
        <v>847</v>
      </c>
      <c r="B2134" t="s">
        <v>680</v>
      </c>
      <c r="C2134" s="83">
        <v>46064</v>
      </c>
      <c r="D2134" t="s">
        <v>687</v>
      </c>
      <c r="E2134" t="s">
        <v>729</v>
      </c>
      <c r="F2134">
        <v>4</v>
      </c>
      <c r="G2134">
        <v>2.3341166666666702</v>
      </c>
    </row>
    <row r="2135" spans="1:7" x14ac:dyDescent="0.35">
      <c r="A2135" t="s">
        <v>847</v>
      </c>
      <c r="B2135" t="s">
        <v>680</v>
      </c>
      <c r="C2135" s="83">
        <v>46064</v>
      </c>
      <c r="D2135" t="s">
        <v>688</v>
      </c>
      <c r="E2135" t="s">
        <v>321</v>
      </c>
      <c r="F2135">
        <v>2</v>
      </c>
      <c r="G2135">
        <v>1.49826666666667</v>
      </c>
    </row>
    <row r="2136" spans="1:7" x14ac:dyDescent="0.35">
      <c r="A2136" t="s">
        <v>847</v>
      </c>
      <c r="B2136" t="s">
        <v>680</v>
      </c>
      <c r="C2136" s="83">
        <v>46064</v>
      </c>
      <c r="D2136" t="s">
        <v>690</v>
      </c>
      <c r="E2136" t="s">
        <v>311</v>
      </c>
      <c r="F2136">
        <v>2</v>
      </c>
      <c r="G2136">
        <v>1.1678833333333301</v>
      </c>
    </row>
    <row r="2137" spans="1:7" x14ac:dyDescent="0.35">
      <c r="A2137" t="s">
        <v>847</v>
      </c>
      <c r="B2137" t="s">
        <v>680</v>
      </c>
      <c r="C2137" s="83">
        <v>46064</v>
      </c>
      <c r="D2137" t="s">
        <v>685</v>
      </c>
      <c r="E2137" t="s">
        <v>311</v>
      </c>
      <c r="F2137">
        <v>2</v>
      </c>
      <c r="G2137">
        <v>1246.4573166666701</v>
      </c>
    </row>
    <row r="2138" spans="1:7" x14ac:dyDescent="0.35">
      <c r="A2138" t="s">
        <v>847</v>
      </c>
      <c r="B2138" t="s">
        <v>680</v>
      </c>
      <c r="C2138" s="83">
        <v>46065</v>
      </c>
      <c r="D2138" t="s">
        <v>681</v>
      </c>
      <c r="E2138" t="s">
        <v>296</v>
      </c>
      <c r="F2138">
        <v>44</v>
      </c>
      <c r="G2138">
        <v>30.329066666666701</v>
      </c>
    </row>
    <row r="2139" spans="1:7" x14ac:dyDescent="0.35">
      <c r="A2139" t="s">
        <v>847</v>
      </c>
      <c r="B2139" t="s">
        <v>680</v>
      </c>
      <c r="C2139" s="83">
        <v>46065</v>
      </c>
      <c r="D2139" t="s">
        <v>681</v>
      </c>
      <c r="E2139" t="s">
        <v>297</v>
      </c>
      <c r="F2139">
        <v>29</v>
      </c>
      <c r="G2139">
        <v>26.188783333333301</v>
      </c>
    </row>
    <row r="2140" spans="1:7" x14ac:dyDescent="0.35">
      <c r="A2140" t="s">
        <v>847</v>
      </c>
      <c r="B2140" t="s">
        <v>680</v>
      </c>
      <c r="C2140" s="83">
        <v>46065</v>
      </c>
      <c r="D2140" t="s">
        <v>681</v>
      </c>
      <c r="E2140" t="s">
        <v>298</v>
      </c>
      <c r="F2140">
        <v>13</v>
      </c>
      <c r="G2140">
        <v>12.9794</v>
      </c>
    </row>
    <row r="2141" spans="1:7" x14ac:dyDescent="0.35">
      <c r="A2141" t="s">
        <v>847</v>
      </c>
      <c r="B2141" t="s">
        <v>680</v>
      </c>
      <c r="C2141" s="83">
        <v>46065</v>
      </c>
      <c r="D2141" t="s">
        <v>683</v>
      </c>
      <c r="E2141" t="s">
        <v>296</v>
      </c>
      <c r="F2141">
        <v>37</v>
      </c>
      <c r="G2141">
        <v>15.658899999999999</v>
      </c>
    </row>
    <row r="2142" spans="1:7" x14ac:dyDescent="0.35">
      <c r="A2142" t="s">
        <v>847</v>
      </c>
      <c r="B2142" t="s">
        <v>680</v>
      </c>
      <c r="C2142" s="83">
        <v>46065</v>
      </c>
      <c r="D2142" t="s">
        <v>683</v>
      </c>
      <c r="E2142" t="s">
        <v>730</v>
      </c>
      <c r="F2142">
        <v>25</v>
      </c>
      <c r="G2142">
        <v>18.167533333333299</v>
      </c>
    </row>
    <row r="2143" spans="1:7" x14ac:dyDescent="0.35">
      <c r="A2143" t="s">
        <v>847</v>
      </c>
      <c r="B2143" t="s">
        <v>680</v>
      </c>
      <c r="C2143" s="83">
        <v>46065</v>
      </c>
      <c r="D2143" t="s">
        <v>683</v>
      </c>
      <c r="E2143" t="s">
        <v>297</v>
      </c>
      <c r="F2143">
        <v>19</v>
      </c>
      <c r="G2143">
        <v>11.181749999999999</v>
      </c>
    </row>
    <row r="2144" spans="1:7" x14ac:dyDescent="0.35">
      <c r="A2144" t="s">
        <v>847</v>
      </c>
      <c r="B2144" t="s">
        <v>680</v>
      </c>
      <c r="C2144" s="83">
        <v>46065</v>
      </c>
      <c r="D2144" t="s">
        <v>689</v>
      </c>
      <c r="E2144" t="s">
        <v>298</v>
      </c>
      <c r="F2144">
        <v>27</v>
      </c>
      <c r="G2144">
        <v>23.365683333333301</v>
      </c>
    </row>
    <row r="2145" spans="1:7" x14ac:dyDescent="0.35">
      <c r="A2145" t="s">
        <v>847</v>
      </c>
      <c r="B2145" t="s">
        <v>680</v>
      </c>
      <c r="C2145" s="83">
        <v>46065</v>
      </c>
      <c r="D2145" t="s">
        <v>689</v>
      </c>
      <c r="E2145" t="s">
        <v>297</v>
      </c>
      <c r="F2145">
        <v>12</v>
      </c>
      <c r="G2145">
        <v>14.162333333333301</v>
      </c>
    </row>
    <row r="2146" spans="1:7" x14ac:dyDescent="0.35">
      <c r="A2146" t="s">
        <v>847</v>
      </c>
      <c r="B2146" t="s">
        <v>680</v>
      </c>
      <c r="C2146" s="83">
        <v>46065</v>
      </c>
      <c r="D2146" t="s">
        <v>689</v>
      </c>
      <c r="E2146" t="s">
        <v>296</v>
      </c>
      <c r="F2146">
        <v>10</v>
      </c>
      <c r="G2146">
        <v>12.4831166666667</v>
      </c>
    </row>
    <row r="2147" spans="1:7" x14ac:dyDescent="0.35">
      <c r="A2147" t="s">
        <v>847</v>
      </c>
      <c r="B2147" t="s">
        <v>680</v>
      </c>
      <c r="C2147" s="83">
        <v>46065</v>
      </c>
      <c r="D2147" t="s">
        <v>684</v>
      </c>
      <c r="E2147" t="s">
        <v>296</v>
      </c>
      <c r="F2147">
        <v>19</v>
      </c>
      <c r="G2147">
        <v>19.3167333333333</v>
      </c>
    </row>
    <row r="2148" spans="1:7" x14ac:dyDescent="0.35">
      <c r="A2148" t="s">
        <v>847</v>
      </c>
      <c r="B2148" t="s">
        <v>680</v>
      </c>
      <c r="C2148" s="83">
        <v>46065</v>
      </c>
      <c r="D2148" t="s">
        <v>684</v>
      </c>
      <c r="E2148" t="s">
        <v>728</v>
      </c>
      <c r="F2148">
        <v>7</v>
      </c>
      <c r="G2148">
        <v>20.161100000000001</v>
      </c>
    </row>
    <row r="2149" spans="1:7" x14ac:dyDescent="0.35">
      <c r="A2149" t="s">
        <v>847</v>
      </c>
      <c r="B2149" t="s">
        <v>680</v>
      </c>
      <c r="C2149" s="83">
        <v>46065</v>
      </c>
      <c r="D2149" t="s">
        <v>684</v>
      </c>
      <c r="E2149" t="s">
        <v>727</v>
      </c>
      <c r="F2149">
        <v>6</v>
      </c>
      <c r="G2149">
        <v>5.4959333333333298</v>
      </c>
    </row>
    <row r="2150" spans="1:7" x14ac:dyDescent="0.35">
      <c r="A2150" t="s">
        <v>847</v>
      </c>
      <c r="B2150" t="s">
        <v>680</v>
      </c>
      <c r="C2150" s="83">
        <v>46065</v>
      </c>
      <c r="D2150" t="s">
        <v>687</v>
      </c>
      <c r="E2150" t="s">
        <v>738</v>
      </c>
      <c r="F2150">
        <v>9</v>
      </c>
      <c r="G2150">
        <v>14.32555</v>
      </c>
    </row>
    <row r="2151" spans="1:7" x14ac:dyDescent="0.35">
      <c r="A2151" t="s">
        <v>847</v>
      </c>
      <c r="B2151" t="s">
        <v>680</v>
      </c>
      <c r="C2151" s="83">
        <v>46065</v>
      </c>
      <c r="D2151" t="s">
        <v>687</v>
      </c>
      <c r="E2151" t="s">
        <v>718</v>
      </c>
      <c r="F2151">
        <v>8</v>
      </c>
      <c r="G2151">
        <v>1.32626666666667</v>
      </c>
    </row>
    <row r="2152" spans="1:7" x14ac:dyDescent="0.35">
      <c r="A2152" t="s">
        <v>847</v>
      </c>
      <c r="B2152" t="s">
        <v>680</v>
      </c>
      <c r="C2152" s="83">
        <v>46065</v>
      </c>
      <c r="D2152" t="s">
        <v>687</v>
      </c>
      <c r="E2152" t="s">
        <v>717</v>
      </c>
      <c r="F2152">
        <v>8</v>
      </c>
      <c r="G2152">
        <v>1.50853333333333</v>
      </c>
    </row>
    <row r="2153" spans="1:7" x14ac:dyDescent="0.35">
      <c r="A2153" t="s">
        <v>847</v>
      </c>
      <c r="B2153" t="s">
        <v>680</v>
      </c>
      <c r="C2153" s="83">
        <v>46065</v>
      </c>
      <c r="D2153" t="s">
        <v>688</v>
      </c>
      <c r="E2153" t="s">
        <v>311</v>
      </c>
      <c r="F2153">
        <v>14</v>
      </c>
      <c r="G2153">
        <v>5.8339333333333299</v>
      </c>
    </row>
    <row r="2154" spans="1:7" x14ac:dyDescent="0.35">
      <c r="A2154" t="s">
        <v>847</v>
      </c>
      <c r="B2154" t="s">
        <v>680</v>
      </c>
      <c r="C2154" s="83">
        <v>46065</v>
      </c>
      <c r="D2154" t="s">
        <v>688</v>
      </c>
      <c r="E2154" t="s">
        <v>312</v>
      </c>
      <c r="F2154">
        <v>6</v>
      </c>
      <c r="G2154">
        <v>2.9897833333333299</v>
      </c>
    </row>
    <row r="2155" spans="1:7" x14ac:dyDescent="0.35">
      <c r="A2155" t="s">
        <v>847</v>
      </c>
      <c r="B2155" t="s">
        <v>680</v>
      </c>
      <c r="C2155" s="83">
        <v>46065</v>
      </c>
      <c r="D2155" t="s">
        <v>688</v>
      </c>
      <c r="E2155" t="s">
        <v>316</v>
      </c>
      <c r="F2155">
        <v>5</v>
      </c>
      <c r="G2155">
        <v>2.6673666666666702</v>
      </c>
    </row>
    <row r="2156" spans="1:7" x14ac:dyDescent="0.35">
      <c r="A2156" t="s">
        <v>847</v>
      </c>
      <c r="B2156" t="s">
        <v>680</v>
      </c>
      <c r="C2156" s="83">
        <v>46065</v>
      </c>
      <c r="D2156" t="s">
        <v>690</v>
      </c>
      <c r="E2156" t="s">
        <v>739</v>
      </c>
      <c r="F2156">
        <v>4</v>
      </c>
      <c r="G2156">
        <v>1.84185</v>
      </c>
    </row>
    <row r="2157" spans="1:7" x14ac:dyDescent="0.35">
      <c r="A2157" t="s">
        <v>847</v>
      </c>
      <c r="B2157" t="s">
        <v>680</v>
      </c>
      <c r="C2157" s="83">
        <v>46065</v>
      </c>
      <c r="D2157" t="s">
        <v>690</v>
      </c>
      <c r="E2157" t="s">
        <v>316</v>
      </c>
      <c r="F2157">
        <v>3</v>
      </c>
      <c r="G2157">
        <v>2.8326333333333298</v>
      </c>
    </row>
    <row r="2158" spans="1:7" x14ac:dyDescent="0.35">
      <c r="A2158" t="s">
        <v>847</v>
      </c>
      <c r="B2158" t="s">
        <v>680</v>
      </c>
      <c r="C2158" s="83">
        <v>46065</v>
      </c>
      <c r="D2158" t="s">
        <v>690</v>
      </c>
      <c r="E2158" t="s">
        <v>311</v>
      </c>
      <c r="F2158">
        <v>3</v>
      </c>
      <c r="G2158">
        <v>0.84006666666666696</v>
      </c>
    </row>
    <row r="2159" spans="1:7" x14ac:dyDescent="0.35">
      <c r="A2159" t="s">
        <v>847</v>
      </c>
      <c r="B2159" t="s">
        <v>680</v>
      </c>
      <c r="C2159" s="83">
        <v>46065</v>
      </c>
      <c r="D2159" t="s">
        <v>685</v>
      </c>
      <c r="E2159" t="s">
        <v>316</v>
      </c>
      <c r="F2159">
        <v>4</v>
      </c>
      <c r="G2159">
        <v>1.1681999999999999</v>
      </c>
    </row>
    <row r="2160" spans="1:7" x14ac:dyDescent="0.35">
      <c r="A2160" t="s">
        <v>847</v>
      </c>
      <c r="B2160" t="s">
        <v>680</v>
      </c>
      <c r="C2160" s="83">
        <v>46065</v>
      </c>
      <c r="D2160" t="s">
        <v>685</v>
      </c>
      <c r="E2160" t="s">
        <v>734</v>
      </c>
      <c r="F2160">
        <v>3</v>
      </c>
      <c r="G2160">
        <v>1.1679999999999999</v>
      </c>
    </row>
    <row r="2161" spans="1:7" x14ac:dyDescent="0.35">
      <c r="A2161" t="s">
        <v>847</v>
      </c>
      <c r="B2161" t="s">
        <v>680</v>
      </c>
      <c r="C2161" s="83">
        <v>46065</v>
      </c>
      <c r="D2161" t="s">
        <v>685</v>
      </c>
      <c r="E2161" t="s">
        <v>349</v>
      </c>
      <c r="F2161">
        <v>2</v>
      </c>
      <c r="G2161">
        <v>22.33445</v>
      </c>
    </row>
    <row r="2162" spans="1:7" x14ac:dyDescent="0.35">
      <c r="A2162" t="s">
        <v>847</v>
      </c>
      <c r="B2162" t="s">
        <v>680</v>
      </c>
      <c r="C2162" s="83">
        <v>46066</v>
      </c>
      <c r="D2162" t="s">
        <v>681</v>
      </c>
      <c r="E2162" t="s">
        <v>298</v>
      </c>
      <c r="F2162">
        <v>17</v>
      </c>
      <c r="G2162">
        <v>11.3850833333333</v>
      </c>
    </row>
    <row r="2163" spans="1:7" x14ac:dyDescent="0.35">
      <c r="A2163" t="s">
        <v>847</v>
      </c>
      <c r="B2163" t="s">
        <v>680</v>
      </c>
      <c r="C2163" s="83">
        <v>46066</v>
      </c>
      <c r="D2163" t="s">
        <v>681</v>
      </c>
      <c r="E2163" t="s">
        <v>296</v>
      </c>
      <c r="F2163">
        <v>8</v>
      </c>
      <c r="G2163">
        <v>2.34723333333333</v>
      </c>
    </row>
    <row r="2164" spans="1:7" x14ac:dyDescent="0.35">
      <c r="A2164" t="s">
        <v>847</v>
      </c>
      <c r="B2164" t="s">
        <v>680</v>
      </c>
      <c r="C2164" s="83">
        <v>46066</v>
      </c>
      <c r="D2164" t="s">
        <v>681</v>
      </c>
      <c r="E2164" t="s">
        <v>297</v>
      </c>
      <c r="F2164">
        <v>8</v>
      </c>
      <c r="G2164">
        <v>3.8501500000000002</v>
      </c>
    </row>
    <row r="2165" spans="1:7" x14ac:dyDescent="0.35">
      <c r="A2165" t="s">
        <v>847</v>
      </c>
      <c r="B2165" t="s">
        <v>680</v>
      </c>
      <c r="C2165" s="83">
        <v>46066</v>
      </c>
      <c r="D2165" t="s">
        <v>683</v>
      </c>
      <c r="E2165" t="s">
        <v>727</v>
      </c>
      <c r="F2165">
        <v>14</v>
      </c>
      <c r="G2165">
        <v>8.1963000000000008</v>
      </c>
    </row>
    <row r="2166" spans="1:7" x14ac:dyDescent="0.35">
      <c r="A2166" t="s">
        <v>847</v>
      </c>
      <c r="B2166" t="s">
        <v>680</v>
      </c>
      <c r="C2166" s="83">
        <v>46066</v>
      </c>
      <c r="D2166" t="s">
        <v>683</v>
      </c>
      <c r="E2166" t="s">
        <v>730</v>
      </c>
      <c r="F2166">
        <v>14</v>
      </c>
      <c r="G2166">
        <v>8.3413833333333294</v>
      </c>
    </row>
    <row r="2167" spans="1:7" x14ac:dyDescent="0.35">
      <c r="A2167" t="s">
        <v>847</v>
      </c>
      <c r="B2167" t="s">
        <v>680</v>
      </c>
      <c r="C2167" s="83">
        <v>46066</v>
      </c>
      <c r="D2167" t="s">
        <v>683</v>
      </c>
      <c r="E2167" t="s">
        <v>296</v>
      </c>
      <c r="F2167">
        <v>12</v>
      </c>
      <c r="G2167">
        <v>2.66598333333333</v>
      </c>
    </row>
    <row r="2168" spans="1:7" x14ac:dyDescent="0.35">
      <c r="A2168" t="s">
        <v>847</v>
      </c>
      <c r="B2168" t="s">
        <v>680</v>
      </c>
      <c r="C2168" s="83">
        <v>46066</v>
      </c>
      <c r="D2168" t="s">
        <v>689</v>
      </c>
      <c r="E2168" t="s">
        <v>298</v>
      </c>
      <c r="F2168">
        <v>25</v>
      </c>
      <c r="G2168">
        <v>13.6368666666667</v>
      </c>
    </row>
    <row r="2169" spans="1:7" x14ac:dyDescent="0.35">
      <c r="A2169" t="s">
        <v>847</v>
      </c>
      <c r="B2169" t="s">
        <v>680</v>
      </c>
      <c r="C2169" s="83">
        <v>46066</v>
      </c>
      <c r="D2169" t="s">
        <v>689</v>
      </c>
      <c r="E2169" t="s">
        <v>296</v>
      </c>
      <c r="F2169">
        <v>8</v>
      </c>
      <c r="G2169">
        <v>6.3439666666666703</v>
      </c>
    </row>
    <row r="2170" spans="1:7" x14ac:dyDescent="0.35">
      <c r="A2170" t="s">
        <v>847</v>
      </c>
      <c r="B2170" t="s">
        <v>680</v>
      </c>
      <c r="C2170" s="83">
        <v>46066</v>
      </c>
      <c r="D2170" t="s">
        <v>689</v>
      </c>
      <c r="E2170" t="s">
        <v>300</v>
      </c>
      <c r="F2170">
        <v>7</v>
      </c>
      <c r="G2170">
        <v>2.65058333333333</v>
      </c>
    </row>
    <row r="2171" spans="1:7" x14ac:dyDescent="0.35">
      <c r="A2171" t="s">
        <v>847</v>
      </c>
      <c r="B2171" t="s">
        <v>680</v>
      </c>
      <c r="C2171" s="83">
        <v>46066</v>
      </c>
      <c r="D2171" t="s">
        <v>684</v>
      </c>
      <c r="E2171" t="s">
        <v>334</v>
      </c>
      <c r="F2171">
        <v>2</v>
      </c>
      <c r="G2171">
        <v>0.33281666666666698</v>
      </c>
    </row>
    <row r="2172" spans="1:7" x14ac:dyDescent="0.35">
      <c r="A2172" t="s">
        <v>847</v>
      </c>
      <c r="B2172" t="s">
        <v>680</v>
      </c>
      <c r="C2172" s="83">
        <v>46066</v>
      </c>
      <c r="D2172" t="s">
        <v>684</v>
      </c>
      <c r="E2172" t="s">
        <v>730</v>
      </c>
      <c r="F2172">
        <v>2</v>
      </c>
      <c r="G2172">
        <v>1.50016666666667</v>
      </c>
    </row>
    <row r="2173" spans="1:7" x14ac:dyDescent="0.35">
      <c r="A2173" t="s">
        <v>847</v>
      </c>
      <c r="B2173" t="s">
        <v>680</v>
      </c>
      <c r="C2173" s="83">
        <v>46066</v>
      </c>
      <c r="D2173" t="s">
        <v>687</v>
      </c>
      <c r="E2173" t="s">
        <v>718</v>
      </c>
      <c r="F2173">
        <v>7</v>
      </c>
      <c r="G2173">
        <v>4.0023</v>
      </c>
    </row>
    <row r="2174" spans="1:7" x14ac:dyDescent="0.35">
      <c r="A2174" t="s">
        <v>847</v>
      </c>
      <c r="B2174" t="s">
        <v>680</v>
      </c>
      <c r="C2174" s="83">
        <v>46066</v>
      </c>
      <c r="D2174" t="s">
        <v>687</v>
      </c>
      <c r="E2174" t="s">
        <v>726</v>
      </c>
      <c r="F2174">
        <v>5</v>
      </c>
      <c r="G2174">
        <v>7.00301666666667</v>
      </c>
    </row>
    <row r="2175" spans="1:7" x14ac:dyDescent="0.35">
      <c r="A2175" t="s">
        <v>847</v>
      </c>
      <c r="B2175" t="s">
        <v>680</v>
      </c>
      <c r="C2175" s="83">
        <v>46066</v>
      </c>
      <c r="D2175" t="s">
        <v>687</v>
      </c>
      <c r="E2175" t="s">
        <v>717</v>
      </c>
      <c r="F2175">
        <v>4</v>
      </c>
      <c r="G2175">
        <v>1.50058333333333</v>
      </c>
    </row>
    <row r="2176" spans="1:7" x14ac:dyDescent="0.35">
      <c r="A2176" t="s">
        <v>847</v>
      </c>
      <c r="B2176" t="s">
        <v>680</v>
      </c>
      <c r="C2176" s="83">
        <v>46066</v>
      </c>
      <c r="D2176" t="s">
        <v>688</v>
      </c>
      <c r="E2176" t="s">
        <v>312</v>
      </c>
      <c r="F2176">
        <v>37</v>
      </c>
      <c r="G2176">
        <v>12.857333333333299</v>
      </c>
    </row>
    <row r="2177" spans="1:7" x14ac:dyDescent="0.35">
      <c r="A2177" t="s">
        <v>847</v>
      </c>
      <c r="B2177" t="s">
        <v>680</v>
      </c>
      <c r="C2177" s="83">
        <v>46066</v>
      </c>
      <c r="D2177" t="s">
        <v>688</v>
      </c>
      <c r="E2177" t="s">
        <v>311</v>
      </c>
      <c r="F2177">
        <v>10</v>
      </c>
      <c r="G2177">
        <v>3.9766499999999998</v>
      </c>
    </row>
    <row r="2178" spans="1:7" x14ac:dyDescent="0.35">
      <c r="A2178" t="s">
        <v>847</v>
      </c>
      <c r="B2178" t="s">
        <v>680</v>
      </c>
      <c r="C2178" s="83">
        <v>46066</v>
      </c>
      <c r="D2178" t="s">
        <v>688</v>
      </c>
      <c r="E2178" t="s">
        <v>316</v>
      </c>
      <c r="F2178">
        <v>8</v>
      </c>
      <c r="G2178">
        <v>4.3371666666666702</v>
      </c>
    </row>
    <row r="2179" spans="1:7" x14ac:dyDescent="0.35">
      <c r="A2179" t="s">
        <v>847</v>
      </c>
      <c r="B2179" t="s">
        <v>680</v>
      </c>
      <c r="C2179" s="83">
        <v>46066</v>
      </c>
      <c r="D2179" t="s">
        <v>690</v>
      </c>
      <c r="E2179" t="s">
        <v>311</v>
      </c>
      <c r="F2179">
        <v>9</v>
      </c>
      <c r="G2179">
        <v>4.4924499999999998</v>
      </c>
    </row>
    <row r="2180" spans="1:7" x14ac:dyDescent="0.35">
      <c r="A2180" t="s">
        <v>847</v>
      </c>
      <c r="B2180" t="s">
        <v>680</v>
      </c>
      <c r="C2180" s="83">
        <v>46066</v>
      </c>
      <c r="D2180" t="s">
        <v>690</v>
      </c>
      <c r="E2180" t="s">
        <v>316</v>
      </c>
      <c r="F2180">
        <v>2</v>
      </c>
      <c r="G2180">
        <v>0.49395</v>
      </c>
    </row>
    <row r="2181" spans="1:7" x14ac:dyDescent="0.35">
      <c r="A2181" t="s">
        <v>847</v>
      </c>
      <c r="B2181" t="s">
        <v>680</v>
      </c>
      <c r="C2181" s="83">
        <v>46066</v>
      </c>
      <c r="D2181" t="s">
        <v>690</v>
      </c>
      <c r="E2181" t="s">
        <v>321</v>
      </c>
      <c r="F2181">
        <v>2</v>
      </c>
      <c r="G2181">
        <v>0.33371666666666699</v>
      </c>
    </row>
    <row r="2182" spans="1:7" x14ac:dyDescent="0.35">
      <c r="A2182" t="s">
        <v>847</v>
      </c>
      <c r="B2182" t="s">
        <v>680</v>
      </c>
      <c r="C2182" s="83">
        <v>46066</v>
      </c>
      <c r="D2182" t="s">
        <v>685</v>
      </c>
      <c r="E2182" t="s">
        <v>311</v>
      </c>
      <c r="F2182">
        <v>5</v>
      </c>
      <c r="G2182">
        <v>3.3340999999999998</v>
      </c>
    </row>
    <row r="2183" spans="1:7" x14ac:dyDescent="0.35">
      <c r="A2183" t="s">
        <v>847</v>
      </c>
      <c r="B2183" t="s">
        <v>680</v>
      </c>
      <c r="C2183" s="83">
        <v>46066</v>
      </c>
      <c r="D2183" t="s">
        <v>685</v>
      </c>
      <c r="E2183" t="s">
        <v>725</v>
      </c>
      <c r="F2183">
        <v>2</v>
      </c>
      <c r="G2183">
        <v>0.33238333333333298</v>
      </c>
    </row>
    <row r="2184" spans="1:7" x14ac:dyDescent="0.35">
      <c r="A2184" t="s">
        <v>847</v>
      </c>
      <c r="B2184" t="s">
        <v>680</v>
      </c>
      <c r="C2184" s="83">
        <v>46066</v>
      </c>
      <c r="D2184" t="s">
        <v>685</v>
      </c>
      <c r="E2184" t="s">
        <v>322</v>
      </c>
      <c r="F2184">
        <v>2</v>
      </c>
      <c r="G2184">
        <v>1.33345</v>
      </c>
    </row>
    <row r="2185" spans="1:7" x14ac:dyDescent="0.35">
      <c r="A2185" t="s">
        <v>847</v>
      </c>
      <c r="B2185" t="s">
        <v>680</v>
      </c>
      <c r="C2185" s="83">
        <v>46067</v>
      </c>
      <c r="D2185" t="s">
        <v>681</v>
      </c>
      <c r="E2185" t="s">
        <v>298</v>
      </c>
      <c r="F2185">
        <v>27</v>
      </c>
      <c r="G2185">
        <v>25.696999999999999</v>
      </c>
    </row>
    <row r="2186" spans="1:7" x14ac:dyDescent="0.35">
      <c r="A2186" t="s">
        <v>847</v>
      </c>
      <c r="B2186" t="s">
        <v>680</v>
      </c>
      <c r="C2186" s="83">
        <v>46067</v>
      </c>
      <c r="D2186" t="s">
        <v>681</v>
      </c>
      <c r="E2186" t="s">
        <v>728</v>
      </c>
      <c r="F2186">
        <v>19</v>
      </c>
      <c r="G2186">
        <v>10.5072833333333</v>
      </c>
    </row>
    <row r="2187" spans="1:7" x14ac:dyDescent="0.35">
      <c r="A2187" t="s">
        <v>847</v>
      </c>
      <c r="B2187" t="s">
        <v>680</v>
      </c>
      <c r="C2187" s="83">
        <v>46067</v>
      </c>
      <c r="D2187" t="s">
        <v>681</v>
      </c>
      <c r="E2187" t="s">
        <v>297</v>
      </c>
      <c r="F2187">
        <v>19</v>
      </c>
      <c r="G2187">
        <v>7.2966166666666696</v>
      </c>
    </row>
    <row r="2188" spans="1:7" x14ac:dyDescent="0.35">
      <c r="A2188" t="s">
        <v>847</v>
      </c>
      <c r="B2188" t="s">
        <v>680</v>
      </c>
      <c r="C2188" s="83">
        <v>46067</v>
      </c>
      <c r="D2188" t="s">
        <v>683</v>
      </c>
      <c r="E2188" t="s">
        <v>730</v>
      </c>
      <c r="F2188">
        <v>19</v>
      </c>
      <c r="G2188">
        <v>9.4351166666666693</v>
      </c>
    </row>
    <row r="2189" spans="1:7" x14ac:dyDescent="0.35">
      <c r="A2189" t="s">
        <v>847</v>
      </c>
      <c r="B2189" t="s">
        <v>680</v>
      </c>
      <c r="C2189" s="83">
        <v>46067</v>
      </c>
      <c r="D2189" t="s">
        <v>683</v>
      </c>
      <c r="E2189" t="s">
        <v>727</v>
      </c>
      <c r="F2189">
        <v>12</v>
      </c>
      <c r="G2189">
        <v>11.690583333333301</v>
      </c>
    </row>
    <row r="2190" spans="1:7" x14ac:dyDescent="0.35">
      <c r="A2190" t="s">
        <v>847</v>
      </c>
      <c r="B2190" t="s">
        <v>680</v>
      </c>
      <c r="C2190" s="83">
        <v>46067</v>
      </c>
      <c r="D2190" t="s">
        <v>683</v>
      </c>
      <c r="E2190" t="s">
        <v>298</v>
      </c>
      <c r="F2190">
        <v>12</v>
      </c>
      <c r="G2190">
        <v>11.6780333333333</v>
      </c>
    </row>
    <row r="2191" spans="1:7" x14ac:dyDescent="0.35">
      <c r="A2191" t="s">
        <v>847</v>
      </c>
      <c r="B2191" t="s">
        <v>680</v>
      </c>
      <c r="C2191" s="83">
        <v>46067</v>
      </c>
      <c r="D2191" t="s">
        <v>689</v>
      </c>
      <c r="E2191" t="s">
        <v>298</v>
      </c>
      <c r="F2191">
        <v>24</v>
      </c>
      <c r="G2191">
        <v>12.609016666666699</v>
      </c>
    </row>
    <row r="2192" spans="1:7" x14ac:dyDescent="0.35">
      <c r="A2192" t="s">
        <v>847</v>
      </c>
      <c r="B2192" t="s">
        <v>680</v>
      </c>
      <c r="C2192" s="83">
        <v>46067</v>
      </c>
      <c r="D2192" t="s">
        <v>689</v>
      </c>
      <c r="E2192" t="s">
        <v>296</v>
      </c>
      <c r="F2192">
        <v>8</v>
      </c>
      <c r="G2192">
        <v>5.6409166666666701</v>
      </c>
    </row>
    <row r="2193" spans="1:7" x14ac:dyDescent="0.35">
      <c r="A2193" t="s">
        <v>847</v>
      </c>
      <c r="B2193" t="s">
        <v>680</v>
      </c>
      <c r="C2193" s="83">
        <v>46067</v>
      </c>
      <c r="D2193" t="s">
        <v>689</v>
      </c>
      <c r="E2193" t="s">
        <v>300</v>
      </c>
      <c r="F2193">
        <v>7</v>
      </c>
      <c r="G2193">
        <v>3.2606000000000002</v>
      </c>
    </row>
    <row r="2194" spans="1:7" x14ac:dyDescent="0.35">
      <c r="A2194" t="s">
        <v>847</v>
      </c>
      <c r="B2194" t="s">
        <v>680</v>
      </c>
      <c r="C2194" s="83">
        <v>46067</v>
      </c>
      <c r="D2194" t="s">
        <v>684</v>
      </c>
      <c r="E2194" t="s">
        <v>298</v>
      </c>
      <c r="F2194">
        <v>6</v>
      </c>
      <c r="G2194">
        <v>4.1359666666666701</v>
      </c>
    </row>
    <row r="2195" spans="1:7" x14ac:dyDescent="0.35">
      <c r="A2195" t="s">
        <v>847</v>
      </c>
      <c r="B2195" t="s">
        <v>680</v>
      </c>
      <c r="C2195" s="83">
        <v>46067</v>
      </c>
      <c r="D2195" t="s">
        <v>684</v>
      </c>
      <c r="E2195" t="s">
        <v>730</v>
      </c>
      <c r="F2195">
        <v>2</v>
      </c>
      <c r="G2195">
        <v>0.16678333333333301</v>
      </c>
    </row>
    <row r="2196" spans="1:7" x14ac:dyDescent="0.35">
      <c r="A2196" t="s">
        <v>847</v>
      </c>
      <c r="B2196" t="s">
        <v>680</v>
      </c>
      <c r="C2196" s="83">
        <v>46067</v>
      </c>
      <c r="D2196" t="s">
        <v>687</v>
      </c>
      <c r="E2196" t="s">
        <v>726</v>
      </c>
      <c r="F2196">
        <v>9</v>
      </c>
      <c r="G2196">
        <v>17.837583333333299</v>
      </c>
    </row>
    <row r="2197" spans="1:7" x14ac:dyDescent="0.35">
      <c r="A2197" t="s">
        <v>847</v>
      </c>
      <c r="B2197" t="s">
        <v>680</v>
      </c>
      <c r="C2197" s="83">
        <v>46067</v>
      </c>
      <c r="D2197" t="s">
        <v>687</v>
      </c>
      <c r="E2197" t="s">
        <v>752</v>
      </c>
      <c r="F2197">
        <v>3</v>
      </c>
      <c r="G2197">
        <v>0.50666666666666704</v>
      </c>
    </row>
    <row r="2198" spans="1:7" x14ac:dyDescent="0.35">
      <c r="A2198" t="s">
        <v>847</v>
      </c>
      <c r="B2198" t="s">
        <v>680</v>
      </c>
      <c r="C2198" s="83">
        <v>46067</v>
      </c>
      <c r="D2198" t="s">
        <v>687</v>
      </c>
      <c r="E2198" t="s">
        <v>718</v>
      </c>
      <c r="F2198">
        <v>3</v>
      </c>
      <c r="G2198">
        <v>0.82653333333333301</v>
      </c>
    </row>
    <row r="2199" spans="1:7" x14ac:dyDescent="0.35">
      <c r="A2199" t="s">
        <v>847</v>
      </c>
      <c r="B2199" t="s">
        <v>680</v>
      </c>
      <c r="C2199" s="83">
        <v>46067</v>
      </c>
      <c r="D2199" t="s">
        <v>688</v>
      </c>
      <c r="E2199" t="s">
        <v>311</v>
      </c>
      <c r="F2199">
        <v>13</v>
      </c>
      <c r="G2199">
        <v>4.9077000000000002</v>
      </c>
    </row>
    <row r="2200" spans="1:7" x14ac:dyDescent="0.35">
      <c r="A2200" t="s">
        <v>847</v>
      </c>
      <c r="B2200" t="s">
        <v>680</v>
      </c>
      <c r="C2200" s="83">
        <v>46067</v>
      </c>
      <c r="D2200" t="s">
        <v>688</v>
      </c>
      <c r="E2200" t="s">
        <v>312</v>
      </c>
      <c r="F2200">
        <v>10</v>
      </c>
      <c r="G2200">
        <v>7.48665</v>
      </c>
    </row>
    <row r="2201" spans="1:7" x14ac:dyDescent="0.35">
      <c r="A2201" t="s">
        <v>847</v>
      </c>
      <c r="B2201" t="s">
        <v>680</v>
      </c>
      <c r="C2201" s="83">
        <v>46067</v>
      </c>
      <c r="D2201" t="s">
        <v>688</v>
      </c>
      <c r="E2201" t="s">
        <v>721</v>
      </c>
      <c r="F2201">
        <v>2</v>
      </c>
      <c r="G2201">
        <v>1.00836666666667</v>
      </c>
    </row>
    <row r="2202" spans="1:7" x14ac:dyDescent="0.35">
      <c r="A2202" t="s">
        <v>847</v>
      </c>
      <c r="B2202" t="s">
        <v>680</v>
      </c>
      <c r="C2202" s="83">
        <v>46067</v>
      </c>
      <c r="D2202" t="s">
        <v>690</v>
      </c>
      <c r="E2202" t="s">
        <v>321</v>
      </c>
      <c r="F2202">
        <v>13</v>
      </c>
      <c r="G2202">
        <v>5.67681666666667</v>
      </c>
    </row>
    <row r="2203" spans="1:7" x14ac:dyDescent="0.35">
      <c r="A2203" t="s">
        <v>847</v>
      </c>
      <c r="B2203" t="s">
        <v>680</v>
      </c>
      <c r="C2203" s="83">
        <v>46067</v>
      </c>
      <c r="D2203" t="s">
        <v>690</v>
      </c>
      <c r="E2203" t="s">
        <v>311</v>
      </c>
      <c r="F2203">
        <v>9</v>
      </c>
      <c r="G2203">
        <v>2.84283333333333</v>
      </c>
    </row>
    <row r="2204" spans="1:7" x14ac:dyDescent="0.35">
      <c r="A2204" t="s">
        <v>847</v>
      </c>
      <c r="B2204" t="s">
        <v>680</v>
      </c>
      <c r="C2204" s="83">
        <v>46067</v>
      </c>
      <c r="D2204" t="s">
        <v>690</v>
      </c>
      <c r="E2204" t="s">
        <v>734</v>
      </c>
      <c r="F2204">
        <v>3</v>
      </c>
      <c r="G2204">
        <v>0.833666666666667</v>
      </c>
    </row>
    <row r="2205" spans="1:7" x14ac:dyDescent="0.35">
      <c r="A2205" t="s">
        <v>847</v>
      </c>
      <c r="B2205" t="s">
        <v>680</v>
      </c>
      <c r="C2205" s="83">
        <v>46067</v>
      </c>
      <c r="D2205" t="s">
        <v>685</v>
      </c>
      <c r="E2205" t="s">
        <v>312</v>
      </c>
      <c r="F2205">
        <v>3</v>
      </c>
      <c r="G2205">
        <v>0.83925000000000005</v>
      </c>
    </row>
    <row r="2206" spans="1:7" x14ac:dyDescent="0.35">
      <c r="A2206" t="s">
        <v>847</v>
      </c>
      <c r="B2206" t="s">
        <v>680</v>
      </c>
      <c r="C2206" s="83">
        <v>46067</v>
      </c>
      <c r="D2206" t="s">
        <v>685</v>
      </c>
      <c r="E2206" t="s">
        <v>725</v>
      </c>
      <c r="F2206">
        <v>2</v>
      </c>
      <c r="G2206">
        <v>0.56850000000000001</v>
      </c>
    </row>
    <row r="2207" spans="1:7" x14ac:dyDescent="0.35">
      <c r="A2207" t="s">
        <v>847</v>
      </c>
      <c r="B2207" t="s">
        <v>680</v>
      </c>
      <c r="C2207" s="83">
        <v>46067</v>
      </c>
      <c r="D2207" t="s">
        <v>685</v>
      </c>
      <c r="E2207" t="s">
        <v>720</v>
      </c>
      <c r="F2207">
        <v>2</v>
      </c>
      <c r="G2207">
        <v>2.33401666666667</v>
      </c>
    </row>
    <row r="2208" spans="1:7" x14ac:dyDescent="0.35">
      <c r="A2208" t="s">
        <v>847</v>
      </c>
      <c r="B2208" t="s">
        <v>680</v>
      </c>
      <c r="C2208" s="83">
        <v>46068</v>
      </c>
      <c r="D2208" t="s">
        <v>681</v>
      </c>
      <c r="E2208" t="s">
        <v>728</v>
      </c>
      <c r="F2208">
        <v>20</v>
      </c>
      <c r="G2208">
        <v>6.8320499999999997</v>
      </c>
    </row>
    <row r="2209" spans="1:7" x14ac:dyDescent="0.35">
      <c r="A2209" t="s">
        <v>847</v>
      </c>
      <c r="B2209" t="s">
        <v>680</v>
      </c>
      <c r="C2209" s="83">
        <v>46068</v>
      </c>
      <c r="D2209" t="s">
        <v>681</v>
      </c>
      <c r="E2209" t="s">
        <v>298</v>
      </c>
      <c r="F2209">
        <v>17</v>
      </c>
      <c r="G2209">
        <v>20.481200000000001</v>
      </c>
    </row>
    <row r="2210" spans="1:7" x14ac:dyDescent="0.35">
      <c r="A2210" t="s">
        <v>847</v>
      </c>
      <c r="B2210" t="s">
        <v>680</v>
      </c>
      <c r="C2210" s="83">
        <v>46068</v>
      </c>
      <c r="D2210" t="s">
        <v>681</v>
      </c>
      <c r="E2210" t="s">
        <v>297</v>
      </c>
      <c r="F2210">
        <v>16</v>
      </c>
      <c r="G2210">
        <v>7.0173833333333304</v>
      </c>
    </row>
    <row r="2211" spans="1:7" x14ac:dyDescent="0.35">
      <c r="A2211" t="s">
        <v>847</v>
      </c>
      <c r="B2211" t="s">
        <v>680</v>
      </c>
      <c r="C2211" s="83">
        <v>46068</v>
      </c>
      <c r="D2211" t="s">
        <v>683</v>
      </c>
      <c r="E2211" t="s">
        <v>730</v>
      </c>
      <c r="F2211">
        <v>16</v>
      </c>
      <c r="G2211">
        <v>6.8297833333333298</v>
      </c>
    </row>
    <row r="2212" spans="1:7" x14ac:dyDescent="0.35">
      <c r="A2212" t="s">
        <v>847</v>
      </c>
      <c r="B2212" t="s">
        <v>680</v>
      </c>
      <c r="C2212" s="83">
        <v>46068</v>
      </c>
      <c r="D2212" t="s">
        <v>683</v>
      </c>
      <c r="E2212" t="s">
        <v>298</v>
      </c>
      <c r="F2212">
        <v>11</v>
      </c>
      <c r="G2212">
        <v>6.6700999999999997</v>
      </c>
    </row>
    <row r="2213" spans="1:7" x14ac:dyDescent="0.35">
      <c r="A2213" t="s">
        <v>847</v>
      </c>
      <c r="B2213" t="s">
        <v>680</v>
      </c>
      <c r="C2213" s="83">
        <v>46068</v>
      </c>
      <c r="D2213" t="s">
        <v>683</v>
      </c>
      <c r="E2213" t="s">
        <v>727</v>
      </c>
      <c r="F2213">
        <v>6</v>
      </c>
      <c r="G2213">
        <v>3.5086499999999998</v>
      </c>
    </row>
    <row r="2214" spans="1:7" x14ac:dyDescent="0.35">
      <c r="A2214" t="s">
        <v>847</v>
      </c>
      <c r="B2214" t="s">
        <v>680</v>
      </c>
      <c r="C2214" s="83">
        <v>46068</v>
      </c>
      <c r="D2214" t="s">
        <v>689</v>
      </c>
      <c r="E2214" t="s">
        <v>298</v>
      </c>
      <c r="F2214">
        <v>26</v>
      </c>
      <c r="G2214">
        <v>14.6748333333333</v>
      </c>
    </row>
    <row r="2215" spans="1:7" x14ac:dyDescent="0.35">
      <c r="A2215" t="s">
        <v>847</v>
      </c>
      <c r="B2215" t="s">
        <v>680</v>
      </c>
      <c r="C2215" s="83">
        <v>46068</v>
      </c>
      <c r="D2215" t="s">
        <v>689</v>
      </c>
      <c r="E2215" t="s">
        <v>297</v>
      </c>
      <c r="F2215">
        <v>7</v>
      </c>
      <c r="G2215">
        <v>5.14171666666667</v>
      </c>
    </row>
    <row r="2216" spans="1:7" x14ac:dyDescent="0.35">
      <c r="A2216" t="s">
        <v>847</v>
      </c>
      <c r="B2216" t="s">
        <v>680</v>
      </c>
      <c r="C2216" s="83">
        <v>46068</v>
      </c>
      <c r="D2216" t="s">
        <v>689</v>
      </c>
      <c r="E2216" t="s">
        <v>296</v>
      </c>
      <c r="F2216">
        <v>7</v>
      </c>
      <c r="G2216">
        <v>8.1853999999999996</v>
      </c>
    </row>
    <row r="2217" spans="1:7" x14ac:dyDescent="0.35">
      <c r="A2217" t="s">
        <v>847</v>
      </c>
      <c r="B2217" t="s">
        <v>680</v>
      </c>
      <c r="C2217" s="83">
        <v>46068</v>
      </c>
      <c r="D2217" t="s">
        <v>684</v>
      </c>
      <c r="E2217" t="s">
        <v>298</v>
      </c>
      <c r="F2217">
        <v>5</v>
      </c>
      <c r="G2217">
        <v>1.65831666666667</v>
      </c>
    </row>
    <row r="2218" spans="1:7" x14ac:dyDescent="0.35">
      <c r="A2218" t="s">
        <v>847</v>
      </c>
      <c r="B2218" t="s">
        <v>680</v>
      </c>
      <c r="C2218" s="83">
        <v>46068</v>
      </c>
      <c r="D2218" t="s">
        <v>684</v>
      </c>
      <c r="E2218" t="s">
        <v>334</v>
      </c>
      <c r="F2218">
        <v>2</v>
      </c>
      <c r="G2218">
        <v>1.00065</v>
      </c>
    </row>
    <row r="2219" spans="1:7" x14ac:dyDescent="0.35">
      <c r="A2219" t="s">
        <v>847</v>
      </c>
      <c r="B2219" t="s">
        <v>680</v>
      </c>
      <c r="C2219" s="83">
        <v>46068</v>
      </c>
      <c r="D2219" t="s">
        <v>684</v>
      </c>
      <c r="E2219" t="s">
        <v>296</v>
      </c>
      <c r="F2219">
        <v>2</v>
      </c>
      <c r="G2219">
        <v>0.16666666666666699</v>
      </c>
    </row>
    <row r="2220" spans="1:7" x14ac:dyDescent="0.35">
      <c r="A2220" t="s">
        <v>847</v>
      </c>
      <c r="B2220" t="s">
        <v>680</v>
      </c>
      <c r="C2220" s="83">
        <v>46068</v>
      </c>
      <c r="D2220" t="s">
        <v>687</v>
      </c>
      <c r="E2220" t="s">
        <v>718</v>
      </c>
      <c r="F2220">
        <v>4</v>
      </c>
      <c r="G2220">
        <v>2.5015666666666698</v>
      </c>
    </row>
    <row r="2221" spans="1:7" x14ac:dyDescent="0.35">
      <c r="A2221" t="s">
        <v>847</v>
      </c>
      <c r="B2221" t="s">
        <v>680</v>
      </c>
      <c r="C2221" s="83">
        <v>46068</v>
      </c>
      <c r="D2221" t="s">
        <v>687</v>
      </c>
      <c r="E2221" t="s">
        <v>717</v>
      </c>
      <c r="F2221">
        <v>4</v>
      </c>
      <c r="G2221">
        <v>17.341100000000001</v>
      </c>
    </row>
    <row r="2222" spans="1:7" x14ac:dyDescent="0.35">
      <c r="A2222" t="s">
        <v>847</v>
      </c>
      <c r="B2222" t="s">
        <v>680</v>
      </c>
      <c r="C2222" s="83">
        <v>46068</v>
      </c>
      <c r="D2222" t="s">
        <v>687</v>
      </c>
      <c r="E2222" t="s">
        <v>733</v>
      </c>
      <c r="F2222">
        <v>2</v>
      </c>
      <c r="G2222">
        <v>0.66639999999999999</v>
      </c>
    </row>
    <row r="2223" spans="1:7" x14ac:dyDescent="0.35">
      <c r="A2223" t="s">
        <v>847</v>
      </c>
      <c r="B2223" t="s">
        <v>680</v>
      </c>
      <c r="C2223" s="83">
        <v>46068</v>
      </c>
      <c r="D2223" t="s">
        <v>688</v>
      </c>
      <c r="E2223" t="s">
        <v>311</v>
      </c>
      <c r="F2223">
        <v>12</v>
      </c>
      <c r="G2223">
        <v>3.8350666666666702</v>
      </c>
    </row>
    <row r="2224" spans="1:7" x14ac:dyDescent="0.35">
      <c r="A2224" t="s">
        <v>847</v>
      </c>
      <c r="B2224" t="s">
        <v>680</v>
      </c>
      <c r="C2224" s="83">
        <v>46068</v>
      </c>
      <c r="D2224" t="s">
        <v>688</v>
      </c>
      <c r="E2224" t="s">
        <v>312</v>
      </c>
      <c r="F2224">
        <v>9</v>
      </c>
      <c r="G2224">
        <v>2.3216000000000001</v>
      </c>
    </row>
    <row r="2225" spans="1:7" x14ac:dyDescent="0.35">
      <c r="A2225" t="s">
        <v>847</v>
      </c>
      <c r="B2225" t="s">
        <v>680</v>
      </c>
      <c r="C2225" s="83">
        <v>46068</v>
      </c>
      <c r="D2225" t="s">
        <v>688</v>
      </c>
      <c r="E2225" t="s">
        <v>739</v>
      </c>
      <c r="F2225">
        <v>7</v>
      </c>
      <c r="G2225">
        <v>15.5009</v>
      </c>
    </row>
    <row r="2226" spans="1:7" x14ac:dyDescent="0.35">
      <c r="A2226" t="s">
        <v>847</v>
      </c>
      <c r="B2226" t="s">
        <v>680</v>
      </c>
      <c r="C2226" s="83">
        <v>46068</v>
      </c>
      <c r="D2226" t="s">
        <v>690</v>
      </c>
      <c r="E2226" t="s">
        <v>321</v>
      </c>
      <c r="F2226">
        <v>5</v>
      </c>
      <c r="G2226">
        <v>1.8402333333333301</v>
      </c>
    </row>
    <row r="2227" spans="1:7" x14ac:dyDescent="0.35">
      <c r="A2227" t="s">
        <v>847</v>
      </c>
      <c r="B2227" t="s">
        <v>680</v>
      </c>
      <c r="C2227" s="83">
        <v>46068</v>
      </c>
      <c r="D2227" t="s">
        <v>690</v>
      </c>
      <c r="E2227" t="s">
        <v>311</v>
      </c>
      <c r="F2227">
        <v>5</v>
      </c>
      <c r="G2227">
        <v>4.5077333333333298</v>
      </c>
    </row>
    <row r="2228" spans="1:7" x14ac:dyDescent="0.35">
      <c r="A2228" t="s">
        <v>847</v>
      </c>
      <c r="B2228" t="s">
        <v>680</v>
      </c>
      <c r="C2228" s="83">
        <v>46068</v>
      </c>
      <c r="D2228" t="s">
        <v>690</v>
      </c>
      <c r="E2228" t="s">
        <v>316</v>
      </c>
      <c r="F2228">
        <v>2</v>
      </c>
      <c r="G2228">
        <v>0.50066666666666704</v>
      </c>
    </row>
    <row r="2229" spans="1:7" x14ac:dyDescent="0.35">
      <c r="A2229" t="s">
        <v>847</v>
      </c>
      <c r="B2229" t="s">
        <v>680</v>
      </c>
      <c r="C2229" s="83">
        <v>46068</v>
      </c>
      <c r="D2229" t="s">
        <v>685</v>
      </c>
      <c r="E2229" t="s">
        <v>720</v>
      </c>
      <c r="F2229">
        <v>4</v>
      </c>
      <c r="G2229">
        <v>2.9928499999999998</v>
      </c>
    </row>
    <row r="2230" spans="1:7" x14ac:dyDescent="0.35">
      <c r="A2230" t="s">
        <v>847</v>
      </c>
      <c r="B2230" t="s">
        <v>680</v>
      </c>
      <c r="C2230" s="83">
        <v>46068</v>
      </c>
      <c r="D2230" t="s">
        <v>685</v>
      </c>
      <c r="E2230" t="s">
        <v>741</v>
      </c>
      <c r="F2230">
        <v>2</v>
      </c>
      <c r="G2230">
        <v>1.9987999999999999</v>
      </c>
    </row>
    <row r="2231" spans="1:7" x14ac:dyDescent="0.35">
      <c r="A2231" t="s">
        <v>847</v>
      </c>
      <c r="B2231" t="s">
        <v>680</v>
      </c>
      <c r="C2231" s="83">
        <v>46068</v>
      </c>
      <c r="D2231" t="s">
        <v>685</v>
      </c>
      <c r="E2231" t="s">
        <v>312</v>
      </c>
      <c r="F2231">
        <v>2</v>
      </c>
      <c r="G2231">
        <v>1.83453333333333</v>
      </c>
    </row>
    <row r="2232" spans="1:7" x14ac:dyDescent="0.35">
      <c r="A2232" t="s">
        <v>847</v>
      </c>
      <c r="B2232" t="s">
        <v>680</v>
      </c>
      <c r="C2232" s="83">
        <v>46069</v>
      </c>
      <c r="D2232" t="s">
        <v>681</v>
      </c>
      <c r="E2232" t="s">
        <v>728</v>
      </c>
      <c r="F2232">
        <v>13</v>
      </c>
      <c r="G2232">
        <v>7.3331666666666697</v>
      </c>
    </row>
    <row r="2233" spans="1:7" x14ac:dyDescent="0.35">
      <c r="A2233" t="s">
        <v>847</v>
      </c>
      <c r="B2233" t="s">
        <v>680</v>
      </c>
      <c r="C2233" s="83">
        <v>46069</v>
      </c>
      <c r="D2233" t="s">
        <v>681</v>
      </c>
      <c r="E2233" t="s">
        <v>297</v>
      </c>
      <c r="F2233">
        <v>12</v>
      </c>
      <c r="G2233">
        <v>6.3343999999999996</v>
      </c>
    </row>
    <row r="2234" spans="1:7" x14ac:dyDescent="0.35">
      <c r="A2234" t="s">
        <v>847</v>
      </c>
      <c r="B2234" t="s">
        <v>680</v>
      </c>
      <c r="C2234" s="83">
        <v>46069</v>
      </c>
      <c r="D2234" t="s">
        <v>681</v>
      </c>
      <c r="E2234" t="s">
        <v>298</v>
      </c>
      <c r="F2234">
        <v>10</v>
      </c>
      <c r="G2234">
        <v>13.002283333333301</v>
      </c>
    </row>
    <row r="2235" spans="1:7" x14ac:dyDescent="0.35">
      <c r="A2235" t="s">
        <v>847</v>
      </c>
      <c r="B2235" t="s">
        <v>680</v>
      </c>
      <c r="C2235" s="83">
        <v>46069</v>
      </c>
      <c r="D2235" t="s">
        <v>683</v>
      </c>
      <c r="E2235" t="s">
        <v>730</v>
      </c>
      <c r="F2235">
        <v>18</v>
      </c>
      <c r="G2235">
        <v>15.1536333333333</v>
      </c>
    </row>
    <row r="2236" spans="1:7" x14ac:dyDescent="0.35">
      <c r="A2236" t="s">
        <v>847</v>
      </c>
      <c r="B2236" t="s">
        <v>680</v>
      </c>
      <c r="C2236" s="83">
        <v>46069</v>
      </c>
      <c r="D2236" t="s">
        <v>683</v>
      </c>
      <c r="E2236" t="s">
        <v>298</v>
      </c>
      <c r="F2236">
        <v>16</v>
      </c>
      <c r="G2236">
        <v>20.6587666666667</v>
      </c>
    </row>
    <row r="2237" spans="1:7" x14ac:dyDescent="0.35">
      <c r="A2237" t="s">
        <v>847</v>
      </c>
      <c r="B2237" t="s">
        <v>680</v>
      </c>
      <c r="C2237" s="83">
        <v>46069</v>
      </c>
      <c r="D2237" t="s">
        <v>683</v>
      </c>
      <c r="E2237" t="s">
        <v>296</v>
      </c>
      <c r="F2237">
        <v>6</v>
      </c>
      <c r="G2237">
        <v>2.3406333333333298</v>
      </c>
    </row>
    <row r="2238" spans="1:7" x14ac:dyDescent="0.35">
      <c r="A2238" t="s">
        <v>847</v>
      </c>
      <c r="B2238" t="s">
        <v>680</v>
      </c>
      <c r="C2238" s="83">
        <v>46069</v>
      </c>
      <c r="D2238" t="s">
        <v>689</v>
      </c>
      <c r="E2238" t="s">
        <v>298</v>
      </c>
      <c r="F2238">
        <v>25</v>
      </c>
      <c r="G2238">
        <v>23.359483333333301</v>
      </c>
    </row>
    <row r="2239" spans="1:7" x14ac:dyDescent="0.35">
      <c r="A2239" t="s">
        <v>847</v>
      </c>
      <c r="B2239" t="s">
        <v>680</v>
      </c>
      <c r="C2239" s="83">
        <v>46069</v>
      </c>
      <c r="D2239" t="s">
        <v>689</v>
      </c>
      <c r="E2239" t="s">
        <v>297</v>
      </c>
      <c r="F2239">
        <v>13</v>
      </c>
      <c r="G2239">
        <v>9.9800166666666694</v>
      </c>
    </row>
    <row r="2240" spans="1:7" x14ac:dyDescent="0.35">
      <c r="A2240" t="s">
        <v>847</v>
      </c>
      <c r="B2240" t="s">
        <v>680</v>
      </c>
      <c r="C2240" s="83">
        <v>46069</v>
      </c>
      <c r="D2240" t="s">
        <v>689</v>
      </c>
      <c r="E2240" t="s">
        <v>300</v>
      </c>
      <c r="F2240">
        <v>7</v>
      </c>
      <c r="G2240">
        <v>4.1657500000000001</v>
      </c>
    </row>
    <row r="2241" spans="1:7" x14ac:dyDescent="0.35">
      <c r="A2241" t="s">
        <v>847</v>
      </c>
      <c r="B2241" t="s">
        <v>680</v>
      </c>
      <c r="C2241" s="83">
        <v>46069</v>
      </c>
      <c r="D2241" t="s">
        <v>684</v>
      </c>
      <c r="E2241" t="s">
        <v>298</v>
      </c>
      <c r="F2241">
        <v>4</v>
      </c>
      <c r="G2241">
        <v>7.3259166666666697</v>
      </c>
    </row>
    <row r="2242" spans="1:7" x14ac:dyDescent="0.35">
      <c r="A2242" t="s">
        <v>847</v>
      </c>
      <c r="B2242" t="s">
        <v>680</v>
      </c>
      <c r="C2242" s="83">
        <v>46069</v>
      </c>
      <c r="D2242" t="s">
        <v>684</v>
      </c>
      <c r="E2242" t="s">
        <v>300</v>
      </c>
      <c r="F2242">
        <v>2</v>
      </c>
      <c r="G2242">
        <v>0.34028333333333299</v>
      </c>
    </row>
    <row r="2243" spans="1:7" x14ac:dyDescent="0.35">
      <c r="A2243" t="s">
        <v>847</v>
      </c>
      <c r="B2243" t="s">
        <v>680</v>
      </c>
      <c r="C2243" s="83">
        <v>46069</v>
      </c>
      <c r="D2243" t="s">
        <v>684</v>
      </c>
      <c r="E2243" t="s">
        <v>297</v>
      </c>
      <c r="F2243">
        <v>2</v>
      </c>
      <c r="G2243">
        <v>0.16694999999999999</v>
      </c>
    </row>
    <row r="2244" spans="1:7" x14ac:dyDescent="0.35">
      <c r="A2244" t="s">
        <v>847</v>
      </c>
      <c r="B2244" t="s">
        <v>680</v>
      </c>
      <c r="C2244" s="83">
        <v>46069</v>
      </c>
      <c r="D2244" t="s">
        <v>687</v>
      </c>
      <c r="E2244" t="s">
        <v>718</v>
      </c>
      <c r="F2244">
        <v>7</v>
      </c>
      <c r="G2244">
        <v>3.3396333333333299</v>
      </c>
    </row>
    <row r="2245" spans="1:7" x14ac:dyDescent="0.35">
      <c r="A2245" t="s">
        <v>847</v>
      </c>
      <c r="B2245" t="s">
        <v>680</v>
      </c>
      <c r="C2245" s="83">
        <v>46069</v>
      </c>
      <c r="D2245" t="s">
        <v>687</v>
      </c>
      <c r="E2245" t="s">
        <v>726</v>
      </c>
      <c r="F2245">
        <v>4</v>
      </c>
      <c r="G2245">
        <v>4.6709333333333296</v>
      </c>
    </row>
    <row r="2246" spans="1:7" x14ac:dyDescent="0.35">
      <c r="A2246" t="s">
        <v>847</v>
      </c>
      <c r="B2246" t="s">
        <v>680</v>
      </c>
      <c r="C2246" s="83">
        <v>46069</v>
      </c>
      <c r="D2246" t="s">
        <v>687</v>
      </c>
      <c r="E2246" t="s">
        <v>752</v>
      </c>
      <c r="F2246">
        <v>3</v>
      </c>
      <c r="G2246">
        <v>3.00003333333333</v>
      </c>
    </row>
    <row r="2247" spans="1:7" x14ac:dyDescent="0.35">
      <c r="A2247" t="s">
        <v>847</v>
      </c>
      <c r="B2247" t="s">
        <v>680</v>
      </c>
      <c r="C2247" s="83">
        <v>46069</v>
      </c>
      <c r="D2247" t="s">
        <v>688</v>
      </c>
      <c r="E2247" t="s">
        <v>720</v>
      </c>
      <c r="F2247">
        <v>7</v>
      </c>
      <c r="G2247">
        <v>3.6549166666666699</v>
      </c>
    </row>
    <row r="2248" spans="1:7" x14ac:dyDescent="0.35">
      <c r="A2248" t="s">
        <v>847</v>
      </c>
      <c r="B2248" t="s">
        <v>680</v>
      </c>
      <c r="C2248" s="83">
        <v>46069</v>
      </c>
      <c r="D2248" t="s">
        <v>688</v>
      </c>
      <c r="E2248" t="s">
        <v>311</v>
      </c>
      <c r="F2248">
        <v>6</v>
      </c>
      <c r="G2248">
        <v>1.6573</v>
      </c>
    </row>
    <row r="2249" spans="1:7" x14ac:dyDescent="0.35">
      <c r="A2249" t="s">
        <v>847</v>
      </c>
      <c r="B2249" t="s">
        <v>680</v>
      </c>
      <c r="C2249" s="83">
        <v>46069</v>
      </c>
      <c r="D2249" t="s">
        <v>688</v>
      </c>
      <c r="E2249" t="s">
        <v>316</v>
      </c>
      <c r="F2249">
        <v>2</v>
      </c>
      <c r="G2249">
        <v>2.33463333333333</v>
      </c>
    </row>
    <row r="2250" spans="1:7" x14ac:dyDescent="0.35">
      <c r="A2250" t="s">
        <v>847</v>
      </c>
      <c r="B2250" t="s">
        <v>680</v>
      </c>
      <c r="C2250" s="83">
        <v>46069</v>
      </c>
      <c r="D2250" t="s">
        <v>690</v>
      </c>
      <c r="E2250" t="s">
        <v>720</v>
      </c>
      <c r="F2250">
        <v>3</v>
      </c>
      <c r="G2250">
        <v>1.9998</v>
      </c>
    </row>
    <row r="2251" spans="1:7" x14ac:dyDescent="0.35">
      <c r="A2251" t="s">
        <v>847</v>
      </c>
      <c r="B2251" t="s">
        <v>680</v>
      </c>
      <c r="C2251" s="83">
        <v>46069</v>
      </c>
      <c r="D2251" t="s">
        <v>690</v>
      </c>
      <c r="E2251" t="s">
        <v>724</v>
      </c>
      <c r="F2251">
        <v>2</v>
      </c>
      <c r="G2251">
        <v>2.8339166666666702</v>
      </c>
    </row>
    <row r="2252" spans="1:7" x14ac:dyDescent="0.35">
      <c r="A2252" t="s">
        <v>847</v>
      </c>
      <c r="B2252" t="s">
        <v>680</v>
      </c>
      <c r="C2252" s="83">
        <v>46069</v>
      </c>
      <c r="D2252" t="s">
        <v>690</v>
      </c>
      <c r="E2252" t="s">
        <v>732</v>
      </c>
      <c r="F2252">
        <v>2</v>
      </c>
      <c r="G2252">
        <v>1.3328500000000001</v>
      </c>
    </row>
    <row r="2253" spans="1:7" x14ac:dyDescent="0.35">
      <c r="A2253" t="s">
        <v>847</v>
      </c>
      <c r="B2253" t="s">
        <v>680</v>
      </c>
      <c r="C2253" s="83">
        <v>46069</v>
      </c>
      <c r="D2253" t="s">
        <v>685</v>
      </c>
      <c r="E2253" t="s">
        <v>311</v>
      </c>
      <c r="F2253">
        <v>4</v>
      </c>
      <c r="G2253">
        <v>3.83321666666667</v>
      </c>
    </row>
    <row r="2254" spans="1:7" x14ac:dyDescent="0.35">
      <c r="A2254" t="s">
        <v>847</v>
      </c>
      <c r="B2254" t="s">
        <v>680</v>
      </c>
      <c r="C2254" s="83">
        <v>46069</v>
      </c>
      <c r="D2254" t="s">
        <v>685</v>
      </c>
      <c r="E2254" t="s">
        <v>316</v>
      </c>
      <c r="F2254">
        <v>3</v>
      </c>
      <c r="G2254">
        <v>1.3384499999999999</v>
      </c>
    </row>
    <row r="2255" spans="1:7" x14ac:dyDescent="0.35">
      <c r="A2255" t="s">
        <v>847</v>
      </c>
      <c r="B2255" t="s">
        <v>680</v>
      </c>
      <c r="C2255" s="83">
        <v>46069</v>
      </c>
      <c r="D2255" t="s">
        <v>685</v>
      </c>
      <c r="E2255" t="s">
        <v>312</v>
      </c>
      <c r="F2255">
        <v>3</v>
      </c>
      <c r="G2255">
        <v>2.49068333333333</v>
      </c>
    </row>
    <row r="2256" spans="1:7" x14ac:dyDescent="0.35">
      <c r="A2256" t="s">
        <v>847</v>
      </c>
      <c r="B2256" t="s">
        <v>680</v>
      </c>
      <c r="C2256" s="83">
        <v>46070</v>
      </c>
      <c r="D2256" t="s">
        <v>681</v>
      </c>
      <c r="E2256" t="s">
        <v>296</v>
      </c>
      <c r="F2256">
        <v>20</v>
      </c>
      <c r="G2256">
        <v>7.4751166666666604</v>
      </c>
    </row>
    <row r="2257" spans="1:7" x14ac:dyDescent="0.35">
      <c r="A2257" t="s">
        <v>847</v>
      </c>
      <c r="B2257" t="s">
        <v>680</v>
      </c>
      <c r="C2257" s="83">
        <v>46070</v>
      </c>
      <c r="D2257" t="s">
        <v>681</v>
      </c>
      <c r="E2257" t="s">
        <v>298</v>
      </c>
      <c r="F2257">
        <v>16</v>
      </c>
      <c r="G2257">
        <v>41.838250000000002</v>
      </c>
    </row>
    <row r="2258" spans="1:7" x14ac:dyDescent="0.35">
      <c r="A2258" t="s">
        <v>847</v>
      </c>
      <c r="B2258" t="s">
        <v>680</v>
      </c>
      <c r="C2258" s="83">
        <v>46070</v>
      </c>
      <c r="D2258" t="s">
        <v>681</v>
      </c>
      <c r="E2258" t="s">
        <v>297</v>
      </c>
      <c r="F2258">
        <v>7</v>
      </c>
      <c r="G2258">
        <v>2.0081333333333302</v>
      </c>
    </row>
    <row r="2259" spans="1:7" x14ac:dyDescent="0.35">
      <c r="A2259" t="s">
        <v>847</v>
      </c>
      <c r="B2259" t="s">
        <v>680</v>
      </c>
      <c r="C2259" s="83">
        <v>46070</v>
      </c>
      <c r="D2259" t="s">
        <v>683</v>
      </c>
      <c r="E2259" t="s">
        <v>298</v>
      </c>
      <c r="F2259">
        <v>21</v>
      </c>
      <c r="G2259">
        <v>26.630483333333299</v>
      </c>
    </row>
    <row r="2260" spans="1:7" x14ac:dyDescent="0.35">
      <c r="A2260" t="s">
        <v>847</v>
      </c>
      <c r="B2260" t="s">
        <v>680</v>
      </c>
      <c r="C2260" s="83">
        <v>46070</v>
      </c>
      <c r="D2260" t="s">
        <v>683</v>
      </c>
      <c r="E2260" t="s">
        <v>334</v>
      </c>
      <c r="F2260">
        <v>8</v>
      </c>
      <c r="G2260">
        <v>4.32086666666667</v>
      </c>
    </row>
    <row r="2261" spans="1:7" x14ac:dyDescent="0.35">
      <c r="A2261" t="s">
        <v>847</v>
      </c>
      <c r="B2261" t="s">
        <v>680</v>
      </c>
      <c r="C2261" s="83">
        <v>46070</v>
      </c>
      <c r="D2261" t="s">
        <v>683</v>
      </c>
      <c r="E2261" t="s">
        <v>750</v>
      </c>
      <c r="F2261">
        <v>8</v>
      </c>
      <c r="G2261">
        <v>16.84375</v>
      </c>
    </row>
    <row r="2262" spans="1:7" x14ac:dyDescent="0.35">
      <c r="A2262" t="s">
        <v>847</v>
      </c>
      <c r="B2262" t="s">
        <v>680</v>
      </c>
      <c r="C2262" s="83">
        <v>46070</v>
      </c>
      <c r="D2262" t="s">
        <v>689</v>
      </c>
      <c r="E2262" t="s">
        <v>297</v>
      </c>
      <c r="F2262">
        <v>33</v>
      </c>
      <c r="G2262">
        <v>28.498249999999999</v>
      </c>
    </row>
    <row r="2263" spans="1:7" x14ac:dyDescent="0.35">
      <c r="A2263" t="s">
        <v>847</v>
      </c>
      <c r="B2263" t="s">
        <v>680</v>
      </c>
      <c r="C2263" s="83">
        <v>46070</v>
      </c>
      <c r="D2263" t="s">
        <v>689</v>
      </c>
      <c r="E2263" t="s">
        <v>298</v>
      </c>
      <c r="F2263">
        <v>20</v>
      </c>
      <c r="G2263">
        <v>31.515166666666701</v>
      </c>
    </row>
    <row r="2264" spans="1:7" x14ac:dyDescent="0.35">
      <c r="A2264" t="s">
        <v>847</v>
      </c>
      <c r="B2264" t="s">
        <v>680</v>
      </c>
      <c r="C2264" s="83">
        <v>46070</v>
      </c>
      <c r="D2264" t="s">
        <v>689</v>
      </c>
      <c r="E2264" t="s">
        <v>334</v>
      </c>
      <c r="F2264">
        <v>11</v>
      </c>
      <c r="G2264">
        <v>15.488049999999999</v>
      </c>
    </row>
    <row r="2265" spans="1:7" x14ac:dyDescent="0.35">
      <c r="A2265" t="s">
        <v>847</v>
      </c>
      <c r="B2265" t="s">
        <v>680</v>
      </c>
      <c r="C2265" s="83">
        <v>46070</v>
      </c>
      <c r="D2265" t="s">
        <v>684</v>
      </c>
      <c r="E2265" t="s">
        <v>298</v>
      </c>
      <c r="F2265">
        <v>6</v>
      </c>
      <c r="G2265">
        <v>3.5005000000000002</v>
      </c>
    </row>
    <row r="2266" spans="1:7" x14ac:dyDescent="0.35">
      <c r="A2266" t="s">
        <v>847</v>
      </c>
      <c r="B2266" t="s">
        <v>680</v>
      </c>
      <c r="C2266" s="83">
        <v>46070</v>
      </c>
      <c r="D2266" t="s">
        <v>684</v>
      </c>
      <c r="E2266" t="s">
        <v>334</v>
      </c>
      <c r="F2266">
        <v>3</v>
      </c>
      <c r="G2266">
        <v>1.8286500000000001</v>
      </c>
    </row>
    <row r="2267" spans="1:7" x14ac:dyDescent="0.35">
      <c r="A2267" t="s">
        <v>847</v>
      </c>
      <c r="B2267" t="s">
        <v>680</v>
      </c>
      <c r="C2267" s="83">
        <v>46070</v>
      </c>
      <c r="D2267" t="s">
        <v>684</v>
      </c>
      <c r="E2267" t="s">
        <v>736</v>
      </c>
      <c r="F2267">
        <v>2</v>
      </c>
      <c r="G2267">
        <v>1.99986666666667</v>
      </c>
    </row>
    <row r="2268" spans="1:7" x14ac:dyDescent="0.35">
      <c r="A2268" t="s">
        <v>847</v>
      </c>
      <c r="B2268" t="s">
        <v>680</v>
      </c>
      <c r="C2268" s="83">
        <v>46070</v>
      </c>
      <c r="D2268" t="s">
        <v>687</v>
      </c>
      <c r="E2268" t="s">
        <v>718</v>
      </c>
      <c r="F2268">
        <v>13</v>
      </c>
      <c r="G2268">
        <v>38.616666666666703</v>
      </c>
    </row>
    <row r="2269" spans="1:7" x14ac:dyDescent="0.35">
      <c r="A2269" t="s">
        <v>847</v>
      </c>
      <c r="B2269" t="s">
        <v>680</v>
      </c>
      <c r="C2269" s="83">
        <v>46070</v>
      </c>
      <c r="D2269" t="s">
        <v>687</v>
      </c>
      <c r="E2269" t="s">
        <v>726</v>
      </c>
      <c r="F2269">
        <v>11</v>
      </c>
      <c r="G2269">
        <v>19.158100000000001</v>
      </c>
    </row>
    <row r="2270" spans="1:7" x14ac:dyDescent="0.35">
      <c r="A2270" t="s">
        <v>847</v>
      </c>
      <c r="B2270" t="s">
        <v>680</v>
      </c>
      <c r="C2270" s="83">
        <v>46070</v>
      </c>
      <c r="D2270" t="s">
        <v>687</v>
      </c>
      <c r="E2270" t="s">
        <v>717</v>
      </c>
      <c r="F2270">
        <v>10</v>
      </c>
      <c r="G2270">
        <v>7.1611333333333302</v>
      </c>
    </row>
    <row r="2271" spans="1:7" x14ac:dyDescent="0.35">
      <c r="A2271" t="s">
        <v>847</v>
      </c>
      <c r="B2271" t="s">
        <v>680</v>
      </c>
      <c r="C2271" s="83">
        <v>46070</v>
      </c>
      <c r="D2271" t="s">
        <v>688</v>
      </c>
      <c r="E2271" t="s">
        <v>311</v>
      </c>
      <c r="F2271">
        <v>14</v>
      </c>
      <c r="G2271">
        <v>9.3306333333333296</v>
      </c>
    </row>
    <row r="2272" spans="1:7" x14ac:dyDescent="0.35">
      <c r="A2272" t="s">
        <v>847</v>
      </c>
      <c r="B2272" t="s">
        <v>680</v>
      </c>
      <c r="C2272" s="83">
        <v>46070</v>
      </c>
      <c r="D2272" t="s">
        <v>688</v>
      </c>
      <c r="E2272" t="s">
        <v>338</v>
      </c>
      <c r="F2272">
        <v>12</v>
      </c>
      <c r="G2272">
        <v>9.0070999999999994</v>
      </c>
    </row>
    <row r="2273" spans="1:7" x14ac:dyDescent="0.35">
      <c r="A2273" t="s">
        <v>847</v>
      </c>
      <c r="B2273" t="s">
        <v>680</v>
      </c>
      <c r="C2273" s="83">
        <v>46070</v>
      </c>
      <c r="D2273" t="s">
        <v>688</v>
      </c>
      <c r="E2273" t="s">
        <v>321</v>
      </c>
      <c r="F2273">
        <v>9</v>
      </c>
      <c r="G2273">
        <v>3.9922666666666702</v>
      </c>
    </row>
    <row r="2274" spans="1:7" x14ac:dyDescent="0.35">
      <c r="A2274" t="s">
        <v>847</v>
      </c>
      <c r="B2274" t="s">
        <v>680</v>
      </c>
      <c r="C2274" s="83">
        <v>46070</v>
      </c>
      <c r="D2274" t="s">
        <v>690</v>
      </c>
      <c r="E2274" t="s">
        <v>311</v>
      </c>
      <c r="F2274">
        <v>13</v>
      </c>
      <c r="G2274">
        <v>16.6702166666667</v>
      </c>
    </row>
    <row r="2275" spans="1:7" x14ac:dyDescent="0.35">
      <c r="A2275" t="s">
        <v>847</v>
      </c>
      <c r="B2275" t="s">
        <v>680</v>
      </c>
      <c r="C2275" s="83">
        <v>46070</v>
      </c>
      <c r="D2275" t="s">
        <v>690</v>
      </c>
      <c r="E2275" t="s">
        <v>321</v>
      </c>
      <c r="F2275">
        <v>7</v>
      </c>
      <c r="G2275">
        <v>8.1748833333333302</v>
      </c>
    </row>
    <row r="2276" spans="1:7" x14ac:dyDescent="0.35">
      <c r="A2276" t="s">
        <v>847</v>
      </c>
      <c r="B2276" t="s">
        <v>680</v>
      </c>
      <c r="C2276" s="83">
        <v>46070</v>
      </c>
      <c r="D2276" t="s">
        <v>690</v>
      </c>
      <c r="E2276" t="s">
        <v>316</v>
      </c>
      <c r="F2276">
        <v>5</v>
      </c>
      <c r="G2276">
        <v>2.6743666666666699</v>
      </c>
    </row>
    <row r="2277" spans="1:7" x14ac:dyDescent="0.35">
      <c r="A2277" t="s">
        <v>847</v>
      </c>
      <c r="B2277" t="s">
        <v>680</v>
      </c>
      <c r="C2277" s="83">
        <v>46070</v>
      </c>
      <c r="D2277" t="s">
        <v>685</v>
      </c>
      <c r="E2277" t="s">
        <v>720</v>
      </c>
      <c r="F2277">
        <v>6</v>
      </c>
      <c r="G2277">
        <v>9.1721500000000002</v>
      </c>
    </row>
    <row r="2278" spans="1:7" x14ac:dyDescent="0.35">
      <c r="A2278" t="s">
        <v>847</v>
      </c>
      <c r="B2278" t="s">
        <v>680</v>
      </c>
      <c r="C2278" s="83">
        <v>46070</v>
      </c>
      <c r="D2278" t="s">
        <v>685</v>
      </c>
      <c r="E2278" t="s">
        <v>311</v>
      </c>
      <c r="F2278">
        <v>5</v>
      </c>
      <c r="G2278">
        <v>4.34181666666667</v>
      </c>
    </row>
    <row r="2279" spans="1:7" x14ac:dyDescent="0.35">
      <c r="A2279" t="s">
        <v>847</v>
      </c>
      <c r="B2279" t="s">
        <v>680</v>
      </c>
      <c r="C2279" s="83">
        <v>46070</v>
      </c>
      <c r="D2279" t="s">
        <v>685</v>
      </c>
      <c r="E2279" t="s">
        <v>312</v>
      </c>
      <c r="F2279">
        <v>5</v>
      </c>
      <c r="G2279">
        <v>3.50206666666667</v>
      </c>
    </row>
    <row r="2280" spans="1:7" x14ac:dyDescent="0.35">
      <c r="A2280" t="s">
        <v>847</v>
      </c>
      <c r="B2280" t="s">
        <v>680</v>
      </c>
      <c r="C2280" s="83">
        <v>46071</v>
      </c>
      <c r="D2280" t="s">
        <v>681</v>
      </c>
      <c r="E2280" t="s">
        <v>298</v>
      </c>
      <c r="F2280">
        <v>22</v>
      </c>
      <c r="G2280">
        <v>26.493583333333302</v>
      </c>
    </row>
    <row r="2281" spans="1:7" x14ac:dyDescent="0.35">
      <c r="A2281" t="s">
        <v>847</v>
      </c>
      <c r="B2281" t="s">
        <v>680</v>
      </c>
      <c r="C2281" s="83">
        <v>46071</v>
      </c>
      <c r="D2281" t="s">
        <v>681</v>
      </c>
      <c r="E2281" t="s">
        <v>334</v>
      </c>
      <c r="F2281">
        <v>8</v>
      </c>
      <c r="G2281">
        <v>2.1683666666666701</v>
      </c>
    </row>
    <row r="2282" spans="1:7" x14ac:dyDescent="0.35">
      <c r="A2282" t="s">
        <v>847</v>
      </c>
      <c r="B2282" t="s">
        <v>680</v>
      </c>
      <c r="C2282" s="83">
        <v>46071</v>
      </c>
      <c r="D2282" t="s">
        <v>681</v>
      </c>
      <c r="E2282" t="s">
        <v>296</v>
      </c>
      <c r="F2282">
        <v>7</v>
      </c>
      <c r="G2282">
        <v>2.1813833333333301</v>
      </c>
    </row>
    <row r="2283" spans="1:7" x14ac:dyDescent="0.35">
      <c r="A2283" t="s">
        <v>847</v>
      </c>
      <c r="B2283" t="s">
        <v>680</v>
      </c>
      <c r="C2283" s="83">
        <v>46071</v>
      </c>
      <c r="D2283" t="s">
        <v>683</v>
      </c>
      <c r="E2283" t="s">
        <v>749</v>
      </c>
      <c r="F2283">
        <v>20</v>
      </c>
      <c r="G2283">
        <v>17.838083333333302</v>
      </c>
    </row>
    <row r="2284" spans="1:7" x14ac:dyDescent="0.35">
      <c r="A2284" t="s">
        <v>847</v>
      </c>
      <c r="B2284" t="s">
        <v>680</v>
      </c>
      <c r="C2284" s="83">
        <v>46071</v>
      </c>
      <c r="D2284" t="s">
        <v>683</v>
      </c>
      <c r="E2284" t="s">
        <v>296</v>
      </c>
      <c r="F2284">
        <v>17</v>
      </c>
      <c r="G2284">
        <v>5.0177666666666703</v>
      </c>
    </row>
    <row r="2285" spans="1:7" x14ac:dyDescent="0.35">
      <c r="A2285" t="s">
        <v>847</v>
      </c>
      <c r="B2285" t="s">
        <v>680</v>
      </c>
      <c r="C2285" s="83">
        <v>46071</v>
      </c>
      <c r="D2285" t="s">
        <v>683</v>
      </c>
      <c r="E2285" t="s">
        <v>730</v>
      </c>
      <c r="F2285">
        <v>16</v>
      </c>
      <c r="G2285">
        <v>5.8231666666666699</v>
      </c>
    </row>
    <row r="2286" spans="1:7" x14ac:dyDescent="0.35">
      <c r="A2286" t="s">
        <v>847</v>
      </c>
      <c r="B2286" t="s">
        <v>680</v>
      </c>
      <c r="C2286" s="83">
        <v>46071</v>
      </c>
      <c r="D2286" t="s">
        <v>689</v>
      </c>
      <c r="E2286" t="s">
        <v>297</v>
      </c>
      <c r="F2286">
        <v>14</v>
      </c>
      <c r="G2286">
        <v>3.8339500000000002</v>
      </c>
    </row>
    <row r="2287" spans="1:7" x14ac:dyDescent="0.35">
      <c r="A2287" t="s">
        <v>847</v>
      </c>
      <c r="B2287" t="s">
        <v>680</v>
      </c>
      <c r="C2287" s="83">
        <v>46071</v>
      </c>
      <c r="D2287" t="s">
        <v>689</v>
      </c>
      <c r="E2287" t="s">
        <v>298</v>
      </c>
      <c r="F2287">
        <v>12</v>
      </c>
      <c r="G2287">
        <v>9.6637666666666693</v>
      </c>
    </row>
    <row r="2288" spans="1:7" x14ac:dyDescent="0.35">
      <c r="A2288" t="s">
        <v>847</v>
      </c>
      <c r="B2288" t="s">
        <v>680</v>
      </c>
      <c r="C2288" s="83">
        <v>46071</v>
      </c>
      <c r="D2288" t="s">
        <v>689</v>
      </c>
      <c r="E2288" t="s">
        <v>334</v>
      </c>
      <c r="F2288">
        <v>9</v>
      </c>
      <c r="G2288">
        <v>6.8276500000000002</v>
      </c>
    </row>
    <row r="2289" spans="1:7" x14ac:dyDescent="0.35">
      <c r="A2289" t="s">
        <v>847</v>
      </c>
      <c r="B2289" t="s">
        <v>680</v>
      </c>
      <c r="C2289" s="83">
        <v>46071</v>
      </c>
      <c r="D2289" t="s">
        <v>684</v>
      </c>
      <c r="E2289" t="s">
        <v>334</v>
      </c>
      <c r="F2289">
        <v>4</v>
      </c>
      <c r="G2289">
        <v>2.5126333333333299</v>
      </c>
    </row>
    <row r="2290" spans="1:7" x14ac:dyDescent="0.35">
      <c r="A2290" t="s">
        <v>847</v>
      </c>
      <c r="B2290" t="s">
        <v>680</v>
      </c>
      <c r="C2290" s="83">
        <v>46071</v>
      </c>
      <c r="D2290" t="s">
        <v>684</v>
      </c>
      <c r="E2290" t="s">
        <v>298</v>
      </c>
      <c r="F2290">
        <v>4</v>
      </c>
      <c r="G2290">
        <v>0.83386666666666698</v>
      </c>
    </row>
    <row r="2291" spans="1:7" x14ac:dyDescent="0.35">
      <c r="A2291" t="s">
        <v>847</v>
      </c>
      <c r="B2291" t="s">
        <v>680</v>
      </c>
      <c r="C2291" s="83">
        <v>46071</v>
      </c>
      <c r="D2291" t="s">
        <v>684</v>
      </c>
      <c r="E2291" t="s">
        <v>300</v>
      </c>
      <c r="F2291">
        <v>2</v>
      </c>
      <c r="G2291">
        <v>0.66121666666666701</v>
      </c>
    </row>
    <row r="2292" spans="1:7" x14ac:dyDescent="0.35">
      <c r="A2292" t="s">
        <v>847</v>
      </c>
      <c r="B2292" t="s">
        <v>680</v>
      </c>
      <c r="C2292" s="83">
        <v>46071</v>
      </c>
      <c r="D2292" t="s">
        <v>687</v>
      </c>
      <c r="E2292" t="s">
        <v>717</v>
      </c>
      <c r="F2292">
        <v>15</v>
      </c>
      <c r="G2292">
        <v>13.681749999999999</v>
      </c>
    </row>
    <row r="2293" spans="1:7" x14ac:dyDescent="0.35">
      <c r="A2293" t="s">
        <v>847</v>
      </c>
      <c r="B2293" t="s">
        <v>680</v>
      </c>
      <c r="C2293" s="83">
        <v>46071</v>
      </c>
      <c r="D2293" t="s">
        <v>687</v>
      </c>
      <c r="E2293" t="s">
        <v>729</v>
      </c>
      <c r="F2293">
        <v>3</v>
      </c>
      <c r="G2293">
        <v>3.8329833333333299</v>
      </c>
    </row>
    <row r="2294" spans="1:7" x14ac:dyDescent="0.35">
      <c r="A2294" t="s">
        <v>847</v>
      </c>
      <c r="B2294" t="s">
        <v>680</v>
      </c>
      <c r="C2294" s="83">
        <v>46071</v>
      </c>
      <c r="D2294" t="s">
        <v>687</v>
      </c>
      <c r="E2294" t="s">
        <v>718</v>
      </c>
      <c r="F2294">
        <v>2</v>
      </c>
      <c r="G2294">
        <v>0.1671</v>
      </c>
    </row>
    <row r="2295" spans="1:7" x14ac:dyDescent="0.35">
      <c r="A2295" t="s">
        <v>847</v>
      </c>
      <c r="B2295" t="s">
        <v>680</v>
      </c>
      <c r="C2295" s="83">
        <v>46071</v>
      </c>
      <c r="D2295" t="s">
        <v>688</v>
      </c>
      <c r="E2295" t="s">
        <v>338</v>
      </c>
      <c r="F2295">
        <v>45</v>
      </c>
      <c r="G2295">
        <v>70.665133333333301</v>
      </c>
    </row>
    <row r="2296" spans="1:7" x14ac:dyDescent="0.35">
      <c r="A2296" t="s">
        <v>847</v>
      </c>
      <c r="B2296" t="s">
        <v>680</v>
      </c>
      <c r="C2296" s="83">
        <v>46071</v>
      </c>
      <c r="D2296" t="s">
        <v>688</v>
      </c>
      <c r="E2296" t="s">
        <v>720</v>
      </c>
      <c r="F2296">
        <v>8</v>
      </c>
      <c r="G2296">
        <v>3.6523500000000002</v>
      </c>
    </row>
    <row r="2297" spans="1:7" x14ac:dyDescent="0.35">
      <c r="A2297" t="s">
        <v>847</v>
      </c>
      <c r="B2297" t="s">
        <v>680</v>
      </c>
      <c r="C2297" s="83">
        <v>46071</v>
      </c>
      <c r="D2297" t="s">
        <v>688</v>
      </c>
      <c r="E2297" t="s">
        <v>316</v>
      </c>
      <c r="F2297">
        <v>7</v>
      </c>
      <c r="G2297">
        <v>2.3392666666666702</v>
      </c>
    </row>
    <row r="2298" spans="1:7" x14ac:dyDescent="0.35">
      <c r="A2298" t="s">
        <v>847</v>
      </c>
      <c r="B2298" t="s">
        <v>680</v>
      </c>
      <c r="C2298" s="83">
        <v>46071</v>
      </c>
      <c r="D2298" t="s">
        <v>690</v>
      </c>
      <c r="E2298" t="s">
        <v>724</v>
      </c>
      <c r="F2298">
        <v>20</v>
      </c>
      <c r="G2298">
        <v>52.6763166666667</v>
      </c>
    </row>
    <row r="2299" spans="1:7" x14ac:dyDescent="0.35">
      <c r="A2299" t="s">
        <v>847</v>
      </c>
      <c r="B2299" t="s">
        <v>680</v>
      </c>
      <c r="C2299" s="83">
        <v>46071</v>
      </c>
      <c r="D2299" t="s">
        <v>690</v>
      </c>
      <c r="E2299" t="s">
        <v>311</v>
      </c>
      <c r="F2299">
        <v>11</v>
      </c>
      <c r="G2299">
        <v>5.6765666666666696</v>
      </c>
    </row>
    <row r="2300" spans="1:7" x14ac:dyDescent="0.35">
      <c r="A2300" t="s">
        <v>847</v>
      </c>
      <c r="B2300" t="s">
        <v>680</v>
      </c>
      <c r="C2300" s="83">
        <v>46071</v>
      </c>
      <c r="D2300" t="s">
        <v>690</v>
      </c>
      <c r="E2300" t="s">
        <v>720</v>
      </c>
      <c r="F2300">
        <v>11</v>
      </c>
      <c r="G2300">
        <v>9.6736000000000004</v>
      </c>
    </row>
    <row r="2301" spans="1:7" x14ac:dyDescent="0.35">
      <c r="A2301" t="s">
        <v>847</v>
      </c>
      <c r="B2301" t="s">
        <v>680</v>
      </c>
      <c r="C2301" s="83">
        <v>46071</v>
      </c>
      <c r="D2301" t="s">
        <v>685</v>
      </c>
      <c r="E2301" t="s">
        <v>316</v>
      </c>
      <c r="F2301">
        <v>11</v>
      </c>
      <c r="G2301">
        <v>9.3391666666666708</v>
      </c>
    </row>
    <row r="2302" spans="1:7" x14ac:dyDescent="0.35">
      <c r="A2302" t="s">
        <v>847</v>
      </c>
      <c r="B2302" t="s">
        <v>680</v>
      </c>
      <c r="C2302" s="83">
        <v>46071</v>
      </c>
      <c r="D2302" t="s">
        <v>685</v>
      </c>
      <c r="E2302" t="s">
        <v>657</v>
      </c>
      <c r="F2302">
        <v>6</v>
      </c>
      <c r="G2302">
        <v>8.0035500000000006</v>
      </c>
    </row>
    <row r="2303" spans="1:7" x14ac:dyDescent="0.35">
      <c r="A2303" t="s">
        <v>847</v>
      </c>
      <c r="B2303" t="s">
        <v>680</v>
      </c>
      <c r="C2303" s="83">
        <v>46071</v>
      </c>
      <c r="D2303" t="s">
        <v>685</v>
      </c>
      <c r="E2303" t="s">
        <v>720</v>
      </c>
      <c r="F2303">
        <v>6</v>
      </c>
      <c r="G2303">
        <v>4.8181833333333302</v>
      </c>
    </row>
    <row r="2304" spans="1:7" x14ac:dyDescent="0.35">
      <c r="A2304" t="s">
        <v>847</v>
      </c>
      <c r="B2304" t="s">
        <v>680</v>
      </c>
      <c r="C2304" s="83">
        <v>46072</v>
      </c>
      <c r="D2304" t="s">
        <v>681</v>
      </c>
      <c r="E2304" t="s">
        <v>296</v>
      </c>
      <c r="F2304">
        <v>23</v>
      </c>
      <c r="G2304">
        <v>10.964783333333299</v>
      </c>
    </row>
    <row r="2305" spans="1:7" x14ac:dyDescent="0.35">
      <c r="A2305" t="s">
        <v>847</v>
      </c>
      <c r="B2305" t="s">
        <v>680</v>
      </c>
      <c r="C2305" s="83">
        <v>46072</v>
      </c>
      <c r="D2305" t="s">
        <v>681</v>
      </c>
      <c r="E2305" t="s">
        <v>298</v>
      </c>
      <c r="F2305">
        <v>16</v>
      </c>
      <c r="G2305">
        <v>16.506633333333301</v>
      </c>
    </row>
    <row r="2306" spans="1:7" x14ac:dyDescent="0.35">
      <c r="A2306" t="s">
        <v>847</v>
      </c>
      <c r="B2306" t="s">
        <v>680</v>
      </c>
      <c r="C2306" s="83">
        <v>46072</v>
      </c>
      <c r="D2306" t="s">
        <v>681</v>
      </c>
      <c r="E2306" t="s">
        <v>300</v>
      </c>
      <c r="F2306">
        <v>10</v>
      </c>
      <c r="G2306">
        <v>4.3473833333333296</v>
      </c>
    </row>
    <row r="2307" spans="1:7" x14ac:dyDescent="0.35">
      <c r="A2307" t="s">
        <v>847</v>
      </c>
      <c r="B2307" t="s">
        <v>680</v>
      </c>
      <c r="C2307" s="83">
        <v>46072</v>
      </c>
      <c r="D2307" t="s">
        <v>683</v>
      </c>
      <c r="E2307" t="s">
        <v>296</v>
      </c>
      <c r="F2307">
        <v>35</v>
      </c>
      <c r="G2307">
        <v>20.475083333333298</v>
      </c>
    </row>
    <row r="2308" spans="1:7" x14ac:dyDescent="0.35">
      <c r="A2308" t="s">
        <v>847</v>
      </c>
      <c r="B2308" t="s">
        <v>680</v>
      </c>
      <c r="C2308" s="83">
        <v>46072</v>
      </c>
      <c r="D2308" t="s">
        <v>683</v>
      </c>
      <c r="E2308" t="s">
        <v>298</v>
      </c>
      <c r="F2308">
        <v>19</v>
      </c>
      <c r="G2308">
        <v>22.1894833333333</v>
      </c>
    </row>
    <row r="2309" spans="1:7" x14ac:dyDescent="0.35">
      <c r="A2309" t="s">
        <v>847</v>
      </c>
      <c r="B2309" t="s">
        <v>680</v>
      </c>
      <c r="C2309" s="83">
        <v>46072</v>
      </c>
      <c r="D2309" t="s">
        <v>683</v>
      </c>
      <c r="E2309" t="s">
        <v>334</v>
      </c>
      <c r="F2309">
        <v>9</v>
      </c>
      <c r="G2309">
        <v>2.8125666666666702</v>
      </c>
    </row>
    <row r="2310" spans="1:7" x14ac:dyDescent="0.35">
      <c r="A2310" t="s">
        <v>847</v>
      </c>
      <c r="B2310" t="s">
        <v>680</v>
      </c>
      <c r="C2310" s="83">
        <v>46072</v>
      </c>
      <c r="D2310" t="s">
        <v>689</v>
      </c>
      <c r="E2310" t="s">
        <v>297</v>
      </c>
      <c r="F2310">
        <v>43</v>
      </c>
      <c r="G2310">
        <v>25.5111833333333</v>
      </c>
    </row>
    <row r="2311" spans="1:7" x14ac:dyDescent="0.35">
      <c r="A2311" t="s">
        <v>847</v>
      </c>
      <c r="B2311" t="s">
        <v>680</v>
      </c>
      <c r="C2311" s="83">
        <v>46072</v>
      </c>
      <c r="D2311" t="s">
        <v>689</v>
      </c>
      <c r="E2311" t="s">
        <v>298</v>
      </c>
      <c r="F2311">
        <v>24</v>
      </c>
      <c r="G2311">
        <v>26.172550000000001</v>
      </c>
    </row>
    <row r="2312" spans="1:7" x14ac:dyDescent="0.35">
      <c r="A2312" t="s">
        <v>847</v>
      </c>
      <c r="B2312" t="s">
        <v>680</v>
      </c>
      <c r="C2312" s="83">
        <v>46072</v>
      </c>
      <c r="D2312" t="s">
        <v>689</v>
      </c>
      <c r="E2312" t="s">
        <v>296</v>
      </c>
      <c r="F2312">
        <v>16</v>
      </c>
      <c r="G2312">
        <v>8.7917500000000004</v>
      </c>
    </row>
    <row r="2313" spans="1:7" x14ac:dyDescent="0.35">
      <c r="A2313" t="s">
        <v>847</v>
      </c>
      <c r="B2313" t="s">
        <v>680</v>
      </c>
      <c r="C2313" s="83">
        <v>46072</v>
      </c>
      <c r="D2313" t="s">
        <v>684</v>
      </c>
      <c r="E2313" t="s">
        <v>300</v>
      </c>
      <c r="F2313">
        <v>5</v>
      </c>
      <c r="G2313">
        <v>3.33998333333333</v>
      </c>
    </row>
    <row r="2314" spans="1:7" x14ac:dyDescent="0.35">
      <c r="A2314" t="s">
        <v>847</v>
      </c>
      <c r="B2314" t="s">
        <v>680</v>
      </c>
      <c r="C2314" s="83">
        <v>46072</v>
      </c>
      <c r="D2314" t="s">
        <v>684</v>
      </c>
      <c r="E2314" t="s">
        <v>297</v>
      </c>
      <c r="F2314">
        <v>5</v>
      </c>
      <c r="G2314">
        <v>1.3212666666666699</v>
      </c>
    </row>
    <row r="2315" spans="1:7" x14ac:dyDescent="0.35">
      <c r="A2315" t="s">
        <v>847</v>
      </c>
      <c r="B2315" t="s">
        <v>680</v>
      </c>
      <c r="C2315" s="83">
        <v>46072</v>
      </c>
      <c r="D2315" t="s">
        <v>684</v>
      </c>
      <c r="E2315" t="s">
        <v>296</v>
      </c>
      <c r="F2315">
        <v>4</v>
      </c>
      <c r="G2315">
        <v>0.67401666666666704</v>
      </c>
    </row>
    <row r="2316" spans="1:7" x14ac:dyDescent="0.35">
      <c r="A2316" t="s">
        <v>847</v>
      </c>
      <c r="B2316" t="s">
        <v>680</v>
      </c>
      <c r="C2316" s="83">
        <v>46072</v>
      </c>
      <c r="D2316" t="s">
        <v>687</v>
      </c>
      <c r="E2316" t="s">
        <v>717</v>
      </c>
      <c r="F2316">
        <v>7</v>
      </c>
      <c r="G2316">
        <v>8.1458833333333303</v>
      </c>
    </row>
    <row r="2317" spans="1:7" x14ac:dyDescent="0.35">
      <c r="A2317" t="s">
        <v>847</v>
      </c>
      <c r="B2317" t="s">
        <v>680</v>
      </c>
      <c r="C2317" s="83">
        <v>46072</v>
      </c>
      <c r="D2317" t="s">
        <v>687</v>
      </c>
      <c r="E2317" t="s">
        <v>718</v>
      </c>
      <c r="F2317">
        <v>2</v>
      </c>
      <c r="G2317">
        <v>0.16685</v>
      </c>
    </row>
    <row r="2318" spans="1:7" x14ac:dyDescent="0.35">
      <c r="A2318" t="s">
        <v>847</v>
      </c>
      <c r="B2318" t="s">
        <v>680</v>
      </c>
      <c r="C2318" s="83">
        <v>46072</v>
      </c>
      <c r="D2318" t="s">
        <v>687</v>
      </c>
      <c r="E2318" t="s">
        <v>753</v>
      </c>
      <c r="F2318">
        <v>2</v>
      </c>
      <c r="G2318">
        <v>7.6651499999999997</v>
      </c>
    </row>
    <row r="2319" spans="1:7" x14ac:dyDescent="0.35">
      <c r="A2319" t="s">
        <v>847</v>
      </c>
      <c r="B2319" t="s">
        <v>680</v>
      </c>
      <c r="C2319" s="83">
        <v>46072</v>
      </c>
      <c r="D2319" t="s">
        <v>688</v>
      </c>
      <c r="E2319" t="s">
        <v>338</v>
      </c>
      <c r="F2319">
        <v>14</v>
      </c>
      <c r="G2319">
        <v>26.657683333333299</v>
      </c>
    </row>
    <row r="2320" spans="1:7" x14ac:dyDescent="0.35">
      <c r="A2320" t="s">
        <v>847</v>
      </c>
      <c r="B2320" t="s">
        <v>680</v>
      </c>
      <c r="C2320" s="83">
        <v>46072</v>
      </c>
      <c r="D2320" t="s">
        <v>688</v>
      </c>
      <c r="E2320" t="s">
        <v>316</v>
      </c>
      <c r="F2320">
        <v>8</v>
      </c>
      <c r="G2320">
        <v>2.6628333333333298</v>
      </c>
    </row>
    <row r="2321" spans="1:7" x14ac:dyDescent="0.35">
      <c r="A2321" t="s">
        <v>847</v>
      </c>
      <c r="B2321" t="s">
        <v>680</v>
      </c>
      <c r="C2321" s="83">
        <v>46072</v>
      </c>
      <c r="D2321" t="s">
        <v>688</v>
      </c>
      <c r="E2321" t="s">
        <v>720</v>
      </c>
      <c r="F2321">
        <v>6</v>
      </c>
      <c r="G2321">
        <v>2.1584166666666702</v>
      </c>
    </row>
    <row r="2322" spans="1:7" x14ac:dyDescent="0.35">
      <c r="A2322" t="s">
        <v>847</v>
      </c>
      <c r="B2322" t="s">
        <v>680</v>
      </c>
      <c r="C2322" s="83">
        <v>46072</v>
      </c>
      <c r="D2322" t="s">
        <v>690</v>
      </c>
      <c r="E2322" t="s">
        <v>720</v>
      </c>
      <c r="F2322">
        <v>16</v>
      </c>
      <c r="G2322">
        <v>13.4854</v>
      </c>
    </row>
    <row r="2323" spans="1:7" x14ac:dyDescent="0.35">
      <c r="A2323" t="s">
        <v>847</v>
      </c>
      <c r="B2323" t="s">
        <v>680</v>
      </c>
      <c r="C2323" s="83">
        <v>46072</v>
      </c>
      <c r="D2323" t="s">
        <v>690</v>
      </c>
      <c r="E2323" t="s">
        <v>311</v>
      </c>
      <c r="F2323">
        <v>8</v>
      </c>
      <c r="G2323">
        <v>5.4880833333333303</v>
      </c>
    </row>
    <row r="2324" spans="1:7" x14ac:dyDescent="0.35">
      <c r="A2324" t="s">
        <v>847</v>
      </c>
      <c r="B2324" t="s">
        <v>680</v>
      </c>
      <c r="C2324" s="83">
        <v>46072</v>
      </c>
      <c r="D2324" t="s">
        <v>690</v>
      </c>
      <c r="E2324" t="s">
        <v>723</v>
      </c>
      <c r="F2324">
        <v>5</v>
      </c>
      <c r="G2324">
        <v>4.8255499999999998</v>
      </c>
    </row>
    <row r="2325" spans="1:7" x14ac:dyDescent="0.35">
      <c r="A2325" t="s">
        <v>847</v>
      </c>
      <c r="B2325" t="s">
        <v>680</v>
      </c>
      <c r="C2325" s="83">
        <v>46072</v>
      </c>
      <c r="D2325" t="s">
        <v>685</v>
      </c>
      <c r="E2325" t="s">
        <v>316</v>
      </c>
      <c r="F2325">
        <v>5</v>
      </c>
      <c r="G2325">
        <v>2.3329666666666702</v>
      </c>
    </row>
    <row r="2326" spans="1:7" x14ac:dyDescent="0.35">
      <c r="A2326" t="s">
        <v>847</v>
      </c>
      <c r="B2326" t="s">
        <v>680</v>
      </c>
      <c r="C2326" s="83">
        <v>46072</v>
      </c>
      <c r="D2326" t="s">
        <v>685</v>
      </c>
      <c r="E2326" t="s">
        <v>311</v>
      </c>
      <c r="F2326">
        <v>4</v>
      </c>
      <c r="G2326">
        <v>2.1609500000000001</v>
      </c>
    </row>
    <row r="2327" spans="1:7" x14ac:dyDescent="0.35">
      <c r="A2327" t="s">
        <v>847</v>
      </c>
      <c r="B2327" t="s">
        <v>680</v>
      </c>
      <c r="C2327" s="83">
        <v>46072</v>
      </c>
      <c r="D2327" t="s">
        <v>685</v>
      </c>
      <c r="E2327" t="s">
        <v>321</v>
      </c>
      <c r="F2327">
        <v>3</v>
      </c>
      <c r="G2327">
        <v>4.1656500000000003</v>
      </c>
    </row>
    <row r="2328" spans="1:7" x14ac:dyDescent="0.35">
      <c r="A2328" t="s">
        <v>847</v>
      </c>
      <c r="B2328" t="s">
        <v>680</v>
      </c>
      <c r="C2328" s="83">
        <v>46073</v>
      </c>
      <c r="D2328" t="s">
        <v>681</v>
      </c>
      <c r="E2328" t="s">
        <v>296</v>
      </c>
      <c r="F2328">
        <v>18</v>
      </c>
      <c r="G2328">
        <v>14.176266666666701</v>
      </c>
    </row>
    <row r="2329" spans="1:7" x14ac:dyDescent="0.35">
      <c r="A2329" t="s">
        <v>847</v>
      </c>
      <c r="B2329" t="s">
        <v>680</v>
      </c>
      <c r="C2329" s="83">
        <v>46073</v>
      </c>
      <c r="D2329" t="s">
        <v>681</v>
      </c>
      <c r="E2329" t="s">
        <v>298</v>
      </c>
      <c r="F2329">
        <v>17</v>
      </c>
      <c r="G2329">
        <v>16.155433333333299</v>
      </c>
    </row>
    <row r="2330" spans="1:7" x14ac:dyDescent="0.35">
      <c r="A2330" t="s">
        <v>847</v>
      </c>
      <c r="B2330" t="s">
        <v>680</v>
      </c>
      <c r="C2330" s="83">
        <v>46073</v>
      </c>
      <c r="D2330" t="s">
        <v>681</v>
      </c>
      <c r="E2330" t="s">
        <v>300</v>
      </c>
      <c r="F2330">
        <v>9</v>
      </c>
      <c r="G2330">
        <v>4.5265666666666702</v>
      </c>
    </row>
    <row r="2331" spans="1:7" x14ac:dyDescent="0.35">
      <c r="A2331" t="s">
        <v>847</v>
      </c>
      <c r="B2331" t="s">
        <v>680</v>
      </c>
      <c r="C2331" s="83">
        <v>46073</v>
      </c>
      <c r="D2331" t="s">
        <v>683</v>
      </c>
      <c r="E2331" t="s">
        <v>298</v>
      </c>
      <c r="F2331">
        <v>28</v>
      </c>
      <c r="G2331">
        <v>49.825600000000001</v>
      </c>
    </row>
    <row r="2332" spans="1:7" x14ac:dyDescent="0.35">
      <c r="A2332" t="s">
        <v>847</v>
      </c>
      <c r="B2332" t="s">
        <v>680</v>
      </c>
      <c r="C2332" s="83">
        <v>46073</v>
      </c>
      <c r="D2332" t="s">
        <v>683</v>
      </c>
      <c r="E2332" t="s">
        <v>296</v>
      </c>
      <c r="F2332">
        <v>9</v>
      </c>
      <c r="G2332">
        <v>4.8422166666666699</v>
      </c>
    </row>
    <row r="2333" spans="1:7" x14ac:dyDescent="0.35">
      <c r="A2333" t="s">
        <v>847</v>
      </c>
      <c r="B2333" t="s">
        <v>680</v>
      </c>
      <c r="C2333" s="83">
        <v>46073</v>
      </c>
      <c r="D2333" t="s">
        <v>683</v>
      </c>
      <c r="E2333" t="s">
        <v>727</v>
      </c>
      <c r="F2333">
        <v>4</v>
      </c>
      <c r="G2333">
        <v>0.67315000000000003</v>
      </c>
    </row>
    <row r="2334" spans="1:7" x14ac:dyDescent="0.35">
      <c r="A2334" t="s">
        <v>847</v>
      </c>
      <c r="B2334" t="s">
        <v>680</v>
      </c>
      <c r="C2334" s="83">
        <v>46073</v>
      </c>
      <c r="D2334" t="s">
        <v>689</v>
      </c>
      <c r="E2334" t="s">
        <v>297</v>
      </c>
      <c r="F2334">
        <v>32</v>
      </c>
      <c r="G2334">
        <v>12.524649999999999</v>
      </c>
    </row>
    <row r="2335" spans="1:7" x14ac:dyDescent="0.35">
      <c r="A2335" t="s">
        <v>847</v>
      </c>
      <c r="B2335" t="s">
        <v>680</v>
      </c>
      <c r="C2335" s="83">
        <v>46073</v>
      </c>
      <c r="D2335" t="s">
        <v>689</v>
      </c>
      <c r="E2335" t="s">
        <v>296</v>
      </c>
      <c r="F2335">
        <v>19</v>
      </c>
      <c r="G2335">
        <v>10.9775833333333</v>
      </c>
    </row>
    <row r="2336" spans="1:7" x14ac:dyDescent="0.35">
      <c r="A2336" t="s">
        <v>847</v>
      </c>
      <c r="B2336" t="s">
        <v>680</v>
      </c>
      <c r="C2336" s="83">
        <v>46073</v>
      </c>
      <c r="D2336" t="s">
        <v>689</v>
      </c>
      <c r="E2336" t="s">
        <v>298</v>
      </c>
      <c r="F2336">
        <v>10</v>
      </c>
      <c r="G2336">
        <v>4.4874333333333301</v>
      </c>
    </row>
    <row r="2337" spans="1:7" x14ac:dyDescent="0.35">
      <c r="A2337" t="s">
        <v>847</v>
      </c>
      <c r="B2337" t="s">
        <v>680</v>
      </c>
      <c r="C2337" s="83">
        <v>46073</v>
      </c>
      <c r="D2337" t="s">
        <v>684</v>
      </c>
      <c r="E2337" t="s">
        <v>296</v>
      </c>
      <c r="F2337">
        <v>5</v>
      </c>
      <c r="G2337">
        <v>2.0017999999999998</v>
      </c>
    </row>
    <row r="2338" spans="1:7" x14ac:dyDescent="0.35">
      <c r="A2338" t="s">
        <v>847</v>
      </c>
      <c r="B2338" t="s">
        <v>680</v>
      </c>
      <c r="C2338" s="83">
        <v>46073</v>
      </c>
      <c r="D2338" t="s">
        <v>684</v>
      </c>
      <c r="E2338" t="s">
        <v>730</v>
      </c>
      <c r="F2338">
        <v>3</v>
      </c>
      <c r="G2338">
        <v>1.83286666666667</v>
      </c>
    </row>
    <row r="2339" spans="1:7" x14ac:dyDescent="0.35">
      <c r="A2339" t="s">
        <v>847</v>
      </c>
      <c r="B2339" t="s">
        <v>680</v>
      </c>
      <c r="C2339" s="83">
        <v>46073</v>
      </c>
      <c r="D2339" t="s">
        <v>684</v>
      </c>
      <c r="E2339" t="s">
        <v>298</v>
      </c>
      <c r="F2339">
        <v>3</v>
      </c>
      <c r="G2339">
        <v>2.6540499999999998</v>
      </c>
    </row>
    <row r="2340" spans="1:7" x14ac:dyDescent="0.35">
      <c r="A2340" t="s">
        <v>847</v>
      </c>
      <c r="B2340" t="s">
        <v>680</v>
      </c>
      <c r="C2340" s="83">
        <v>46073</v>
      </c>
      <c r="D2340" t="s">
        <v>687</v>
      </c>
      <c r="E2340" t="s">
        <v>717</v>
      </c>
      <c r="F2340">
        <v>4</v>
      </c>
      <c r="G2340">
        <v>1.3593166666666701</v>
      </c>
    </row>
    <row r="2341" spans="1:7" x14ac:dyDescent="0.35">
      <c r="A2341" t="s">
        <v>847</v>
      </c>
      <c r="B2341" t="s">
        <v>680</v>
      </c>
      <c r="C2341" s="83">
        <v>46073</v>
      </c>
      <c r="D2341" t="s">
        <v>687</v>
      </c>
      <c r="E2341" t="s">
        <v>733</v>
      </c>
      <c r="F2341">
        <v>2</v>
      </c>
      <c r="G2341">
        <v>2.6600333333333301</v>
      </c>
    </row>
    <row r="2342" spans="1:7" x14ac:dyDescent="0.35">
      <c r="A2342" t="s">
        <v>847</v>
      </c>
      <c r="B2342" t="s">
        <v>680</v>
      </c>
      <c r="C2342" s="83">
        <v>46073</v>
      </c>
      <c r="D2342" t="s">
        <v>687</v>
      </c>
      <c r="E2342" t="s">
        <v>718</v>
      </c>
      <c r="F2342">
        <v>2</v>
      </c>
      <c r="G2342">
        <v>0.33351666666666702</v>
      </c>
    </row>
    <row r="2343" spans="1:7" x14ac:dyDescent="0.35">
      <c r="A2343" t="s">
        <v>847</v>
      </c>
      <c r="B2343" t="s">
        <v>680</v>
      </c>
      <c r="C2343" s="83">
        <v>46073</v>
      </c>
      <c r="D2343" t="s">
        <v>688</v>
      </c>
      <c r="E2343" t="s">
        <v>311</v>
      </c>
      <c r="F2343">
        <v>11</v>
      </c>
      <c r="G2343">
        <v>4.1824166666666702</v>
      </c>
    </row>
    <row r="2344" spans="1:7" x14ac:dyDescent="0.35">
      <c r="A2344" t="s">
        <v>847</v>
      </c>
      <c r="B2344" t="s">
        <v>680</v>
      </c>
      <c r="C2344" s="83">
        <v>46073</v>
      </c>
      <c r="D2344" t="s">
        <v>688</v>
      </c>
      <c r="E2344" t="s">
        <v>720</v>
      </c>
      <c r="F2344">
        <v>6</v>
      </c>
      <c r="G2344">
        <v>4.5063833333333303</v>
      </c>
    </row>
    <row r="2345" spans="1:7" x14ac:dyDescent="0.35">
      <c r="A2345" t="s">
        <v>847</v>
      </c>
      <c r="B2345" t="s">
        <v>680</v>
      </c>
      <c r="C2345" s="83">
        <v>46073</v>
      </c>
      <c r="D2345" t="s">
        <v>688</v>
      </c>
      <c r="E2345" t="s">
        <v>338</v>
      </c>
      <c r="F2345">
        <v>5</v>
      </c>
      <c r="G2345">
        <v>5.5091666666666699</v>
      </c>
    </row>
    <row r="2346" spans="1:7" x14ac:dyDescent="0.35">
      <c r="A2346" t="s">
        <v>847</v>
      </c>
      <c r="B2346" t="s">
        <v>680</v>
      </c>
      <c r="C2346" s="83">
        <v>46073</v>
      </c>
      <c r="D2346" t="s">
        <v>690</v>
      </c>
      <c r="E2346" t="s">
        <v>720</v>
      </c>
      <c r="F2346">
        <v>9</v>
      </c>
      <c r="G2346">
        <v>5.1673166666666699</v>
      </c>
    </row>
    <row r="2347" spans="1:7" x14ac:dyDescent="0.35">
      <c r="A2347" t="s">
        <v>847</v>
      </c>
      <c r="B2347" t="s">
        <v>680</v>
      </c>
      <c r="C2347" s="83">
        <v>46073</v>
      </c>
      <c r="D2347" t="s">
        <v>690</v>
      </c>
      <c r="E2347" t="s">
        <v>311</v>
      </c>
      <c r="F2347">
        <v>7</v>
      </c>
      <c r="G2347">
        <v>2.3476833333333298</v>
      </c>
    </row>
    <row r="2348" spans="1:7" x14ac:dyDescent="0.35">
      <c r="A2348" t="s">
        <v>847</v>
      </c>
      <c r="B2348" t="s">
        <v>680</v>
      </c>
      <c r="C2348" s="83">
        <v>46073</v>
      </c>
      <c r="D2348" t="s">
        <v>690</v>
      </c>
      <c r="E2348" t="s">
        <v>724</v>
      </c>
      <c r="F2348">
        <v>4</v>
      </c>
      <c r="G2348">
        <v>8.6617499999999996</v>
      </c>
    </row>
    <row r="2349" spans="1:7" x14ac:dyDescent="0.35">
      <c r="A2349" t="s">
        <v>847</v>
      </c>
      <c r="B2349" t="s">
        <v>680</v>
      </c>
      <c r="C2349" s="83">
        <v>46073</v>
      </c>
      <c r="D2349" t="s">
        <v>685</v>
      </c>
      <c r="E2349" t="s">
        <v>311</v>
      </c>
      <c r="F2349">
        <v>14</v>
      </c>
      <c r="G2349">
        <v>12.669883333333299</v>
      </c>
    </row>
    <row r="2350" spans="1:7" x14ac:dyDescent="0.35">
      <c r="A2350" t="s">
        <v>847</v>
      </c>
      <c r="B2350" t="s">
        <v>680</v>
      </c>
      <c r="C2350" s="83">
        <v>46073</v>
      </c>
      <c r="D2350" t="s">
        <v>685</v>
      </c>
      <c r="E2350" t="s">
        <v>312</v>
      </c>
      <c r="F2350">
        <v>5</v>
      </c>
      <c r="G2350">
        <v>1.49251666666667</v>
      </c>
    </row>
    <row r="2351" spans="1:7" x14ac:dyDescent="0.35">
      <c r="A2351" t="s">
        <v>847</v>
      </c>
      <c r="B2351" t="s">
        <v>680</v>
      </c>
      <c r="C2351" s="83">
        <v>46073</v>
      </c>
      <c r="D2351" t="s">
        <v>685</v>
      </c>
      <c r="E2351" t="s">
        <v>316</v>
      </c>
      <c r="F2351">
        <v>4</v>
      </c>
      <c r="G2351">
        <v>1.9931333333333301</v>
      </c>
    </row>
    <row r="2352" spans="1:7" x14ac:dyDescent="0.35">
      <c r="A2352" t="s">
        <v>847</v>
      </c>
      <c r="B2352" t="s">
        <v>680</v>
      </c>
      <c r="C2352" s="83">
        <v>46074</v>
      </c>
      <c r="D2352" t="s">
        <v>681</v>
      </c>
      <c r="E2352" t="s">
        <v>298</v>
      </c>
      <c r="F2352">
        <v>20</v>
      </c>
      <c r="G2352">
        <v>26.498583333333301</v>
      </c>
    </row>
    <row r="2353" spans="1:7" x14ac:dyDescent="0.35">
      <c r="A2353" t="s">
        <v>847</v>
      </c>
      <c r="B2353" t="s">
        <v>680</v>
      </c>
      <c r="C2353" s="83">
        <v>46074</v>
      </c>
      <c r="D2353" t="s">
        <v>681</v>
      </c>
      <c r="E2353" t="s">
        <v>300</v>
      </c>
      <c r="F2353">
        <v>8</v>
      </c>
      <c r="G2353">
        <v>2.50075</v>
      </c>
    </row>
    <row r="2354" spans="1:7" x14ac:dyDescent="0.35">
      <c r="A2354" t="s">
        <v>847</v>
      </c>
      <c r="B2354" t="s">
        <v>680</v>
      </c>
      <c r="C2354" s="83">
        <v>46074</v>
      </c>
      <c r="D2354" t="s">
        <v>681</v>
      </c>
      <c r="E2354" t="s">
        <v>296</v>
      </c>
      <c r="F2354">
        <v>6</v>
      </c>
      <c r="G2354">
        <v>0.83381666666666698</v>
      </c>
    </row>
    <row r="2355" spans="1:7" x14ac:dyDescent="0.35">
      <c r="A2355" t="s">
        <v>847</v>
      </c>
      <c r="B2355" t="s">
        <v>680</v>
      </c>
      <c r="C2355" s="83">
        <v>46074</v>
      </c>
      <c r="D2355" t="s">
        <v>683</v>
      </c>
      <c r="E2355" t="s">
        <v>296</v>
      </c>
      <c r="F2355">
        <v>20</v>
      </c>
      <c r="G2355">
        <v>9.1820333333333295</v>
      </c>
    </row>
    <row r="2356" spans="1:7" x14ac:dyDescent="0.35">
      <c r="A2356" t="s">
        <v>847</v>
      </c>
      <c r="B2356" t="s">
        <v>680</v>
      </c>
      <c r="C2356" s="83">
        <v>46074</v>
      </c>
      <c r="D2356" t="s">
        <v>683</v>
      </c>
      <c r="E2356" t="s">
        <v>298</v>
      </c>
      <c r="F2356">
        <v>19</v>
      </c>
      <c r="G2356">
        <v>45.015783333333303</v>
      </c>
    </row>
    <row r="2357" spans="1:7" x14ac:dyDescent="0.35">
      <c r="A2357" t="s">
        <v>847</v>
      </c>
      <c r="B2357" t="s">
        <v>680</v>
      </c>
      <c r="C2357" s="83">
        <v>46074</v>
      </c>
      <c r="D2357" t="s">
        <v>683</v>
      </c>
      <c r="E2357" t="s">
        <v>730</v>
      </c>
      <c r="F2357">
        <v>8</v>
      </c>
      <c r="G2357">
        <v>2.8015666666666701</v>
      </c>
    </row>
    <row r="2358" spans="1:7" x14ac:dyDescent="0.35">
      <c r="A2358" t="s">
        <v>847</v>
      </c>
      <c r="B2358" t="s">
        <v>680</v>
      </c>
      <c r="C2358" s="83">
        <v>46074</v>
      </c>
      <c r="D2358" t="s">
        <v>689</v>
      </c>
      <c r="E2358" t="s">
        <v>297</v>
      </c>
      <c r="F2358">
        <v>16</v>
      </c>
      <c r="G2358">
        <v>7.5382499999999997</v>
      </c>
    </row>
    <row r="2359" spans="1:7" x14ac:dyDescent="0.35">
      <c r="A2359" t="s">
        <v>847</v>
      </c>
      <c r="B2359" t="s">
        <v>680</v>
      </c>
      <c r="C2359" s="83">
        <v>46074</v>
      </c>
      <c r="D2359" t="s">
        <v>689</v>
      </c>
      <c r="E2359" t="s">
        <v>298</v>
      </c>
      <c r="F2359">
        <v>8</v>
      </c>
      <c r="G2359">
        <v>6.8122666666666696</v>
      </c>
    </row>
    <row r="2360" spans="1:7" x14ac:dyDescent="0.35">
      <c r="A2360" t="s">
        <v>847</v>
      </c>
      <c r="B2360" t="s">
        <v>680</v>
      </c>
      <c r="C2360" s="83">
        <v>46074</v>
      </c>
      <c r="D2360" t="s">
        <v>689</v>
      </c>
      <c r="E2360" t="s">
        <v>296</v>
      </c>
      <c r="F2360">
        <v>7</v>
      </c>
      <c r="G2360">
        <v>1.81883333333333</v>
      </c>
    </row>
    <row r="2361" spans="1:7" x14ac:dyDescent="0.35">
      <c r="A2361" t="s">
        <v>847</v>
      </c>
      <c r="B2361" t="s">
        <v>680</v>
      </c>
      <c r="C2361" s="83">
        <v>46074</v>
      </c>
      <c r="D2361" t="s">
        <v>684</v>
      </c>
      <c r="E2361" t="s">
        <v>297</v>
      </c>
      <c r="F2361">
        <v>3</v>
      </c>
      <c r="G2361">
        <v>0.49118333333333303</v>
      </c>
    </row>
    <row r="2362" spans="1:7" x14ac:dyDescent="0.35">
      <c r="A2362" t="s">
        <v>847</v>
      </c>
      <c r="B2362" t="s">
        <v>680</v>
      </c>
      <c r="C2362" s="83">
        <v>46074</v>
      </c>
      <c r="D2362" t="s">
        <v>684</v>
      </c>
      <c r="E2362" t="s">
        <v>304</v>
      </c>
      <c r="F2362">
        <v>2</v>
      </c>
      <c r="G2362">
        <v>2.1683833333333302</v>
      </c>
    </row>
    <row r="2363" spans="1:7" x14ac:dyDescent="0.35">
      <c r="A2363" t="s">
        <v>847</v>
      </c>
      <c r="B2363" t="s">
        <v>680</v>
      </c>
      <c r="C2363" s="83">
        <v>46074</v>
      </c>
      <c r="D2363" t="s">
        <v>684</v>
      </c>
      <c r="E2363" t="s">
        <v>334</v>
      </c>
      <c r="F2363">
        <v>2</v>
      </c>
      <c r="G2363">
        <v>0.32646666666666702</v>
      </c>
    </row>
    <row r="2364" spans="1:7" x14ac:dyDescent="0.35">
      <c r="A2364" t="s">
        <v>847</v>
      </c>
      <c r="B2364" t="s">
        <v>680</v>
      </c>
      <c r="C2364" s="83">
        <v>46074</v>
      </c>
      <c r="D2364" t="s">
        <v>687</v>
      </c>
      <c r="E2364" t="s">
        <v>729</v>
      </c>
      <c r="F2364">
        <v>4</v>
      </c>
      <c r="G2364">
        <v>1.6744666666666701</v>
      </c>
    </row>
    <row r="2365" spans="1:7" x14ac:dyDescent="0.35">
      <c r="A2365" t="s">
        <v>847</v>
      </c>
      <c r="B2365" t="s">
        <v>680</v>
      </c>
      <c r="C2365" s="83">
        <v>46074</v>
      </c>
      <c r="D2365" t="s">
        <v>687</v>
      </c>
      <c r="E2365" t="s">
        <v>733</v>
      </c>
      <c r="F2365">
        <v>2</v>
      </c>
      <c r="G2365">
        <v>0.66725000000000001</v>
      </c>
    </row>
    <row r="2366" spans="1:7" x14ac:dyDescent="0.35">
      <c r="A2366" t="s">
        <v>847</v>
      </c>
      <c r="B2366" t="s">
        <v>680</v>
      </c>
      <c r="C2366" s="83">
        <v>46074</v>
      </c>
      <c r="D2366" t="s">
        <v>687</v>
      </c>
      <c r="E2366" t="s">
        <v>717</v>
      </c>
      <c r="F2366">
        <v>2</v>
      </c>
      <c r="G2366">
        <v>19.5013166666667</v>
      </c>
    </row>
    <row r="2367" spans="1:7" x14ac:dyDescent="0.35">
      <c r="A2367" t="s">
        <v>847</v>
      </c>
      <c r="B2367" t="s">
        <v>680</v>
      </c>
      <c r="C2367" s="83">
        <v>46074</v>
      </c>
      <c r="D2367" t="s">
        <v>688</v>
      </c>
      <c r="E2367" t="s">
        <v>311</v>
      </c>
      <c r="F2367">
        <v>8</v>
      </c>
      <c r="G2367">
        <v>2.6650999999999998</v>
      </c>
    </row>
    <row r="2368" spans="1:7" x14ac:dyDescent="0.35">
      <c r="A2368" t="s">
        <v>847</v>
      </c>
      <c r="B2368" t="s">
        <v>680</v>
      </c>
      <c r="C2368" s="83">
        <v>46074</v>
      </c>
      <c r="D2368" t="s">
        <v>688</v>
      </c>
      <c r="E2368" t="s">
        <v>338</v>
      </c>
      <c r="F2368">
        <v>5</v>
      </c>
      <c r="G2368">
        <v>4.0059666666666702</v>
      </c>
    </row>
    <row r="2369" spans="1:7" x14ac:dyDescent="0.35">
      <c r="A2369" t="s">
        <v>847</v>
      </c>
      <c r="B2369" t="s">
        <v>680</v>
      </c>
      <c r="C2369" s="83">
        <v>46074</v>
      </c>
      <c r="D2369" t="s">
        <v>688</v>
      </c>
      <c r="E2369" t="s">
        <v>732</v>
      </c>
      <c r="F2369">
        <v>3</v>
      </c>
      <c r="G2369">
        <v>1.49338333333333</v>
      </c>
    </row>
    <row r="2370" spans="1:7" x14ac:dyDescent="0.35">
      <c r="A2370" t="s">
        <v>847</v>
      </c>
      <c r="B2370" t="s">
        <v>680</v>
      </c>
      <c r="C2370" s="83">
        <v>46074</v>
      </c>
      <c r="D2370" t="s">
        <v>690</v>
      </c>
      <c r="E2370" t="s">
        <v>311</v>
      </c>
      <c r="F2370">
        <v>22</v>
      </c>
      <c r="G2370">
        <v>12.453483333333301</v>
      </c>
    </row>
    <row r="2371" spans="1:7" x14ac:dyDescent="0.35">
      <c r="A2371" t="s">
        <v>847</v>
      </c>
      <c r="B2371" t="s">
        <v>680</v>
      </c>
      <c r="C2371" s="83">
        <v>46074</v>
      </c>
      <c r="D2371" t="s">
        <v>690</v>
      </c>
      <c r="E2371" t="s">
        <v>720</v>
      </c>
      <c r="F2371">
        <v>6</v>
      </c>
      <c r="G2371">
        <v>2.8204500000000001</v>
      </c>
    </row>
    <row r="2372" spans="1:7" x14ac:dyDescent="0.35">
      <c r="A2372" t="s">
        <v>847</v>
      </c>
      <c r="B2372" t="s">
        <v>680</v>
      </c>
      <c r="C2372" s="83">
        <v>46074</v>
      </c>
      <c r="D2372" t="s">
        <v>690</v>
      </c>
      <c r="E2372" t="s">
        <v>312</v>
      </c>
      <c r="F2372">
        <v>6</v>
      </c>
      <c r="G2372">
        <v>1.3266</v>
      </c>
    </row>
    <row r="2373" spans="1:7" x14ac:dyDescent="0.35">
      <c r="A2373" t="s">
        <v>847</v>
      </c>
      <c r="B2373" t="s">
        <v>680</v>
      </c>
      <c r="C2373" s="83">
        <v>46074</v>
      </c>
      <c r="D2373" t="s">
        <v>685</v>
      </c>
      <c r="E2373" t="s">
        <v>657</v>
      </c>
      <c r="F2373">
        <v>7</v>
      </c>
      <c r="G2373">
        <v>9.6654</v>
      </c>
    </row>
    <row r="2374" spans="1:7" x14ac:dyDescent="0.35">
      <c r="A2374" t="s">
        <v>847</v>
      </c>
      <c r="B2374" t="s">
        <v>680</v>
      </c>
      <c r="C2374" s="83">
        <v>46074</v>
      </c>
      <c r="D2374" t="s">
        <v>685</v>
      </c>
      <c r="E2374" t="s">
        <v>311</v>
      </c>
      <c r="F2374">
        <v>7</v>
      </c>
      <c r="G2374">
        <v>3.4980000000000002</v>
      </c>
    </row>
    <row r="2375" spans="1:7" x14ac:dyDescent="0.35">
      <c r="A2375" t="s">
        <v>847</v>
      </c>
      <c r="B2375" t="s">
        <v>680</v>
      </c>
      <c r="C2375" s="83">
        <v>46074</v>
      </c>
      <c r="D2375" t="s">
        <v>685</v>
      </c>
      <c r="E2375" t="s">
        <v>723</v>
      </c>
      <c r="F2375">
        <v>5</v>
      </c>
      <c r="G2375">
        <v>4.6670833333333297</v>
      </c>
    </row>
    <row r="2376" spans="1:7" x14ac:dyDescent="0.35">
      <c r="A2376" t="s">
        <v>847</v>
      </c>
      <c r="B2376" t="s">
        <v>680</v>
      </c>
      <c r="C2376" s="83">
        <v>46075</v>
      </c>
      <c r="D2376" t="s">
        <v>681</v>
      </c>
      <c r="E2376" t="s">
        <v>296</v>
      </c>
      <c r="F2376">
        <v>30</v>
      </c>
      <c r="G2376">
        <v>11.6363166666667</v>
      </c>
    </row>
    <row r="2377" spans="1:7" x14ac:dyDescent="0.35">
      <c r="A2377" t="s">
        <v>847</v>
      </c>
      <c r="B2377" t="s">
        <v>680</v>
      </c>
      <c r="C2377" s="83">
        <v>46075</v>
      </c>
      <c r="D2377" t="s">
        <v>681</v>
      </c>
      <c r="E2377" t="s">
        <v>298</v>
      </c>
      <c r="F2377">
        <v>28</v>
      </c>
      <c r="G2377">
        <v>39.476649999999999</v>
      </c>
    </row>
    <row r="2378" spans="1:7" x14ac:dyDescent="0.35">
      <c r="A2378" t="s">
        <v>847</v>
      </c>
      <c r="B2378" t="s">
        <v>680</v>
      </c>
      <c r="C2378" s="83">
        <v>46075</v>
      </c>
      <c r="D2378" t="s">
        <v>681</v>
      </c>
      <c r="E2378" t="s">
        <v>300</v>
      </c>
      <c r="F2378">
        <v>6</v>
      </c>
      <c r="G2378">
        <v>1.51573333333333</v>
      </c>
    </row>
    <row r="2379" spans="1:7" x14ac:dyDescent="0.35">
      <c r="A2379" t="s">
        <v>847</v>
      </c>
      <c r="B2379" t="s">
        <v>680</v>
      </c>
      <c r="C2379" s="83">
        <v>46075</v>
      </c>
      <c r="D2379" t="s">
        <v>683</v>
      </c>
      <c r="E2379" t="s">
        <v>298</v>
      </c>
      <c r="F2379">
        <v>19</v>
      </c>
      <c r="G2379">
        <v>39.131083333333301</v>
      </c>
    </row>
    <row r="2380" spans="1:7" x14ac:dyDescent="0.35">
      <c r="A2380" t="s">
        <v>847</v>
      </c>
      <c r="B2380" t="s">
        <v>680</v>
      </c>
      <c r="C2380" s="83">
        <v>46075</v>
      </c>
      <c r="D2380" t="s">
        <v>683</v>
      </c>
      <c r="E2380" t="s">
        <v>296</v>
      </c>
      <c r="F2380">
        <v>11</v>
      </c>
      <c r="G2380">
        <v>13.4707833333333</v>
      </c>
    </row>
    <row r="2381" spans="1:7" x14ac:dyDescent="0.35">
      <c r="A2381" t="s">
        <v>847</v>
      </c>
      <c r="B2381" t="s">
        <v>680</v>
      </c>
      <c r="C2381" s="83">
        <v>46075</v>
      </c>
      <c r="D2381" t="s">
        <v>683</v>
      </c>
      <c r="E2381" t="s">
        <v>300</v>
      </c>
      <c r="F2381">
        <v>5</v>
      </c>
      <c r="G2381">
        <v>1.00875</v>
      </c>
    </row>
    <row r="2382" spans="1:7" x14ac:dyDescent="0.35">
      <c r="A2382" t="s">
        <v>847</v>
      </c>
      <c r="B2382" t="s">
        <v>680</v>
      </c>
      <c r="C2382" s="83">
        <v>46075</v>
      </c>
      <c r="D2382" t="s">
        <v>689</v>
      </c>
      <c r="E2382" t="s">
        <v>297</v>
      </c>
      <c r="F2382">
        <v>18</v>
      </c>
      <c r="G2382">
        <v>17.8032166666667</v>
      </c>
    </row>
    <row r="2383" spans="1:7" x14ac:dyDescent="0.35">
      <c r="A2383" t="s">
        <v>847</v>
      </c>
      <c r="B2383" t="s">
        <v>680</v>
      </c>
      <c r="C2383" s="83">
        <v>46075</v>
      </c>
      <c r="D2383" t="s">
        <v>689</v>
      </c>
      <c r="E2383" t="s">
        <v>298</v>
      </c>
      <c r="F2383">
        <v>12</v>
      </c>
      <c r="G2383">
        <v>10.83475</v>
      </c>
    </row>
    <row r="2384" spans="1:7" x14ac:dyDescent="0.35">
      <c r="A2384" t="s">
        <v>847</v>
      </c>
      <c r="B2384" t="s">
        <v>680</v>
      </c>
      <c r="C2384" s="83">
        <v>46075</v>
      </c>
      <c r="D2384" t="s">
        <v>689</v>
      </c>
      <c r="E2384" t="s">
        <v>296</v>
      </c>
      <c r="F2384">
        <v>7</v>
      </c>
      <c r="G2384">
        <v>1.4901833333333301</v>
      </c>
    </row>
    <row r="2385" spans="1:7" x14ac:dyDescent="0.35">
      <c r="A2385" t="s">
        <v>847</v>
      </c>
      <c r="B2385" t="s">
        <v>680</v>
      </c>
      <c r="C2385" s="83">
        <v>46075</v>
      </c>
      <c r="D2385" t="s">
        <v>684</v>
      </c>
      <c r="E2385" t="s">
        <v>296</v>
      </c>
      <c r="F2385">
        <v>13</v>
      </c>
      <c r="G2385">
        <v>7.3417000000000003</v>
      </c>
    </row>
    <row r="2386" spans="1:7" x14ac:dyDescent="0.35">
      <c r="A2386" t="s">
        <v>847</v>
      </c>
      <c r="B2386" t="s">
        <v>680</v>
      </c>
      <c r="C2386" s="83">
        <v>46075</v>
      </c>
      <c r="D2386" t="s">
        <v>684</v>
      </c>
      <c r="E2386" t="s">
        <v>297</v>
      </c>
      <c r="F2386">
        <v>3</v>
      </c>
      <c r="G2386">
        <v>0.165333333333333</v>
      </c>
    </row>
    <row r="2387" spans="1:7" x14ac:dyDescent="0.35">
      <c r="A2387" t="s">
        <v>847</v>
      </c>
      <c r="B2387" t="s">
        <v>680</v>
      </c>
      <c r="C2387" s="83">
        <v>46075</v>
      </c>
      <c r="D2387" t="s">
        <v>684</v>
      </c>
      <c r="E2387" t="s">
        <v>343</v>
      </c>
      <c r="F2387">
        <v>2</v>
      </c>
      <c r="G2387">
        <v>1.00101666666667</v>
      </c>
    </row>
    <row r="2388" spans="1:7" x14ac:dyDescent="0.35">
      <c r="A2388" t="s">
        <v>847</v>
      </c>
      <c r="B2388" t="s">
        <v>680</v>
      </c>
      <c r="C2388" s="83">
        <v>46075</v>
      </c>
      <c r="D2388" t="s">
        <v>687</v>
      </c>
      <c r="E2388" t="s">
        <v>722</v>
      </c>
      <c r="F2388">
        <v>4</v>
      </c>
      <c r="G2388">
        <v>3.84731666666667</v>
      </c>
    </row>
    <row r="2389" spans="1:7" x14ac:dyDescent="0.35">
      <c r="A2389" t="s">
        <v>847</v>
      </c>
      <c r="B2389" t="s">
        <v>680</v>
      </c>
      <c r="C2389" s="83">
        <v>46075</v>
      </c>
      <c r="D2389" t="s">
        <v>687</v>
      </c>
      <c r="E2389" t="s">
        <v>726</v>
      </c>
      <c r="F2389">
        <v>4</v>
      </c>
      <c r="G2389">
        <v>4.1580500000000002</v>
      </c>
    </row>
    <row r="2390" spans="1:7" x14ac:dyDescent="0.35">
      <c r="A2390" t="s">
        <v>847</v>
      </c>
      <c r="B2390" t="s">
        <v>680</v>
      </c>
      <c r="C2390" s="83">
        <v>46075</v>
      </c>
      <c r="D2390" t="s">
        <v>687</v>
      </c>
      <c r="E2390" t="s">
        <v>718</v>
      </c>
      <c r="F2390">
        <v>3</v>
      </c>
      <c r="G2390">
        <v>2.4930333333333299</v>
      </c>
    </row>
    <row r="2391" spans="1:7" x14ac:dyDescent="0.35">
      <c r="A2391" t="s">
        <v>847</v>
      </c>
      <c r="B2391" t="s">
        <v>680</v>
      </c>
      <c r="C2391" s="83">
        <v>46075</v>
      </c>
      <c r="D2391" t="s">
        <v>688</v>
      </c>
      <c r="E2391" t="s">
        <v>311</v>
      </c>
      <c r="F2391">
        <v>6</v>
      </c>
      <c r="G2391">
        <v>3.99711666666667</v>
      </c>
    </row>
    <row r="2392" spans="1:7" x14ac:dyDescent="0.35">
      <c r="A2392" t="s">
        <v>847</v>
      </c>
      <c r="B2392" t="s">
        <v>680</v>
      </c>
      <c r="C2392" s="83">
        <v>46075</v>
      </c>
      <c r="D2392" t="s">
        <v>688</v>
      </c>
      <c r="E2392" t="s">
        <v>751</v>
      </c>
      <c r="F2392">
        <v>5</v>
      </c>
      <c r="G2392">
        <v>12.1604166666667</v>
      </c>
    </row>
    <row r="2393" spans="1:7" x14ac:dyDescent="0.35">
      <c r="A2393" t="s">
        <v>847</v>
      </c>
      <c r="B2393" t="s">
        <v>680</v>
      </c>
      <c r="C2393" s="83">
        <v>46075</v>
      </c>
      <c r="D2393" t="s">
        <v>688</v>
      </c>
      <c r="E2393" t="s">
        <v>720</v>
      </c>
      <c r="F2393">
        <v>5</v>
      </c>
      <c r="G2393">
        <v>4.3416666666666703</v>
      </c>
    </row>
    <row r="2394" spans="1:7" x14ac:dyDescent="0.35">
      <c r="A2394" t="s">
        <v>847</v>
      </c>
      <c r="B2394" t="s">
        <v>680</v>
      </c>
      <c r="C2394" s="83">
        <v>46075</v>
      </c>
      <c r="D2394" t="s">
        <v>690</v>
      </c>
      <c r="E2394" t="s">
        <v>720</v>
      </c>
      <c r="F2394">
        <v>17</v>
      </c>
      <c r="G2394">
        <v>12.165333333333299</v>
      </c>
    </row>
    <row r="2395" spans="1:7" x14ac:dyDescent="0.35">
      <c r="A2395" t="s">
        <v>847</v>
      </c>
      <c r="B2395" t="s">
        <v>680</v>
      </c>
      <c r="C2395" s="83">
        <v>46075</v>
      </c>
      <c r="D2395" t="s">
        <v>690</v>
      </c>
      <c r="E2395" t="s">
        <v>311</v>
      </c>
      <c r="F2395">
        <v>7</v>
      </c>
      <c r="G2395">
        <v>4.6548166666666697</v>
      </c>
    </row>
    <row r="2396" spans="1:7" x14ac:dyDescent="0.35">
      <c r="A2396" t="s">
        <v>847</v>
      </c>
      <c r="B2396" t="s">
        <v>680</v>
      </c>
      <c r="C2396" s="83">
        <v>46075</v>
      </c>
      <c r="D2396" t="s">
        <v>690</v>
      </c>
      <c r="E2396" t="s">
        <v>724</v>
      </c>
      <c r="F2396">
        <v>4</v>
      </c>
      <c r="G2396">
        <v>7.9979666666666702</v>
      </c>
    </row>
    <row r="2397" spans="1:7" x14ac:dyDescent="0.35">
      <c r="A2397" t="s">
        <v>847</v>
      </c>
      <c r="B2397" t="s">
        <v>680</v>
      </c>
      <c r="C2397" s="83">
        <v>46075</v>
      </c>
      <c r="D2397" t="s">
        <v>685</v>
      </c>
      <c r="E2397" t="s">
        <v>312</v>
      </c>
      <c r="F2397">
        <v>10</v>
      </c>
      <c r="G2397">
        <v>4.1607833333333302</v>
      </c>
    </row>
    <row r="2398" spans="1:7" x14ac:dyDescent="0.35">
      <c r="A2398" t="s">
        <v>847</v>
      </c>
      <c r="B2398" t="s">
        <v>680</v>
      </c>
      <c r="C2398" s="83">
        <v>46075</v>
      </c>
      <c r="D2398" t="s">
        <v>685</v>
      </c>
      <c r="E2398" t="s">
        <v>126</v>
      </c>
      <c r="F2398">
        <v>7</v>
      </c>
      <c r="G2398">
        <v>5.3435166666666696</v>
      </c>
    </row>
    <row r="2399" spans="1:7" x14ac:dyDescent="0.35">
      <c r="A2399" t="s">
        <v>847</v>
      </c>
      <c r="B2399" t="s">
        <v>680</v>
      </c>
      <c r="C2399" s="83">
        <v>46075</v>
      </c>
      <c r="D2399" t="s">
        <v>685</v>
      </c>
      <c r="E2399" t="s">
        <v>720</v>
      </c>
      <c r="F2399">
        <v>4</v>
      </c>
      <c r="G2399">
        <v>1.83348333333333</v>
      </c>
    </row>
    <row r="2400" spans="1:7" x14ac:dyDescent="0.35">
      <c r="A2400" t="s">
        <v>847</v>
      </c>
      <c r="B2400" t="s">
        <v>680</v>
      </c>
      <c r="C2400" s="83">
        <v>46076</v>
      </c>
      <c r="D2400" t="s">
        <v>681</v>
      </c>
      <c r="E2400" t="s">
        <v>298</v>
      </c>
      <c r="F2400">
        <v>35</v>
      </c>
      <c r="G2400">
        <v>99.135199999999998</v>
      </c>
    </row>
    <row r="2401" spans="1:7" x14ac:dyDescent="0.35">
      <c r="A2401" t="s">
        <v>847</v>
      </c>
      <c r="B2401" t="s">
        <v>680</v>
      </c>
      <c r="C2401" s="83">
        <v>46076</v>
      </c>
      <c r="D2401" t="s">
        <v>681</v>
      </c>
      <c r="E2401" t="s">
        <v>296</v>
      </c>
      <c r="F2401">
        <v>25</v>
      </c>
      <c r="G2401">
        <v>11.33755</v>
      </c>
    </row>
    <row r="2402" spans="1:7" x14ac:dyDescent="0.35">
      <c r="A2402" t="s">
        <v>847</v>
      </c>
      <c r="B2402" t="s">
        <v>680</v>
      </c>
      <c r="C2402" s="83">
        <v>46076</v>
      </c>
      <c r="D2402" t="s">
        <v>681</v>
      </c>
      <c r="E2402" t="s">
        <v>297</v>
      </c>
      <c r="F2402">
        <v>11</v>
      </c>
      <c r="G2402">
        <v>4.8415499999999998</v>
      </c>
    </row>
    <row r="2403" spans="1:7" x14ac:dyDescent="0.35">
      <c r="A2403" t="s">
        <v>847</v>
      </c>
      <c r="B2403" t="s">
        <v>680</v>
      </c>
      <c r="C2403" s="83">
        <v>46076</v>
      </c>
      <c r="D2403" t="s">
        <v>683</v>
      </c>
      <c r="E2403" t="s">
        <v>298</v>
      </c>
      <c r="F2403">
        <v>21</v>
      </c>
      <c r="G2403">
        <v>26.677216666666698</v>
      </c>
    </row>
    <row r="2404" spans="1:7" x14ac:dyDescent="0.35">
      <c r="A2404" t="s">
        <v>847</v>
      </c>
      <c r="B2404" t="s">
        <v>680</v>
      </c>
      <c r="C2404" s="83">
        <v>46076</v>
      </c>
      <c r="D2404" t="s">
        <v>683</v>
      </c>
      <c r="E2404" t="s">
        <v>296</v>
      </c>
      <c r="F2404">
        <v>20</v>
      </c>
      <c r="G2404">
        <v>5.5018333333333302</v>
      </c>
    </row>
    <row r="2405" spans="1:7" x14ac:dyDescent="0.35">
      <c r="A2405" t="s">
        <v>847</v>
      </c>
      <c r="B2405" t="s">
        <v>680</v>
      </c>
      <c r="C2405" s="83">
        <v>46076</v>
      </c>
      <c r="D2405" t="s">
        <v>683</v>
      </c>
      <c r="E2405" t="s">
        <v>334</v>
      </c>
      <c r="F2405">
        <v>6</v>
      </c>
      <c r="G2405">
        <v>7.3322166666666702</v>
      </c>
    </row>
    <row r="2406" spans="1:7" x14ac:dyDescent="0.35">
      <c r="A2406" t="s">
        <v>847</v>
      </c>
      <c r="B2406" t="s">
        <v>680</v>
      </c>
      <c r="C2406" s="83">
        <v>46076</v>
      </c>
      <c r="D2406" t="s">
        <v>689</v>
      </c>
      <c r="E2406" t="s">
        <v>298</v>
      </c>
      <c r="F2406">
        <v>16</v>
      </c>
      <c r="G2406">
        <v>7.3270666666666697</v>
      </c>
    </row>
    <row r="2407" spans="1:7" x14ac:dyDescent="0.35">
      <c r="A2407" t="s">
        <v>847</v>
      </c>
      <c r="B2407" t="s">
        <v>680</v>
      </c>
      <c r="C2407" s="83">
        <v>46076</v>
      </c>
      <c r="D2407" t="s">
        <v>689</v>
      </c>
      <c r="E2407" t="s">
        <v>300</v>
      </c>
      <c r="F2407">
        <v>8</v>
      </c>
      <c r="G2407">
        <v>2.9750000000000001</v>
      </c>
    </row>
    <row r="2408" spans="1:7" x14ac:dyDescent="0.35">
      <c r="A2408" t="s">
        <v>847</v>
      </c>
      <c r="B2408" t="s">
        <v>680</v>
      </c>
      <c r="C2408" s="83">
        <v>46076</v>
      </c>
      <c r="D2408" t="s">
        <v>689</v>
      </c>
      <c r="E2408" t="s">
        <v>297</v>
      </c>
      <c r="F2408">
        <v>6</v>
      </c>
      <c r="G2408">
        <v>1.67265</v>
      </c>
    </row>
    <row r="2409" spans="1:7" x14ac:dyDescent="0.35">
      <c r="A2409" t="s">
        <v>847</v>
      </c>
      <c r="B2409" t="s">
        <v>680</v>
      </c>
      <c r="C2409" s="83">
        <v>46076</v>
      </c>
      <c r="D2409" t="s">
        <v>684</v>
      </c>
      <c r="E2409" t="s">
        <v>297</v>
      </c>
      <c r="F2409">
        <v>7</v>
      </c>
      <c r="G2409">
        <v>2.0006333333333299</v>
      </c>
    </row>
    <row r="2410" spans="1:7" x14ac:dyDescent="0.35">
      <c r="A2410" t="s">
        <v>847</v>
      </c>
      <c r="B2410" t="s">
        <v>680</v>
      </c>
      <c r="C2410" s="83">
        <v>46076</v>
      </c>
      <c r="D2410" t="s">
        <v>684</v>
      </c>
      <c r="E2410" t="s">
        <v>296</v>
      </c>
      <c r="F2410">
        <v>6</v>
      </c>
      <c r="G2410">
        <v>17.677033333333299</v>
      </c>
    </row>
    <row r="2411" spans="1:7" x14ac:dyDescent="0.35">
      <c r="A2411" t="s">
        <v>847</v>
      </c>
      <c r="B2411" t="s">
        <v>680</v>
      </c>
      <c r="C2411" s="83">
        <v>46076</v>
      </c>
      <c r="D2411" t="s">
        <v>684</v>
      </c>
      <c r="E2411" t="s">
        <v>298</v>
      </c>
      <c r="F2411">
        <v>3</v>
      </c>
      <c r="G2411">
        <v>2.8203666666666698</v>
      </c>
    </row>
    <row r="2412" spans="1:7" x14ac:dyDescent="0.35">
      <c r="A2412" t="s">
        <v>847</v>
      </c>
      <c r="B2412" t="s">
        <v>680</v>
      </c>
      <c r="C2412" s="83">
        <v>46076</v>
      </c>
      <c r="D2412" t="s">
        <v>687</v>
      </c>
      <c r="E2412" t="s">
        <v>733</v>
      </c>
      <c r="F2412">
        <v>2</v>
      </c>
      <c r="G2412">
        <v>0.33328333333333299</v>
      </c>
    </row>
    <row r="2413" spans="1:7" x14ac:dyDescent="0.35">
      <c r="A2413" t="s">
        <v>847</v>
      </c>
      <c r="B2413" t="s">
        <v>680</v>
      </c>
      <c r="C2413" s="83">
        <v>46076</v>
      </c>
      <c r="D2413" t="s">
        <v>687</v>
      </c>
      <c r="E2413" t="s">
        <v>722</v>
      </c>
      <c r="F2413">
        <v>2</v>
      </c>
      <c r="G2413">
        <v>3.1748666666666701</v>
      </c>
    </row>
    <row r="2414" spans="1:7" x14ac:dyDescent="0.35">
      <c r="A2414" t="s">
        <v>847</v>
      </c>
      <c r="B2414" t="s">
        <v>680</v>
      </c>
      <c r="C2414" s="83">
        <v>46076</v>
      </c>
      <c r="D2414" t="s">
        <v>687</v>
      </c>
      <c r="E2414" t="s">
        <v>717</v>
      </c>
      <c r="F2414">
        <v>2</v>
      </c>
      <c r="G2414">
        <v>0.33341666666666703</v>
      </c>
    </row>
    <row r="2415" spans="1:7" x14ac:dyDescent="0.35">
      <c r="A2415" t="s">
        <v>847</v>
      </c>
      <c r="B2415" t="s">
        <v>680</v>
      </c>
      <c r="C2415" s="83">
        <v>46076</v>
      </c>
      <c r="D2415" t="s">
        <v>688</v>
      </c>
      <c r="E2415" t="s">
        <v>311</v>
      </c>
      <c r="F2415">
        <v>8</v>
      </c>
      <c r="G2415">
        <v>7.9922166666666703</v>
      </c>
    </row>
    <row r="2416" spans="1:7" x14ac:dyDescent="0.35">
      <c r="A2416" t="s">
        <v>847</v>
      </c>
      <c r="B2416" t="s">
        <v>680</v>
      </c>
      <c r="C2416" s="83">
        <v>46076</v>
      </c>
      <c r="D2416" t="s">
        <v>688</v>
      </c>
      <c r="E2416" t="s">
        <v>338</v>
      </c>
      <c r="F2416">
        <v>8</v>
      </c>
      <c r="G2416">
        <v>3.9939833333333299</v>
      </c>
    </row>
    <row r="2417" spans="1:7" x14ac:dyDescent="0.35">
      <c r="A2417" t="s">
        <v>847</v>
      </c>
      <c r="B2417" t="s">
        <v>680</v>
      </c>
      <c r="C2417" s="83">
        <v>46076</v>
      </c>
      <c r="D2417" t="s">
        <v>688</v>
      </c>
      <c r="E2417" t="s">
        <v>720</v>
      </c>
      <c r="F2417">
        <v>5</v>
      </c>
      <c r="G2417">
        <v>1.66093333333333</v>
      </c>
    </row>
    <row r="2418" spans="1:7" x14ac:dyDescent="0.35">
      <c r="A2418" t="s">
        <v>847</v>
      </c>
      <c r="B2418" t="s">
        <v>680</v>
      </c>
      <c r="C2418" s="83">
        <v>46076</v>
      </c>
      <c r="D2418" t="s">
        <v>690</v>
      </c>
      <c r="E2418" t="s">
        <v>724</v>
      </c>
      <c r="F2418">
        <v>5</v>
      </c>
      <c r="G2418">
        <v>19.9933333333333</v>
      </c>
    </row>
    <row r="2419" spans="1:7" x14ac:dyDescent="0.35">
      <c r="A2419" t="s">
        <v>847</v>
      </c>
      <c r="B2419" t="s">
        <v>680</v>
      </c>
      <c r="C2419" s="83">
        <v>46076</v>
      </c>
      <c r="D2419" t="s">
        <v>690</v>
      </c>
      <c r="E2419" t="s">
        <v>720</v>
      </c>
      <c r="F2419">
        <v>5</v>
      </c>
      <c r="G2419">
        <v>3.3399333333333301</v>
      </c>
    </row>
    <row r="2420" spans="1:7" x14ac:dyDescent="0.35">
      <c r="A2420" t="s">
        <v>847</v>
      </c>
      <c r="B2420" t="s">
        <v>680</v>
      </c>
      <c r="C2420" s="83">
        <v>46076</v>
      </c>
      <c r="D2420" t="s">
        <v>690</v>
      </c>
      <c r="E2420" t="s">
        <v>311</v>
      </c>
      <c r="F2420">
        <v>3</v>
      </c>
      <c r="G2420">
        <v>1.0003500000000001</v>
      </c>
    </row>
    <row r="2421" spans="1:7" x14ac:dyDescent="0.35">
      <c r="A2421" t="s">
        <v>847</v>
      </c>
      <c r="B2421" t="s">
        <v>680</v>
      </c>
      <c r="C2421" s="83">
        <v>46076</v>
      </c>
      <c r="D2421" t="s">
        <v>685</v>
      </c>
      <c r="E2421" t="s">
        <v>720</v>
      </c>
      <c r="F2421">
        <v>9</v>
      </c>
      <c r="G2421">
        <v>14.360566666666699</v>
      </c>
    </row>
    <row r="2422" spans="1:7" x14ac:dyDescent="0.35">
      <c r="A2422" t="s">
        <v>847</v>
      </c>
      <c r="B2422" t="s">
        <v>680</v>
      </c>
      <c r="C2422" s="83">
        <v>46076</v>
      </c>
      <c r="D2422" t="s">
        <v>685</v>
      </c>
      <c r="E2422" t="s">
        <v>311</v>
      </c>
      <c r="F2422">
        <v>6</v>
      </c>
      <c r="G2422">
        <v>4.3270166666666698</v>
      </c>
    </row>
    <row r="2423" spans="1:7" x14ac:dyDescent="0.35">
      <c r="A2423" t="s">
        <v>847</v>
      </c>
      <c r="B2423" t="s">
        <v>680</v>
      </c>
      <c r="C2423" s="83">
        <v>46076</v>
      </c>
      <c r="D2423" t="s">
        <v>685</v>
      </c>
      <c r="E2423" t="s">
        <v>312</v>
      </c>
      <c r="F2423">
        <v>6</v>
      </c>
      <c r="G2423">
        <v>1.6732166666666699</v>
      </c>
    </row>
    <row r="2424" spans="1:7" x14ac:dyDescent="0.35">
      <c r="A2424" t="s">
        <v>847</v>
      </c>
      <c r="B2424" t="s">
        <v>680</v>
      </c>
      <c r="C2424" s="83">
        <v>46077</v>
      </c>
      <c r="D2424" t="s">
        <v>681</v>
      </c>
      <c r="E2424" t="s">
        <v>296</v>
      </c>
      <c r="F2424">
        <v>18</v>
      </c>
      <c r="G2424">
        <v>6.1627000000000001</v>
      </c>
    </row>
    <row r="2425" spans="1:7" x14ac:dyDescent="0.35">
      <c r="A2425" t="s">
        <v>847</v>
      </c>
      <c r="B2425" t="s">
        <v>680</v>
      </c>
      <c r="C2425" s="83">
        <v>46077</v>
      </c>
      <c r="D2425" t="s">
        <v>681</v>
      </c>
      <c r="E2425" t="s">
        <v>298</v>
      </c>
      <c r="F2425">
        <v>16</v>
      </c>
      <c r="G2425">
        <v>33.492166666666698</v>
      </c>
    </row>
    <row r="2426" spans="1:7" x14ac:dyDescent="0.35">
      <c r="A2426" t="s">
        <v>847</v>
      </c>
      <c r="B2426" t="s">
        <v>680</v>
      </c>
      <c r="C2426" s="83">
        <v>46077</v>
      </c>
      <c r="D2426" t="s">
        <v>681</v>
      </c>
      <c r="E2426" t="s">
        <v>297</v>
      </c>
      <c r="F2426">
        <v>10</v>
      </c>
      <c r="G2426">
        <v>2.67665</v>
      </c>
    </row>
    <row r="2427" spans="1:7" x14ac:dyDescent="0.35">
      <c r="A2427" t="s">
        <v>847</v>
      </c>
      <c r="B2427" t="s">
        <v>680</v>
      </c>
      <c r="C2427" s="83">
        <v>46077</v>
      </c>
      <c r="D2427" t="s">
        <v>683</v>
      </c>
      <c r="E2427" t="s">
        <v>645</v>
      </c>
      <c r="F2427">
        <v>6</v>
      </c>
      <c r="G2427">
        <v>1.16668333333333</v>
      </c>
    </row>
    <row r="2428" spans="1:7" x14ac:dyDescent="0.35">
      <c r="A2428" t="s">
        <v>847</v>
      </c>
      <c r="B2428" t="s">
        <v>680</v>
      </c>
      <c r="C2428" s="83">
        <v>46077</v>
      </c>
      <c r="D2428" t="s">
        <v>683</v>
      </c>
      <c r="E2428" t="s">
        <v>334</v>
      </c>
      <c r="F2428">
        <v>4</v>
      </c>
      <c r="G2428">
        <v>2.50626666666667</v>
      </c>
    </row>
    <row r="2429" spans="1:7" x14ac:dyDescent="0.35">
      <c r="A2429" t="s">
        <v>847</v>
      </c>
      <c r="B2429" t="s">
        <v>680</v>
      </c>
      <c r="C2429" s="83">
        <v>46077</v>
      </c>
      <c r="D2429" t="s">
        <v>683</v>
      </c>
      <c r="E2429" t="s">
        <v>297</v>
      </c>
      <c r="F2429">
        <v>3</v>
      </c>
      <c r="G2429">
        <v>1.0003833333333301</v>
      </c>
    </row>
    <row r="2430" spans="1:7" x14ac:dyDescent="0.35">
      <c r="A2430" t="s">
        <v>847</v>
      </c>
      <c r="B2430" t="s">
        <v>680</v>
      </c>
      <c r="C2430" s="83">
        <v>46077</v>
      </c>
      <c r="D2430" t="s">
        <v>689</v>
      </c>
      <c r="E2430" t="s">
        <v>298</v>
      </c>
      <c r="F2430">
        <v>9</v>
      </c>
      <c r="G2430">
        <v>6.1570999999999998</v>
      </c>
    </row>
    <row r="2431" spans="1:7" x14ac:dyDescent="0.35">
      <c r="A2431" t="s">
        <v>847</v>
      </c>
      <c r="B2431" t="s">
        <v>680</v>
      </c>
      <c r="C2431" s="83">
        <v>46077</v>
      </c>
      <c r="D2431" t="s">
        <v>689</v>
      </c>
      <c r="E2431" t="s">
        <v>645</v>
      </c>
      <c r="F2431">
        <v>6</v>
      </c>
      <c r="G2431">
        <v>1.0159499999999999</v>
      </c>
    </row>
    <row r="2432" spans="1:7" x14ac:dyDescent="0.35">
      <c r="A2432" t="s">
        <v>847</v>
      </c>
      <c r="B2432" t="s">
        <v>680</v>
      </c>
      <c r="C2432" s="83">
        <v>46077</v>
      </c>
      <c r="D2432" t="s">
        <v>689</v>
      </c>
      <c r="E2432" t="s">
        <v>300</v>
      </c>
      <c r="F2432">
        <v>4</v>
      </c>
      <c r="G2432">
        <v>2.1589</v>
      </c>
    </row>
    <row r="2433" spans="1:7" x14ac:dyDescent="0.35">
      <c r="A2433" t="s">
        <v>847</v>
      </c>
      <c r="B2433" t="s">
        <v>680</v>
      </c>
      <c r="C2433" s="83">
        <v>46077</v>
      </c>
      <c r="D2433" t="s">
        <v>684</v>
      </c>
      <c r="E2433" t="s">
        <v>296</v>
      </c>
      <c r="F2433">
        <v>4</v>
      </c>
      <c r="G2433">
        <v>1.65913333333333</v>
      </c>
    </row>
    <row r="2434" spans="1:7" x14ac:dyDescent="0.35">
      <c r="A2434" t="s">
        <v>847</v>
      </c>
      <c r="B2434" t="s">
        <v>680</v>
      </c>
      <c r="C2434" s="83">
        <v>46077</v>
      </c>
      <c r="D2434" t="s">
        <v>684</v>
      </c>
      <c r="E2434" t="s">
        <v>297</v>
      </c>
      <c r="F2434">
        <v>3</v>
      </c>
      <c r="G2434">
        <v>2.8396166666666698</v>
      </c>
    </row>
    <row r="2435" spans="1:7" x14ac:dyDescent="0.35">
      <c r="A2435" t="s">
        <v>847</v>
      </c>
      <c r="B2435" t="s">
        <v>680</v>
      </c>
      <c r="C2435" s="83">
        <v>46077</v>
      </c>
      <c r="D2435" t="s">
        <v>684</v>
      </c>
      <c r="E2435" t="s">
        <v>334</v>
      </c>
      <c r="F2435">
        <v>2</v>
      </c>
      <c r="G2435">
        <v>29.346733333333301</v>
      </c>
    </row>
    <row r="2436" spans="1:7" x14ac:dyDescent="0.35">
      <c r="A2436" t="s">
        <v>847</v>
      </c>
      <c r="B2436" t="s">
        <v>680</v>
      </c>
      <c r="C2436" s="83">
        <v>46077</v>
      </c>
      <c r="D2436" t="s">
        <v>687</v>
      </c>
      <c r="E2436" t="s">
        <v>754</v>
      </c>
      <c r="F2436">
        <v>3</v>
      </c>
      <c r="G2436">
        <v>3.8346833333333299</v>
      </c>
    </row>
    <row r="2437" spans="1:7" x14ac:dyDescent="0.35">
      <c r="A2437" t="s">
        <v>847</v>
      </c>
      <c r="B2437" t="s">
        <v>680</v>
      </c>
      <c r="C2437" s="83">
        <v>46077</v>
      </c>
      <c r="D2437" t="s">
        <v>687</v>
      </c>
      <c r="E2437" t="s">
        <v>718</v>
      </c>
      <c r="F2437">
        <v>2</v>
      </c>
      <c r="G2437">
        <v>2.33408333333333</v>
      </c>
    </row>
    <row r="2438" spans="1:7" x14ac:dyDescent="0.35">
      <c r="A2438" t="s">
        <v>847</v>
      </c>
      <c r="B2438" t="s">
        <v>680</v>
      </c>
      <c r="C2438" s="83">
        <v>46077</v>
      </c>
      <c r="D2438" t="s">
        <v>687</v>
      </c>
      <c r="E2438" t="s">
        <v>729</v>
      </c>
      <c r="F2438">
        <v>2</v>
      </c>
      <c r="G2438">
        <v>0.16694999999999999</v>
      </c>
    </row>
    <row r="2439" spans="1:7" x14ac:dyDescent="0.35">
      <c r="A2439" t="s">
        <v>847</v>
      </c>
      <c r="B2439" t="s">
        <v>680</v>
      </c>
      <c r="C2439" s="83">
        <v>46077</v>
      </c>
      <c r="D2439" t="s">
        <v>688</v>
      </c>
      <c r="E2439" t="s">
        <v>316</v>
      </c>
      <c r="F2439">
        <v>6</v>
      </c>
      <c r="G2439">
        <v>3.0003833333333301</v>
      </c>
    </row>
    <row r="2440" spans="1:7" x14ac:dyDescent="0.35">
      <c r="A2440" t="s">
        <v>847</v>
      </c>
      <c r="B2440" t="s">
        <v>680</v>
      </c>
      <c r="C2440" s="83">
        <v>46077</v>
      </c>
      <c r="D2440" t="s">
        <v>688</v>
      </c>
      <c r="E2440" t="s">
        <v>312</v>
      </c>
      <c r="F2440">
        <v>2</v>
      </c>
      <c r="G2440">
        <v>1.99956666666667</v>
      </c>
    </row>
    <row r="2441" spans="1:7" x14ac:dyDescent="0.35">
      <c r="A2441" t="s">
        <v>847</v>
      </c>
      <c r="B2441" t="s">
        <v>680</v>
      </c>
      <c r="C2441" s="83">
        <v>46077</v>
      </c>
      <c r="D2441" t="s">
        <v>690</v>
      </c>
      <c r="E2441" t="s">
        <v>311</v>
      </c>
      <c r="F2441">
        <v>6</v>
      </c>
      <c r="G2441">
        <v>2.8492833333333301</v>
      </c>
    </row>
    <row r="2442" spans="1:7" x14ac:dyDescent="0.35">
      <c r="A2442" t="s">
        <v>847</v>
      </c>
      <c r="B2442" t="s">
        <v>680</v>
      </c>
      <c r="C2442" s="83">
        <v>46077</v>
      </c>
      <c r="D2442" t="s">
        <v>690</v>
      </c>
      <c r="E2442" t="s">
        <v>316</v>
      </c>
      <c r="F2442">
        <v>4</v>
      </c>
      <c r="G2442">
        <v>2.8263500000000001</v>
      </c>
    </row>
    <row r="2443" spans="1:7" x14ac:dyDescent="0.35">
      <c r="A2443" t="s">
        <v>847</v>
      </c>
      <c r="B2443" t="s">
        <v>680</v>
      </c>
      <c r="C2443" s="83">
        <v>46077</v>
      </c>
      <c r="D2443" t="s">
        <v>690</v>
      </c>
      <c r="E2443" t="s">
        <v>720</v>
      </c>
      <c r="F2443">
        <v>3</v>
      </c>
      <c r="G2443">
        <v>1.0015333333333301</v>
      </c>
    </row>
    <row r="2444" spans="1:7" x14ac:dyDescent="0.35">
      <c r="A2444" t="s">
        <v>847</v>
      </c>
      <c r="B2444" t="s">
        <v>680</v>
      </c>
      <c r="C2444" s="83">
        <v>46077</v>
      </c>
      <c r="D2444" t="s">
        <v>685</v>
      </c>
      <c r="E2444" t="s">
        <v>720</v>
      </c>
      <c r="F2444">
        <v>4</v>
      </c>
      <c r="G2444">
        <v>2.3340999999999998</v>
      </c>
    </row>
    <row r="2445" spans="1:7" x14ac:dyDescent="0.35">
      <c r="A2445" t="s">
        <v>847</v>
      </c>
      <c r="B2445" t="s">
        <v>680</v>
      </c>
      <c r="C2445" s="83">
        <v>46078</v>
      </c>
      <c r="D2445" t="s">
        <v>681</v>
      </c>
      <c r="E2445" t="s">
        <v>296</v>
      </c>
      <c r="F2445">
        <v>56</v>
      </c>
      <c r="G2445">
        <v>33.822083333333303</v>
      </c>
    </row>
    <row r="2446" spans="1:7" x14ac:dyDescent="0.35">
      <c r="A2446" t="s">
        <v>847</v>
      </c>
      <c r="B2446" t="s">
        <v>680</v>
      </c>
      <c r="C2446" s="83">
        <v>46078</v>
      </c>
      <c r="D2446" t="s">
        <v>681</v>
      </c>
      <c r="E2446" t="s">
        <v>297</v>
      </c>
      <c r="F2446">
        <v>18</v>
      </c>
      <c r="G2446">
        <v>10.4873666666667</v>
      </c>
    </row>
    <row r="2447" spans="1:7" x14ac:dyDescent="0.35">
      <c r="A2447" t="s">
        <v>847</v>
      </c>
      <c r="B2447" t="s">
        <v>680</v>
      </c>
      <c r="C2447" s="83">
        <v>46078</v>
      </c>
      <c r="D2447" t="s">
        <v>681</v>
      </c>
      <c r="E2447" t="s">
        <v>298</v>
      </c>
      <c r="F2447">
        <v>9</v>
      </c>
      <c r="G2447">
        <v>8.1666333333333299</v>
      </c>
    </row>
    <row r="2448" spans="1:7" x14ac:dyDescent="0.35">
      <c r="A2448" t="s">
        <v>847</v>
      </c>
      <c r="B2448" t="s">
        <v>680</v>
      </c>
      <c r="C2448" s="83">
        <v>46078</v>
      </c>
      <c r="D2448" t="s">
        <v>683</v>
      </c>
      <c r="E2448" t="s">
        <v>730</v>
      </c>
      <c r="F2448">
        <v>17</v>
      </c>
      <c r="G2448">
        <v>10.63875</v>
      </c>
    </row>
    <row r="2449" spans="1:7" x14ac:dyDescent="0.35">
      <c r="A2449" t="s">
        <v>847</v>
      </c>
      <c r="B2449" t="s">
        <v>680</v>
      </c>
      <c r="C2449" s="83">
        <v>46078</v>
      </c>
      <c r="D2449" t="s">
        <v>683</v>
      </c>
      <c r="E2449" t="s">
        <v>298</v>
      </c>
      <c r="F2449">
        <v>13</v>
      </c>
      <c r="G2449">
        <v>17.507549999999998</v>
      </c>
    </row>
    <row r="2450" spans="1:7" x14ac:dyDescent="0.35">
      <c r="A2450" t="s">
        <v>847</v>
      </c>
      <c r="B2450" t="s">
        <v>680</v>
      </c>
      <c r="C2450" s="83">
        <v>46078</v>
      </c>
      <c r="D2450" t="s">
        <v>683</v>
      </c>
      <c r="E2450" t="s">
        <v>343</v>
      </c>
      <c r="F2450">
        <v>12</v>
      </c>
      <c r="G2450">
        <v>6.0014833333333302</v>
      </c>
    </row>
    <row r="2451" spans="1:7" x14ac:dyDescent="0.35">
      <c r="A2451" t="s">
        <v>847</v>
      </c>
      <c r="B2451" t="s">
        <v>680</v>
      </c>
      <c r="C2451" s="83">
        <v>46078</v>
      </c>
      <c r="D2451" t="s">
        <v>689</v>
      </c>
      <c r="E2451" t="s">
        <v>298</v>
      </c>
      <c r="F2451">
        <v>32</v>
      </c>
      <c r="G2451">
        <v>13.6688833333333</v>
      </c>
    </row>
    <row r="2452" spans="1:7" x14ac:dyDescent="0.35">
      <c r="A2452" t="s">
        <v>847</v>
      </c>
      <c r="B2452" t="s">
        <v>680</v>
      </c>
      <c r="C2452" s="83">
        <v>46078</v>
      </c>
      <c r="D2452" t="s">
        <v>689</v>
      </c>
      <c r="E2452" t="s">
        <v>297</v>
      </c>
      <c r="F2452">
        <v>14</v>
      </c>
      <c r="G2452">
        <v>5.4917166666666697</v>
      </c>
    </row>
    <row r="2453" spans="1:7" x14ac:dyDescent="0.35">
      <c r="A2453" t="s">
        <v>847</v>
      </c>
      <c r="B2453" t="s">
        <v>680</v>
      </c>
      <c r="C2453" s="83">
        <v>46078</v>
      </c>
      <c r="D2453" t="s">
        <v>689</v>
      </c>
      <c r="E2453" t="s">
        <v>296</v>
      </c>
      <c r="F2453">
        <v>14</v>
      </c>
      <c r="G2453">
        <v>27.834433333333301</v>
      </c>
    </row>
    <row r="2454" spans="1:7" x14ac:dyDescent="0.35">
      <c r="A2454" t="s">
        <v>847</v>
      </c>
      <c r="B2454" t="s">
        <v>680</v>
      </c>
      <c r="C2454" s="83">
        <v>46078</v>
      </c>
      <c r="D2454" t="s">
        <v>684</v>
      </c>
      <c r="E2454" t="s">
        <v>296</v>
      </c>
      <c r="F2454">
        <v>5</v>
      </c>
      <c r="G2454">
        <v>4.9954166666666699</v>
      </c>
    </row>
    <row r="2455" spans="1:7" x14ac:dyDescent="0.35">
      <c r="A2455" t="s">
        <v>847</v>
      </c>
      <c r="B2455" t="s">
        <v>680</v>
      </c>
      <c r="C2455" s="83">
        <v>46078</v>
      </c>
      <c r="D2455" t="s">
        <v>684</v>
      </c>
      <c r="E2455" t="s">
        <v>300</v>
      </c>
      <c r="F2455">
        <v>4</v>
      </c>
      <c r="G2455">
        <v>2.5147166666666698</v>
      </c>
    </row>
    <row r="2456" spans="1:7" x14ac:dyDescent="0.35">
      <c r="A2456" t="s">
        <v>847</v>
      </c>
      <c r="B2456" t="s">
        <v>680</v>
      </c>
      <c r="C2456" s="83">
        <v>46078</v>
      </c>
      <c r="D2456" t="s">
        <v>684</v>
      </c>
      <c r="E2456" t="s">
        <v>297</v>
      </c>
      <c r="F2456">
        <v>4</v>
      </c>
      <c r="G2456">
        <v>2.4963333333333302</v>
      </c>
    </row>
    <row r="2457" spans="1:7" x14ac:dyDescent="0.35">
      <c r="A2457" t="s">
        <v>847</v>
      </c>
      <c r="B2457" t="s">
        <v>680</v>
      </c>
      <c r="C2457" s="83">
        <v>46078</v>
      </c>
      <c r="D2457" t="s">
        <v>687</v>
      </c>
      <c r="E2457" t="s">
        <v>717</v>
      </c>
      <c r="F2457">
        <v>5</v>
      </c>
      <c r="G2457">
        <v>5.9997499999999997</v>
      </c>
    </row>
    <row r="2458" spans="1:7" x14ac:dyDescent="0.35">
      <c r="A2458" t="s">
        <v>847</v>
      </c>
      <c r="B2458" t="s">
        <v>680</v>
      </c>
      <c r="C2458" s="83">
        <v>46078</v>
      </c>
      <c r="D2458" t="s">
        <v>687</v>
      </c>
      <c r="E2458" t="s">
        <v>754</v>
      </c>
      <c r="F2458">
        <v>3</v>
      </c>
      <c r="G2458">
        <v>1.50118333333333</v>
      </c>
    </row>
    <row r="2459" spans="1:7" x14ac:dyDescent="0.35">
      <c r="A2459" t="s">
        <v>847</v>
      </c>
      <c r="B2459" t="s">
        <v>680</v>
      </c>
      <c r="C2459" s="83">
        <v>46078</v>
      </c>
      <c r="D2459" t="s">
        <v>687</v>
      </c>
      <c r="E2459" t="s">
        <v>718</v>
      </c>
      <c r="F2459">
        <v>3</v>
      </c>
      <c r="G2459">
        <v>1.49996666666667</v>
      </c>
    </row>
    <row r="2460" spans="1:7" x14ac:dyDescent="0.35">
      <c r="A2460" t="s">
        <v>847</v>
      </c>
      <c r="B2460" t="s">
        <v>680</v>
      </c>
      <c r="C2460" s="83">
        <v>46078</v>
      </c>
      <c r="D2460" t="s">
        <v>688</v>
      </c>
      <c r="E2460" t="s">
        <v>720</v>
      </c>
      <c r="F2460">
        <v>11</v>
      </c>
      <c r="G2460">
        <v>8.83653333333333</v>
      </c>
    </row>
    <row r="2461" spans="1:7" x14ac:dyDescent="0.35">
      <c r="A2461" t="s">
        <v>847</v>
      </c>
      <c r="B2461" t="s">
        <v>680</v>
      </c>
      <c r="C2461" s="83">
        <v>46078</v>
      </c>
      <c r="D2461" t="s">
        <v>688</v>
      </c>
      <c r="E2461" t="s">
        <v>321</v>
      </c>
      <c r="F2461">
        <v>9</v>
      </c>
      <c r="G2461">
        <v>4.1660833333333303</v>
      </c>
    </row>
    <row r="2462" spans="1:7" x14ac:dyDescent="0.35">
      <c r="A2462" t="s">
        <v>847</v>
      </c>
      <c r="B2462" t="s">
        <v>680</v>
      </c>
      <c r="C2462" s="83">
        <v>46078</v>
      </c>
      <c r="D2462" t="s">
        <v>688</v>
      </c>
      <c r="E2462" t="s">
        <v>338</v>
      </c>
      <c r="F2462">
        <v>8</v>
      </c>
      <c r="G2462">
        <v>5.6766500000000004</v>
      </c>
    </row>
    <row r="2463" spans="1:7" x14ac:dyDescent="0.35">
      <c r="A2463" t="s">
        <v>847</v>
      </c>
      <c r="B2463" t="s">
        <v>680</v>
      </c>
      <c r="C2463" s="83">
        <v>46078</v>
      </c>
      <c r="D2463" t="s">
        <v>690</v>
      </c>
      <c r="E2463" t="s">
        <v>311</v>
      </c>
      <c r="F2463">
        <v>26</v>
      </c>
      <c r="G2463">
        <v>15.2031666666667</v>
      </c>
    </row>
    <row r="2464" spans="1:7" x14ac:dyDescent="0.35">
      <c r="A2464" t="s">
        <v>847</v>
      </c>
      <c r="B2464" t="s">
        <v>680</v>
      </c>
      <c r="C2464" s="83">
        <v>46078</v>
      </c>
      <c r="D2464" t="s">
        <v>690</v>
      </c>
      <c r="E2464" t="s">
        <v>720</v>
      </c>
      <c r="F2464">
        <v>9</v>
      </c>
      <c r="G2464">
        <v>24.659516666666701</v>
      </c>
    </row>
    <row r="2465" spans="1:7" x14ac:dyDescent="0.35">
      <c r="A2465" t="s">
        <v>847</v>
      </c>
      <c r="B2465" t="s">
        <v>680</v>
      </c>
      <c r="C2465" s="83">
        <v>46078</v>
      </c>
      <c r="D2465" t="s">
        <v>690</v>
      </c>
      <c r="E2465" t="s">
        <v>321</v>
      </c>
      <c r="F2465">
        <v>3</v>
      </c>
      <c r="G2465">
        <v>1.1659333333333299</v>
      </c>
    </row>
    <row r="2466" spans="1:7" x14ac:dyDescent="0.35">
      <c r="A2466" t="s">
        <v>847</v>
      </c>
      <c r="B2466" t="s">
        <v>680</v>
      </c>
      <c r="C2466" s="83">
        <v>46078</v>
      </c>
      <c r="D2466" t="s">
        <v>685</v>
      </c>
      <c r="E2466" t="s">
        <v>311</v>
      </c>
      <c r="F2466">
        <v>27</v>
      </c>
      <c r="G2466">
        <v>21.8380333333333</v>
      </c>
    </row>
    <row r="2467" spans="1:7" x14ac:dyDescent="0.35">
      <c r="A2467" t="s">
        <v>847</v>
      </c>
      <c r="B2467" t="s">
        <v>680</v>
      </c>
      <c r="C2467" s="83">
        <v>46078</v>
      </c>
      <c r="D2467" t="s">
        <v>685</v>
      </c>
      <c r="E2467" t="s">
        <v>316</v>
      </c>
      <c r="F2467">
        <v>22</v>
      </c>
      <c r="G2467">
        <v>12.323183333333301</v>
      </c>
    </row>
    <row r="2468" spans="1:7" x14ac:dyDescent="0.35">
      <c r="A2468" t="s">
        <v>847</v>
      </c>
      <c r="B2468" t="s">
        <v>680</v>
      </c>
      <c r="C2468" s="83">
        <v>46078</v>
      </c>
      <c r="D2468" t="s">
        <v>685</v>
      </c>
      <c r="E2468" t="s">
        <v>312</v>
      </c>
      <c r="F2468">
        <v>8</v>
      </c>
      <c r="G2468">
        <v>3.0027499999999998</v>
      </c>
    </row>
    <row r="2469" spans="1:7" x14ac:dyDescent="0.35">
      <c r="A2469" t="s">
        <v>847</v>
      </c>
      <c r="B2469" t="s">
        <v>680</v>
      </c>
      <c r="C2469" s="83">
        <v>46079</v>
      </c>
      <c r="D2469" t="s">
        <v>681</v>
      </c>
      <c r="E2469" t="s">
        <v>298</v>
      </c>
      <c r="F2469">
        <v>19</v>
      </c>
      <c r="G2469">
        <v>16.981666666666701</v>
      </c>
    </row>
    <row r="2470" spans="1:7" x14ac:dyDescent="0.35">
      <c r="A2470" t="s">
        <v>847</v>
      </c>
      <c r="B2470" t="s">
        <v>680</v>
      </c>
      <c r="C2470" s="83">
        <v>46079</v>
      </c>
      <c r="D2470" t="s">
        <v>681</v>
      </c>
      <c r="E2470" t="s">
        <v>296</v>
      </c>
      <c r="F2470">
        <v>14</v>
      </c>
      <c r="G2470">
        <v>5.9861500000000003</v>
      </c>
    </row>
    <row r="2471" spans="1:7" x14ac:dyDescent="0.35">
      <c r="A2471" t="s">
        <v>847</v>
      </c>
      <c r="B2471" t="s">
        <v>680</v>
      </c>
      <c r="C2471" s="83">
        <v>46079</v>
      </c>
      <c r="D2471" t="s">
        <v>681</v>
      </c>
      <c r="E2471" t="s">
        <v>297</v>
      </c>
      <c r="F2471">
        <v>12</v>
      </c>
      <c r="G2471">
        <v>7.0163000000000002</v>
      </c>
    </row>
    <row r="2472" spans="1:7" x14ac:dyDescent="0.35">
      <c r="A2472" t="s">
        <v>847</v>
      </c>
      <c r="B2472" t="s">
        <v>680</v>
      </c>
      <c r="C2472" s="83">
        <v>46079</v>
      </c>
      <c r="D2472" t="s">
        <v>683</v>
      </c>
      <c r="E2472" t="s">
        <v>730</v>
      </c>
      <c r="F2472">
        <v>19</v>
      </c>
      <c r="G2472">
        <v>7.3314833333333302</v>
      </c>
    </row>
    <row r="2473" spans="1:7" x14ac:dyDescent="0.35">
      <c r="A2473" t="s">
        <v>847</v>
      </c>
      <c r="B2473" t="s">
        <v>680</v>
      </c>
      <c r="C2473" s="83">
        <v>46079</v>
      </c>
      <c r="D2473" t="s">
        <v>683</v>
      </c>
      <c r="E2473" t="s">
        <v>727</v>
      </c>
      <c r="F2473">
        <v>17</v>
      </c>
      <c r="G2473">
        <v>11.8303666666667</v>
      </c>
    </row>
    <row r="2474" spans="1:7" x14ac:dyDescent="0.35">
      <c r="A2474" t="s">
        <v>847</v>
      </c>
      <c r="B2474" t="s">
        <v>680</v>
      </c>
      <c r="C2474" s="83">
        <v>46079</v>
      </c>
      <c r="D2474" t="s">
        <v>683</v>
      </c>
      <c r="E2474" t="s">
        <v>343</v>
      </c>
      <c r="F2474">
        <v>15</v>
      </c>
      <c r="G2474">
        <v>8.0201833333333301</v>
      </c>
    </row>
    <row r="2475" spans="1:7" x14ac:dyDescent="0.35">
      <c r="A2475" t="s">
        <v>847</v>
      </c>
      <c r="B2475" t="s">
        <v>680</v>
      </c>
      <c r="C2475" s="83">
        <v>46079</v>
      </c>
      <c r="D2475" t="s">
        <v>689</v>
      </c>
      <c r="E2475" t="s">
        <v>298</v>
      </c>
      <c r="F2475">
        <v>23</v>
      </c>
      <c r="G2475">
        <v>21.170466666666702</v>
      </c>
    </row>
    <row r="2476" spans="1:7" x14ac:dyDescent="0.35">
      <c r="A2476" t="s">
        <v>847</v>
      </c>
      <c r="B2476" t="s">
        <v>680</v>
      </c>
      <c r="C2476" s="83">
        <v>46079</v>
      </c>
      <c r="D2476" t="s">
        <v>689</v>
      </c>
      <c r="E2476" t="s">
        <v>296</v>
      </c>
      <c r="F2476">
        <v>15</v>
      </c>
      <c r="G2476">
        <v>14.8205666666667</v>
      </c>
    </row>
    <row r="2477" spans="1:7" x14ac:dyDescent="0.35">
      <c r="A2477" t="s">
        <v>847</v>
      </c>
      <c r="B2477" t="s">
        <v>680</v>
      </c>
      <c r="C2477" s="83">
        <v>46079</v>
      </c>
      <c r="D2477" t="s">
        <v>689</v>
      </c>
      <c r="E2477" t="s">
        <v>727</v>
      </c>
      <c r="F2477">
        <v>9</v>
      </c>
      <c r="G2477">
        <v>18.171483333333299</v>
      </c>
    </row>
    <row r="2478" spans="1:7" x14ac:dyDescent="0.35">
      <c r="A2478" t="s">
        <v>847</v>
      </c>
      <c r="B2478" t="s">
        <v>680</v>
      </c>
      <c r="C2478" s="83">
        <v>46079</v>
      </c>
      <c r="D2478" t="s">
        <v>684</v>
      </c>
      <c r="E2478" t="s">
        <v>300</v>
      </c>
      <c r="F2478">
        <v>3</v>
      </c>
      <c r="G2478">
        <v>1.18001666666667</v>
      </c>
    </row>
    <row r="2479" spans="1:7" x14ac:dyDescent="0.35">
      <c r="A2479" t="s">
        <v>847</v>
      </c>
      <c r="B2479" t="s">
        <v>680</v>
      </c>
      <c r="C2479" s="83">
        <v>46079</v>
      </c>
      <c r="D2479" t="s">
        <v>684</v>
      </c>
      <c r="E2479" t="s">
        <v>737</v>
      </c>
      <c r="F2479">
        <v>3</v>
      </c>
      <c r="G2479">
        <v>0.66041666666666698</v>
      </c>
    </row>
    <row r="2480" spans="1:7" x14ac:dyDescent="0.35">
      <c r="A2480" t="s">
        <v>847</v>
      </c>
      <c r="B2480" t="s">
        <v>680</v>
      </c>
      <c r="C2480" s="83">
        <v>46079</v>
      </c>
      <c r="D2480" t="s">
        <v>684</v>
      </c>
      <c r="E2480" t="s">
        <v>334</v>
      </c>
      <c r="F2480">
        <v>2</v>
      </c>
      <c r="G2480">
        <v>0.17421666666666699</v>
      </c>
    </row>
    <row r="2481" spans="1:7" x14ac:dyDescent="0.35">
      <c r="A2481" t="s">
        <v>847</v>
      </c>
      <c r="B2481" t="s">
        <v>680</v>
      </c>
      <c r="C2481" s="83">
        <v>46079</v>
      </c>
      <c r="D2481" t="s">
        <v>687</v>
      </c>
      <c r="E2481" t="s">
        <v>717</v>
      </c>
      <c r="F2481">
        <v>4</v>
      </c>
      <c r="G2481">
        <v>5.8311333333333302</v>
      </c>
    </row>
    <row r="2482" spans="1:7" x14ac:dyDescent="0.35">
      <c r="A2482" t="s">
        <v>847</v>
      </c>
      <c r="B2482" t="s">
        <v>680</v>
      </c>
      <c r="C2482" s="83">
        <v>46079</v>
      </c>
      <c r="D2482" t="s">
        <v>687</v>
      </c>
      <c r="E2482" t="s">
        <v>718</v>
      </c>
      <c r="F2482">
        <v>2</v>
      </c>
      <c r="G2482">
        <v>0.16700000000000001</v>
      </c>
    </row>
    <row r="2483" spans="1:7" x14ac:dyDescent="0.35">
      <c r="A2483" t="s">
        <v>847</v>
      </c>
      <c r="B2483" t="s">
        <v>680</v>
      </c>
      <c r="C2483" s="83">
        <v>46079</v>
      </c>
      <c r="D2483" t="s">
        <v>688</v>
      </c>
      <c r="E2483" t="s">
        <v>311</v>
      </c>
      <c r="F2483">
        <v>16</v>
      </c>
      <c r="G2483">
        <v>10.9959166666667</v>
      </c>
    </row>
    <row r="2484" spans="1:7" x14ac:dyDescent="0.35">
      <c r="A2484" t="s">
        <v>847</v>
      </c>
      <c r="B2484" t="s">
        <v>680</v>
      </c>
      <c r="C2484" s="83">
        <v>46079</v>
      </c>
      <c r="D2484" t="s">
        <v>688</v>
      </c>
      <c r="E2484" t="s">
        <v>338</v>
      </c>
      <c r="F2484">
        <v>13</v>
      </c>
      <c r="G2484">
        <v>7.2398499999999997</v>
      </c>
    </row>
    <row r="2485" spans="1:7" x14ac:dyDescent="0.35">
      <c r="A2485" t="s">
        <v>847</v>
      </c>
      <c r="B2485" t="s">
        <v>680</v>
      </c>
      <c r="C2485" s="83">
        <v>46079</v>
      </c>
      <c r="D2485" t="s">
        <v>688</v>
      </c>
      <c r="E2485" t="s">
        <v>312</v>
      </c>
      <c r="F2485">
        <v>5</v>
      </c>
      <c r="G2485">
        <v>5.1525666666666696</v>
      </c>
    </row>
    <row r="2486" spans="1:7" x14ac:dyDescent="0.35">
      <c r="A2486" t="s">
        <v>847</v>
      </c>
      <c r="B2486" t="s">
        <v>680</v>
      </c>
      <c r="C2486" s="83">
        <v>46079</v>
      </c>
      <c r="D2486" t="s">
        <v>690</v>
      </c>
      <c r="E2486" t="s">
        <v>311</v>
      </c>
      <c r="F2486">
        <v>6</v>
      </c>
      <c r="G2486">
        <v>5.4993833333333297</v>
      </c>
    </row>
    <row r="2487" spans="1:7" x14ac:dyDescent="0.35">
      <c r="A2487" t="s">
        <v>847</v>
      </c>
      <c r="B2487" t="s">
        <v>680</v>
      </c>
      <c r="C2487" s="83">
        <v>46079</v>
      </c>
      <c r="D2487" t="s">
        <v>690</v>
      </c>
      <c r="E2487" t="s">
        <v>720</v>
      </c>
      <c r="F2487">
        <v>6</v>
      </c>
      <c r="G2487">
        <v>3.66865</v>
      </c>
    </row>
    <row r="2488" spans="1:7" x14ac:dyDescent="0.35">
      <c r="A2488" t="s">
        <v>847</v>
      </c>
      <c r="B2488" t="s">
        <v>680</v>
      </c>
      <c r="C2488" s="83">
        <v>46079</v>
      </c>
      <c r="D2488" t="s">
        <v>690</v>
      </c>
      <c r="E2488" t="s">
        <v>724</v>
      </c>
      <c r="F2488">
        <v>4</v>
      </c>
      <c r="G2488">
        <v>2.8328000000000002</v>
      </c>
    </row>
    <row r="2489" spans="1:7" x14ac:dyDescent="0.35">
      <c r="A2489" t="s">
        <v>847</v>
      </c>
      <c r="B2489" t="s">
        <v>680</v>
      </c>
      <c r="C2489" s="83">
        <v>46079</v>
      </c>
      <c r="D2489" t="s">
        <v>685</v>
      </c>
      <c r="E2489" t="s">
        <v>316</v>
      </c>
      <c r="F2489">
        <v>20</v>
      </c>
      <c r="G2489">
        <v>10.1593</v>
      </c>
    </row>
    <row r="2490" spans="1:7" x14ac:dyDescent="0.35">
      <c r="A2490" t="s">
        <v>847</v>
      </c>
      <c r="B2490" t="s">
        <v>680</v>
      </c>
      <c r="C2490" s="83">
        <v>46079</v>
      </c>
      <c r="D2490" t="s">
        <v>685</v>
      </c>
      <c r="E2490" t="s">
        <v>311</v>
      </c>
      <c r="F2490">
        <v>9</v>
      </c>
      <c r="G2490">
        <v>7.4953666666666701</v>
      </c>
    </row>
    <row r="2491" spans="1:7" x14ac:dyDescent="0.35">
      <c r="A2491" t="s">
        <v>847</v>
      </c>
      <c r="B2491" t="s">
        <v>680</v>
      </c>
      <c r="C2491" s="83">
        <v>46079</v>
      </c>
      <c r="D2491" t="s">
        <v>685</v>
      </c>
      <c r="E2491" t="s">
        <v>321</v>
      </c>
      <c r="F2491">
        <v>5</v>
      </c>
      <c r="G2491">
        <v>2.3271333333333302</v>
      </c>
    </row>
    <row r="2492" spans="1:7" x14ac:dyDescent="0.35">
      <c r="A2492" t="s">
        <v>847</v>
      </c>
      <c r="B2492" t="s">
        <v>680</v>
      </c>
      <c r="C2492" s="83">
        <v>46080</v>
      </c>
      <c r="D2492" t="s">
        <v>681</v>
      </c>
      <c r="E2492" t="s">
        <v>297</v>
      </c>
      <c r="F2492">
        <v>19</v>
      </c>
      <c r="G2492">
        <v>9.8421333333333294</v>
      </c>
    </row>
    <row r="2493" spans="1:7" x14ac:dyDescent="0.35">
      <c r="A2493" t="s">
        <v>847</v>
      </c>
      <c r="B2493" t="s">
        <v>680</v>
      </c>
      <c r="C2493" s="83">
        <v>46080</v>
      </c>
      <c r="D2493" t="s">
        <v>681</v>
      </c>
      <c r="E2493" t="s">
        <v>296</v>
      </c>
      <c r="F2493">
        <v>14</v>
      </c>
      <c r="G2493">
        <v>6.90588333333333</v>
      </c>
    </row>
    <row r="2494" spans="1:7" x14ac:dyDescent="0.35">
      <c r="A2494" t="s">
        <v>847</v>
      </c>
      <c r="B2494" t="s">
        <v>680</v>
      </c>
      <c r="C2494" s="83">
        <v>46080</v>
      </c>
      <c r="D2494" t="s">
        <v>681</v>
      </c>
      <c r="E2494" t="s">
        <v>298</v>
      </c>
      <c r="F2494">
        <v>13</v>
      </c>
      <c r="G2494">
        <v>15.752833333333299</v>
      </c>
    </row>
    <row r="2495" spans="1:7" x14ac:dyDescent="0.35">
      <c r="A2495" t="s">
        <v>847</v>
      </c>
      <c r="B2495" t="s">
        <v>680</v>
      </c>
      <c r="C2495" s="83">
        <v>46080</v>
      </c>
      <c r="D2495" t="s">
        <v>683</v>
      </c>
      <c r="E2495" t="s">
        <v>300</v>
      </c>
      <c r="F2495">
        <v>23</v>
      </c>
      <c r="G2495">
        <v>27.890266666666701</v>
      </c>
    </row>
    <row r="2496" spans="1:7" x14ac:dyDescent="0.35">
      <c r="A2496" t="s">
        <v>847</v>
      </c>
      <c r="B2496" t="s">
        <v>680</v>
      </c>
      <c r="C2496" s="83">
        <v>46080</v>
      </c>
      <c r="D2496" t="s">
        <v>683</v>
      </c>
      <c r="E2496" t="s">
        <v>298</v>
      </c>
      <c r="F2496">
        <v>16</v>
      </c>
      <c r="G2496">
        <v>26.3777166666667</v>
      </c>
    </row>
    <row r="2497" spans="1:7" x14ac:dyDescent="0.35">
      <c r="A2497" t="s">
        <v>847</v>
      </c>
      <c r="B2497" t="s">
        <v>680</v>
      </c>
      <c r="C2497" s="83">
        <v>46080</v>
      </c>
      <c r="D2497" t="s">
        <v>683</v>
      </c>
      <c r="E2497" t="s">
        <v>727</v>
      </c>
      <c r="F2497">
        <v>15</v>
      </c>
      <c r="G2497">
        <v>10.495950000000001</v>
      </c>
    </row>
    <row r="2498" spans="1:7" x14ac:dyDescent="0.35">
      <c r="A2498" t="s">
        <v>847</v>
      </c>
      <c r="B2498" t="s">
        <v>680</v>
      </c>
      <c r="C2498" s="83">
        <v>46080</v>
      </c>
      <c r="D2498" t="s">
        <v>689</v>
      </c>
      <c r="E2498" t="s">
        <v>298</v>
      </c>
      <c r="F2498">
        <v>24</v>
      </c>
      <c r="G2498">
        <v>12.2604333333333</v>
      </c>
    </row>
    <row r="2499" spans="1:7" x14ac:dyDescent="0.35">
      <c r="A2499" t="s">
        <v>847</v>
      </c>
      <c r="B2499" t="s">
        <v>680</v>
      </c>
      <c r="C2499" s="83">
        <v>46080</v>
      </c>
      <c r="D2499" t="s">
        <v>689</v>
      </c>
      <c r="E2499" t="s">
        <v>730</v>
      </c>
      <c r="F2499">
        <v>24</v>
      </c>
      <c r="G2499">
        <v>9.5821000000000005</v>
      </c>
    </row>
    <row r="2500" spans="1:7" x14ac:dyDescent="0.35">
      <c r="A2500" t="s">
        <v>847</v>
      </c>
      <c r="B2500" t="s">
        <v>680</v>
      </c>
      <c r="C2500" s="83">
        <v>46080</v>
      </c>
      <c r="D2500" t="s">
        <v>689</v>
      </c>
      <c r="E2500" t="s">
        <v>296</v>
      </c>
      <c r="F2500">
        <v>12</v>
      </c>
      <c r="G2500">
        <v>11.7953666666667</v>
      </c>
    </row>
    <row r="2501" spans="1:7" x14ac:dyDescent="0.35">
      <c r="A2501" t="s">
        <v>847</v>
      </c>
      <c r="B2501" t="s">
        <v>680</v>
      </c>
      <c r="C2501" s="83">
        <v>46080</v>
      </c>
      <c r="D2501" t="s">
        <v>684</v>
      </c>
      <c r="E2501" t="s">
        <v>297</v>
      </c>
      <c r="F2501">
        <v>9</v>
      </c>
      <c r="G2501">
        <v>14.722099999999999</v>
      </c>
    </row>
    <row r="2502" spans="1:7" x14ac:dyDescent="0.35">
      <c r="A2502" t="s">
        <v>847</v>
      </c>
      <c r="B2502" t="s">
        <v>680</v>
      </c>
      <c r="C2502" s="83">
        <v>46080</v>
      </c>
      <c r="D2502" t="s">
        <v>684</v>
      </c>
      <c r="E2502" t="s">
        <v>298</v>
      </c>
      <c r="F2502">
        <v>5</v>
      </c>
      <c r="G2502">
        <v>1.50196666666667</v>
      </c>
    </row>
    <row r="2503" spans="1:7" x14ac:dyDescent="0.35">
      <c r="A2503" t="s">
        <v>847</v>
      </c>
      <c r="B2503" t="s">
        <v>680</v>
      </c>
      <c r="C2503" s="83">
        <v>46080</v>
      </c>
      <c r="D2503" t="s">
        <v>684</v>
      </c>
      <c r="E2503" t="s">
        <v>304</v>
      </c>
      <c r="F2503">
        <v>2</v>
      </c>
      <c r="G2503">
        <v>0.16821666666666699</v>
      </c>
    </row>
    <row r="2504" spans="1:7" x14ac:dyDescent="0.35">
      <c r="A2504" t="s">
        <v>847</v>
      </c>
      <c r="B2504" t="s">
        <v>680</v>
      </c>
      <c r="C2504" s="83">
        <v>46080</v>
      </c>
      <c r="D2504" t="s">
        <v>687</v>
      </c>
      <c r="E2504" t="s">
        <v>726</v>
      </c>
      <c r="F2504">
        <v>6</v>
      </c>
      <c r="G2504">
        <v>10.0236</v>
      </c>
    </row>
    <row r="2505" spans="1:7" x14ac:dyDescent="0.35">
      <c r="A2505" t="s">
        <v>847</v>
      </c>
      <c r="B2505" t="s">
        <v>693</v>
      </c>
      <c r="C2505" s="83"/>
      <c r="F2505">
        <v>52464</v>
      </c>
      <c r="G2505">
        <v>97795.437083333003</v>
      </c>
    </row>
    <row r="2506" spans="1:7" x14ac:dyDescent="0.35">
      <c r="A2506" t="s">
        <v>847</v>
      </c>
      <c r="B2506" t="s">
        <v>680</v>
      </c>
      <c r="C2506" s="83">
        <v>46080</v>
      </c>
      <c r="D2506" t="s">
        <v>687</v>
      </c>
      <c r="E2506" t="s">
        <v>718</v>
      </c>
      <c r="F2506">
        <v>4</v>
      </c>
      <c r="G2506">
        <v>1.15886666666667</v>
      </c>
    </row>
    <row r="2507" spans="1:7" x14ac:dyDescent="0.35">
      <c r="A2507" t="s">
        <v>847</v>
      </c>
      <c r="B2507" t="s">
        <v>680</v>
      </c>
      <c r="C2507" s="83">
        <v>46080</v>
      </c>
      <c r="D2507" t="s">
        <v>687</v>
      </c>
      <c r="E2507" t="s">
        <v>717</v>
      </c>
      <c r="F2507">
        <v>4</v>
      </c>
      <c r="G2507">
        <v>1.1181666666666701</v>
      </c>
    </row>
    <row r="2508" spans="1:7" x14ac:dyDescent="0.35">
      <c r="A2508" t="s">
        <v>847</v>
      </c>
      <c r="B2508" t="s">
        <v>680</v>
      </c>
      <c r="C2508" s="83">
        <v>46080</v>
      </c>
      <c r="D2508" t="s">
        <v>688</v>
      </c>
      <c r="E2508" t="s">
        <v>311</v>
      </c>
      <c r="F2508">
        <v>9</v>
      </c>
      <c r="G2508">
        <v>6.6849833333333404</v>
      </c>
    </row>
    <row r="2509" spans="1:7" x14ac:dyDescent="0.35">
      <c r="A2509" t="s">
        <v>847</v>
      </c>
      <c r="B2509" t="s">
        <v>680</v>
      </c>
      <c r="C2509" s="83">
        <v>46080</v>
      </c>
      <c r="D2509" t="s">
        <v>688</v>
      </c>
      <c r="E2509" t="s">
        <v>312</v>
      </c>
      <c r="F2509">
        <v>5</v>
      </c>
      <c r="G2509">
        <v>1.00111666666667</v>
      </c>
    </row>
    <row r="2510" spans="1:7" x14ac:dyDescent="0.35">
      <c r="A2510" t="s">
        <v>847</v>
      </c>
      <c r="B2510" t="s">
        <v>680</v>
      </c>
      <c r="C2510" s="83">
        <v>46080</v>
      </c>
      <c r="D2510" t="s">
        <v>688</v>
      </c>
      <c r="E2510" t="s">
        <v>337</v>
      </c>
      <c r="F2510">
        <v>3</v>
      </c>
      <c r="G2510">
        <v>1.3128</v>
      </c>
    </row>
    <row r="2511" spans="1:7" x14ac:dyDescent="0.35">
      <c r="A2511" t="s">
        <v>847</v>
      </c>
      <c r="B2511" t="s">
        <v>680</v>
      </c>
      <c r="C2511" s="83">
        <v>46080</v>
      </c>
      <c r="D2511" t="s">
        <v>690</v>
      </c>
      <c r="E2511" t="s">
        <v>321</v>
      </c>
      <c r="F2511">
        <v>5</v>
      </c>
      <c r="G2511">
        <v>2.7214999999999998</v>
      </c>
    </row>
    <row r="2512" spans="1:7" x14ac:dyDescent="0.35">
      <c r="A2512" t="s">
        <v>847</v>
      </c>
      <c r="B2512" t="s">
        <v>680</v>
      </c>
      <c r="C2512" s="83">
        <v>46080</v>
      </c>
      <c r="D2512" t="s">
        <v>690</v>
      </c>
      <c r="E2512" t="s">
        <v>311</v>
      </c>
      <c r="F2512">
        <v>4</v>
      </c>
      <c r="G2512">
        <v>2.18516666666667</v>
      </c>
    </row>
    <row r="2513" spans="1:7" x14ac:dyDescent="0.35">
      <c r="A2513" t="s">
        <v>847</v>
      </c>
      <c r="B2513" t="s">
        <v>680</v>
      </c>
      <c r="C2513" s="83">
        <v>46080</v>
      </c>
      <c r="D2513" t="s">
        <v>690</v>
      </c>
      <c r="E2513" t="s">
        <v>720</v>
      </c>
      <c r="F2513">
        <v>4</v>
      </c>
      <c r="G2513">
        <v>4.1665000000000001</v>
      </c>
    </row>
    <row r="2514" spans="1:7" x14ac:dyDescent="0.35">
      <c r="A2514" t="s">
        <v>847</v>
      </c>
      <c r="B2514" t="s">
        <v>680</v>
      </c>
      <c r="C2514" s="83">
        <v>46080</v>
      </c>
      <c r="D2514" t="s">
        <v>685</v>
      </c>
      <c r="E2514" t="s">
        <v>311</v>
      </c>
      <c r="F2514">
        <v>16</v>
      </c>
      <c r="G2514">
        <v>9.6405166666666702</v>
      </c>
    </row>
    <row r="2515" spans="1:7" x14ac:dyDescent="0.35">
      <c r="A2515" t="s">
        <v>847</v>
      </c>
      <c r="B2515" t="s">
        <v>680</v>
      </c>
      <c r="C2515" s="83">
        <v>46080</v>
      </c>
      <c r="D2515" t="s">
        <v>685</v>
      </c>
      <c r="E2515" t="s">
        <v>316</v>
      </c>
      <c r="F2515">
        <v>9</v>
      </c>
      <c r="G2515">
        <v>3.9097166666666698</v>
      </c>
    </row>
    <row r="2516" spans="1:7" x14ac:dyDescent="0.35">
      <c r="A2516" t="s">
        <v>847</v>
      </c>
      <c r="B2516" t="s">
        <v>680</v>
      </c>
      <c r="C2516" s="83">
        <v>46080</v>
      </c>
      <c r="D2516" t="s">
        <v>685</v>
      </c>
      <c r="E2516" t="s">
        <v>312</v>
      </c>
      <c r="F2516">
        <v>8</v>
      </c>
      <c r="G2516">
        <v>7.0883333333333303</v>
      </c>
    </row>
    <row r="2517" spans="1:7" x14ac:dyDescent="0.35">
      <c r="A2517" t="s">
        <v>847</v>
      </c>
      <c r="B2517" t="s">
        <v>680</v>
      </c>
      <c r="C2517" s="83">
        <v>46081</v>
      </c>
      <c r="D2517" t="s">
        <v>681</v>
      </c>
      <c r="E2517" t="s">
        <v>296</v>
      </c>
      <c r="F2517">
        <v>25</v>
      </c>
      <c r="G2517">
        <v>6.95116666666667</v>
      </c>
    </row>
    <row r="2518" spans="1:7" x14ac:dyDescent="0.35">
      <c r="A2518" t="s">
        <v>847</v>
      </c>
      <c r="B2518" t="s">
        <v>680</v>
      </c>
      <c r="C2518" s="83">
        <v>46081</v>
      </c>
      <c r="D2518" t="s">
        <v>681</v>
      </c>
      <c r="E2518" t="s">
        <v>298</v>
      </c>
      <c r="F2518">
        <v>25</v>
      </c>
      <c r="G2518">
        <v>20.002183333333299</v>
      </c>
    </row>
    <row r="2519" spans="1:7" x14ac:dyDescent="0.35">
      <c r="A2519" t="s">
        <v>847</v>
      </c>
      <c r="B2519" t="s">
        <v>680</v>
      </c>
      <c r="C2519" s="83">
        <v>46081</v>
      </c>
      <c r="D2519" t="s">
        <v>681</v>
      </c>
      <c r="E2519" t="s">
        <v>297</v>
      </c>
      <c r="F2519">
        <v>15</v>
      </c>
      <c r="G2519">
        <v>6.3483000000000001</v>
      </c>
    </row>
    <row r="2520" spans="1:7" x14ac:dyDescent="0.35">
      <c r="A2520" t="s">
        <v>847</v>
      </c>
      <c r="B2520" t="s">
        <v>680</v>
      </c>
      <c r="C2520" s="83">
        <v>46081</v>
      </c>
      <c r="D2520" t="s">
        <v>683</v>
      </c>
      <c r="E2520" t="s">
        <v>300</v>
      </c>
      <c r="F2520">
        <v>25</v>
      </c>
      <c r="G2520">
        <v>25.6582333333333</v>
      </c>
    </row>
    <row r="2521" spans="1:7" x14ac:dyDescent="0.35">
      <c r="A2521" t="s">
        <v>847</v>
      </c>
      <c r="B2521" t="s">
        <v>680</v>
      </c>
      <c r="C2521" s="83">
        <v>46081</v>
      </c>
      <c r="D2521" t="s">
        <v>683</v>
      </c>
      <c r="E2521" t="s">
        <v>298</v>
      </c>
      <c r="F2521">
        <v>17</v>
      </c>
      <c r="G2521">
        <v>23.9912666666667</v>
      </c>
    </row>
    <row r="2522" spans="1:7" x14ac:dyDescent="0.35">
      <c r="A2522" t="s">
        <v>847</v>
      </c>
      <c r="B2522" t="s">
        <v>680</v>
      </c>
      <c r="C2522" s="83">
        <v>46081</v>
      </c>
      <c r="D2522" t="s">
        <v>683</v>
      </c>
      <c r="E2522" t="s">
        <v>749</v>
      </c>
      <c r="F2522">
        <v>7</v>
      </c>
      <c r="G2522">
        <v>8.3458833333333295</v>
      </c>
    </row>
    <row r="2523" spans="1:7" x14ac:dyDescent="0.35">
      <c r="A2523" t="s">
        <v>847</v>
      </c>
      <c r="B2523" t="s">
        <v>680</v>
      </c>
      <c r="C2523" s="83">
        <v>46081</v>
      </c>
      <c r="D2523" t="s">
        <v>689</v>
      </c>
      <c r="E2523" t="s">
        <v>298</v>
      </c>
      <c r="F2523">
        <v>31</v>
      </c>
      <c r="G2523">
        <v>23.138249999999999</v>
      </c>
    </row>
    <row r="2524" spans="1:7" x14ac:dyDescent="0.35">
      <c r="A2524" t="s">
        <v>847</v>
      </c>
      <c r="B2524" t="s">
        <v>680</v>
      </c>
      <c r="C2524" s="83">
        <v>46081</v>
      </c>
      <c r="D2524" t="s">
        <v>689</v>
      </c>
      <c r="E2524" t="s">
        <v>296</v>
      </c>
      <c r="F2524">
        <v>17</v>
      </c>
      <c r="G2524">
        <v>6.6890833333333299</v>
      </c>
    </row>
    <row r="2525" spans="1:7" x14ac:dyDescent="0.35">
      <c r="A2525" t="s">
        <v>847</v>
      </c>
      <c r="B2525" t="s">
        <v>680</v>
      </c>
      <c r="C2525" s="83">
        <v>46081</v>
      </c>
      <c r="D2525" t="s">
        <v>689</v>
      </c>
      <c r="E2525" t="s">
        <v>728</v>
      </c>
      <c r="F2525">
        <v>7</v>
      </c>
      <c r="G2525">
        <v>1.96258333333333</v>
      </c>
    </row>
    <row r="2526" spans="1:7" x14ac:dyDescent="0.35">
      <c r="A2526" t="s">
        <v>847</v>
      </c>
      <c r="B2526" t="s">
        <v>680</v>
      </c>
      <c r="C2526" s="83">
        <v>46081</v>
      </c>
      <c r="D2526" t="s">
        <v>684</v>
      </c>
      <c r="E2526" t="s">
        <v>297</v>
      </c>
      <c r="F2526">
        <v>5</v>
      </c>
      <c r="G2526">
        <v>1.5315333333333301</v>
      </c>
    </row>
    <row r="2527" spans="1:7" x14ac:dyDescent="0.35">
      <c r="A2527" t="s">
        <v>847</v>
      </c>
      <c r="B2527" t="s">
        <v>680</v>
      </c>
      <c r="C2527" s="83">
        <v>46081</v>
      </c>
      <c r="D2527" t="s">
        <v>684</v>
      </c>
      <c r="E2527" t="s">
        <v>728</v>
      </c>
      <c r="F2527">
        <v>4</v>
      </c>
      <c r="G2527">
        <v>2.6813333333333298</v>
      </c>
    </row>
    <row r="2528" spans="1:7" x14ac:dyDescent="0.35">
      <c r="A2528" t="s">
        <v>847</v>
      </c>
      <c r="B2528" t="s">
        <v>680</v>
      </c>
      <c r="C2528" s="83">
        <v>46081</v>
      </c>
      <c r="D2528" t="s">
        <v>684</v>
      </c>
      <c r="E2528" t="s">
        <v>304</v>
      </c>
      <c r="F2528">
        <v>3</v>
      </c>
      <c r="G2528">
        <v>1.1729833333333299</v>
      </c>
    </row>
    <row r="2529" spans="1:7" x14ac:dyDescent="0.35">
      <c r="A2529" t="s">
        <v>847</v>
      </c>
      <c r="B2529" t="s">
        <v>680</v>
      </c>
      <c r="C2529" s="83">
        <v>46081</v>
      </c>
      <c r="D2529" t="s">
        <v>687</v>
      </c>
      <c r="E2529" t="s">
        <v>718</v>
      </c>
      <c r="F2529">
        <v>3</v>
      </c>
      <c r="G2529">
        <v>1.6782333333333299</v>
      </c>
    </row>
    <row r="2530" spans="1:7" x14ac:dyDescent="0.35">
      <c r="A2530" t="s">
        <v>847</v>
      </c>
      <c r="B2530" t="s">
        <v>680</v>
      </c>
      <c r="C2530" s="83">
        <v>46081</v>
      </c>
      <c r="D2530" t="s">
        <v>687</v>
      </c>
      <c r="E2530" t="s">
        <v>755</v>
      </c>
      <c r="F2530">
        <v>2</v>
      </c>
      <c r="G2530">
        <v>2.3474166666666698</v>
      </c>
    </row>
    <row r="2531" spans="1:7" x14ac:dyDescent="0.35">
      <c r="A2531" t="s">
        <v>847</v>
      </c>
      <c r="B2531" t="s">
        <v>680</v>
      </c>
      <c r="C2531" s="83">
        <v>46081</v>
      </c>
      <c r="D2531" t="s">
        <v>687</v>
      </c>
      <c r="E2531" t="s">
        <v>733</v>
      </c>
      <c r="F2531">
        <v>2</v>
      </c>
      <c r="G2531">
        <v>0.16693333333333299</v>
      </c>
    </row>
    <row r="2532" spans="1:7" x14ac:dyDescent="0.35">
      <c r="A2532" t="s">
        <v>847</v>
      </c>
      <c r="B2532" t="s">
        <v>680</v>
      </c>
      <c r="C2532" s="83">
        <v>46081</v>
      </c>
      <c r="D2532" t="s">
        <v>688</v>
      </c>
      <c r="E2532" t="s">
        <v>321</v>
      </c>
      <c r="F2532">
        <v>8</v>
      </c>
      <c r="G2532">
        <v>2.43615</v>
      </c>
    </row>
    <row r="2533" spans="1:7" x14ac:dyDescent="0.35">
      <c r="A2533" t="s">
        <v>847</v>
      </c>
      <c r="B2533" t="s">
        <v>680</v>
      </c>
      <c r="C2533" s="83">
        <v>46081</v>
      </c>
      <c r="D2533" t="s">
        <v>688</v>
      </c>
      <c r="E2533" t="s">
        <v>311</v>
      </c>
      <c r="F2533">
        <v>4</v>
      </c>
      <c r="G2533">
        <v>2.6701999999999999</v>
      </c>
    </row>
    <row r="2534" spans="1:7" x14ac:dyDescent="0.35">
      <c r="A2534" t="s">
        <v>847</v>
      </c>
      <c r="B2534" t="s">
        <v>680</v>
      </c>
      <c r="C2534" s="83">
        <v>46081</v>
      </c>
      <c r="D2534" t="s">
        <v>688</v>
      </c>
      <c r="E2534" t="s">
        <v>720</v>
      </c>
      <c r="F2534">
        <v>3</v>
      </c>
      <c r="G2534">
        <v>0.83409999999999995</v>
      </c>
    </row>
    <row r="2535" spans="1:7" x14ac:dyDescent="0.35">
      <c r="A2535" t="s">
        <v>847</v>
      </c>
      <c r="B2535" t="s">
        <v>680</v>
      </c>
      <c r="C2535" s="83">
        <v>46081</v>
      </c>
      <c r="D2535" t="s">
        <v>690</v>
      </c>
      <c r="E2535" t="s">
        <v>311</v>
      </c>
      <c r="F2535">
        <v>8</v>
      </c>
      <c r="G2535">
        <v>3.7591666666666699</v>
      </c>
    </row>
    <row r="2536" spans="1:7" x14ac:dyDescent="0.35">
      <c r="A2536" t="s">
        <v>847</v>
      </c>
      <c r="B2536" t="s">
        <v>680</v>
      </c>
      <c r="C2536" s="83">
        <v>46081</v>
      </c>
      <c r="D2536" t="s">
        <v>690</v>
      </c>
      <c r="E2536" t="s">
        <v>724</v>
      </c>
      <c r="F2536">
        <v>4</v>
      </c>
      <c r="G2536">
        <v>19.4726833333333</v>
      </c>
    </row>
    <row r="2537" spans="1:7" x14ac:dyDescent="0.35">
      <c r="A2537" t="s">
        <v>847</v>
      </c>
      <c r="B2537" t="s">
        <v>680</v>
      </c>
      <c r="C2537" s="83">
        <v>46081</v>
      </c>
      <c r="D2537" t="s">
        <v>690</v>
      </c>
      <c r="E2537" t="s">
        <v>321</v>
      </c>
      <c r="F2537">
        <v>3</v>
      </c>
      <c r="G2537">
        <v>2.3428666666666702</v>
      </c>
    </row>
    <row r="2538" spans="1:7" x14ac:dyDescent="0.35">
      <c r="A2538" t="s">
        <v>847</v>
      </c>
      <c r="B2538" t="s">
        <v>680</v>
      </c>
      <c r="C2538" s="83">
        <v>46081</v>
      </c>
      <c r="D2538" t="s">
        <v>685</v>
      </c>
      <c r="E2538" t="s">
        <v>316</v>
      </c>
      <c r="F2538">
        <v>4</v>
      </c>
      <c r="G2538">
        <v>0.98566666666666702</v>
      </c>
    </row>
    <row r="2539" spans="1:7" x14ac:dyDescent="0.35">
      <c r="A2539" t="s">
        <v>847</v>
      </c>
      <c r="B2539" t="s">
        <v>680</v>
      </c>
      <c r="C2539" s="83">
        <v>46081</v>
      </c>
      <c r="D2539" t="s">
        <v>685</v>
      </c>
      <c r="E2539" t="s">
        <v>724</v>
      </c>
      <c r="F2539">
        <v>2</v>
      </c>
      <c r="G2539">
        <v>2.0110000000000001</v>
      </c>
    </row>
    <row r="2540" spans="1:7" x14ac:dyDescent="0.35">
      <c r="A2540" t="s">
        <v>847</v>
      </c>
      <c r="B2540" t="s">
        <v>680</v>
      </c>
      <c r="C2540" s="83">
        <v>46081</v>
      </c>
      <c r="D2540" t="s">
        <v>685</v>
      </c>
      <c r="E2540" t="s">
        <v>311</v>
      </c>
      <c r="F2540">
        <v>2</v>
      </c>
      <c r="G2540">
        <v>0.45601666666666701</v>
      </c>
    </row>
    <row r="2541" spans="1:7" x14ac:dyDescent="0.35">
      <c r="A2541" t="s">
        <v>847</v>
      </c>
      <c r="B2541" t="s">
        <v>680</v>
      </c>
      <c r="C2541" s="83">
        <v>46082</v>
      </c>
      <c r="D2541" t="s">
        <v>681</v>
      </c>
      <c r="E2541" t="s">
        <v>296</v>
      </c>
      <c r="F2541">
        <v>60</v>
      </c>
      <c r="G2541">
        <v>23.901316666666698</v>
      </c>
    </row>
    <row r="2542" spans="1:7" x14ac:dyDescent="0.35">
      <c r="A2542" t="s">
        <v>847</v>
      </c>
      <c r="B2542" t="s">
        <v>680</v>
      </c>
      <c r="C2542" s="83">
        <v>46082</v>
      </c>
      <c r="D2542" t="s">
        <v>681</v>
      </c>
      <c r="E2542" t="s">
        <v>297</v>
      </c>
      <c r="F2542">
        <v>31</v>
      </c>
      <c r="G2542">
        <v>17.517399999999999</v>
      </c>
    </row>
    <row r="2543" spans="1:7" x14ac:dyDescent="0.35">
      <c r="A2543" t="s">
        <v>847</v>
      </c>
      <c r="B2543" t="s">
        <v>680</v>
      </c>
      <c r="C2543" s="83">
        <v>46082</v>
      </c>
      <c r="D2543" t="s">
        <v>681</v>
      </c>
      <c r="E2543" t="s">
        <v>298</v>
      </c>
      <c r="F2543">
        <v>24</v>
      </c>
      <c r="G2543">
        <v>26.993666666666702</v>
      </c>
    </row>
    <row r="2544" spans="1:7" x14ac:dyDescent="0.35">
      <c r="A2544" t="s">
        <v>847</v>
      </c>
      <c r="B2544" t="s">
        <v>680</v>
      </c>
      <c r="C2544" s="83">
        <v>46082</v>
      </c>
      <c r="D2544" t="s">
        <v>683</v>
      </c>
      <c r="E2544" t="s">
        <v>298</v>
      </c>
      <c r="F2544">
        <v>21</v>
      </c>
      <c r="G2544">
        <v>38.369333333333302</v>
      </c>
    </row>
    <row r="2545" spans="1:7" x14ac:dyDescent="0.35">
      <c r="A2545" t="s">
        <v>847</v>
      </c>
      <c r="B2545" t="s">
        <v>680</v>
      </c>
      <c r="C2545" s="83">
        <v>46082</v>
      </c>
      <c r="D2545" t="s">
        <v>683</v>
      </c>
      <c r="E2545" t="s">
        <v>730</v>
      </c>
      <c r="F2545">
        <v>15</v>
      </c>
      <c r="G2545">
        <v>7.0311166666666702</v>
      </c>
    </row>
    <row r="2546" spans="1:7" x14ac:dyDescent="0.35">
      <c r="A2546" t="s">
        <v>847</v>
      </c>
      <c r="B2546" t="s">
        <v>680</v>
      </c>
      <c r="C2546" s="83">
        <v>46082</v>
      </c>
      <c r="D2546" t="s">
        <v>683</v>
      </c>
      <c r="E2546" t="s">
        <v>300</v>
      </c>
      <c r="F2546">
        <v>14</v>
      </c>
      <c r="G2546">
        <v>14.2337666666667</v>
      </c>
    </row>
    <row r="2547" spans="1:7" x14ac:dyDescent="0.35">
      <c r="A2547" t="s">
        <v>847</v>
      </c>
      <c r="B2547" t="s">
        <v>680</v>
      </c>
      <c r="C2547" s="83">
        <v>46082</v>
      </c>
      <c r="D2547" t="s">
        <v>689</v>
      </c>
      <c r="E2547" t="s">
        <v>297</v>
      </c>
      <c r="F2547">
        <v>25</v>
      </c>
      <c r="G2547">
        <v>11.390366666666701</v>
      </c>
    </row>
    <row r="2548" spans="1:7" x14ac:dyDescent="0.35">
      <c r="A2548" t="s">
        <v>847</v>
      </c>
      <c r="B2548" t="s">
        <v>680</v>
      </c>
      <c r="C2548" s="83">
        <v>46082</v>
      </c>
      <c r="D2548" t="s">
        <v>689</v>
      </c>
      <c r="E2548" t="s">
        <v>298</v>
      </c>
      <c r="F2548">
        <v>19</v>
      </c>
      <c r="G2548">
        <v>11.910116666666701</v>
      </c>
    </row>
    <row r="2549" spans="1:7" x14ac:dyDescent="0.35">
      <c r="A2549" t="s">
        <v>847</v>
      </c>
      <c r="B2549" t="s">
        <v>680</v>
      </c>
      <c r="C2549" s="83">
        <v>46082</v>
      </c>
      <c r="D2549" t="s">
        <v>689</v>
      </c>
      <c r="E2549" t="s">
        <v>296</v>
      </c>
      <c r="F2549">
        <v>14</v>
      </c>
      <c r="G2549">
        <v>5.2151333333333296</v>
      </c>
    </row>
    <row r="2550" spans="1:7" x14ac:dyDescent="0.35">
      <c r="A2550" t="s">
        <v>847</v>
      </c>
      <c r="B2550" t="s">
        <v>680</v>
      </c>
      <c r="C2550" s="83">
        <v>46082</v>
      </c>
      <c r="D2550" t="s">
        <v>684</v>
      </c>
      <c r="E2550" t="s">
        <v>297</v>
      </c>
      <c r="F2550">
        <v>13</v>
      </c>
      <c r="G2550">
        <v>6.4277499999999996</v>
      </c>
    </row>
    <row r="2551" spans="1:7" x14ac:dyDescent="0.35">
      <c r="A2551" t="s">
        <v>847</v>
      </c>
      <c r="B2551" t="s">
        <v>680</v>
      </c>
      <c r="C2551" s="83">
        <v>46082</v>
      </c>
      <c r="D2551" t="s">
        <v>684</v>
      </c>
      <c r="E2551" t="s">
        <v>334</v>
      </c>
      <c r="F2551">
        <v>5</v>
      </c>
      <c r="G2551">
        <v>10.7747833333333</v>
      </c>
    </row>
    <row r="2552" spans="1:7" x14ac:dyDescent="0.35">
      <c r="A2552" t="s">
        <v>847</v>
      </c>
      <c r="B2552" t="s">
        <v>680</v>
      </c>
      <c r="C2552" s="83">
        <v>46082</v>
      </c>
      <c r="D2552" t="s">
        <v>684</v>
      </c>
      <c r="E2552" t="s">
        <v>296</v>
      </c>
      <c r="F2552">
        <v>4</v>
      </c>
      <c r="G2552">
        <v>1.1712833333333299</v>
      </c>
    </row>
    <row r="2553" spans="1:7" x14ac:dyDescent="0.35">
      <c r="A2553" t="s">
        <v>847</v>
      </c>
      <c r="B2553" t="s">
        <v>680</v>
      </c>
      <c r="C2553" s="83">
        <v>46082</v>
      </c>
      <c r="D2553" t="s">
        <v>687</v>
      </c>
      <c r="E2553" t="s">
        <v>717</v>
      </c>
      <c r="F2553">
        <v>5</v>
      </c>
      <c r="G2553">
        <v>2.5088499999999998</v>
      </c>
    </row>
    <row r="2554" spans="1:7" x14ac:dyDescent="0.35">
      <c r="A2554" t="s">
        <v>847</v>
      </c>
      <c r="B2554" t="s">
        <v>680</v>
      </c>
      <c r="C2554" s="83">
        <v>46082</v>
      </c>
      <c r="D2554" t="s">
        <v>687</v>
      </c>
      <c r="E2554" t="s">
        <v>745</v>
      </c>
      <c r="F2554">
        <v>3</v>
      </c>
      <c r="G2554">
        <v>0.67310000000000003</v>
      </c>
    </row>
    <row r="2555" spans="1:7" x14ac:dyDescent="0.35">
      <c r="A2555" t="s">
        <v>847</v>
      </c>
      <c r="B2555" t="s">
        <v>680</v>
      </c>
      <c r="C2555" s="83">
        <v>46082</v>
      </c>
      <c r="D2555" t="s">
        <v>687</v>
      </c>
      <c r="E2555" t="s">
        <v>718</v>
      </c>
      <c r="F2555">
        <v>2</v>
      </c>
      <c r="G2555">
        <v>6.3631833333333301</v>
      </c>
    </row>
    <row r="2556" spans="1:7" x14ac:dyDescent="0.35">
      <c r="A2556" t="s">
        <v>847</v>
      </c>
      <c r="B2556" t="s">
        <v>680</v>
      </c>
      <c r="C2556" s="83">
        <v>46082</v>
      </c>
      <c r="D2556" t="s">
        <v>688</v>
      </c>
      <c r="E2556" t="s">
        <v>311</v>
      </c>
      <c r="F2556">
        <v>10</v>
      </c>
      <c r="G2556">
        <v>9.3981666666666595</v>
      </c>
    </row>
    <row r="2557" spans="1:7" x14ac:dyDescent="0.35">
      <c r="A2557" t="s">
        <v>847</v>
      </c>
      <c r="B2557" t="s">
        <v>680</v>
      </c>
      <c r="C2557" s="83">
        <v>46082</v>
      </c>
      <c r="D2557" t="s">
        <v>688</v>
      </c>
      <c r="E2557" t="s">
        <v>338</v>
      </c>
      <c r="F2557">
        <v>5</v>
      </c>
      <c r="G2557">
        <v>1.76151666666667</v>
      </c>
    </row>
    <row r="2558" spans="1:7" x14ac:dyDescent="0.35">
      <c r="A2558" t="s">
        <v>847</v>
      </c>
      <c r="B2558" t="s">
        <v>680</v>
      </c>
      <c r="C2558" s="83">
        <v>46082</v>
      </c>
      <c r="D2558" t="s">
        <v>688</v>
      </c>
      <c r="E2558" t="s">
        <v>337</v>
      </c>
      <c r="F2558">
        <v>3</v>
      </c>
      <c r="G2558">
        <v>1.00495</v>
      </c>
    </row>
    <row r="2559" spans="1:7" x14ac:dyDescent="0.35">
      <c r="A2559" t="s">
        <v>847</v>
      </c>
      <c r="B2559" t="s">
        <v>680</v>
      </c>
      <c r="C2559" s="83">
        <v>46082</v>
      </c>
      <c r="D2559" t="s">
        <v>690</v>
      </c>
      <c r="E2559" t="s">
        <v>311</v>
      </c>
      <c r="F2559">
        <v>10</v>
      </c>
      <c r="G2559">
        <v>5.0478166666666704</v>
      </c>
    </row>
    <row r="2560" spans="1:7" x14ac:dyDescent="0.35">
      <c r="A2560" t="s">
        <v>847</v>
      </c>
      <c r="B2560" t="s">
        <v>680</v>
      </c>
      <c r="C2560" s="83">
        <v>46082</v>
      </c>
      <c r="D2560" t="s">
        <v>690</v>
      </c>
      <c r="E2560" t="s">
        <v>316</v>
      </c>
      <c r="F2560">
        <v>4</v>
      </c>
      <c r="G2560">
        <v>27.788033333333299</v>
      </c>
    </row>
    <row r="2561" spans="1:7" x14ac:dyDescent="0.35">
      <c r="A2561" t="s">
        <v>847</v>
      </c>
      <c r="B2561" t="s">
        <v>680</v>
      </c>
      <c r="C2561" s="83">
        <v>46082</v>
      </c>
      <c r="D2561" t="s">
        <v>690</v>
      </c>
      <c r="E2561" t="s">
        <v>312</v>
      </c>
      <c r="F2561">
        <v>4</v>
      </c>
      <c r="G2561">
        <v>2.45485</v>
      </c>
    </row>
    <row r="2562" spans="1:7" x14ac:dyDescent="0.35">
      <c r="A2562" t="s">
        <v>847</v>
      </c>
      <c r="B2562" t="s">
        <v>680</v>
      </c>
      <c r="C2562" s="83">
        <v>46082</v>
      </c>
      <c r="D2562" t="s">
        <v>685</v>
      </c>
      <c r="E2562" t="s">
        <v>316</v>
      </c>
      <c r="F2562">
        <v>6</v>
      </c>
      <c r="G2562">
        <v>12.063966666666699</v>
      </c>
    </row>
    <row r="2563" spans="1:7" x14ac:dyDescent="0.35">
      <c r="A2563" t="s">
        <v>847</v>
      </c>
      <c r="B2563" t="s">
        <v>680</v>
      </c>
      <c r="C2563" s="83">
        <v>46082</v>
      </c>
      <c r="D2563" t="s">
        <v>685</v>
      </c>
      <c r="E2563" t="s">
        <v>311</v>
      </c>
      <c r="F2563">
        <v>4</v>
      </c>
      <c r="G2563">
        <v>1.3642000000000001</v>
      </c>
    </row>
    <row r="2564" spans="1:7" x14ac:dyDescent="0.35">
      <c r="A2564" t="s">
        <v>847</v>
      </c>
      <c r="B2564" t="s">
        <v>680</v>
      </c>
      <c r="C2564" s="83">
        <v>46082</v>
      </c>
      <c r="D2564" t="s">
        <v>685</v>
      </c>
      <c r="E2564" t="s">
        <v>322</v>
      </c>
      <c r="F2564">
        <v>2</v>
      </c>
      <c r="G2564">
        <v>1.3259000000000001</v>
      </c>
    </row>
    <row r="2565" spans="1:7" x14ac:dyDescent="0.35">
      <c r="A2565" t="s">
        <v>847</v>
      </c>
      <c r="B2565" t="s">
        <v>680</v>
      </c>
      <c r="C2565" s="83">
        <v>46083</v>
      </c>
      <c r="D2565" t="s">
        <v>681</v>
      </c>
      <c r="E2565" t="s">
        <v>296</v>
      </c>
      <c r="F2565">
        <v>87</v>
      </c>
      <c r="G2565">
        <v>41.749316666666701</v>
      </c>
    </row>
    <row r="2566" spans="1:7" x14ac:dyDescent="0.35">
      <c r="A2566" t="s">
        <v>847</v>
      </c>
      <c r="B2566" t="s">
        <v>680</v>
      </c>
      <c r="C2566" s="83">
        <v>46083</v>
      </c>
      <c r="D2566" t="s">
        <v>681</v>
      </c>
      <c r="E2566" t="s">
        <v>298</v>
      </c>
      <c r="F2566">
        <v>33</v>
      </c>
      <c r="G2566">
        <v>31.297350000000002</v>
      </c>
    </row>
    <row r="2567" spans="1:7" x14ac:dyDescent="0.35">
      <c r="A2567" t="s">
        <v>847</v>
      </c>
      <c r="B2567" t="s">
        <v>680</v>
      </c>
      <c r="C2567" s="83">
        <v>46083</v>
      </c>
      <c r="D2567" t="s">
        <v>681</v>
      </c>
      <c r="E2567" t="s">
        <v>297</v>
      </c>
      <c r="F2567">
        <v>16</v>
      </c>
      <c r="G2567">
        <v>6.5840333333333296</v>
      </c>
    </row>
    <row r="2568" spans="1:7" x14ac:dyDescent="0.35">
      <c r="A2568" t="s">
        <v>847</v>
      </c>
      <c r="B2568" t="s">
        <v>680</v>
      </c>
      <c r="C2568" s="83">
        <v>46083</v>
      </c>
      <c r="D2568" t="s">
        <v>683</v>
      </c>
      <c r="E2568" t="s">
        <v>298</v>
      </c>
      <c r="F2568">
        <v>32</v>
      </c>
      <c r="G2568">
        <v>87.718933333333297</v>
      </c>
    </row>
    <row r="2569" spans="1:7" x14ac:dyDescent="0.35">
      <c r="A2569" t="s">
        <v>847</v>
      </c>
      <c r="B2569" t="s">
        <v>680</v>
      </c>
      <c r="C2569" s="83">
        <v>46083</v>
      </c>
      <c r="D2569" t="s">
        <v>683</v>
      </c>
      <c r="E2569" t="s">
        <v>645</v>
      </c>
      <c r="F2569">
        <v>11</v>
      </c>
      <c r="G2569">
        <v>4.3233499999999996</v>
      </c>
    </row>
    <row r="2570" spans="1:7" x14ac:dyDescent="0.35">
      <c r="A2570" t="s">
        <v>847</v>
      </c>
      <c r="B2570" t="s">
        <v>680</v>
      </c>
      <c r="C2570" s="83">
        <v>46083</v>
      </c>
      <c r="D2570" t="s">
        <v>683</v>
      </c>
      <c r="E2570" t="s">
        <v>334</v>
      </c>
      <c r="F2570">
        <v>10</v>
      </c>
      <c r="G2570">
        <v>3.97861666666667</v>
      </c>
    </row>
    <row r="2571" spans="1:7" x14ac:dyDescent="0.35">
      <c r="A2571" t="s">
        <v>847</v>
      </c>
      <c r="B2571" t="s">
        <v>680</v>
      </c>
      <c r="C2571" s="83">
        <v>46083</v>
      </c>
      <c r="D2571" t="s">
        <v>689</v>
      </c>
      <c r="E2571" t="s">
        <v>298</v>
      </c>
      <c r="F2571">
        <v>19</v>
      </c>
      <c r="G2571">
        <v>14.382533333333299</v>
      </c>
    </row>
    <row r="2572" spans="1:7" x14ac:dyDescent="0.35">
      <c r="A2572" t="s">
        <v>847</v>
      </c>
      <c r="B2572" t="s">
        <v>680</v>
      </c>
      <c r="C2572" s="83">
        <v>46083</v>
      </c>
      <c r="D2572" t="s">
        <v>689</v>
      </c>
      <c r="E2572" t="s">
        <v>297</v>
      </c>
      <c r="F2572">
        <v>13</v>
      </c>
      <c r="G2572">
        <v>8.2253333333333298</v>
      </c>
    </row>
    <row r="2573" spans="1:7" x14ac:dyDescent="0.35">
      <c r="A2573" t="s">
        <v>847</v>
      </c>
      <c r="B2573" t="s">
        <v>680</v>
      </c>
      <c r="C2573" s="83">
        <v>46083</v>
      </c>
      <c r="D2573" t="s">
        <v>689</v>
      </c>
      <c r="E2573" t="s">
        <v>727</v>
      </c>
      <c r="F2573">
        <v>11</v>
      </c>
      <c r="G2573">
        <v>8.8304666666666698</v>
      </c>
    </row>
    <row r="2574" spans="1:7" x14ac:dyDescent="0.35">
      <c r="A2574" t="s">
        <v>847</v>
      </c>
      <c r="B2574" t="s">
        <v>680</v>
      </c>
      <c r="C2574" s="83">
        <v>46083</v>
      </c>
      <c r="D2574" t="s">
        <v>684</v>
      </c>
      <c r="E2574" t="s">
        <v>298</v>
      </c>
      <c r="F2574">
        <v>3</v>
      </c>
      <c r="G2574">
        <v>1.8406166666666699</v>
      </c>
    </row>
    <row r="2575" spans="1:7" x14ac:dyDescent="0.35">
      <c r="A2575" t="s">
        <v>847</v>
      </c>
      <c r="B2575" t="s">
        <v>680</v>
      </c>
      <c r="C2575" s="83">
        <v>46083</v>
      </c>
      <c r="D2575" t="s">
        <v>684</v>
      </c>
      <c r="E2575" t="s">
        <v>343</v>
      </c>
      <c r="F2575">
        <v>3</v>
      </c>
      <c r="G2575">
        <v>1.41818333333333</v>
      </c>
    </row>
    <row r="2576" spans="1:7" x14ac:dyDescent="0.35">
      <c r="A2576" t="s">
        <v>847</v>
      </c>
      <c r="B2576" t="s">
        <v>680</v>
      </c>
      <c r="C2576" s="83">
        <v>46083</v>
      </c>
      <c r="D2576" t="s">
        <v>684</v>
      </c>
      <c r="E2576" t="s">
        <v>756</v>
      </c>
      <c r="F2576">
        <v>3</v>
      </c>
      <c r="G2576">
        <v>1.3346499999999999</v>
      </c>
    </row>
    <row r="2577" spans="1:7" x14ac:dyDescent="0.35">
      <c r="A2577" t="s">
        <v>847</v>
      </c>
      <c r="B2577" t="s">
        <v>680</v>
      </c>
      <c r="C2577" s="83">
        <v>46083</v>
      </c>
      <c r="D2577" t="s">
        <v>687</v>
      </c>
      <c r="E2577" t="s">
        <v>726</v>
      </c>
      <c r="F2577">
        <v>7</v>
      </c>
      <c r="G2577">
        <v>10.880050000000001</v>
      </c>
    </row>
    <row r="2578" spans="1:7" x14ac:dyDescent="0.35">
      <c r="A2578" t="s">
        <v>847</v>
      </c>
      <c r="B2578" t="s">
        <v>680</v>
      </c>
      <c r="C2578" s="83">
        <v>46083</v>
      </c>
      <c r="D2578" t="s">
        <v>687</v>
      </c>
      <c r="E2578" t="s">
        <v>717</v>
      </c>
      <c r="F2578">
        <v>6</v>
      </c>
      <c r="G2578">
        <v>5.6639999999999997</v>
      </c>
    </row>
    <row r="2579" spans="1:7" x14ac:dyDescent="0.35">
      <c r="A2579" t="s">
        <v>847</v>
      </c>
      <c r="B2579" t="s">
        <v>680</v>
      </c>
      <c r="C2579" s="83">
        <v>46083</v>
      </c>
      <c r="D2579" t="s">
        <v>687</v>
      </c>
      <c r="E2579" t="s">
        <v>733</v>
      </c>
      <c r="F2579">
        <v>4</v>
      </c>
      <c r="G2579">
        <v>1.1734166666666701</v>
      </c>
    </row>
    <row r="2580" spans="1:7" x14ac:dyDescent="0.35">
      <c r="A2580" t="s">
        <v>847</v>
      </c>
      <c r="B2580" t="s">
        <v>680</v>
      </c>
      <c r="C2580" s="83">
        <v>46083</v>
      </c>
      <c r="D2580" t="s">
        <v>688</v>
      </c>
      <c r="E2580" t="s">
        <v>311</v>
      </c>
      <c r="F2580">
        <v>19</v>
      </c>
      <c r="G2580">
        <v>45.810866666666698</v>
      </c>
    </row>
    <row r="2581" spans="1:7" x14ac:dyDescent="0.35">
      <c r="A2581" t="s">
        <v>847</v>
      </c>
      <c r="B2581" t="s">
        <v>680</v>
      </c>
      <c r="C2581" s="83">
        <v>46083</v>
      </c>
      <c r="D2581" t="s">
        <v>688</v>
      </c>
      <c r="E2581" t="s">
        <v>321</v>
      </c>
      <c r="F2581">
        <v>9</v>
      </c>
      <c r="G2581">
        <v>2.2115833333333299</v>
      </c>
    </row>
    <row r="2582" spans="1:7" x14ac:dyDescent="0.35">
      <c r="A2582" t="s">
        <v>847</v>
      </c>
      <c r="B2582" t="s">
        <v>680</v>
      </c>
      <c r="C2582" s="83">
        <v>46083</v>
      </c>
      <c r="D2582" t="s">
        <v>688</v>
      </c>
      <c r="E2582" t="s">
        <v>316</v>
      </c>
      <c r="F2582">
        <v>6</v>
      </c>
      <c r="G2582">
        <v>2.4867666666666701</v>
      </c>
    </row>
    <row r="2583" spans="1:7" x14ac:dyDescent="0.35">
      <c r="A2583" t="s">
        <v>847</v>
      </c>
      <c r="B2583" t="s">
        <v>680</v>
      </c>
      <c r="C2583" s="83">
        <v>46083</v>
      </c>
      <c r="D2583" t="s">
        <v>690</v>
      </c>
      <c r="E2583" t="s">
        <v>720</v>
      </c>
      <c r="F2583">
        <v>25</v>
      </c>
      <c r="G2583">
        <v>23.1854333333333</v>
      </c>
    </row>
    <row r="2584" spans="1:7" x14ac:dyDescent="0.35">
      <c r="A2584" t="s">
        <v>847</v>
      </c>
      <c r="B2584" t="s">
        <v>680</v>
      </c>
      <c r="C2584" s="83">
        <v>46083</v>
      </c>
      <c r="D2584" t="s">
        <v>690</v>
      </c>
      <c r="E2584" t="s">
        <v>311</v>
      </c>
      <c r="F2584">
        <v>14</v>
      </c>
      <c r="G2584">
        <v>6.4361166666666696</v>
      </c>
    </row>
    <row r="2585" spans="1:7" x14ac:dyDescent="0.35">
      <c r="A2585" t="s">
        <v>847</v>
      </c>
      <c r="B2585" t="s">
        <v>680</v>
      </c>
      <c r="C2585" s="83">
        <v>46083</v>
      </c>
      <c r="D2585" t="s">
        <v>690</v>
      </c>
      <c r="E2585" t="s">
        <v>316</v>
      </c>
      <c r="F2585">
        <v>12</v>
      </c>
      <c r="G2585">
        <v>7.5538333333333298</v>
      </c>
    </row>
    <row r="2586" spans="1:7" x14ac:dyDescent="0.35">
      <c r="A2586" t="s">
        <v>847</v>
      </c>
      <c r="B2586" t="s">
        <v>680</v>
      </c>
      <c r="C2586" s="83">
        <v>46083</v>
      </c>
      <c r="D2586" t="s">
        <v>685</v>
      </c>
      <c r="E2586" t="s">
        <v>311</v>
      </c>
      <c r="F2586">
        <v>18</v>
      </c>
      <c r="G2586">
        <v>15.0641833333333</v>
      </c>
    </row>
    <row r="2587" spans="1:7" x14ac:dyDescent="0.35">
      <c r="A2587" t="s">
        <v>847</v>
      </c>
      <c r="B2587" t="s">
        <v>680</v>
      </c>
      <c r="C2587" s="83">
        <v>46083</v>
      </c>
      <c r="D2587" t="s">
        <v>685</v>
      </c>
      <c r="E2587" t="s">
        <v>720</v>
      </c>
      <c r="F2587">
        <v>7</v>
      </c>
      <c r="G2587">
        <v>5.3813666666666702</v>
      </c>
    </row>
    <row r="2588" spans="1:7" x14ac:dyDescent="0.35">
      <c r="A2588" t="s">
        <v>847</v>
      </c>
      <c r="B2588" t="s">
        <v>680</v>
      </c>
      <c r="C2588" s="83">
        <v>46083</v>
      </c>
      <c r="D2588" t="s">
        <v>685</v>
      </c>
      <c r="E2588" t="s">
        <v>312</v>
      </c>
      <c r="F2588">
        <v>6</v>
      </c>
      <c r="G2588">
        <v>3.0057499999999999</v>
      </c>
    </row>
    <row r="2589" spans="1:7" x14ac:dyDescent="0.35">
      <c r="A2589" t="s">
        <v>847</v>
      </c>
      <c r="B2589" t="s">
        <v>680</v>
      </c>
      <c r="C2589" s="83">
        <v>46084</v>
      </c>
      <c r="D2589" t="s">
        <v>681</v>
      </c>
      <c r="E2589" t="s">
        <v>296</v>
      </c>
      <c r="F2589">
        <v>43</v>
      </c>
      <c r="G2589">
        <v>24.078749999999999</v>
      </c>
    </row>
    <row r="2590" spans="1:7" x14ac:dyDescent="0.35">
      <c r="A2590" t="s">
        <v>847</v>
      </c>
      <c r="B2590" t="s">
        <v>680</v>
      </c>
      <c r="C2590" s="83">
        <v>46084</v>
      </c>
      <c r="D2590" t="s">
        <v>681</v>
      </c>
      <c r="E2590" t="s">
        <v>298</v>
      </c>
      <c r="F2590">
        <v>40</v>
      </c>
      <c r="G2590">
        <v>40.600933333333302</v>
      </c>
    </row>
    <row r="2591" spans="1:7" x14ac:dyDescent="0.35">
      <c r="A2591" t="s">
        <v>847</v>
      </c>
      <c r="B2591" t="s">
        <v>680</v>
      </c>
      <c r="C2591" s="83">
        <v>46084</v>
      </c>
      <c r="D2591" t="s">
        <v>681</v>
      </c>
      <c r="E2591" t="s">
        <v>297</v>
      </c>
      <c r="F2591">
        <v>13</v>
      </c>
      <c r="G2591">
        <v>4.8172333333333297</v>
      </c>
    </row>
    <row r="2592" spans="1:7" x14ac:dyDescent="0.35">
      <c r="A2592" t="s">
        <v>847</v>
      </c>
      <c r="B2592" t="s">
        <v>680</v>
      </c>
      <c r="C2592" s="83">
        <v>46084</v>
      </c>
      <c r="D2592" t="s">
        <v>683</v>
      </c>
      <c r="E2592" t="s">
        <v>298</v>
      </c>
      <c r="F2592">
        <v>49</v>
      </c>
      <c r="G2592">
        <v>73.318749999999994</v>
      </c>
    </row>
    <row r="2593" spans="1:7" x14ac:dyDescent="0.35">
      <c r="A2593" t="s">
        <v>847</v>
      </c>
      <c r="B2593" t="s">
        <v>680</v>
      </c>
      <c r="C2593" s="83">
        <v>46084</v>
      </c>
      <c r="D2593" t="s">
        <v>683</v>
      </c>
      <c r="E2593" t="s">
        <v>296</v>
      </c>
      <c r="F2593">
        <v>15</v>
      </c>
      <c r="G2593">
        <v>4.8400999999999996</v>
      </c>
    </row>
    <row r="2594" spans="1:7" x14ac:dyDescent="0.35">
      <c r="A2594" t="s">
        <v>847</v>
      </c>
      <c r="B2594" t="s">
        <v>680</v>
      </c>
      <c r="C2594" s="83">
        <v>46084</v>
      </c>
      <c r="D2594" t="s">
        <v>683</v>
      </c>
      <c r="E2594" t="s">
        <v>334</v>
      </c>
      <c r="F2594">
        <v>12</v>
      </c>
      <c r="G2594">
        <v>10.6784</v>
      </c>
    </row>
    <row r="2595" spans="1:7" x14ac:dyDescent="0.35">
      <c r="A2595" t="s">
        <v>847</v>
      </c>
      <c r="B2595" t="s">
        <v>680</v>
      </c>
      <c r="C2595" s="83">
        <v>46084</v>
      </c>
      <c r="D2595" t="s">
        <v>689</v>
      </c>
      <c r="E2595" t="s">
        <v>297</v>
      </c>
      <c r="F2595">
        <v>19</v>
      </c>
      <c r="G2595">
        <v>6.6981999999999999</v>
      </c>
    </row>
    <row r="2596" spans="1:7" x14ac:dyDescent="0.35">
      <c r="A2596" t="s">
        <v>847</v>
      </c>
      <c r="B2596" t="s">
        <v>680</v>
      </c>
      <c r="C2596" s="83">
        <v>46084</v>
      </c>
      <c r="D2596" t="s">
        <v>689</v>
      </c>
      <c r="E2596" t="s">
        <v>298</v>
      </c>
      <c r="F2596">
        <v>15</v>
      </c>
      <c r="G2596">
        <v>20.349049999999998</v>
      </c>
    </row>
    <row r="2597" spans="1:7" x14ac:dyDescent="0.35">
      <c r="A2597" t="s">
        <v>847</v>
      </c>
      <c r="B2597" t="s">
        <v>680</v>
      </c>
      <c r="C2597" s="83">
        <v>46084</v>
      </c>
      <c r="D2597" t="s">
        <v>689</v>
      </c>
      <c r="E2597" t="s">
        <v>334</v>
      </c>
      <c r="F2597">
        <v>14</v>
      </c>
      <c r="G2597">
        <v>43.507116666666697</v>
      </c>
    </row>
    <row r="2598" spans="1:7" x14ac:dyDescent="0.35">
      <c r="A2598" t="s">
        <v>847</v>
      </c>
      <c r="B2598" t="s">
        <v>680</v>
      </c>
      <c r="C2598" s="83">
        <v>46084</v>
      </c>
      <c r="D2598" t="s">
        <v>684</v>
      </c>
      <c r="E2598" t="s">
        <v>300</v>
      </c>
      <c r="F2598">
        <v>5</v>
      </c>
      <c r="G2598">
        <v>4.1613833333333297</v>
      </c>
    </row>
    <row r="2599" spans="1:7" x14ac:dyDescent="0.35">
      <c r="A2599" t="s">
        <v>847</v>
      </c>
      <c r="B2599" t="s">
        <v>680</v>
      </c>
      <c r="C2599" s="83">
        <v>46084</v>
      </c>
      <c r="D2599" t="s">
        <v>684</v>
      </c>
      <c r="E2599" t="s">
        <v>296</v>
      </c>
      <c r="F2599">
        <v>4</v>
      </c>
      <c r="G2599">
        <v>1.3471500000000001</v>
      </c>
    </row>
    <row r="2600" spans="1:7" x14ac:dyDescent="0.35">
      <c r="A2600" t="s">
        <v>847</v>
      </c>
      <c r="B2600" t="s">
        <v>680</v>
      </c>
      <c r="C2600" s="83">
        <v>46084</v>
      </c>
      <c r="D2600" t="s">
        <v>684</v>
      </c>
      <c r="E2600" t="s">
        <v>304</v>
      </c>
      <c r="F2600">
        <v>2</v>
      </c>
      <c r="G2600">
        <v>0.84003333333333297</v>
      </c>
    </row>
    <row r="2601" spans="1:7" x14ac:dyDescent="0.35">
      <c r="A2601" t="s">
        <v>847</v>
      </c>
      <c r="B2601" t="s">
        <v>680</v>
      </c>
      <c r="C2601" s="83">
        <v>46084</v>
      </c>
      <c r="D2601" t="s">
        <v>687</v>
      </c>
      <c r="E2601" t="s">
        <v>726</v>
      </c>
      <c r="F2601">
        <v>5</v>
      </c>
      <c r="G2601">
        <v>17.690200000000001</v>
      </c>
    </row>
    <row r="2602" spans="1:7" x14ac:dyDescent="0.35">
      <c r="A2602" t="s">
        <v>847</v>
      </c>
      <c r="B2602" t="s">
        <v>680</v>
      </c>
      <c r="C2602" s="83">
        <v>46084</v>
      </c>
      <c r="D2602" t="s">
        <v>687</v>
      </c>
      <c r="E2602" t="s">
        <v>718</v>
      </c>
      <c r="F2602">
        <v>4</v>
      </c>
      <c r="G2602">
        <v>5.6742833333333298</v>
      </c>
    </row>
    <row r="2603" spans="1:7" x14ac:dyDescent="0.35">
      <c r="A2603" t="s">
        <v>847</v>
      </c>
      <c r="B2603" t="s">
        <v>680</v>
      </c>
      <c r="C2603" s="83">
        <v>46084</v>
      </c>
      <c r="D2603" t="s">
        <v>687</v>
      </c>
      <c r="E2603" t="s">
        <v>717</v>
      </c>
      <c r="F2603">
        <v>3</v>
      </c>
      <c r="G2603">
        <v>1.5078499999999999</v>
      </c>
    </row>
    <row r="2604" spans="1:7" x14ac:dyDescent="0.35">
      <c r="A2604" t="s">
        <v>847</v>
      </c>
      <c r="B2604" t="s">
        <v>680</v>
      </c>
      <c r="C2604" s="83">
        <v>46084</v>
      </c>
      <c r="D2604" t="s">
        <v>688</v>
      </c>
      <c r="E2604" t="s">
        <v>338</v>
      </c>
      <c r="F2604">
        <v>11</v>
      </c>
      <c r="G2604">
        <v>6.3358166666666698</v>
      </c>
    </row>
    <row r="2605" spans="1:7" x14ac:dyDescent="0.35">
      <c r="A2605" t="s">
        <v>847</v>
      </c>
      <c r="B2605" t="s">
        <v>680</v>
      </c>
      <c r="C2605" s="83">
        <v>46084</v>
      </c>
      <c r="D2605" t="s">
        <v>688</v>
      </c>
      <c r="E2605" t="s">
        <v>311</v>
      </c>
      <c r="F2605">
        <v>8</v>
      </c>
      <c r="G2605">
        <v>21.765183333333301</v>
      </c>
    </row>
    <row r="2606" spans="1:7" x14ac:dyDescent="0.35">
      <c r="A2606" t="s">
        <v>847</v>
      </c>
      <c r="B2606" t="s">
        <v>680</v>
      </c>
      <c r="C2606" s="83">
        <v>46084</v>
      </c>
      <c r="D2606" t="s">
        <v>688</v>
      </c>
      <c r="E2606" t="s">
        <v>322</v>
      </c>
      <c r="F2606">
        <v>3</v>
      </c>
      <c r="G2606">
        <v>0.66628333333333301</v>
      </c>
    </row>
    <row r="2607" spans="1:7" x14ac:dyDescent="0.35">
      <c r="A2607" t="s">
        <v>847</v>
      </c>
      <c r="B2607" t="s">
        <v>680</v>
      </c>
      <c r="C2607" s="83">
        <v>46084</v>
      </c>
      <c r="D2607" t="s">
        <v>690</v>
      </c>
      <c r="E2607" t="s">
        <v>720</v>
      </c>
      <c r="F2607">
        <v>21</v>
      </c>
      <c r="G2607">
        <v>18.511983333333301</v>
      </c>
    </row>
    <row r="2608" spans="1:7" x14ac:dyDescent="0.35">
      <c r="A2608" t="s">
        <v>847</v>
      </c>
      <c r="B2608" t="s">
        <v>680</v>
      </c>
      <c r="C2608" s="83">
        <v>46084</v>
      </c>
      <c r="D2608" t="s">
        <v>690</v>
      </c>
      <c r="E2608" t="s">
        <v>311</v>
      </c>
      <c r="F2608">
        <v>20</v>
      </c>
      <c r="G2608">
        <v>10.4394666666667</v>
      </c>
    </row>
    <row r="2609" spans="1:7" x14ac:dyDescent="0.35">
      <c r="A2609" t="s">
        <v>847</v>
      </c>
      <c r="B2609" t="s">
        <v>680</v>
      </c>
      <c r="C2609" s="83">
        <v>46084</v>
      </c>
      <c r="D2609" t="s">
        <v>690</v>
      </c>
      <c r="E2609" t="s">
        <v>316</v>
      </c>
      <c r="F2609">
        <v>18</v>
      </c>
      <c r="G2609">
        <v>20.487966666666701</v>
      </c>
    </row>
    <row r="2610" spans="1:7" x14ac:dyDescent="0.35">
      <c r="A2610" t="s">
        <v>847</v>
      </c>
      <c r="B2610" t="s">
        <v>680</v>
      </c>
      <c r="C2610" s="83">
        <v>46084</v>
      </c>
      <c r="D2610" t="s">
        <v>685</v>
      </c>
      <c r="E2610" t="s">
        <v>312</v>
      </c>
      <c r="F2610">
        <v>7</v>
      </c>
      <c r="G2610">
        <v>5.1666833333333297</v>
      </c>
    </row>
    <row r="2611" spans="1:7" x14ac:dyDescent="0.35">
      <c r="A2611" t="s">
        <v>847</v>
      </c>
      <c r="B2611" t="s">
        <v>680</v>
      </c>
      <c r="C2611" s="83">
        <v>46084</v>
      </c>
      <c r="D2611" t="s">
        <v>685</v>
      </c>
      <c r="E2611" t="s">
        <v>311</v>
      </c>
      <c r="F2611">
        <v>4</v>
      </c>
      <c r="G2611">
        <v>2.0076666666666698</v>
      </c>
    </row>
    <row r="2612" spans="1:7" x14ac:dyDescent="0.35">
      <c r="A2612" t="s">
        <v>847</v>
      </c>
      <c r="B2612" t="s">
        <v>680</v>
      </c>
      <c r="C2612" s="83">
        <v>46084</v>
      </c>
      <c r="D2612" t="s">
        <v>685</v>
      </c>
      <c r="E2612" t="s">
        <v>757</v>
      </c>
      <c r="F2612">
        <v>2</v>
      </c>
      <c r="G2612">
        <v>0.66708333333333303</v>
      </c>
    </row>
    <row r="2613" spans="1:7" x14ac:dyDescent="0.35">
      <c r="A2613" t="s">
        <v>847</v>
      </c>
      <c r="B2613" t="s">
        <v>680</v>
      </c>
      <c r="C2613" s="83">
        <v>46085</v>
      </c>
      <c r="D2613" t="s">
        <v>681</v>
      </c>
      <c r="E2613" t="s">
        <v>296</v>
      </c>
      <c r="F2613">
        <v>9</v>
      </c>
      <c r="G2613">
        <v>3.5156999999999998</v>
      </c>
    </row>
    <row r="2614" spans="1:7" x14ac:dyDescent="0.35">
      <c r="A2614" t="s">
        <v>847</v>
      </c>
      <c r="B2614" t="s">
        <v>680</v>
      </c>
      <c r="C2614" s="83">
        <v>46085</v>
      </c>
      <c r="D2614" t="s">
        <v>681</v>
      </c>
      <c r="E2614" t="s">
        <v>298</v>
      </c>
      <c r="F2614">
        <v>8</v>
      </c>
      <c r="G2614">
        <v>8.8966499999999993</v>
      </c>
    </row>
    <row r="2615" spans="1:7" x14ac:dyDescent="0.35">
      <c r="A2615" t="s">
        <v>847</v>
      </c>
      <c r="B2615" t="s">
        <v>680</v>
      </c>
      <c r="C2615" s="83">
        <v>46085</v>
      </c>
      <c r="D2615" t="s">
        <v>681</v>
      </c>
      <c r="E2615" t="s">
        <v>297</v>
      </c>
      <c r="F2615">
        <v>3</v>
      </c>
      <c r="G2615">
        <v>0.66778333333333295</v>
      </c>
    </row>
    <row r="2616" spans="1:7" x14ac:dyDescent="0.35">
      <c r="A2616" t="s">
        <v>847</v>
      </c>
      <c r="B2616" t="s">
        <v>680</v>
      </c>
      <c r="C2616" s="83">
        <v>46085</v>
      </c>
      <c r="D2616" t="s">
        <v>683</v>
      </c>
      <c r="E2616" t="s">
        <v>298</v>
      </c>
      <c r="F2616">
        <v>6</v>
      </c>
      <c r="G2616">
        <v>7.6772499999999999</v>
      </c>
    </row>
    <row r="2617" spans="1:7" x14ac:dyDescent="0.35">
      <c r="A2617" t="s">
        <v>847</v>
      </c>
      <c r="B2617" t="s">
        <v>680</v>
      </c>
      <c r="C2617" s="83">
        <v>46085</v>
      </c>
      <c r="D2617" t="s">
        <v>683</v>
      </c>
      <c r="E2617" t="s">
        <v>727</v>
      </c>
      <c r="F2617">
        <v>3</v>
      </c>
      <c r="G2617">
        <v>0.34116666666666701</v>
      </c>
    </row>
    <row r="2618" spans="1:7" x14ac:dyDescent="0.35">
      <c r="A2618" t="s">
        <v>847</v>
      </c>
      <c r="B2618" t="s">
        <v>680</v>
      </c>
      <c r="C2618" s="83">
        <v>46085</v>
      </c>
      <c r="D2618" t="s">
        <v>683</v>
      </c>
      <c r="E2618" t="s">
        <v>749</v>
      </c>
      <c r="F2618">
        <v>3</v>
      </c>
      <c r="G2618">
        <v>5.1657333333333302</v>
      </c>
    </row>
    <row r="2619" spans="1:7" x14ac:dyDescent="0.35">
      <c r="A2619" t="s">
        <v>847</v>
      </c>
      <c r="B2619" t="s">
        <v>680</v>
      </c>
      <c r="C2619" s="83">
        <v>46085</v>
      </c>
      <c r="D2619" t="s">
        <v>689</v>
      </c>
      <c r="E2619" t="s">
        <v>297</v>
      </c>
      <c r="F2619">
        <v>5</v>
      </c>
      <c r="G2619">
        <v>1.8321166666666699</v>
      </c>
    </row>
    <row r="2620" spans="1:7" x14ac:dyDescent="0.35">
      <c r="A2620" t="s">
        <v>847</v>
      </c>
      <c r="B2620" t="s">
        <v>680</v>
      </c>
      <c r="C2620" s="83">
        <v>46085</v>
      </c>
      <c r="D2620" t="s">
        <v>689</v>
      </c>
      <c r="E2620" t="s">
        <v>727</v>
      </c>
      <c r="F2620">
        <v>4</v>
      </c>
      <c r="G2620">
        <v>1.4904333333333299</v>
      </c>
    </row>
    <row r="2621" spans="1:7" x14ac:dyDescent="0.35">
      <c r="A2621" t="s">
        <v>847</v>
      </c>
      <c r="B2621" t="s">
        <v>680</v>
      </c>
      <c r="C2621" s="83">
        <v>46085</v>
      </c>
      <c r="D2621" t="s">
        <v>689</v>
      </c>
      <c r="E2621" t="s">
        <v>298</v>
      </c>
      <c r="F2621">
        <v>4</v>
      </c>
      <c r="G2621">
        <v>5.8255499999999998</v>
      </c>
    </row>
    <row r="2622" spans="1:7" x14ac:dyDescent="0.35">
      <c r="A2622" t="s">
        <v>847</v>
      </c>
      <c r="B2622" t="s">
        <v>680</v>
      </c>
      <c r="C2622" s="83">
        <v>46085</v>
      </c>
      <c r="D2622" t="s">
        <v>684</v>
      </c>
      <c r="E2622" t="s">
        <v>727</v>
      </c>
      <c r="F2622">
        <v>2</v>
      </c>
      <c r="G2622">
        <v>0.33355000000000001</v>
      </c>
    </row>
    <row r="2623" spans="1:7" x14ac:dyDescent="0.35">
      <c r="A2623" t="s">
        <v>847</v>
      </c>
      <c r="B2623" t="s">
        <v>680</v>
      </c>
      <c r="C2623" s="83">
        <v>46085</v>
      </c>
      <c r="D2623" t="s">
        <v>684</v>
      </c>
      <c r="E2623" t="s">
        <v>298</v>
      </c>
      <c r="F2623">
        <v>2</v>
      </c>
      <c r="G2623">
        <v>0.16703333333333301</v>
      </c>
    </row>
    <row r="2624" spans="1:7" x14ac:dyDescent="0.35">
      <c r="A2624" t="s">
        <v>847</v>
      </c>
      <c r="B2624" t="s">
        <v>680</v>
      </c>
      <c r="C2624" s="83">
        <v>46085</v>
      </c>
      <c r="D2624" t="s">
        <v>684</v>
      </c>
      <c r="E2624" t="s">
        <v>756</v>
      </c>
      <c r="F2624">
        <v>2</v>
      </c>
      <c r="G2624">
        <v>0.16701666666666701</v>
      </c>
    </row>
    <row r="2625" spans="1:7" x14ac:dyDescent="0.35">
      <c r="A2625" t="s">
        <v>847</v>
      </c>
      <c r="B2625" t="s">
        <v>680</v>
      </c>
      <c r="C2625" s="83">
        <v>46085</v>
      </c>
      <c r="D2625" t="s">
        <v>687</v>
      </c>
      <c r="E2625" t="s">
        <v>758</v>
      </c>
      <c r="F2625">
        <v>2</v>
      </c>
      <c r="G2625">
        <v>0.33361666666666701</v>
      </c>
    </row>
    <row r="2626" spans="1:7" x14ac:dyDescent="0.35">
      <c r="A2626" t="s">
        <v>847</v>
      </c>
      <c r="B2626" t="s">
        <v>680</v>
      </c>
      <c r="C2626" s="83">
        <v>46085</v>
      </c>
      <c r="D2626" t="s">
        <v>687</v>
      </c>
      <c r="E2626" t="s">
        <v>738</v>
      </c>
      <c r="F2626">
        <v>2</v>
      </c>
      <c r="G2626">
        <v>1.333</v>
      </c>
    </row>
    <row r="2627" spans="1:7" x14ac:dyDescent="0.35">
      <c r="A2627" t="s">
        <v>847</v>
      </c>
      <c r="B2627" t="s">
        <v>680</v>
      </c>
      <c r="C2627" s="83">
        <v>46085</v>
      </c>
      <c r="D2627" t="s">
        <v>688</v>
      </c>
      <c r="E2627" t="s">
        <v>311</v>
      </c>
      <c r="F2627">
        <v>5</v>
      </c>
      <c r="G2627">
        <v>5.8284166666666701</v>
      </c>
    </row>
    <row r="2628" spans="1:7" x14ac:dyDescent="0.35">
      <c r="A2628" t="s">
        <v>847</v>
      </c>
      <c r="B2628" t="s">
        <v>680</v>
      </c>
      <c r="C2628" s="83">
        <v>46085</v>
      </c>
      <c r="D2628" t="s">
        <v>688</v>
      </c>
      <c r="E2628" t="s">
        <v>321</v>
      </c>
      <c r="F2628">
        <v>3</v>
      </c>
      <c r="G2628">
        <v>0.66</v>
      </c>
    </row>
    <row r="2629" spans="1:7" x14ac:dyDescent="0.35">
      <c r="A2629" t="s">
        <v>847</v>
      </c>
      <c r="B2629" t="s">
        <v>680</v>
      </c>
      <c r="C2629" s="83">
        <v>46085</v>
      </c>
      <c r="D2629" t="s">
        <v>688</v>
      </c>
      <c r="E2629" t="s">
        <v>338</v>
      </c>
      <c r="F2629">
        <v>2</v>
      </c>
      <c r="G2629">
        <v>1.1661999999999999</v>
      </c>
    </row>
    <row r="2630" spans="1:7" x14ac:dyDescent="0.35">
      <c r="A2630" t="s">
        <v>847</v>
      </c>
      <c r="B2630" t="s">
        <v>680</v>
      </c>
      <c r="C2630" s="83">
        <v>46085</v>
      </c>
      <c r="D2630" t="s">
        <v>690</v>
      </c>
      <c r="E2630" t="s">
        <v>311</v>
      </c>
      <c r="F2630">
        <v>8</v>
      </c>
      <c r="G2630">
        <v>59.828566666666703</v>
      </c>
    </row>
    <row r="2631" spans="1:7" x14ac:dyDescent="0.35">
      <c r="A2631" t="s">
        <v>847</v>
      </c>
      <c r="B2631" t="s">
        <v>680</v>
      </c>
      <c r="C2631" s="83">
        <v>46085</v>
      </c>
      <c r="D2631" t="s">
        <v>690</v>
      </c>
      <c r="E2631" t="s">
        <v>316</v>
      </c>
      <c r="F2631">
        <v>6</v>
      </c>
      <c r="G2631">
        <v>3.33405</v>
      </c>
    </row>
    <row r="2632" spans="1:7" x14ac:dyDescent="0.35">
      <c r="A2632" t="s">
        <v>847</v>
      </c>
      <c r="B2632" t="s">
        <v>680</v>
      </c>
      <c r="C2632" s="83">
        <v>46085</v>
      </c>
      <c r="D2632" t="s">
        <v>690</v>
      </c>
      <c r="E2632" t="s">
        <v>321</v>
      </c>
      <c r="F2632">
        <v>4</v>
      </c>
      <c r="G2632">
        <v>2.6657999999999999</v>
      </c>
    </row>
    <row r="2633" spans="1:7" x14ac:dyDescent="0.35">
      <c r="A2633" t="s">
        <v>847</v>
      </c>
      <c r="B2633" t="s">
        <v>680</v>
      </c>
      <c r="C2633" s="83">
        <v>46085</v>
      </c>
      <c r="D2633" t="s">
        <v>685</v>
      </c>
      <c r="E2633" t="s">
        <v>319</v>
      </c>
      <c r="F2633">
        <v>2</v>
      </c>
      <c r="G2633">
        <v>1151.57756666667</v>
      </c>
    </row>
    <row r="2634" spans="1:7" x14ac:dyDescent="0.35">
      <c r="A2634" t="s">
        <v>847</v>
      </c>
      <c r="B2634" t="s">
        <v>680</v>
      </c>
      <c r="C2634" s="83">
        <v>46085</v>
      </c>
      <c r="D2634" t="s">
        <v>685</v>
      </c>
      <c r="E2634" t="s">
        <v>720</v>
      </c>
      <c r="F2634">
        <v>2</v>
      </c>
      <c r="G2634">
        <v>0.33348333333333302</v>
      </c>
    </row>
    <row r="2635" spans="1:7" x14ac:dyDescent="0.35">
      <c r="A2635" t="s">
        <v>847</v>
      </c>
      <c r="B2635" t="s">
        <v>680</v>
      </c>
      <c r="C2635" s="83">
        <v>46085</v>
      </c>
      <c r="D2635" t="s">
        <v>685</v>
      </c>
      <c r="E2635" t="s">
        <v>312</v>
      </c>
      <c r="F2635">
        <v>2</v>
      </c>
      <c r="G2635">
        <v>0.83425000000000005</v>
      </c>
    </row>
    <row r="2636" spans="1:7" x14ac:dyDescent="0.35">
      <c r="A2636" t="s">
        <v>847</v>
      </c>
      <c r="B2636" t="s">
        <v>680</v>
      </c>
      <c r="C2636" s="83">
        <v>46086</v>
      </c>
      <c r="D2636" t="s">
        <v>681</v>
      </c>
      <c r="E2636" t="s">
        <v>296</v>
      </c>
      <c r="F2636">
        <v>14</v>
      </c>
      <c r="G2636">
        <v>9.0098500000000001</v>
      </c>
    </row>
    <row r="2637" spans="1:7" x14ac:dyDescent="0.35">
      <c r="A2637" t="s">
        <v>847</v>
      </c>
      <c r="B2637" t="s">
        <v>680</v>
      </c>
      <c r="C2637" s="83">
        <v>46086</v>
      </c>
      <c r="D2637" t="s">
        <v>681</v>
      </c>
      <c r="E2637" t="s">
        <v>297</v>
      </c>
      <c r="F2637">
        <v>5</v>
      </c>
      <c r="G2637">
        <v>2.9994333333333301</v>
      </c>
    </row>
    <row r="2638" spans="1:7" x14ac:dyDescent="0.35">
      <c r="A2638" t="s">
        <v>847</v>
      </c>
      <c r="B2638" t="s">
        <v>680</v>
      </c>
      <c r="C2638" s="83">
        <v>46086</v>
      </c>
      <c r="D2638" t="s">
        <v>681</v>
      </c>
      <c r="E2638" t="s">
        <v>304</v>
      </c>
      <c r="F2638">
        <v>2</v>
      </c>
      <c r="G2638">
        <v>141.34604999999999</v>
      </c>
    </row>
    <row r="2639" spans="1:7" x14ac:dyDescent="0.35">
      <c r="A2639" t="s">
        <v>847</v>
      </c>
      <c r="B2639" t="s">
        <v>680</v>
      </c>
      <c r="C2639" s="83">
        <v>46086</v>
      </c>
      <c r="D2639" t="s">
        <v>683</v>
      </c>
      <c r="E2639" t="s">
        <v>297</v>
      </c>
      <c r="F2639">
        <v>4</v>
      </c>
      <c r="G2639">
        <v>1.3323166666666699</v>
      </c>
    </row>
    <row r="2640" spans="1:7" x14ac:dyDescent="0.35">
      <c r="A2640" t="s">
        <v>847</v>
      </c>
      <c r="B2640" t="s">
        <v>680</v>
      </c>
      <c r="C2640" s="83">
        <v>46086</v>
      </c>
      <c r="D2640" t="s">
        <v>683</v>
      </c>
      <c r="E2640" t="s">
        <v>740</v>
      </c>
      <c r="F2640">
        <v>2</v>
      </c>
      <c r="G2640">
        <v>633.21218333333297</v>
      </c>
    </row>
    <row r="2641" spans="1:7" x14ac:dyDescent="0.35">
      <c r="A2641" t="s">
        <v>847</v>
      </c>
      <c r="B2641" t="s">
        <v>680</v>
      </c>
      <c r="C2641" s="83">
        <v>46086</v>
      </c>
      <c r="D2641" t="s">
        <v>683</v>
      </c>
      <c r="E2641" t="s">
        <v>334</v>
      </c>
      <c r="F2641">
        <v>2</v>
      </c>
      <c r="G2641">
        <v>0.68730000000000002</v>
      </c>
    </row>
    <row r="2642" spans="1:7" x14ac:dyDescent="0.35">
      <c r="A2642" t="s">
        <v>847</v>
      </c>
      <c r="B2642" t="s">
        <v>680</v>
      </c>
      <c r="C2642" s="83">
        <v>46086</v>
      </c>
      <c r="D2642" t="s">
        <v>689</v>
      </c>
      <c r="E2642" t="s">
        <v>296</v>
      </c>
      <c r="F2642">
        <v>6</v>
      </c>
      <c r="G2642">
        <v>6.0020833333333297</v>
      </c>
    </row>
    <row r="2643" spans="1:7" x14ac:dyDescent="0.35">
      <c r="A2643" t="s">
        <v>847</v>
      </c>
      <c r="B2643" t="s">
        <v>680</v>
      </c>
      <c r="C2643" s="83">
        <v>46086</v>
      </c>
      <c r="D2643" t="s">
        <v>689</v>
      </c>
      <c r="E2643" t="s">
        <v>304</v>
      </c>
      <c r="F2643">
        <v>2</v>
      </c>
      <c r="G2643">
        <v>0.33328333333333299</v>
      </c>
    </row>
    <row r="2644" spans="1:7" x14ac:dyDescent="0.35">
      <c r="A2644" t="s">
        <v>847</v>
      </c>
      <c r="B2644" t="s">
        <v>680</v>
      </c>
      <c r="C2644" s="83">
        <v>46086</v>
      </c>
      <c r="D2644" t="s">
        <v>689</v>
      </c>
      <c r="E2644" t="s">
        <v>334</v>
      </c>
      <c r="F2644">
        <v>2</v>
      </c>
      <c r="G2644">
        <v>0.16653333333333301</v>
      </c>
    </row>
    <row r="2645" spans="1:7" x14ac:dyDescent="0.35">
      <c r="A2645" t="s">
        <v>847</v>
      </c>
      <c r="B2645" t="s">
        <v>680</v>
      </c>
      <c r="C2645" s="83">
        <v>46086</v>
      </c>
      <c r="D2645" t="s">
        <v>684</v>
      </c>
      <c r="E2645" t="s">
        <v>296</v>
      </c>
      <c r="F2645">
        <v>13</v>
      </c>
      <c r="G2645">
        <v>29.3349166666667</v>
      </c>
    </row>
    <row r="2646" spans="1:7" x14ac:dyDescent="0.35">
      <c r="A2646" t="s">
        <v>847</v>
      </c>
      <c r="B2646" t="s">
        <v>680</v>
      </c>
      <c r="C2646" s="83">
        <v>46086</v>
      </c>
      <c r="D2646" t="s">
        <v>684</v>
      </c>
      <c r="E2646" t="s">
        <v>297</v>
      </c>
      <c r="F2646">
        <v>2</v>
      </c>
      <c r="G2646">
        <v>0.33396666666666702</v>
      </c>
    </row>
    <row r="2647" spans="1:7" x14ac:dyDescent="0.35">
      <c r="A2647" t="s">
        <v>847</v>
      </c>
      <c r="B2647" t="s">
        <v>680</v>
      </c>
      <c r="C2647" s="83">
        <v>46086</v>
      </c>
      <c r="D2647" t="s">
        <v>684</v>
      </c>
      <c r="E2647" t="s">
        <v>334</v>
      </c>
      <c r="F2647">
        <v>2</v>
      </c>
      <c r="G2647">
        <v>1.5004500000000001</v>
      </c>
    </row>
    <row r="2648" spans="1:7" x14ac:dyDescent="0.35">
      <c r="A2648" t="s">
        <v>847</v>
      </c>
      <c r="B2648" t="s">
        <v>680</v>
      </c>
      <c r="C2648" s="83">
        <v>46086</v>
      </c>
      <c r="D2648" t="s">
        <v>687</v>
      </c>
      <c r="E2648" t="s">
        <v>740</v>
      </c>
      <c r="F2648">
        <v>3</v>
      </c>
      <c r="G2648">
        <v>13.666783333333299</v>
      </c>
    </row>
    <row r="2649" spans="1:7" x14ac:dyDescent="0.35">
      <c r="A2649" t="s">
        <v>847</v>
      </c>
      <c r="B2649" t="s">
        <v>680</v>
      </c>
      <c r="C2649" s="83">
        <v>46086</v>
      </c>
      <c r="D2649" t="s">
        <v>687</v>
      </c>
      <c r="E2649" t="s">
        <v>717</v>
      </c>
      <c r="F2649">
        <v>2</v>
      </c>
      <c r="G2649">
        <v>0.33374999999999999</v>
      </c>
    </row>
    <row r="2650" spans="1:7" x14ac:dyDescent="0.35">
      <c r="A2650" t="s">
        <v>847</v>
      </c>
      <c r="B2650" t="s">
        <v>680</v>
      </c>
      <c r="C2650" s="83">
        <v>46086</v>
      </c>
      <c r="D2650" t="s">
        <v>687</v>
      </c>
      <c r="E2650" t="s">
        <v>733</v>
      </c>
      <c r="F2650">
        <v>2</v>
      </c>
      <c r="G2650">
        <v>4.6733333333333302</v>
      </c>
    </row>
    <row r="2651" spans="1:7" x14ac:dyDescent="0.35">
      <c r="A2651" t="s">
        <v>847</v>
      </c>
      <c r="B2651" t="s">
        <v>680</v>
      </c>
      <c r="C2651" s="83">
        <v>46086</v>
      </c>
      <c r="D2651" t="s">
        <v>688</v>
      </c>
      <c r="E2651" t="s">
        <v>311</v>
      </c>
      <c r="F2651">
        <v>5</v>
      </c>
      <c r="G2651">
        <v>3.6495833333333301</v>
      </c>
    </row>
    <row r="2652" spans="1:7" x14ac:dyDescent="0.35">
      <c r="A2652" t="s">
        <v>847</v>
      </c>
      <c r="B2652" t="s">
        <v>680</v>
      </c>
      <c r="C2652" s="83">
        <v>46086</v>
      </c>
      <c r="D2652" t="s">
        <v>688</v>
      </c>
      <c r="E2652" t="s">
        <v>720</v>
      </c>
      <c r="F2652">
        <v>2</v>
      </c>
      <c r="G2652">
        <v>3.8349000000000002</v>
      </c>
    </row>
    <row r="2653" spans="1:7" x14ac:dyDescent="0.35">
      <c r="A2653" t="s">
        <v>847</v>
      </c>
      <c r="B2653" t="s">
        <v>680</v>
      </c>
      <c r="C2653" s="83">
        <v>46086</v>
      </c>
      <c r="D2653" t="s">
        <v>690</v>
      </c>
      <c r="E2653" t="s">
        <v>126</v>
      </c>
      <c r="F2653">
        <v>2</v>
      </c>
      <c r="G2653">
        <v>737.55676666666704</v>
      </c>
    </row>
    <row r="2654" spans="1:7" x14ac:dyDescent="0.35">
      <c r="A2654" t="s">
        <v>847</v>
      </c>
      <c r="B2654" t="s">
        <v>680</v>
      </c>
      <c r="C2654" s="83">
        <v>46086</v>
      </c>
      <c r="D2654" t="s">
        <v>685</v>
      </c>
      <c r="E2654" t="s">
        <v>311</v>
      </c>
      <c r="F2654">
        <v>2</v>
      </c>
      <c r="G2654">
        <v>0.83403333333333296</v>
      </c>
    </row>
    <row r="2655" spans="1:7" x14ac:dyDescent="0.35">
      <c r="A2655" t="s">
        <v>847</v>
      </c>
      <c r="B2655" t="s">
        <v>680</v>
      </c>
      <c r="C2655" s="83">
        <v>46086</v>
      </c>
      <c r="D2655" t="s">
        <v>685</v>
      </c>
      <c r="E2655" t="s">
        <v>319</v>
      </c>
      <c r="F2655">
        <v>1</v>
      </c>
      <c r="G2655">
        <v>388.06188333333301</v>
      </c>
    </row>
    <row r="2656" spans="1:7" x14ac:dyDescent="0.35">
      <c r="A2656" t="s">
        <v>847</v>
      </c>
      <c r="B2656" t="s">
        <v>680</v>
      </c>
      <c r="C2656" s="83">
        <v>46087</v>
      </c>
      <c r="D2656" t="s">
        <v>681</v>
      </c>
      <c r="E2656" t="s">
        <v>296</v>
      </c>
      <c r="F2656">
        <v>21</v>
      </c>
      <c r="G2656">
        <v>4.16503333333333</v>
      </c>
    </row>
    <row r="2657" spans="1:7" x14ac:dyDescent="0.35">
      <c r="A2657" t="s">
        <v>847</v>
      </c>
      <c r="B2657" t="s">
        <v>680</v>
      </c>
      <c r="C2657" s="83">
        <v>46087</v>
      </c>
      <c r="D2657" t="s">
        <v>681</v>
      </c>
      <c r="E2657" t="s">
        <v>297</v>
      </c>
      <c r="F2657">
        <v>7</v>
      </c>
      <c r="G2657">
        <v>1.3442666666666701</v>
      </c>
    </row>
    <row r="2658" spans="1:7" x14ac:dyDescent="0.35">
      <c r="A2658" t="s">
        <v>847</v>
      </c>
      <c r="B2658" t="s">
        <v>680</v>
      </c>
      <c r="C2658" s="83">
        <v>46087</v>
      </c>
      <c r="D2658" t="s">
        <v>681</v>
      </c>
      <c r="E2658" t="s">
        <v>300</v>
      </c>
      <c r="F2658">
        <v>3</v>
      </c>
      <c r="G2658">
        <v>24.1646</v>
      </c>
    </row>
    <row r="2659" spans="1:7" x14ac:dyDescent="0.35">
      <c r="A2659" t="s">
        <v>847</v>
      </c>
      <c r="B2659" t="s">
        <v>680</v>
      </c>
      <c r="C2659" s="83">
        <v>46087</v>
      </c>
      <c r="D2659" t="s">
        <v>683</v>
      </c>
      <c r="E2659" t="s">
        <v>297</v>
      </c>
      <c r="F2659">
        <v>14</v>
      </c>
      <c r="G2659">
        <v>3.1829000000000001</v>
      </c>
    </row>
    <row r="2660" spans="1:7" x14ac:dyDescent="0.35">
      <c r="A2660" t="s">
        <v>847</v>
      </c>
      <c r="B2660" t="s">
        <v>680</v>
      </c>
      <c r="C2660" s="83">
        <v>46087</v>
      </c>
      <c r="D2660" t="s">
        <v>683</v>
      </c>
      <c r="E2660" t="s">
        <v>300</v>
      </c>
      <c r="F2660">
        <v>2</v>
      </c>
      <c r="G2660">
        <v>4.9991833333333302</v>
      </c>
    </row>
    <row r="2661" spans="1:7" x14ac:dyDescent="0.35">
      <c r="A2661" t="s">
        <v>847</v>
      </c>
      <c r="B2661" t="s">
        <v>680</v>
      </c>
      <c r="C2661" s="83">
        <v>46087</v>
      </c>
      <c r="D2661" t="s">
        <v>683</v>
      </c>
      <c r="E2661" t="s">
        <v>296</v>
      </c>
      <c r="F2661">
        <v>2</v>
      </c>
      <c r="G2661">
        <v>0.17321666666666699</v>
      </c>
    </row>
    <row r="2662" spans="1:7" x14ac:dyDescent="0.35">
      <c r="A2662" t="s">
        <v>847</v>
      </c>
      <c r="B2662" t="s">
        <v>680</v>
      </c>
      <c r="C2662" s="83">
        <v>46087</v>
      </c>
      <c r="D2662" t="s">
        <v>689</v>
      </c>
      <c r="E2662" t="s">
        <v>296</v>
      </c>
      <c r="F2662">
        <v>10</v>
      </c>
      <c r="G2662">
        <v>2.8184166666666699</v>
      </c>
    </row>
    <row r="2663" spans="1:7" x14ac:dyDescent="0.35">
      <c r="A2663" t="s">
        <v>847</v>
      </c>
      <c r="B2663" t="s">
        <v>680</v>
      </c>
      <c r="C2663" s="83">
        <v>46087</v>
      </c>
      <c r="D2663" t="s">
        <v>689</v>
      </c>
      <c r="E2663" t="s">
        <v>297</v>
      </c>
      <c r="F2663">
        <v>9</v>
      </c>
      <c r="G2663">
        <v>2.0005333333333302</v>
      </c>
    </row>
    <row r="2664" spans="1:7" x14ac:dyDescent="0.35">
      <c r="A2664" t="s">
        <v>847</v>
      </c>
      <c r="B2664" t="s">
        <v>680</v>
      </c>
      <c r="C2664" s="83">
        <v>46087</v>
      </c>
      <c r="D2664" t="s">
        <v>689</v>
      </c>
      <c r="E2664" t="s">
        <v>304</v>
      </c>
      <c r="F2664">
        <v>7</v>
      </c>
      <c r="G2664">
        <v>1.8266500000000001</v>
      </c>
    </row>
    <row r="2665" spans="1:7" x14ac:dyDescent="0.35">
      <c r="A2665" t="s">
        <v>847</v>
      </c>
      <c r="B2665" t="s">
        <v>680</v>
      </c>
      <c r="C2665" s="83">
        <v>46087</v>
      </c>
      <c r="D2665" t="s">
        <v>684</v>
      </c>
      <c r="E2665" t="s">
        <v>296</v>
      </c>
      <c r="F2665">
        <v>30</v>
      </c>
      <c r="G2665">
        <v>8.1845999999999997</v>
      </c>
    </row>
    <row r="2666" spans="1:7" x14ac:dyDescent="0.35">
      <c r="A2666" t="s">
        <v>847</v>
      </c>
      <c r="B2666" t="s">
        <v>680</v>
      </c>
      <c r="C2666" s="83">
        <v>46087</v>
      </c>
      <c r="D2666" t="s">
        <v>684</v>
      </c>
      <c r="E2666" t="s">
        <v>297</v>
      </c>
      <c r="F2666">
        <v>5</v>
      </c>
      <c r="G2666">
        <v>148.88475</v>
      </c>
    </row>
    <row r="2667" spans="1:7" x14ac:dyDescent="0.35">
      <c r="A2667" t="s">
        <v>847</v>
      </c>
      <c r="B2667" t="s">
        <v>680</v>
      </c>
      <c r="C2667" s="83">
        <v>46087</v>
      </c>
      <c r="D2667" t="s">
        <v>684</v>
      </c>
      <c r="E2667" t="s">
        <v>298</v>
      </c>
      <c r="F2667">
        <v>2</v>
      </c>
      <c r="G2667">
        <v>7.6742499999999998</v>
      </c>
    </row>
    <row r="2668" spans="1:7" x14ac:dyDescent="0.35">
      <c r="A2668" t="s">
        <v>847</v>
      </c>
      <c r="B2668" t="s">
        <v>680</v>
      </c>
      <c r="C2668" s="83">
        <v>46087</v>
      </c>
      <c r="D2668" t="s">
        <v>687</v>
      </c>
      <c r="E2668" t="s">
        <v>722</v>
      </c>
      <c r="F2668">
        <v>3</v>
      </c>
      <c r="G2668">
        <v>0.99231666666666696</v>
      </c>
    </row>
    <row r="2669" spans="1:7" x14ac:dyDescent="0.35">
      <c r="A2669" t="s">
        <v>847</v>
      </c>
      <c r="B2669" t="s">
        <v>680</v>
      </c>
      <c r="C2669" s="83">
        <v>46087</v>
      </c>
      <c r="D2669" t="s">
        <v>687</v>
      </c>
      <c r="E2669" t="s">
        <v>717</v>
      </c>
      <c r="F2669">
        <v>3</v>
      </c>
      <c r="G2669">
        <v>3.0008833333333298</v>
      </c>
    </row>
    <row r="2670" spans="1:7" x14ac:dyDescent="0.35">
      <c r="A2670" t="s">
        <v>847</v>
      </c>
      <c r="B2670" t="s">
        <v>680</v>
      </c>
      <c r="C2670" s="83">
        <v>46087</v>
      </c>
      <c r="D2670" t="s">
        <v>687</v>
      </c>
      <c r="E2670" t="s">
        <v>759</v>
      </c>
      <c r="F2670">
        <v>2</v>
      </c>
      <c r="G2670">
        <v>0.34008333333333302</v>
      </c>
    </row>
    <row r="2671" spans="1:7" x14ac:dyDescent="0.35">
      <c r="A2671" t="s">
        <v>847</v>
      </c>
      <c r="B2671" t="s">
        <v>680</v>
      </c>
      <c r="C2671" s="83">
        <v>46088</v>
      </c>
      <c r="D2671" t="s">
        <v>681</v>
      </c>
      <c r="E2671" t="s">
        <v>296</v>
      </c>
      <c r="F2671">
        <v>38</v>
      </c>
      <c r="G2671">
        <v>43.703216666666698</v>
      </c>
    </row>
    <row r="2672" spans="1:7" x14ac:dyDescent="0.35">
      <c r="A2672" t="s">
        <v>847</v>
      </c>
      <c r="B2672" t="s">
        <v>680</v>
      </c>
      <c r="C2672" s="83">
        <v>46088</v>
      </c>
      <c r="D2672" t="s">
        <v>681</v>
      </c>
      <c r="E2672" t="s">
        <v>297</v>
      </c>
      <c r="F2672">
        <v>23</v>
      </c>
      <c r="G2672">
        <v>10.88475</v>
      </c>
    </row>
    <row r="2673" spans="1:7" x14ac:dyDescent="0.35">
      <c r="A2673" t="s">
        <v>847</v>
      </c>
      <c r="B2673" t="s">
        <v>680</v>
      </c>
      <c r="C2673" s="83">
        <v>46088</v>
      </c>
      <c r="D2673" t="s">
        <v>681</v>
      </c>
      <c r="E2673" t="s">
        <v>298</v>
      </c>
      <c r="F2673">
        <v>9</v>
      </c>
      <c r="G2673">
        <v>5.82545</v>
      </c>
    </row>
    <row r="2674" spans="1:7" x14ac:dyDescent="0.35">
      <c r="A2674" t="s">
        <v>847</v>
      </c>
      <c r="B2674" t="s">
        <v>680</v>
      </c>
      <c r="C2674" s="83">
        <v>46088</v>
      </c>
      <c r="D2674" t="s">
        <v>683</v>
      </c>
      <c r="E2674" t="s">
        <v>298</v>
      </c>
      <c r="F2674">
        <v>22</v>
      </c>
      <c r="G2674">
        <v>31.5065666666667</v>
      </c>
    </row>
    <row r="2675" spans="1:7" x14ac:dyDescent="0.35">
      <c r="A2675" t="s">
        <v>847</v>
      </c>
      <c r="B2675" t="s">
        <v>680</v>
      </c>
      <c r="C2675" s="83">
        <v>46088</v>
      </c>
      <c r="D2675" t="s">
        <v>683</v>
      </c>
      <c r="E2675" t="s">
        <v>297</v>
      </c>
      <c r="F2675">
        <v>13</v>
      </c>
      <c r="G2675">
        <v>11.5253</v>
      </c>
    </row>
    <row r="2676" spans="1:7" x14ac:dyDescent="0.35">
      <c r="A2676" t="s">
        <v>847</v>
      </c>
      <c r="B2676" t="s">
        <v>680</v>
      </c>
      <c r="C2676" s="83">
        <v>46088</v>
      </c>
      <c r="D2676" t="s">
        <v>683</v>
      </c>
      <c r="E2676" t="s">
        <v>296</v>
      </c>
      <c r="F2676">
        <v>8</v>
      </c>
      <c r="G2676">
        <v>1.4797833333333299</v>
      </c>
    </row>
    <row r="2677" spans="1:7" x14ac:dyDescent="0.35">
      <c r="A2677" t="s">
        <v>847</v>
      </c>
      <c r="B2677" t="s">
        <v>680</v>
      </c>
      <c r="C2677" s="83">
        <v>46088</v>
      </c>
      <c r="D2677" t="s">
        <v>689</v>
      </c>
      <c r="E2677" t="s">
        <v>297</v>
      </c>
      <c r="F2677">
        <v>26</v>
      </c>
      <c r="G2677">
        <v>14.18135</v>
      </c>
    </row>
    <row r="2678" spans="1:7" x14ac:dyDescent="0.35">
      <c r="A2678" t="s">
        <v>847</v>
      </c>
      <c r="B2678" t="s">
        <v>680</v>
      </c>
      <c r="C2678" s="83">
        <v>46088</v>
      </c>
      <c r="D2678" t="s">
        <v>689</v>
      </c>
      <c r="E2678" t="s">
        <v>296</v>
      </c>
      <c r="F2678">
        <v>14</v>
      </c>
      <c r="G2678">
        <v>15.5118833333333</v>
      </c>
    </row>
    <row r="2679" spans="1:7" x14ac:dyDescent="0.35">
      <c r="A2679" t="s">
        <v>847</v>
      </c>
      <c r="B2679" t="s">
        <v>680</v>
      </c>
      <c r="C2679" s="83">
        <v>46088</v>
      </c>
      <c r="D2679" t="s">
        <v>689</v>
      </c>
      <c r="E2679" t="s">
        <v>727</v>
      </c>
      <c r="F2679">
        <v>11</v>
      </c>
      <c r="G2679">
        <v>390.47528333333298</v>
      </c>
    </row>
    <row r="2680" spans="1:7" x14ac:dyDescent="0.35">
      <c r="A2680" t="s">
        <v>847</v>
      </c>
      <c r="B2680" t="s">
        <v>680</v>
      </c>
      <c r="C2680" s="83">
        <v>46088</v>
      </c>
      <c r="D2680" t="s">
        <v>684</v>
      </c>
      <c r="E2680" t="s">
        <v>296</v>
      </c>
      <c r="F2680">
        <v>7</v>
      </c>
      <c r="G2680">
        <v>50.6648</v>
      </c>
    </row>
    <row r="2681" spans="1:7" x14ac:dyDescent="0.35">
      <c r="A2681" t="s">
        <v>847</v>
      </c>
      <c r="B2681" t="s">
        <v>680</v>
      </c>
      <c r="C2681" s="83">
        <v>46088</v>
      </c>
      <c r="D2681" t="s">
        <v>684</v>
      </c>
      <c r="E2681" t="s">
        <v>297</v>
      </c>
      <c r="F2681">
        <v>3</v>
      </c>
      <c r="G2681">
        <v>542.484916666667</v>
      </c>
    </row>
    <row r="2682" spans="1:7" x14ac:dyDescent="0.35">
      <c r="A2682" t="s">
        <v>847</v>
      </c>
      <c r="B2682" t="s">
        <v>680</v>
      </c>
      <c r="C2682" s="83">
        <v>46088</v>
      </c>
      <c r="D2682" t="s">
        <v>684</v>
      </c>
      <c r="E2682" t="s">
        <v>742</v>
      </c>
      <c r="F2682">
        <v>2</v>
      </c>
      <c r="G2682">
        <v>0.33356666666666701</v>
      </c>
    </row>
    <row r="2683" spans="1:7" x14ac:dyDescent="0.35">
      <c r="A2683" t="s">
        <v>847</v>
      </c>
      <c r="B2683" t="s">
        <v>680</v>
      </c>
      <c r="C2683" s="83">
        <v>46088</v>
      </c>
      <c r="D2683" t="s">
        <v>687</v>
      </c>
      <c r="E2683" t="s">
        <v>733</v>
      </c>
      <c r="F2683">
        <v>2</v>
      </c>
      <c r="G2683">
        <v>1.16556666666667</v>
      </c>
    </row>
    <row r="2684" spans="1:7" x14ac:dyDescent="0.35">
      <c r="A2684" t="s">
        <v>847</v>
      </c>
      <c r="B2684" t="s">
        <v>680</v>
      </c>
      <c r="C2684" s="83">
        <v>46088</v>
      </c>
      <c r="D2684" t="s">
        <v>687</v>
      </c>
      <c r="E2684" t="s">
        <v>738</v>
      </c>
      <c r="F2684">
        <v>2</v>
      </c>
      <c r="G2684">
        <v>1.8346</v>
      </c>
    </row>
    <row r="2685" spans="1:7" x14ac:dyDescent="0.35">
      <c r="A2685" t="s">
        <v>847</v>
      </c>
      <c r="B2685" t="s">
        <v>680</v>
      </c>
      <c r="C2685" s="83">
        <v>46088</v>
      </c>
      <c r="D2685" t="s">
        <v>687</v>
      </c>
      <c r="E2685" t="s">
        <v>717</v>
      </c>
      <c r="F2685">
        <v>2</v>
      </c>
      <c r="G2685">
        <v>0.50021666666666698</v>
      </c>
    </row>
    <row r="2686" spans="1:7" x14ac:dyDescent="0.35">
      <c r="A2686" t="s">
        <v>847</v>
      </c>
      <c r="B2686" t="s">
        <v>680</v>
      </c>
      <c r="C2686" s="83">
        <v>46088</v>
      </c>
      <c r="D2686" t="s">
        <v>688</v>
      </c>
      <c r="E2686" t="s">
        <v>312</v>
      </c>
      <c r="F2686">
        <v>7</v>
      </c>
      <c r="G2686">
        <v>81.189049999999995</v>
      </c>
    </row>
    <row r="2687" spans="1:7" x14ac:dyDescent="0.35">
      <c r="A2687" t="s">
        <v>847</v>
      </c>
      <c r="B2687" t="s">
        <v>680</v>
      </c>
      <c r="C2687" s="83">
        <v>46088</v>
      </c>
      <c r="D2687" t="s">
        <v>688</v>
      </c>
      <c r="E2687" t="s">
        <v>311</v>
      </c>
      <c r="F2687">
        <v>6</v>
      </c>
      <c r="G2687">
        <v>5.5068999999999999</v>
      </c>
    </row>
    <row r="2688" spans="1:7" x14ac:dyDescent="0.35">
      <c r="A2688" t="s">
        <v>847</v>
      </c>
      <c r="B2688" t="s">
        <v>680</v>
      </c>
      <c r="C2688" s="83">
        <v>46088</v>
      </c>
      <c r="D2688" t="s">
        <v>688</v>
      </c>
      <c r="E2688" t="s">
        <v>316</v>
      </c>
      <c r="F2688">
        <v>5</v>
      </c>
      <c r="G2688">
        <v>1.68058333333333</v>
      </c>
    </row>
    <row r="2689" spans="1:7" x14ac:dyDescent="0.35">
      <c r="A2689" t="s">
        <v>847</v>
      </c>
      <c r="B2689" t="s">
        <v>680</v>
      </c>
      <c r="C2689" s="83">
        <v>46088</v>
      </c>
      <c r="D2689" t="s">
        <v>690</v>
      </c>
      <c r="E2689" t="s">
        <v>311</v>
      </c>
      <c r="F2689">
        <v>6</v>
      </c>
      <c r="G2689">
        <v>5.9827500000000002</v>
      </c>
    </row>
    <row r="2690" spans="1:7" x14ac:dyDescent="0.35">
      <c r="A2690" t="s">
        <v>847</v>
      </c>
      <c r="B2690" t="s">
        <v>680</v>
      </c>
      <c r="C2690" s="83">
        <v>46088</v>
      </c>
      <c r="D2690" t="s">
        <v>690</v>
      </c>
      <c r="E2690" t="s">
        <v>322</v>
      </c>
      <c r="F2690">
        <v>3</v>
      </c>
      <c r="G2690">
        <v>0.50895000000000001</v>
      </c>
    </row>
    <row r="2691" spans="1:7" x14ac:dyDescent="0.35">
      <c r="A2691" t="s">
        <v>847</v>
      </c>
      <c r="B2691" t="s">
        <v>680</v>
      </c>
      <c r="C2691" s="83">
        <v>46088</v>
      </c>
      <c r="D2691" t="s">
        <v>690</v>
      </c>
      <c r="E2691" t="s">
        <v>312</v>
      </c>
      <c r="F2691">
        <v>3</v>
      </c>
      <c r="G2691">
        <v>1.5019</v>
      </c>
    </row>
    <row r="2692" spans="1:7" x14ac:dyDescent="0.35">
      <c r="A2692" t="s">
        <v>847</v>
      </c>
      <c r="B2692" t="s">
        <v>680</v>
      </c>
      <c r="C2692" s="83">
        <v>46088</v>
      </c>
      <c r="D2692" t="s">
        <v>685</v>
      </c>
      <c r="E2692" t="s">
        <v>316</v>
      </c>
      <c r="F2692">
        <v>4</v>
      </c>
      <c r="G2692">
        <v>9.8284833333333292</v>
      </c>
    </row>
    <row r="2693" spans="1:7" x14ac:dyDescent="0.35">
      <c r="A2693" t="s">
        <v>847</v>
      </c>
      <c r="B2693" t="s">
        <v>680</v>
      </c>
      <c r="C2693" s="83">
        <v>46088</v>
      </c>
      <c r="D2693" t="s">
        <v>685</v>
      </c>
      <c r="E2693" t="s">
        <v>760</v>
      </c>
      <c r="F2693">
        <v>2</v>
      </c>
      <c r="G2693">
        <v>0.83228333333333304</v>
      </c>
    </row>
    <row r="2694" spans="1:7" x14ac:dyDescent="0.35">
      <c r="A2694" t="s">
        <v>847</v>
      </c>
      <c r="B2694" t="s">
        <v>680</v>
      </c>
      <c r="C2694" s="83">
        <v>46088</v>
      </c>
      <c r="D2694" t="s">
        <v>685</v>
      </c>
      <c r="E2694" t="s">
        <v>338</v>
      </c>
      <c r="F2694">
        <v>2</v>
      </c>
      <c r="G2694">
        <v>2.00091666666667</v>
      </c>
    </row>
    <row r="2695" spans="1:7" x14ac:dyDescent="0.35">
      <c r="A2695" t="s">
        <v>847</v>
      </c>
      <c r="B2695" t="s">
        <v>680</v>
      </c>
      <c r="C2695" s="83">
        <v>46089</v>
      </c>
      <c r="D2695" t="s">
        <v>681</v>
      </c>
      <c r="E2695" t="s">
        <v>296</v>
      </c>
      <c r="F2695">
        <v>110</v>
      </c>
      <c r="G2695">
        <v>42.033366666666701</v>
      </c>
    </row>
    <row r="2696" spans="1:7" x14ac:dyDescent="0.35">
      <c r="A2696" t="s">
        <v>847</v>
      </c>
      <c r="B2696" t="s">
        <v>680</v>
      </c>
      <c r="C2696" s="83">
        <v>46089</v>
      </c>
      <c r="D2696" t="s">
        <v>681</v>
      </c>
      <c r="E2696" t="s">
        <v>297</v>
      </c>
      <c r="F2696">
        <v>52</v>
      </c>
      <c r="G2696">
        <v>28.344483333333301</v>
      </c>
    </row>
    <row r="2697" spans="1:7" x14ac:dyDescent="0.35">
      <c r="A2697" t="s">
        <v>847</v>
      </c>
      <c r="B2697" t="s">
        <v>680</v>
      </c>
      <c r="C2697" s="83">
        <v>46089</v>
      </c>
      <c r="D2697" t="s">
        <v>681</v>
      </c>
      <c r="E2697" t="s">
        <v>298</v>
      </c>
      <c r="F2697">
        <v>26</v>
      </c>
      <c r="G2697">
        <v>23.147666666666701</v>
      </c>
    </row>
    <row r="2698" spans="1:7" x14ac:dyDescent="0.35">
      <c r="A2698" t="s">
        <v>847</v>
      </c>
      <c r="B2698" t="s">
        <v>680</v>
      </c>
      <c r="C2698" s="83">
        <v>46089</v>
      </c>
      <c r="D2698" t="s">
        <v>683</v>
      </c>
      <c r="E2698" t="s">
        <v>298</v>
      </c>
      <c r="F2698">
        <v>16</v>
      </c>
      <c r="G2698">
        <v>20.81945</v>
      </c>
    </row>
    <row r="2699" spans="1:7" x14ac:dyDescent="0.35">
      <c r="A2699" t="s">
        <v>847</v>
      </c>
      <c r="B2699" t="s">
        <v>680</v>
      </c>
      <c r="C2699" s="83">
        <v>46089</v>
      </c>
      <c r="D2699" t="s">
        <v>683</v>
      </c>
      <c r="E2699" t="s">
        <v>297</v>
      </c>
      <c r="F2699">
        <v>7</v>
      </c>
      <c r="G2699">
        <v>2.1672166666666701</v>
      </c>
    </row>
    <row r="2700" spans="1:7" x14ac:dyDescent="0.35">
      <c r="A2700" t="s">
        <v>847</v>
      </c>
      <c r="B2700" t="s">
        <v>680</v>
      </c>
      <c r="C2700" s="83">
        <v>46089</v>
      </c>
      <c r="D2700" t="s">
        <v>683</v>
      </c>
      <c r="E2700" t="s">
        <v>749</v>
      </c>
      <c r="F2700">
        <v>6</v>
      </c>
      <c r="G2700">
        <v>15.666449999999999</v>
      </c>
    </row>
    <row r="2701" spans="1:7" x14ac:dyDescent="0.35">
      <c r="A2701" t="s">
        <v>847</v>
      </c>
      <c r="B2701" t="s">
        <v>680</v>
      </c>
      <c r="C2701" s="83">
        <v>46089</v>
      </c>
      <c r="D2701" t="s">
        <v>689</v>
      </c>
      <c r="E2701" t="s">
        <v>298</v>
      </c>
      <c r="F2701">
        <v>12</v>
      </c>
      <c r="G2701">
        <v>6.9860166666666696</v>
      </c>
    </row>
    <row r="2702" spans="1:7" x14ac:dyDescent="0.35">
      <c r="A2702" t="s">
        <v>847</v>
      </c>
      <c r="B2702" t="s">
        <v>680</v>
      </c>
      <c r="C2702" s="83">
        <v>46089</v>
      </c>
      <c r="D2702" t="s">
        <v>689</v>
      </c>
      <c r="E2702" t="s">
        <v>727</v>
      </c>
      <c r="F2702">
        <v>8</v>
      </c>
      <c r="G2702">
        <v>2.6656</v>
      </c>
    </row>
    <row r="2703" spans="1:7" x14ac:dyDescent="0.35">
      <c r="A2703" t="s">
        <v>847</v>
      </c>
      <c r="B2703" t="s">
        <v>680</v>
      </c>
      <c r="C2703" s="83">
        <v>46089</v>
      </c>
      <c r="D2703" t="s">
        <v>689</v>
      </c>
      <c r="E2703" t="s">
        <v>297</v>
      </c>
      <c r="F2703">
        <v>6</v>
      </c>
      <c r="G2703">
        <v>3.83175</v>
      </c>
    </row>
    <row r="2704" spans="1:7" x14ac:dyDescent="0.35">
      <c r="A2704" t="s">
        <v>847</v>
      </c>
      <c r="B2704" t="s">
        <v>680</v>
      </c>
      <c r="C2704" s="83">
        <v>46089</v>
      </c>
      <c r="D2704" t="s">
        <v>684</v>
      </c>
      <c r="E2704" t="s">
        <v>297</v>
      </c>
      <c r="F2704">
        <v>3</v>
      </c>
      <c r="G2704">
        <v>1.3331833333333301</v>
      </c>
    </row>
    <row r="2705" spans="1:7" x14ac:dyDescent="0.35">
      <c r="A2705" t="s">
        <v>847</v>
      </c>
      <c r="B2705" t="s">
        <v>680</v>
      </c>
      <c r="C2705" s="83">
        <v>46089</v>
      </c>
      <c r="D2705" t="s">
        <v>684</v>
      </c>
      <c r="E2705" t="s">
        <v>296</v>
      </c>
      <c r="F2705">
        <v>3</v>
      </c>
      <c r="G2705">
        <v>2.0010666666666701</v>
      </c>
    </row>
    <row r="2706" spans="1:7" x14ac:dyDescent="0.35">
      <c r="A2706" t="s">
        <v>847</v>
      </c>
      <c r="B2706" t="s">
        <v>680</v>
      </c>
      <c r="C2706" s="83">
        <v>46089</v>
      </c>
      <c r="D2706" t="s">
        <v>684</v>
      </c>
      <c r="E2706" t="s">
        <v>300</v>
      </c>
      <c r="F2706">
        <v>2</v>
      </c>
      <c r="G2706">
        <v>0.33345000000000002</v>
      </c>
    </row>
    <row r="2707" spans="1:7" x14ac:dyDescent="0.35">
      <c r="A2707" t="s">
        <v>847</v>
      </c>
      <c r="B2707" t="s">
        <v>680</v>
      </c>
      <c r="C2707" s="83">
        <v>46089</v>
      </c>
      <c r="D2707" t="s">
        <v>687</v>
      </c>
      <c r="E2707" t="s">
        <v>717</v>
      </c>
      <c r="F2707">
        <v>3</v>
      </c>
      <c r="G2707">
        <v>1.3325499999999999</v>
      </c>
    </row>
    <row r="2708" spans="1:7" x14ac:dyDescent="0.35">
      <c r="A2708" t="s">
        <v>847</v>
      </c>
      <c r="B2708" t="s">
        <v>680</v>
      </c>
      <c r="C2708" s="83">
        <v>46089</v>
      </c>
      <c r="D2708" t="s">
        <v>687</v>
      </c>
      <c r="E2708" t="s">
        <v>761</v>
      </c>
      <c r="F2708">
        <v>2</v>
      </c>
      <c r="G2708">
        <v>143.17845</v>
      </c>
    </row>
    <row r="2709" spans="1:7" x14ac:dyDescent="0.35">
      <c r="A2709" t="s">
        <v>847</v>
      </c>
      <c r="B2709" t="s">
        <v>680</v>
      </c>
      <c r="C2709" s="83">
        <v>46089</v>
      </c>
      <c r="D2709" t="s">
        <v>687</v>
      </c>
      <c r="E2709" t="s">
        <v>754</v>
      </c>
      <c r="F2709">
        <v>2</v>
      </c>
      <c r="G2709">
        <v>0.33331666666666698</v>
      </c>
    </row>
    <row r="2710" spans="1:7" x14ac:dyDescent="0.35">
      <c r="A2710" t="s">
        <v>847</v>
      </c>
      <c r="B2710" t="s">
        <v>680</v>
      </c>
      <c r="C2710" s="83">
        <v>46089</v>
      </c>
      <c r="D2710" t="s">
        <v>688</v>
      </c>
      <c r="E2710" t="s">
        <v>720</v>
      </c>
      <c r="F2710">
        <v>5</v>
      </c>
      <c r="G2710">
        <v>2.99183333333333</v>
      </c>
    </row>
    <row r="2711" spans="1:7" x14ac:dyDescent="0.35">
      <c r="A2711" t="s">
        <v>847</v>
      </c>
      <c r="B2711" t="s">
        <v>680</v>
      </c>
      <c r="C2711" s="83">
        <v>46089</v>
      </c>
      <c r="D2711" t="s">
        <v>688</v>
      </c>
      <c r="E2711" t="s">
        <v>338</v>
      </c>
      <c r="F2711">
        <v>3</v>
      </c>
      <c r="G2711">
        <v>1.33306666666667</v>
      </c>
    </row>
    <row r="2712" spans="1:7" x14ac:dyDescent="0.35">
      <c r="A2712" t="s">
        <v>847</v>
      </c>
      <c r="B2712" t="s">
        <v>680</v>
      </c>
      <c r="C2712" s="83">
        <v>46089</v>
      </c>
      <c r="D2712" t="s">
        <v>688</v>
      </c>
      <c r="E2712" t="s">
        <v>321</v>
      </c>
      <c r="F2712">
        <v>2</v>
      </c>
      <c r="G2712">
        <v>0.33401666666666702</v>
      </c>
    </row>
    <row r="2713" spans="1:7" x14ac:dyDescent="0.35">
      <c r="A2713" t="s">
        <v>847</v>
      </c>
      <c r="B2713" t="s">
        <v>680</v>
      </c>
      <c r="C2713" s="83">
        <v>46089</v>
      </c>
      <c r="D2713" t="s">
        <v>690</v>
      </c>
      <c r="E2713" t="s">
        <v>338</v>
      </c>
      <c r="F2713">
        <v>16</v>
      </c>
      <c r="G2713">
        <v>22.212733333333301</v>
      </c>
    </row>
    <row r="2714" spans="1:7" x14ac:dyDescent="0.35">
      <c r="A2714" t="s">
        <v>847</v>
      </c>
      <c r="B2714" t="s">
        <v>680</v>
      </c>
      <c r="C2714" s="83">
        <v>46089</v>
      </c>
      <c r="D2714" t="s">
        <v>690</v>
      </c>
      <c r="E2714" t="s">
        <v>312</v>
      </c>
      <c r="F2714">
        <v>7</v>
      </c>
      <c r="G2714">
        <v>2.1673166666666699</v>
      </c>
    </row>
    <row r="2715" spans="1:7" x14ac:dyDescent="0.35">
      <c r="A2715" t="s">
        <v>847</v>
      </c>
      <c r="B2715" t="s">
        <v>680</v>
      </c>
      <c r="C2715" s="83">
        <v>46089</v>
      </c>
      <c r="D2715" t="s">
        <v>690</v>
      </c>
      <c r="E2715" t="s">
        <v>724</v>
      </c>
      <c r="F2715">
        <v>6</v>
      </c>
      <c r="G2715">
        <v>19.00685</v>
      </c>
    </row>
    <row r="2716" spans="1:7" x14ac:dyDescent="0.35">
      <c r="A2716" t="s">
        <v>847</v>
      </c>
      <c r="B2716" t="s">
        <v>680</v>
      </c>
      <c r="C2716" s="83">
        <v>46089</v>
      </c>
      <c r="D2716" t="s">
        <v>685</v>
      </c>
      <c r="E2716" t="s">
        <v>322</v>
      </c>
      <c r="F2716">
        <v>2</v>
      </c>
      <c r="G2716">
        <v>0.83389999999999997</v>
      </c>
    </row>
    <row r="2717" spans="1:7" x14ac:dyDescent="0.35">
      <c r="A2717" t="s">
        <v>847</v>
      </c>
      <c r="B2717" t="s">
        <v>680</v>
      </c>
      <c r="C2717" s="83">
        <v>46089</v>
      </c>
      <c r="D2717" t="s">
        <v>685</v>
      </c>
      <c r="E2717" t="s">
        <v>657</v>
      </c>
      <c r="F2717">
        <v>2</v>
      </c>
      <c r="G2717">
        <v>1.66808333333333</v>
      </c>
    </row>
    <row r="2718" spans="1:7" x14ac:dyDescent="0.35">
      <c r="A2718" t="s">
        <v>847</v>
      </c>
      <c r="B2718" t="s">
        <v>680</v>
      </c>
      <c r="C2718" s="83">
        <v>46089</v>
      </c>
      <c r="D2718" t="s">
        <v>685</v>
      </c>
      <c r="E2718" t="s">
        <v>337</v>
      </c>
      <c r="F2718">
        <v>2</v>
      </c>
      <c r="G2718">
        <v>1.6663666666666701</v>
      </c>
    </row>
    <row r="2719" spans="1:7" x14ac:dyDescent="0.35">
      <c r="A2719" t="s">
        <v>847</v>
      </c>
      <c r="B2719" t="s">
        <v>680</v>
      </c>
      <c r="C2719" s="83">
        <v>46090</v>
      </c>
      <c r="D2719" t="s">
        <v>681</v>
      </c>
      <c r="E2719" t="s">
        <v>296</v>
      </c>
      <c r="F2719">
        <v>65</v>
      </c>
      <c r="G2719">
        <v>21.835616666666699</v>
      </c>
    </row>
    <row r="2720" spans="1:7" x14ac:dyDescent="0.35">
      <c r="A2720" t="s">
        <v>847</v>
      </c>
      <c r="B2720" t="s">
        <v>680</v>
      </c>
      <c r="C2720" s="83">
        <v>46090</v>
      </c>
      <c r="D2720" t="s">
        <v>681</v>
      </c>
      <c r="E2720" t="s">
        <v>297</v>
      </c>
      <c r="F2720">
        <v>36</v>
      </c>
      <c r="G2720">
        <v>18.6621666666667</v>
      </c>
    </row>
    <row r="2721" spans="1:7" x14ac:dyDescent="0.35">
      <c r="A2721" t="s">
        <v>847</v>
      </c>
      <c r="B2721" t="s">
        <v>680</v>
      </c>
      <c r="C2721" s="83">
        <v>46090</v>
      </c>
      <c r="D2721" t="s">
        <v>681</v>
      </c>
      <c r="E2721" t="s">
        <v>298</v>
      </c>
      <c r="F2721">
        <v>22</v>
      </c>
      <c r="G2721">
        <v>19.844716666666699</v>
      </c>
    </row>
    <row r="2722" spans="1:7" x14ac:dyDescent="0.35">
      <c r="A2722" t="s">
        <v>847</v>
      </c>
      <c r="B2722" t="s">
        <v>680</v>
      </c>
      <c r="C2722" s="83">
        <v>46090</v>
      </c>
      <c r="D2722" t="s">
        <v>683</v>
      </c>
      <c r="E2722" t="s">
        <v>298</v>
      </c>
      <c r="F2722">
        <v>13</v>
      </c>
      <c r="G2722">
        <v>13.495200000000001</v>
      </c>
    </row>
    <row r="2723" spans="1:7" x14ac:dyDescent="0.35">
      <c r="A2723" t="s">
        <v>847</v>
      </c>
      <c r="B2723" t="s">
        <v>680</v>
      </c>
      <c r="C2723" s="83">
        <v>46090</v>
      </c>
      <c r="D2723" t="s">
        <v>683</v>
      </c>
      <c r="E2723" t="s">
        <v>749</v>
      </c>
      <c r="F2723">
        <v>12</v>
      </c>
      <c r="G2723">
        <v>38.667816666666702</v>
      </c>
    </row>
    <row r="2724" spans="1:7" x14ac:dyDescent="0.35">
      <c r="A2724" t="s">
        <v>847</v>
      </c>
      <c r="B2724" t="s">
        <v>680</v>
      </c>
      <c r="C2724" s="83">
        <v>46090</v>
      </c>
      <c r="D2724" t="s">
        <v>683</v>
      </c>
      <c r="E2724" t="s">
        <v>297</v>
      </c>
      <c r="F2724">
        <v>10</v>
      </c>
      <c r="G2724">
        <v>3.8240500000000002</v>
      </c>
    </row>
    <row r="2725" spans="1:7" x14ac:dyDescent="0.35">
      <c r="A2725" t="s">
        <v>847</v>
      </c>
      <c r="B2725" t="s">
        <v>680</v>
      </c>
      <c r="C2725" s="83">
        <v>46090</v>
      </c>
      <c r="D2725" t="s">
        <v>689</v>
      </c>
      <c r="E2725" t="s">
        <v>298</v>
      </c>
      <c r="F2725">
        <v>10</v>
      </c>
      <c r="G2725">
        <v>6.1647666666666696</v>
      </c>
    </row>
    <row r="2726" spans="1:7" x14ac:dyDescent="0.35">
      <c r="A2726" t="s">
        <v>847</v>
      </c>
      <c r="B2726" t="s">
        <v>680</v>
      </c>
      <c r="C2726" s="83">
        <v>46090</v>
      </c>
      <c r="D2726" t="s">
        <v>689</v>
      </c>
      <c r="E2726" t="s">
        <v>727</v>
      </c>
      <c r="F2726">
        <v>8</v>
      </c>
      <c r="G2726">
        <v>1.9687666666666701</v>
      </c>
    </row>
    <row r="2727" spans="1:7" x14ac:dyDescent="0.35">
      <c r="A2727" t="s">
        <v>847</v>
      </c>
      <c r="B2727" t="s">
        <v>680</v>
      </c>
      <c r="C2727" s="83">
        <v>46090</v>
      </c>
      <c r="D2727" t="s">
        <v>689</v>
      </c>
      <c r="E2727" t="s">
        <v>300</v>
      </c>
      <c r="F2727">
        <v>7</v>
      </c>
      <c r="G2727">
        <v>5.9779999999999998</v>
      </c>
    </row>
    <row r="2728" spans="1:7" x14ac:dyDescent="0.35">
      <c r="A2728" t="s">
        <v>847</v>
      </c>
      <c r="B2728" t="s">
        <v>680</v>
      </c>
      <c r="C2728" s="83">
        <v>46090</v>
      </c>
      <c r="D2728" t="s">
        <v>684</v>
      </c>
      <c r="E2728" t="s">
        <v>300</v>
      </c>
      <c r="F2728">
        <v>3</v>
      </c>
      <c r="G2728">
        <v>0.83313333333333295</v>
      </c>
    </row>
    <row r="2729" spans="1:7" x14ac:dyDescent="0.35">
      <c r="A2729" t="s">
        <v>847</v>
      </c>
      <c r="B2729" t="s">
        <v>680</v>
      </c>
      <c r="C2729" s="83">
        <v>46090</v>
      </c>
      <c r="D2729" t="s">
        <v>684</v>
      </c>
      <c r="E2729" t="s">
        <v>730</v>
      </c>
      <c r="F2729">
        <v>3</v>
      </c>
      <c r="G2729">
        <v>0.67351666666666699</v>
      </c>
    </row>
    <row r="2730" spans="1:7" x14ac:dyDescent="0.35">
      <c r="A2730" t="s">
        <v>847</v>
      </c>
      <c r="B2730" t="s">
        <v>680</v>
      </c>
      <c r="C2730" s="83">
        <v>46090</v>
      </c>
      <c r="D2730" t="s">
        <v>684</v>
      </c>
      <c r="E2730" t="s">
        <v>297</v>
      </c>
      <c r="F2730">
        <v>2</v>
      </c>
      <c r="G2730">
        <v>1.0008333333333299</v>
      </c>
    </row>
    <row r="2731" spans="1:7" x14ac:dyDescent="0.35">
      <c r="A2731" t="s">
        <v>847</v>
      </c>
      <c r="B2731" t="s">
        <v>680</v>
      </c>
      <c r="C2731" s="83">
        <v>46090</v>
      </c>
      <c r="D2731" t="s">
        <v>687</v>
      </c>
      <c r="E2731" t="s">
        <v>733</v>
      </c>
      <c r="F2731">
        <v>4</v>
      </c>
      <c r="G2731">
        <v>1.1734166666666701</v>
      </c>
    </row>
    <row r="2732" spans="1:7" x14ac:dyDescent="0.35">
      <c r="A2732" t="s">
        <v>847</v>
      </c>
      <c r="B2732" t="s">
        <v>680</v>
      </c>
      <c r="C2732" s="83">
        <v>46090</v>
      </c>
      <c r="D2732" t="s">
        <v>687</v>
      </c>
      <c r="E2732" t="s">
        <v>754</v>
      </c>
      <c r="F2732">
        <v>2</v>
      </c>
      <c r="G2732">
        <v>1.1677</v>
      </c>
    </row>
    <row r="2733" spans="1:7" x14ac:dyDescent="0.35">
      <c r="A2733" t="s">
        <v>847</v>
      </c>
      <c r="B2733" t="s">
        <v>680</v>
      </c>
      <c r="C2733" s="83">
        <v>46090</v>
      </c>
      <c r="D2733" t="s">
        <v>688</v>
      </c>
      <c r="E2733" t="s">
        <v>311</v>
      </c>
      <c r="F2733">
        <v>10</v>
      </c>
      <c r="G2733">
        <v>5.1971333333333298</v>
      </c>
    </row>
    <row r="2734" spans="1:7" x14ac:dyDescent="0.35">
      <c r="A2734" t="s">
        <v>847</v>
      </c>
      <c r="B2734" t="s">
        <v>680</v>
      </c>
      <c r="C2734" s="83">
        <v>46090</v>
      </c>
      <c r="D2734" t="s">
        <v>688</v>
      </c>
      <c r="E2734" t="s">
        <v>338</v>
      </c>
      <c r="F2734">
        <v>6</v>
      </c>
      <c r="G2734">
        <v>12.6614666666667</v>
      </c>
    </row>
    <row r="2735" spans="1:7" x14ac:dyDescent="0.35">
      <c r="A2735" t="s">
        <v>847</v>
      </c>
      <c r="B2735" t="s">
        <v>680</v>
      </c>
      <c r="C2735" s="83">
        <v>46090</v>
      </c>
      <c r="D2735" t="s">
        <v>688</v>
      </c>
      <c r="E2735" t="s">
        <v>316</v>
      </c>
      <c r="F2735">
        <v>4</v>
      </c>
      <c r="G2735">
        <v>0.50029999999999997</v>
      </c>
    </row>
    <row r="2736" spans="1:7" x14ac:dyDescent="0.35">
      <c r="A2736" t="s">
        <v>847</v>
      </c>
      <c r="B2736" t="s">
        <v>680</v>
      </c>
      <c r="C2736" s="83">
        <v>46090</v>
      </c>
      <c r="D2736" t="s">
        <v>690</v>
      </c>
      <c r="E2736" t="s">
        <v>724</v>
      </c>
      <c r="F2736">
        <v>8</v>
      </c>
      <c r="G2736">
        <v>17.010850000000001</v>
      </c>
    </row>
    <row r="2737" spans="1:7" x14ac:dyDescent="0.35">
      <c r="A2737" t="s">
        <v>847</v>
      </c>
      <c r="B2737" t="s">
        <v>680</v>
      </c>
      <c r="C2737" s="83">
        <v>46090</v>
      </c>
      <c r="D2737" t="s">
        <v>690</v>
      </c>
      <c r="E2737" t="s">
        <v>338</v>
      </c>
      <c r="F2737">
        <v>7</v>
      </c>
      <c r="G2737">
        <v>6.1654166666666699</v>
      </c>
    </row>
    <row r="2738" spans="1:7" x14ac:dyDescent="0.35">
      <c r="A2738" t="s">
        <v>847</v>
      </c>
      <c r="B2738" t="s">
        <v>680</v>
      </c>
      <c r="C2738" s="83">
        <v>46090</v>
      </c>
      <c r="D2738" t="s">
        <v>690</v>
      </c>
      <c r="E2738" t="s">
        <v>312</v>
      </c>
      <c r="F2738">
        <v>5</v>
      </c>
      <c r="G2738">
        <v>1.50088333333333</v>
      </c>
    </row>
    <row r="2739" spans="1:7" x14ac:dyDescent="0.35">
      <c r="A2739" t="s">
        <v>847</v>
      </c>
      <c r="B2739" t="s">
        <v>680</v>
      </c>
      <c r="C2739" s="83">
        <v>46090</v>
      </c>
      <c r="D2739" t="s">
        <v>685</v>
      </c>
      <c r="E2739" t="s">
        <v>311</v>
      </c>
      <c r="F2739">
        <v>11</v>
      </c>
      <c r="G2739">
        <v>9.8398166666666693</v>
      </c>
    </row>
    <row r="2740" spans="1:7" x14ac:dyDescent="0.35">
      <c r="A2740" t="s">
        <v>847</v>
      </c>
      <c r="B2740" t="s">
        <v>680</v>
      </c>
      <c r="C2740" s="83">
        <v>46090</v>
      </c>
      <c r="D2740" t="s">
        <v>685</v>
      </c>
      <c r="E2740" t="s">
        <v>720</v>
      </c>
      <c r="F2740">
        <v>4</v>
      </c>
      <c r="G2740">
        <v>4.5005166666666696</v>
      </c>
    </row>
    <row r="2741" spans="1:7" x14ac:dyDescent="0.35">
      <c r="A2741" t="s">
        <v>847</v>
      </c>
      <c r="B2741" t="s">
        <v>680</v>
      </c>
      <c r="C2741" s="83">
        <v>46090</v>
      </c>
      <c r="D2741" t="s">
        <v>685</v>
      </c>
      <c r="E2741" t="s">
        <v>312</v>
      </c>
      <c r="F2741">
        <v>3</v>
      </c>
      <c r="G2741">
        <v>0.99399999999999999</v>
      </c>
    </row>
    <row r="2742" spans="1:7" x14ac:dyDescent="0.35">
      <c r="A2742" t="s">
        <v>847</v>
      </c>
      <c r="B2742" t="s">
        <v>680</v>
      </c>
      <c r="C2742" s="83">
        <v>46091</v>
      </c>
      <c r="D2742" t="s">
        <v>681</v>
      </c>
      <c r="E2742" t="s">
        <v>296</v>
      </c>
      <c r="F2742">
        <v>57</v>
      </c>
      <c r="G2742">
        <v>33.498333333333299</v>
      </c>
    </row>
    <row r="2743" spans="1:7" x14ac:dyDescent="0.35">
      <c r="A2743" t="s">
        <v>847</v>
      </c>
      <c r="B2743" t="s">
        <v>680</v>
      </c>
      <c r="C2743" s="83">
        <v>46091</v>
      </c>
      <c r="D2743" t="s">
        <v>681</v>
      </c>
      <c r="E2743" t="s">
        <v>298</v>
      </c>
      <c r="F2743">
        <v>27</v>
      </c>
      <c r="G2743">
        <v>44.327500000000001</v>
      </c>
    </row>
    <row r="2744" spans="1:7" x14ac:dyDescent="0.35">
      <c r="A2744" t="s">
        <v>847</v>
      </c>
      <c r="B2744" t="s">
        <v>680</v>
      </c>
      <c r="C2744" s="83">
        <v>46091</v>
      </c>
      <c r="D2744" t="s">
        <v>681</v>
      </c>
      <c r="E2744" t="s">
        <v>297</v>
      </c>
      <c r="F2744">
        <v>10</v>
      </c>
      <c r="G2744">
        <v>8.4932999999999996</v>
      </c>
    </row>
    <row r="2745" spans="1:7" x14ac:dyDescent="0.35">
      <c r="A2745" t="s">
        <v>847</v>
      </c>
      <c r="B2745" t="s">
        <v>680</v>
      </c>
      <c r="C2745" s="83">
        <v>46091</v>
      </c>
      <c r="D2745" t="s">
        <v>683</v>
      </c>
      <c r="E2745" t="s">
        <v>298</v>
      </c>
      <c r="F2745">
        <v>24</v>
      </c>
      <c r="G2745">
        <v>33.66375</v>
      </c>
    </row>
    <row r="2746" spans="1:7" x14ac:dyDescent="0.35">
      <c r="A2746" t="s">
        <v>847</v>
      </c>
      <c r="B2746" t="s">
        <v>680</v>
      </c>
      <c r="C2746" s="83">
        <v>46091</v>
      </c>
      <c r="D2746" t="s">
        <v>683</v>
      </c>
      <c r="E2746" t="s">
        <v>334</v>
      </c>
      <c r="F2746">
        <v>9</v>
      </c>
      <c r="G2746">
        <v>5.9954499999999999</v>
      </c>
    </row>
    <row r="2747" spans="1:7" x14ac:dyDescent="0.35">
      <c r="A2747" t="s">
        <v>847</v>
      </c>
      <c r="B2747" t="s">
        <v>680</v>
      </c>
      <c r="C2747" s="83">
        <v>46091</v>
      </c>
      <c r="D2747" t="s">
        <v>683</v>
      </c>
      <c r="E2747" t="s">
        <v>727</v>
      </c>
      <c r="F2747">
        <v>7</v>
      </c>
      <c r="G2747">
        <v>5.1668166666666702</v>
      </c>
    </row>
    <row r="2748" spans="1:7" x14ac:dyDescent="0.35">
      <c r="A2748" t="s">
        <v>847</v>
      </c>
      <c r="B2748" t="s">
        <v>680</v>
      </c>
      <c r="C2748" s="83">
        <v>46091</v>
      </c>
      <c r="D2748" t="s">
        <v>689</v>
      </c>
      <c r="E2748" t="s">
        <v>727</v>
      </c>
      <c r="F2748">
        <v>15</v>
      </c>
      <c r="G2748">
        <v>28.341850000000001</v>
      </c>
    </row>
    <row r="2749" spans="1:7" x14ac:dyDescent="0.35">
      <c r="A2749" t="s">
        <v>847</v>
      </c>
      <c r="B2749" t="s">
        <v>680</v>
      </c>
      <c r="C2749" s="83">
        <v>46091</v>
      </c>
      <c r="D2749" t="s">
        <v>689</v>
      </c>
      <c r="E2749" t="s">
        <v>300</v>
      </c>
      <c r="F2749">
        <v>8</v>
      </c>
      <c r="G2749">
        <v>3.4945333333333299</v>
      </c>
    </row>
    <row r="2750" spans="1:7" x14ac:dyDescent="0.35">
      <c r="A2750" t="s">
        <v>847</v>
      </c>
      <c r="B2750" t="s">
        <v>680</v>
      </c>
      <c r="C2750" s="83">
        <v>46091</v>
      </c>
      <c r="D2750" t="s">
        <v>689</v>
      </c>
      <c r="E2750" t="s">
        <v>298</v>
      </c>
      <c r="F2750">
        <v>6</v>
      </c>
      <c r="G2750">
        <v>4.8521666666666698</v>
      </c>
    </row>
    <row r="2751" spans="1:7" x14ac:dyDescent="0.35">
      <c r="A2751" t="s">
        <v>847</v>
      </c>
      <c r="B2751" t="s">
        <v>680</v>
      </c>
      <c r="C2751" s="83">
        <v>46091</v>
      </c>
      <c r="D2751" t="s">
        <v>684</v>
      </c>
      <c r="E2751" t="s">
        <v>298</v>
      </c>
      <c r="F2751">
        <v>3</v>
      </c>
      <c r="G2751">
        <v>1.1721333333333299</v>
      </c>
    </row>
    <row r="2752" spans="1:7" x14ac:dyDescent="0.35">
      <c r="A2752" t="s">
        <v>847</v>
      </c>
      <c r="B2752" t="s">
        <v>680</v>
      </c>
      <c r="C2752" s="83">
        <v>46091</v>
      </c>
      <c r="D2752" t="s">
        <v>684</v>
      </c>
      <c r="E2752" t="s">
        <v>756</v>
      </c>
      <c r="F2752">
        <v>3</v>
      </c>
      <c r="G2752">
        <v>0.33341666666666703</v>
      </c>
    </row>
    <row r="2753" spans="1:7" x14ac:dyDescent="0.35">
      <c r="A2753" t="s">
        <v>847</v>
      </c>
      <c r="B2753" t="s">
        <v>680</v>
      </c>
      <c r="C2753" s="83">
        <v>46091</v>
      </c>
      <c r="D2753" t="s">
        <v>684</v>
      </c>
      <c r="E2753" t="s">
        <v>304</v>
      </c>
      <c r="F2753">
        <v>2</v>
      </c>
      <c r="G2753">
        <v>2.67431666666667</v>
      </c>
    </row>
    <row r="2754" spans="1:7" x14ac:dyDescent="0.35">
      <c r="A2754" t="s">
        <v>847</v>
      </c>
      <c r="B2754" t="s">
        <v>680</v>
      </c>
      <c r="C2754" s="83">
        <v>46091</v>
      </c>
      <c r="D2754" t="s">
        <v>687</v>
      </c>
      <c r="E2754" t="s">
        <v>746</v>
      </c>
      <c r="F2754">
        <v>5</v>
      </c>
      <c r="G2754">
        <v>2.6532</v>
      </c>
    </row>
    <row r="2755" spans="1:7" x14ac:dyDescent="0.35">
      <c r="A2755" t="s">
        <v>847</v>
      </c>
      <c r="B2755" t="s">
        <v>680</v>
      </c>
      <c r="C2755" s="83">
        <v>46091</v>
      </c>
      <c r="D2755" t="s">
        <v>687</v>
      </c>
      <c r="E2755" t="s">
        <v>762</v>
      </c>
      <c r="F2755">
        <v>3</v>
      </c>
      <c r="G2755">
        <v>2.3329499999999999</v>
      </c>
    </row>
    <row r="2756" spans="1:7" x14ac:dyDescent="0.35">
      <c r="A2756" t="s">
        <v>847</v>
      </c>
      <c r="B2756" t="s">
        <v>680</v>
      </c>
      <c r="C2756" s="83">
        <v>46091</v>
      </c>
      <c r="D2756" t="s">
        <v>687</v>
      </c>
      <c r="E2756" t="s">
        <v>717</v>
      </c>
      <c r="F2756">
        <v>3</v>
      </c>
      <c r="G2756">
        <v>0.49854999999999999</v>
      </c>
    </row>
    <row r="2757" spans="1:7" x14ac:dyDescent="0.35">
      <c r="A2757" t="s">
        <v>847</v>
      </c>
      <c r="B2757" t="s">
        <v>680</v>
      </c>
      <c r="C2757" s="83">
        <v>46091</v>
      </c>
      <c r="D2757" t="s">
        <v>688</v>
      </c>
      <c r="E2757" t="s">
        <v>311</v>
      </c>
      <c r="F2757">
        <v>28</v>
      </c>
      <c r="G2757">
        <v>17.488416666666701</v>
      </c>
    </row>
    <row r="2758" spans="1:7" x14ac:dyDescent="0.35">
      <c r="A2758" t="s">
        <v>847</v>
      </c>
      <c r="B2758" t="s">
        <v>680</v>
      </c>
      <c r="C2758" s="83">
        <v>46091</v>
      </c>
      <c r="D2758" t="s">
        <v>688</v>
      </c>
      <c r="E2758" t="s">
        <v>338</v>
      </c>
      <c r="F2758">
        <v>7</v>
      </c>
      <c r="G2758">
        <v>5.1660666666666701</v>
      </c>
    </row>
    <row r="2759" spans="1:7" x14ac:dyDescent="0.35">
      <c r="A2759" t="s">
        <v>847</v>
      </c>
      <c r="B2759" t="s">
        <v>680</v>
      </c>
      <c r="C2759" s="83">
        <v>46091</v>
      </c>
      <c r="D2759" t="s">
        <v>688</v>
      </c>
      <c r="E2759" t="s">
        <v>720</v>
      </c>
      <c r="F2759">
        <v>6</v>
      </c>
      <c r="G2759">
        <v>4.5041333333333302</v>
      </c>
    </row>
    <row r="2760" spans="1:7" x14ac:dyDescent="0.35">
      <c r="A2760" t="s">
        <v>847</v>
      </c>
      <c r="B2760" t="s">
        <v>680</v>
      </c>
      <c r="C2760" s="83">
        <v>46091</v>
      </c>
      <c r="D2760" t="s">
        <v>690</v>
      </c>
      <c r="E2760" t="s">
        <v>311</v>
      </c>
      <c r="F2760">
        <v>27</v>
      </c>
      <c r="G2760">
        <v>19.193566666666701</v>
      </c>
    </row>
    <row r="2761" spans="1:7" x14ac:dyDescent="0.35">
      <c r="A2761" t="s">
        <v>847</v>
      </c>
      <c r="B2761" t="s">
        <v>680</v>
      </c>
      <c r="C2761" s="83">
        <v>46091</v>
      </c>
      <c r="D2761" t="s">
        <v>690</v>
      </c>
      <c r="E2761" t="s">
        <v>338</v>
      </c>
      <c r="F2761">
        <v>14</v>
      </c>
      <c r="G2761">
        <v>57.548000000000002</v>
      </c>
    </row>
    <row r="2762" spans="1:7" x14ac:dyDescent="0.35">
      <c r="A2762" t="s">
        <v>847</v>
      </c>
      <c r="B2762" t="s">
        <v>680</v>
      </c>
      <c r="C2762" s="83">
        <v>46091</v>
      </c>
      <c r="D2762" t="s">
        <v>690</v>
      </c>
      <c r="E2762" t="s">
        <v>312</v>
      </c>
      <c r="F2762">
        <v>7</v>
      </c>
      <c r="G2762">
        <v>3.35025</v>
      </c>
    </row>
    <row r="2763" spans="1:7" x14ac:dyDescent="0.35">
      <c r="A2763" t="s">
        <v>847</v>
      </c>
      <c r="B2763" t="s">
        <v>680</v>
      </c>
      <c r="C2763" s="83">
        <v>46091</v>
      </c>
      <c r="D2763" t="s">
        <v>685</v>
      </c>
      <c r="E2763" t="s">
        <v>338</v>
      </c>
      <c r="F2763">
        <v>6</v>
      </c>
      <c r="G2763">
        <v>4.8331833333333298</v>
      </c>
    </row>
    <row r="2764" spans="1:7" x14ac:dyDescent="0.35">
      <c r="A2764" t="s">
        <v>847</v>
      </c>
      <c r="B2764" t="s">
        <v>680</v>
      </c>
      <c r="C2764" s="83">
        <v>46091</v>
      </c>
      <c r="D2764" t="s">
        <v>685</v>
      </c>
      <c r="E2764" t="s">
        <v>312</v>
      </c>
      <c r="F2764">
        <v>5</v>
      </c>
      <c r="G2764">
        <v>2.6710500000000001</v>
      </c>
    </row>
    <row r="2765" spans="1:7" x14ac:dyDescent="0.35">
      <c r="A2765" t="s">
        <v>847</v>
      </c>
      <c r="B2765" t="s">
        <v>680</v>
      </c>
      <c r="C2765" s="83">
        <v>46091</v>
      </c>
      <c r="D2765" t="s">
        <v>685</v>
      </c>
      <c r="E2765" t="s">
        <v>720</v>
      </c>
      <c r="F2765">
        <v>5</v>
      </c>
      <c r="G2765">
        <v>3.1746333333333299</v>
      </c>
    </row>
    <row r="2766" spans="1:7" x14ac:dyDescent="0.35">
      <c r="A2766" t="s">
        <v>847</v>
      </c>
      <c r="B2766" t="s">
        <v>680</v>
      </c>
      <c r="C2766" s="83">
        <v>46092</v>
      </c>
      <c r="D2766" t="s">
        <v>681</v>
      </c>
      <c r="E2766" t="s">
        <v>296</v>
      </c>
      <c r="F2766">
        <v>79</v>
      </c>
      <c r="G2766">
        <v>38.491433333333298</v>
      </c>
    </row>
    <row r="2767" spans="1:7" x14ac:dyDescent="0.35">
      <c r="A2767" t="s">
        <v>847</v>
      </c>
      <c r="B2767" t="s">
        <v>680</v>
      </c>
      <c r="C2767" s="83">
        <v>46092</v>
      </c>
      <c r="D2767" t="s">
        <v>681</v>
      </c>
      <c r="E2767" t="s">
        <v>297</v>
      </c>
      <c r="F2767">
        <v>27</v>
      </c>
      <c r="G2767">
        <v>15.5065666666667</v>
      </c>
    </row>
    <row r="2768" spans="1:7" x14ac:dyDescent="0.35">
      <c r="A2768" t="s">
        <v>847</v>
      </c>
      <c r="B2768" t="s">
        <v>680</v>
      </c>
      <c r="C2768" s="83">
        <v>46092</v>
      </c>
      <c r="D2768" t="s">
        <v>681</v>
      </c>
      <c r="E2768" t="s">
        <v>298</v>
      </c>
      <c r="F2768">
        <v>14</v>
      </c>
      <c r="G2768">
        <v>17.0275833333333</v>
      </c>
    </row>
    <row r="2769" spans="1:7" x14ac:dyDescent="0.35">
      <c r="A2769" t="s">
        <v>847</v>
      </c>
      <c r="B2769" t="s">
        <v>680</v>
      </c>
      <c r="C2769" s="83">
        <v>46092</v>
      </c>
      <c r="D2769" t="s">
        <v>683</v>
      </c>
      <c r="E2769" t="s">
        <v>297</v>
      </c>
      <c r="F2769">
        <v>27</v>
      </c>
      <c r="G2769">
        <v>21.161750000000001</v>
      </c>
    </row>
    <row r="2770" spans="1:7" x14ac:dyDescent="0.35">
      <c r="A2770" t="s">
        <v>847</v>
      </c>
      <c r="B2770" t="s">
        <v>680</v>
      </c>
      <c r="C2770" s="83">
        <v>46092</v>
      </c>
      <c r="D2770" t="s">
        <v>683</v>
      </c>
      <c r="E2770" t="s">
        <v>298</v>
      </c>
      <c r="F2770">
        <v>12</v>
      </c>
      <c r="G2770">
        <v>20.010000000000002</v>
      </c>
    </row>
    <row r="2771" spans="1:7" x14ac:dyDescent="0.35">
      <c r="A2771" t="s">
        <v>847</v>
      </c>
      <c r="B2771" t="s">
        <v>680</v>
      </c>
      <c r="C2771" s="83">
        <v>46092</v>
      </c>
      <c r="D2771" t="s">
        <v>683</v>
      </c>
      <c r="E2771" t="s">
        <v>334</v>
      </c>
      <c r="F2771">
        <v>9</v>
      </c>
      <c r="G2771">
        <v>1.84171666666667</v>
      </c>
    </row>
    <row r="2772" spans="1:7" x14ac:dyDescent="0.35">
      <c r="A2772" t="s">
        <v>847</v>
      </c>
      <c r="B2772" t="s">
        <v>680</v>
      </c>
      <c r="C2772" s="83">
        <v>46092</v>
      </c>
      <c r="D2772" t="s">
        <v>689</v>
      </c>
      <c r="E2772" t="s">
        <v>727</v>
      </c>
      <c r="F2772">
        <v>12</v>
      </c>
      <c r="G2772">
        <v>5.1688166666666699</v>
      </c>
    </row>
    <row r="2773" spans="1:7" x14ac:dyDescent="0.35">
      <c r="A2773" t="s">
        <v>847</v>
      </c>
      <c r="B2773" t="s">
        <v>680</v>
      </c>
      <c r="C2773" s="83">
        <v>46092</v>
      </c>
      <c r="D2773" t="s">
        <v>689</v>
      </c>
      <c r="E2773" t="s">
        <v>298</v>
      </c>
      <c r="F2773">
        <v>11</v>
      </c>
      <c r="G2773">
        <v>6.8408166666666697</v>
      </c>
    </row>
    <row r="2774" spans="1:7" x14ac:dyDescent="0.35">
      <c r="A2774" t="s">
        <v>847</v>
      </c>
      <c r="B2774" t="s">
        <v>680</v>
      </c>
      <c r="C2774" s="83">
        <v>46092</v>
      </c>
      <c r="D2774" t="s">
        <v>689</v>
      </c>
      <c r="E2774" t="s">
        <v>297</v>
      </c>
      <c r="F2774">
        <v>8</v>
      </c>
      <c r="G2774">
        <v>4.0120500000000003</v>
      </c>
    </row>
    <row r="2775" spans="1:7" x14ac:dyDescent="0.35">
      <c r="A2775" t="s">
        <v>847</v>
      </c>
      <c r="B2775" t="s">
        <v>680</v>
      </c>
      <c r="C2775" s="83">
        <v>46092</v>
      </c>
      <c r="D2775" t="s">
        <v>684</v>
      </c>
      <c r="E2775" t="s">
        <v>728</v>
      </c>
      <c r="F2775">
        <v>5</v>
      </c>
      <c r="G2775">
        <v>1.4941</v>
      </c>
    </row>
    <row r="2776" spans="1:7" x14ac:dyDescent="0.35">
      <c r="A2776" t="s">
        <v>847</v>
      </c>
      <c r="B2776" t="s">
        <v>680</v>
      </c>
      <c r="C2776" s="83">
        <v>46092</v>
      </c>
      <c r="D2776" t="s">
        <v>684</v>
      </c>
      <c r="E2776" t="s">
        <v>296</v>
      </c>
      <c r="F2776">
        <v>5</v>
      </c>
      <c r="G2776">
        <v>1.99875</v>
      </c>
    </row>
    <row r="2777" spans="1:7" x14ac:dyDescent="0.35">
      <c r="A2777" t="s">
        <v>847</v>
      </c>
      <c r="B2777" t="s">
        <v>680</v>
      </c>
      <c r="C2777" s="83">
        <v>46092</v>
      </c>
      <c r="D2777" t="s">
        <v>684</v>
      </c>
      <c r="E2777" t="s">
        <v>298</v>
      </c>
      <c r="F2777">
        <v>4</v>
      </c>
      <c r="G2777">
        <v>3.16536666666667</v>
      </c>
    </row>
    <row r="2778" spans="1:7" x14ac:dyDescent="0.35">
      <c r="A2778" t="s">
        <v>847</v>
      </c>
      <c r="B2778" t="s">
        <v>680</v>
      </c>
      <c r="C2778" s="83">
        <v>46092</v>
      </c>
      <c r="D2778" t="s">
        <v>687</v>
      </c>
      <c r="E2778" t="s">
        <v>733</v>
      </c>
      <c r="F2778">
        <v>4</v>
      </c>
      <c r="G2778">
        <v>3.33991666666667</v>
      </c>
    </row>
    <row r="2779" spans="1:7" x14ac:dyDescent="0.35">
      <c r="A2779" t="s">
        <v>847</v>
      </c>
      <c r="B2779" t="s">
        <v>680</v>
      </c>
      <c r="C2779" s="83">
        <v>46092</v>
      </c>
      <c r="D2779" t="s">
        <v>687</v>
      </c>
      <c r="E2779" t="s">
        <v>752</v>
      </c>
      <c r="F2779">
        <v>3</v>
      </c>
      <c r="G2779">
        <v>0.33376666666666699</v>
      </c>
    </row>
    <row r="2780" spans="1:7" x14ac:dyDescent="0.35">
      <c r="A2780" t="s">
        <v>847</v>
      </c>
      <c r="B2780" t="s">
        <v>680</v>
      </c>
      <c r="C2780" s="83">
        <v>46092</v>
      </c>
      <c r="D2780" t="s">
        <v>687</v>
      </c>
      <c r="E2780" t="s">
        <v>729</v>
      </c>
      <c r="F2780">
        <v>3</v>
      </c>
      <c r="G2780">
        <v>2.1669666666666698</v>
      </c>
    </row>
    <row r="2781" spans="1:7" x14ac:dyDescent="0.35">
      <c r="A2781" t="s">
        <v>847</v>
      </c>
      <c r="B2781" t="s">
        <v>680</v>
      </c>
      <c r="C2781" s="83">
        <v>46092</v>
      </c>
      <c r="D2781" t="s">
        <v>688</v>
      </c>
      <c r="E2781" t="s">
        <v>338</v>
      </c>
      <c r="F2781">
        <v>8</v>
      </c>
      <c r="G2781">
        <v>4.8304499999999999</v>
      </c>
    </row>
    <row r="2782" spans="1:7" x14ac:dyDescent="0.35">
      <c r="A2782" t="s">
        <v>847</v>
      </c>
      <c r="B2782" t="s">
        <v>680</v>
      </c>
      <c r="C2782" s="83">
        <v>46092</v>
      </c>
      <c r="D2782" t="s">
        <v>688</v>
      </c>
      <c r="E2782" t="s">
        <v>720</v>
      </c>
      <c r="F2782">
        <v>8</v>
      </c>
      <c r="G2782">
        <v>5.0021833333333303</v>
      </c>
    </row>
    <row r="2783" spans="1:7" x14ac:dyDescent="0.35">
      <c r="A2783" t="s">
        <v>847</v>
      </c>
      <c r="B2783" t="s">
        <v>680</v>
      </c>
      <c r="C2783" s="83">
        <v>46092</v>
      </c>
      <c r="D2783" t="s">
        <v>688</v>
      </c>
      <c r="E2783" t="s">
        <v>311</v>
      </c>
      <c r="F2783">
        <v>7</v>
      </c>
      <c r="G2783">
        <v>2.8431833333333301</v>
      </c>
    </row>
    <row r="2784" spans="1:7" x14ac:dyDescent="0.35">
      <c r="A2784" t="s">
        <v>847</v>
      </c>
      <c r="B2784" t="s">
        <v>680</v>
      </c>
      <c r="C2784" s="83">
        <v>46092</v>
      </c>
      <c r="D2784" t="s">
        <v>690</v>
      </c>
      <c r="E2784" t="s">
        <v>311</v>
      </c>
      <c r="F2784">
        <v>16</v>
      </c>
      <c r="G2784">
        <v>10.140166666666699</v>
      </c>
    </row>
    <row r="2785" spans="1:7" x14ac:dyDescent="0.35">
      <c r="A2785" t="s">
        <v>847</v>
      </c>
      <c r="B2785" t="s">
        <v>680</v>
      </c>
      <c r="C2785" s="83">
        <v>46092</v>
      </c>
      <c r="D2785" t="s">
        <v>690</v>
      </c>
      <c r="E2785" t="s">
        <v>720</v>
      </c>
      <c r="F2785">
        <v>14</v>
      </c>
      <c r="G2785">
        <v>9.6680333333333301</v>
      </c>
    </row>
    <row r="2786" spans="1:7" x14ac:dyDescent="0.35">
      <c r="A2786" t="s">
        <v>847</v>
      </c>
      <c r="B2786" t="s">
        <v>680</v>
      </c>
      <c r="C2786" s="83">
        <v>46092</v>
      </c>
      <c r="D2786" t="s">
        <v>690</v>
      </c>
      <c r="E2786" t="s">
        <v>312</v>
      </c>
      <c r="F2786">
        <v>13</v>
      </c>
      <c r="G2786">
        <v>8.9836666666666698</v>
      </c>
    </row>
    <row r="2787" spans="1:7" x14ac:dyDescent="0.35">
      <c r="A2787" t="s">
        <v>847</v>
      </c>
      <c r="B2787" t="s">
        <v>680</v>
      </c>
      <c r="C2787" s="83">
        <v>46092</v>
      </c>
      <c r="D2787" t="s">
        <v>685</v>
      </c>
      <c r="E2787" t="s">
        <v>720</v>
      </c>
      <c r="F2787">
        <v>8</v>
      </c>
      <c r="G2787">
        <v>3.3335666666666701</v>
      </c>
    </row>
    <row r="2788" spans="1:7" x14ac:dyDescent="0.35">
      <c r="A2788" t="s">
        <v>847</v>
      </c>
      <c r="B2788" t="s">
        <v>680</v>
      </c>
      <c r="C2788" s="83">
        <v>46092</v>
      </c>
      <c r="D2788" t="s">
        <v>685</v>
      </c>
      <c r="E2788" t="s">
        <v>311</v>
      </c>
      <c r="F2788">
        <v>7</v>
      </c>
      <c r="G2788">
        <v>12.169183333333301</v>
      </c>
    </row>
    <row r="2789" spans="1:7" x14ac:dyDescent="0.35">
      <c r="A2789" t="s">
        <v>847</v>
      </c>
      <c r="B2789" t="s">
        <v>680</v>
      </c>
      <c r="C2789" s="83">
        <v>46092</v>
      </c>
      <c r="D2789" t="s">
        <v>685</v>
      </c>
      <c r="E2789" t="s">
        <v>312</v>
      </c>
      <c r="F2789">
        <v>5</v>
      </c>
      <c r="G2789">
        <v>1.3403499999999999</v>
      </c>
    </row>
    <row r="2790" spans="1:7" x14ac:dyDescent="0.35">
      <c r="A2790" t="s">
        <v>847</v>
      </c>
      <c r="B2790" t="s">
        <v>680</v>
      </c>
      <c r="C2790" s="83">
        <v>46093</v>
      </c>
      <c r="D2790" t="s">
        <v>681</v>
      </c>
      <c r="E2790" t="s">
        <v>296</v>
      </c>
      <c r="F2790">
        <v>104</v>
      </c>
      <c r="G2790">
        <v>33.005683333333302</v>
      </c>
    </row>
    <row r="2791" spans="1:7" x14ac:dyDescent="0.35">
      <c r="A2791" t="s">
        <v>847</v>
      </c>
      <c r="B2791" t="s">
        <v>680</v>
      </c>
      <c r="C2791" s="83">
        <v>46093</v>
      </c>
      <c r="D2791" t="s">
        <v>681</v>
      </c>
      <c r="E2791" t="s">
        <v>297</v>
      </c>
      <c r="F2791">
        <v>25</v>
      </c>
      <c r="G2791">
        <v>6.1795</v>
      </c>
    </row>
    <row r="2792" spans="1:7" x14ac:dyDescent="0.35">
      <c r="A2792" t="s">
        <v>847</v>
      </c>
      <c r="B2792" t="s">
        <v>680</v>
      </c>
      <c r="C2792" s="83">
        <v>46093</v>
      </c>
      <c r="D2792" t="s">
        <v>681</v>
      </c>
      <c r="E2792" t="s">
        <v>298</v>
      </c>
      <c r="F2792">
        <v>18</v>
      </c>
      <c r="G2792">
        <v>16.830683333333301</v>
      </c>
    </row>
    <row r="2793" spans="1:7" x14ac:dyDescent="0.35">
      <c r="A2793" t="s">
        <v>847</v>
      </c>
      <c r="B2793" t="s">
        <v>680</v>
      </c>
      <c r="C2793" s="83">
        <v>46093</v>
      </c>
      <c r="D2793" t="s">
        <v>683</v>
      </c>
      <c r="E2793" t="s">
        <v>334</v>
      </c>
      <c r="F2793">
        <v>17</v>
      </c>
      <c r="G2793">
        <v>14.5406833333333</v>
      </c>
    </row>
    <row r="2794" spans="1:7" x14ac:dyDescent="0.35">
      <c r="A2794" t="s">
        <v>847</v>
      </c>
      <c r="B2794" t="s">
        <v>680</v>
      </c>
      <c r="C2794" s="83">
        <v>46093</v>
      </c>
      <c r="D2794" t="s">
        <v>683</v>
      </c>
      <c r="E2794" t="s">
        <v>298</v>
      </c>
      <c r="F2794">
        <v>16</v>
      </c>
      <c r="G2794">
        <v>19.835466666666701</v>
      </c>
    </row>
    <row r="2795" spans="1:7" x14ac:dyDescent="0.35">
      <c r="A2795" t="s">
        <v>847</v>
      </c>
      <c r="B2795" t="s">
        <v>680</v>
      </c>
      <c r="C2795" s="83">
        <v>46093</v>
      </c>
      <c r="D2795" t="s">
        <v>683</v>
      </c>
      <c r="E2795" t="s">
        <v>296</v>
      </c>
      <c r="F2795">
        <v>11</v>
      </c>
      <c r="G2795">
        <v>5.6749499999999999</v>
      </c>
    </row>
    <row r="2796" spans="1:7" x14ac:dyDescent="0.35">
      <c r="A2796" t="s">
        <v>847</v>
      </c>
      <c r="B2796" t="s">
        <v>680</v>
      </c>
      <c r="C2796" s="83">
        <v>46093</v>
      </c>
      <c r="D2796" t="s">
        <v>689</v>
      </c>
      <c r="E2796" t="s">
        <v>297</v>
      </c>
      <c r="F2796">
        <v>10</v>
      </c>
      <c r="G2796">
        <v>2.8471000000000002</v>
      </c>
    </row>
    <row r="2797" spans="1:7" x14ac:dyDescent="0.35">
      <c r="A2797" t="s">
        <v>847</v>
      </c>
      <c r="B2797" t="s">
        <v>680</v>
      </c>
      <c r="C2797" s="83">
        <v>46093</v>
      </c>
      <c r="D2797" t="s">
        <v>689</v>
      </c>
      <c r="E2797" t="s">
        <v>727</v>
      </c>
      <c r="F2797">
        <v>9</v>
      </c>
      <c r="G2797">
        <v>2.99338333333333</v>
      </c>
    </row>
    <row r="2798" spans="1:7" x14ac:dyDescent="0.35">
      <c r="A2798" t="s">
        <v>847</v>
      </c>
      <c r="B2798" t="s">
        <v>680</v>
      </c>
      <c r="C2798" s="83">
        <v>46093</v>
      </c>
      <c r="D2798" t="s">
        <v>689</v>
      </c>
      <c r="E2798" t="s">
        <v>298</v>
      </c>
      <c r="F2798">
        <v>7</v>
      </c>
      <c r="G2798">
        <v>3.00023333333333</v>
      </c>
    </row>
    <row r="2799" spans="1:7" x14ac:dyDescent="0.35">
      <c r="A2799" t="s">
        <v>847</v>
      </c>
      <c r="B2799" t="s">
        <v>680</v>
      </c>
      <c r="C2799" s="83">
        <v>46093</v>
      </c>
      <c r="D2799" t="s">
        <v>684</v>
      </c>
      <c r="E2799" t="s">
        <v>296</v>
      </c>
      <c r="F2799">
        <v>15</v>
      </c>
      <c r="G2799">
        <v>9.5092666666666705</v>
      </c>
    </row>
    <row r="2800" spans="1:7" x14ac:dyDescent="0.35">
      <c r="A2800" t="s">
        <v>847</v>
      </c>
      <c r="B2800" t="s">
        <v>680</v>
      </c>
      <c r="C2800" s="83">
        <v>46093</v>
      </c>
      <c r="D2800" t="s">
        <v>684</v>
      </c>
      <c r="E2800" t="s">
        <v>298</v>
      </c>
      <c r="F2800">
        <v>4</v>
      </c>
      <c r="G2800">
        <v>2.0007333333333301</v>
      </c>
    </row>
    <row r="2801" spans="1:7" x14ac:dyDescent="0.35">
      <c r="A2801" t="s">
        <v>847</v>
      </c>
      <c r="B2801" t="s">
        <v>680</v>
      </c>
      <c r="C2801" s="83">
        <v>46093</v>
      </c>
      <c r="D2801" t="s">
        <v>684</v>
      </c>
      <c r="E2801" t="s">
        <v>334</v>
      </c>
      <c r="F2801">
        <v>3</v>
      </c>
      <c r="G2801">
        <v>0.834666666666667</v>
      </c>
    </row>
    <row r="2802" spans="1:7" x14ac:dyDescent="0.35">
      <c r="A2802" t="s">
        <v>847</v>
      </c>
      <c r="B2802" t="s">
        <v>680</v>
      </c>
      <c r="C2802" s="83">
        <v>46093</v>
      </c>
      <c r="D2802" t="s">
        <v>687</v>
      </c>
      <c r="E2802" t="s">
        <v>717</v>
      </c>
      <c r="F2802">
        <v>3</v>
      </c>
      <c r="G2802">
        <v>0.66646666666666698</v>
      </c>
    </row>
    <row r="2803" spans="1:7" x14ac:dyDescent="0.35">
      <c r="A2803" t="s">
        <v>847</v>
      </c>
      <c r="B2803" t="s">
        <v>680</v>
      </c>
      <c r="C2803" s="83">
        <v>46093</v>
      </c>
      <c r="D2803" t="s">
        <v>687</v>
      </c>
      <c r="E2803" t="s">
        <v>726</v>
      </c>
      <c r="F2803">
        <v>3</v>
      </c>
      <c r="G2803">
        <v>3.4927333333333301</v>
      </c>
    </row>
    <row r="2804" spans="1:7" x14ac:dyDescent="0.35">
      <c r="A2804" t="s">
        <v>847</v>
      </c>
      <c r="B2804" t="s">
        <v>680</v>
      </c>
      <c r="C2804" s="83">
        <v>46093</v>
      </c>
      <c r="D2804" t="s">
        <v>687</v>
      </c>
      <c r="E2804" t="s">
        <v>729</v>
      </c>
      <c r="F2804">
        <v>2</v>
      </c>
      <c r="G2804">
        <v>0.33095000000000002</v>
      </c>
    </row>
    <row r="2805" spans="1:7" x14ac:dyDescent="0.35">
      <c r="A2805" t="s">
        <v>847</v>
      </c>
      <c r="B2805" t="s">
        <v>680</v>
      </c>
      <c r="C2805" s="83">
        <v>46093</v>
      </c>
      <c r="D2805" t="s">
        <v>688</v>
      </c>
      <c r="E2805" t="s">
        <v>311</v>
      </c>
      <c r="F2805">
        <v>17</v>
      </c>
      <c r="G2805">
        <v>18.353366666666702</v>
      </c>
    </row>
    <row r="2806" spans="1:7" x14ac:dyDescent="0.35">
      <c r="A2806" t="s">
        <v>847</v>
      </c>
      <c r="B2806" t="s">
        <v>680</v>
      </c>
      <c r="C2806" s="83">
        <v>46093</v>
      </c>
      <c r="D2806" t="s">
        <v>688</v>
      </c>
      <c r="E2806" t="s">
        <v>338</v>
      </c>
      <c r="F2806">
        <v>9</v>
      </c>
      <c r="G2806">
        <v>5.33531666666667</v>
      </c>
    </row>
    <row r="2807" spans="1:7" x14ac:dyDescent="0.35">
      <c r="A2807" t="s">
        <v>847</v>
      </c>
      <c r="B2807" t="s">
        <v>680</v>
      </c>
      <c r="C2807" s="83">
        <v>46093</v>
      </c>
      <c r="D2807" t="s">
        <v>688</v>
      </c>
      <c r="E2807" t="s">
        <v>720</v>
      </c>
      <c r="F2807">
        <v>7</v>
      </c>
      <c r="G2807">
        <v>3.15756666666667</v>
      </c>
    </row>
    <row r="2808" spans="1:7" x14ac:dyDescent="0.35">
      <c r="A2808" t="s">
        <v>847</v>
      </c>
      <c r="B2808" t="s">
        <v>680</v>
      </c>
      <c r="C2808" s="83">
        <v>46093</v>
      </c>
      <c r="D2808" t="s">
        <v>690</v>
      </c>
      <c r="E2808" t="s">
        <v>311</v>
      </c>
      <c r="F2808">
        <v>16</v>
      </c>
      <c r="G2808">
        <v>9.6899499999999996</v>
      </c>
    </row>
    <row r="2809" spans="1:7" x14ac:dyDescent="0.35">
      <c r="A2809" t="s">
        <v>847</v>
      </c>
      <c r="B2809" t="s">
        <v>680</v>
      </c>
      <c r="C2809" s="83">
        <v>46093</v>
      </c>
      <c r="D2809" t="s">
        <v>690</v>
      </c>
      <c r="E2809" t="s">
        <v>321</v>
      </c>
      <c r="F2809">
        <v>9</v>
      </c>
      <c r="G2809">
        <v>6.1914499999999997</v>
      </c>
    </row>
    <row r="2810" spans="1:7" x14ac:dyDescent="0.35">
      <c r="A2810" t="s">
        <v>847</v>
      </c>
      <c r="B2810" t="s">
        <v>680</v>
      </c>
      <c r="C2810" s="83">
        <v>46093</v>
      </c>
      <c r="D2810" t="s">
        <v>690</v>
      </c>
      <c r="E2810" t="s">
        <v>338</v>
      </c>
      <c r="F2810">
        <v>9</v>
      </c>
      <c r="G2810">
        <v>10.480216666666699</v>
      </c>
    </row>
    <row r="2811" spans="1:7" x14ac:dyDescent="0.35">
      <c r="A2811" t="s">
        <v>847</v>
      </c>
      <c r="B2811" t="s">
        <v>680</v>
      </c>
      <c r="C2811" s="83">
        <v>46093</v>
      </c>
      <c r="D2811" t="s">
        <v>685</v>
      </c>
      <c r="E2811" t="s">
        <v>311</v>
      </c>
      <c r="F2811">
        <v>18</v>
      </c>
      <c r="G2811">
        <v>10.66155</v>
      </c>
    </row>
    <row r="2812" spans="1:7" x14ac:dyDescent="0.35">
      <c r="A2812" t="s">
        <v>847</v>
      </c>
      <c r="B2812" t="s">
        <v>680</v>
      </c>
      <c r="C2812" s="83">
        <v>46093</v>
      </c>
      <c r="D2812" t="s">
        <v>685</v>
      </c>
      <c r="E2812" t="s">
        <v>312</v>
      </c>
      <c r="F2812">
        <v>7</v>
      </c>
      <c r="G2812">
        <v>4.5007999999999999</v>
      </c>
    </row>
    <row r="2813" spans="1:7" x14ac:dyDescent="0.35">
      <c r="A2813" t="s">
        <v>847</v>
      </c>
      <c r="B2813" t="s">
        <v>680</v>
      </c>
      <c r="C2813" s="83">
        <v>46093</v>
      </c>
      <c r="D2813" t="s">
        <v>685</v>
      </c>
      <c r="E2813" t="s">
        <v>316</v>
      </c>
      <c r="F2813">
        <v>3</v>
      </c>
      <c r="G2813">
        <v>3.32833333333333</v>
      </c>
    </row>
    <row r="2814" spans="1:7" x14ac:dyDescent="0.35">
      <c r="A2814" t="s">
        <v>847</v>
      </c>
      <c r="B2814" t="s">
        <v>680</v>
      </c>
      <c r="C2814" s="83">
        <v>46094</v>
      </c>
      <c r="D2814" t="s">
        <v>681</v>
      </c>
      <c r="E2814" t="s">
        <v>296</v>
      </c>
      <c r="F2814">
        <v>92</v>
      </c>
      <c r="G2814">
        <v>35.697650000000003</v>
      </c>
    </row>
    <row r="2815" spans="1:7" x14ac:dyDescent="0.35">
      <c r="A2815" t="s">
        <v>847</v>
      </c>
      <c r="B2815" t="s">
        <v>680</v>
      </c>
      <c r="C2815" s="83">
        <v>46094</v>
      </c>
      <c r="D2815" t="s">
        <v>681</v>
      </c>
      <c r="E2815" t="s">
        <v>298</v>
      </c>
      <c r="F2815">
        <v>14</v>
      </c>
      <c r="G2815">
        <v>8.6700499999999998</v>
      </c>
    </row>
    <row r="2816" spans="1:7" x14ac:dyDescent="0.35">
      <c r="A2816" t="s">
        <v>847</v>
      </c>
      <c r="B2816" t="s">
        <v>680</v>
      </c>
      <c r="C2816" s="83">
        <v>46094</v>
      </c>
      <c r="D2816" t="s">
        <v>681</v>
      </c>
      <c r="E2816" t="s">
        <v>297</v>
      </c>
      <c r="F2816">
        <v>10</v>
      </c>
      <c r="G2816">
        <v>3.8505166666666701</v>
      </c>
    </row>
    <row r="2817" spans="1:7" x14ac:dyDescent="0.35">
      <c r="A2817" t="s">
        <v>847</v>
      </c>
      <c r="B2817" t="s">
        <v>680</v>
      </c>
      <c r="C2817" s="83">
        <v>46094</v>
      </c>
      <c r="D2817" t="s">
        <v>683</v>
      </c>
      <c r="E2817" t="s">
        <v>298</v>
      </c>
      <c r="F2817">
        <v>19</v>
      </c>
      <c r="G2817">
        <v>30.827300000000001</v>
      </c>
    </row>
    <row r="2818" spans="1:7" x14ac:dyDescent="0.35">
      <c r="A2818" t="s">
        <v>847</v>
      </c>
      <c r="B2818" t="s">
        <v>680</v>
      </c>
      <c r="C2818" s="83">
        <v>46094</v>
      </c>
      <c r="D2818" t="s">
        <v>683</v>
      </c>
      <c r="E2818" t="s">
        <v>300</v>
      </c>
      <c r="F2818">
        <v>9</v>
      </c>
      <c r="G2818">
        <v>2.99963333333333</v>
      </c>
    </row>
    <row r="2819" spans="1:7" x14ac:dyDescent="0.35">
      <c r="A2819" t="s">
        <v>847</v>
      </c>
      <c r="B2819" t="s">
        <v>680</v>
      </c>
      <c r="C2819" s="83">
        <v>46094</v>
      </c>
      <c r="D2819" t="s">
        <v>683</v>
      </c>
      <c r="E2819" t="s">
        <v>334</v>
      </c>
      <c r="F2819">
        <v>7</v>
      </c>
      <c r="G2819">
        <v>2.1679666666666702</v>
      </c>
    </row>
    <row r="2820" spans="1:7" x14ac:dyDescent="0.35">
      <c r="A2820" t="s">
        <v>847</v>
      </c>
      <c r="B2820" t="s">
        <v>680</v>
      </c>
      <c r="C2820" s="83">
        <v>46094</v>
      </c>
      <c r="D2820" t="s">
        <v>689</v>
      </c>
      <c r="E2820" t="s">
        <v>727</v>
      </c>
      <c r="F2820">
        <v>14</v>
      </c>
      <c r="G2820">
        <v>5.1801333333333304</v>
      </c>
    </row>
    <row r="2821" spans="1:7" x14ac:dyDescent="0.35">
      <c r="A2821" t="s">
        <v>847</v>
      </c>
      <c r="B2821" t="s">
        <v>680</v>
      </c>
      <c r="C2821" s="83">
        <v>46094</v>
      </c>
      <c r="D2821" t="s">
        <v>689</v>
      </c>
      <c r="E2821" t="s">
        <v>298</v>
      </c>
      <c r="F2821">
        <v>12</v>
      </c>
      <c r="G2821">
        <v>11.987399999999999</v>
      </c>
    </row>
    <row r="2822" spans="1:7" x14ac:dyDescent="0.35">
      <c r="A2822" t="s">
        <v>847</v>
      </c>
      <c r="B2822" t="s">
        <v>680</v>
      </c>
      <c r="C2822" s="83">
        <v>46094</v>
      </c>
      <c r="D2822" t="s">
        <v>689</v>
      </c>
      <c r="E2822" t="s">
        <v>332</v>
      </c>
      <c r="F2822">
        <v>6</v>
      </c>
      <c r="G2822">
        <v>3.4999166666666701</v>
      </c>
    </row>
    <row r="2823" spans="1:7" x14ac:dyDescent="0.35">
      <c r="A2823" t="s">
        <v>847</v>
      </c>
      <c r="B2823" t="s">
        <v>680</v>
      </c>
      <c r="C2823" s="83">
        <v>46094</v>
      </c>
      <c r="D2823" t="s">
        <v>684</v>
      </c>
      <c r="E2823" t="s">
        <v>296</v>
      </c>
      <c r="F2823">
        <v>8</v>
      </c>
      <c r="G2823">
        <v>3.66753333333333</v>
      </c>
    </row>
    <row r="2824" spans="1:7" x14ac:dyDescent="0.35">
      <c r="A2824" t="s">
        <v>847</v>
      </c>
      <c r="B2824" t="s">
        <v>680</v>
      </c>
      <c r="C2824" s="83">
        <v>46094</v>
      </c>
      <c r="D2824" t="s">
        <v>684</v>
      </c>
      <c r="E2824" t="s">
        <v>297</v>
      </c>
      <c r="F2824">
        <v>2</v>
      </c>
      <c r="G2824">
        <v>0.16663333333333299</v>
      </c>
    </row>
    <row r="2825" spans="1:7" x14ac:dyDescent="0.35">
      <c r="A2825" t="s">
        <v>847</v>
      </c>
      <c r="B2825" t="s">
        <v>680</v>
      </c>
      <c r="C2825" s="83">
        <v>46094</v>
      </c>
      <c r="D2825" t="s">
        <v>684</v>
      </c>
      <c r="E2825" t="s">
        <v>334</v>
      </c>
      <c r="F2825">
        <v>2</v>
      </c>
      <c r="G2825">
        <v>0.16688333333333299</v>
      </c>
    </row>
    <row r="2826" spans="1:7" x14ac:dyDescent="0.35">
      <c r="A2826" t="s">
        <v>847</v>
      </c>
      <c r="B2826" t="s">
        <v>680</v>
      </c>
      <c r="C2826" s="83">
        <v>46094</v>
      </c>
      <c r="D2826" t="s">
        <v>687</v>
      </c>
      <c r="E2826" t="s">
        <v>717</v>
      </c>
      <c r="F2826">
        <v>6</v>
      </c>
      <c r="G2826">
        <v>3.0148333333333301</v>
      </c>
    </row>
    <row r="2827" spans="1:7" x14ac:dyDescent="0.35">
      <c r="A2827" t="s">
        <v>847</v>
      </c>
      <c r="B2827" t="s">
        <v>680</v>
      </c>
      <c r="C2827" s="83">
        <v>46094</v>
      </c>
      <c r="D2827" t="s">
        <v>687</v>
      </c>
      <c r="E2827" t="s">
        <v>718</v>
      </c>
      <c r="F2827">
        <v>4</v>
      </c>
      <c r="G2827">
        <v>1.4995166666666699</v>
      </c>
    </row>
    <row r="2828" spans="1:7" x14ac:dyDescent="0.35">
      <c r="A2828" t="s">
        <v>847</v>
      </c>
      <c r="B2828" t="s">
        <v>680</v>
      </c>
      <c r="C2828" s="83">
        <v>46094</v>
      </c>
      <c r="D2828" t="s">
        <v>687</v>
      </c>
      <c r="E2828" t="s">
        <v>747</v>
      </c>
      <c r="F2828">
        <v>2</v>
      </c>
      <c r="G2828">
        <v>0.33389999999999997</v>
      </c>
    </row>
    <row r="2829" spans="1:7" x14ac:dyDescent="0.35">
      <c r="A2829" t="s">
        <v>847</v>
      </c>
      <c r="B2829" t="s">
        <v>680</v>
      </c>
      <c r="C2829" s="83">
        <v>46094</v>
      </c>
      <c r="D2829" t="s">
        <v>688</v>
      </c>
      <c r="E2829" t="s">
        <v>311</v>
      </c>
      <c r="F2829">
        <v>15</v>
      </c>
      <c r="G2829">
        <v>6.6508833333333301</v>
      </c>
    </row>
    <row r="2830" spans="1:7" x14ac:dyDescent="0.35">
      <c r="A2830" t="s">
        <v>847</v>
      </c>
      <c r="B2830" t="s">
        <v>680</v>
      </c>
      <c r="C2830" s="83">
        <v>46094</v>
      </c>
      <c r="D2830" t="s">
        <v>688</v>
      </c>
      <c r="E2830" t="s">
        <v>312</v>
      </c>
      <c r="F2830">
        <v>8</v>
      </c>
      <c r="G2830">
        <v>5.1606833333333304</v>
      </c>
    </row>
    <row r="2831" spans="1:7" x14ac:dyDescent="0.35">
      <c r="A2831" t="s">
        <v>847</v>
      </c>
      <c r="B2831" t="s">
        <v>680</v>
      </c>
      <c r="C2831" s="83">
        <v>46094</v>
      </c>
      <c r="D2831" t="s">
        <v>688</v>
      </c>
      <c r="E2831" t="s">
        <v>338</v>
      </c>
      <c r="F2831">
        <v>5</v>
      </c>
      <c r="G2831">
        <v>3.3234499999999998</v>
      </c>
    </row>
    <row r="2832" spans="1:7" x14ac:dyDescent="0.35">
      <c r="A2832" t="s">
        <v>847</v>
      </c>
      <c r="B2832" t="s">
        <v>680</v>
      </c>
      <c r="C2832" s="83">
        <v>46094</v>
      </c>
      <c r="D2832" t="s">
        <v>690</v>
      </c>
      <c r="E2832" t="s">
        <v>311</v>
      </c>
      <c r="F2832">
        <v>11</v>
      </c>
      <c r="G2832">
        <v>4.8313333333333297</v>
      </c>
    </row>
    <row r="2833" spans="1:7" x14ac:dyDescent="0.35">
      <c r="A2833" t="s">
        <v>847</v>
      </c>
      <c r="B2833" t="s">
        <v>680</v>
      </c>
      <c r="C2833" s="83">
        <v>46094</v>
      </c>
      <c r="D2833" t="s">
        <v>690</v>
      </c>
      <c r="E2833" t="s">
        <v>338</v>
      </c>
      <c r="F2833">
        <v>3</v>
      </c>
      <c r="G2833">
        <v>1.0001500000000001</v>
      </c>
    </row>
    <row r="2834" spans="1:7" x14ac:dyDescent="0.35">
      <c r="A2834" t="s">
        <v>847</v>
      </c>
      <c r="B2834" t="s">
        <v>680</v>
      </c>
      <c r="C2834" s="83">
        <v>46094</v>
      </c>
      <c r="D2834" t="s">
        <v>690</v>
      </c>
      <c r="E2834" t="s">
        <v>720</v>
      </c>
      <c r="F2834">
        <v>3</v>
      </c>
      <c r="G2834">
        <v>3.8262833333333299</v>
      </c>
    </row>
    <row r="2835" spans="1:7" x14ac:dyDescent="0.35">
      <c r="A2835" t="s">
        <v>847</v>
      </c>
      <c r="B2835" t="s">
        <v>680</v>
      </c>
      <c r="C2835" s="83">
        <v>46094</v>
      </c>
      <c r="D2835" t="s">
        <v>685</v>
      </c>
      <c r="E2835" t="s">
        <v>311</v>
      </c>
      <c r="F2835">
        <v>6</v>
      </c>
      <c r="G2835">
        <v>6.1759333333333304</v>
      </c>
    </row>
    <row r="2836" spans="1:7" x14ac:dyDescent="0.35">
      <c r="A2836" t="s">
        <v>847</v>
      </c>
      <c r="B2836" t="s">
        <v>680</v>
      </c>
      <c r="C2836" s="83">
        <v>46094</v>
      </c>
      <c r="D2836" t="s">
        <v>685</v>
      </c>
      <c r="E2836" t="s">
        <v>720</v>
      </c>
      <c r="F2836">
        <v>4</v>
      </c>
      <c r="G2836">
        <v>2.3408833333333301</v>
      </c>
    </row>
    <row r="2837" spans="1:7" x14ac:dyDescent="0.35">
      <c r="A2837" t="s">
        <v>847</v>
      </c>
      <c r="B2837" t="s">
        <v>680</v>
      </c>
      <c r="C2837" s="83">
        <v>46094</v>
      </c>
      <c r="D2837" t="s">
        <v>685</v>
      </c>
      <c r="E2837" t="s">
        <v>322</v>
      </c>
      <c r="F2837">
        <v>2</v>
      </c>
      <c r="G2837">
        <v>1.66736666666667</v>
      </c>
    </row>
    <row r="2838" spans="1:7" x14ac:dyDescent="0.35">
      <c r="A2838" t="s">
        <v>847</v>
      </c>
      <c r="B2838" t="s">
        <v>680</v>
      </c>
      <c r="C2838" s="83">
        <v>46095</v>
      </c>
      <c r="D2838" t="s">
        <v>681</v>
      </c>
      <c r="E2838" t="s">
        <v>296</v>
      </c>
      <c r="F2838">
        <v>35</v>
      </c>
      <c r="G2838">
        <v>11.013199999999999</v>
      </c>
    </row>
    <row r="2839" spans="1:7" x14ac:dyDescent="0.35">
      <c r="A2839" t="s">
        <v>847</v>
      </c>
      <c r="B2839" t="s">
        <v>680</v>
      </c>
      <c r="C2839" s="83">
        <v>46095</v>
      </c>
      <c r="D2839" t="s">
        <v>681</v>
      </c>
      <c r="E2839" t="s">
        <v>297</v>
      </c>
      <c r="F2839">
        <v>18</v>
      </c>
      <c r="G2839">
        <v>3.42058333333333</v>
      </c>
    </row>
    <row r="2840" spans="1:7" x14ac:dyDescent="0.35">
      <c r="A2840" t="s">
        <v>847</v>
      </c>
      <c r="B2840" t="s">
        <v>680</v>
      </c>
      <c r="C2840" s="83">
        <v>46095</v>
      </c>
      <c r="D2840" t="s">
        <v>681</v>
      </c>
      <c r="E2840" t="s">
        <v>298</v>
      </c>
      <c r="F2840">
        <v>17</v>
      </c>
      <c r="G2840">
        <v>10.2251833333333</v>
      </c>
    </row>
    <row r="2841" spans="1:7" x14ac:dyDescent="0.35">
      <c r="A2841" t="s">
        <v>847</v>
      </c>
      <c r="B2841" t="s">
        <v>680</v>
      </c>
      <c r="C2841" s="83">
        <v>46095</v>
      </c>
      <c r="D2841" t="s">
        <v>683</v>
      </c>
      <c r="E2841" t="s">
        <v>296</v>
      </c>
      <c r="F2841">
        <v>37</v>
      </c>
      <c r="G2841">
        <v>19.997116666666699</v>
      </c>
    </row>
    <row r="2842" spans="1:7" x14ac:dyDescent="0.35">
      <c r="A2842" t="s">
        <v>847</v>
      </c>
      <c r="B2842" t="s">
        <v>680</v>
      </c>
      <c r="C2842" s="83">
        <v>46095</v>
      </c>
      <c r="D2842" t="s">
        <v>683</v>
      </c>
      <c r="E2842" t="s">
        <v>298</v>
      </c>
      <c r="F2842">
        <v>24</v>
      </c>
      <c r="G2842">
        <v>48.078483333333303</v>
      </c>
    </row>
    <row r="2843" spans="1:7" x14ac:dyDescent="0.35">
      <c r="A2843" t="s">
        <v>847</v>
      </c>
      <c r="B2843" t="s">
        <v>680</v>
      </c>
      <c r="C2843" s="83">
        <v>46095</v>
      </c>
      <c r="D2843" t="s">
        <v>683</v>
      </c>
      <c r="E2843" t="s">
        <v>334</v>
      </c>
      <c r="F2843">
        <v>16</v>
      </c>
      <c r="G2843">
        <v>151.39208333333301</v>
      </c>
    </row>
    <row r="2844" spans="1:7" x14ac:dyDescent="0.35">
      <c r="A2844" t="s">
        <v>847</v>
      </c>
      <c r="B2844" t="s">
        <v>680</v>
      </c>
      <c r="C2844" s="83">
        <v>46095</v>
      </c>
      <c r="D2844" t="s">
        <v>689</v>
      </c>
      <c r="E2844" t="s">
        <v>298</v>
      </c>
      <c r="F2844">
        <v>21</v>
      </c>
      <c r="G2844">
        <v>13.597483333333299</v>
      </c>
    </row>
    <row r="2845" spans="1:7" x14ac:dyDescent="0.35">
      <c r="A2845" t="s">
        <v>847</v>
      </c>
      <c r="B2845" t="s">
        <v>680</v>
      </c>
      <c r="C2845" s="83">
        <v>46095</v>
      </c>
      <c r="D2845" t="s">
        <v>689</v>
      </c>
      <c r="E2845" t="s">
        <v>296</v>
      </c>
      <c r="F2845">
        <v>9</v>
      </c>
      <c r="G2845">
        <v>4.8224499999999999</v>
      </c>
    </row>
    <row r="2846" spans="1:7" x14ac:dyDescent="0.35">
      <c r="A2846" t="s">
        <v>847</v>
      </c>
      <c r="B2846" t="s">
        <v>680</v>
      </c>
      <c r="C2846" s="83">
        <v>46095</v>
      </c>
      <c r="D2846" t="s">
        <v>689</v>
      </c>
      <c r="E2846" t="s">
        <v>297</v>
      </c>
      <c r="F2846">
        <v>7</v>
      </c>
      <c r="G2846">
        <v>4.9075666666666704</v>
      </c>
    </row>
    <row r="2847" spans="1:7" x14ac:dyDescent="0.35">
      <c r="A2847" t="s">
        <v>847</v>
      </c>
      <c r="B2847" t="s">
        <v>680</v>
      </c>
      <c r="C2847" s="83">
        <v>46095</v>
      </c>
      <c r="D2847" t="s">
        <v>684</v>
      </c>
      <c r="E2847" t="s">
        <v>300</v>
      </c>
      <c r="F2847">
        <v>2</v>
      </c>
      <c r="G2847">
        <v>1.67503333333333</v>
      </c>
    </row>
    <row r="2848" spans="1:7" x14ac:dyDescent="0.35">
      <c r="A2848" t="s">
        <v>847</v>
      </c>
      <c r="B2848" t="s">
        <v>680</v>
      </c>
      <c r="C2848" s="83">
        <v>46095</v>
      </c>
      <c r="D2848" t="s">
        <v>684</v>
      </c>
      <c r="E2848" t="s">
        <v>728</v>
      </c>
      <c r="F2848">
        <v>2</v>
      </c>
      <c r="G2848">
        <v>0.16669999999999999</v>
      </c>
    </row>
    <row r="2849" spans="1:7" x14ac:dyDescent="0.35">
      <c r="A2849" t="s">
        <v>847</v>
      </c>
      <c r="B2849" t="s">
        <v>680</v>
      </c>
      <c r="C2849" s="83">
        <v>46095</v>
      </c>
      <c r="D2849" t="s">
        <v>684</v>
      </c>
      <c r="E2849" t="s">
        <v>334</v>
      </c>
      <c r="F2849">
        <v>2</v>
      </c>
      <c r="G2849">
        <v>0.63114999999999999</v>
      </c>
    </row>
    <row r="2850" spans="1:7" x14ac:dyDescent="0.35">
      <c r="A2850" t="s">
        <v>847</v>
      </c>
      <c r="B2850" t="s">
        <v>680</v>
      </c>
      <c r="C2850" s="83">
        <v>46095</v>
      </c>
      <c r="D2850" t="s">
        <v>687</v>
      </c>
      <c r="E2850" t="s">
        <v>717</v>
      </c>
      <c r="F2850">
        <v>7</v>
      </c>
      <c r="G2850">
        <v>4.0356333333333296</v>
      </c>
    </row>
    <row r="2851" spans="1:7" x14ac:dyDescent="0.35">
      <c r="A2851" t="s">
        <v>847</v>
      </c>
      <c r="B2851" t="s">
        <v>680</v>
      </c>
      <c r="C2851" s="83">
        <v>46095</v>
      </c>
      <c r="D2851" t="s">
        <v>687</v>
      </c>
      <c r="E2851" t="s">
        <v>719</v>
      </c>
      <c r="F2851">
        <v>4</v>
      </c>
      <c r="G2851">
        <v>23.4285</v>
      </c>
    </row>
    <row r="2852" spans="1:7" x14ac:dyDescent="0.35">
      <c r="A2852" t="s">
        <v>847</v>
      </c>
      <c r="B2852" t="s">
        <v>680</v>
      </c>
      <c r="C2852" s="83">
        <v>46095</v>
      </c>
      <c r="D2852" t="s">
        <v>687</v>
      </c>
      <c r="E2852" t="s">
        <v>729</v>
      </c>
      <c r="F2852">
        <v>3</v>
      </c>
      <c r="G2852">
        <v>4.8404166666666697</v>
      </c>
    </row>
    <row r="2853" spans="1:7" x14ac:dyDescent="0.35">
      <c r="A2853" t="s">
        <v>847</v>
      </c>
      <c r="B2853" t="s">
        <v>680</v>
      </c>
      <c r="C2853" s="83">
        <v>46095</v>
      </c>
      <c r="D2853" t="s">
        <v>688</v>
      </c>
      <c r="E2853" t="s">
        <v>311</v>
      </c>
      <c r="F2853">
        <v>14</v>
      </c>
      <c r="G2853">
        <v>29.957533333333298</v>
      </c>
    </row>
    <row r="2854" spans="1:7" x14ac:dyDescent="0.35">
      <c r="A2854" t="s">
        <v>847</v>
      </c>
      <c r="B2854" t="s">
        <v>680</v>
      </c>
      <c r="C2854" s="83">
        <v>46095</v>
      </c>
      <c r="D2854" t="s">
        <v>688</v>
      </c>
      <c r="E2854" t="s">
        <v>126</v>
      </c>
      <c r="F2854">
        <v>8</v>
      </c>
      <c r="G2854">
        <v>13.013683333333301</v>
      </c>
    </row>
    <row r="2855" spans="1:7" x14ac:dyDescent="0.35">
      <c r="A2855" t="s">
        <v>847</v>
      </c>
      <c r="B2855" t="s">
        <v>680</v>
      </c>
      <c r="C2855" s="83">
        <v>46095</v>
      </c>
      <c r="D2855" t="s">
        <v>688</v>
      </c>
      <c r="E2855" t="s">
        <v>321</v>
      </c>
      <c r="F2855">
        <v>8</v>
      </c>
      <c r="G2855">
        <v>5.1295166666666701</v>
      </c>
    </row>
    <row r="2856" spans="1:7" x14ac:dyDescent="0.35">
      <c r="A2856" t="s">
        <v>847</v>
      </c>
      <c r="B2856" t="s">
        <v>680</v>
      </c>
      <c r="C2856" s="83">
        <v>46095</v>
      </c>
      <c r="D2856" t="s">
        <v>690</v>
      </c>
      <c r="E2856" t="s">
        <v>311</v>
      </c>
      <c r="F2856">
        <v>11</v>
      </c>
      <c r="G2856">
        <v>10.3531833333333</v>
      </c>
    </row>
    <row r="2857" spans="1:7" x14ac:dyDescent="0.35">
      <c r="A2857" t="s">
        <v>847</v>
      </c>
      <c r="B2857" t="s">
        <v>680</v>
      </c>
      <c r="C2857" s="83">
        <v>46095</v>
      </c>
      <c r="D2857" t="s">
        <v>690</v>
      </c>
      <c r="E2857" t="s">
        <v>338</v>
      </c>
      <c r="F2857">
        <v>8</v>
      </c>
      <c r="G2857">
        <v>8.5014500000000002</v>
      </c>
    </row>
    <row r="2858" spans="1:7" x14ac:dyDescent="0.35">
      <c r="A2858" t="s">
        <v>847</v>
      </c>
      <c r="B2858" t="s">
        <v>680</v>
      </c>
      <c r="C2858" s="83">
        <v>46095</v>
      </c>
      <c r="D2858" t="s">
        <v>690</v>
      </c>
      <c r="E2858" t="s">
        <v>316</v>
      </c>
      <c r="F2858">
        <v>5</v>
      </c>
      <c r="G2858">
        <v>1.82416666666667</v>
      </c>
    </row>
    <row r="2859" spans="1:7" x14ac:dyDescent="0.35">
      <c r="A2859" t="s">
        <v>847</v>
      </c>
      <c r="B2859" t="s">
        <v>680</v>
      </c>
      <c r="C2859" s="83">
        <v>46095</v>
      </c>
      <c r="D2859" t="s">
        <v>685</v>
      </c>
      <c r="E2859" t="s">
        <v>311</v>
      </c>
      <c r="F2859">
        <v>13</v>
      </c>
      <c r="G2859">
        <v>23.660266666666701</v>
      </c>
    </row>
    <row r="2860" spans="1:7" x14ac:dyDescent="0.35">
      <c r="A2860" t="s">
        <v>847</v>
      </c>
      <c r="B2860" t="s">
        <v>680</v>
      </c>
      <c r="C2860" s="83">
        <v>46095</v>
      </c>
      <c r="D2860" t="s">
        <v>685</v>
      </c>
      <c r="E2860" t="s">
        <v>720</v>
      </c>
      <c r="F2860">
        <v>7</v>
      </c>
      <c r="G2860">
        <v>4.2972666666666699</v>
      </c>
    </row>
    <row r="2861" spans="1:7" x14ac:dyDescent="0.35">
      <c r="A2861" t="s">
        <v>847</v>
      </c>
      <c r="B2861" t="s">
        <v>680</v>
      </c>
      <c r="C2861" s="83">
        <v>46095</v>
      </c>
      <c r="D2861" t="s">
        <v>685</v>
      </c>
      <c r="E2861" t="s">
        <v>316</v>
      </c>
      <c r="F2861">
        <v>4</v>
      </c>
      <c r="G2861">
        <v>2.3486833333333301</v>
      </c>
    </row>
    <row r="2862" spans="1:7" x14ac:dyDescent="0.35">
      <c r="A2862" t="s">
        <v>847</v>
      </c>
      <c r="B2862" t="s">
        <v>680</v>
      </c>
      <c r="C2862" s="83">
        <v>46096</v>
      </c>
      <c r="D2862" t="s">
        <v>681</v>
      </c>
      <c r="E2862" t="s">
        <v>298</v>
      </c>
      <c r="F2862">
        <v>13</v>
      </c>
      <c r="G2862">
        <v>12.640416666666701</v>
      </c>
    </row>
    <row r="2863" spans="1:7" x14ac:dyDescent="0.35">
      <c r="A2863" t="s">
        <v>847</v>
      </c>
      <c r="B2863" t="s">
        <v>680</v>
      </c>
      <c r="C2863" s="83">
        <v>46096</v>
      </c>
      <c r="D2863" t="s">
        <v>681</v>
      </c>
      <c r="E2863" t="s">
        <v>296</v>
      </c>
      <c r="F2863">
        <v>10</v>
      </c>
      <c r="G2863">
        <v>3.8418000000000001</v>
      </c>
    </row>
    <row r="2864" spans="1:7" x14ac:dyDescent="0.35">
      <c r="A2864" t="s">
        <v>847</v>
      </c>
      <c r="B2864" t="s">
        <v>680</v>
      </c>
      <c r="C2864" s="83">
        <v>46096</v>
      </c>
      <c r="D2864" t="s">
        <v>681</v>
      </c>
      <c r="E2864" t="s">
        <v>334</v>
      </c>
      <c r="F2864">
        <v>7</v>
      </c>
      <c r="G2864">
        <v>8.3324499999999997</v>
      </c>
    </row>
    <row r="2865" spans="1:7" x14ac:dyDescent="0.35">
      <c r="A2865" t="s">
        <v>847</v>
      </c>
      <c r="B2865" t="s">
        <v>680</v>
      </c>
      <c r="C2865" s="83">
        <v>46096</v>
      </c>
      <c r="D2865" t="s">
        <v>683</v>
      </c>
      <c r="E2865" t="s">
        <v>297</v>
      </c>
      <c r="F2865">
        <v>22</v>
      </c>
      <c r="G2865">
        <v>11.1652166666667</v>
      </c>
    </row>
    <row r="2866" spans="1:7" x14ac:dyDescent="0.35">
      <c r="A2866" t="s">
        <v>847</v>
      </c>
      <c r="B2866" t="s">
        <v>680</v>
      </c>
      <c r="C2866" s="83">
        <v>46096</v>
      </c>
      <c r="D2866" t="s">
        <v>683</v>
      </c>
      <c r="E2866" t="s">
        <v>298</v>
      </c>
      <c r="F2866">
        <v>20</v>
      </c>
      <c r="G2866">
        <v>28.646416666666699</v>
      </c>
    </row>
    <row r="2867" spans="1:7" x14ac:dyDescent="0.35">
      <c r="A2867" t="s">
        <v>847</v>
      </c>
      <c r="B2867" t="s">
        <v>680</v>
      </c>
      <c r="C2867" s="83">
        <v>46096</v>
      </c>
      <c r="D2867" t="s">
        <v>683</v>
      </c>
      <c r="E2867" t="s">
        <v>727</v>
      </c>
      <c r="F2867">
        <v>13</v>
      </c>
      <c r="G2867">
        <v>5.5376500000000002</v>
      </c>
    </row>
    <row r="2868" spans="1:7" x14ac:dyDescent="0.35">
      <c r="A2868" t="s">
        <v>847</v>
      </c>
      <c r="B2868" t="s">
        <v>680</v>
      </c>
      <c r="C2868" s="83">
        <v>46096</v>
      </c>
      <c r="D2868" t="s">
        <v>689</v>
      </c>
      <c r="E2868" t="s">
        <v>298</v>
      </c>
      <c r="F2868">
        <v>25</v>
      </c>
      <c r="G2868">
        <v>25.516300000000001</v>
      </c>
    </row>
    <row r="2869" spans="1:7" x14ac:dyDescent="0.35">
      <c r="A2869" t="s">
        <v>847</v>
      </c>
      <c r="B2869" t="s">
        <v>680</v>
      </c>
      <c r="C2869" s="83">
        <v>46096</v>
      </c>
      <c r="D2869" t="s">
        <v>689</v>
      </c>
      <c r="E2869" t="s">
        <v>728</v>
      </c>
      <c r="F2869">
        <v>15</v>
      </c>
      <c r="G2869">
        <v>16.656400000000001</v>
      </c>
    </row>
    <row r="2870" spans="1:7" x14ac:dyDescent="0.35">
      <c r="A2870" t="s">
        <v>847</v>
      </c>
      <c r="B2870" t="s">
        <v>680</v>
      </c>
      <c r="C2870" s="83">
        <v>46096</v>
      </c>
      <c r="D2870" t="s">
        <v>689</v>
      </c>
      <c r="E2870" t="s">
        <v>296</v>
      </c>
      <c r="F2870">
        <v>11</v>
      </c>
      <c r="G2870">
        <v>6.3275333333333297</v>
      </c>
    </row>
    <row r="2871" spans="1:7" x14ac:dyDescent="0.35">
      <c r="A2871" t="s">
        <v>847</v>
      </c>
      <c r="B2871" t="s">
        <v>680</v>
      </c>
      <c r="C2871" s="83">
        <v>46096</v>
      </c>
      <c r="D2871" t="s">
        <v>684</v>
      </c>
      <c r="E2871" t="s">
        <v>300</v>
      </c>
      <c r="F2871">
        <v>4</v>
      </c>
      <c r="G2871">
        <v>3.5014666666666701</v>
      </c>
    </row>
    <row r="2872" spans="1:7" x14ac:dyDescent="0.35">
      <c r="A2872" t="s">
        <v>847</v>
      </c>
      <c r="B2872" t="s">
        <v>680</v>
      </c>
      <c r="C2872" s="83">
        <v>46096</v>
      </c>
      <c r="D2872" t="s">
        <v>684</v>
      </c>
      <c r="E2872" t="s">
        <v>296</v>
      </c>
      <c r="F2872">
        <v>4</v>
      </c>
      <c r="G2872">
        <v>3.1657500000000001</v>
      </c>
    </row>
    <row r="2873" spans="1:7" x14ac:dyDescent="0.35">
      <c r="A2873" t="s">
        <v>847</v>
      </c>
      <c r="B2873" t="s">
        <v>680</v>
      </c>
      <c r="C2873" s="83">
        <v>46096</v>
      </c>
      <c r="D2873" t="s">
        <v>684</v>
      </c>
      <c r="E2873" t="s">
        <v>297</v>
      </c>
      <c r="F2873">
        <v>3</v>
      </c>
      <c r="G2873">
        <v>2.5013000000000001</v>
      </c>
    </row>
    <row r="2874" spans="1:7" x14ac:dyDescent="0.35">
      <c r="A2874" t="s">
        <v>847</v>
      </c>
      <c r="B2874" t="s">
        <v>680</v>
      </c>
      <c r="C2874" s="83">
        <v>46096</v>
      </c>
      <c r="D2874" t="s">
        <v>687</v>
      </c>
      <c r="E2874" t="s">
        <v>733</v>
      </c>
      <c r="F2874">
        <v>3</v>
      </c>
      <c r="G2874">
        <v>0.50058333333333305</v>
      </c>
    </row>
    <row r="2875" spans="1:7" x14ac:dyDescent="0.35">
      <c r="A2875" t="s">
        <v>847</v>
      </c>
      <c r="B2875" t="s">
        <v>680</v>
      </c>
      <c r="C2875" s="83">
        <v>46096</v>
      </c>
      <c r="D2875" t="s">
        <v>687</v>
      </c>
      <c r="E2875" t="s">
        <v>718</v>
      </c>
      <c r="F2875">
        <v>2</v>
      </c>
      <c r="G2875">
        <v>0.50011666666666699</v>
      </c>
    </row>
    <row r="2876" spans="1:7" x14ac:dyDescent="0.35">
      <c r="A2876" t="s">
        <v>847</v>
      </c>
      <c r="B2876" t="s">
        <v>680</v>
      </c>
      <c r="C2876" s="83">
        <v>46096</v>
      </c>
      <c r="D2876" t="s">
        <v>687</v>
      </c>
      <c r="E2876" t="s">
        <v>717</v>
      </c>
      <c r="F2876">
        <v>2</v>
      </c>
      <c r="G2876">
        <v>4.8333500000000003</v>
      </c>
    </row>
    <row r="2877" spans="1:7" x14ac:dyDescent="0.35">
      <c r="A2877" t="s">
        <v>847</v>
      </c>
      <c r="B2877" t="s">
        <v>680</v>
      </c>
      <c r="C2877" s="83">
        <v>46096</v>
      </c>
      <c r="D2877" t="s">
        <v>688</v>
      </c>
      <c r="E2877" t="s">
        <v>311</v>
      </c>
      <c r="F2877">
        <v>25</v>
      </c>
      <c r="G2877">
        <v>15.172316666666701</v>
      </c>
    </row>
    <row r="2878" spans="1:7" x14ac:dyDescent="0.35">
      <c r="A2878" t="s">
        <v>847</v>
      </c>
      <c r="B2878" t="s">
        <v>680</v>
      </c>
      <c r="C2878" s="83">
        <v>46096</v>
      </c>
      <c r="D2878" t="s">
        <v>688</v>
      </c>
      <c r="E2878" t="s">
        <v>316</v>
      </c>
      <c r="F2878">
        <v>6</v>
      </c>
      <c r="G2878">
        <v>3.1747666666666698</v>
      </c>
    </row>
    <row r="2879" spans="1:7" x14ac:dyDescent="0.35">
      <c r="A2879" t="s">
        <v>847</v>
      </c>
      <c r="B2879" t="s">
        <v>680</v>
      </c>
      <c r="C2879" s="83">
        <v>46096</v>
      </c>
      <c r="D2879" t="s">
        <v>688</v>
      </c>
      <c r="E2879" t="s">
        <v>312</v>
      </c>
      <c r="F2879">
        <v>5</v>
      </c>
      <c r="G2879">
        <v>2.65795</v>
      </c>
    </row>
    <row r="2880" spans="1:7" x14ac:dyDescent="0.35">
      <c r="A2880" t="s">
        <v>847</v>
      </c>
      <c r="B2880" t="s">
        <v>680</v>
      </c>
      <c r="C2880" s="83">
        <v>46096</v>
      </c>
      <c r="D2880" t="s">
        <v>690</v>
      </c>
      <c r="E2880" t="s">
        <v>311</v>
      </c>
      <c r="F2880">
        <v>16</v>
      </c>
      <c r="G2880">
        <v>12.1617</v>
      </c>
    </row>
    <row r="2881" spans="1:7" x14ac:dyDescent="0.35">
      <c r="A2881" t="s">
        <v>847</v>
      </c>
      <c r="B2881" t="s">
        <v>680</v>
      </c>
      <c r="C2881" s="83">
        <v>46096</v>
      </c>
      <c r="D2881" t="s">
        <v>690</v>
      </c>
      <c r="E2881" t="s">
        <v>312</v>
      </c>
      <c r="F2881">
        <v>11</v>
      </c>
      <c r="G2881">
        <v>4.1788999999999996</v>
      </c>
    </row>
    <row r="2882" spans="1:7" x14ac:dyDescent="0.35">
      <c r="A2882" t="s">
        <v>847</v>
      </c>
      <c r="B2882" t="s">
        <v>680</v>
      </c>
      <c r="C2882" s="83">
        <v>46096</v>
      </c>
      <c r="D2882" t="s">
        <v>690</v>
      </c>
      <c r="E2882" t="s">
        <v>338</v>
      </c>
      <c r="F2882">
        <v>9</v>
      </c>
      <c r="G2882">
        <v>8.3178000000000001</v>
      </c>
    </row>
    <row r="2883" spans="1:7" x14ac:dyDescent="0.35">
      <c r="A2883" t="s">
        <v>847</v>
      </c>
      <c r="B2883" t="s">
        <v>680</v>
      </c>
      <c r="C2883" s="83">
        <v>46096</v>
      </c>
      <c r="D2883" t="s">
        <v>685</v>
      </c>
      <c r="E2883" t="s">
        <v>311</v>
      </c>
      <c r="F2883">
        <v>14</v>
      </c>
      <c r="G2883">
        <v>15.52435</v>
      </c>
    </row>
    <row r="2884" spans="1:7" x14ac:dyDescent="0.35">
      <c r="A2884" t="s">
        <v>847</v>
      </c>
      <c r="B2884" t="s">
        <v>680</v>
      </c>
      <c r="C2884" s="83">
        <v>46096</v>
      </c>
      <c r="D2884" t="s">
        <v>685</v>
      </c>
      <c r="E2884" t="s">
        <v>312</v>
      </c>
      <c r="F2884">
        <v>8</v>
      </c>
      <c r="G2884">
        <v>9.4909166666666707</v>
      </c>
    </row>
    <row r="2885" spans="1:7" x14ac:dyDescent="0.35">
      <c r="A2885" t="s">
        <v>847</v>
      </c>
      <c r="B2885" t="s">
        <v>680</v>
      </c>
      <c r="C2885" s="83">
        <v>46096</v>
      </c>
      <c r="D2885" t="s">
        <v>685</v>
      </c>
      <c r="E2885" t="s">
        <v>338</v>
      </c>
      <c r="F2885">
        <v>7</v>
      </c>
      <c r="G2885">
        <v>4.0222666666666704</v>
      </c>
    </row>
    <row r="2886" spans="1:7" x14ac:dyDescent="0.35">
      <c r="A2886" t="s">
        <v>847</v>
      </c>
      <c r="B2886" t="s">
        <v>680</v>
      </c>
      <c r="C2886" s="83">
        <v>46097</v>
      </c>
      <c r="D2886" t="s">
        <v>681</v>
      </c>
      <c r="E2886" t="s">
        <v>298</v>
      </c>
      <c r="F2886">
        <v>23</v>
      </c>
      <c r="G2886">
        <v>20.586983333333301</v>
      </c>
    </row>
    <row r="2887" spans="1:7" x14ac:dyDescent="0.35">
      <c r="A2887" t="s">
        <v>847</v>
      </c>
      <c r="B2887" t="s">
        <v>680</v>
      </c>
      <c r="C2887" s="83">
        <v>46097</v>
      </c>
      <c r="D2887" t="s">
        <v>681</v>
      </c>
      <c r="E2887" t="s">
        <v>297</v>
      </c>
      <c r="F2887">
        <v>8</v>
      </c>
      <c r="G2887">
        <v>2.3331833333333298</v>
      </c>
    </row>
    <row r="2888" spans="1:7" x14ac:dyDescent="0.35">
      <c r="A2888" t="s">
        <v>847</v>
      </c>
      <c r="B2888" t="s">
        <v>680</v>
      </c>
      <c r="C2888" s="83">
        <v>46097</v>
      </c>
      <c r="D2888" t="s">
        <v>681</v>
      </c>
      <c r="E2888" t="s">
        <v>296</v>
      </c>
      <c r="F2888">
        <v>4</v>
      </c>
      <c r="G2888">
        <v>0.83373333333333299</v>
      </c>
    </row>
    <row r="2889" spans="1:7" x14ac:dyDescent="0.35">
      <c r="A2889" t="s">
        <v>847</v>
      </c>
      <c r="B2889" t="s">
        <v>680</v>
      </c>
      <c r="C2889" s="83">
        <v>46097</v>
      </c>
      <c r="D2889" t="s">
        <v>683</v>
      </c>
      <c r="E2889" t="s">
        <v>296</v>
      </c>
      <c r="F2889">
        <v>26</v>
      </c>
      <c r="G2889">
        <v>36.490049999999997</v>
      </c>
    </row>
    <row r="2890" spans="1:7" x14ac:dyDescent="0.35">
      <c r="A2890" t="s">
        <v>847</v>
      </c>
      <c r="B2890" t="s">
        <v>680</v>
      </c>
      <c r="C2890" s="83">
        <v>46097</v>
      </c>
      <c r="D2890" t="s">
        <v>683</v>
      </c>
      <c r="E2890" t="s">
        <v>727</v>
      </c>
      <c r="F2890">
        <v>22</v>
      </c>
      <c r="G2890">
        <v>36.341933333333301</v>
      </c>
    </row>
    <row r="2891" spans="1:7" x14ac:dyDescent="0.35">
      <c r="A2891" t="s">
        <v>847</v>
      </c>
      <c r="B2891" t="s">
        <v>680</v>
      </c>
      <c r="C2891" s="83">
        <v>46097</v>
      </c>
      <c r="D2891" t="s">
        <v>683</v>
      </c>
      <c r="E2891" t="s">
        <v>334</v>
      </c>
      <c r="F2891">
        <v>17</v>
      </c>
      <c r="G2891">
        <v>20.328383333333299</v>
      </c>
    </row>
    <row r="2892" spans="1:7" x14ac:dyDescent="0.35">
      <c r="A2892" t="s">
        <v>847</v>
      </c>
      <c r="B2892" t="s">
        <v>680</v>
      </c>
      <c r="C2892" s="83">
        <v>46097</v>
      </c>
      <c r="D2892" t="s">
        <v>689</v>
      </c>
      <c r="E2892" t="s">
        <v>298</v>
      </c>
      <c r="F2892">
        <v>51</v>
      </c>
      <c r="G2892">
        <v>67.955066666666696</v>
      </c>
    </row>
    <row r="2893" spans="1:7" x14ac:dyDescent="0.35">
      <c r="A2893" t="s">
        <v>847</v>
      </c>
      <c r="B2893" t="s">
        <v>680</v>
      </c>
      <c r="C2893" s="83">
        <v>46097</v>
      </c>
      <c r="D2893" t="s">
        <v>689</v>
      </c>
      <c r="E2893" t="s">
        <v>728</v>
      </c>
      <c r="F2893">
        <v>21</v>
      </c>
      <c r="G2893">
        <v>11.3243666666667</v>
      </c>
    </row>
    <row r="2894" spans="1:7" x14ac:dyDescent="0.35">
      <c r="A2894" t="s">
        <v>847</v>
      </c>
      <c r="B2894" t="s">
        <v>680</v>
      </c>
      <c r="C2894" s="83">
        <v>46097</v>
      </c>
      <c r="D2894" t="s">
        <v>689</v>
      </c>
      <c r="E2894" t="s">
        <v>296</v>
      </c>
      <c r="F2894">
        <v>16</v>
      </c>
      <c r="G2894">
        <v>4.8592166666666703</v>
      </c>
    </row>
    <row r="2895" spans="1:7" x14ac:dyDescent="0.35">
      <c r="A2895" t="s">
        <v>847</v>
      </c>
      <c r="B2895" t="s">
        <v>680</v>
      </c>
      <c r="C2895" s="83">
        <v>46097</v>
      </c>
      <c r="D2895" t="s">
        <v>684</v>
      </c>
      <c r="E2895" t="s">
        <v>298</v>
      </c>
      <c r="F2895">
        <v>6</v>
      </c>
      <c r="G2895">
        <v>5.6735499999999996</v>
      </c>
    </row>
    <row r="2896" spans="1:7" x14ac:dyDescent="0.35">
      <c r="A2896" t="s">
        <v>847</v>
      </c>
      <c r="B2896" t="s">
        <v>680</v>
      </c>
      <c r="C2896" s="83">
        <v>46097</v>
      </c>
      <c r="D2896" t="s">
        <v>684</v>
      </c>
      <c r="E2896" t="s">
        <v>296</v>
      </c>
      <c r="F2896">
        <v>5</v>
      </c>
      <c r="G2896">
        <v>1.4989666666666701</v>
      </c>
    </row>
    <row r="2897" spans="1:7" x14ac:dyDescent="0.35">
      <c r="A2897" t="s">
        <v>847</v>
      </c>
      <c r="B2897" t="s">
        <v>680</v>
      </c>
      <c r="C2897" s="83">
        <v>46097</v>
      </c>
      <c r="D2897" t="s">
        <v>684</v>
      </c>
      <c r="E2897" t="s">
        <v>297</v>
      </c>
      <c r="F2897">
        <v>3</v>
      </c>
      <c r="G2897">
        <v>0.50009999999999999</v>
      </c>
    </row>
    <row r="2898" spans="1:7" x14ac:dyDescent="0.35">
      <c r="A2898" t="s">
        <v>847</v>
      </c>
      <c r="B2898" t="s">
        <v>680</v>
      </c>
      <c r="C2898" s="83">
        <v>46097</v>
      </c>
      <c r="D2898" t="s">
        <v>687</v>
      </c>
      <c r="E2898" t="s">
        <v>717</v>
      </c>
      <c r="F2898">
        <v>5</v>
      </c>
      <c r="G2898">
        <v>7.9883499999999996</v>
      </c>
    </row>
    <row r="2899" spans="1:7" x14ac:dyDescent="0.35">
      <c r="A2899" t="s">
        <v>847</v>
      </c>
      <c r="B2899" t="s">
        <v>680</v>
      </c>
      <c r="C2899" s="83">
        <v>46097</v>
      </c>
      <c r="D2899" t="s">
        <v>687</v>
      </c>
      <c r="E2899" t="s">
        <v>718</v>
      </c>
      <c r="F2899">
        <v>4</v>
      </c>
      <c r="G2899">
        <v>2.1571166666666701</v>
      </c>
    </row>
    <row r="2900" spans="1:7" x14ac:dyDescent="0.35">
      <c r="A2900" t="s">
        <v>847</v>
      </c>
      <c r="B2900" t="s">
        <v>680</v>
      </c>
      <c r="C2900" s="83">
        <v>46097</v>
      </c>
      <c r="D2900" t="s">
        <v>687</v>
      </c>
      <c r="E2900" t="s">
        <v>754</v>
      </c>
      <c r="F2900">
        <v>3</v>
      </c>
      <c r="G2900">
        <v>1.8348833333333301</v>
      </c>
    </row>
    <row r="2901" spans="1:7" x14ac:dyDescent="0.35">
      <c r="A2901" t="s">
        <v>847</v>
      </c>
      <c r="B2901" t="s">
        <v>680</v>
      </c>
      <c r="C2901" s="83">
        <v>46097</v>
      </c>
      <c r="D2901" t="s">
        <v>688</v>
      </c>
      <c r="E2901" t="s">
        <v>311</v>
      </c>
      <c r="F2901">
        <v>21</v>
      </c>
      <c r="G2901">
        <v>11.660016666666699</v>
      </c>
    </row>
    <row r="2902" spans="1:7" x14ac:dyDescent="0.35">
      <c r="A2902" t="s">
        <v>847</v>
      </c>
      <c r="B2902" t="s">
        <v>680</v>
      </c>
      <c r="C2902" s="83">
        <v>46097</v>
      </c>
      <c r="D2902" t="s">
        <v>688</v>
      </c>
      <c r="E2902" t="s">
        <v>720</v>
      </c>
      <c r="F2902">
        <v>19</v>
      </c>
      <c r="G2902">
        <v>11.170400000000001</v>
      </c>
    </row>
    <row r="2903" spans="1:7" x14ac:dyDescent="0.35">
      <c r="A2903" t="s">
        <v>847</v>
      </c>
      <c r="B2903" t="s">
        <v>680</v>
      </c>
      <c r="C2903" s="83">
        <v>46097</v>
      </c>
      <c r="D2903" t="s">
        <v>688</v>
      </c>
      <c r="E2903" t="s">
        <v>316</v>
      </c>
      <c r="F2903">
        <v>16</v>
      </c>
      <c r="G2903">
        <v>18.492533333333299</v>
      </c>
    </row>
    <row r="2904" spans="1:7" x14ac:dyDescent="0.35">
      <c r="A2904" t="s">
        <v>847</v>
      </c>
      <c r="B2904" t="s">
        <v>680</v>
      </c>
      <c r="C2904" s="83">
        <v>46097</v>
      </c>
      <c r="D2904" t="s">
        <v>690</v>
      </c>
      <c r="E2904" t="s">
        <v>311</v>
      </c>
      <c r="F2904">
        <v>18</v>
      </c>
      <c r="G2904">
        <v>10.331383333333299</v>
      </c>
    </row>
    <row r="2905" spans="1:7" x14ac:dyDescent="0.35">
      <c r="A2905" t="s">
        <v>847</v>
      </c>
      <c r="B2905" t="s">
        <v>680</v>
      </c>
      <c r="C2905" s="83">
        <v>46097</v>
      </c>
      <c r="D2905" t="s">
        <v>690</v>
      </c>
      <c r="E2905" t="s">
        <v>312</v>
      </c>
      <c r="F2905">
        <v>13</v>
      </c>
      <c r="G2905">
        <v>12.824400000000001</v>
      </c>
    </row>
    <row r="2906" spans="1:7" x14ac:dyDescent="0.35">
      <c r="A2906" t="s">
        <v>847</v>
      </c>
      <c r="B2906" t="s">
        <v>680</v>
      </c>
      <c r="C2906" s="83">
        <v>46097</v>
      </c>
      <c r="D2906" t="s">
        <v>690</v>
      </c>
      <c r="E2906" t="s">
        <v>338</v>
      </c>
      <c r="F2906">
        <v>5</v>
      </c>
      <c r="G2906">
        <v>9.3401833333333304</v>
      </c>
    </row>
    <row r="2907" spans="1:7" x14ac:dyDescent="0.35">
      <c r="A2907" t="s">
        <v>847</v>
      </c>
      <c r="B2907" t="s">
        <v>680</v>
      </c>
      <c r="C2907" s="83">
        <v>46097</v>
      </c>
      <c r="D2907" t="s">
        <v>685</v>
      </c>
      <c r="E2907" t="s">
        <v>311</v>
      </c>
      <c r="F2907">
        <v>8</v>
      </c>
      <c r="G2907">
        <v>5.6657166666666701</v>
      </c>
    </row>
    <row r="2908" spans="1:7" x14ac:dyDescent="0.35">
      <c r="A2908" t="s">
        <v>847</v>
      </c>
      <c r="B2908" t="s">
        <v>680</v>
      </c>
      <c r="C2908" s="83">
        <v>46097</v>
      </c>
      <c r="D2908" t="s">
        <v>685</v>
      </c>
      <c r="E2908" t="s">
        <v>126</v>
      </c>
      <c r="F2908">
        <v>3</v>
      </c>
      <c r="G2908">
        <v>1.99956666666667</v>
      </c>
    </row>
    <row r="2909" spans="1:7" x14ac:dyDescent="0.35">
      <c r="A2909" t="s">
        <v>847</v>
      </c>
      <c r="B2909" t="s">
        <v>680</v>
      </c>
      <c r="C2909" s="83">
        <v>46097</v>
      </c>
      <c r="D2909" t="s">
        <v>685</v>
      </c>
      <c r="E2909" t="s">
        <v>720</v>
      </c>
      <c r="F2909">
        <v>2</v>
      </c>
      <c r="G2909">
        <v>0.33356666666666701</v>
      </c>
    </row>
    <row r="2910" spans="1:7" x14ac:dyDescent="0.35">
      <c r="A2910" t="s">
        <v>847</v>
      </c>
      <c r="B2910" t="s">
        <v>680</v>
      </c>
      <c r="C2910" s="83">
        <v>46098</v>
      </c>
      <c r="D2910" t="s">
        <v>681</v>
      </c>
      <c r="E2910" t="s">
        <v>298</v>
      </c>
      <c r="F2910">
        <v>17</v>
      </c>
      <c r="G2910">
        <v>15.4318833333333</v>
      </c>
    </row>
    <row r="2911" spans="1:7" x14ac:dyDescent="0.35">
      <c r="A2911" t="s">
        <v>847</v>
      </c>
      <c r="B2911" t="s">
        <v>680</v>
      </c>
      <c r="C2911" s="83">
        <v>46098</v>
      </c>
      <c r="D2911" t="s">
        <v>681</v>
      </c>
      <c r="E2911" t="s">
        <v>297</v>
      </c>
      <c r="F2911">
        <v>16</v>
      </c>
      <c r="G2911">
        <v>7.5096999999999996</v>
      </c>
    </row>
    <row r="2912" spans="1:7" x14ac:dyDescent="0.35">
      <c r="A2912" t="s">
        <v>847</v>
      </c>
      <c r="B2912" t="s">
        <v>680</v>
      </c>
      <c r="C2912" s="83">
        <v>46098</v>
      </c>
      <c r="D2912" t="s">
        <v>681</v>
      </c>
      <c r="E2912" t="s">
        <v>296</v>
      </c>
      <c r="F2912">
        <v>9</v>
      </c>
      <c r="G2912">
        <v>2.84165</v>
      </c>
    </row>
    <row r="2913" spans="1:7" x14ac:dyDescent="0.35">
      <c r="A2913" t="s">
        <v>847</v>
      </c>
      <c r="B2913" t="s">
        <v>680</v>
      </c>
      <c r="C2913" s="83">
        <v>46098</v>
      </c>
      <c r="D2913" t="s">
        <v>683</v>
      </c>
      <c r="E2913" t="s">
        <v>298</v>
      </c>
      <c r="F2913">
        <v>26</v>
      </c>
      <c r="G2913">
        <v>50.640283333333301</v>
      </c>
    </row>
    <row r="2914" spans="1:7" x14ac:dyDescent="0.35">
      <c r="A2914" t="s">
        <v>847</v>
      </c>
      <c r="B2914" t="s">
        <v>680</v>
      </c>
      <c r="C2914" s="83">
        <v>46098</v>
      </c>
      <c r="D2914" t="s">
        <v>683</v>
      </c>
      <c r="E2914" t="s">
        <v>296</v>
      </c>
      <c r="F2914">
        <v>22</v>
      </c>
      <c r="G2914">
        <v>9.9816333333333294</v>
      </c>
    </row>
    <row r="2915" spans="1:7" x14ac:dyDescent="0.35">
      <c r="A2915" t="s">
        <v>847</v>
      </c>
      <c r="B2915" t="s">
        <v>680</v>
      </c>
      <c r="C2915" s="83">
        <v>46098</v>
      </c>
      <c r="D2915" t="s">
        <v>683</v>
      </c>
      <c r="E2915" t="s">
        <v>334</v>
      </c>
      <c r="F2915">
        <v>13</v>
      </c>
      <c r="G2915">
        <v>45.505116666666702</v>
      </c>
    </row>
    <row r="2916" spans="1:7" x14ac:dyDescent="0.35">
      <c r="A2916" t="s">
        <v>847</v>
      </c>
      <c r="B2916" t="s">
        <v>680</v>
      </c>
      <c r="C2916" s="83">
        <v>46098</v>
      </c>
      <c r="D2916" t="s">
        <v>689</v>
      </c>
      <c r="E2916" t="s">
        <v>298</v>
      </c>
      <c r="F2916">
        <v>21</v>
      </c>
      <c r="G2916">
        <v>17.669966666666699</v>
      </c>
    </row>
    <row r="2917" spans="1:7" x14ac:dyDescent="0.35">
      <c r="A2917" t="s">
        <v>847</v>
      </c>
      <c r="B2917" t="s">
        <v>680</v>
      </c>
      <c r="C2917" s="83">
        <v>46098</v>
      </c>
      <c r="D2917" t="s">
        <v>689</v>
      </c>
      <c r="E2917" t="s">
        <v>296</v>
      </c>
      <c r="F2917">
        <v>14</v>
      </c>
      <c r="G2917">
        <v>8.4917333333333307</v>
      </c>
    </row>
    <row r="2918" spans="1:7" x14ac:dyDescent="0.35">
      <c r="A2918" t="s">
        <v>847</v>
      </c>
      <c r="B2918" t="s">
        <v>680</v>
      </c>
      <c r="C2918" s="83">
        <v>46098</v>
      </c>
      <c r="D2918" t="s">
        <v>689</v>
      </c>
      <c r="E2918" t="s">
        <v>297</v>
      </c>
      <c r="F2918">
        <v>12</v>
      </c>
      <c r="G2918">
        <v>18.984083333333299</v>
      </c>
    </row>
    <row r="2919" spans="1:7" x14ac:dyDescent="0.35">
      <c r="A2919" t="s">
        <v>847</v>
      </c>
      <c r="B2919" t="s">
        <v>680</v>
      </c>
      <c r="C2919" s="83">
        <v>46098</v>
      </c>
      <c r="D2919" t="s">
        <v>684</v>
      </c>
      <c r="E2919" t="s">
        <v>297</v>
      </c>
      <c r="F2919">
        <v>7</v>
      </c>
      <c r="G2919">
        <v>2.51485</v>
      </c>
    </row>
    <row r="2920" spans="1:7" x14ac:dyDescent="0.35">
      <c r="A2920" t="s">
        <v>847</v>
      </c>
      <c r="B2920" t="s">
        <v>680</v>
      </c>
      <c r="C2920" s="83">
        <v>46098</v>
      </c>
      <c r="D2920" t="s">
        <v>684</v>
      </c>
      <c r="E2920" t="s">
        <v>296</v>
      </c>
      <c r="F2920">
        <v>4</v>
      </c>
      <c r="G2920">
        <v>2.8348166666666699</v>
      </c>
    </row>
    <row r="2921" spans="1:7" x14ac:dyDescent="0.35">
      <c r="A2921" t="s">
        <v>847</v>
      </c>
      <c r="B2921" t="s">
        <v>680</v>
      </c>
      <c r="C2921" s="83">
        <v>46098</v>
      </c>
      <c r="D2921" t="s">
        <v>684</v>
      </c>
      <c r="E2921" t="s">
        <v>298</v>
      </c>
      <c r="F2921">
        <v>4</v>
      </c>
      <c r="G2921">
        <v>6.4951999999999996</v>
      </c>
    </row>
    <row r="2922" spans="1:7" x14ac:dyDescent="0.35">
      <c r="A2922" t="s">
        <v>847</v>
      </c>
      <c r="B2922" t="s">
        <v>680</v>
      </c>
      <c r="C2922" s="83">
        <v>46098</v>
      </c>
      <c r="D2922" t="s">
        <v>687</v>
      </c>
      <c r="E2922" t="s">
        <v>717</v>
      </c>
      <c r="F2922">
        <v>5</v>
      </c>
      <c r="G2922">
        <v>4.15855</v>
      </c>
    </row>
    <row r="2923" spans="1:7" x14ac:dyDescent="0.35">
      <c r="A2923" t="s">
        <v>847</v>
      </c>
      <c r="B2923" t="s">
        <v>680</v>
      </c>
      <c r="C2923" s="83">
        <v>46098</v>
      </c>
      <c r="D2923" t="s">
        <v>687</v>
      </c>
      <c r="E2923" t="s">
        <v>718</v>
      </c>
      <c r="F2923">
        <v>3</v>
      </c>
      <c r="G2923">
        <v>0.83393333333333297</v>
      </c>
    </row>
    <row r="2924" spans="1:7" x14ac:dyDescent="0.35">
      <c r="A2924" t="s">
        <v>847</v>
      </c>
      <c r="B2924" t="s">
        <v>680</v>
      </c>
      <c r="C2924" s="83">
        <v>46098</v>
      </c>
      <c r="D2924" t="s">
        <v>687</v>
      </c>
      <c r="E2924" t="s">
        <v>754</v>
      </c>
      <c r="F2924">
        <v>2</v>
      </c>
      <c r="G2924">
        <v>1.49931666666667</v>
      </c>
    </row>
    <row r="2925" spans="1:7" x14ac:dyDescent="0.35">
      <c r="A2925" t="s">
        <v>847</v>
      </c>
      <c r="B2925" t="s">
        <v>680</v>
      </c>
      <c r="C2925" s="83">
        <v>46098</v>
      </c>
      <c r="D2925" t="s">
        <v>688</v>
      </c>
      <c r="E2925" t="s">
        <v>311</v>
      </c>
      <c r="F2925">
        <v>13</v>
      </c>
      <c r="G2925">
        <v>8.0017166666666704</v>
      </c>
    </row>
    <row r="2926" spans="1:7" x14ac:dyDescent="0.35">
      <c r="A2926" t="s">
        <v>847</v>
      </c>
      <c r="B2926" t="s">
        <v>680</v>
      </c>
      <c r="C2926" s="83">
        <v>46098</v>
      </c>
      <c r="D2926" t="s">
        <v>688</v>
      </c>
      <c r="E2926" t="s">
        <v>316</v>
      </c>
      <c r="F2926">
        <v>12</v>
      </c>
      <c r="G2926">
        <v>6.0021833333333303</v>
      </c>
    </row>
    <row r="2927" spans="1:7" x14ac:dyDescent="0.35">
      <c r="A2927" t="s">
        <v>847</v>
      </c>
      <c r="B2927" t="s">
        <v>680</v>
      </c>
      <c r="C2927" s="83">
        <v>46098</v>
      </c>
      <c r="D2927" t="s">
        <v>688</v>
      </c>
      <c r="E2927" t="s">
        <v>338</v>
      </c>
      <c r="F2927">
        <v>4</v>
      </c>
      <c r="G2927">
        <v>0.83279999999999998</v>
      </c>
    </row>
    <row r="2928" spans="1:7" x14ac:dyDescent="0.35">
      <c r="A2928" t="s">
        <v>847</v>
      </c>
      <c r="B2928" t="s">
        <v>680</v>
      </c>
      <c r="C2928" s="83">
        <v>46098</v>
      </c>
      <c r="D2928" t="s">
        <v>690</v>
      </c>
      <c r="E2928" t="s">
        <v>312</v>
      </c>
      <c r="F2928">
        <v>13</v>
      </c>
      <c r="G2928">
        <v>5.15811666666667</v>
      </c>
    </row>
    <row r="2929" spans="1:7" x14ac:dyDescent="0.35">
      <c r="A2929" t="s">
        <v>847</v>
      </c>
      <c r="B2929" t="s">
        <v>680</v>
      </c>
      <c r="C2929" s="83">
        <v>46098</v>
      </c>
      <c r="D2929" t="s">
        <v>690</v>
      </c>
      <c r="E2929" t="s">
        <v>720</v>
      </c>
      <c r="F2929">
        <v>9</v>
      </c>
      <c r="G2929">
        <v>4.1594499999999996</v>
      </c>
    </row>
    <row r="2930" spans="1:7" x14ac:dyDescent="0.35">
      <c r="A2930" t="s">
        <v>847</v>
      </c>
      <c r="B2930" t="s">
        <v>680</v>
      </c>
      <c r="C2930" s="83">
        <v>46098</v>
      </c>
      <c r="D2930" t="s">
        <v>690</v>
      </c>
      <c r="E2930" t="s">
        <v>338</v>
      </c>
      <c r="F2930">
        <v>8</v>
      </c>
      <c r="G2930">
        <v>9.4841833333333305</v>
      </c>
    </row>
    <row r="2931" spans="1:7" x14ac:dyDescent="0.35">
      <c r="A2931" t="s">
        <v>847</v>
      </c>
      <c r="B2931" t="s">
        <v>680</v>
      </c>
      <c r="C2931" s="83">
        <v>46098</v>
      </c>
      <c r="D2931" t="s">
        <v>685</v>
      </c>
      <c r="E2931" t="s">
        <v>311</v>
      </c>
      <c r="F2931">
        <v>7</v>
      </c>
      <c r="G2931">
        <v>6.9858333333333302</v>
      </c>
    </row>
    <row r="2932" spans="1:7" x14ac:dyDescent="0.35">
      <c r="A2932" t="s">
        <v>847</v>
      </c>
      <c r="B2932" t="s">
        <v>680</v>
      </c>
      <c r="C2932" s="83">
        <v>46098</v>
      </c>
      <c r="D2932" t="s">
        <v>685</v>
      </c>
      <c r="E2932" t="s">
        <v>724</v>
      </c>
      <c r="F2932">
        <v>4</v>
      </c>
      <c r="G2932">
        <v>0.82586666666666697</v>
      </c>
    </row>
    <row r="2933" spans="1:7" x14ac:dyDescent="0.35">
      <c r="A2933" t="s">
        <v>847</v>
      </c>
      <c r="B2933" t="s">
        <v>680</v>
      </c>
      <c r="C2933" s="83">
        <v>46098</v>
      </c>
      <c r="D2933" t="s">
        <v>685</v>
      </c>
      <c r="E2933" t="s">
        <v>720</v>
      </c>
      <c r="F2933">
        <v>4</v>
      </c>
      <c r="G2933">
        <v>2.5011333333333301</v>
      </c>
    </row>
    <row r="2934" spans="1:7" x14ac:dyDescent="0.35">
      <c r="A2934" t="s">
        <v>847</v>
      </c>
      <c r="B2934" t="s">
        <v>680</v>
      </c>
      <c r="C2934" s="83">
        <v>46099</v>
      </c>
      <c r="D2934" t="s">
        <v>681</v>
      </c>
      <c r="E2934" t="s">
        <v>298</v>
      </c>
      <c r="F2934">
        <v>22</v>
      </c>
      <c r="G2934">
        <v>11.692116666666699</v>
      </c>
    </row>
    <row r="2935" spans="1:7" x14ac:dyDescent="0.35">
      <c r="A2935" t="s">
        <v>847</v>
      </c>
      <c r="B2935" t="s">
        <v>680</v>
      </c>
      <c r="C2935" s="83">
        <v>46099</v>
      </c>
      <c r="D2935" t="s">
        <v>681</v>
      </c>
      <c r="E2935" t="s">
        <v>728</v>
      </c>
      <c r="F2935">
        <v>11</v>
      </c>
      <c r="G2935">
        <v>8.5085499999999996</v>
      </c>
    </row>
    <row r="2936" spans="1:7" x14ac:dyDescent="0.35">
      <c r="A2936" t="s">
        <v>847</v>
      </c>
      <c r="B2936" t="s">
        <v>680</v>
      </c>
      <c r="C2936" s="83">
        <v>46099</v>
      </c>
      <c r="D2936" t="s">
        <v>681</v>
      </c>
      <c r="E2936" t="s">
        <v>334</v>
      </c>
      <c r="F2936">
        <v>8</v>
      </c>
      <c r="G2936">
        <v>38.5118333333333</v>
      </c>
    </row>
    <row r="2937" spans="1:7" x14ac:dyDescent="0.35">
      <c r="A2937" t="s">
        <v>847</v>
      </c>
      <c r="B2937" t="s">
        <v>680</v>
      </c>
      <c r="C2937" s="83">
        <v>46099</v>
      </c>
      <c r="D2937" t="s">
        <v>683</v>
      </c>
      <c r="E2937" t="s">
        <v>727</v>
      </c>
      <c r="F2937">
        <v>18</v>
      </c>
      <c r="G2937">
        <v>7.9922000000000004</v>
      </c>
    </row>
    <row r="2938" spans="1:7" x14ac:dyDescent="0.35">
      <c r="A2938" t="s">
        <v>847</v>
      </c>
      <c r="B2938" t="s">
        <v>680</v>
      </c>
      <c r="C2938" s="83">
        <v>46099</v>
      </c>
      <c r="D2938" t="s">
        <v>683</v>
      </c>
      <c r="E2938" t="s">
        <v>298</v>
      </c>
      <c r="F2938">
        <v>11</v>
      </c>
      <c r="G2938">
        <v>12.008416666666699</v>
      </c>
    </row>
    <row r="2939" spans="1:7" x14ac:dyDescent="0.35">
      <c r="A2939" t="s">
        <v>847</v>
      </c>
      <c r="B2939" t="s">
        <v>680</v>
      </c>
      <c r="C2939" s="83">
        <v>46099</v>
      </c>
      <c r="D2939" t="s">
        <v>683</v>
      </c>
      <c r="E2939" t="s">
        <v>334</v>
      </c>
      <c r="F2939">
        <v>9</v>
      </c>
      <c r="G2939">
        <v>5.3360000000000003</v>
      </c>
    </row>
    <row r="2940" spans="1:7" x14ac:dyDescent="0.35">
      <c r="A2940" t="s">
        <v>847</v>
      </c>
      <c r="B2940" t="s">
        <v>680</v>
      </c>
      <c r="C2940" s="83">
        <v>46099</v>
      </c>
      <c r="D2940" t="s">
        <v>689</v>
      </c>
      <c r="E2940" t="s">
        <v>298</v>
      </c>
      <c r="F2940">
        <v>14</v>
      </c>
      <c r="G2940">
        <v>11.685449999999999</v>
      </c>
    </row>
    <row r="2941" spans="1:7" x14ac:dyDescent="0.35">
      <c r="A2941" t="s">
        <v>847</v>
      </c>
      <c r="B2941" t="s">
        <v>680</v>
      </c>
      <c r="C2941" s="83">
        <v>46099</v>
      </c>
      <c r="D2941" t="s">
        <v>689</v>
      </c>
      <c r="E2941" t="s">
        <v>300</v>
      </c>
      <c r="F2941">
        <v>8</v>
      </c>
      <c r="G2941">
        <v>6.1700999999999997</v>
      </c>
    </row>
    <row r="2942" spans="1:7" x14ac:dyDescent="0.35">
      <c r="A2942" t="s">
        <v>847</v>
      </c>
      <c r="B2942" t="s">
        <v>680</v>
      </c>
      <c r="C2942" s="83">
        <v>46099</v>
      </c>
      <c r="D2942" t="s">
        <v>689</v>
      </c>
      <c r="E2942" t="s">
        <v>296</v>
      </c>
      <c r="F2942">
        <v>7</v>
      </c>
      <c r="G2942">
        <v>4.8364000000000003</v>
      </c>
    </row>
    <row r="2943" spans="1:7" x14ac:dyDescent="0.35">
      <c r="A2943" t="s">
        <v>847</v>
      </c>
      <c r="B2943" t="s">
        <v>680</v>
      </c>
      <c r="C2943" s="83">
        <v>46099</v>
      </c>
      <c r="D2943" t="s">
        <v>684</v>
      </c>
      <c r="E2943" t="s">
        <v>334</v>
      </c>
      <c r="F2943">
        <v>10</v>
      </c>
      <c r="G2943">
        <v>4.1587666666666703</v>
      </c>
    </row>
    <row r="2944" spans="1:7" x14ac:dyDescent="0.35">
      <c r="A2944" t="s">
        <v>847</v>
      </c>
      <c r="B2944" t="s">
        <v>680</v>
      </c>
      <c r="C2944" s="83">
        <v>46099</v>
      </c>
      <c r="D2944" t="s">
        <v>684</v>
      </c>
      <c r="E2944" t="s">
        <v>727</v>
      </c>
      <c r="F2944">
        <v>4</v>
      </c>
      <c r="G2944">
        <v>2.49335</v>
      </c>
    </row>
    <row r="2945" spans="1:7" x14ac:dyDescent="0.35">
      <c r="A2945" t="s">
        <v>847</v>
      </c>
      <c r="B2945" t="s">
        <v>680</v>
      </c>
      <c r="C2945" s="83">
        <v>46099</v>
      </c>
      <c r="D2945" t="s">
        <v>684</v>
      </c>
      <c r="E2945" t="s">
        <v>297</v>
      </c>
      <c r="F2945">
        <v>3</v>
      </c>
      <c r="G2945">
        <v>1.3341333333333301</v>
      </c>
    </row>
    <row r="2946" spans="1:7" x14ac:dyDescent="0.35">
      <c r="A2946" t="s">
        <v>847</v>
      </c>
      <c r="B2946" t="s">
        <v>680</v>
      </c>
      <c r="C2946" s="83">
        <v>46099</v>
      </c>
      <c r="D2946" t="s">
        <v>687</v>
      </c>
      <c r="E2946" t="s">
        <v>717</v>
      </c>
      <c r="F2946">
        <v>7</v>
      </c>
      <c r="G2946">
        <v>1.6677500000000001</v>
      </c>
    </row>
    <row r="2947" spans="1:7" x14ac:dyDescent="0.35">
      <c r="A2947" t="s">
        <v>847</v>
      </c>
      <c r="B2947" t="s">
        <v>680</v>
      </c>
      <c r="C2947" s="83">
        <v>46099</v>
      </c>
      <c r="D2947" t="s">
        <v>687</v>
      </c>
      <c r="E2947" t="s">
        <v>718</v>
      </c>
      <c r="F2947">
        <v>5</v>
      </c>
      <c r="G2947">
        <v>2.8309000000000002</v>
      </c>
    </row>
    <row r="2948" spans="1:7" x14ac:dyDescent="0.35">
      <c r="A2948" t="s">
        <v>847</v>
      </c>
      <c r="B2948" t="s">
        <v>680</v>
      </c>
      <c r="C2948" s="83">
        <v>46099</v>
      </c>
      <c r="D2948" t="s">
        <v>687</v>
      </c>
      <c r="E2948" t="s">
        <v>726</v>
      </c>
      <c r="F2948">
        <v>3</v>
      </c>
      <c r="G2948">
        <v>4.4941500000000003</v>
      </c>
    </row>
    <row r="2949" spans="1:7" x14ac:dyDescent="0.35">
      <c r="A2949" t="s">
        <v>847</v>
      </c>
      <c r="B2949" t="s">
        <v>680</v>
      </c>
      <c r="C2949" s="83">
        <v>46099</v>
      </c>
      <c r="D2949" t="s">
        <v>688</v>
      </c>
      <c r="E2949" t="s">
        <v>311</v>
      </c>
      <c r="F2949">
        <v>15</v>
      </c>
      <c r="G2949">
        <v>8.0089500000000005</v>
      </c>
    </row>
    <row r="2950" spans="1:7" x14ac:dyDescent="0.35">
      <c r="A2950" t="s">
        <v>847</v>
      </c>
      <c r="B2950" t="s">
        <v>680</v>
      </c>
      <c r="C2950" s="83">
        <v>46099</v>
      </c>
      <c r="D2950" t="s">
        <v>688</v>
      </c>
      <c r="E2950" t="s">
        <v>316</v>
      </c>
      <c r="F2950">
        <v>7</v>
      </c>
      <c r="G2950">
        <v>5.4890499999999998</v>
      </c>
    </row>
    <row r="2951" spans="1:7" x14ac:dyDescent="0.35">
      <c r="A2951" t="s">
        <v>847</v>
      </c>
      <c r="B2951" t="s">
        <v>680</v>
      </c>
      <c r="C2951" s="83">
        <v>46099</v>
      </c>
      <c r="D2951" t="s">
        <v>688</v>
      </c>
      <c r="E2951" t="s">
        <v>732</v>
      </c>
      <c r="F2951">
        <v>4</v>
      </c>
      <c r="G2951">
        <v>5.4973666666666698</v>
      </c>
    </row>
    <row r="2952" spans="1:7" x14ac:dyDescent="0.35">
      <c r="A2952" t="s">
        <v>847</v>
      </c>
      <c r="B2952" t="s">
        <v>680</v>
      </c>
      <c r="C2952" s="83">
        <v>46099</v>
      </c>
      <c r="D2952" t="s">
        <v>690</v>
      </c>
      <c r="E2952" t="s">
        <v>311</v>
      </c>
      <c r="F2952">
        <v>12</v>
      </c>
      <c r="G2952">
        <v>414.37821666666702</v>
      </c>
    </row>
    <row r="2953" spans="1:7" x14ac:dyDescent="0.35">
      <c r="A2953" t="s">
        <v>847</v>
      </c>
      <c r="B2953" t="s">
        <v>680</v>
      </c>
      <c r="C2953" s="83">
        <v>46099</v>
      </c>
      <c r="D2953" t="s">
        <v>690</v>
      </c>
      <c r="E2953" t="s">
        <v>312</v>
      </c>
      <c r="F2953">
        <v>6</v>
      </c>
      <c r="G2953">
        <v>2.99976666666667</v>
      </c>
    </row>
    <row r="2954" spans="1:7" x14ac:dyDescent="0.35">
      <c r="A2954" t="s">
        <v>847</v>
      </c>
      <c r="B2954" t="s">
        <v>680</v>
      </c>
      <c r="C2954" s="83">
        <v>46099</v>
      </c>
      <c r="D2954" t="s">
        <v>690</v>
      </c>
      <c r="E2954" t="s">
        <v>338</v>
      </c>
      <c r="F2954">
        <v>3</v>
      </c>
      <c r="G2954">
        <v>0.84084999999999999</v>
      </c>
    </row>
    <row r="2955" spans="1:7" x14ac:dyDescent="0.35">
      <c r="A2955" t="s">
        <v>847</v>
      </c>
      <c r="B2955" t="s">
        <v>680</v>
      </c>
      <c r="C2955" s="83">
        <v>46099</v>
      </c>
      <c r="D2955" t="s">
        <v>685</v>
      </c>
      <c r="E2955" t="s">
        <v>720</v>
      </c>
      <c r="F2955">
        <v>10</v>
      </c>
      <c r="G2955">
        <v>7.1699666666666699</v>
      </c>
    </row>
    <row r="2956" spans="1:7" x14ac:dyDescent="0.35">
      <c r="A2956" t="s">
        <v>847</v>
      </c>
      <c r="B2956" t="s">
        <v>680</v>
      </c>
      <c r="C2956" s="83">
        <v>46099</v>
      </c>
      <c r="D2956" t="s">
        <v>685</v>
      </c>
      <c r="E2956" t="s">
        <v>311</v>
      </c>
      <c r="F2956">
        <v>9</v>
      </c>
      <c r="G2956">
        <v>8.1660666666666692</v>
      </c>
    </row>
    <row r="2957" spans="1:7" x14ac:dyDescent="0.35">
      <c r="A2957" t="s">
        <v>847</v>
      </c>
      <c r="B2957" t="s">
        <v>680</v>
      </c>
      <c r="C2957" s="83">
        <v>46099</v>
      </c>
      <c r="D2957" t="s">
        <v>685</v>
      </c>
      <c r="E2957" t="s">
        <v>312</v>
      </c>
      <c r="F2957">
        <v>6</v>
      </c>
      <c r="G2957">
        <v>7.50688333333333</v>
      </c>
    </row>
    <row r="2958" spans="1:7" x14ac:dyDescent="0.35">
      <c r="A2958" t="s">
        <v>847</v>
      </c>
      <c r="B2958" t="s">
        <v>680</v>
      </c>
      <c r="C2958" s="83">
        <v>46100</v>
      </c>
      <c r="D2958" t="s">
        <v>681</v>
      </c>
      <c r="E2958" t="s">
        <v>298</v>
      </c>
      <c r="F2958">
        <v>22</v>
      </c>
      <c r="G2958">
        <v>21.686666666666699</v>
      </c>
    </row>
    <row r="2959" spans="1:7" x14ac:dyDescent="0.35">
      <c r="A2959" t="s">
        <v>847</v>
      </c>
      <c r="B2959" t="s">
        <v>680</v>
      </c>
      <c r="C2959" s="83">
        <v>46100</v>
      </c>
      <c r="D2959" t="s">
        <v>681</v>
      </c>
      <c r="E2959" t="s">
        <v>297</v>
      </c>
      <c r="F2959">
        <v>14</v>
      </c>
      <c r="G2959">
        <v>4.3481833333333304</v>
      </c>
    </row>
    <row r="2960" spans="1:7" x14ac:dyDescent="0.35">
      <c r="A2960" t="s">
        <v>847</v>
      </c>
      <c r="B2960" t="s">
        <v>680</v>
      </c>
      <c r="C2960" s="83">
        <v>46100</v>
      </c>
      <c r="D2960" t="s">
        <v>681</v>
      </c>
      <c r="E2960" t="s">
        <v>296</v>
      </c>
      <c r="F2960">
        <v>10</v>
      </c>
      <c r="G2960">
        <v>2.9779166666666699</v>
      </c>
    </row>
    <row r="2961" spans="1:7" x14ac:dyDescent="0.35">
      <c r="A2961" t="s">
        <v>847</v>
      </c>
      <c r="B2961" t="s">
        <v>680</v>
      </c>
      <c r="C2961" s="83">
        <v>46100</v>
      </c>
      <c r="D2961" t="s">
        <v>683</v>
      </c>
      <c r="E2961" t="s">
        <v>298</v>
      </c>
      <c r="F2961">
        <v>21</v>
      </c>
      <c r="G2961">
        <v>31.357050000000001</v>
      </c>
    </row>
    <row r="2962" spans="1:7" x14ac:dyDescent="0.35">
      <c r="A2962" t="s">
        <v>847</v>
      </c>
      <c r="B2962" t="s">
        <v>680</v>
      </c>
      <c r="C2962" s="83">
        <v>46100</v>
      </c>
      <c r="D2962" t="s">
        <v>683</v>
      </c>
      <c r="E2962" t="s">
        <v>727</v>
      </c>
      <c r="F2962">
        <v>17</v>
      </c>
      <c r="G2962">
        <v>33.494183333333297</v>
      </c>
    </row>
    <row r="2963" spans="1:7" x14ac:dyDescent="0.35">
      <c r="A2963" t="s">
        <v>847</v>
      </c>
      <c r="B2963" t="s">
        <v>680</v>
      </c>
      <c r="C2963" s="83">
        <v>46100</v>
      </c>
      <c r="D2963" t="s">
        <v>683</v>
      </c>
      <c r="E2963" t="s">
        <v>334</v>
      </c>
      <c r="F2963">
        <v>8</v>
      </c>
      <c r="G2963">
        <v>35.181733333333298</v>
      </c>
    </row>
    <row r="2964" spans="1:7" x14ac:dyDescent="0.35">
      <c r="A2964" t="s">
        <v>847</v>
      </c>
      <c r="B2964" t="s">
        <v>680</v>
      </c>
      <c r="C2964" s="83">
        <v>46100</v>
      </c>
      <c r="D2964" t="s">
        <v>689</v>
      </c>
      <c r="E2964" t="s">
        <v>298</v>
      </c>
      <c r="F2964">
        <v>23</v>
      </c>
      <c r="G2964">
        <v>19.6376666666667</v>
      </c>
    </row>
    <row r="2965" spans="1:7" x14ac:dyDescent="0.35">
      <c r="A2965" t="s">
        <v>847</v>
      </c>
      <c r="B2965" t="s">
        <v>680</v>
      </c>
      <c r="C2965" s="83">
        <v>46100</v>
      </c>
      <c r="D2965" t="s">
        <v>689</v>
      </c>
      <c r="E2965" t="s">
        <v>300</v>
      </c>
      <c r="F2965">
        <v>10</v>
      </c>
      <c r="G2965">
        <v>4.3331499999999998</v>
      </c>
    </row>
    <row r="2966" spans="1:7" x14ac:dyDescent="0.35">
      <c r="A2966" t="s">
        <v>847</v>
      </c>
      <c r="B2966" t="s">
        <v>680</v>
      </c>
      <c r="C2966" s="83">
        <v>46100</v>
      </c>
      <c r="D2966" t="s">
        <v>689</v>
      </c>
      <c r="E2966" t="s">
        <v>297</v>
      </c>
      <c r="F2966">
        <v>6</v>
      </c>
      <c r="G2966">
        <v>4.5090500000000002</v>
      </c>
    </row>
    <row r="2967" spans="1:7" x14ac:dyDescent="0.35">
      <c r="A2967" t="s">
        <v>847</v>
      </c>
      <c r="B2967" t="s">
        <v>680</v>
      </c>
      <c r="C2967" s="83">
        <v>46100</v>
      </c>
      <c r="D2967" t="s">
        <v>684</v>
      </c>
      <c r="E2967" t="s">
        <v>298</v>
      </c>
      <c r="F2967">
        <v>5</v>
      </c>
      <c r="G2967">
        <v>5.66841666666667</v>
      </c>
    </row>
    <row r="2968" spans="1:7" x14ac:dyDescent="0.35">
      <c r="A2968" t="s">
        <v>847</v>
      </c>
      <c r="B2968" t="s">
        <v>680</v>
      </c>
      <c r="C2968" s="83">
        <v>46100</v>
      </c>
      <c r="D2968" t="s">
        <v>684</v>
      </c>
      <c r="E2968" t="s">
        <v>300</v>
      </c>
      <c r="F2968">
        <v>3</v>
      </c>
      <c r="G2968">
        <v>1.1738166666666701</v>
      </c>
    </row>
    <row r="2969" spans="1:7" x14ac:dyDescent="0.35">
      <c r="A2969" t="s">
        <v>847</v>
      </c>
      <c r="B2969" t="s">
        <v>680</v>
      </c>
      <c r="C2969" s="83">
        <v>46100</v>
      </c>
      <c r="D2969" t="s">
        <v>684</v>
      </c>
      <c r="E2969" t="s">
        <v>297</v>
      </c>
      <c r="F2969">
        <v>3</v>
      </c>
      <c r="G2969">
        <v>0.66705000000000003</v>
      </c>
    </row>
    <row r="2970" spans="1:7" x14ac:dyDescent="0.35">
      <c r="A2970" t="s">
        <v>847</v>
      </c>
      <c r="B2970" t="s">
        <v>680</v>
      </c>
      <c r="C2970" s="83">
        <v>46100</v>
      </c>
      <c r="D2970" t="s">
        <v>687</v>
      </c>
      <c r="E2970" t="s">
        <v>717</v>
      </c>
      <c r="F2970">
        <v>16</v>
      </c>
      <c r="G2970">
        <v>17.6789666666667</v>
      </c>
    </row>
    <row r="2971" spans="1:7" x14ac:dyDescent="0.35">
      <c r="A2971" t="s">
        <v>847</v>
      </c>
      <c r="B2971" t="s">
        <v>680</v>
      </c>
      <c r="C2971" s="83">
        <v>46100</v>
      </c>
      <c r="D2971" t="s">
        <v>687</v>
      </c>
      <c r="E2971" t="s">
        <v>718</v>
      </c>
      <c r="F2971">
        <v>3</v>
      </c>
      <c r="G2971">
        <v>1.67316666666667</v>
      </c>
    </row>
    <row r="2972" spans="1:7" x14ac:dyDescent="0.35">
      <c r="A2972" t="s">
        <v>847</v>
      </c>
      <c r="B2972" t="s">
        <v>680</v>
      </c>
      <c r="C2972" s="83">
        <v>46100</v>
      </c>
      <c r="D2972" t="s">
        <v>687</v>
      </c>
      <c r="E2972" t="s">
        <v>745</v>
      </c>
      <c r="F2972">
        <v>3</v>
      </c>
      <c r="G2972">
        <v>1.34646666666667</v>
      </c>
    </row>
    <row r="2973" spans="1:7" x14ac:dyDescent="0.35">
      <c r="A2973" t="s">
        <v>847</v>
      </c>
      <c r="B2973" t="s">
        <v>680</v>
      </c>
      <c r="C2973" s="83">
        <v>46100</v>
      </c>
      <c r="D2973" t="s">
        <v>688</v>
      </c>
      <c r="E2973" t="s">
        <v>338</v>
      </c>
      <c r="F2973">
        <v>9</v>
      </c>
      <c r="G2973">
        <v>5.6663333333333297</v>
      </c>
    </row>
    <row r="2974" spans="1:7" x14ac:dyDescent="0.35">
      <c r="A2974" t="s">
        <v>847</v>
      </c>
      <c r="B2974" t="s">
        <v>680</v>
      </c>
      <c r="C2974" s="83">
        <v>46100</v>
      </c>
      <c r="D2974" t="s">
        <v>688</v>
      </c>
      <c r="E2974" t="s">
        <v>311</v>
      </c>
      <c r="F2974">
        <v>8</v>
      </c>
      <c r="G2974">
        <v>6.00878333333333</v>
      </c>
    </row>
    <row r="2975" spans="1:7" x14ac:dyDescent="0.35">
      <c r="A2975" t="s">
        <v>847</v>
      </c>
      <c r="B2975" t="s">
        <v>680</v>
      </c>
      <c r="C2975" s="83">
        <v>46100</v>
      </c>
      <c r="D2975" t="s">
        <v>688</v>
      </c>
      <c r="E2975" t="s">
        <v>316</v>
      </c>
      <c r="F2975">
        <v>6</v>
      </c>
      <c r="G2975">
        <v>1.831</v>
      </c>
    </row>
    <row r="2976" spans="1:7" x14ac:dyDescent="0.35">
      <c r="A2976" t="s">
        <v>847</v>
      </c>
      <c r="B2976" t="s">
        <v>680</v>
      </c>
      <c r="C2976" s="83">
        <v>46100</v>
      </c>
      <c r="D2976" t="s">
        <v>690</v>
      </c>
      <c r="E2976" t="s">
        <v>312</v>
      </c>
      <c r="F2976">
        <v>22</v>
      </c>
      <c r="G2976">
        <v>18.374966666666701</v>
      </c>
    </row>
    <row r="2977" spans="1:7" x14ac:dyDescent="0.35">
      <c r="A2977" t="s">
        <v>847</v>
      </c>
      <c r="B2977" t="s">
        <v>680</v>
      </c>
      <c r="C2977" s="83">
        <v>46100</v>
      </c>
      <c r="D2977" t="s">
        <v>690</v>
      </c>
      <c r="E2977" t="s">
        <v>338</v>
      </c>
      <c r="F2977">
        <v>9</v>
      </c>
      <c r="G2977">
        <v>4.6671666666666702</v>
      </c>
    </row>
    <row r="2978" spans="1:7" x14ac:dyDescent="0.35">
      <c r="A2978" t="s">
        <v>847</v>
      </c>
      <c r="B2978" t="s">
        <v>680</v>
      </c>
      <c r="C2978" s="83">
        <v>46100</v>
      </c>
      <c r="D2978" t="s">
        <v>690</v>
      </c>
      <c r="E2978" t="s">
        <v>720</v>
      </c>
      <c r="F2978">
        <v>6</v>
      </c>
      <c r="G2978">
        <v>3.3258999999999999</v>
      </c>
    </row>
    <row r="2979" spans="1:7" x14ac:dyDescent="0.35">
      <c r="A2979" t="s">
        <v>847</v>
      </c>
      <c r="B2979" t="s">
        <v>680</v>
      </c>
      <c r="C2979" s="83">
        <v>46100</v>
      </c>
      <c r="D2979" t="s">
        <v>685</v>
      </c>
      <c r="E2979" t="s">
        <v>311</v>
      </c>
      <c r="F2979">
        <v>13</v>
      </c>
      <c r="G2979">
        <v>11.9958666666667</v>
      </c>
    </row>
    <row r="2980" spans="1:7" x14ac:dyDescent="0.35">
      <c r="A2980" t="s">
        <v>847</v>
      </c>
      <c r="B2980" t="s">
        <v>680</v>
      </c>
      <c r="C2980" s="83">
        <v>46100</v>
      </c>
      <c r="D2980" t="s">
        <v>685</v>
      </c>
      <c r="E2980" t="s">
        <v>739</v>
      </c>
      <c r="F2980">
        <v>3</v>
      </c>
      <c r="G2980">
        <v>5.4935166666666699</v>
      </c>
    </row>
    <row r="2981" spans="1:7" x14ac:dyDescent="0.35">
      <c r="A2981" t="s">
        <v>847</v>
      </c>
      <c r="B2981" t="s">
        <v>680</v>
      </c>
      <c r="C2981" s="83">
        <v>46100</v>
      </c>
      <c r="D2981" t="s">
        <v>685</v>
      </c>
      <c r="E2981" t="s">
        <v>318</v>
      </c>
      <c r="F2981">
        <v>2</v>
      </c>
      <c r="G2981">
        <v>0.16666666666666699</v>
      </c>
    </row>
    <row r="2982" spans="1:7" x14ac:dyDescent="0.35">
      <c r="A2982" t="s">
        <v>847</v>
      </c>
      <c r="B2982" t="s">
        <v>680</v>
      </c>
      <c r="C2982" s="83">
        <v>46101</v>
      </c>
      <c r="D2982" t="s">
        <v>681</v>
      </c>
      <c r="E2982" t="s">
        <v>298</v>
      </c>
      <c r="F2982">
        <v>13</v>
      </c>
      <c r="G2982">
        <v>51.344533333333302</v>
      </c>
    </row>
    <row r="2983" spans="1:7" x14ac:dyDescent="0.35">
      <c r="A2983" t="s">
        <v>847</v>
      </c>
      <c r="B2983" t="s">
        <v>680</v>
      </c>
      <c r="C2983" s="83">
        <v>46101</v>
      </c>
      <c r="D2983" t="s">
        <v>681</v>
      </c>
      <c r="E2983" t="s">
        <v>296</v>
      </c>
      <c r="F2983">
        <v>13</v>
      </c>
      <c r="G2983">
        <v>6.84716666666667</v>
      </c>
    </row>
    <row r="2984" spans="1:7" x14ac:dyDescent="0.35">
      <c r="A2984" t="s">
        <v>847</v>
      </c>
      <c r="B2984" t="s">
        <v>680</v>
      </c>
      <c r="C2984" s="83">
        <v>46101</v>
      </c>
      <c r="D2984" t="s">
        <v>681</v>
      </c>
      <c r="E2984" t="s">
        <v>297</v>
      </c>
      <c r="F2984">
        <v>11</v>
      </c>
      <c r="G2984">
        <v>7.4933333333333296</v>
      </c>
    </row>
    <row r="2985" spans="1:7" x14ac:dyDescent="0.35">
      <c r="A2985" t="s">
        <v>847</v>
      </c>
      <c r="B2985" t="s">
        <v>680</v>
      </c>
      <c r="C2985" s="83">
        <v>46101</v>
      </c>
      <c r="D2985" t="s">
        <v>683</v>
      </c>
      <c r="E2985" t="s">
        <v>727</v>
      </c>
      <c r="F2985">
        <v>14</v>
      </c>
      <c r="G2985">
        <v>5.5155166666666702</v>
      </c>
    </row>
    <row r="2986" spans="1:7" x14ac:dyDescent="0.35">
      <c r="A2986" t="s">
        <v>847</v>
      </c>
      <c r="B2986" t="s">
        <v>680</v>
      </c>
      <c r="C2986" s="83">
        <v>46101</v>
      </c>
      <c r="D2986" t="s">
        <v>683</v>
      </c>
      <c r="E2986" t="s">
        <v>334</v>
      </c>
      <c r="F2986">
        <v>13</v>
      </c>
      <c r="G2986">
        <v>18.158566666666701</v>
      </c>
    </row>
    <row r="2987" spans="1:7" x14ac:dyDescent="0.35">
      <c r="A2987" t="s">
        <v>847</v>
      </c>
      <c r="B2987" t="s">
        <v>680</v>
      </c>
      <c r="C2987" s="83">
        <v>46101</v>
      </c>
      <c r="D2987" t="s">
        <v>683</v>
      </c>
      <c r="E2987" t="s">
        <v>298</v>
      </c>
      <c r="F2987">
        <v>10</v>
      </c>
      <c r="G2987">
        <v>18.996033333333301</v>
      </c>
    </row>
    <row r="2988" spans="1:7" x14ac:dyDescent="0.35">
      <c r="A2988" t="s">
        <v>847</v>
      </c>
      <c r="B2988" t="s">
        <v>680</v>
      </c>
      <c r="C2988" s="83">
        <v>46101</v>
      </c>
      <c r="D2988" t="s">
        <v>689</v>
      </c>
      <c r="E2988" t="s">
        <v>298</v>
      </c>
      <c r="F2988">
        <v>20</v>
      </c>
      <c r="G2988">
        <v>14.4843333333333</v>
      </c>
    </row>
    <row r="2989" spans="1:7" x14ac:dyDescent="0.35">
      <c r="A2989" t="s">
        <v>847</v>
      </c>
      <c r="B2989" t="s">
        <v>680</v>
      </c>
      <c r="C2989" s="83">
        <v>46101</v>
      </c>
      <c r="D2989" t="s">
        <v>689</v>
      </c>
      <c r="E2989" t="s">
        <v>730</v>
      </c>
      <c r="F2989">
        <v>10</v>
      </c>
      <c r="G2989">
        <v>3.1727666666666701</v>
      </c>
    </row>
    <row r="2990" spans="1:7" x14ac:dyDescent="0.35">
      <c r="A2990" t="s">
        <v>847</v>
      </c>
      <c r="B2990" t="s">
        <v>680</v>
      </c>
      <c r="C2990" s="83">
        <v>46101</v>
      </c>
      <c r="D2990" t="s">
        <v>689</v>
      </c>
      <c r="E2990" t="s">
        <v>727</v>
      </c>
      <c r="F2990">
        <v>8</v>
      </c>
      <c r="G2990">
        <v>11.842116666666699</v>
      </c>
    </row>
    <row r="2991" spans="1:7" x14ac:dyDescent="0.35">
      <c r="A2991" t="s">
        <v>847</v>
      </c>
      <c r="B2991" t="s">
        <v>680</v>
      </c>
      <c r="C2991" s="83">
        <v>46101</v>
      </c>
      <c r="D2991" t="s">
        <v>684</v>
      </c>
      <c r="E2991" t="s">
        <v>297</v>
      </c>
      <c r="F2991">
        <v>5</v>
      </c>
      <c r="G2991">
        <v>3.6686333333333301</v>
      </c>
    </row>
    <row r="2992" spans="1:7" x14ac:dyDescent="0.35">
      <c r="A2992" t="s">
        <v>847</v>
      </c>
      <c r="B2992" t="s">
        <v>680</v>
      </c>
      <c r="C2992" s="83">
        <v>46101</v>
      </c>
      <c r="D2992" t="s">
        <v>684</v>
      </c>
      <c r="E2992" t="s">
        <v>298</v>
      </c>
      <c r="F2992">
        <v>4</v>
      </c>
      <c r="G2992">
        <v>3.4991333333333299</v>
      </c>
    </row>
    <row r="2993" spans="1:7" x14ac:dyDescent="0.35">
      <c r="A2993" t="s">
        <v>847</v>
      </c>
      <c r="B2993" t="s">
        <v>680</v>
      </c>
      <c r="C2993" s="83">
        <v>46101</v>
      </c>
      <c r="D2993" t="s">
        <v>684</v>
      </c>
      <c r="E2993" t="s">
        <v>296</v>
      </c>
      <c r="F2993">
        <v>3</v>
      </c>
      <c r="G2993">
        <v>1.3341499999999999</v>
      </c>
    </row>
    <row r="2994" spans="1:7" x14ac:dyDescent="0.35">
      <c r="A2994" t="s">
        <v>847</v>
      </c>
      <c r="B2994" t="s">
        <v>680</v>
      </c>
      <c r="C2994" s="83">
        <v>46101</v>
      </c>
      <c r="D2994" t="s">
        <v>687</v>
      </c>
      <c r="E2994" t="s">
        <v>717</v>
      </c>
      <c r="F2994">
        <v>12</v>
      </c>
      <c r="G2994">
        <v>15.8420166666667</v>
      </c>
    </row>
    <row r="2995" spans="1:7" x14ac:dyDescent="0.35">
      <c r="A2995" t="s">
        <v>847</v>
      </c>
      <c r="B2995" t="s">
        <v>680</v>
      </c>
      <c r="C2995" s="83">
        <v>46101</v>
      </c>
      <c r="D2995" t="s">
        <v>687</v>
      </c>
      <c r="E2995" t="s">
        <v>718</v>
      </c>
      <c r="F2995">
        <v>3</v>
      </c>
      <c r="G2995">
        <v>0.99431666666666696</v>
      </c>
    </row>
    <row r="2996" spans="1:7" x14ac:dyDescent="0.35">
      <c r="A2996" t="s">
        <v>847</v>
      </c>
      <c r="B2996" t="s">
        <v>680</v>
      </c>
      <c r="C2996" s="83">
        <v>46101</v>
      </c>
      <c r="D2996" t="s">
        <v>687</v>
      </c>
      <c r="E2996" t="s">
        <v>729</v>
      </c>
      <c r="F2996">
        <v>2</v>
      </c>
      <c r="G2996">
        <v>0.66713333333333302</v>
      </c>
    </row>
    <row r="2997" spans="1:7" x14ac:dyDescent="0.35">
      <c r="A2997" t="s">
        <v>847</v>
      </c>
      <c r="B2997" t="s">
        <v>680</v>
      </c>
      <c r="C2997" s="83">
        <v>46101</v>
      </c>
      <c r="D2997" t="s">
        <v>688</v>
      </c>
      <c r="E2997" t="s">
        <v>311</v>
      </c>
      <c r="F2997">
        <v>11</v>
      </c>
      <c r="G2997">
        <v>5.8366333333333298</v>
      </c>
    </row>
    <row r="2998" spans="1:7" x14ac:dyDescent="0.35">
      <c r="A2998" t="s">
        <v>847</v>
      </c>
      <c r="B2998" t="s">
        <v>680</v>
      </c>
      <c r="C2998" s="83">
        <v>46101</v>
      </c>
      <c r="D2998" t="s">
        <v>688</v>
      </c>
      <c r="E2998" t="s">
        <v>312</v>
      </c>
      <c r="F2998">
        <v>11</v>
      </c>
      <c r="G2998">
        <v>2.6529333333333298</v>
      </c>
    </row>
    <row r="2999" spans="1:7" x14ac:dyDescent="0.35">
      <c r="A2999" t="s">
        <v>847</v>
      </c>
      <c r="B2999" t="s">
        <v>680</v>
      </c>
      <c r="C2999" s="83">
        <v>46101</v>
      </c>
      <c r="D2999" t="s">
        <v>688</v>
      </c>
      <c r="E2999" t="s">
        <v>720</v>
      </c>
      <c r="F2999">
        <v>6</v>
      </c>
      <c r="G2999">
        <v>3.50166666666667</v>
      </c>
    </row>
    <row r="3000" spans="1:7" x14ac:dyDescent="0.35">
      <c r="A3000" t="s">
        <v>847</v>
      </c>
      <c r="B3000" t="s">
        <v>680</v>
      </c>
      <c r="C3000" s="83">
        <v>46101</v>
      </c>
      <c r="D3000" t="s">
        <v>690</v>
      </c>
      <c r="E3000" t="s">
        <v>311</v>
      </c>
      <c r="F3000">
        <v>9</v>
      </c>
      <c r="G3000">
        <v>6.49583333333333</v>
      </c>
    </row>
    <row r="3001" spans="1:7" x14ac:dyDescent="0.35">
      <c r="A3001" t="s">
        <v>847</v>
      </c>
      <c r="B3001" t="s">
        <v>680</v>
      </c>
      <c r="C3001" s="83">
        <v>46101</v>
      </c>
      <c r="D3001" t="s">
        <v>690</v>
      </c>
      <c r="E3001" t="s">
        <v>316</v>
      </c>
      <c r="F3001">
        <v>6</v>
      </c>
      <c r="G3001">
        <v>2.85456666666667</v>
      </c>
    </row>
    <row r="3002" spans="1:7" x14ac:dyDescent="0.35">
      <c r="A3002" t="s">
        <v>847</v>
      </c>
      <c r="B3002" t="s">
        <v>680</v>
      </c>
      <c r="C3002" s="83">
        <v>46101</v>
      </c>
      <c r="D3002" t="s">
        <v>690</v>
      </c>
      <c r="E3002" t="s">
        <v>338</v>
      </c>
      <c r="F3002">
        <v>3</v>
      </c>
      <c r="G3002">
        <v>1.0005999999999999</v>
      </c>
    </row>
    <row r="3003" spans="1:7" x14ac:dyDescent="0.35">
      <c r="A3003" t="s">
        <v>847</v>
      </c>
      <c r="B3003" t="s">
        <v>680</v>
      </c>
      <c r="C3003" s="83">
        <v>46101</v>
      </c>
      <c r="D3003" t="s">
        <v>685</v>
      </c>
      <c r="E3003" t="s">
        <v>311</v>
      </c>
      <c r="F3003">
        <v>10</v>
      </c>
      <c r="G3003">
        <v>5.3276333333333303</v>
      </c>
    </row>
    <row r="3004" spans="1:7" x14ac:dyDescent="0.35">
      <c r="A3004" t="s">
        <v>847</v>
      </c>
      <c r="B3004" t="s">
        <v>680</v>
      </c>
      <c r="C3004" s="83">
        <v>46101</v>
      </c>
      <c r="D3004" t="s">
        <v>685</v>
      </c>
      <c r="E3004" t="s">
        <v>126</v>
      </c>
      <c r="F3004">
        <v>7</v>
      </c>
      <c r="G3004">
        <v>6.3461666666666696</v>
      </c>
    </row>
    <row r="3005" spans="1:7" x14ac:dyDescent="0.35">
      <c r="A3005" t="s">
        <v>847</v>
      </c>
      <c r="B3005" t="s">
        <v>680</v>
      </c>
      <c r="C3005" s="83">
        <v>46101</v>
      </c>
      <c r="D3005" t="s">
        <v>685</v>
      </c>
      <c r="E3005" t="s">
        <v>720</v>
      </c>
      <c r="F3005">
        <v>4</v>
      </c>
      <c r="G3005">
        <v>1.6659999999999999</v>
      </c>
    </row>
    <row r="3006" spans="1:7" x14ac:dyDescent="0.35">
      <c r="A3006" t="s">
        <v>847</v>
      </c>
      <c r="B3006" t="s">
        <v>693</v>
      </c>
      <c r="C3006" s="83"/>
      <c r="F3006">
        <v>52464</v>
      </c>
      <c r="G3006">
        <v>97795.437083333003</v>
      </c>
    </row>
    <row r="3007" spans="1:7" x14ac:dyDescent="0.35">
      <c r="A3007" t="s">
        <v>847</v>
      </c>
      <c r="B3007" t="s">
        <v>680</v>
      </c>
      <c r="C3007" s="83">
        <v>46102</v>
      </c>
      <c r="D3007" t="s">
        <v>681</v>
      </c>
      <c r="E3007" t="s">
        <v>296</v>
      </c>
      <c r="F3007">
        <v>9</v>
      </c>
      <c r="G3007">
        <v>8.4976666666666691</v>
      </c>
    </row>
    <row r="3008" spans="1:7" x14ac:dyDescent="0.35">
      <c r="A3008" t="s">
        <v>847</v>
      </c>
      <c r="B3008" t="s">
        <v>680</v>
      </c>
      <c r="C3008" s="83">
        <v>46102</v>
      </c>
      <c r="D3008" t="s">
        <v>681</v>
      </c>
      <c r="E3008" t="s">
        <v>298</v>
      </c>
      <c r="F3008">
        <v>9</v>
      </c>
      <c r="G3008">
        <v>10.486133333333299</v>
      </c>
    </row>
    <row r="3009" spans="1:7" x14ac:dyDescent="0.35">
      <c r="A3009" t="s">
        <v>847</v>
      </c>
      <c r="B3009" t="s">
        <v>680</v>
      </c>
      <c r="C3009" s="83">
        <v>46102</v>
      </c>
      <c r="D3009" t="s">
        <v>681</v>
      </c>
      <c r="E3009" t="s">
        <v>304</v>
      </c>
      <c r="F3009">
        <v>5</v>
      </c>
      <c r="G3009">
        <v>1.6668000000000001</v>
      </c>
    </row>
    <row r="3010" spans="1:7" x14ac:dyDescent="0.35">
      <c r="A3010" t="s">
        <v>847</v>
      </c>
      <c r="B3010" t="s">
        <v>680</v>
      </c>
      <c r="C3010" s="83">
        <v>46102</v>
      </c>
      <c r="D3010" t="s">
        <v>683</v>
      </c>
      <c r="E3010" t="s">
        <v>297</v>
      </c>
      <c r="F3010">
        <v>13</v>
      </c>
      <c r="G3010">
        <v>15.80655</v>
      </c>
    </row>
    <row r="3011" spans="1:7" x14ac:dyDescent="0.35">
      <c r="A3011" t="s">
        <v>847</v>
      </c>
      <c r="B3011" t="s">
        <v>680</v>
      </c>
      <c r="C3011" s="83">
        <v>46102</v>
      </c>
      <c r="D3011" t="s">
        <v>683</v>
      </c>
      <c r="E3011" t="s">
        <v>727</v>
      </c>
      <c r="F3011">
        <v>12</v>
      </c>
      <c r="G3011">
        <v>158.31731666666701</v>
      </c>
    </row>
    <row r="3012" spans="1:7" x14ac:dyDescent="0.35">
      <c r="A3012" t="s">
        <v>847</v>
      </c>
      <c r="B3012" t="s">
        <v>680</v>
      </c>
      <c r="C3012" s="83">
        <v>46102</v>
      </c>
      <c r="D3012" t="s">
        <v>683</v>
      </c>
      <c r="E3012" t="s">
        <v>334</v>
      </c>
      <c r="F3012">
        <v>8</v>
      </c>
      <c r="G3012">
        <v>23.487649999999999</v>
      </c>
    </row>
    <row r="3013" spans="1:7" x14ac:dyDescent="0.35">
      <c r="A3013" t="s">
        <v>847</v>
      </c>
      <c r="B3013" t="s">
        <v>680</v>
      </c>
      <c r="C3013" s="83">
        <v>46102</v>
      </c>
      <c r="D3013" t="s">
        <v>689</v>
      </c>
      <c r="E3013" t="s">
        <v>296</v>
      </c>
      <c r="F3013">
        <v>8</v>
      </c>
      <c r="G3013">
        <v>2.1574499999999999</v>
      </c>
    </row>
    <row r="3014" spans="1:7" x14ac:dyDescent="0.35">
      <c r="A3014" t="s">
        <v>847</v>
      </c>
      <c r="B3014" t="s">
        <v>680</v>
      </c>
      <c r="C3014" s="83">
        <v>46102</v>
      </c>
      <c r="D3014" t="s">
        <v>689</v>
      </c>
      <c r="E3014" t="s">
        <v>297</v>
      </c>
      <c r="F3014">
        <v>8</v>
      </c>
      <c r="G3014">
        <v>9.6601833333333307</v>
      </c>
    </row>
    <row r="3015" spans="1:7" x14ac:dyDescent="0.35">
      <c r="A3015" t="s">
        <v>847</v>
      </c>
      <c r="B3015" t="s">
        <v>680</v>
      </c>
      <c r="C3015" s="83">
        <v>46102</v>
      </c>
      <c r="D3015" t="s">
        <v>689</v>
      </c>
      <c r="E3015" t="s">
        <v>727</v>
      </c>
      <c r="F3015">
        <v>7</v>
      </c>
      <c r="G3015">
        <v>39.331033333333302</v>
      </c>
    </row>
    <row r="3016" spans="1:7" x14ac:dyDescent="0.35">
      <c r="A3016" t="s">
        <v>847</v>
      </c>
      <c r="B3016" t="s">
        <v>680</v>
      </c>
      <c r="C3016" s="83">
        <v>46102</v>
      </c>
      <c r="D3016" t="s">
        <v>684</v>
      </c>
      <c r="E3016" t="s">
        <v>296</v>
      </c>
      <c r="F3016">
        <v>5</v>
      </c>
      <c r="G3016">
        <v>208.53243333333299</v>
      </c>
    </row>
    <row r="3017" spans="1:7" x14ac:dyDescent="0.35">
      <c r="A3017" t="s">
        <v>847</v>
      </c>
      <c r="B3017" t="s">
        <v>680</v>
      </c>
      <c r="C3017" s="83">
        <v>46102</v>
      </c>
      <c r="D3017" t="s">
        <v>684</v>
      </c>
      <c r="E3017" t="s">
        <v>304</v>
      </c>
      <c r="F3017">
        <v>3</v>
      </c>
      <c r="G3017">
        <v>1.65926666666667</v>
      </c>
    </row>
    <row r="3018" spans="1:7" x14ac:dyDescent="0.35">
      <c r="A3018" t="s">
        <v>847</v>
      </c>
      <c r="B3018" t="s">
        <v>680</v>
      </c>
      <c r="C3018" s="83">
        <v>46102</v>
      </c>
      <c r="D3018" t="s">
        <v>684</v>
      </c>
      <c r="E3018" t="s">
        <v>334</v>
      </c>
      <c r="F3018">
        <v>2</v>
      </c>
      <c r="G3018">
        <v>0.16678333333333301</v>
      </c>
    </row>
    <row r="3019" spans="1:7" x14ac:dyDescent="0.35">
      <c r="A3019" t="s">
        <v>847</v>
      </c>
      <c r="B3019" t="s">
        <v>680</v>
      </c>
      <c r="C3019" s="83">
        <v>46102</v>
      </c>
      <c r="D3019" t="s">
        <v>687</v>
      </c>
      <c r="E3019" t="s">
        <v>717</v>
      </c>
      <c r="F3019">
        <v>3</v>
      </c>
      <c r="G3019">
        <v>4.5118</v>
      </c>
    </row>
    <row r="3020" spans="1:7" x14ac:dyDescent="0.35">
      <c r="A3020" t="s">
        <v>847</v>
      </c>
      <c r="B3020" t="s">
        <v>680</v>
      </c>
      <c r="C3020" s="83">
        <v>46102</v>
      </c>
      <c r="D3020" t="s">
        <v>688</v>
      </c>
      <c r="E3020" t="s">
        <v>732</v>
      </c>
      <c r="F3020">
        <v>12</v>
      </c>
      <c r="G3020">
        <v>395.01871666666699</v>
      </c>
    </row>
    <row r="3021" spans="1:7" x14ac:dyDescent="0.35">
      <c r="A3021" t="s">
        <v>847</v>
      </c>
      <c r="B3021" t="s">
        <v>680</v>
      </c>
      <c r="C3021" s="83">
        <v>46102</v>
      </c>
      <c r="D3021" t="s">
        <v>688</v>
      </c>
      <c r="E3021" t="s">
        <v>338</v>
      </c>
      <c r="F3021">
        <v>5</v>
      </c>
      <c r="G3021">
        <v>3.8256999999999999</v>
      </c>
    </row>
    <row r="3022" spans="1:7" x14ac:dyDescent="0.35">
      <c r="A3022" t="s">
        <v>847</v>
      </c>
      <c r="B3022" t="s">
        <v>680</v>
      </c>
      <c r="C3022" s="83">
        <v>46102</v>
      </c>
      <c r="D3022" t="s">
        <v>688</v>
      </c>
      <c r="E3022" t="s">
        <v>311</v>
      </c>
      <c r="F3022">
        <v>3</v>
      </c>
      <c r="G3022">
        <v>0.66741666666666699</v>
      </c>
    </row>
    <row r="3023" spans="1:7" x14ac:dyDescent="0.35">
      <c r="A3023" t="s">
        <v>847</v>
      </c>
      <c r="B3023" t="s">
        <v>680</v>
      </c>
      <c r="C3023" s="83">
        <v>46102</v>
      </c>
      <c r="D3023" t="s">
        <v>690</v>
      </c>
      <c r="E3023" t="s">
        <v>311</v>
      </c>
      <c r="F3023">
        <v>5</v>
      </c>
      <c r="G3023">
        <v>3.5087000000000002</v>
      </c>
    </row>
    <row r="3024" spans="1:7" x14ac:dyDescent="0.35">
      <c r="A3024" t="s">
        <v>847</v>
      </c>
      <c r="B3024" t="s">
        <v>680</v>
      </c>
      <c r="C3024" s="83">
        <v>46102</v>
      </c>
      <c r="D3024" t="s">
        <v>690</v>
      </c>
      <c r="E3024" t="s">
        <v>338</v>
      </c>
      <c r="F3024">
        <v>4</v>
      </c>
      <c r="G3024">
        <v>1.6722999999999999</v>
      </c>
    </row>
    <row r="3025" spans="1:7" x14ac:dyDescent="0.35">
      <c r="A3025" t="s">
        <v>847</v>
      </c>
      <c r="B3025" t="s">
        <v>680</v>
      </c>
      <c r="C3025" s="83">
        <v>46102</v>
      </c>
      <c r="D3025" t="s">
        <v>690</v>
      </c>
      <c r="E3025" t="s">
        <v>763</v>
      </c>
      <c r="F3025">
        <v>3</v>
      </c>
      <c r="G3025">
        <v>0.84041666666666703</v>
      </c>
    </row>
    <row r="3026" spans="1:7" x14ac:dyDescent="0.35">
      <c r="A3026" t="s">
        <v>847</v>
      </c>
      <c r="B3026" t="s">
        <v>680</v>
      </c>
      <c r="C3026" s="83">
        <v>46102</v>
      </c>
      <c r="D3026" t="s">
        <v>685</v>
      </c>
      <c r="E3026" t="s">
        <v>316</v>
      </c>
      <c r="F3026">
        <v>3</v>
      </c>
      <c r="G3026">
        <v>0.50008333333333299</v>
      </c>
    </row>
    <row r="3027" spans="1:7" x14ac:dyDescent="0.35">
      <c r="A3027" t="s">
        <v>847</v>
      </c>
      <c r="B3027" t="s">
        <v>680</v>
      </c>
      <c r="C3027" s="83">
        <v>46102</v>
      </c>
      <c r="D3027" t="s">
        <v>685</v>
      </c>
      <c r="E3027" t="s">
        <v>311</v>
      </c>
      <c r="F3027">
        <v>2</v>
      </c>
      <c r="G3027">
        <v>2.1656166666666699</v>
      </c>
    </row>
    <row r="3028" spans="1:7" x14ac:dyDescent="0.35">
      <c r="A3028" t="s">
        <v>847</v>
      </c>
      <c r="B3028" t="s">
        <v>680</v>
      </c>
      <c r="C3028" s="83">
        <v>46102</v>
      </c>
      <c r="D3028" t="s">
        <v>685</v>
      </c>
      <c r="E3028" t="s">
        <v>720</v>
      </c>
      <c r="F3028">
        <v>2</v>
      </c>
      <c r="G3028">
        <v>0.33311666666666701</v>
      </c>
    </row>
    <row r="3029" spans="1:7" x14ac:dyDescent="0.35">
      <c r="A3029" t="s">
        <v>847</v>
      </c>
      <c r="B3029" t="s">
        <v>680</v>
      </c>
      <c r="C3029" s="83">
        <v>46103</v>
      </c>
      <c r="D3029" t="s">
        <v>681</v>
      </c>
      <c r="E3029" t="s">
        <v>296</v>
      </c>
      <c r="F3029">
        <v>22</v>
      </c>
      <c r="G3029">
        <v>13.507400000000001</v>
      </c>
    </row>
    <row r="3030" spans="1:7" x14ac:dyDescent="0.35">
      <c r="A3030" t="s">
        <v>847</v>
      </c>
      <c r="B3030" t="s">
        <v>680</v>
      </c>
      <c r="C3030" s="83">
        <v>46103</v>
      </c>
      <c r="D3030" t="s">
        <v>681</v>
      </c>
      <c r="E3030" t="s">
        <v>298</v>
      </c>
      <c r="F3030">
        <v>18</v>
      </c>
      <c r="G3030">
        <v>15.1759166666667</v>
      </c>
    </row>
    <row r="3031" spans="1:7" x14ac:dyDescent="0.35">
      <c r="A3031" t="s">
        <v>847</v>
      </c>
      <c r="B3031" t="s">
        <v>680</v>
      </c>
      <c r="C3031" s="83">
        <v>46103</v>
      </c>
      <c r="D3031" t="s">
        <v>681</v>
      </c>
      <c r="E3031" t="s">
        <v>297</v>
      </c>
      <c r="F3031">
        <v>9</v>
      </c>
      <c r="G3031">
        <v>6.5005666666666704</v>
      </c>
    </row>
    <row r="3032" spans="1:7" x14ac:dyDescent="0.35">
      <c r="A3032" t="s">
        <v>847</v>
      </c>
      <c r="B3032" t="s">
        <v>680</v>
      </c>
      <c r="C3032" s="83">
        <v>46103</v>
      </c>
      <c r="D3032" t="s">
        <v>683</v>
      </c>
      <c r="E3032" t="s">
        <v>298</v>
      </c>
      <c r="F3032">
        <v>18</v>
      </c>
      <c r="G3032">
        <v>27.003683333333299</v>
      </c>
    </row>
    <row r="3033" spans="1:7" x14ac:dyDescent="0.35">
      <c r="A3033" t="s">
        <v>847</v>
      </c>
      <c r="B3033" t="s">
        <v>680</v>
      </c>
      <c r="C3033" s="83">
        <v>46103</v>
      </c>
      <c r="D3033" t="s">
        <v>683</v>
      </c>
      <c r="E3033" t="s">
        <v>297</v>
      </c>
      <c r="F3033">
        <v>16</v>
      </c>
      <c r="G3033">
        <v>5.0272166666666704</v>
      </c>
    </row>
    <row r="3034" spans="1:7" x14ac:dyDescent="0.35">
      <c r="A3034" t="s">
        <v>847</v>
      </c>
      <c r="B3034" t="s">
        <v>680</v>
      </c>
      <c r="C3034" s="83">
        <v>46103</v>
      </c>
      <c r="D3034" t="s">
        <v>683</v>
      </c>
      <c r="E3034" t="s">
        <v>727</v>
      </c>
      <c r="F3034">
        <v>16</v>
      </c>
      <c r="G3034">
        <v>11.5004333333333</v>
      </c>
    </row>
    <row r="3035" spans="1:7" x14ac:dyDescent="0.35">
      <c r="A3035" t="s">
        <v>847</v>
      </c>
      <c r="B3035" t="s">
        <v>680</v>
      </c>
      <c r="C3035" s="83">
        <v>46103</v>
      </c>
      <c r="D3035" t="s">
        <v>689</v>
      </c>
      <c r="E3035" t="s">
        <v>298</v>
      </c>
      <c r="F3035">
        <v>31</v>
      </c>
      <c r="G3035">
        <v>34.160766666666703</v>
      </c>
    </row>
    <row r="3036" spans="1:7" x14ac:dyDescent="0.35">
      <c r="A3036" t="s">
        <v>847</v>
      </c>
      <c r="B3036" t="s">
        <v>680</v>
      </c>
      <c r="C3036" s="83">
        <v>46103</v>
      </c>
      <c r="D3036" t="s">
        <v>689</v>
      </c>
      <c r="E3036" t="s">
        <v>297</v>
      </c>
      <c r="F3036">
        <v>17</v>
      </c>
      <c r="G3036">
        <v>6.4730833333333297</v>
      </c>
    </row>
    <row r="3037" spans="1:7" x14ac:dyDescent="0.35">
      <c r="A3037" t="s">
        <v>847</v>
      </c>
      <c r="B3037" t="s">
        <v>680</v>
      </c>
      <c r="C3037" s="83">
        <v>46103</v>
      </c>
      <c r="D3037" t="s">
        <v>689</v>
      </c>
      <c r="E3037" t="s">
        <v>296</v>
      </c>
      <c r="F3037">
        <v>12</v>
      </c>
      <c r="G3037">
        <v>11.338233333333299</v>
      </c>
    </row>
    <row r="3038" spans="1:7" x14ac:dyDescent="0.35">
      <c r="A3038" t="s">
        <v>847</v>
      </c>
      <c r="B3038" t="s">
        <v>680</v>
      </c>
      <c r="C3038" s="83">
        <v>46103</v>
      </c>
      <c r="D3038" t="s">
        <v>684</v>
      </c>
      <c r="E3038" t="s">
        <v>297</v>
      </c>
      <c r="F3038">
        <v>5</v>
      </c>
      <c r="G3038">
        <v>1.6735500000000001</v>
      </c>
    </row>
    <row r="3039" spans="1:7" x14ac:dyDescent="0.35">
      <c r="A3039" t="s">
        <v>847</v>
      </c>
      <c r="B3039" t="s">
        <v>680</v>
      </c>
      <c r="C3039" s="83">
        <v>46103</v>
      </c>
      <c r="D3039" t="s">
        <v>684</v>
      </c>
      <c r="E3039" t="s">
        <v>764</v>
      </c>
      <c r="F3039">
        <v>4</v>
      </c>
      <c r="G3039">
        <v>45.180349999999997</v>
      </c>
    </row>
    <row r="3040" spans="1:7" x14ac:dyDescent="0.35">
      <c r="A3040" t="s">
        <v>847</v>
      </c>
      <c r="B3040" t="s">
        <v>680</v>
      </c>
      <c r="C3040" s="83">
        <v>46103</v>
      </c>
      <c r="D3040" t="s">
        <v>684</v>
      </c>
      <c r="E3040" t="s">
        <v>304</v>
      </c>
      <c r="F3040">
        <v>2</v>
      </c>
      <c r="G3040">
        <v>0.16689999999999999</v>
      </c>
    </row>
    <row r="3041" spans="1:7" x14ac:dyDescent="0.35">
      <c r="A3041" t="s">
        <v>847</v>
      </c>
      <c r="B3041" t="s">
        <v>680</v>
      </c>
      <c r="C3041" s="83">
        <v>46103</v>
      </c>
      <c r="D3041" t="s">
        <v>687</v>
      </c>
      <c r="E3041" t="s">
        <v>754</v>
      </c>
      <c r="F3041">
        <v>3</v>
      </c>
      <c r="G3041">
        <v>1.1740666666666699</v>
      </c>
    </row>
    <row r="3042" spans="1:7" x14ac:dyDescent="0.35">
      <c r="A3042" t="s">
        <v>847</v>
      </c>
      <c r="B3042" t="s">
        <v>680</v>
      </c>
      <c r="C3042" s="83">
        <v>46103</v>
      </c>
      <c r="D3042" t="s">
        <v>687</v>
      </c>
      <c r="E3042" t="s">
        <v>745</v>
      </c>
      <c r="F3042">
        <v>2</v>
      </c>
      <c r="G3042">
        <v>1.32765</v>
      </c>
    </row>
    <row r="3043" spans="1:7" x14ac:dyDescent="0.35">
      <c r="A3043" t="s">
        <v>847</v>
      </c>
      <c r="B3043" t="s">
        <v>680</v>
      </c>
      <c r="C3043" s="83">
        <v>46103</v>
      </c>
      <c r="D3043" t="s">
        <v>687</v>
      </c>
      <c r="E3043" t="s">
        <v>729</v>
      </c>
      <c r="F3043">
        <v>2</v>
      </c>
      <c r="G3043">
        <v>1.83941666666667</v>
      </c>
    </row>
    <row r="3044" spans="1:7" x14ac:dyDescent="0.35">
      <c r="A3044" t="s">
        <v>847</v>
      </c>
      <c r="B3044" t="s">
        <v>680</v>
      </c>
      <c r="C3044" s="83">
        <v>46103</v>
      </c>
      <c r="D3044" t="s">
        <v>688</v>
      </c>
      <c r="E3044" t="s">
        <v>311</v>
      </c>
      <c r="F3044">
        <v>11</v>
      </c>
      <c r="G3044">
        <v>4.5364333333333304</v>
      </c>
    </row>
    <row r="3045" spans="1:7" x14ac:dyDescent="0.35">
      <c r="A3045" t="s">
        <v>847</v>
      </c>
      <c r="B3045" t="s">
        <v>680</v>
      </c>
      <c r="C3045" s="83">
        <v>46103</v>
      </c>
      <c r="D3045" t="s">
        <v>688</v>
      </c>
      <c r="E3045" t="s">
        <v>321</v>
      </c>
      <c r="F3045">
        <v>8</v>
      </c>
      <c r="G3045">
        <v>3.5021833333333299</v>
      </c>
    </row>
    <row r="3046" spans="1:7" x14ac:dyDescent="0.35">
      <c r="A3046" t="s">
        <v>847</v>
      </c>
      <c r="B3046" t="s">
        <v>680</v>
      </c>
      <c r="C3046" s="83">
        <v>46103</v>
      </c>
      <c r="D3046" t="s">
        <v>688</v>
      </c>
      <c r="E3046" t="s">
        <v>720</v>
      </c>
      <c r="F3046">
        <v>6</v>
      </c>
      <c r="G3046">
        <v>3.9922499999999999</v>
      </c>
    </row>
    <row r="3047" spans="1:7" x14ac:dyDescent="0.35">
      <c r="A3047" t="s">
        <v>847</v>
      </c>
      <c r="B3047" t="s">
        <v>680</v>
      </c>
      <c r="C3047" s="83">
        <v>46103</v>
      </c>
      <c r="D3047" t="s">
        <v>690</v>
      </c>
      <c r="E3047" t="s">
        <v>311</v>
      </c>
      <c r="F3047">
        <v>8</v>
      </c>
      <c r="G3047">
        <v>20.490483333333302</v>
      </c>
    </row>
    <row r="3048" spans="1:7" x14ac:dyDescent="0.35">
      <c r="A3048" t="s">
        <v>847</v>
      </c>
      <c r="B3048" t="s">
        <v>680</v>
      </c>
      <c r="C3048" s="83">
        <v>46103</v>
      </c>
      <c r="D3048" t="s">
        <v>690</v>
      </c>
      <c r="E3048" t="s">
        <v>338</v>
      </c>
      <c r="F3048">
        <v>3</v>
      </c>
      <c r="G3048">
        <v>0.49908333333333299</v>
      </c>
    </row>
    <row r="3049" spans="1:7" x14ac:dyDescent="0.35">
      <c r="A3049" t="s">
        <v>847</v>
      </c>
      <c r="B3049" t="s">
        <v>680</v>
      </c>
      <c r="C3049" s="83">
        <v>46103</v>
      </c>
      <c r="D3049" t="s">
        <v>690</v>
      </c>
      <c r="E3049" t="s">
        <v>765</v>
      </c>
      <c r="F3049">
        <v>3</v>
      </c>
      <c r="G3049">
        <v>0.33345000000000002</v>
      </c>
    </row>
    <row r="3050" spans="1:7" x14ac:dyDescent="0.35">
      <c r="A3050" t="s">
        <v>847</v>
      </c>
      <c r="B3050" t="s">
        <v>680</v>
      </c>
      <c r="C3050" s="83">
        <v>46103</v>
      </c>
      <c r="D3050" t="s">
        <v>685</v>
      </c>
      <c r="E3050" t="s">
        <v>316</v>
      </c>
      <c r="F3050">
        <v>23</v>
      </c>
      <c r="G3050">
        <v>16.3066</v>
      </c>
    </row>
    <row r="3051" spans="1:7" x14ac:dyDescent="0.35">
      <c r="A3051" t="s">
        <v>847</v>
      </c>
      <c r="B3051" t="s">
        <v>680</v>
      </c>
      <c r="C3051" s="83">
        <v>46103</v>
      </c>
      <c r="D3051" t="s">
        <v>685</v>
      </c>
      <c r="E3051" t="s">
        <v>126</v>
      </c>
      <c r="F3051">
        <v>5</v>
      </c>
      <c r="G3051">
        <v>1.6655500000000001</v>
      </c>
    </row>
    <row r="3052" spans="1:7" x14ac:dyDescent="0.35">
      <c r="A3052" t="s">
        <v>847</v>
      </c>
      <c r="B3052" t="s">
        <v>680</v>
      </c>
      <c r="C3052" s="83">
        <v>46103</v>
      </c>
      <c r="D3052" t="s">
        <v>685</v>
      </c>
      <c r="E3052" t="s">
        <v>734</v>
      </c>
      <c r="F3052">
        <v>4</v>
      </c>
      <c r="G3052">
        <v>3.4946666666666699</v>
      </c>
    </row>
    <row r="3053" spans="1:7" x14ac:dyDescent="0.35">
      <c r="A3053" t="s">
        <v>847</v>
      </c>
      <c r="B3053" t="s">
        <v>680</v>
      </c>
      <c r="C3053" s="83">
        <v>46104</v>
      </c>
      <c r="D3053" t="s">
        <v>681</v>
      </c>
      <c r="E3053" t="s">
        <v>298</v>
      </c>
      <c r="F3053">
        <v>17</v>
      </c>
      <c r="G3053">
        <v>46.022649999999999</v>
      </c>
    </row>
    <row r="3054" spans="1:7" x14ac:dyDescent="0.35">
      <c r="A3054" t="s">
        <v>847</v>
      </c>
      <c r="B3054" t="s">
        <v>680</v>
      </c>
      <c r="C3054" s="83">
        <v>46104</v>
      </c>
      <c r="D3054" t="s">
        <v>681</v>
      </c>
      <c r="E3054" t="s">
        <v>296</v>
      </c>
      <c r="F3054">
        <v>5</v>
      </c>
      <c r="G3054">
        <v>1.33453333333333</v>
      </c>
    </row>
    <row r="3055" spans="1:7" x14ac:dyDescent="0.35">
      <c r="A3055" t="s">
        <v>847</v>
      </c>
      <c r="B3055" t="s">
        <v>680</v>
      </c>
      <c r="C3055" s="83">
        <v>46104</v>
      </c>
      <c r="D3055" t="s">
        <v>681</v>
      </c>
      <c r="E3055" t="s">
        <v>334</v>
      </c>
      <c r="F3055">
        <v>3</v>
      </c>
      <c r="G3055">
        <v>0.50033333333333296</v>
      </c>
    </row>
    <row r="3056" spans="1:7" x14ac:dyDescent="0.35">
      <c r="A3056" t="s">
        <v>847</v>
      </c>
      <c r="B3056" t="s">
        <v>680</v>
      </c>
      <c r="C3056" s="83">
        <v>46104</v>
      </c>
      <c r="D3056" t="s">
        <v>683</v>
      </c>
      <c r="E3056" t="s">
        <v>727</v>
      </c>
      <c r="F3056">
        <v>8</v>
      </c>
      <c r="G3056">
        <v>3.4964499999999998</v>
      </c>
    </row>
    <row r="3057" spans="1:7" x14ac:dyDescent="0.35">
      <c r="A3057" t="s">
        <v>847</v>
      </c>
      <c r="B3057" t="s">
        <v>680</v>
      </c>
      <c r="C3057" s="83">
        <v>46104</v>
      </c>
      <c r="D3057" t="s">
        <v>683</v>
      </c>
      <c r="E3057" t="s">
        <v>728</v>
      </c>
      <c r="F3057">
        <v>8</v>
      </c>
      <c r="G3057">
        <v>4.3285833333333299</v>
      </c>
    </row>
    <row r="3058" spans="1:7" x14ac:dyDescent="0.35">
      <c r="A3058" t="s">
        <v>847</v>
      </c>
      <c r="B3058" t="s">
        <v>680</v>
      </c>
      <c r="C3058" s="83">
        <v>46104</v>
      </c>
      <c r="D3058" t="s">
        <v>683</v>
      </c>
      <c r="E3058" t="s">
        <v>300</v>
      </c>
      <c r="F3058">
        <v>6</v>
      </c>
      <c r="G3058">
        <v>1.9930333333333301</v>
      </c>
    </row>
    <row r="3059" spans="1:7" x14ac:dyDescent="0.35">
      <c r="A3059" t="s">
        <v>847</v>
      </c>
      <c r="B3059" t="s">
        <v>680</v>
      </c>
      <c r="C3059" s="83">
        <v>46104</v>
      </c>
      <c r="D3059" t="s">
        <v>689</v>
      </c>
      <c r="E3059" t="s">
        <v>298</v>
      </c>
      <c r="F3059">
        <v>10</v>
      </c>
      <c r="G3059">
        <v>6.1470333333333302</v>
      </c>
    </row>
    <row r="3060" spans="1:7" x14ac:dyDescent="0.35">
      <c r="A3060" t="s">
        <v>847</v>
      </c>
      <c r="B3060" t="s">
        <v>680</v>
      </c>
      <c r="C3060" s="83">
        <v>46104</v>
      </c>
      <c r="D3060" t="s">
        <v>689</v>
      </c>
      <c r="E3060" t="s">
        <v>728</v>
      </c>
      <c r="F3060">
        <v>8</v>
      </c>
      <c r="G3060">
        <v>9.8270666666666706</v>
      </c>
    </row>
    <row r="3061" spans="1:7" x14ac:dyDescent="0.35">
      <c r="A3061" t="s">
        <v>847</v>
      </c>
      <c r="B3061" t="s">
        <v>680</v>
      </c>
      <c r="C3061" s="83">
        <v>46104</v>
      </c>
      <c r="D3061" t="s">
        <v>689</v>
      </c>
      <c r="E3061" t="s">
        <v>296</v>
      </c>
      <c r="F3061">
        <v>6</v>
      </c>
      <c r="G3061">
        <v>20.001750000000001</v>
      </c>
    </row>
    <row r="3062" spans="1:7" x14ac:dyDescent="0.35">
      <c r="A3062" t="s">
        <v>847</v>
      </c>
      <c r="B3062" t="s">
        <v>680</v>
      </c>
      <c r="C3062" s="83">
        <v>46104</v>
      </c>
      <c r="D3062" t="s">
        <v>684</v>
      </c>
      <c r="E3062" t="s">
        <v>297</v>
      </c>
      <c r="F3062">
        <v>5</v>
      </c>
      <c r="G3062">
        <v>7.3405500000000004</v>
      </c>
    </row>
    <row r="3063" spans="1:7" x14ac:dyDescent="0.35">
      <c r="A3063" t="s">
        <v>847</v>
      </c>
      <c r="B3063" t="s">
        <v>680</v>
      </c>
      <c r="C3063" s="83">
        <v>46104</v>
      </c>
      <c r="D3063" t="s">
        <v>684</v>
      </c>
      <c r="E3063" t="s">
        <v>296</v>
      </c>
      <c r="F3063">
        <v>3</v>
      </c>
      <c r="G3063">
        <v>0.84081666666666699</v>
      </c>
    </row>
    <row r="3064" spans="1:7" x14ac:dyDescent="0.35">
      <c r="A3064" t="s">
        <v>847</v>
      </c>
      <c r="B3064" t="s">
        <v>680</v>
      </c>
      <c r="C3064" s="83">
        <v>46104</v>
      </c>
      <c r="D3064" t="s">
        <v>684</v>
      </c>
      <c r="E3064" t="s">
        <v>334</v>
      </c>
      <c r="F3064">
        <v>2</v>
      </c>
      <c r="G3064">
        <v>1.00803333333333</v>
      </c>
    </row>
    <row r="3065" spans="1:7" x14ac:dyDescent="0.35">
      <c r="A3065" t="s">
        <v>847</v>
      </c>
      <c r="B3065" t="s">
        <v>680</v>
      </c>
      <c r="C3065" s="83">
        <v>46104</v>
      </c>
      <c r="D3065" t="s">
        <v>687</v>
      </c>
      <c r="E3065" t="s">
        <v>717</v>
      </c>
      <c r="F3065">
        <v>5</v>
      </c>
      <c r="G3065">
        <v>2.1747999999999998</v>
      </c>
    </row>
    <row r="3066" spans="1:7" x14ac:dyDescent="0.35">
      <c r="A3066" t="s">
        <v>847</v>
      </c>
      <c r="B3066" t="s">
        <v>680</v>
      </c>
      <c r="C3066" s="83">
        <v>46104</v>
      </c>
      <c r="D3066" t="s">
        <v>687</v>
      </c>
      <c r="E3066" t="s">
        <v>718</v>
      </c>
      <c r="F3066">
        <v>4</v>
      </c>
      <c r="G3066">
        <v>6.6581666666666699</v>
      </c>
    </row>
    <row r="3067" spans="1:7" x14ac:dyDescent="0.35">
      <c r="A3067" t="s">
        <v>847</v>
      </c>
      <c r="B3067" t="s">
        <v>680</v>
      </c>
      <c r="C3067" s="83">
        <v>46104</v>
      </c>
      <c r="D3067" t="s">
        <v>687</v>
      </c>
      <c r="E3067" t="s">
        <v>754</v>
      </c>
      <c r="F3067">
        <v>2</v>
      </c>
      <c r="G3067">
        <v>0.158</v>
      </c>
    </row>
    <row r="3068" spans="1:7" x14ac:dyDescent="0.35">
      <c r="A3068" t="s">
        <v>847</v>
      </c>
      <c r="B3068" t="s">
        <v>680</v>
      </c>
      <c r="C3068" s="83">
        <v>46104</v>
      </c>
      <c r="D3068" t="s">
        <v>688</v>
      </c>
      <c r="E3068" t="s">
        <v>311</v>
      </c>
      <c r="F3068">
        <v>19</v>
      </c>
      <c r="G3068">
        <v>13.98</v>
      </c>
    </row>
    <row r="3069" spans="1:7" x14ac:dyDescent="0.35">
      <c r="A3069" t="s">
        <v>847</v>
      </c>
      <c r="B3069" t="s">
        <v>680</v>
      </c>
      <c r="C3069" s="83">
        <v>46104</v>
      </c>
      <c r="D3069" t="s">
        <v>688</v>
      </c>
      <c r="E3069" t="s">
        <v>312</v>
      </c>
      <c r="F3069">
        <v>8</v>
      </c>
      <c r="G3069">
        <v>4.1786000000000003</v>
      </c>
    </row>
    <row r="3070" spans="1:7" x14ac:dyDescent="0.35">
      <c r="A3070" t="s">
        <v>847</v>
      </c>
      <c r="B3070" t="s">
        <v>680</v>
      </c>
      <c r="C3070" s="83">
        <v>46104</v>
      </c>
      <c r="D3070" t="s">
        <v>688</v>
      </c>
      <c r="E3070" t="s">
        <v>321</v>
      </c>
      <c r="F3070">
        <v>3</v>
      </c>
      <c r="G3070">
        <v>0.67403333333333304</v>
      </c>
    </row>
    <row r="3071" spans="1:7" x14ac:dyDescent="0.35">
      <c r="A3071" t="s">
        <v>847</v>
      </c>
      <c r="B3071" t="s">
        <v>680</v>
      </c>
      <c r="C3071" s="83">
        <v>46104</v>
      </c>
      <c r="D3071" t="s">
        <v>690</v>
      </c>
      <c r="E3071" t="s">
        <v>311</v>
      </c>
      <c r="F3071">
        <v>22</v>
      </c>
      <c r="G3071">
        <v>14.219849999999999</v>
      </c>
    </row>
    <row r="3072" spans="1:7" x14ac:dyDescent="0.35">
      <c r="A3072" t="s">
        <v>847</v>
      </c>
      <c r="B3072" t="s">
        <v>680</v>
      </c>
      <c r="C3072" s="83">
        <v>46104</v>
      </c>
      <c r="D3072" t="s">
        <v>690</v>
      </c>
      <c r="E3072" t="s">
        <v>312</v>
      </c>
      <c r="F3072">
        <v>6</v>
      </c>
      <c r="G3072">
        <v>2.8241999999999998</v>
      </c>
    </row>
    <row r="3073" spans="1:7" x14ac:dyDescent="0.35">
      <c r="A3073" t="s">
        <v>847</v>
      </c>
      <c r="B3073" t="s">
        <v>680</v>
      </c>
      <c r="C3073" s="83">
        <v>46104</v>
      </c>
      <c r="D3073" t="s">
        <v>690</v>
      </c>
      <c r="E3073" t="s">
        <v>723</v>
      </c>
      <c r="F3073">
        <v>3</v>
      </c>
      <c r="G3073">
        <v>2.50708333333333</v>
      </c>
    </row>
    <row r="3074" spans="1:7" x14ac:dyDescent="0.35">
      <c r="A3074" t="s">
        <v>847</v>
      </c>
      <c r="B3074" t="s">
        <v>680</v>
      </c>
      <c r="C3074" s="83">
        <v>46104</v>
      </c>
      <c r="D3074" t="s">
        <v>685</v>
      </c>
      <c r="E3074" t="s">
        <v>312</v>
      </c>
      <c r="F3074">
        <v>11</v>
      </c>
      <c r="G3074">
        <v>5.8351166666666696</v>
      </c>
    </row>
    <row r="3075" spans="1:7" x14ac:dyDescent="0.35">
      <c r="A3075" t="s">
        <v>847</v>
      </c>
      <c r="B3075" t="s">
        <v>680</v>
      </c>
      <c r="C3075" s="83">
        <v>46104</v>
      </c>
      <c r="D3075" t="s">
        <v>685</v>
      </c>
      <c r="E3075" t="s">
        <v>720</v>
      </c>
      <c r="F3075">
        <v>8</v>
      </c>
      <c r="G3075">
        <v>4.8251833333333298</v>
      </c>
    </row>
    <row r="3076" spans="1:7" x14ac:dyDescent="0.35">
      <c r="A3076" t="s">
        <v>847</v>
      </c>
      <c r="B3076" t="s">
        <v>680</v>
      </c>
      <c r="C3076" s="83">
        <v>46104</v>
      </c>
      <c r="D3076" t="s">
        <v>685</v>
      </c>
      <c r="E3076" t="s">
        <v>126</v>
      </c>
      <c r="F3076">
        <v>5</v>
      </c>
      <c r="G3076">
        <v>4.65055</v>
      </c>
    </row>
    <row r="3077" spans="1:7" x14ac:dyDescent="0.35">
      <c r="A3077" t="s">
        <v>847</v>
      </c>
      <c r="B3077" t="s">
        <v>680</v>
      </c>
      <c r="C3077" s="83">
        <v>46105</v>
      </c>
      <c r="D3077" t="s">
        <v>681</v>
      </c>
      <c r="E3077" t="s">
        <v>298</v>
      </c>
      <c r="F3077">
        <v>20</v>
      </c>
      <c r="G3077">
        <v>18.691683333333302</v>
      </c>
    </row>
    <row r="3078" spans="1:7" x14ac:dyDescent="0.35">
      <c r="A3078" t="s">
        <v>847</v>
      </c>
      <c r="B3078" t="s">
        <v>680</v>
      </c>
      <c r="C3078" s="83">
        <v>46105</v>
      </c>
      <c r="D3078" t="s">
        <v>681</v>
      </c>
      <c r="E3078" t="s">
        <v>297</v>
      </c>
      <c r="F3078">
        <v>14</v>
      </c>
      <c r="G3078">
        <v>4.2798166666666697</v>
      </c>
    </row>
    <row r="3079" spans="1:7" x14ac:dyDescent="0.35">
      <c r="A3079" t="s">
        <v>847</v>
      </c>
      <c r="B3079" t="s">
        <v>680</v>
      </c>
      <c r="C3079" s="83">
        <v>46105</v>
      </c>
      <c r="D3079" t="s">
        <v>681</v>
      </c>
      <c r="E3079" t="s">
        <v>334</v>
      </c>
      <c r="F3079">
        <v>9</v>
      </c>
      <c r="G3079">
        <v>5.3125999999999998</v>
      </c>
    </row>
    <row r="3080" spans="1:7" x14ac:dyDescent="0.35">
      <c r="A3080" t="s">
        <v>847</v>
      </c>
      <c r="B3080" t="s">
        <v>680</v>
      </c>
      <c r="C3080" s="83">
        <v>46105</v>
      </c>
      <c r="D3080" t="s">
        <v>683</v>
      </c>
      <c r="E3080" t="s">
        <v>298</v>
      </c>
      <c r="F3080">
        <v>17</v>
      </c>
      <c r="G3080">
        <v>29.4941666666667</v>
      </c>
    </row>
    <row r="3081" spans="1:7" x14ac:dyDescent="0.35">
      <c r="A3081" t="s">
        <v>847</v>
      </c>
      <c r="B3081" t="s">
        <v>680</v>
      </c>
      <c r="C3081" s="83">
        <v>46105</v>
      </c>
      <c r="D3081" t="s">
        <v>683</v>
      </c>
      <c r="E3081" t="s">
        <v>728</v>
      </c>
      <c r="F3081">
        <v>9</v>
      </c>
      <c r="G3081">
        <v>4.5026000000000002</v>
      </c>
    </row>
    <row r="3082" spans="1:7" x14ac:dyDescent="0.35">
      <c r="A3082" t="s">
        <v>847</v>
      </c>
      <c r="B3082" t="s">
        <v>680</v>
      </c>
      <c r="C3082" s="83">
        <v>46105</v>
      </c>
      <c r="D3082" t="s">
        <v>683</v>
      </c>
      <c r="E3082" t="s">
        <v>334</v>
      </c>
      <c r="F3082">
        <v>6</v>
      </c>
      <c r="G3082">
        <v>13.660066666666699</v>
      </c>
    </row>
    <row r="3083" spans="1:7" x14ac:dyDescent="0.35">
      <c r="A3083" t="s">
        <v>847</v>
      </c>
      <c r="B3083" t="s">
        <v>680</v>
      </c>
      <c r="C3083" s="83">
        <v>46105</v>
      </c>
      <c r="D3083" t="s">
        <v>689</v>
      </c>
      <c r="E3083" t="s">
        <v>298</v>
      </c>
      <c r="F3083">
        <v>24</v>
      </c>
      <c r="G3083">
        <v>34.045949999999998</v>
      </c>
    </row>
    <row r="3084" spans="1:7" x14ac:dyDescent="0.35">
      <c r="A3084" t="s">
        <v>847</v>
      </c>
      <c r="B3084" t="s">
        <v>680</v>
      </c>
      <c r="C3084" s="83">
        <v>46105</v>
      </c>
      <c r="D3084" t="s">
        <v>689</v>
      </c>
      <c r="E3084" t="s">
        <v>297</v>
      </c>
      <c r="F3084">
        <v>15</v>
      </c>
      <c r="G3084">
        <v>6.7359999999999998</v>
      </c>
    </row>
    <row r="3085" spans="1:7" x14ac:dyDescent="0.35">
      <c r="A3085" t="s">
        <v>847</v>
      </c>
      <c r="B3085" t="s">
        <v>680</v>
      </c>
      <c r="C3085" s="83">
        <v>46105</v>
      </c>
      <c r="D3085" t="s">
        <v>689</v>
      </c>
      <c r="E3085" t="s">
        <v>300</v>
      </c>
      <c r="F3085">
        <v>9</v>
      </c>
      <c r="G3085">
        <v>4.1465500000000004</v>
      </c>
    </row>
    <row r="3086" spans="1:7" x14ac:dyDescent="0.35">
      <c r="A3086" t="s">
        <v>847</v>
      </c>
      <c r="B3086" t="s">
        <v>680</v>
      </c>
      <c r="C3086" s="83">
        <v>46105</v>
      </c>
      <c r="D3086" t="s">
        <v>684</v>
      </c>
      <c r="E3086" t="s">
        <v>296</v>
      </c>
      <c r="F3086">
        <v>5</v>
      </c>
      <c r="G3086">
        <v>1.8948</v>
      </c>
    </row>
    <row r="3087" spans="1:7" x14ac:dyDescent="0.35">
      <c r="A3087" t="s">
        <v>847</v>
      </c>
      <c r="B3087" t="s">
        <v>680</v>
      </c>
      <c r="C3087" s="83">
        <v>46105</v>
      </c>
      <c r="D3087" t="s">
        <v>684</v>
      </c>
      <c r="E3087" t="s">
        <v>300</v>
      </c>
      <c r="F3087">
        <v>4</v>
      </c>
      <c r="G3087">
        <v>3.8327499999999999</v>
      </c>
    </row>
    <row r="3088" spans="1:7" x14ac:dyDescent="0.35">
      <c r="A3088" t="s">
        <v>847</v>
      </c>
      <c r="B3088" t="s">
        <v>680</v>
      </c>
      <c r="C3088" s="83">
        <v>46105</v>
      </c>
      <c r="D3088" t="s">
        <v>684</v>
      </c>
      <c r="E3088" t="s">
        <v>297</v>
      </c>
      <c r="F3088">
        <v>4</v>
      </c>
      <c r="G3088">
        <v>1.50705</v>
      </c>
    </row>
    <row r="3089" spans="1:7" x14ac:dyDescent="0.35">
      <c r="A3089" t="s">
        <v>847</v>
      </c>
      <c r="B3089" t="s">
        <v>680</v>
      </c>
      <c r="C3089" s="83">
        <v>46105</v>
      </c>
      <c r="D3089" t="s">
        <v>687</v>
      </c>
      <c r="E3089" t="s">
        <v>718</v>
      </c>
      <c r="F3089">
        <v>4</v>
      </c>
      <c r="G3089">
        <v>1.00036666666667</v>
      </c>
    </row>
    <row r="3090" spans="1:7" x14ac:dyDescent="0.35">
      <c r="A3090" t="s">
        <v>847</v>
      </c>
      <c r="B3090" t="s">
        <v>680</v>
      </c>
      <c r="C3090" s="83">
        <v>46105</v>
      </c>
      <c r="D3090" t="s">
        <v>687</v>
      </c>
      <c r="E3090" t="s">
        <v>726</v>
      </c>
      <c r="F3090">
        <v>3</v>
      </c>
      <c r="G3090">
        <v>6.1752000000000002</v>
      </c>
    </row>
    <row r="3091" spans="1:7" x14ac:dyDescent="0.35">
      <c r="A3091" t="s">
        <v>847</v>
      </c>
      <c r="B3091" t="s">
        <v>680</v>
      </c>
      <c r="C3091" s="83">
        <v>46105</v>
      </c>
      <c r="D3091" t="s">
        <v>687</v>
      </c>
      <c r="E3091" t="s">
        <v>729</v>
      </c>
      <c r="F3091">
        <v>2</v>
      </c>
      <c r="G3091">
        <v>4.1687833333333302</v>
      </c>
    </row>
    <row r="3092" spans="1:7" x14ac:dyDescent="0.35">
      <c r="A3092" t="s">
        <v>847</v>
      </c>
      <c r="B3092" t="s">
        <v>680</v>
      </c>
      <c r="C3092" s="83">
        <v>46105</v>
      </c>
      <c r="D3092" t="s">
        <v>688</v>
      </c>
      <c r="E3092" t="s">
        <v>720</v>
      </c>
      <c r="F3092">
        <v>16</v>
      </c>
      <c r="G3092">
        <v>26.3342833333333</v>
      </c>
    </row>
    <row r="3093" spans="1:7" x14ac:dyDescent="0.35">
      <c r="A3093" t="s">
        <v>847</v>
      </c>
      <c r="B3093" t="s">
        <v>680</v>
      </c>
      <c r="C3093" s="83">
        <v>46105</v>
      </c>
      <c r="D3093" t="s">
        <v>688</v>
      </c>
      <c r="E3093" t="s">
        <v>312</v>
      </c>
      <c r="F3093">
        <v>14</v>
      </c>
      <c r="G3093">
        <v>5.4921499999999996</v>
      </c>
    </row>
    <row r="3094" spans="1:7" x14ac:dyDescent="0.35">
      <c r="A3094" t="s">
        <v>847</v>
      </c>
      <c r="B3094" t="s">
        <v>680</v>
      </c>
      <c r="C3094" s="83">
        <v>46105</v>
      </c>
      <c r="D3094" t="s">
        <v>688</v>
      </c>
      <c r="E3094" t="s">
        <v>311</v>
      </c>
      <c r="F3094">
        <v>13</v>
      </c>
      <c r="G3094">
        <v>9.1417166666666692</v>
      </c>
    </row>
    <row r="3095" spans="1:7" x14ac:dyDescent="0.35">
      <c r="A3095" t="s">
        <v>847</v>
      </c>
      <c r="B3095" t="s">
        <v>680</v>
      </c>
      <c r="C3095" s="83">
        <v>46105</v>
      </c>
      <c r="D3095" t="s">
        <v>690</v>
      </c>
      <c r="E3095" t="s">
        <v>311</v>
      </c>
      <c r="F3095">
        <v>3</v>
      </c>
      <c r="G3095">
        <v>1.4854000000000001</v>
      </c>
    </row>
    <row r="3096" spans="1:7" x14ac:dyDescent="0.35">
      <c r="A3096" t="s">
        <v>847</v>
      </c>
      <c r="B3096" t="s">
        <v>680</v>
      </c>
      <c r="C3096" s="83">
        <v>46105</v>
      </c>
      <c r="D3096" t="s">
        <v>690</v>
      </c>
      <c r="E3096" t="s">
        <v>720</v>
      </c>
      <c r="F3096">
        <v>3</v>
      </c>
      <c r="G3096">
        <v>4.4924666666666697</v>
      </c>
    </row>
    <row r="3097" spans="1:7" x14ac:dyDescent="0.35">
      <c r="A3097" t="s">
        <v>847</v>
      </c>
      <c r="B3097" t="s">
        <v>680</v>
      </c>
      <c r="C3097" s="83">
        <v>46105</v>
      </c>
      <c r="D3097" t="s">
        <v>690</v>
      </c>
      <c r="E3097" t="s">
        <v>721</v>
      </c>
      <c r="F3097">
        <v>2</v>
      </c>
      <c r="G3097">
        <v>0.333683333333333</v>
      </c>
    </row>
    <row r="3098" spans="1:7" x14ac:dyDescent="0.35">
      <c r="A3098" t="s">
        <v>847</v>
      </c>
      <c r="B3098" t="s">
        <v>680</v>
      </c>
      <c r="C3098" s="83">
        <v>46105</v>
      </c>
      <c r="D3098" t="s">
        <v>685</v>
      </c>
      <c r="E3098" t="s">
        <v>312</v>
      </c>
      <c r="F3098">
        <v>13</v>
      </c>
      <c r="G3098">
        <v>25.681466666666701</v>
      </c>
    </row>
    <row r="3099" spans="1:7" x14ac:dyDescent="0.35">
      <c r="A3099" t="s">
        <v>847</v>
      </c>
      <c r="B3099" t="s">
        <v>680</v>
      </c>
      <c r="C3099" s="83">
        <v>46105</v>
      </c>
      <c r="D3099" t="s">
        <v>685</v>
      </c>
      <c r="E3099" t="s">
        <v>720</v>
      </c>
      <c r="F3099">
        <v>5</v>
      </c>
      <c r="G3099">
        <v>1.4987666666666699</v>
      </c>
    </row>
    <row r="3100" spans="1:7" x14ac:dyDescent="0.35">
      <c r="A3100" t="s">
        <v>847</v>
      </c>
      <c r="B3100" t="s">
        <v>680</v>
      </c>
      <c r="C3100" s="83">
        <v>46105</v>
      </c>
      <c r="D3100" t="s">
        <v>685</v>
      </c>
      <c r="E3100" t="s">
        <v>311</v>
      </c>
      <c r="F3100">
        <v>4</v>
      </c>
      <c r="G3100">
        <v>2.1674166666666701</v>
      </c>
    </row>
    <row r="3101" spans="1:7" x14ac:dyDescent="0.35">
      <c r="A3101" t="s">
        <v>847</v>
      </c>
      <c r="B3101" t="s">
        <v>680</v>
      </c>
      <c r="C3101" s="83">
        <v>46106</v>
      </c>
      <c r="D3101" t="s">
        <v>681</v>
      </c>
      <c r="E3101" t="s">
        <v>298</v>
      </c>
      <c r="F3101">
        <v>19</v>
      </c>
      <c r="G3101">
        <v>34.173933333333302</v>
      </c>
    </row>
    <row r="3102" spans="1:7" x14ac:dyDescent="0.35">
      <c r="A3102" t="s">
        <v>847</v>
      </c>
      <c r="B3102" t="s">
        <v>680</v>
      </c>
      <c r="C3102" s="83">
        <v>46106</v>
      </c>
      <c r="D3102" t="s">
        <v>681</v>
      </c>
      <c r="E3102" t="s">
        <v>334</v>
      </c>
      <c r="F3102">
        <v>16</v>
      </c>
      <c r="G3102">
        <v>39.168900000000001</v>
      </c>
    </row>
    <row r="3103" spans="1:7" x14ac:dyDescent="0.35">
      <c r="A3103" t="s">
        <v>847</v>
      </c>
      <c r="B3103" t="s">
        <v>680</v>
      </c>
      <c r="C3103" s="83">
        <v>46106</v>
      </c>
      <c r="D3103" t="s">
        <v>681</v>
      </c>
      <c r="E3103" t="s">
        <v>297</v>
      </c>
      <c r="F3103">
        <v>14</v>
      </c>
      <c r="G3103">
        <v>16.155149999999999</v>
      </c>
    </row>
    <row r="3104" spans="1:7" x14ac:dyDescent="0.35">
      <c r="A3104" t="s">
        <v>847</v>
      </c>
      <c r="B3104" t="s">
        <v>680</v>
      </c>
      <c r="C3104" s="83">
        <v>46106</v>
      </c>
      <c r="D3104" t="s">
        <v>683</v>
      </c>
      <c r="E3104" t="s">
        <v>298</v>
      </c>
      <c r="F3104">
        <v>10</v>
      </c>
      <c r="G3104">
        <v>9.17343333333333</v>
      </c>
    </row>
    <row r="3105" spans="1:7" x14ac:dyDescent="0.35">
      <c r="A3105" t="s">
        <v>847</v>
      </c>
      <c r="B3105" t="s">
        <v>680</v>
      </c>
      <c r="C3105" s="83">
        <v>46106</v>
      </c>
      <c r="D3105" t="s">
        <v>683</v>
      </c>
      <c r="E3105" t="s">
        <v>334</v>
      </c>
      <c r="F3105">
        <v>9</v>
      </c>
      <c r="G3105">
        <v>3.9928166666666698</v>
      </c>
    </row>
    <row r="3106" spans="1:7" x14ac:dyDescent="0.35">
      <c r="A3106" t="s">
        <v>847</v>
      </c>
      <c r="B3106" t="s">
        <v>680</v>
      </c>
      <c r="C3106" s="83">
        <v>46106</v>
      </c>
      <c r="D3106" t="s">
        <v>683</v>
      </c>
      <c r="E3106" t="s">
        <v>728</v>
      </c>
      <c r="F3106">
        <v>7</v>
      </c>
      <c r="G3106">
        <v>2.1608499999999999</v>
      </c>
    </row>
    <row r="3107" spans="1:7" x14ac:dyDescent="0.35">
      <c r="A3107" t="s">
        <v>847</v>
      </c>
      <c r="B3107" t="s">
        <v>680</v>
      </c>
      <c r="C3107" s="83">
        <v>46106</v>
      </c>
      <c r="D3107" t="s">
        <v>689</v>
      </c>
      <c r="E3107" t="s">
        <v>297</v>
      </c>
      <c r="F3107">
        <v>15</v>
      </c>
      <c r="G3107">
        <v>4.99508333333333</v>
      </c>
    </row>
    <row r="3108" spans="1:7" x14ac:dyDescent="0.35">
      <c r="A3108" t="s">
        <v>847</v>
      </c>
      <c r="B3108" t="s">
        <v>680</v>
      </c>
      <c r="C3108" s="83">
        <v>46106</v>
      </c>
      <c r="D3108" t="s">
        <v>689</v>
      </c>
      <c r="E3108" t="s">
        <v>298</v>
      </c>
      <c r="F3108">
        <v>14</v>
      </c>
      <c r="G3108">
        <v>14.3190333333333</v>
      </c>
    </row>
    <row r="3109" spans="1:7" x14ac:dyDescent="0.35">
      <c r="A3109" t="s">
        <v>847</v>
      </c>
      <c r="B3109" t="s">
        <v>680</v>
      </c>
      <c r="C3109" s="83">
        <v>46106</v>
      </c>
      <c r="D3109" t="s">
        <v>689</v>
      </c>
      <c r="E3109" t="s">
        <v>730</v>
      </c>
      <c r="F3109">
        <v>10</v>
      </c>
      <c r="G3109">
        <v>3.6611833333333301</v>
      </c>
    </row>
    <row r="3110" spans="1:7" x14ac:dyDescent="0.35">
      <c r="A3110" t="s">
        <v>847</v>
      </c>
      <c r="B3110" t="s">
        <v>680</v>
      </c>
      <c r="C3110" s="83">
        <v>46106</v>
      </c>
      <c r="D3110" t="s">
        <v>684</v>
      </c>
      <c r="E3110" t="s">
        <v>298</v>
      </c>
      <c r="F3110">
        <v>7</v>
      </c>
      <c r="G3110">
        <v>8.8253000000000004</v>
      </c>
    </row>
    <row r="3111" spans="1:7" x14ac:dyDescent="0.35">
      <c r="A3111" t="s">
        <v>847</v>
      </c>
      <c r="B3111" t="s">
        <v>680</v>
      </c>
      <c r="C3111" s="83">
        <v>46106</v>
      </c>
      <c r="D3111" t="s">
        <v>684</v>
      </c>
      <c r="E3111" t="s">
        <v>297</v>
      </c>
      <c r="F3111">
        <v>5</v>
      </c>
      <c r="G3111">
        <v>3.49563333333333</v>
      </c>
    </row>
    <row r="3112" spans="1:7" x14ac:dyDescent="0.35">
      <c r="A3112" t="s">
        <v>847</v>
      </c>
      <c r="B3112" t="s">
        <v>680</v>
      </c>
      <c r="C3112" s="83">
        <v>46106</v>
      </c>
      <c r="D3112" t="s">
        <v>684</v>
      </c>
      <c r="E3112" t="s">
        <v>296</v>
      </c>
      <c r="F3112">
        <v>4</v>
      </c>
      <c r="G3112">
        <v>0.50661666666666705</v>
      </c>
    </row>
    <row r="3113" spans="1:7" x14ac:dyDescent="0.35">
      <c r="A3113" t="s">
        <v>847</v>
      </c>
      <c r="B3113" t="s">
        <v>680</v>
      </c>
      <c r="C3113" s="83">
        <v>46106</v>
      </c>
      <c r="D3113" t="s">
        <v>687</v>
      </c>
      <c r="E3113" t="s">
        <v>717</v>
      </c>
      <c r="F3113">
        <v>5</v>
      </c>
      <c r="G3113">
        <v>1.6674833333333301</v>
      </c>
    </row>
    <row r="3114" spans="1:7" x14ac:dyDescent="0.35">
      <c r="A3114" t="s">
        <v>847</v>
      </c>
      <c r="B3114" t="s">
        <v>680</v>
      </c>
      <c r="C3114" s="83">
        <v>46106</v>
      </c>
      <c r="D3114" t="s">
        <v>687</v>
      </c>
      <c r="E3114" t="s">
        <v>726</v>
      </c>
      <c r="F3114">
        <v>5</v>
      </c>
      <c r="G3114">
        <v>8.0002333333333304</v>
      </c>
    </row>
    <row r="3115" spans="1:7" x14ac:dyDescent="0.35">
      <c r="A3115" t="s">
        <v>847</v>
      </c>
      <c r="B3115" t="s">
        <v>680</v>
      </c>
      <c r="C3115" s="83">
        <v>46106</v>
      </c>
      <c r="D3115" t="s">
        <v>687</v>
      </c>
      <c r="E3115" t="s">
        <v>718</v>
      </c>
      <c r="F3115">
        <v>3</v>
      </c>
      <c r="G3115">
        <v>18.00385</v>
      </c>
    </row>
    <row r="3116" spans="1:7" x14ac:dyDescent="0.35">
      <c r="A3116" t="s">
        <v>847</v>
      </c>
      <c r="B3116" t="s">
        <v>680</v>
      </c>
      <c r="C3116" s="83">
        <v>46106</v>
      </c>
      <c r="D3116" t="s">
        <v>688</v>
      </c>
      <c r="E3116" t="s">
        <v>312</v>
      </c>
      <c r="F3116">
        <v>17</v>
      </c>
      <c r="G3116">
        <v>7.8429833333333301</v>
      </c>
    </row>
    <row r="3117" spans="1:7" x14ac:dyDescent="0.35">
      <c r="A3117" t="s">
        <v>847</v>
      </c>
      <c r="B3117" t="s">
        <v>680</v>
      </c>
      <c r="C3117" s="83">
        <v>46106</v>
      </c>
      <c r="D3117" t="s">
        <v>688</v>
      </c>
      <c r="E3117" t="s">
        <v>732</v>
      </c>
      <c r="F3117">
        <v>5</v>
      </c>
      <c r="G3117">
        <v>13.1672166666667</v>
      </c>
    </row>
    <row r="3118" spans="1:7" x14ac:dyDescent="0.35">
      <c r="A3118" t="s">
        <v>847</v>
      </c>
      <c r="B3118" t="s">
        <v>680</v>
      </c>
      <c r="C3118" s="83">
        <v>46106</v>
      </c>
      <c r="D3118" t="s">
        <v>688</v>
      </c>
      <c r="E3118" t="s">
        <v>720</v>
      </c>
      <c r="F3118">
        <v>4</v>
      </c>
      <c r="G3118">
        <v>4.1663166666666704</v>
      </c>
    </row>
    <row r="3119" spans="1:7" x14ac:dyDescent="0.35">
      <c r="A3119" t="s">
        <v>847</v>
      </c>
      <c r="B3119" t="s">
        <v>680</v>
      </c>
      <c r="C3119" s="83">
        <v>46106</v>
      </c>
      <c r="D3119" t="s">
        <v>690</v>
      </c>
      <c r="E3119" t="s">
        <v>312</v>
      </c>
      <c r="F3119">
        <v>6</v>
      </c>
      <c r="G3119">
        <v>4.5138499999999997</v>
      </c>
    </row>
    <row r="3120" spans="1:7" x14ac:dyDescent="0.35">
      <c r="A3120" t="s">
        <v>847</v>
      </c>
      <c r="B3120" t="s">
        <v>680</v>
      </c>
      <c r="C3120" s="83">
        <v>46106</v>
      </c>
      <c r="D3120" t="s">
        <v>690</v>
      </c>
      <c r="E3120" t="s">
        <v>338</v>
      </c>
      <c r="F3120">
        <v>3</v>
      </c>
      <c r="G3120">
        <v>1.50105</v>
      </c>
    </row>
    <row r="3121" spans="1:7" x14ac:dyDescent="0.35">
      <c r="A3121" t="s">
        <v>847</v>
      </c>
      <c r="B3121" t="s">
        <v>680</v>
      </c>
      <c r="C3121" s="83">
        <v>46106</v>
      </c>
      <c r="D3121" t="s">
        <v>690</v>
      </c>
      <c r="E3121" t="s">
        <v>720</v>
      </c>
      <c r="F3121">
        <v>3</v>
      </c>
      <c r="G3121">
        <v>3.8329499999999999</v>
      </c>
    </row>
    <row r="3122" spans="1:7" x14ac:dyDescent="0.35">
      <c r="A3122" t="s">
        <v>847</v>
      </c>
      <c r="B3122" t="s">
        <v>680</v>
      </c>
      <c r="C3122" s="83">
        <v>46106</v>
      </c>
      <c r="D3122" t="s">
        <v>685</v>
      </c>
      <c r="E3122" t="s">
        <v>312</v>
      </c>
      <c r="F3122">
        <v>13</v>
      </c>
      <c r="G3122">
        <v>6.1681999999999997</v>
      </c>
    </row>
    <row r="3123" spans="1:7" x14ac:dyDescent="0.35">
      <c r="A3123" t="s">
        <v>847</v>
      </c>
      <c r="B3123" t="s">
        <v>680</v>
      </c>
      <c r="C3123" s="83">
        <v>46106</v>
      </c>
      <c r="D3123" t="s">
        <v>685</v>
      </c>
      <c r="E3123" t="s">
        <v>311</v>
      </c>
      <c r="F3123">
        <v>8</v>
      </c>
      <c r="G3123">
        <v>4.99311666666667</v>
      </c>
    </row>
    <row r="3124" spans="1:7" x14ac:dyDescent="0.35">
      <c r="A3124" t="s">
        <v>847</v>
      </c>
      <c r="B3124" t="s">
        <v>680</v>
      </c>
      <c r="C3124" s="83">
        <v>46106</v>
      </c>
      <c r="D3124" t="s">
        <v>685</v>
      </c>
      <c r="E3124" t="s">
        <v>734</v>
      </c>
      <c r="F3124">
        <v>4</v>
      </c>
      <c r="G3124">
        <v>2.1655166666666701</v>
      </c>
    </row>
    <row r="3125" spans="1:7" x14ac:dyDescent="0.35">
      <c r="A3125" t="s">
        <v>847</v>
      </c>
      <c r="B3125" t="s">
        <v>680</v>
      </c>
      <c r="C3125" s="83">
        <v>46107</v>
      </c>
      <c r="D3125" t="s">
        <v>681</v>
      </c>
      <c r="E3125" t="s">
        <v>296</v>
      </c>
      <c r="F3125">
        <v>63</v>
      </c>
      <c r="G3125">
        <v>16.433633333333301</v>
      </c>
    </row>
    <row r="3126" spans="1:7" x14ac:dyDescent="0.35">
      <c r="A3126" t="s">
        <v>847</v>
      </c>
      <c r="B3126" t="s">
        <v>680</v>
      </c>
      <c r="C3126" s="83">
        <v>46107</v>
      </c>
      <c r="D3126" t="s">
        <v>681</v>
      </c>
      <c r="E3126" t="s">
        <v>298</v>
      </c>
      <c r="F3126">
        <v>25</v>
      </c>
      <c r="G3126">
        <v>39.691183333333299</v>
      </c>
    </row>
    <row r="3127" spans="1:7" x14ac:dyDescent="0.35">
      <c r="A3127" t="s">
        <v>847</v>
      </c>
      <c r="B3127" t="s">
        <v>680</v>
      </c>
      <c r="C3127" s="83">
        <v>46107</v>
      </c>
      <c r="D3127" t="s">
        <v>681</v>
      </c>
      <c r="E3127" t="s">
        <v>334</v>
      </c>
      <c r="F3127">
        <v>22</v>
      </c>
      <c r="G3127">
        <v>19.830716666666699</v>
      </c>
    </row>
    <row r="3128" spans="1:7" x14ac:dyDescent="0.35">
      <c r="A3128" t="s">
        <v>847</v>
      </c>
      <c r="B3128" t="s">
        <v>680</v>
      </c>
      <c r="C3128" s="83">
        <v>46107</v>
      </c>
      <c r="D3128" t="s">
        <v>683</v>
      </c>
      <c r="E3128" t="s">
        <v>296</v>
      </c>
      <c r="F3128">
        <v>27</v>
      </c>
      <c r="G3128">
        <v>5.8564166666666697</v>
      </c>
    </row>
    <row r="3129" spans="1:7" x14ac:dyDescent="0.35">
      <c r="A3129" t="s">
        <v>847</v>
      </c>
      <c r="B3129" t="s">
        <v>680</v>
      </c>
      <c r="C3129" s="83">
        <v>46107</v>
      </c>
      <c r="D3129" t="s">
        <v>683</v>
      </c>
      <c r="E3129" t="s">
        <v>334</v>
      </c>
      <c r="F3129">
        <v>20</v>
      </c>
      <c r="G3129">
        <v>11.8127666666667</v>
      </c>
    </row>
    <row r="3130" spans="1:7" x14ac:dyDescent="0.35">
      <c r="A3130" t="s">
        <v>847</v>
      </c>
      <c r="B3130" t="s">
        <v>680</v>
      </c>
      <c r="C3130" s="83">
        <v>46107</v>
      </c>
      <c r="D3130" t="s">
        <v>683</v>
      </c>
      <c r="E3130" t="s">
        <v>728</v>
      </c>
      <c r="F3130">
        <v>12</v>
      </c>
      <c r="G3130">
        <v>5.8558166666666702</v>
      </c>
    </row>
    <row r="3131" spans="1:7" x14ac:dyDescent="0.35">
      <c r="A3131" t="s">
        <v>847</v>
      </c>
      <c r="B3131" t="s">
        <v>680</v>
      </c>
      <c r="C3131" s="83">
        <v>46107</v>
      </c>
      <c r="D3131" t="s">
        <v>689</v>
      </c>
      <c r="E3131" t="s">
        <v>298</v>
      </c>
      <c r="F3131">
        <v>12</v>
      </c>
      <c r="G3131">
        <v>17.3244166666667</v>
      </c>
    </row>
    <row r="3132" spans="1:7" x14ac:dyDescent="0.35">
      <c r="A3132" t="s">
        <v>847</v>
      </c>
      <c r="B3132" t="s">
        <v>680</v>
      </c>
      <c r="C3132" s="83">
        <v>46107</v>
      </c>
      <c r="D3132" t="s">
        <v>689</v>
      </c>
      <c r="E3132" t="s">
        <v>727</v>
      </c>
      <c r="F3132">
        <v>11</v>
      </c>
      <c r="G3132">
        <v>10.171250000000001</v>
      </c>
    </row>
    <row r="3133" spans="1:7" x14ac:dyDescent="0.35">
      <c r="A3133" t="s">
        <v>847</v>
      </c>
      <c r="B3133" t="s">
        <v>680</v>
      </c>
      <c r="C3133" s="83">
        <v>46107</v>
      </c>
      <c r="D3133" t="s">
        <v>689</v>
      </c>
      <c r="E3133" t="s">
        <v>296</v>
      </c>
      <c r="F3133">
        <v>7</v>
      </c>
      <c r="G3133">
        <v>2.3271666666666699</v>
      </c>
    </row>
    <row r="3134" spans="1:7" x14ac:dyDescent="0.35">
      <c r="A3134" t="s">
        <v>847</v>
      </c>
      <c r="B3134" t="s">
        <v>680</v>
      </c>
      <c r="C3134" s="83">
        <v>46107</v>
      </c>
      <c r="D3134" t="s">
        <v>684</v>
      </c>
      <c r="E3134" t="s">
        <v>296</v>
      </c>
      <c r="F3134">
        <v>8</v>
      </c>
      <c r="G3134">
        <v>4.1733500000000001</v>
      </c>
    </row>
    <row r="3135" spans="1:7" x14ac:dyDescent="0.35">
      <c r="A3135" t="s">
        <v>847</v>
      </c>
      <c r="B3135" t="s">
        <v>680</v>
      </c>
      <c r="C3135" s="83">
        <v>46107</v>
      </c>
      <c r="D3135" t="s">
        <v>684</v>
      </c>
      <c r="E3135" t="s">
        <v>334</v>
      </c>
      <c r="F3135">
        <v>3</v>
      </c>
      <c r="G3135">
        <v>0.67226666666666701</v>
      </c>
    </row>
    <row r="3136" spans="1:7" x14ac:dyDescent="0.35">
      <c r="A3136" t="s">
        <v>847</v>
      </c>
      <c r="B3136" t="s">
        <v>680</v>
      </c>
      <c r="C3136" s="83">
        <v>46107</v>
      </c>
      <c r="D3136" t="s">
        <v>684</v>
      </c>
      <c r="E3136" t="s">
        <v>304</v>
      </c>
      <c r="F3136">
        <v>2</v>
      </c>
      <c r="G3136">
        <v>0.16688333333333299</v>
      </c>
    </row>
    <row r="3137" spans="1:7" x14ac:dyDescent="0.35">
      <c r="A3137" t="s">
        <v>847</v>
      </c>
      <c r="B3137" t="s">
        <v>680</v>
      </c>
      <c r="C3137" s="83">
        <v>46107</v>
      </c>
      <c r="D3137" t="s">
        <v>687</v>
      </c>
      <c r="E3137" t="s">
        <v>717</v>
      </c>
      <c r="F3137">
        <v>12</v>
      </c>
      <c r="G3137">
        <v>13.1569</v>
      </c>
    </row>
    <row r="3138" spans="1:7" x14ac:dyDescent="0.35">
      <c r="A3138" t="s">
        <v>847</v>
      </c>
      <c r="B3138" t="s">
        <v>680</v>
      </c>
      <c r="C3138" s="83">
        <v>46107</v>
      </c>
      <c r="D3138" t="s">
        <v>687</v>
      </c>
      <c r="E3138" t="s">
        <v>743</v>
      </c>
      <c r="F3138">
        <v>6</v>
      </c>
      <c r="G3138">
        <v>26.6765166666667</v>
      </c>
    </row>
    <row r="3139" spans="1:7" x14ac:dyDescent="0.35">
      <c r="A3139" t="s">
        <v>847</v>
      </c>
      <c r="B3139" t="s">
        <v>680</v>
      </c>
      <c r="C3139" s="83">
        <v>46107</v>
      </c>
      <c r="D3139" t="s">
        <v>687</v>
      </c>
      <c r="E3139" t="s">
        <v>729</v>
      </c>
      <c r="F3139">
        <v>4</v>
      </c>
      <c r="G3139">
        <v>4.6742833333333298</v>
      </c>
    </row>
    <row r="3140" spans="1:7" x14ac:dyDescent="0.35">
      <c r="A3140" t="s">
        <v>847</v>
      </c>
      <c r="B3140" t="s">
        <v>680</v>
      </c>
      <c r="C3140" s="83">
        <v>46107</v>
      </c>
      <c r="D3140" t="s">
        <v>688</v>
      </c>
      <c r="E3140" t="s">
        <v>732</v>
      </c>
      <c r="F3140">
        <v>12</v>
      </c>
      <c r="G3140">
        <v>14.976383333333301</v>
      </c>
    </row>
    <row r="3141" spans="1:7" x14ac:dyDescent="0.35">
      <c r="A3141" t="s">
        <v>847</v>
      </c>
      <c r="B3141" t="s">
        <v>680</v>
      </c>
      <c r="C3141" s="83">
        <v>46107</v>
      </c>
      <c r="D3141" t="s">
        <v>688</v>
      </c>
      <c r="E3141" t="s">
        <v>312</v>
      </c>
      <c r="F3141">
        <v>5</v>
      </c>
      <c r="G3141">
        <v>2.0048833333333298</v>
      </c>
    </row>
    <row r="3142" spans="1:7" x14ac:dyDescent="0.35">
      <c r="A3142" t="s">
        <v>847</v>
      </c>
      <c r="B3142" t="s">
        <v>680</v>
      </c>
      <c r="C3142" s="83">
        <v>46107</v>
      </c>
      <c r="D3142" t="s">
        <v>688</v>
      </c>
      <c r="E3142" t="s">
        <v>720</v>
      </c>
      <c r="F3142">
        <v>4</v>
      </c>
      <c r="G3142">
        <v>4.1688166666666699</v>
      </c>
    </row>
    <row r="3143" spans="1:7" x14ac:dyDescent="0.35">
      <c r="A3143" t="s">
        <v>847</v>
      </c>
      <c r="B3143" t="s">
        <v>680</v>
      </c>
      <c r="C3143" s="83">
        <v>46107</v>
      </c>
      <c r="D3143" t="s">
        <v>690</v>
      </c>
      <c r="E3143" t="s">
        <v>316</v>
      </c>
      <c r="F3143">
        <v>7</v>
      </c>
      <c r="G3143">
        <v>2.0034333333333301</v>
      </c>
    </row>
    <row r="3144" spans="1:7" x14ac:dyDescent="0.35">
      <c r="A3144" t="s">
        <v>847</v>
      </c>
      <c r="B3144" t="s">
        <v>680</v>
      </c>
      <c r="C3144" s="83">
        <v>46107</v>
      </c>
      <c r="D3144" t="s">
        <v>685</v>
      </c>
      <c r="E3144" t="s">
        <v>312</v>
      </c>
      <c r="F3144">
        <v>34</v>
      </c>
      <c r="G3144">
        <v>21.3307</v>
      </c>
    </row>
    <row r="3145" spans="1:7" x14ac:dyDescent="0.35">
      <c r="A3145" t="s">
        <v>847</v>
      </c>
      <c r="B3145" t="s">
        <v>680</v>
      </c>
      <c r="C3145" s="83">
        <v>46107</v>
      </c>
      <c r="D3145" t="s">
        <v>685</v>
      </c>
      <c r="E3145" t="s">
        <v>316</v>
      </c>
      <c r="F3145">
        <v>3</v>
      </c>
      <c r="G3145">
        <v>7.8358999999999996</v>
      </c>
    </row>
    <row r="3146" spans="1:7" x14ac:dyDescent="0.35">
      <c r="A3146" t="s">
        <v>847</v>
      </c>
      <c r="B3146" t="s">
        <v>680</v>
      </c>
      <c r="C3146" s="83">
        <v>46107</v>
      </c>
      <c r="D3146" t="s">
        <v>685</v>
      </c>
      <c r="E3146" t="s">
        <v>766</v>
      </c>
      <c r="F3146">
        <v>3</v>
      </c>
      <c r="G3146">
        <v>1.4998499999999999</v>
      </c>
    </row>
    <row r="3147" spans="1:7" x14ac:dyDescent="0.35">
      <c r="A3147" t="s">
        <v>847</v>
      </c>
      <c r="B3147" t="s">
        <v>680</v>
      </c>
      <c r="C3147" s="83">
        <v>46108</v>
      </c>
      <c r="D3147" t="s">
        <v>681</v>
      </c>
      <c r="E3147" t="s">
        <v>297</v>
      </c>
      <c r="F3147">
        <v>90</v>
      </c>
      <c r="G3147">
        <v>97.675316666666703</v>
      </c>
    </row>
    <row r="3148" spans="1:7" x14ac:dyDescent="0.35">
      <c r="A3148" t="s">
        <v>847</v>
      </c>
      <c r="B3148" t="s">
        <v>680</v>
      </c>
      <c r="C3148" s="83">
        <v>46108</v>
      </c>
      <c r="D3148" t="s">
        <v>681</v>
      </c>
      <c r="E3148" t="s">
        <v>296</v>
      </c>
      <c r="F3148">
        <v>88</v>
      </c>
      <c r="G3148">
        <v>43.560466666666699</v>
      </c>
    </row>
    <row r="3149" spans="1:7" x14ac:dyDescent="0.35">
      <c r="A3149" t="s">
        <v>847</v>
      </c>
      <c r="B3149" t="s">
        <v>680</v>
      </c>
      <c r="C3149" s="83">
        <v>46108</v>
      </c>
      <c r="D3149" t="s">
        <v>681</v>
      </c>
      <c r="E3149" t="s">
        <v>334</v>
      </c>
      <c r="F3149">
        <v>8</v>
      </c>
      <c r="G3149">
        <v>7.1760999999999999</v>
      </c>
    </row>
    <row r="3150" spans="1:7" x14ac:dyDescent="0.35">
      <c r="A3150" t="s">
        <v>847</v>
      </c>
      <c r="B3150" t="s">
        <v>680</v>
      </c>
      <c r="C3150" s="83">
        <v>46108</v>
      </c>
      <c r="D3150" t="s">
        <v>683</v>
      </c>
      <c r="E3150" t="s">
        <v>296</v>
      </c>
      <c r="F3150">
        <v>17</v>
      </c>
      <c r="G3150">
        <v>8.9953833333333293</v>
      </c>
    </row>
    <row r="3151" spans="1:7" x14ac:dyDescent="0.35">
      <c r="A3151" t="s">
        <v>847</v>
      </c>
      <c r="B3151" t="s">
        <v>680</v>
      </c>
      <c r="C3151" s="83">
        <v>46108</v>
      </c>
      <c r="D3151" t="s">
        <v>683</v>
      </c>
      <c r="E3151" t="s">
        <v>728</v>
      </c>
      <c r="F3151">
        <v>5</v>
      </c>
      <c r="G3151">
        <v>4.0006666666666701</v>
      </c>
    </row>
    <row r="3152" spans="1:7" x14ac:dyDescent="0.35">
      <c r="A3152" t="s">
        <v>847</v>
      </c>
      <c r="B3152" t="s">
        <v>680</v>
      </c>
      <c r="C3152" s="83">
        <v>46108</v>
      </c>
      <c r="D3152" t="s">
        <v>683</v>
      </c>
      <c r="E3152" t="s">
        <v>334</v>
      </c>
      <c r="F3152">
        <v>3</v>
      </c>
      <c r="G3152">
        <v>1.66573333333333</v>
      </c>
    </row>
    <row r="3153" spans="1:7" x14ac:dyDescent="0.35">
      <c r="A3153" t="s">
        <v>847</v>
      </c>
      <c r="B3153" t="s">
        <v>680</v>
      </c>
      <c r="C3153" s="83">
        <v>46108</v>
      </c>
      <c r="D3153" t="s">
        <v>689</v>
      </c>
      <c r="E3153" t="s">
        <v>296</v>
      </c>
      <c r="F3153">
        <v>49</v>
      </c>
      <c r="G3153">
        <v>43.178899999999999</v>
      </c>
    </row>
    <row r="3154" spans="1:7" x14ac:dyDescent="0.35">
      <c r="A3154" t="s">
        <v>847</v>
      </c>
      <c r="B3154" t="s">
        <v>680</v>
      </c>
      <c r="C3154" s="83">
        <v>46108</v>
      </c>
      <c r="D3154" t="s">
        <v>689</v>
      </c>
      <c r="E3154" t="s">
        <v>334</v>
      </c>
      <c r="F3154">
        <v>12</v>
      </c>
      <c r="G3154">
        <v>6.8254333333333301</v>
      </c>
    </row>
    <row r="3155" spans="1:7" x14ac:dyDescent="0.35">
      <c r="A3155" t="s">
        <v>847</v>
      </c>
      <c r="B3155" t="s">
        <v>680</v>
      </c>
      <c r="C3155" s="83">
        <v>46108</v>
      </c>
      <c r="D3155" t="s">
        <v>689</v>
      </c>
      <c r="E3155" t="s">
        <v>297</v>
      </c>
      <c r="F3155">
        <v>7</v>
      </c>
      <c r="G3155">
        <v>2.3336666666666699</v>
      </c>
    </row>
    <row r="3156" spans="1:7" x14ac:dyDescent="0.35">
      <c r="A3156" t="s">
        <v>847</v>
      </c>
      <c r="B3156" t="s">
        <v>680</v>
      </c>
      <c r="C3156" s="83">
        <v>46108</v>
      </c>
      <c r="D3156" t="s">
        <v>684</v>
      </c>
      <c r="E3156" t="s">
        <v>296</v>
      </c>
      <c r="F3156">
        <v>45</v>
      </c>
      <c r="G3156">
        <v>29.018083333333301</v>
      </c>
    </row>
    <row r="3157" spans="1:7" x14ac:dyDescent="0.35">
      <c r="A3157" t="s">
        <v>847</v>
      </c>
      <c r="B3157" t="s">
        <v>680</v>
      </c>
      <c r="C3157" s="83">
        <v>46108</v>
      </c>
      <c r="D3157" t="s">
        <v>684</v>
      </c>
      <c r="E3157" t="s">
        <v>297</v>
      </c>
      <c r="F3157">
        <v>25</v>
      </c>
      <c r="G3157">
        <v>11.1542833333333</v>
      </c>
    </row>
    <row r="3158" spans="1:7" x14ac:dyDescent="0.35">
      <c r="A3158" t="s">
        <v>847</v>
      </c>
      <c r="B3158" t="s">
        <v>680</v>
      </c>
      <c r="C3158" s="83">
        <v>46108</v>
      </c>
      <c r="D3158" t="s">
        <v>684</v>
      </c>
      <c r="E3158" t="s">
        <v>334</v>
      </c>
      <c r="F3158">
        <v>4</v>
      </c>
      <c r="G3158">
        <v>2.6671499999999999</v>
      </c>
    </row>
    <row r="3159" spans="1:7" x14ac:dyDescent="0.35">
      <c r="A3159" t="s">
        <v>847</v>
      </c>
      <c r="B3159" t="s">
        <v>680</v>
      </c>
      <c r="C3159" s="83">
        <v>46108</v>
      </c>
      <c r="D3159" t="s">
        <v>687</v>
      </c>
      <c r="E3159" t="s">
        <v>717</v>
      </c>
      <c r="F3159">
        <v>5</v>
      </c>
      <c r="G3159">
        <v>11.0016833333333</v>
      </c>
    </row>
    <row r="3160" spans="1:7" x14ac:dyDescent="0.35">
      <c r="A3160" t="s">
        <v>847</v>
      </c>
      <c r="B3160" t="s">
        <v>680</v>
      </c>
      <c r="C3160" s="83">
        <v>46108</v>
      </c>
      <c r="D3160" t="s">
        <v>687</v>
      </c>
      <c r="E3160" t="s">
        <v>729</v>
      </c>
      <c r="F3160">
        <v>4</v>
      </c>
      <c r="G3160">
        <v>3.6749000000000001</v>
      </c>
    </row>
    <row r="3161" spans="1:7" x14ac:dyDescent="0.35">
      <c r="A3161" t="s">
        <v>847</v>
      </c>
      <c r="B3161" t="s">
        <v>680</v>
      </c>
      <c r="C3161" s="83">
        <v>46108</v>
      </c>
      <c r="D3161" t="s">
        <v>687</v>
      </c>
      <c r="E3161" t="s">
        <v>767</v>
      </c>
      <c r="F3161">
        <v>4</v>
      </c>
      <c r="G3161">
        <v>3.4961500000000001</v>
      </c>
    </row>
    <row r="3162" spans="1:7" x14ac:dyDescent="0.35">
      <c r="A3162" t="s">
        <v>847</v>
      </c>
      <c r="B3162" t="s">
        <v>680</v>
      </c>
      <c r="C3162" s="83">
        <v>46108</v>
      </c>
      <c r="D3162" t="s">
        <v>688</v>
      </c>
      <c r="E3162" t="s">
        <v>311</v>
      </c>
      <c r="F3162">
        <v>13</v>
      </c>
      <c r="G3162">
        <v>105.374666666667</v>
      </c>
    </row>
    <row r="3163" spans="1:7" x14ac:dyDescent="0.35">
      <c r="A3163" t="s">
        <v>847</v>
      </c>
      <c r="B3163" t="s">
        <v>680</v>
      </c>
      <c r="C3163" s="83">
        <v>46108</v>
      </c>
      <c r="D3163" t="s">
        <v>688</v>
      </c>
      <c r="E3163" t="s">
        <v>720</v>
      </c>
      <c r="F3163">
        <v>2</v>
      </c>
      <c r="G3163">
        <v>1.8353666666666699</v>
      </c>
    </row>
    <row r="3164" spans="1:7" x14ac:dyDescent="0.35">
      <c r="A3164" t="s">
        <v>847</v>
      </c>
      <c r="B3164" t="s">
        <v>680</v>
      </c>
      <c r="C3164" s="83">
        <v>46108</v>
      </c>
      <c r="D3164" t="s">
        <v>688</v>
      </c>
      <c r="E3164" t="s">
        <v>724</v>
      </c>
      <c r="F3164">
        <v>1</v>
      </c>
      <c r="G3164">
        <v>445.25596666666701</v>
      </c>
    </row>
    <row r="3165" spans="1:7" x14ac:dyDescent="0.35">
      <c r="A3165" t="s">
        <v>847</v>
      </c>
      <c r="B3165" t="s">
        <v>680</v>
      </c>
      <c r="C3165" s="83">
        <v>46108</v>
      </c>
      <c r="D3165" t="s">
        <v>690</v>
      </c>
      <c r="E3165" t="s">
        <v>316</v>
      </c>
      <c r="F3165">
        <v>26</v>
      </c>
      <c r="G3165">
        <v>19.504833333333298</v>
      </c>
    </row>
    <row r="3166" spans="1:7" x14ac:dyDescent="0.35">
      <c r="A3166" t="s">
        <v>847</v>
      </c>
      <c r="B3166" t="s">
        <v>680</v>
      </c>
      <c r="C3166" s="83">
        <v>46108</v>
      </c>
      <c r="D3166" t="s">
        <v>690</v>
      </c>
      <c r="E3166" t="s">
        <v>318</v>
      </c>
      <c r="F3166">
        <v>2</v>
      </c>
      <c r="G3166">
        <v>32.004616666666699</v>
      </c>
    </row>
    <row r="3167" spans="1:7" x14ac:dyDescent="0.35">
      <c r="A3167" t="s">
        <v>847</v>
      </c>
      <c r="B3167" t="s">
        <v>680</v>
      </c>
      <c r="C3167" s="83">
        <v>46108</v>
      </c>
      <c r="D3167" t="s">
        <v>690</v>
      </c>
      <c r="E3167" t="s">
        <v>768</v>
      </c>
      <c r="F3167">
        <v>2</v>
      </c>
      <c r="G3167">
        <v>0.32543333333333302</v>
      </c>
    </row>
    <row r="3168" spans="1:7" x14ac:dyDescent="0.35">
      <c r="A3168" t="s">
        <v>847</v>
      </c>
      <c r="B3168" t="s">
        <v>680</v>
      </c>
      <c r="C3168" s="83">
        <v>46108</v>
      </c>
      <c r="D3168" t="s">
        <v>685</v>
      </c>
      <c r="E3168" t="s">
        <v>720</v>
      </c>
      <c r="F3168">
        <v>5</v>
      </c>
      <c r="G3168">
        <v>20.495433333333299</v>
      </c>
    </row>
    <row r="3169" spans="1:7" x14ac:dyDescent="0.35">
      <c r="A3169" t="s">
        <v>847</v>
      </c>
      <c r="B3169" t="s">
        <v>680</v>
      </c>
      <c r="C3169" s="83">
        <v>46108</v>
      </c>
      <c r="D3169" t="s">
        <v>685</v>
      </c>
      <c r="E3169" t="s">
        <v>766</v>
      </c>
      <c r="F3169">
        <v>3</v>
      </c>
      <c r="G3169">
        <v>19.336116666666701</v>
      </c>
    </row>
    <row r="3170" spans="1:7" x14ac:dyDescent="0.35">
      <c r="A3170" t="s">
        <v>847</v>
      </c>
      <c r="B3170" t="s">
        <v>680</v>
      </c>
      <c r="C3170" s="83">
        <v>46108</v>
      </c>
      <c r="D3170" t="s">
        <v>685</v>
      </c>
      <c r="E3170" t="s">
        <v>316</v>
      </c>
      <c r="F3170">
        <v>2</v>
      </c>
      <c r="G3170">
        <v>3.3348</v>
      </c>
    </row>
    <row r="3171" spans="1:7" x14ac:dyDescent="0.35">
      <c r="A3171" t="s">
        <v>847</v>
      </c>
      <c r="B3171" t="s">
        <v>680</v>
      </c>
      <c r="C3171" s="83">
        <v>46109</v>
      </c>
      <c r="D3171" t="s">
        <v>681</v>
      </c>
      <c r="E3171" t="s">
        <v>296</v>
      </c>
      <c r="F3171">
        <v>58</v>
      </c>
      <c r="G3171">
        <v>53.516750000000002</v>
      </c>
    </row>
    <row r="3172" spans="1:7" x14ac:dyDescent="0.35">
      <c r="A3172" t="s">
        <v>847</v>
      </c>
      <c r="B3172" t="s">
        <v>680</v>
      </c>
      <c r="C3172" s="83">
        <v>46109</v>
      </c>
      <c r="D3172" t="s">
        <v>681</v>
      </c>
      <c r="E3172" t="s">
        <v>298</v>
      </c>
      <c r="F3172">
        <v>47</v>
      </c>
      <c r="G3172">
        <v>51.484299999999998</v>
      </c>
    </row>
    <row r="3173" spans="1:7" x14ac:dyDescent="0.35">
      <c r="A3173" t="s">
        <v>847</v>
      </c>
      <c r="B3173" t="s">
        <v>680</v>
      </c>
      <c r="C3173" s="83">
        <v>46109</v>
      </c>
      <c r="D3173" t="s">
        <v>681</v>
      </c>
      <c r="E3173" t="s">
        <v>297</v>
      </c>
      <c r="F3173">
        <v>42</v>
      </c>
      <c r="G3173">
        <v>86.197766666666695</v>
      </c>
    </row>
    <row r="3174" spans="1:7" x14ac:dyDescent="0.35">
      <c r="A3174" t="s">
        <v>847</v>
      </c>
      <c r="B3174" t="s">
        <v>680</v>
      </c>
      <c r="C3174" s="83">
        <v>46109</v>
      </c>
      <c r="D3174" t="s">
        <v>683</v>
      </c>
      <c r="E3174" t="s">
        <v>298</v>
      </c>
      <c r="F3174">
        <v>48</v>
      </c>
      <c r="G3174">
        <v>109.32016666666701</v>
      </c>
    </row>
    <row r="3175" spans="1:7" x14ac:dyDescent="0.35">
      <c r="A3175" t="s">
        <v>847</v>
      </c>
      <c r="B3175" t="s">
        <v>680</v>
      </c>
      <c r="C3175" s="83">
        <v>46109</v>
      </c>
      <c r="D3175" t="s">
        <v>683</v>
      </c>
      <c r="E3175" t="s">
        <v>334</v>
      </c>
      <c r="F3175">
        <v>19</v>
      </c>
      <c r="G3175">
        <v>23.681799999999999</v>
      </c>
    </row>
    <row r="3176" spans="1:7" x14ac:dyDescent="0.35">
      <c r="A3176" t="s">
        <v>847</v>
      </c>
      <c r="B3176" t="s">
        <v>680</v>
      </c>
      <c r="C3176" s="83">
        <v>46109</v>
      </c>
      <c r="D3176" t="s">
        <v>683</v>
      </c>
      <c r="E3176" t="s">
        <v>332</v>
      </c>
      <c r="F3176">
        <v>10</v>
      </c>
      <c r="G3176">
        <v>17.675533333333298</v>
      </c>
    </row>
    <row r="3177" spans="1:7" x14ac:dyDescent="0.35">
      <c r="A3177" t="s">
        <v>847</v>
      </c>
      <c r="B3177" t="s">
        <v>680</v>
      </c>
      <c r="C3177" s="83">
        <v>46109</v>
      </c>
      <c r="D3177" t="s">
        <v>689</v>
      </c>
      <c r="E3177" t="s">
        <v>296</v>
      </c>
      <c r="F3177">
        <v>39</v>
      </c>
      <c r="G3177">
        <v>27.4712666666667</v>
      </c>
    </row>
    <row r="3178" spans="1:7" x14ac:dyDescent="0.35">
      <c r="A3178" t="s">
        <v>847</v>
      </c>
      <c r="B3178" t="s">
        <v>680</v>
      </c>
      <c r="C3178" s="83">
        <v>46109</v>
      </c>
      <c r="D3178" t="s">
        <v>689</v>
      </c>
      <c r="E3178" t="s">
        <v>297</v>
      </c>
      <c r="F3178">
        <v>11</v>
      </c>
      <c r="G3178">
        <v>4.9852499999999997</v>
      </c>
    </row>
    <row r="3179" spans="1:7" x14ac:dyDescent="0.35">
      <c r="A3179" t="s">
        <v>847</v>
      </c>
      <c r="B3179" t="s">
        <v>680</v>
      </c>
      <c r="C3179" s="83">
        <v>46109</v>
      </c>
      <c r="D3179" t="s">
        <v>689</v>
      </c>
      <c r="E3179" t="s">
        <v>769</v>
      </c>
      <c r="F3179">
        <v>9</v>
      </c>
      <c r="G3179">
        <v>34.344900000000003</v>
      </c>
    </row>
    <row r="3180" spans="1:7" x14ac:dyDescent="0.35">
      <c r="A3180" t="s">
        <v>847</v>
      </c>
      <c r="B3180" t="s">
        <v>680</v>
      </c>
      <c r="C3180" s="83">
        <v>46109</v>
      </c>
      <c r="D3180" t="s">
        <v>684</v>
      </c>
      <c r="E3180" t="s">
        <v>296</v>
      </c>
      <c r="F3180">
        <v>18</v>
      </c>
      <c r="G3180">
        <v>13.1832833333333</v>
      </c>
    </row>
    <row r="3181" spans="1:7" x14ac:dyDescent="0.35">
      <c r="A3181" t="s">
        <v>847</v>
      </c>
      <c r="B3181" t="s">
        <v>680</v>
      </c>
      <c r="C3181" s="83">
        <v>46109</v>
      </c>
      <c r="D3181" t="s">
        <v>684</v>
      </c>
      <c r="E3181" t="s">
        <v>769</v>
      </c>
      <c r="F3181">
        <v>6</v>
      </c>
      <c r="G3181">
        <v>45.666333333333299</v>
      </c>
    </row>
    <row r="3182" spans="1:7" x14ac:dyDescent="0.35">
      <c r="A3182" t="s">
        <v>847</v>
      </c>
      <c r="B3182" t="s">
        <v>680</v>
      </c>
      <c r="C3182" s="83">
        <v>46109</v>
      </c>
      <c r="D3182" t="s">
        <v>684</v>
      </c>
      <c r="E3182" t="s">
        <v>297</v>
      </c>
      <c r="F3182">
        <v>5</v>
      </c>
      <c r="G3182">
        <v>0.81948333333333301</v>
      </c>
    </row>
    <row r="3183" spans="1:7" x14ac:dyDescent="0.35">
      <c r="A3183" t="s">
        <v>847</v>
      </c>
      <c r="B3183" t="s">
        <v>680</v>
      </c>
      <c r="C3183" s="83">
        <v>46109</v>
      </c>
      <c r="D3183" t="s">
        <v>687</v>
      </c>
      <c r="E3183" t="s">
        <v>733</v>
      </c>
      <c r="F3183">
        <v>3</v>
      </c>
      <c r="G3183">
        <v>17.821166666666699</v>
      </c>
    </row>
    <row r="3184" spans="1:7" x14ac:dyDescent="0.35">
      <c r="A3184" t="s">
        <v>847</v>
      </c>
      <c r="B3184" t="s">
        <v>680</v>
      </c>
      <c r="C3184" s="83">
        <v>46109</v>
      </c>
      <c r="D3184" t="s">
        <v>687</v>
      </c>
      <c r="E3184" t="s">
        <v>718</v>
      </c>
      <c r="F3184">
        <v>2</v>
      </c>
      <c r="G3184">
        <v>1.6684666666666701</v>
      </c>
    </row>
    <row r="3185" spans="1:7" x14ac:dyDescent="0.35">
      <c r="A3185" t="s">
        <v>847</v>
      </c>
      <c r="B3185" t="s">
        <v>680</v>
      </c>
      <c r="C3185" s="83">
        <v>46109</v>
      </c>
      <c r="D3185" t="s">
        <v>687</v>
      </c>
      <c r="E3185" t="s">
        <v>729</v>
      </c>
      <c r="F3185">
        <v>2</v>
      </c>
      <c r="G3185">
        <v>0.4945</v>
      </c>
    </row>
    <row r="3186" spans="1:7" x14ac:dyDescent="0.35">
      <c r="A3186" t="s">
        <v>847</v>
      </c>
      <c r="B3186" t="s">
        <v>680</v>
      </c>
      <c r="C3186" s="83">
        <v>46109</v>
      </c>
      <c r="D3186" t="s">
        <v>688</v>
      </c>
      <c r="E3186" t="s">
        <v>311</v>
      </c>
      <c r="F3186">
        <v>21</v>
      </c>
      <c r="G3186">
        <v>27.281549999999999</v>
      </c>
    </row>
    <row r="3187" spans="1:7" x14ac:dyDescent="0.35">
      <c r="A3187" t="s">
        <v>847</v>
      </c>
      <c r="B3187" t="s">
        <v>680</v>
      </c>
      <c r="C3187" s="83">
        <v>46109</v>
      </c>
      <c r="D3187" t="s">
        <v>688</v>
      </c>
      <c r="E3187" t="s">
        <v>316</v>
      </c>
      <c r="F3187">
        <v>6</v>
      </c>
      <c r="G3187">
        <v>2.3255833333333298</v>
      </c>
    </row>
    <row r="3188" spans="1:7" x14ac:dyDescent="0.35">
      <c r="A3188" t="s">
        <v>847</v>
      </c>
      <c r="B3188" t="s">
        <v>680</v>
      </c>
      <c r="C3188" s="83">
        <v>46109</v>
      </c>
      <c r="D3188" t="s">
        <v>690</v>
      </c>
      <c r="E3188" t="s">
        <v>724</v>
      </c>
      <c r="F3188">
        <v>4</v>
      </c>
      <c r="G3188">
        <v>8.3414999999999999</v>
      </c>
    </row>
    <row r="3189" spans="1:7" x14ac:dyDescent="0.35">
      <c r="A3189" t="s">
        <v>847</v>
      </c>
      <c r="B3189" t="s">
        <v>680</v>
      </c>
      <c r="C3189" s="83">
        <v>46109</v>
      </c>
      <c r="D3189" t="s">
        <v>690</v>
      </c>
      <c r="E3189" t="s">
        <v>316</v>
      </c>
      <c r="F3189">
        <v>3</v>
      </c>
      <c r="G3189">
        <v>2.0061666666666702</v>
      </c>
    </row>
    <row r="3190" spans="1:7" x14ac:dyDescent="0.35">
      <c r="A3190" t="s">
        <v>847</v>
      </c>
      <c r="B3190" t="s">
        <v>680</v>
      </c>
      <c r="C3190" s="83">
        <v>46109</v>
      </c>
      <c r="D3190" t="s">
        <v>690</v>
      </c>
      <c r="E3190" t="s">
        <v>311</v>
      </c>
      <c r="F3190">
        <v>3</v>
      </c>
      <c r="G3190">
        <v>0.83203333333333296</v>
      </c>
    </row>
    <row r="3191" spans="1:7" x14ac:dyDescent="0.35">
      <c r="A3191" t="s">
        <v>847</v>
      </c>
      <c r="B3191" t="s">
        <v>680</v>
      </c>
      <c r="C3191" s="83">
        <v>46109</v>
      </c>
      <c r="D3191" t="s">
        <v>685</v>
      </c>
      <c r="E3191" t="s">
        <v>316</v>
      </c>
      <c r="F3191">
        <v>9</v>
      </c>
      <c r="G3191">
        <v>6.01295</v>
      </c>
    </row>
    <row r="3192" spans="1:7" x14ac:dyDescent="0.35">
      <c r="A3192" t="s">
        <v>847</v>
      </c>
      <c r="B3192" t="s">
        <v>680</v>
      </c>
      <c r="C3192" s="83">
        <v>46109</v>
      </c>
      <c r="D3192" t="s">
        <v>685</v>
      </c>
      <c r="E3192" t="s">
        <v>311</v>
      </c>
      <c r="F3192">
        <v>7</v>
      </c>
      <c r="G3192">
        <v>5.5199166666666697</v>
      </c>
    </row>
    <row r="3193" spans="1:7" x14ac:dyDescent="0.35">
      <c r="A3193" t="s">
        <v>847</v>
      </c>
      <c r="B3193" t="s">
        <v>680</v>
      </c>
      <c r="C3193" s="83">
        <v>46109</v>
      </c>
      <c r="D3193" t="s">
        <v>685</v>
      </c>
      <c r="E3193" t="s">
        <v>338</v>
      </c>
      <c r="F3193">
        <v>5</v>
      </c>
      <c r="G3193">
        <v>1.50115</v>
      </c>
    </row>
    <row r="3194" spans="1:7" x14ac:dyDescent="0.35">
      <c r="A3194" t="s">
        <v>847</v>
      </c>
      <c r="B3194" t="s">
        <v>680</v>
      </c>
      <c r="C3194" s="83">
        <v>46110</v>
      </c>
      <c r="D3194" t="s">
        <v>681</v>
      </c>
      <c r="E3194" t="s">
        <v>296</v>
      </c>
      <c r="F3194">
        <v>35</v>
      </c>
      <c r="G3194">
        <v>46.656883333333298</v>
      </c>
    </row>
    <row r="3195" spans="1:7" x14ac:dyDescent="0.35">
      <c r="A3195" t="s">
        <v>847</v>
      </c>
      <c r="B3195" t="s">
        <v>680</v>
      </c>
      <c r="C3195" s="83">
        <v>46110</v>
      </c>
      <c r="D3195" t="s">
        <v>681</v>
      </c>
      <c r="E3195" t="s">
        <v>297</v>
      </c>
      <c r="F3195">
        <v>27</v>
      </c>
      <c r="G3195">
        <v>10.81935</v>
      </c>
    </row>
    <row r="3196" spans="1:7" x14ac:dyDescent="0.35">
      <c r="A3196" t="s">
        <v>847</v>
      </c>
      <c r="B3196" t="s">
        <v>680</v>
      </c>
      <c r="C3196" s="83">
        <v>46110</v>
      </c>
      <c r="D3196" t="s">
        <v>681</v>
      </c>
      <c r="E3196" t="s">
        <v>298</v>
      </c>
      <c r="F3196">
        <v>23</v>
      </c>
      <c r="G3196">
        <v>33.002850000000002</v>
      </c>
    </row>
    <row r="3197" spans="1:7" x14ac:dyDescent="0.35">
      <c r="A3197" t="s">
        <v>847</v>
      </c>
      <c r="B3197" t="s">
        <v>680</v>
      </c>
      <c r="C3197" s="83">
        <v>46110</v>
      </c>
      <c r="D3197" t="s">
        <v>683</v>
      </c>
      <c r="E3197" t="s">
        <v>298</v>
      </c>
      <c r="F3197">
        <v>27</v>
      </c>
      <c r="G3197">
        <v>38.188316666666701</v>
      </c>
    </row>
    <row r="3198" spans="1:7" x14ac:dyDescent="0.35">
      <c r="A3198" t="s">
        <v>847</v>
      </c>
      <c r="B3198" t="s">
        <v>680</v>
      </c>
      <c r="C3198" s="83">
        <v>46110</v>
      </c>
      <c r="D3198" t="s">
        <v>683</v>
      </c>
      <c r="E3198" t="s">
        <v>296</v>
      </c>
      <c r="F3198">
        <v>17</v>
      </c>
      <c r="G3198">
        <v>37.327166666666699</v>
      </c>
    </row>
    <row r="3199" spans="1:7" x14ac:dyDescent="0.35">
      <c r="A3199" t="s">
        <v>847</v>
      </c>
      <c r="B3199" t="s">
        <v>680</v>
      </c>
      <c r="C3199" s="83">
        <v>46110</v>
      </c>
      <c r="D3199" t="s">
        <v>683</v>
      </c>
      <c r="E3199" t="s">
        <v>334</v>
      </c>
      <c r="F3199">
        <v>4</v>
      </c>
      <c r="G3199">
        <v>5.4917499999999997</v>
      </c>
    </row>
    <row r="3200" spans="1:7" x14ac:dyDescent="0.35">
      <c r="A3200" t="s">
        <v>847</v>
      </c>
      <c r="B3200" t="s">
        <v>680</v>
      </c>
      <c r="C3200" s="83">
        <v>46110</v>
      </c>
      <c r="D3200" t="s">
        <v>689</v>
      </c>
      <c r="E3200" t="s">
        <v>297</v>
      </c>
      <c r="F3200">
        <v>21</v>
      </c>
      <c r="G3200">
        <v>11.6727333333333</v>
      </c>
    </row>
    <row r="3201" spans="1:7" x14ac:dyDescent="0.35">
      <c r="A3201" t="s">
        <v>847</v>
      </c>
      <c r="B3201" t="s">
        <v>680</v>
      </c>
      <c r="C3201" s="83">
        <v>46110</v>
      </c>
      <c r="D3201" t="s">
        <v>689</v>
      </c>
      <c r="E3201" t="s">
        <v>296</v>
      </c>
      <c r="F3201">
        <v>13</v>
      </c>
      <c r="G3201">
        <v>24.835983333333299</v>
      </c>
    </row>
    <row r="3202" spans="1:7" x14ac:dyDescent="0.35">
      <c r="A3202" t="s">
        <v>847</v>
      </c>
      <c r="B3202" t="s">
        <v>680</v>
      </c>
      <c r="C3202" s="83">
        <v>46110</v>
      </c>
      <c r="D3202" t="s">
        <v>689</v>
      </c>
      <c r="E3202" t="s">
        <v>298</v>
      </c>
      <c r="F3202">
        <v>8</v>
      </c>
      <c r="G3202">
        <v>6.1584666666666701</v>
      </c>
    </row>
    <row r="3203" spans="1:7" x14ac:dyDescent="0.35">
      <c r="A3203" t="s">
        <v>847</v>
      </c>
      <c r="B3203" t="s">
        <v>680</v>
      </c>
      <c r="C3203" s="83">
        <v>46110</v>
      </c>
      <c r="D3203" t="s">
        <v>684</v>
      </c>
      <c r="E3203" t="s">
        <v>296</v>
      </c>
      <c r="F3203">
        <v>7</v>
      </c>
      <c r="G3203">
        <v>3.49623333333333</v>
      </c>
    </row>
    <row r="3204" spans="1:7" x14ac:dyDescent="0.35">
      <c r="A3204" t="s">
        <v>847</v>
      </c>
      <c r="B3204" t="s">
        <v>680</v>
      </c>
      <c r="C3204" s="83">
        <v>46110</v>
      </c>
      <c r="D3204" t="s">
        <v>684</v>
      </c>
      <c r="E3204" t="s">
        <v>727</v>
      </c>
      <c r="F3204">
        <v>6</v>
      </c>
      <c r="G3204">
        <v>6.3351666666666704</v>
      </c>
    </row>
    <row r="3205" spans="1:7" x14ac:dyDescent="0.35">
      <c r="A3205" t="s">
        <v>847</v>
      </c>
      <c r="B3205" t="s">
        <v>680</v>
      </c>
      <c r="C3205" s="83">
        <v>46110</v>
      </c>
      <c r="D3205" t="s">
        <v>684</v>
      </c>
      <c r="E3205" t="s">
        <v>298</v>
      </c>
      <c r="F3205">
        <v>6</v>
      </c>
      <c r="G3205">
        <v>8.00491666666667</v>
      </c>
    </row>
    <row r="3206" spans="1:7" x14ac:dyDescent="0.35">
      <c r="A3206" t="s">
        <v>847</v>
      </c>
      <c r="B3206" t="s">
        <v>680</v>
      </c>
      <c r="C3206" s="83">
        <v>46110</v>
      </c>
      <c r="D3206" t="s">
        <v>687</v>
      </c>
      <c r="E3206" t="s">
        <v>718</v>
      </c>
      <c r="F3206">
        <v>2</v>
      </c>
      <c r="G3206">
        <v>0.17281666666666701</v>
      </c>
    </row>
    <row r="3207" spans="1:7" x14ac:dyDescent="0.35">
      <c r="A3207" t="s">
        <v>847</v>
      </c>
      <c r="B3207" t="s">
        <v>680</v>
      </c>
      <c r="C3207" s="83">
        <v>46110</v>
      </c>
      <c r="D3207" t="s">
        <v>687</v>
      </c>
      <c r="E3207" t="s">
        <v>729</v>
      </c>
      <c r="F3207">
        <v>2</v>
      </c>
      <c r="G3207">
        <v>0.16669999999999999</v>
      </c>
    </row>
    <row r="3208" spans="1:7" x14ac:dyDescent="0.35">
      <c r="A3208" t="s">
        <v>847</v>
      </c>
      <c r="B3208" t="s">
        <v>680</v>
      </c>
      <c r="C3208" s="83">
        <v>46110</v>
      </c>
      <c r="D3208" t="s">
        <v>687</v>
      </c>
      <c r="E3208" t="s">
        <v>717</v>
      </c>
      <c r="F3208">
        <v>2</v>
      </c>
      <c r="G3208">
        <v>1.6666666666666701E-5</v>
      </c>
    </row>
    <row r="3209" spans="1:7" x14ac:dyDescent="0.35">
      <c r="A3209" t="s">
        <v>847</v>
      </c>
      <c r="B3209" t="s">
        <v>680</v>
      </c>
      <c r="C3209" s="83">
        <v>46110</v>
      </c>
      <c r="D3209" t="s">
        <v>688</v>
      </c>
      <c r="E3209" t="s">
        <v>338</v>
      </c>
      <c r="F3209">
        <v>5</v>
      </c>
      <c r="G3209">
        <v>1.5074666666666701</v>
      </c>
    </row>
    <row r="3210" spans="1:7" x14ac:dyDescent="0.35">
      <c r="A3210" t="s">
        <v>847</v>
      </c>
      <c r="B3210" t="s">
        <v>680</v>
      </c>
      <c r="C3210" s="83">
        <v>46110</v>
      </c>
      <c r="D3210" t="s">
        <v>688</v>
      </c>
      <c r="E3210" t="s">
        <v>321</v>
      </c>
      <c r="F3210">
        <v>4</v>
      </c>
      <c r="G3210">
        <v>3.3280666666666701</v>
      </c>
    </row>
    <row r="3211" spans="1:7" x14ac:dyDescent="0.35">
      <c r="A3211" t="s">
        <v>847</v>
      </c>
      <c r="B3211" t="s">
        <v>680</v>
      </c>
      <c r="C3211" s="83">
        <v>46110</v>
      </c>
      <c r="D3211" t="s">
        <v>688</v>
      </c>
      <c r="E3211" t="s">
        <v>720</v>
      </c>
      <c r="F3211">
        <v>3</v>
      </c>
      <c r="G3211">
        <v>1.8330833333333301</v>
      </c>
    </row>
    <row r="3212" spans="1:7" x14ac:dyDescent="0.35">
      <c r="A3212" t="s">
        <v>847</v>
      </c>
      <c r="B3212" t="s">
        <v>680</v>
      </c>
      <c r="C3212" s="83">
        <v>46110</v>
      </c>
      <c r="D3212" t="s">
        <v>690</v>
      </c>
      <c r="E3212" t="s">
        <v>311</v>
      </c>
      <c r="F3212">
        <v>8</v>
      </c>
      <c r="G3212">
        <v>11.9959666666667</v>
      </c>
    </row>
    <row r="3213" spans="1:7" x14ac:dyDescent="0.35">
      <c r="A3213" t="s">
        <v>847</v>
      </c>
      <c r="B3213" t="s">
        <v>680</v>
      </c>
      <c r="C3213" s="83">
        <v>46110</v>
      </c>
      <c r="D3213" t="s">
        <v>690</v>
      </c>
      <c r="E3213" t="s">
        <v>316</v>
      </c>
      <c r="F3213">
        <v>4</v>
      </c>
      <c r="G3213">
        <v>3.0004</v>
      </c>
    </row>
    <row r="3214" spans="1:7" x14ac:dyDescent="0.35">
      <c r="A3214" t="s">
        <v>847</v>
      </c>
      <c r="B3214" t="s">
        <v>680</v>
      </c>
      <c r="C3214" s="83">
        <v>46110</v>
      </c>
      <c r="D3214" t="s">
        <v>690</v>
      </c>
      <c r="E3214" t="s">
        <v>312</v>
      </c>
      <c r="F3214">
        <v>3</v>
      </c>
      <c r="G3214">
        <v>1.3339666666666701</v>
      </c>
    </row>
    <row r="3215" spans="1:7" x14ac:dyDescent="0.35">
      <c r="A3215" t="s">
        <v>847</v>
      </c>
      <c r="B3215" t="s">
        <v>680</v>
      </c>
      <c r="C3215" s="83">
        <v>46110</v>
      </c>
      <c r="D3215" t="s">
        <v>685</v>
      </c>
      <c r="E3215" t="s">
        <v>311</v>
      </c>
      <c r="F3215">
        <v>13</v>
      </c>
      <c r="G3215">
        <v>10.6681333333333</v>
      </c>
    </row>
    <row r="3216" spans="1:7" x14ac:dyDescent="0.35">
      <c r="A3216" t="s">
        <v>847</v>
      </c>
      <c r="B3216" t="s">
        <v>680</v>
      </c>
      <c r="C3216" s="83">
        <v>46110</v>
      </c>
      <c r="D3216" t="s">
        <v>685</v>
      </c>
      <c r="E3216" t="s">
        <v>316</v>
      </c>
      <c r="F3216">
        <v>7</v>
      </c>
      <c r="G3216">
        <v>2.7308333333333299</v>
      </c>
    </row>
    <row r="3217" spans="1:7" x14ac:dyDescent="0.35">
      <c r="A3217" t="s">
        <v>847</v>
      </c>
      <c r="B3217" t="s">
        <v>680</v>
      </c>
      <c r="C3217" s="83">
        <v>46110</v>
      </c>
      <c r="D3217" t="s">
        <v>685</v>
      </c>
      <c r="E3217" t="s">
        <v>338</v>
      </c>
      <c r="F3217">
        <v>4</v>
      </c>
      <c r="G3217">
        <v>1.8255333333333299</v>
      </c>
    </row>
    <row r="3218" spans="1:7" x14ac:dyDescent="0.35">
      <c r="A3218" t="s">
        <v>847</v>
      </c>
      <c r="B3218" t="s">
        <v>680</v>
      </c>
      <c r="C3218" s="83">
        <v>46111</v>
      </c>
      <c r="D3218" t="s">
        <v>681</v>
      </c>
      <c r="E3218" t="s">
        <v>298</v>
      </c>
      <c r="F3218">
        <v>39</v>
      </c>
      <c r="G3218">
        <v>70.520650000000003</v>
      </c>
    </row>
    <row r="3219" spans="1:7" x14ac:dyDescent="0.35">
      <c r="A3219" t="s">
        <v>847</v>
      </c>
      <c r="B3219" t="s">
        <v>680</v>
      </c>
      <c r="C3219" s="83">
        <v>46111</v>
      </c>
      <c r="D3219" t="s">
        <v>681</v>
      </c>
      <c r="E3219" t="s">
        <v>297</v>
      </c>
      <c r="F3219">
        <v>25</v>
      </c>
      <c r="G3219">
        <v>12.143599999999999</v>
      </c>
    </row>
    <row r="3220" spans="1:7" x14ac:dyDescent="0.35">
      <c r="A3220" t="s">
        <v>847</v>
      </c>
      <c r="B3220" t="s">
        <v>680</v>
      </c>
      <c r="C3220" s="83">
        <v>46111</v>
      </c>
      <c r="D3220" t="s">
        <v>681</v>
      </c>
      <c r="E3220" t="s">
        <v>300</v>
      </c>
      <c r="F3220">
        <v>10</v>
      </c>
      <c r="G3220">
        <v>6.6620833333333298</v>
      </c>
    </row>
    <row r="3221" spans="1:7" x14ac:dyDescent="0.35">
      <c r="A3221" t="s">
        <v>847</v>
      </c>
      <c r="B3221" t="s">
        <v>680</v>
      </c>
      <c r="C3221" s="83">
        <v>46111</v>
      </c>
      <c r="D3221" t="s">
        <v>683</v>
      </c>
      <c r="E3221" t="s">
        <v>298</v>
      </c>
      <c r="F3221">
        <v>25</v>
      </c>
      <c r="G3221">
        <v>47.010366666666698</v>
      </c>
    </row>
    <row r="3222" spans="1:7" x14ac:dyDescent="0.35">
      <c r="A3222" t="s">
        <v>847</v>
      </c>
      <c r="B3222" t="s">
        <v>680</v>
      </c>
      <c r="C3222" s="83">
        <v>46111</v>
      </c>
      <c r="D3222" t="s">
        <v>683</v>
      </c>
      <c r="E3222" t="s">
        <v>334</v>
      </c>
      <c r="F3222">
        <v>10</v>
      </c>
      <c r="G3222">
        <v>17.1891</v>
      </c>
    </row>
    <row r="3223" spans="1:7" x14ac:dyDescent="0.35">
      <c r="A3223" t="s">
        <v>847</v>
      </c>
      <c r="B3223" t="s">
        <v>680</v>
      </c>
      <c r="C3223" s="83">
        <v>46111</v>
      </c>
      <c r="D3223" t="s">
        <v>683</v>
      </c>
      <c r="E3223" t="s">
        <v>296</v>
      </c>
      <c r="F3223">
        <v>7</v>
      </c>
      <c r="G3223">
        <v>6.00535</v>
      </c>
    </row>
    <row r="3224" spans="1:7" x14ac:dyDescent="0.35">
      <c r="A3224" t="s">
        <v>847</v>
      </c>
      <c r="B3224" t="s">
        <v>680</v>
      </c>
      <c r="C3224" s="83">
        <v>46111</v>
      </c>
      <c r="D3224" t="s">
        <v>689</v>
      </c>
      <c r="E3224" t="s">
        <v>298</v>
      </c>
      <c r="F3224">
        <v>16</v>
      </c>
      <c r="G3224">
        <v>10.17905</v>
      </c>
    </row>
    <row r="3225" spans="1:7" x14ac:dyDescent="0.35">
      <c r="A3225" t="s">
        <v>847</v>
      </c>
      <c r="B3225" t="s">
        <v>680</v>
      </c>
      <c r="C3225" s="83">
        <v>46111</v>
      </c>
      <c r="D3225" t="s">
        <v>689</v>
      </c>
      <c r="E3225" t="s">
        <v>297</v>
      </c>
      <c r="F3225">
        <v>12</v>
      </c>
      <c r="G3225">
        <v>12.339266666666701</v>
      </c>
    </row>
    <row r="3226" spans="1:7" x14ac:dyDescent="0.35">
      <c r="A3226" t="s">
        <v>847</v>
      </c>
      <c r="B3226" t="s">
        <v>680</v>
      </c>
      <c r="C3226" s="83">
        <v>46111</v>
      </c>
      <c r="D3226" t="s">
        <v>689</v>
      </c>
      <c r="E3226" t="s">
        <v>334</v>
      </c>
      <c r="F3226">
        <v>7</v>
      </c>
      <c r="G3226">
        <v>14.1839666666667</v>
      </c>
    </row>
    <row r="3227" spans="1:7" x14ac:dyDescent="0.35">
      <c r="A3227" t="s">
        <v>847</v>
      </c>
      <c r="B3227" t="s">
        <v>680</v>
      </c>
      <c r="C3227" s="83">
        <v>46111</v>
      </c>
      <c r="D3227" t="s">
        <v>684</v>
      </c>
      <c r="E3227" t="s">
        <v>334</v>
      </c>
      <c r="F3227">
        <v>4</v>
      </c>
      <c r="G3227">
        <v>1.34713333333333</v>
      </c>
    </row>
    <row r="3228" spans="1:7" x14ac:dyDescent="0.35">
      <c r="A3228" t="s">
        <v>847</v>
      </c>
      <c r="B3228" t="s">
        <v>680</v>
      </c>
      <c r="C3228" s="83">
        <v>46111</v>
      </c>
      <c r="D3228" t="s">
        <v>684</v>
      </c>
      <c r="E3228" t="s">
        <v>296</v>
      </c>
      <c r="F3228">
        <v>4</v>
      </c>
      <c r="G3228">
        <v>5.4941166666666703</v>
      </c>
    </row>
    <row r="3229" spans="1:7" x14ac:dyDescent="0.35">
      <c r="A3229" t="s">
        <v>847</v>
      </c>
      <c r="B3229" t="s">
        <v>680</v>
      </c>
      <c r="C3229" s="83">
        <v>46111</v>
      </c>
      <c r="D3229" t="s">
        <v>684</v>
      </c>
      <c r="E3229" t="s">
        <v>297</v>
      </c>
      <c r="F3229">
        <v>4</v>
      </c>
      <c r="G3229">
        <v>1.3346166666666699</v>
      </c>
    </row>
    <row r="3230" spans="1:7" x14ac:dyDescent="0.35">
      <c r="A3230" t="s">
        <v>847</v>
      </c>
      <c r="B3230" t="s">
        <v>680</v>
      </c>
      <c r="C3230" s="83">
        <v>46111</v>
      </c>
      <c r="D3230" t="s">
        <v>687</v>
      </c>
      <c r="E3230" t="s">
        <v>726</v>
      </c>
      <c r="F3230">
        <v>4</v>
      </c>
      <c r="G3230">
        <v>4.0016333333333298</v>
      </c>
    </row>
    <row r="3231" spans="1:7" x14ac:dyDescent="0.35">
      <c r="A3231" t="s">
        <v>847</v>
      </c>
      <c r="B3231" t="s">
        <v>680</v>
      </c>
      <c r="C3231" s="83">
        <v>46111</v>
      </c>
      <c r="D3231" t="s">
        <v>687</v>
      </c>
      <c r="E3231" t="s">
        <v>733</v>
      </c>
      <c r="F3231">
        <v>2</v>
      </c>
      <c r="G3231">
        <v>0.49283333333333301</v>
      </c>
    </row>
    <row r="3232" spans="1:7" x14ac:dyDescent="0.35">
      <c r="A3232" t="s">
        <v>847</v>
      </c>
      <c r="B3232" t="s">
        <v>680</v>
      </c>
      <c r="C3232" s="83">
        <v>46111</v>
      </c>
      <c r="D3232" t="s">
        <v>687</v>
      </c>
      <c r="E3232" t="s">
        <v>717</v>
      </c>
      <c r="F3232">
        <v>2</v>
      </c>
      <c r="G3232">
        <v>1.00075</v>
      </c>
    </row>
    <row r="3233" spans="1:7" x14ac:dyDescent="0.35">
      <c r="A3233" t="s">
        <v>847</v>
      </c>
      <c r="B3233" t="s">
        <v>680</v>
      </c>
      <c r="C3233" s="83">
        <v>46111</v>
      </c>
      <c r="D3233" t="s">
        <v>688</v>
      </c>
      <c r="E3233" t="s">
        <v>338</v>
      </c>
      <c r="F3233">
        <v>11</v>
      </c>
      <c r="G3233">
        <v>8.6741833333333407</v>
      </c>
    </row>
    <row r="3234" spans="1:7" x14ac:dyDescent="0.35">
      <c r="A3234" t="s">
        <v>847</v>
      </c>
      <c r="B3234" t="s">
        <v>680</v>
      </c>
      <c r="C3234" s="83">
        <v>46111</v>
      </c>
      <c r="D3234" t="s">
        <v>688</v>
      </c>
      <c r="E3234" t="s">
        <v>311</v>
      </c>
      <c r="F3234">
        <v>10</v>
      </c>
      <c r="G3234">
        <v>12.5171833333333</v>
      </c>
    </row>
    <row r="3235" spans="1:7" x14ac:dyDescent="0.35">
      <c r="A3235" t="s">
        <v>847</v>
      </c>
      <c r="B3235" t="s">
        <v>680</v>
      </c>
      <c r="C3235" s="83">
        <v>46111</v>
      </c>
      <c r="D3235" t="s">
        <v>688</v>
      </c>
      <c r="E3235" t="s">
        <v>316</v>
      </c>
      <c r="F3235">
        <v>8</v>
      </c>
      <c r="G3235">
        <v>9.3330666666666708</v>
      </c>
    </row>
    <row r="3236" spans="1:7" x14ac:dyDescent="0.35">
      <c r="A3236" t="s">
        <v>847</v>
      </c>
      <c r="B3236" t="s">
        <v>680</v>
      </c>
      <c r="C3236" s="83">
        <v>46111</v>
      </c>
      <c r="D3236" t="s">
        <v>690</v>
      </c>
      <c r="E3236" t="s">
        <v>311</v>
      </c>
      <c r="F3236">
        <v>23</v>
      </c>
      <c r="G3236">
        <v>56.691233333333301</v>
      </c>
    </row>
    <row r="3237" spans="1:7" x14ac:dyDescent="0.35">
      <c r="A3237" t="s">
        <v>847</v>
      </c>
      <c r="B3237" t="s">
        <v>680</v>
      </c>
      <c r="C3237" s="83">
        <v>46111</v>
      </c>
      <c r="D3237" t="s">
        <v>690</v>
      </c>
      <c r="E3237" t="s">
        <v>312</v>
      </c>
      <c r="F3237">
        <v>6</v>
      </c>
      <c r="G3237">
        <v>2.48701666666667</v>
      </c>
    </row>
    <row r="3238" spans="1:7" x14ac:dyDescent="0.35">
      <c r="A3238" t="s">
        <v>847</v>
      </c>
      <c r="B3238" t="s">
        <v>680</v>
      </c>
      <c r="C3238" s="83">
        <v>46111</v>
      </c>
      <c r="D3238" t="s">
        <v>690</v>
      </c>
      <c r="E3238" t="s">
        <v>770</v>
      </c>
      <c r="F3238">
        <v>2</v>
      </c>
      <c r="G3238">
        <v>16.66705</v>
      </c>
    </row>
    <row r="3239" spans="1:7" x14ac:dyDescent="0.35">
      <c r="A3239" t="s">
        <v>847</v>
      </c>
      <c r="B3239" t="s">
        <v>680</v>
      </c>
      <c r="C3239" s="83">
        <v>46111</v>
      </c>
      <c r="D3239" t="s">
        <v>685</v>
      </c>
      <c r="E3239" t="s">
        <v>311</v>
      </c>
      <c r="F3239">
        <v>11</v>
      </c>
      <c r="G3239">
        <v>6.1681833333333298</v>
      </c>
    </row>
    <row r="3240" spans="1:7" x14ac:dyDescent="0.35">
      <c r="A3240" t="s">
        <v>847</v>
      </c>
      <c r="B3240" t="s">
        <v>680</v>
      </c>
      <c r="C3240" s="83">
        <v>46111</v>
      </c>
      <c r="D3240" t="s">
        <v>685</v>
      </c>
      <c r="E3240" t="s">
        <v>338</v>
      </c>
      <c r="F3240">
        <v>9</v>
      </c>
      <c r="G3240">
        <v>16.658049999999999</v>
      </c>
    </row>
    <row r="3241" spans="1:7" x14ac:dyDescent="0.35">
      <c r="A3241" t="s">
        <v>847</v>
      </c>
      <c r="B3241" t="s">
        <v>680</v>
      </c>
      <c r="C3241" s="83">
        <v>46111</v>
      </c>
      <c r="D3241" t="s">
        <v>685</v>
      </c>
      <c r="E3241" t="s">
        <v>316</v>
      </c>
      <c r="F3241">
        <v>6</v>
      </c>
      <c r="G3241">
        <v>3.2753666666666699</v>
      </c>
    </row>
    <row r="3242" spans="1:7" x14ac:dyDescent="0.35">
      <c r="A3242" t="s">
        <v>847</v>
      </c>
      <c r="B3242" t="s">
        <v>680</v>
      </c>
      <c r="C3242" s="83">
        <v>46112</v>
      </c>
      <c r="D3242" t="s">
        <v>681</v>
      </c>
      <c r="E3242" t="s">
        <v>298</v>
      </c>
      <c r="F3242">
        <v>23</v>
      </c>
      <c r="G3242">
        <v>21.838233333333299</v>
      </c>
    </row>
    <row r="3243" spans="1:7" x14ac:dyDescent="0.35">
      <c r="A3243" t="s">
        <v>847</v>
      </c>
      <c r="B3243" t="s">
        <v>680</v>
      </c>
      <c r="C3243" s="83">
        <v>46112</v>
      </c>
      <c r="D3243" t="s">
        <v>681</v>
      </c>
      <c r="E3243" t="s">
        <v>300</v>
      </c>
      <c r="F3243">
        <v>12</v>
      </c>
      <c r="G3243">
        <v>4.16163333333333</v>
      </c>
    </row>
    <row r="3244" spans="1:7" x14ac:dyDescent="0.35">
      <c r="A3244" t="s">
        <v>847</v>
      </c>
      <c r="B3244" t="s">
        <v>680</v>
      </c>
      <c r="C3244" s="83">
        <v>46112</v>
      </c>
      <c r="D3244" t="s">
        <v>681</v>
      </c>
      <c r="E3244" t="s">
        <v>296</v>
      </c>
      <c r="F3244">
        <v>9</v>
      </c>
      <c r="G3244">
        <v>15.1747333333333</v>
      </c>
    </row>
    <row r="3245" spans="1:7" x14ac:dyDescent="0.35">
      <c r="A3245" t="s">
        <v>847</v>
      </c>
      <c r="B3245" t="s">
        <v>680</v>
      </c>
      <c r="C3245" s="83">
        <v>46112</v>
      </c>
      <c r="D3245" t="s">
        <v>683</v>
      </c>
      <c r="E3245" t="s">
        <v>258</v>
      </c>
      <c r="F3245">
        <v>16</v>
      </c>
      <c r="G3245">
        <v>28.311299999999999</v>
      </c>
    </row>
    <row r="3246" spans="1:7" x14ac:dyDescent="0.35">
      <c r="A3246" t="s">
        <v>847</v>
      </c>
      <c r="B3246" t="s">
        <v>680</v>
      </c>
      <c r="C3246" s="83">
        <v>46112</v>
      </c>
      <c r="D3246" t="s">
        <v>683</v>
      </c>
      <c r="E3246" t="s">
        <v>298</v>
      </c>
      <c r="F3246">
        <v>15</v>
      </c>
      <c r="G3246">
        <v>18.978466666666701</v>
      </c>
    </row>
    <row r="3247" spans="1:7" x14ac:dyDescent="0.35">
      <c r="A3247" t="s">
        <v>847</v>
      </c>
      <c r="B3247" t="s">
        <v>680</v>
      </c>
      <c r="C3247" s="83">
        <v>46112</v>
      </c>
      <c r="D3247" t="s">
        <v>683</v>
      </c>
      <c r="E3247" t="s">
        <v>296</v>
      </c>
      <c r="F3247">
        <v>11</v>
      </c>
      <c r="G3247">
        <v>12.508433333333301</v>
      </c>
    </row>
    <row r="3248" spans="1:7" x14ac:dyDescent="0.35">
      <c r="A3248" t="s">
        <v>847</v>
      </c>
      <c r="B3248" t="s">
        <v>680</v>
      </c>
      <c r="C3248" s="83">
        <v>46112</v>
      </c>
      <c r="D3248" t="s">
        <v>689</v>
      </c>
      <c r="E3248" t="s">
        <v>298</v>
      </c>
      <c r="F3248">
        <v>11</v>
      </c>
      <c r="G3248">
        <v>8.3192666666666693</v>
      </c>
    </row>
    <row r="3249" spans="1:7" x14ac:dyDescent="0.35">
      <c r="A3249" t="s">
        <v>847</v>
      </c>
      <c r="B3249" t="s">
        <v>680</v>
      </c>
      <c r="C3249" s="83">
        <v>46112</v>
      </c>
      <c r="D3249" t="s">
        <v>689</v>
      </c>
      <c r="E3249" t="s">
        <v>296</v>
      </c>
      <c r="F3249">
        <v>7</v>
      </c>
      <c r="G3249">
        <v>24.828216666666702</v>
      </c>
    </row>
    <row r="3250" spans="1:7" x14ac:dyDescent="0.35">
      <c r="A3250" t="s">
        <v>847</v>
      </c>
      <c r="B3250" t="s">
        <v>680</v>
      </c>
      <c r="C3250" s="83">
        <v>46112</v>
      </c>
      <c r="D3250" t="s">
        <v>689</v>
      </c>
      <c r="E3250" t="s">
        <v>297</v>
      </c>
      <c r="F3250">
        <v>6</v>
      </c>
      <c r="G3250">
        <v>4.1760000000000002</v>
      </c>
    </row>
    <row r="3251" spans="1:7" x14ac:dyDescent="0.35">
      <c r="A3251" t="s">
        <v>847</v>
      </c>
      <c r="B3251" t="s">
        <v>680</v>
      </c>
      <c r="C3251" s="83">
        <v>46112</v>
      </c>
      <c r="D3251" t="s">
        <v>684</v>
      </c>
      <c r="E3251" t="s">
        <v>334</v>
      </c>
      <c r="F3251">
        <v>10</v>
      </c>
      <c r="G3251">
        <v>19.679983333333301</v>
      </c>
    </row>
    <row r="3252" spans="1:7" x14ac:dyDescent="0.35">
      <c r="A3252" t="s">
        <v>847</v>
      </c>
      <c r="B3252" t="s">
        <v>680</v>
      </c>
      <c r="C3252" s="83">
        <v>46112</v>
      </c>
      <c r="D3252" t="s">
        <v>684</v>
      </c>
      <c r="E3252" t="s">
        <v>300</v>
      </c>
      <c r="F3252">
        <v>4</v>
      </c>
      <c r="G3252">
        <v>2.6727666666666701</v>
      </c>
    </row>
    <row r="3253" spans="1:7" x14ac:dyDescent="0.35">
      <c r="A3253" t="s">
        <v>847</v>
      </c>
      <c r="B3253" t="s">
        <v>680</v>
      </c>
      <c r="C3253" s="83">
        <v>46112</v>
      </c>
      <c r="D3253" t="s">
        <v>684</v>
      </c>
      <c r="E3253" t="s">
        <v>298</v>
      </c>
      <c r="F3253">
        <v>4</v>
      </c>
      <c r="G3253">
        <v>3.8333666666666701</v>
      </c>
    </row>
    <row r="3254" spans="1:7" x14ac:dyDescent="0.35">
      <c r="A3254" t="s">
        <v>847</v>
      </c>
      <c r="B3254" t="s">
        <v>680</v>
      </c>
      <c r="C3254" s="83">
        <v>46112</v>
      </c>
      <c r="D3254" t="s">
        <v>687</v>
      </c>
      <c r="E3254" t="s">
        <v>733</v>
      </c>
      <c r="F3254">
        <v>2</v>
      </c>
      <c r="G3254">
        <v>1.66678333333333</v>
      </c>
    </row>
    <row r="3255" spans="1:7" x14ac:dyDescent="0.35">
      <c r="A3255" t="s">
        <v>847</v>
      </c>
      <c r="B3255" t="s">
        <v>680</v>
      </c>
      <c r="C3255" s="83">
        <v>46112</v>
      </c>
      <c r="D3255" t="s">
        <v>687</v>
      </c>
      <c r="E3255" t="s">
        <v>743</v>
      </c>
      <c r="F3255">
        <v>2</v>
      </c>
      <c r="G3255">
        <v>3.34053333333333</v>
      </c>
    </row>
    <row r="3256" spans="1:7" x14ac:dyDescent="0.35">
      <c r="A3256" t="s">
        <v>847</v>
      </c>
      <c r="B3256" t="s">
        <v>680</v>
      </c>
      <c r="C3256" s="83">
        <v>46112</v>
      </c>
      <c r="D3256" t="s">
        <v>687</v>
      </c>
      <c r="E3256" t="s">
        <v>729</v>
      </c>
      <c r="F3256">
        <v>2</v>
      </c>
      <c r="G3256">
        <v>0.16676666666666701</v>
      </c>
    </row>
    <row r="3257" spans="1:7" x14ac:dyDescent="0.35">
      <c r="A3257" t="s">
        <v>847</v>
      </c>
      <c r="B3257" t="s">
        <v>680</v>
      </c>
      <c r="C3257" s="83">
        <v>46112</v>
      </c>
      <c r="D3257" t="s">
        <v>688</v>
      </c>
      <c r="E3257" t="s">
        <v>316</v>
      </c>
      <c r="F3257">
        <v>33</v>
      </c>
      <c r="G3257">
        <v>19.670933333333299</v>
      </c>
    </row>
    <row r="3258" spans="1:7" x14ac:dyDescent="0.35">
      <c r="A3258" t="s">
        <v>847</v>
      </c>
      <c r="B3258" t="s">
        <v>680</v>
      </c>
      <c r="C3258" s="83">
        <v>46112</v>
      </c>
      <c r="D3258" t="s">
        <v>688</v>
      </c>
      <c r="E3258" t="s">
        <v>311</v>
      </c>
      <c r="F3258">
        <v>6</v>
      </c>
      <c r="G3258">
        <v>4.1676500000000001</v>
      </c>
    </row>
    <row r="3259" spans="1:7" x14ac:dyDescent="0.35">
      <c r="A3259" t="s">
        <v>847</v>
      </c>
      <c r="B3259" t="s">
        <v>680</v>
      </c>
      <c r="C3259" s="83">
        <v>46112</v>
      </c>
      <c r="D3259" t="s">
        <v>688</v>
      </c>
      <c r="E3259" t="s">
        <v>720</v>
      </c>
      <c r="F3259">
        <v>5</v>
      </c>
      <c r="G3259">
        <v>1.81086666666667</v>
      </c>
    </row>
    <row r="3260" spans="1:7" x14ac:dyDescent="0.35">
      <c r="A3260" t="s">
        <v>847</v>
      </c>
      <c r="B3260" t="s">
        <v>680</v>
      </c>
      <c r="C3260" s="83">
        <v>46112</v>
      </c>
      <c r="D3260" t="s">
        <v>690</v>
      </c>
      <c r="E3260" t="s">
        <v>724</v>
      </c>
      <c r="F3260">
        <v>16</v>
      </c>
      <c r="G3260">
        <v>43.6723</v>
      </c>
    </row>
    <row r="3261" spans="1:7" x14ac:dyDescent="0.35">
      <c r="A3261" t="s">
        <v>847</v>
      </c>
      <c r="B3261" t="s">
        <v>680</v>
      </c>
      <c r="C3261" s="83">
        <v>46112</v>
      </c>
      <c r="D3261" t="s">
        <v>690</v>
      </c>
      <c r="E3261" t="s">
        <v>311</v>
      </c>
      <c r="F3261">
        <v>5</v>
      </c>
      <c r="G3261">
        <v>2.4800499999999999</v>
      </c>
    </row>
    <row r="3262" spans="1:7" x14ac:dyDescent="0.35">
      <c r="A3262" t="s">
        <v>847</v>
      </c>
      <c r="B3262" t="s">
        <v>680</v>
      </c>
      <c r="C3262" s="83">
        <v>46112</v>
      </c>
      <c r="D3262" t="s">
        <v>690</v>
      </c>
      <c r="E3262" t="s">
        <v>319</v>
      </c>
      <c r="F3262">
        <v>4</v>
      </c>
      <c r="G3262">
        <v>31.662283333333299</v>
      </c>
    </row>
    <row r="3263" spans="1:7" x14ac:dyDescent="0.35">
      <c r="A3263" t="s">
        <v>847</v>
      </c>
      <c r="B3263" t="s">
        <v>680</v>
      </c>
      <c r="C3263" s="83">
        <v>46112</v>
      </c>
      <c r="D3263" t="s">
        <v>685</v>
      </c>
      <c r="E3263" t="s">
        <v>316</v>
      </c>
      <c r="F3263">
        <v>13</v>
      </c>
      <c r="G3263">
        <v>22.336016666666701</v>
      </c>
    </row>
    <row r="3264" spans="1:7" x14ac:dyDescent="0.35">
      <c r="A3264" t="s">
        <v>847</v>
      </c>
      <c r="B3264" t="s">
        <v>680</v>
      </c>
      <c r="C3264" s="83">
        <v>46112</v>
      </c>
      <c r="D3264" t="s">
        <v>685</v>
      </c>
      <c r="E3264" t="s">
        <v>311</v>
      </c>
      <c r="F3264">
        <v>12</v>
      </c>
      <c r="G3264">
        <v>6.1584500000000002</v>
      </c>
    </row>
    <row r="3265" spans="1:7" x14ac:dyDescent="0.35">
      <c r="A3265" t="s">
        <v>847</v>
      </c>
      <c r="B3265" t="s">
        <v>680</v>
      </c>
      <c r="C3265" s="83">
        <v>46112</v>
      </c>
      <c r="D3265" t="s">
        <v>685</v>
      </c>
      <c r="E3265" t="s">
        <v>312</v>
      </c>
      <c r="F3265">
        <v>9</v>
      </c>
      <c r="G3265">
        <v>3.3207166666666699</v>
      </c>
    </row>
    <row r="3266" spans="1:7" x14ac:dyDescent="0.35">
      <c r="A3266" t="s">
        <v>847</v>
      </c>
      <c r="B3266" t="s">
        <v>680</v>
      </c>
      <c r="C3266" s="83">
        <v>46113</v>
      </c>
      <c r="D3266" t="s">
        <v>681</v>
      </c>
      <c r="E3266" t="s">
        <v>298</v>
      </c>
      <c r="F3266">
        <v>43</v>
      </c>
      <c r="G3266">
        <v>57.52825</v>
      </c>
    </row>
    <row r="3267" spans="1:7" x14ac:dyDescent="0.35">
      <c r="A3267" t="s">
        <v>847</v>
      </c>
      <c r="B3267" t="s">
        <v>680</v>
      </c>
      <c r="C3267" s="83">
        <v>46113</v>
      </c>
      <c r="D3267" t="s">
        <v>681</v>
      </c>
      <c r="E3267" t="s">
        <v>296</v>
      </c>
      <c r="F3267">
        <v>15</v>
      </c>
      <c r="G3267">
        <v>4.5122999999999998</v>
      </c>
    </row>
    <row r="3268" spans="1:7" x14ac:dyDescent="0.35">
      <c r="A3268" t="s">
        <v>847</v>
      </c>
      <c r="B3268" t="s">
        <v>680</v>
      </c>
      <c r="C3268" s="83">
        <v>46113</v>
      </c>
      <c r="D3268" t="s">
        <v>681</v>
      </c>
      <c r="E3268" t="s">
        <v>334</v>
      </c>
      <c r="F3268">
        <v>5</v>
      </c>
      <c r="G3268">
        <v>3.8330500000000001</v>
      </c>
    </row>
    <row r="3269" spans="1:7" x14ac:dyDescent="0.35">
      <c r="A3269" t="s">
        <v>847</v>
      </c>
      <c r="B3269" t="s">
        <v>680</v>
      </c>
      <c r="C3269" s="83">
        <v>46113</v>
      </c>
      <c r="D3269" t="s">
        <v>683</v>
      </c>
      <c r="E3269" t="s">
        <v>298</v>
      </c>
      <c r="F3269">
        <v>27</v>
      </c>
      <c r="G3269">
        <v>25.8297833333333</v>
      </c>
    </row>
    <row r="3270" spans="1:7" x14ac:dyDescent="0.35">
      <c r="A3270" t="s">
        <v>847</v>
      </c>
      <c r="B3270" t="s">
        <v>680</v>
      </c>
      <c r="C3270" s="83">
        <v>46113</v>
      </c>
      <c r="D3270" t="s">
        <v>683</v>
      </c>
      <c r="E3270" t="s">
        <v>258</v>
      </c>
      <c r="F3270">
        <v>14</v>
      </c>
      <c r="G3270">
        <v>21.664000000000001</v>
      </c>
    </row>
    <row r="3271" spans="1:7" x14ac:dyDescent="0.35">
      <c r="A3271" t="s">
        <v>847</v>
      </c>
      <c r="B3271" t="s">
        <v>680</v>
      </c>
      <c r="C3271" s="83">
        <v>46113</v>
      </c>
      <c r="D3271" t="s">
        <v>683</v>
      </c>
      <c r="E3271" t="s">
        <v>296</v>
      </c>
      <c r="F3271">
        <v>6</v>
      </c>
      <c r="G3271">
        <v>2.6530666666666698</v>
      </c>
    </row>
    <row r="3272" spans="1:7" x14ac:dyDescent="0.35">
      <c r="A3272" t="s">
        <v>847</v>
      </c>
      <c r="B3272" t="s">
        <v>680</v>
      </c>
      <c r="C3272" s="83">
        <v>46113</v>
      </c>
      <c r="D3272" t="s">
        <v>689</v>
      </c>
      <c r="E3272" t="s">
        <v>298</v>
      </c>
      <c r="F3272">
        <v>14</v>
      </c>
      <c r="G3272">
        <v>29.018216666666699</v>
      </c>
    </row>
    <row r="3273" spans="1:7" x14ac:dyDescent="0.35">
      <c r="A3273" t="s">
        <v>847</v>
      </c>
      <c r="B3273" t="s">
        <v>680</v>
      </c>
      <c r="C3273" s="83">
        <v>46113</v>
      </c>
      <c r="D3273" t="s">
        <v>689</v>
      </c>
      <c r="E3273" t="s">
        <v>297</v>
      </c>
      <c r="F3273">
        <v>7</v>
      </c>
      <c r="G3273">
        <v>2.3270166666666698</v>
      </c>
    </row>
    <row r="3274" spans="1:7" x14ac:dyDescent="0.35">
      <c r="A3274" t="s">
        <v>847</v>
      </c>
      <c r="B3274" t="s">
        <v>680</v>
      </c>
      <c r="C3274" s="83">
        <v>46113</v>
      </c>
      <c r="D3274" t="s">
        <v>689</v>
      </c>
      <c r="E3274" t="s">
        <v>332</v>
      </c>
      <c r="F3274">
        <v>7</v>
      </c>
      <c r="G3274">
        <v>9.8274833333333298</v>
      </c>
    </row>
    <row r="3275" spans="1:7" x14ac:dyDescent="0.35">
      <c r="A3275" t="s">
        <v>847</v>
      </c>
      <c r="B3275" t="s">
        <v>680</v>
      </c>
      <c r="C3275" s="83">
        <v>46113</v>
      </c>
      <c r="D3275" t="s">
        <v>684</v>
      </c>
      <c r="E3275" t="s">
        <v>300</v>
      </c>
      <c r="F3275">
        <v>3</v>
      </c>
      <c r="G3275">
        <v>0.99963333333333304</v>
      </c>
    </row>
    <row r="3276" spans="1:7" x14ac:dyDescent="0.35">
      <c r="A3276" t="s">
        <v>847</v>
      </c>
      <c r="B3276" t="s">
        <v>680</v>
      </c>
      <c r="C3276" s="83">
        <v>46113</v>
      </c>
      <c r="D3276" t="s">
        <v>684</v>
      </c>
      <c r="E3276" t="s">
        <v>296</v>
      </c>
      <c r="F3276">
        <v>3</v>
      </c>
      <c r="G3276">
        <v>0.50596666666666701</v>
      </c>
    </row>
    <row r="3277" spans="1:7" x14ac:dyDescent="0.35">
      <c r="A3277" t="s">
        <v>847</v>
      </c>
      <c r="B3277" t="s">
        <v>680</v>
      </c>
      <c r="C3277" s="83">
        <v>46113</v>
      </c>
      <c r="D3277" t="s">
        <v>684</v>
      </c>
      <c r="E3277" t="s">
        <v>334</v>
      </c>
      <c r="F3277">
        <v>2</v>
      </c>
      <c r="G3277">
        <v>0.33361666666666701</v>
      </c>
    </row>
    <row r="3278" spans="1:7" x14ac:dyDescent="0.35">
      <c r="A3278" t="s">
        <v>847</v>
      </c>
      <c r="B3278" t="s">
        <v>680</v>
      </c>
      <c r="C3278" s="83">
        <v>46113</v>
      </c>
      <c r="D3278" t="s">
        <v>687</v>
      </c>
      <c r="E3278" t="s">
        <v>771</v>
      </c>
      <c r="F3278">
        <v>2</v>
      </c>
      <c r="G3278">
        <v>3.3338999999999999</v>
      </c>
    </row>
    <row r="3279" spans="1:7" x14ac:dyDescent="0.35">
      <c r="A3279" t="s">
        <v>847</v>
      </c>
      <c r="B3279" t="s">
        <v>680</v>
      </c>
      <c r="C3279" s="83">
        <v>46113</v>
      </c>
      <c r="D3279" t="s">
        <v>687</v>
      </c>
      <c r="E3279" t="s">
        <v>718</v>
      </c>
      <c r="F3279">
        <v>2</v>
      </c>
      <c r="G3279">
        <v>1.16615</v>
      </c>
    </row>
    <row r="3280" spans="1:7" x14ac:dyDescent="0.35">
      <c r="A3280" t="s">
        <v>847</v>
      </c>
      <c r="B3280" t="s">
        <v>680</v>
      </c>
      <c r="C3280" s="83">
        <v>46113</v>
      </c>
      <c r="D3280" t="s">
        <v>687</v>
      </c>
      <c r="E3280" t="s">
        <v>733</v>
      </c>
      <c r="F3280">
        <v>2</v>
      </c>
      <c r="G3280">
        <v>2.84113333333333</v>
      </c>
    </row>
    <row r="3281" spans="1:7" x14ac:dyDescent="0.35">
      <c r="A3281" t="s">
        <v>847</v>
      </c>
      <c r="B3281" t="s">
        <v>680</v>
      </c>
      <c r="C3281" s="83">
        <v>46113</v>
      </c>
      <c r="D3281" t="s">
        <v>688</v>
      </c>
      <c r="E3281" t="s">
        <v>311</v>
      </c>
      <c r="F3281">
        <v>26</v>
      </c>
      <c r="G3281">
        <v>18.6694666666667</v>
      </c>
    </row>
    <row r="3282" spans="1:7" x14ac:dyDescent="0.35">
      <c r="A3282" t="s">
        <v>847</v>
      </c>
      <c r="B3282" t="s">
        <v>680</v>
      </c>
      <c r="C3282" s="83">
        <v>46113</v>
      </c>
      <c r="D3282" t="s">
        <v>688</v>
      </c>
      <c r="E3282" t="s">
        <v>316</v>
      </c>
      <c r="F3282">
        <v>13</v>
      </c>
      <c r="G3282">
        <v>5.1647333333333298</v>
      </c>
    </row>
    <row r="3283" spans="1:7" x14ac:dyDescent="0.35">
      <c r="A3283" t="s">
        <v>847</v>
      </c>
      <c r="B3283" t="s">
        <v>680</v>
      </c>
      <c r="C3283" s="83">
        <v>46113</v>
      </c>
      <c r="D3283" t="s">
        <v>688</v>
      </c>
      <c r="E3283" t="s">
        <v>338</v>
      </c>
      <c r="F3283">
        <v>11</v>
      </c>
      <c r="G3283">
        <v>4.8234166666666702</v>
      </c>
    </row>
    <row r="3284" spans="1:7" x14ac:dyDescent="0.35">
      <c r="A3284" t="s">
        <v>847</v>
      </c>
      <c r="B3284" t="s">
        <v>680</v>
      </c>
      <c r="C3284" s="83">
        <v>46113</v>
      </c>
      <c r="D3284" t="s">
        <v>690</v>
      </c>
      <c r="E3284" t="s">
        <v>724</v>
      </c>
      <c r="F3284">
        <v>11</v>
      </c>
      <c r="G3284">
        <v>41.340766666666703</v>
      </c>
    </row>
    <row r="3285" spans="1:7" x14ac:dyDescent="0.35">
      <c r="A3285" t="s">
        <v>847</v>
      </c>
      <c r="B3285" t="s">
        <v>680</v>
      </c>
      <c r="C3285" s="83">
        <v>46113</v>
      </c>
      <c r="D3285" t="s">
        <v>690</v>
      </c>
      <c r="E3285" t="s">
        <v>316</v>
      </c>
      <c r="F3285">
        <v>4</v>
      </c>
      <c r="G3285">
        <v>1.8430166666666701</v>
      </c>
    </row>
    <row r="3286" spans="1:7" x14ac:dyDescent="0.35">
      <c r="A3286" t="s">
        <v>847</v>
      </c>
      <c r="B3286" t="s">
        <v>680</v>
      </c>
      <c r="C3286" s="83">
        <v>46113</v>
      </c>
      <c r="D3286" t="s">
        <v>690</v>
      </c>
      <c r="E3286" t="s">
        <v>311</v>
      </c>
      <c r="F3286">
        <v>3</v>
      </c>
      <c r="G3286">
        <v>0.83213333333333295</v>
      </c>
    </row>
    <row r="3287" spans="1:7" x14ac:dyDescent="0.35">
      <c r="A3287" t="s">
        <v>847</v>
      </c>
      <c r="B3287" t="s">
        <v>680</v>
      </c>
      <c r="C3287" s="83">
        <v>46113</v>
      </c>
      <c r="D3287" t="s">
        <v>685</v>
      </c>
      <c r="E3287" t="s">
        <v>311</v>
      </c>
      <c r="F3287">
        <v>6</v>
      </c>
      <c r="G3287">
        <v>3.8269166666666701</v>
      </c>
    </row>
    <row r="3288" spans="1:7" x14ac:dyDescent="0.35">
      <c r="A3288" t="s">
        <v>847</v>
      </c>
      <c r="B3288" t="s">
        <v>680</v>
      </c>
      <c r="C3288" s="83">
        <v>46113</v>
      </c>
      <c r="D3288" t="s">
        <v>685</v>
      </c>
      <c r="E3288" t="s">
        <v>640</v>
      </c>
      <c r="F3288">
        <v>3</v>
      </c>
      <c r="G3288">
        <v>1.4975166666666699</v>
      </c>
    </row>
    <row r="3289" spans="1:7" x14ac:dyDescent="0.35">
      <c r="A3289" t="s">
        <v>847</v>
      </c>
      <c r="B3289" t="s">
        <v>680</v>
      </c>
      <c r="C3289" s="83">
        <v>46113</v>
      </c>
      <c r="D3289" t="s">
        <v>685</v>
      </c>
      <c r="E3289" t="s">
        <v>316</v>
      </c>
      <c r="F3289">
        <v>2</v>
      </c>
      <c r="G3289">
        <v>1.4996833333333299</v>
      </c>
    </row>
    <row r="3290" spans="1:7" x14ac:dyDescent="0.35">
      <c r="A3290" t="s">
        <v>847</v>
      </c>
      <c r="B3290" t="s">
        <v>680</v>
      </c>
      <c r="C3290" s="83">
        <v>46114</v>
      </c>
      <c r="D3290" t="s">
        <v>681</v>
      </c>
      <c r="E3290" t="s">
        <v>298</v>
      </c>
      <c r="F3290">
        <v>27</v>
      </c>
      <c r="G3290">
        <v>26.48395</v>
      </c>
    </row>
    <row r="3291" spans="1:7" x14ac:dyDescent="0.35">
      <c r="A3291" t="s">
        <v>847</v>
      </c>
      <c r="B3291" t="s">
        <v>680</v>
      </c>
      <c r="C3291" s="83">
        <v>46114</v>
      </c>
      <c r="D3291" t="s">
        <v>681</v>
      </c>
      <c r="E3291" t="s">
        <v>296</v>
      </c>
      <c r="F3291">
        <v>20</v>
      </c>
      <c r="G3291">
        <v>7.1599500000000003</v>
      </c>
    </row>
    <row r="3292" spans="1:7" x14ac:dyDescent="0.35">
      <c r="A3292" t="s">
        <v>847</v>
      </c>
      <c r="B3292" t="s">
        <v>680</v>
      </c>
      <c r="C3292" s="83">
        <v>46114</v>
      </c>
      <c r="D3292" t="s">
        <v>681</v>
      </c>
      <c r="E3292" t="s">
        <v>297</v>
      </c>
      <c r="F3292">
        <v>8</v>
      </c>
      <c r="G3292">
        <v>3.16021666666667</v>
      </c>
    </row>
    <row r="3293" spans="1:7" x14ac:dyDescent="0.35">
      <c r="A3293" t="s">
        <v>847</v>
      </c>
      <c r="B3293" t="s">
        <v>680</v>
      </c>
      <c r="C3293" s="83">
        <v>46114</v>
      </c>
      <c r="D3293" t="s">
        <v>683</v>
      </c>
      <c r="E3293" t="s">
        <v>258</v>
      </c>
      <c r="F3293">
        <v>29</v>
      </c>
      <c r="G3293">
        <v>99.493566666666695</v>
      </c>
    </row>
    <row r="3294" spans="1:7" x14ac:dyDescent="0.35">
      <c r="A3294" t="s">
        <v>847</v>
      </c>
      <c r="B3294" t="s">
        <v>680</v>
      </c>
      <c r="C3294" s="83">
        <v>46114</v>
      </c>
      <c r="D3294" t="s">
        <v>683</v>
      </c>
      <c r="E3294" t="s">
        <v>298</v>
      </c>
      <c r="F3294">
        <v>19</v>
      </c>
      <c r="G3294">
        <v>16.494716666666701</v>
      </c>
    </row>
    <row r="3295" spans="1:7" x14ac:dyDescent="0.35">
      <c r="A3295" t="s">
        <v>847</v>
      </c>
      <c r="B3295" t="s">
        <v>680</v>
      </c>
      <c r="C3295" s="83">
        <v>46114</v>
      </c>
      <c r="D3295" t="s">
        <v>683</v>
      </c>
      <c r="E3295" t="s">
        <v>334</v>
      </c>
      <c r="F3295">
        <v>9</v>
      </c>
      <c r="G3295">
        <v>20.332066666666702</v>
      </c>
    </row>
    <row r="3296" spans="1:7" x14ac:dyDescent="0.35">
      <c r="A3296" t="s">
        <v>847</v>
      </c>
      <c r="B3296" t="s">
        <v>680</v>
      </c>
      <c r="C3296" s="83">
        <v>46114</v>
      </c>
      <c r="D3296" t="s">
        <v>689</v>
      </c>
      <c r="E3296" t="s">
        <v>297</v>
      </c>
      <c r="F3296">
        <v>13</v>
      </c>
      <c r="G3296">
        <v>11.163116666666699</v>
      </c>
    </row>
    <row r="3297" spans="1:7" x14ac:dyDescent="0.35">
      <c r="A3297" t="s">
        <v>847</v>
      </c>
      <c r="B3297" t="s">
        <v>680</v>
      </c>
      <c r="C3297" s="83">
        <v>46114</v>
      </c>
      <c r="D3297" t="s">
        <v>689</v>
      </c>
      <c r="E3297" t="s">
        <v>298</v>
      </c>
      <c r="F3297">
        <v>12</v>
      </c>
      <c r="G3297">
        <v>5.1461666666666703</v>
      </c>
    </row>
    <row r="3298" spans="1:7" x14ac:dyDescent="0.35">
      <c r="A3298" t="s">
        <v>847</v>
      </c>
      <c r="B3298" t="s">
        <v>680</v>
      </c>
      <c r="C3298" s="83">
        <v>46114</v>
      </c>
      <c r="D3298" t="s">
        <v>689</v>
      </c>
      <c r="E3298" t="s">
        <v>300</v>
      </c>
      <c r="F3298">
        <v>7</v>
      </c>
      <c r="G3298">
        <v>10.8358666666667</v>
      </c>
    </row>
    <row r="3299" spans="1:7" x14ac:dyDescent="0.35">
      <c r="A3299" t="s">
        <v>847</v>
      </c>
      <c r="B3299" t="s">
        <v>680</v>
      </c>
      <c r="C3299" s="83">
        <v>46114</v>
      </c>
      <c r="D3299" t="s">
        <v>684</v>
      </c>
      <c r="E3299" t="s">
        <v>296</v>
      </c>
      <c r="F3299">
        <v>11</v>
      </c>
      <c r="G3299">
        <v>8.1735500000000005</v>
      </c>
    </row>
    <row r="3300" spans="1:7" x14ac:dyDescent="0.35">
      <c r="A3300" t="s">
        <v>847</v>
      </c>
      <c r="B3300" t="s">
        <v>680</v>
      </c>
      <c r="C3300" s="83">
        <v>46114</v>
      </c>
      <c r="D3300" t="s">
        <v>684</v>
      </c>
      <c r="E3300" t="s">
        <v>297</v>
      </c>
      <c r="F3300">
        <v>4</v>
      </c>
      <c r="G3300">
        <v>4.6662166666666698</v>
      </c>
    </row>
    <row r="3301" spans="1:7" x14ac:dyDescent="0.35">
      <c r="A3301" t="s">
        <v>847</v>
      </c>
      <c r="B3301" t="s">
        <v>680</v>
      </c>
      <c r="C3301" s="83">
        <v>46114</v>
      </c>
      <c r="D3301" t="s">
        <v>684</v>
      </c>
      <c r="E3301" t="s">
        <v>334</v>
      </c>
      <c r="F3301">
        <v>4</v>
      </c>
      <c r="G3301">
        <v>3.1815166666666701</v>
      </c>
    </row>
    <row r="3302" spans="1:7" x14ac:dyDescent="0.35">
      <c r="A3302" t="s">
        <v>847</v>
      </c>
      <c r="B3302" t="s">
        <v>680</v>
      </c>
      <c r="C3302" s="83">
        <v>46114</v>
      </c>
      <c r="D3302" t="s">
        <v>687</v>
      </c>
      <c r="E3302" t="s">
        <v>726</v>
      </c>
      <c r="F3302">
        <v>6</v>
      </c>
      <c r="G3302">
        <v>12.682449999999999</v>
      </c>
    </row>
    <row r="3303" spans="1:7" x14ac:dyDescent="0.35">
      <c r="A3303" t="s">
        <v>847</v>
      </c>
      <c r="B3303" t="s">
        <v>680</v>
      </c>
      <c r="C3303" s="83">
        <v>46114</v>
      </c>
      <c r="D3303" t="s">
        <v>687</v>
      </c>
      <c r="E3303" t="s">
        <v>717</v>
      </c>
      <c r="F3303">
        <v>5</v>
      </c>
      <c r="G3303">
        <v>2.66598333333333</v>
      </c>
    </row>
    <row r="3304" spans="1:7" x14ac:dyDescent="0.35">
      <c r="A3304" t="s">
        <v>847</v>
      </c>
      <c r="B3304" t="s">
        <v>680</v>
      </c>
      <c r="C3304" s="83">
        <v>46114</v>
      </c>
      <c r="D3304" t="s">
        <v>687</v>
      </c>
      <c r="E3304" t="s">
        <v>746</v>
      </c>
      <c r="F3304">
        <v>3</v>
      </c>
      <c r="G3304">
        <v>2.0054500000000002</v>
      </c>
    </row>
    <row r="3305" spans="1:7" x14ac:dyDescent="0.35">
      <c r="A3305" t="s">
        <v>847</v>
      </c>
      <c r="B3305" t="s">
        <v>680</v>
      </c>
      <c r="C3305" s="83">
        <v>46114</v>
      </c>
      <c r="D3305" t="s">
        <v>688</v>
      </c>
      <c r="E3305" t="s">
        <v>316</v>
      </c>
      <c r="F3305">
        <v>14</v>
      </c>
      <c r="G3305">
        <v>7.6464833333333297</v>
      </c>
    </row>
    <row r="3306" spans="1:7" x14ac:dyDescent="0.35">
      <c r="A3306" t="s">
        <v>847</v>
      </c>
      <c r="B3306" t="s">
        <v>680</v>
      </c>
      <c r="C3306" s="83">
        <v>46114</v>
      </c>
      <c r="D3306" t="s">
        <v>688</v>
      </c>
      <c r="E3306" t="s">
        <v>311</v>
      </c>
      <c r="F3306">
        <v>9</v>
      </c>
      <c r="G3306">
        <v>5.1634166666666701</v>
      </c>
    </row>
    <row r="3307" spans="1:7" x14ac:dyDescent="0.35">
      <c r="A3307" t="s">
        <v>847</v>
      </c>
      <c r="B3307" t="s">
        <v>680</v>
      </c>
      <c r="C3307" s="83">
        <v>46114</v>
      </c>
      <c r="D3307" t="s">
        <v>688</v>
      </c>
      <c r="E3307" t="s">
        <v>312</v>
      </c>
      <c r="F3307">
        <v>7</v>
      </c>
      <c r="G3307">
        <v>3.6808333333333301</v>
      </c>
    </row>
    <row r="3308" spans="1:7" x14ac:dyDescent="0.35">
      <c r="A3308" t="s">
        <v>847</v>
      </c>
      <c r="B3308" t="s">
        <v>680</v>
      </c>
      <c r="C3308" s="83">
        <v>46114</v>
      </c>
      <c r="D3308" t="s">
        <v>690</v>
      </c>
      <c r="E3308" t="s">
        <v>724</v>
      </c>
      <c r="F3308">
        <v>31</v>
      </c>
      <c r="G3308">
        <v>122.866166666667</v>
      </c>
    </row>
    <row r="3309" spans="1:7" x14ac:dyDescent="0.35">
      <c r="A3309" t="s">
        <v>847</v>
      </c>
      <c r="B3309" t="s">
        <v>680</v>
      </c>
      <c r="C3309" s="83">
        <v>46114</v>
      </c>
      <c r="D3309" t="s">
        <v>690</v>
      </c>
      <c r="E3309" t="s">
        <v>311</v>
      </c>
      <c r="F3309">
        <v>10</v>
      </c>
      <c r="G3309">
        <v>4.6624333333333299</v>
      </c>
    </row>
    <row r="3310" spans="1:7" x14ac:dyDescent="0.35">
      <c r="A3310" t="s">
        <v>847</v>
      </c>
      <c r="B3310" t="s">
        <v>680</v>
      </c>
      <c r="C3310" s="83">
        <v>46114</v>
      </c>
      <c r="D3310" t="s">
        <v>690</v>
      </c>
      <c r="E3310" t="s">
        <v>720</v>
      </c>
      <c r="F3310">
        <v>5</v>
      </c>
      <c r="G3310">
        <v>2.4918666666666698</v>
      </c>
    </row>
    <row r="3311" spans="1:7" x14ac:dyDescent="0.35">
      <c r="A3311" t="s">
        <v>847</v>
      </c>
      <c r="B3311" t="s">
        <v>680</v>
      </c>
      <c r="C3311" s="83">
        <v>46114</v>
      </c>
      <c r="D3311" t="s">
        <v>685</v>
      </c>
      <c r="E3311" t="s">
        <v>338</v>
      </c>
      <c r="F3311">
        <v>7</v>
      </c>
      <c r="G3311">
        <v>4.5021666666666702</v>
      </c>
    </row>
    <row r="3312" spans="1:7" x14ac:dyDescent="0.35">
      <c r="A3312" t="s">
        <v>847</v>
      </c>
      <c r="B3312" t="s">
        <v>680</v>
      </c>
      <c r="C3312" s="83">
        <v>46114</v>
      </c>
      <c r="D3312" t="s">
        <v>685</v>
      </c>
      <c r="E3312" t="s">
        <v>311</v>
      </c>
      <c r="F3312">
        <v>5</v>
      </c>
      <c r="G3312">
        <v>1.33951666666667</v>
      </c>
    </row>
    <row r="3313" spans="1:7" x14ac:dyDescent="0.35">
      <c r="A3313" t="s">
        <v>847</v>
      </c>
      <c r="B3313" t="s">
        <v>680</v>
      </c>
      <c r="C3313" s="83">
        <v>46114</v>
      </c>
      <c r="D3313" t="s">
        <v>685</v>
      </c>
      <c r="E3313" t="s">
        <v>720</v>
      </c>
      <c r="F3313">
        <v>3</v>
      </c>
      <c r="G3313">
        <v>2.1680666666666699</v>
      </c>
    </row>
    <row r="3314" spans="1:7" x14ac:dyDescent="0.35">
      <c r="A3314" t="s">
        <v>847</v>
      </c>
      <c r="B3314" t="s">
        <v>680</v>
      </c>
      <c r="C3314" s="83">
        <v>46115</v>
      </c>
      <c r="D3314" t="s">
        <v>681</v>
      </c>
      <c r="E3314" t="s">
        <v>298</v>
      </c>
      <c r="F3314">
        <v>24</v>
      </c>
      <c r="G3314">
        <v>26.912849999999999</v>
      </c>
    </row>
    <row r="3315" spans="1:7" x14ac:dyDescent="0.35">
      <c r="A3315" t="s">
        <v>847</v>
      </c>
      <c r="B3315" t="s">
        <v>680</v>
      </c>
      <c r="C3315" s="83">
        <v>46115</v>
      </c>
      <c r="D3315" t="s">
        <v>681</v>
      </c>
      <c r="E3315" t="s">
        <v>296</v>
      </c>
      <c r="F3315">
        <v>14</v>
      </c>
      <c r="G3315">
        <v>4.3216000000000001</v>
      </c>
    </row>
    <row r="3316" spans="1:7" x14ac:dyDescent="0.35">
      <c r="A3316" t="s">
        <v>847</v>
      </c>
      <c r="B3316" t="s">
        <v>680</v>
      </c>
      <c r="C3316" s="83">
        <v>46115</v>
      </c>
      <c r="D3316" t="s">
        <v>681</v>
      </c>
      <c r="E3316" t="s">
        <v>297</v>
      </c>
      <c r="F3316">
        <v>12</v>
      </c>
      <c r="G3316">
        <v>4.1815499999999997</v>
      </c>
    </row>
    <row r="3317" spans="1:7" x14ac:dyDescent="0.35">
      <c r="A3317" t="s">
        <v>847</v>
      </c>
      <c r="B3317" t="s">
        <v>680</v>
      </c>
      <c r="C3317" s="83">
        <v>46115</v>
      </c>
      <c r="D3317" t="s">
        <v>683</v>
      </c>
      <c r="E3317" t="s">
        <v>727</v>
      </c>
      <c r="F3317">
        <v>21</v>
      </c>
      <c r="G3317">
        <v>13.631916666666701</v>
      </c>
    </row>
    <row r="3318" spans="1:7" x14ac:dyDescent="0.35">
      <c r="A3318" t="s">
        <v>847</v>
      </c>
      <c r="B3318" t="s">
        <v>680</v>
      </c>
      <c r="C3318" s="83">
        <v>46115</v>
      </c>
      <c r="D3318" t="s">
        <v>683</v>
      </c>
      <c r="E3318" t="s">
        <v>298</v>
      </c>
      <c r="F3318">
        <v>20</v>
      </c>
      <c r="G3318">
        <v>25.1694833333333</v>
      </c>
    </row>
    <row r="3319" spans="1:7" x14ac:dyDescent="0.35">
      <c r="A3319" t="s">
        <v>847</v>
      </c>
      <c r="B3319" t="s">
        <v>680</v>
      </c>
      <c r="C3319" s="83">
        <v>46115</v>
      </c>
      <c r="D3319" t="s">
        <v>683</v>
      </c>
      <c r="E3319" t="s">
        <v>334</v>
      </c>
      <c r="F3319">
        <v>11</v>
      </c>
      <c r="G3319">
        <v>3.9940000000000002</v>
      </c>
    </row>
    <row r="3320" spans="1:7" x14ac:dyDescent="0.35">
      <c r="A3320" t="s">
        <v>847</v>
      </c>
      <c r="B3320" t="s">
        <v>680</v>
      </c>
      <c r="C3320" s="83">
        <v>46115</v>
      </c>
      <c r="D3320" t="s">
        <v>689</v>
      </c>
      <c r="E3320" t="s">
        <v>296</v>
      </c>
      <c r="F3320">
        <v>26</v>
      </c>
      <c r="G3320">
        <v>17.9697</v>
      </c>
    </row>
    <row r="3321" spans="1:7" x14ac:dyDescent="0.35">
      <c r="A3321" t="s">
        <v>847</v>
      </c>
      <c r="B3321" t="s">
        <v>680</v>
      </c>
      <c r="C3321" s="83">
        <v>46115</v>
      </c>
      <c r="D3321" t="s">
        <v>689</v>
      </c>
      <c r="E3321" t="s">
        <v>728</v>
      </c>
      <c r="F3321">
        <v>10</v>
      </c>
      <c r="G3321">
        <v>96.663366666666704</v>
      </c>
    </row>
    <row r="3322" spans="1:7" x14ac:dyDescent="0.35">
      <c r="A3322" t="s">
        <v>847</v>
      </c>
      <c r="B3322" t="s">
        <v>680</v>
      </c>
      <c r="C3322" s="83">
        <v>46115</v>
      </c>
      <c r="D3322" t="s">
        <v>689</v>
      </c>
      <c r="E3322" t="s">
        <v>304</v>
      </c>
      <c r="F3322">
        <v>9</v>
      </c>
      <c r="G3322">
        <v>7.4942500000000001</v>
      </c>
    </row>
    <row r="3323" spans="1:7" x14ac:dyDescent="0.35">
      <c r="A3323" t="s">
        <v>847</v>
      </c>
      <c r="B3323" t="s">
        <v>680</v>
      </c>
      <c r="C3323" s="83">
        <v>46115</v>
      </c>
      <c r="D3323" t="s">
        <v>684</v>
      </c>
      <c r="E3323" t="s">
        <v>304</v>
      </c>
      <c r="F3323">
        <v>4</v>
      </c>
      <c r="G3323">
        <v>0.66674999999999995</v>
      </c>
    </row>
    <row r="3324" spans="1:7" x14ac:dyDescent="0.35">
      <c r="A3324" t="s">
        <v>847</v>
      </c>
      <c r="B3324" t="s">
        <v>680</v>
      </c>
      <c r="C3324" s="83">
        <v>46115</v>
      </c>
      <c r="D3324" t="s">
        <v>684</v>
      </c>
      <c r="E3324" t="s">
        <v>297</v>
      </c>
      <c r="F3324">
        <v>3</v>
      </c>
      <c r="G3324">
        <v>1.9997</v>
      </c>
    </row>
    <row r="3325" spans="1:7" x14ac:dyDescent="0.35">
      <c r="A3325" t="s">
        <v>847</v>
      </c>
      <c r="B3325" t="s">
        <v>680</v>
      </c>
      <c r="C3325" s="83">
        <v>46115</v>
      </c>
      <c r="D3325" t="s">
        <v>684</v>
      </c>
      <c r="E3325" t="s">
        <v>334</v>
      </c>
      <c r="F3325">
        <v>3</v>
      </c>
      <c r="G3325">
        <v>20.501183333333302</v>
      </c>
    </row>
    <row r="3326" spans="1:7" x14ac:dyDescent="0.35">
      <c r="A3326" t="s">
        <v>847</v>
      </c>
      <c r="B3326" t="s">
        <v>680</v>
      </c>
      <c r="C3326" s="83">
        <v>46115</v>
      </c>
      <c r="D3326" t="s">
        <v>687</v>
      </c>
      <c r="E3326" t="s">
        <v>717</v>
      </c>
      <c r="F3326">
        <v>6</v>
      </c>
      <c r="G3326">
        <v>3.33348333333333</v>
      </c>
    </row>
    <row r="3327" spans="1:7" x14ac:dyDescent="0.35">
      <c r="A3327" t="s">
        <v>847</v>
      </c>
      <c r="B3327" t="s">
        <v>680</v>
      </c>
      <c r="C3327" s="83">
        <v>46115</v>
      </c>
      <c r="D3327" t="s">
        <v>687</v>
      </c>
      <c r="E3327" t="s">
        <v>743</v>
      </c>
      <c r="F3327">
        <v>3</v>
      </c>
      <c r="G3327">
        <v>2.6607500000000002</v>
      </c>
    </row>
    <row r="3328" spans="1:7" x14ac:dyDescent="0.35">
      <c r="A3328" t="s">
        <v>847</v>
      </c>
      <c r="B3328" t="s">
        <v>680</v>
      </c>
      <c r="C3328" s="83">
        <v>46115</v>
      </c>
      <c r="D3328" t="s">
        <v>687</v>
      </c>
      <c r="E3328" t="s">
        <v>718</v>
      </c>
      <c r="F3328">
        <v>3</v>
      </c>
      <c r="G3328">
        <v>0.83413333333333295</v>
      </c>
    </row>
    <row r="3329" spans="1:7" x14ac:dyDescent="0.35">
      <c r="A3329" t="s">
        <v>847</v>
      </c>
      <c r="B3329" t="s">
        <v>680</v>
      </c>
      <c r="C3329" s="83">
        <v>46115</v>
      </c>
      <c r="D3329" t="s">
        <v>688</v>
      </c>
      <c r="E3329" t="s">
        <v>311</v>
      </c>
      <c r="F3329">
        <v>30</v>
      </c>
      <c r="G3329">
        <v>26.514566666666699</v>
      </c>
    </row>
    <row r="3330" spans="1:7" x14ac:dyDescent="0.35">
      <c r="A3330" t="s">
        <v>847</v>
      </c>
      <c r="B3330" t="s">
        <v>680</v>
      </c>
      <c r="C3330" s="83">
        <v>46115</v>
      </c>
      <c r="D3330" t="s">
        <v>688</v>
      </c>
      <c r="E3330" t="s">
        <v>316</v>
      </c>
      <c r="F3330">
        <v>7</v>
      </c>
      <c r="G3330">
        <v>2.0004666666666702</v>
      </c>
    </row>
    <row r="3331" spans="1:7" x14ac:dyDescent="0.35">
      <c r="A3331" t="s">
        <v>847</v>
      </c>
      <c r="B3331" t="s">
        <v>680</v>
      </c>
      <c r="C3331" s="83">
        <v>46115</v>
      </c>
      <c r="D3331" t="s">
        <v>688</v>
      </c>
      <c r="E3331" t="s">
        <v>338</v>
      </c>
      <c r="F3331">
        <v>5</v>
      </c>
      <c r="G3331">
        <v>5.83348333333333</v>
      </c>
    </row>
    <row r="3332" spans="1:7" x14ac:dyDescent="0.35">
      <c r="A3332" t="s">
        <v>847</v>
      </c>
      <c r="B3332" t="s">
        <v>680</v>
      </c>
      <c r="C3332" s="83">
        <v>46115</v>
      </c>
      <c r="D3332" t="s">
        <v>690</v>
      </c>
      <c r="E3332" t="s">
        <v>311</v>
      </c>
      <c r="F3332">
        <v>7</v>
      </c>
      <c r="G3332">
        <v>1.8492666666666699</v>
      </c>
    </row>
    <row r="3333" spans="1:7" x14ac:dyDescent="0.35">
      <c r="A3333" t="s">
        <v>847</v>
      </c>
      <c r="B3333" t="s">
        <v>680</v>
      </c>
      <c r="C3333" s="83">
        <v>46115</v>
      </c>
      <c r="D3333" t="s">
        <v>690</v>
      </c>
      <c r="E3333" t="s">
        <v>312</v>
      </c>
      <c r="F3333">
        <v>3</v>
      </c>
      <c r="G3333">
        <v>0.50041666666666695</v>
      </c>
    </row>
    <row r="3334" spans="1:7" x14ac:dyDescent="0.35">
      <c r="A3334" t="s">
        <v>847</v>
      </c>
      <c r="B3334" t="s">
        <v>680</v>
      </c>
      <c r="C3334" s="83">
        <v>46115</v>
      </c>
      <c r="D3334" t="s">
        <v>690</v>
      </c>
      <c r="E3334" t="s">
        <v>772</v>
      </c>
      <c r="F3334">
        <v>2</v>
      </c>
      <c r="G3334">
        <v>0.83433333333333304</v>
      </c>
    </row>
    <row r="3335" spans="1:7" x14ac:dyDescent="0.35">
      <c r="A3335" t="s">
        <v>847</v>
      </c>
      <c r="B3335" t="s">
        <v>680</v>
      </c>
      <c r="C3335" s="83">
        <v>46115</v>
      </c>
      <c r="D3335" t="s">
        <v>685</v>
      </c>
      <c r="E3335" t="s">
        <v>312</v>
      </c>
      <c r="F3335">
        <v>21</v>
      </c>
      <c r="G3335">
        <v>17.828849999999999</v>
      </c>
    </row>
    <row r="3336" spans="1:7" x14ac:dyDescent="0.35">
      <c r="A3336" t="s">
        <v>847</v>
      </c>
      <c r="B3336" t="s">
        <v>680</v>
      </c>
      <c r="C3336" s="83">
        <v>46115</v>
      </c>
      <c r="D3336" t="s">
        <v>685</v>
      </c>
      <c r="E3336" t="s">
        <v>316</v>
      </c>
      <c r="F3336">
        <v>5</v>
      </c>
      <c r="G3336">
        <v>2.16028333333333</v>
      </c>
    </row>
    <row r="3337" spans="1:7" x14ac:dyDescent="0.35">
      <c r="A3337" t="s">
        <v>847</v>
      </c>
      <c r="B3337" t="s">
        <v>680</v>
      </c>
      <c r="C3337" s="83">
        <v>46115</v>
      </c>
      <c r="D3337" t="s">
        <v>685</v>
      </c>
      <c r="E3337" t="s">
        <v>720</v>
      </c>
      <c r="F3337">
        <v>4</v>
      </c>
      <c r="G3337">
        <v>4.5002500000000003</v>
      </c>
    </row>
    <row r="3338" spans="1:7" x14ac:dyDescent="0.35">
      <c r="A3338" t="s">
        <v>847</v>
      </c>
      <c r="B3338" t="s">
        <v>680</v>
      </c>
      <c r="C3338" s="83">
        <v>46116</v>
      </c>
      <c r="D3338" t="s">
        <v>681</v>
      </c>
      <c r="E3338" t="s">
        <v>296</v>
      </c>
      <c r="F3338">
        <v>17</v>
      </c>
      <c r="G3338">
        <v>9.7675833333333308</v>
      </c>
    </row>
    <row r="3339" spans="1:7" x14ac:dyDescent="0.35">
      <c r="A3339" t="s">
        <v>847</v>
      </c>
      <c r="B3339" t="s">
        <v>680</v>
      </c>
      <c r="C3339" s="83">
        <v>46116</v>
      </c>
      <c r="D3339" t="s">
        <v>681</v>
      </c>
      <c r="E3339" t="s">
        <v>298</v>
      </c>
      <c r="F3339">
        <v>16</v>
      </c>
      <c r="G3339">
        <v>15.4397</v>
      </c>
    </row>
    <row r="3340" spans="1:7" x14ac:dyDescent="0.35">
      <c r="A3340" t="s">
        <v>847</v>
      </c>
      <c r="B3340" t="s">
        <v>680</v>
      </c>
      <c r="C3340" s="83">
        <v>46116</v>
      </c>
      <c r="D3340" t="s">
        <v>681</v>
      </c>
      <c r="E3340" t="s">
        <v>300</v>
      </c>
      <c r="F3340">
        <v>9</v>
      </c>
      <c r="G3340">
        <v>8.0158333333333296</v>
      </c>
    </row>
    <row r="3341" spans="1:7" x14ac:dyDescent="0.35">
      <c r="A3341" t="s">
        <v>847</v>
      </c>
      <c r="B3341" t="s">
        <v>680</v>
      </c>
      <c r="C3341" s="83">
        <v>46116</v>
      </c>
      <c r="D3341" t="s">
        <v>683</v>
      </c>
      <c r="E3341" t="s">
        <v>332</v>
      </c>
      <c r="F3341">
        <v>27</v>
      </c>
      <c r="G3341">
        <v>11.7479333333333</v>
      </c>
    </row>
    <row r="3342" spans="1:7" x14ac:dyDescent="0.35">
      <c r="A3342" t="s">
        <v>847</v>
      </c>
      <c r="B3342" t="s">
        <v>680</v>
      </c>
      <c r="C3342" s="83">
        <v>46116</v>
      </c>
      <c r="D3342" t="s">
        <v>683</v>
      </c>
      <c r="E3342" t="s">
        <v>334</v>
      </c>
      <c r="F3342">
        <v>16</v>
      </c>
      <c r="G3342">
        <v>42.188733333333303</v>
      </c>
    </row>
    <row r="3343" spans="1:7" x14ac:dyDescent="0.35">
      <c r="A3343" t="s">
        <v>847</v>
      </c>
      <c r="B3343" t="s">
        <v>680</v>
      </c>
      <c r="C3343" s="83">
        <v>46116</v>
      </c>
      <c r="D3343" t="s">
        <v>683</v>
      </c>
      <c r="E3343" t="s">
        <v>727</v>
      </c>
      <c r="F3343">
        <v>13</v>
      </c>
      <c r="G3343">
        <v>65.841750000000005</v>
      </c>
    </row>
    <row r="3344" spans="1:7" x14ac:dyDescent="0.35">
      <c r="A3344" t="s">
        <v>847</v>
      </c>
      <c r="B3344" t="s">
        <v>680</v>
      </c>
      <c r="C3344" s="83">
        <v>46116</v>
      </c>
      <c r="D3344" t="s">
        <v>689</v>
      </c>
      <c r="E3344" t="s">
        <v>296</v>
      </c>
      <c r="F3344">
        <v>33</v>
      </c>
      <c r="G3344">
        <v>12.7388166666667</v>
      </c>
    </row>
    <row r="3345" spans="1:7" x14ac:dyDescent="0.35">
      <c r="A3345" t="s">
        <v>847</v>
      </c>
      <c r="B3345" t="s">
        <v>680</v>
      </c>
      <c r="C3345" s="83">
        <v>46116</v>
      </c>
      <c r="D3345" t="s">
        <v>689</v>
      </c>
      <c r="E3345" t="s">
        <v>298</v>
      </c>
      <c r="F3345">
        <v>16</v>
      </c>
      <c r="G3345">
        <v>10.907766666666699</v>
      </c>
    </row>
    <row r="3346" spans="1:7" x14ac:dyDescent="0.35">
      <c r="A3346" t="s">
        <v>847</v>
      </c>
      <c r="B3346" t="s">
        <v>680</v>
      </c>
      <c r="C3346" s="83">
        <v>46116</v>
      </c>
      <c r="D3346" t="s">
        <v>689</v>
      </c>
      <c r="E3346" t="s">
        <v>728</v>
      </c>
      <c r="F3346">
        <v>16</v>
      </c>
      <c r="G3346">
        <v>9.4979333333333305</v>
      </c>
    </row>
    <row r="3347" spans="1:7" x14ac:dyDescent="0.35">
      <c r="A3347" t="s">
        <v>847</v>
      </c>
      <c r="B3347" t="s">
        <v>680</v>
      </c>
      <c r="C3347" s="83">
        <v>46116</v>
      </c>
      <c r="D3347" t="s">
        <v>684</v>
      </c>
      <c r="E3347" t="s">
        <v>300</v>
      </c>
      <c r="F3347">
        <v>3</v>
      </c>
      <c r="G3347">
        <v>2.1679666666666702</v>
      </c>
    </row>
    <row r="3348" spans="1:7" x14ac:dyDescent="0.35">
      <c r="A3348" t="s">
        <v>847</v>
      </c>
      <c r="B3348" t="s">
        <v>680</v>
      </c>
      <c r="C3348" s="83">
        <v>46116</v>
      </c>
      <c r="D3348" t="s">
        <v>684</v>
      </c>
      <c r="E3348" t="s">
        <v>343</v>
      </c>
      <c r="F3348">
        <v>3</v>
      </c>
      <c r="G3348">
        <v>1.3346833333333299</v>
      </c>
    </row>
    <row r="3349" spans="1:7" x14ac:dyDescent="0.35">
      <c r="A3349" t="s">
        <v>847</v>
      </c>
      <c r="B3349" t="s">
        <v>680</v>
      </c>
      <c r="C3349" s="83">
        <v>46116</v>
      </c>
      <c r="D3349" t="s">
        <v>684</v>
      </c>
      <c r="E3349" t="s">
        <v>297</v>
      </c>
      <c r="F3349">
        <v>2</v>
      </c>
      <c r="G3349">
        <v>1.83913333333333</v>
      </c>
    </row>
    <row r="3350" spans="1:7" x14ac:dyDescent="0.35">
      <c r="A3350" t="s">
        <v>847</v>
      </c>
      <c r="B3350" t="s">
        <v>680</v>
      </c>
      <c r="C3350" s="83">
        <v>46116</v>
      </c>
      <c r="D3350" t="s">
        <v>687</v>
      </c>
      <c r="E3350" t="s">
        <v>726</v>
      </c>
      <c r="F3350">
        <v>4</v>
      </c>
      <c r="G3350">
        <v>8.3379499999999993</v>
      </c>
    </row>
    <row r="3351" spans="1:7" x14ac:dyDescent="0.35">
      <c r="A3351" t="s">
        <v>847</v>
      </c>
      <c r="B3351" t="s">
        <v>680</v>
      </c>
      <c r="C3351" s="83">
        <v>46116</v>
      </c>
      <c r="D3351" t="s">
        <v>687</v>
      </c>
      <c r="E3351" t="s">
        <v>718</v>
      </c>
      <c r="F3351">
        <v>3</v>
      </c>
      <c r="G3351">
        <v>5.8407499999999999</v>
      </c>
    </row>
    <row r="3352" spans="1:7" x14ac:dyDescent="0.35">
      <c r="A3352" t="s">
        <v>847</v>
      </c>
      <c r="B3352" t="s">
        <v>680</v>
      </c>
      <c r="C3352" s="83">
        <v>46116</v>
      </c>
      <c r="D3352" t="s">
        <v>687</v>
      </c>
      <c r="E3352" t="s">
        <v>717</v>
      </c>
      <c r="F3352">
        <v>3</v>
      </c>
      <c r="G3352">
        <v>1.8367833333333301</v>
      </c>
    </row>
    <row r="3353" spans="1:7" x14ac:dyDescent="0.35">
      <c r="A3353" t="s">
        <v>847</v>
      </c>
      <c r="B3353" t="s">
        <v>680</v>
      </c>
      <c r="C3353" s="83">
        <v>46116</v>
      </c>
      <c r="D3353" t="s">
        <v>688</v>
      </c>
      <c r="E3353" t="s">
        <v>316</v>
      </c>
      <c r="F3353">
        <v>12</v>
      </c>
      <c r="G3353">
        <v>3.1621666666666699</v>
      </c>
    </row>
    <row r="3354" spans="1:7" x14ac:dyDescent="0.35">
      <c r="A3354" t="s">
        <v>847</v>
      </c>
      <c r="B3354" t="s">
        <v>680</v>
      </c>
      <c r="C3354" s="83">
        <v>46116</v>
      </c>
      <c r="D3354" t="s">
        <v>688</v>
      </c>
      <c r="E3354" t="s">
        <v>311</v>
      </c>
      <c r="F3354">
        <v>11</v>
      </c>
      <c r="G3354">
        <v>3.6106833333333301</v>
      </c>
    </row>
    <row r="3355" spans="1:7" x14ac:dyDescent="0.35">
      <c r="A3355" t="s">
        <v>847</v>
      </c>
      <c r="B3355" t="s">
        <v>680</v>
      </c>
      <c r="C3355" s="83">
        <v>46116</v>
      </c>
      <c r="D3355" t="s">
        <v>688</v>
      </c>
      <c r="E3355" t="s">
        <v>720</v>
      </c>
      <c r="F3355">
        <v>7</v>
      </c>
      <c r="G3355">
        <v>4.5486833333333303</v>
      </c>
    </row>
    <row r="3356" spans="1:7" x14ac:dyDescent="0.35">
      <c r="A3356" t="s">
        <v>847</v>
      </c>
      <c r="B3356" t="s">
        <v>680</v>
      </c>
      <c r="C3356" s="83">
        <v>46116</v>
      </c>
      <c r="D3356" t="s">
        <v>690</v>
      </c>
      <c r="E3356" t="s">
        <v>311</v>
      </c>
      <c r="F3356">
        <v>13</v>
      </c>
      <c r="G3356">
        <v>6.1571333333333298</v>
      </c>
    </row>
    <row r="3357" spans="1:7" x14ac:dyDescent="0.35">
      <c r="A3357" t="s">
        <v>847</v>
      </c>
      <c r="B3357" t="s">
        <v>680</v>
      </c>
      <c r="C3357" s="83">
        <v>46116</v>
      </c>
      <c r="D3357" t="s">
        <v>690</v>
      </c>
      <c r="E3357" t="s">
        <v>338</v>
      </c>
      <c r="F3357">
        <v>10</v>
      </c>
      <c r="G3357">
        <v>9.0948166666666701</v>
      </c>
    </row>
    <row r="3358" spans="1:7" x14ac:dyDescent="0.35">
      <c r="A3358" t="s">
        <v>847</v>
      </c>
      <c r="B3358" t="s">
        <v>680</v>
      </c>
      <c r="C3358" s="83">
        <v>46116</v>
      </c>
      <c r="D3358" t="s">
        <v>690</v>
      </c>
      <c r="E3358" t="s">
        <v>724</v>
      </c>
      <c r="F3358">
        <v>8</v>
      </c>
      <c r="G3358">
        <v>12.8386333333333</v>
      </c>
    </row>
    <row r="3359" spans="1:7" x14ac:dyDescent="0.35">
      <c r="A3359" t="s">
        <v>847</v>
      </c>
      <c r="B3359" t="s">
        <v>680</v>
      </c>
      <c r="C3359" s="83">
        <v>46116</v>
      </c>
      <c r="D3359" t="s">
        <v>685</v>
      </c>
      <c r="E3359" t="s">
        <v>312</v>
      </c>
      <c r="F3359">
        <v>22</v>
      </c>
      <c r="G3359">
        <v>18.830733333333299</v>
      </c>
    </row>
    <row r="3360" spans="1:7" x14ac:dyDescent="0.35">
      <c r="A3360" t="s">
        <v>847</v>
      </c>
      <c r="B3360" t="s">
        <v>680</v>
      </c>
      <c r="C3360" s="83">
        <v>46116</v>
      </c>
      <c r="D3360" t="s">
        <v>685</v>
      </c>
      <c r="E3360" t="s">
        <v>720</v>
      </c>
      <c r="F3360">
        <v>14</v>
      </c>
      <c r="G3360">
        <v>12.138500000000001</v>
      </c>
    </row>
    <row r="3361" spans="1:7" x14ac:dyDescent="0.35">
      <c r="A3361" t="s">
        <v>847</v>
      </c>
      <c r="B3361" t="s">
        <v>680</v>
      </c>
      <c r="C3361" s="83">
        <v>46116</v>
      </c>
      <c r="D3361" t="s">
        <v>685</v>
      </c>
      <c r="E3361" t="s">
        <v>311</v>
      </c>
      <c r="F3361">
        <v>4</v>
      </c>
      <c r="G3361">
        <v>0.994983333333333</v>
      </c>
    </row>
    <row r="3362" spans="1:7" x14ac:dyDescent="0.35">
      <c r="A3362" t="s">
        <v>847</v>
      </c>
      <c r="B3362" t="s">
        <v>680</v>
      </c>
      <c r="C3362" s="83">
        <v>46117</v>
      </c>
      <c r="D3362" t="s">
        <v>681</v>
      </c>
      <c r="E3362" t="s">
        <v>296</v>
      </c>
      <c r="F3362">
        <v>17</v>
      </c>
      <c r="G3362">
        <v>5.82738333333333</v>
      </c>
    </row>
    <row r="3363" spans="1:7" x14ac:dyDescent="0.35">
      <c r="A3363" t="s">
        <v>847</v>
      </c>
      <c r="B3363" t="s">
        <v>680</v>
      </c>
      <c r="C3363" s="83">
        <v>46117</v>
      </c>
      <c r="D3363" t="s">
        <v>681</v>
      </c>
      <c r="E3363" t="s">
        <v>298</v>
      </c>
      <c r="F3363">
        <v>13</v>
      </c>
      <c r="G3363">
        <v>9.0036833333333295</v>
      </c>
    </row>
    <row r="3364" spans="1:7" x14ac:dyDescent="0.35">
      <c r="A3364" t="s">
        <v>847</v>
      </c>
      <c r="B3364" t="s">
        <v>680</v>
      </c>
      <c r="C3364" s="83">
        <v>46117</v>
      </c>
      <c r="D3364" t="s">
        <v>681</v>
      </c>
      <c r="E3364" t="s">
        <v>645</v>
      </c>
      <c r="F3364">
        <v>13</v>
      </c>
      <c r="G3364">
        <v>4.3213499999999998</v>
      </c>
    </row>
    <row r="3365" spans="1:7" x14ac:dyDescent="0.35">
      <c r="A3365" t="s">
        <v>847</v>
      </c>
      <c r="B3365" t="s">
        <v>680</v>
      </c>
      <c r="C3365" s="83">
        <v>46117</v>
      </c>
      <c r="D3365" t="s">
        <v>683</v>
      </c>
      <c r="E3365" t="s">
        <v>332</v>
      </c>
      <c r="F3365">
        <v>42</v>
      </c>
      <c r="G3365">
        <v>18.13185</v>
      </c>
    </row>
    <row r="3366" spans="1:7" x14ac:dyDescent="0.35">
      <c r="A3366" t="s">
        <v>847</v>
      </c>
      <c r="B3366" t="s">
        <v>680</v>
      </c>
      <c r="C3366" s="83">
        <v>46117</v>
      </c>
      <c r="D3366" t="s">
        <v>683</v>
      </c>
      <c r="E3366" t="s">
        <v>727</v>
      </c>
      <c r="F3366">
        <v>10</v>
      </c>
      <c r="G3366">
        <v>8.0097833333333295</v>
      </c>
    </row>
    <row r="3367" spans="1:7" x14ac:dyDescent="0.35">
      <c r="A3367" t="s">
        <v>847</v>
      </c>
      <c r="B3367" t="s">
        <v>680</v>
      </c>
      <c r="C3367" s="83">
        <v>46117</v>
      </c>
      <c r="D3367" t="s">
        <v>683</v>
      </c>
      <c r="E3367" t="s">
        <v>300</v>
      </c>
      <c r="F3367">
        <v>8</v>
      </c>
      <c r="G3367">
        <v>13.1566166666667</v>
      </c>
    </row>
    <row r="3368" spans="1:7" x14ac:dyDescent="0.35">
      <c r="A3368" t="s">
        <v>847</v>
      </c>
      <c r="B3368" t="s">
        <v>680</v>
      </c>
      <c r="C3368" s="83">
        <v>46117</v>
      </c>
      <c r="D3368" t="s">
        <v>689</v>
      </c>
      <c r="E3368" t="s">
        <v>297</v>
      </c>
      <c r="F3368">
        <v>30</v>
      </c>
      <c r="G3368">
        <v>20.3654166666667</v>
      </c>
    </row>
    <row r="3369" spans="1:7" x14ac:dyDescent="0.35">
      <c r="A3369" t="s">
        <v>847</v>
      </c>
      <c r="B3369" t="s">
        <v>680</v>
      </c>
      <c r="C3369" s="83">
        <v>46117</v>
      </c>
      <c r="D3369" t="s">
        <v>689</v>
      </c>
      <c r="E3369" t="s">
        <v>298</v>
      </c>
      <c r="F3369">
        <v>16</v>
      </c>
      <c r="G3369">
        <v>8.6603333333333303</v>
      </c>
    </row>
    <row r="3370" spans="1:7" x14ac:dyDescent="0.35">
      <c r="A3370" t="s">
        <v>847</v>
      </c>
      <c r="B3370" t="s">
        <v>680</v>
      </c>
      <c r="C3370" s="83">
        <v>46117</v>
      </c>
      <c r="D3370" t="s">
        <v>689</v>
      </c>
      <c r="E3370" t="s">
        <v>296</v>
      </c>
      <c r="F3370">
        <v>14</v>
      </c>
      <c r="G3370">
        <v>7.6891666666666696</v>
      </c>
    </row>
    <row r="3371" spans="1:7" x14ac:dyDescent="0.35">
      <c r="A3371" t="s">
        <v>847</v>
      </c>
      <c r="B3371" t="s">
        <v>680</v>
      </c>
      <c r="C3371" s="83">
        <v>46117</v>
      </c>
      <c r="D3371" t="s">
        <v>684</v>
      </c>
      <c r="E3371" t="s">
        <v>300</v>
      </c>
      <c r="F3371">
        <v>3</v>
      </c>
      <c r="G3371">
        <v>0.33360000000000001</v>
      </c>
    </row>
    <row r="3372" spans="1:7" x14ac:dyDescent="0.35">
      <c r="A3372" t="s">
        <v>847</v>
      </c>
      <c r="B3372" t="s">
        <v>680</v>
      </c>
      <c r="C3372" s="83">
        <v>46117</v>
      </c>
      <c r="D3372" t="s">
        <v>684</v>
      </c>
      <c r="E3372" t="s">
        <v>727</v>
      </c>
      <c r="F3372">
        <v>3</v>
      </c>
      <c r="G3372">
        <v>0.33355000000000001</v>
      </c>
    </row>
    <row r="3373" spans="1:7" x14ac:dyDescent="0.35">
      <c r="A3373" t="s">
        <v>847</v>
      </c>
      <c r="B3373" t="s">
        <v>680</v>
      </c>
      <c r="C3373" s="83">
        <v>46117</v>
      </c>
      <c r="D3373" t="s">
        <v>684</v>
      </c>
      <c r="E3373" t="s">
        <v>297</v>
      </c>
      <c r="F3373">
        <v>3</v>
      </c>
      <c r="G3373">
        <v>0.83323333333333305</v>
      </c>
    </row>
    <row r="3374" spans="1:7" x14ac:dyDescent="0.35">
      <c r="A3374" t="s">
        <v>847</v>
      </c>
      <c r="B3374" t="s">
        <v>680</v>
      </c>
      <c r="C3374" s="83">
        <v>46117</v>
      </c>
      <c r="D3374" t="s">
        <v>687</v>
      </c>
      <c r="E3374" t="s">
        <v>717</v>
      </c>
      <c r="F3374">
        <v>4</v>
      </c>
      <c r="G3374">
        <v>7.16801666666667</v>
      </c>
    </row>
    <row r="3375" spans="1:7" x14ac:dyDescent="0.35">
      <c r="A3375" t="s">
        <v>847</v>
      </c>
      <c r="B3375" t="s">
        <v>680</v>
      </c>
      <c r="C3375" s="83">
        <v>46117</v>
      </c>
      <c r="D3375" t="s">
        <v>687</v>
      </c>
      <c r="E3375" t="s">
        <v>718</v>
      </c>
      <c r="F3375">
        <v>3</v>
      </c>
      <c r="G3375">
        <v>5.0028666666666703</v>
      </c>
    </row>
    <row r="3376" spans="1:7" x14ac:dyDescent="0.35">
      <c r="A3376" t="s">
        <v>847</v>
      </c>
      <c r="B3376" t="s">
        <v>680</v>
      </c>
      <c r="C3376" s="83">
        <v>46117</v>
      </c>
      <c r="D3376" t="s">
        <v>687</v>
      </c>
      <c r="E3376" t="s">
        <v>746</v>
      </c>
      <c r="F3376">
        <v>2</v>
      </c>
      <c r="G3376">
        <v>0.83451666666666702</v>
      </c>
    </row>
    <row r="3377" spans="1:7" x14ac:dyDescent="0.35">
      <c r="A3377" t="s">
        <v>847</v>
      </c>
      <c r="B3377" t="s">
        <v>680</v>
      </c>
      <c r="C3377" s="83">
        <v>46117</v>
      </c>
      <c r="D3377" t="s">
        <v>688</v>
      </c>
      <c r="E3377" t="s">
        <v>316</v>
      </c>
      <c r="F3377">
        <v>6</v>
      </c>
      <c r="G3377">
        <v>1.6873166666666699</v>
      </c>
    </row>
    <row r="3378" spans="1:7" x14ac:dyDescent="0.35">
      <c r="A3378" t="s">
        <v>847</v>
      </c>
      <c r="B3378" t="s">
        <v>680</v>
      </c>
      <c r="C3378" s="83">
        <v>46117</v>
      </c>
      <c r="D3378" t="s">
        <v>688</v>
      </c>
      <c r="E3378" t="s">
        <v>311</v>
      </c>
      <c r="F3378">
        <v>4</v>
      </c>
      <c r="G3378">
        <v>2.34161666666667</v>
      </c>
    </row>
    <row r="3379" spans="1:7" x14ac:dyDescent="0.35">
      <c r="A3379" t="s">
        <v>847</v>
      </c>
      <c r="B3379" t="s">
        <v>680</v>
      </c>
      <c r="C3379" s="83">
        <v>46117</v>
      </c>
      <c r="D3379" t="s">
        <v>688</v>
      </c>
      <c r="E3379" t="s">
        <v>312</v>
      </c>
      <c r="F3379">
        <v>4</v>
      </c>
      <c r="G3379">
        <v>2.1609166666666701</v>
      </c>
    </row>
    <row r="3380" spans="1:7" x14ac:dyDescent="0.35">
      <c r="A3380" t="s">
        <v>847</v>
      </c>
      <c r="B3380" t="s">
        <v>680</v>
      </c>
      <c r="C3380" s="83">
        <v>46117</v>
      </c>
      <c r="D3380" t="s">
        <v>690</v>
      </c>
      <c r="E3380" t="s">
        <v>724</v>
      </c>
      <c r="F3380">
        <v>8</v>
      </c>
      <c r="G3380">
        <v>23.326816666666701</v>
      </c>
    </row>
    <row r="3381" spans="1:7" x14ac:dyDescent="0.35">
      <c r="A3381" t="s">
        <v>847</v>
      </c>
      <c r="B3381" t="s">
        <v>680</v>
      </c>
      <c r="C3381" s="83">
        <v>46117</v>
      </c>
      <c r="D3381" t="s">
        <v>690</v>
      </c>
      <c r="E3381" t="s">
        <v>312</v>
      </c>
      <c r="F3381">
        <v>5</v>
      </c>
      <c r="G3381">
        <v>2.4976833333333301</v>
      </c>
    </row>
    <row r="3382" spans="1:7" x14ac:dyDescent="0.35">
      <c r="A3382" t="s">
        <v>847</v>
      </c>
      <c r="B3382" t="s">
        <v>680</v>
      </c>
      <c r="C3382" s="83">
        <v>46117</v>
      </c>
      <c r="D3382" t="s">
        <v>690</v>
      </c>
      <c r="E3382" t="s">
        <v>311</v>
      </c>
      <c r="F3382">
        <v>3</v>
      </c>
      <c r="G3382">
        <v>1.00718333333333</v>
      </c>
    </row>
    <row r="3383" spans="1:7" x14ac:dyDescent="0.35">
      <c r="A3383" t="s">
        <v>847</v>
      </c>
      <c r="B3383" t="s">
        <v>680</v>
      </c>
      <c r="C3383" s="83">
        <v>46117</v>
      </c>
      <c r="D3383" t="s">
        <v>685</v>
      </c>
      <c r="E3383" t="s">
        <v>312</v>
      </c>
      <c r="F3383">
        <v>12</v>
      </c>
      <c r="G3383">
        <v>4.8340833333333304</v>
      </c>
    </row>
    <row r="3384" spans="1:7" x14ac:dyDescent="0.35">
      <c r="A3384" t="s">
        <v>847</v>
      </c>
      <c r="B3384" t="s">
        <v>680</v>
      </c>
      <c r="C3384" s="83">
        <v>46117</v>
      </c>
      <c r="D3384" t="s">
        <v>685</v>
      </c>
      <c r="E3384" t="s">
        <v>311</v>
      </c>
      <c r="F3384">
        <v>10</v>
      </c>
      <c r="G3384">
        <v>7.1724666666666703</v>
      </c>
    </row>
    <row r="3385" spans="1:7" x14ac:dyDescent="0.35">
      <c r="A3385" t="s">
        <v>847</v>
      </c>
      <c r="B3385" t="s">
        <v>680</v>
      </c>
      <c r="C3385" s="83">
        <v>46117</v>
      </c>
      <c r="D3385" t="s">
        <v>685</v>
      </c>
      <c r="E3385" t="s">
        <v>126</v>
      </c>
      <c r="F3385">
        <v>6</v>
      </c>
      <c r="G3385">
        <v>5.3320333333333298</v>
      </c>
    </row>
    <row r="3386" spans="1:7" x14ac:dyDescent="0.35">
      <c r="A3386" t="s">
        <v>847</v>
      </c>
      <c r="B3386" t="s">
        <v>680</v>
      </c>
      <c r="C3386" s="83">
        <v>46118</v>
      </c>
      <c r="D3386" t="s">
        <v>681</v>
      </c>
      <c r="E3386" t="s">
        <v>296</v>
      </c>
      <c r="F3386">
        <v>26</v>
      </c>
      <c r="G3386">
        <v>11.198316666666701</v>
      </c>
    </row>
    <row r="3387" spans="1:7" x14ac:dyDescent="0.35">
      <c r="A3387" t="s">
        <v>847</v>
      </c>
      <c r="B3387" t="s">
        <v>680</v>
      </c>
      <c r="C3387" s="83">
        <v>46118</v>
      </c>
      <c r="D3387" t="s">
        <v>681</v>
      </c>
      <c r="E3387" t="s">
        <v>297</v>
      </c>
      <c r="F3387">
        <v>21</v>
      </c>
      <c r="G3387">
        <v>14.5221</v>
      </c>
    </row>
    <row r="3388" spans="1:7" x14ac:dyDescent="0.35">
      <c r="A3388" t="s">
        <v>847</v>
      </c>
      <c r="B3388" t="s">
        <v>680</v>
      </c>
      <c r="C3388" s="83">
        <v>46118</v>
      </c>
      <c r="D3388" t="s">
        <v>681</v>
      </c>
      <c r="E3388" t="s">
        <v>300</v>
      </c>
      <c r="F3388">
        <v>7</v>
      </c>
      <c r="G3388">
        <v>2.8288166666666701</v>
      </c>
    </row>
    <row r="3389" spans="1:7" x14ac:dyDescent="0.35">
      <c r="A3389" t="s">
        <v>847</v>
      </c>
      <c r="B3389" t="s">
        <v>680</v>
      </c>
      <c r="C3389" s="83">
        <v>46118</v>
      </c>
      <c r="D3389" t="s">
        <v>683</v>
      </c>
      <c r="E3389" t="s">
        <v>332</v>
      </c>
      <c r="F3389">
        <v>30</v>
      </c>
      <c r="G3389">
        <v>18.152933333333301</v>
      </c>
    </row>
    <row r="3390" spans="1:7" x14ac:dyDescent="0.35">
      <c r="A3390" t="s">
        <v>847</v>
      </c>
      <c r="B3390" t="s">
        <v>680</v>
      </c>
      <c r="C3390" s="83">
        <v>46118</v>
      </c>
      <c r="D3390" t="s">
        <v>683</v>
      </c>
      <c r="E3390" t="s">
        <v>258</v>
      </c>
      <c r="F3390">
        <v>16</v>
      </c>
      <c r="G3390">
        <v>18.494766666666699</v>
      </c>
    </row>
    <row r="3391" spans="1:7" x14ac:dyDescent="0.35">
      <c r="A3391" t="s">
        <v>847</v>
      </c>
      <c r="B3391" t="s">
        <v>680</v>
      </c>
      <c r="C3391" s="83">
        <v>46118</v>
      </c>
      <c r="D3391" t="s">
        <v>683</v>
      </c>
      <c r="E3391" t="s">
        <v>298</v>
      </c>
      <c r="F3391">
        <v>8</v>
      </c>
      <c r="G3391">
        <v>7.8337333333333303</v>
      </c>
    </row>
    <row r="3392" spans="1:7" x14ac:dyDescent="0.35">
      <c r="A3392" t="s">
        <v>847</v>
      </c>
      <c r="B3392" t="s">
        <v>680</v>
      </c>
      <c r="C3392" s="83">
        <v>46118</v>
      </c>
      <c r="D3392" t="s">
        <v>689</v>
      </c>
      <c r="E3392" t="s">
        <v>297</v>
      </c>
      <c r="F3392">
        <v>49</v>
      </c>
      <c r="G3392">
        <v>35.660899999999998</v>
      </c>
    </row>
    <row r="3393" spans="1:7" x14ac:dyDescent="0.35">
      <c r="A3393" t="s">
        <v>847</v>
      </c>
      <c r="B3393" t="s">
        <v>680</v>
      </c>
      <c r="C3393" s="83">
        <v>46118</v>
      </c>
      <c r="D3393" t="s">
        <v>689</v>
      </c>
      <c r="E3393" t="s">
        <v>728</v>
      </c>
      <c r="F3393">
        <v>15</v>
      </c>
      <c r="G3393">
        <v>11.16175</v>
      </c>
    </row>
    <row r="3394" spans="1:7" x14ac:dyDescent="0.35">
      <c r="A3394" t="s">
        <v>847</v>
      </c>
      <c r="B3394" t="s">
        <v>680</v>
      </c>
      <c r="C3394" s="83">
        <v>46118</v>
      </c>
      <c r="D3394" t="s">
        <v>689</v>
      </c>
      <c r="E3394" t="s">
        <v>296</v>
      </c>
      <c r="F3394">
        <v>13</v>
      </c>
      <c r="G3394">
        <v>9.9869666666666692</v>
      </c>
    </row>
    <row r="3395" spans="1:7" x14ac:dyDescent="0.35">
      <c r="A3395" t="s">
        <v>847</v>
      </c>
      <c r="B3395" t="s">
        <v>680</v>
      </c>
      <c r="C3395" s="83">
        <v>46118</v>
      </c>
      <c r="D3395" t="s">
        <v>684</v>
      </c>
      <c r="E3395" t="s">
        <v>296</v>
      </c>
      <c r="F3395">
        <v>6</v>
      </c>
      <c r="G3395">
        <v>4.6680000000000001</v>
      </c>
    </row>
    <row r="3396" spans="1:7" x14ac:dyDescent="0.35">
      <c r="A3396" t="s">
        <v>847</v>
      </c>
      <c r="B3396" t="s">
        <v>680</v>
      </c>
      <c r="C3396" s="83">
        <v>46118</v>
      </c>
      <c r="D3396" t="s">
        <v>684</v>
      </c>
      <c r="E3396" t="s">
        <v>300</v>
      </c>
      <c r="F3396">
        <v>4</v>
      </c>
      <c r="G3396">
        <v>2.1554166666666701</v>
      </c>
    </row>
    <row r="3397" spans="1:7" x14ac:dyDescent="0.35">
      <c r="A3397" t="s">
        <v>847</v>
      </c>
      <c r="B3397" t="s">
        <v>680</v>
      </c>
      <c r="C3397" s="83">
        <v>46118</v>
      </c>
      <c r="D3397" t="s">
        <v>684</v>
      </c>
      <c r="E3397" t="s">
        <v>334</v>
      </c>
      <c r="F3397">
        <v>4</v>
      </c>
      <c r="G3397">
        <v>2.5144333333333302</v>
      </c>
    </row>
    <row r="3398" spans="1:7" x14ac:dyDescent="0.35">
      <c r="A3398" t="s">
        <v>847</v>
      </c>
      <c r="B3398" t="s">
        <v>680</v>
      </c>
      <c r="C3398" s="83">
        <v>46118</v>
      </c>
      <c r="D3398" t="s">
        <v>687</v>
      </c>
      <c r="E3398" t="s">
        <v>771</v>
      </c>
      <c r="F3398">
        <v>2</v>
      </c>
      <c r="G3398">
        <v>0.50049999999999994</v>
      </c>
    </row>
    <row r="3399" spans="1:7" x14ac:dyDescent="0.35">
      <c r="A3399" t="s">
        <v>847</v>
      </c>
      <c r="B3399" t="s">
        <v>680</v>
      </c>
      <c r="C3399" s="83">
        <v>46118</v>
      </c>
      <c r="D3399" t="s">
        <v>687</v>
      </c>
      <c r="E3399" t="s">
        <v>754</v>
      </c>
      <c r="F3399">
        <v>2</v>
      </c>
      <c r="G3399">
        <v>0.16693333333333299</v>
      </c>
    </row>
    <row r="3400" spans="1:7" x14ac:dyDescent="0.35">
      <c r="A3400" t="s">
        <v>847</v>
      </c>
      <c r="B3400" t="s">
        <v>680</v>
      </c>
      <c r="C3400" s="83">
        <v>46118</v>
      </c>
      <c r="D3400" t="s">
        <v>687</v>
      </c>
      <c r="E3400" t="s">
        <v>733</v>
      </c>
      <c r="F3400">
        <v>2</v>
      </c>
      <c r="G3400">
        <v>0.173616666666667</v>
      </c>
    </row>
    <row r="3401" spans="1:7" x14ac:dyDescent="0.35">
      <c r="A3401" t="s">
        <v>847</v>
      </c>
      <c r="B3401" t="s">
        <v>680</v>
      </c>
      <c r="C3401" s="83">
        <v>46118</v>
      </c>
      <c r="D3401" t="s">
        <v>688</v>
      </c>
      <c r="E3401" t="s">
        <v>311</v>
      </c>
      <c r="F3401">
        <v>8</v>
      </c>
      <c r="G3401">
        <v>4.8307333333333302</v>
      </c>
    </row>
    <row r="3402" spans="1:7" x14ac:dyDescent="0.35">
      <c r="A3402" t="s">
        <v>847</v>
      </c>
      <c r="B3402" t="s">
        <v>680</v>
      </c>
      <c r="C3402" s="83">
        <v>46118</v>
      </c>
      <c r="D3402" t="s">
        <v>688</v>
      </c>
      <c r="E3402" t="s">
        <v>732</v>
      </c>
      <c r="F3402">
        <v>4</v>
      </c>
      <c r="G3402">
        <v>1.00061666666667</v>
      </c>
    </row>
    <row r="3403" spans="1:7" x14ac:dyDescent="0.35">
      <c r="A3403" t="s">
        <v>847</v>
      </c>
      <c r="B3403" t="s">
        <v>680</v>
      </c>
      <c r="C3403" s="83">
        <v>46118</v>
      </c>
      <c r="D3403" t="s">
        <v>688</v>
      </c>
      <c r="E3403" t="s">
        <v>316</v>
      </c>
      <c r="F3403">
        <v>3</v>
      </c>
      <c r="G3403">
        <v>2.4999500000000001</v>
      </c>
    </row>
    <row r="3404" spans="1:7" x14ac:dyDescent="0.35">
      <c r="A3404" t="s">
        <v>847</v>
      </c>
      <c r="B3404" t="s">
        <v>680</v>
      </c>
      <c r="C3404" s="83">
        <v>46118</v>
      </c>
      <c r="D3404" t="s">
        <v>690</v>
      </c>
      <c r="E3404" t="s">
        <v>724</v>
      </c>
      <c r="F3404">
        <v>14</v>
      </c>
      <c r="G3404">
        <v>75.3495833333333</v>
      </c>
    </row>
    <row r="3405" spans="1:7" x14ac:dyDescent="0.35">
      <c r="A3405" t="s">
        <v>847</v>
      </c>
      <c r="B3405" t="s">
        <v>680</v>
      </c>
      <c r="C3405" s="83">
        <v>46118</v>
      </c>
      <c r="D3405" t="s">
        <v>690</v>
      </c>
      <c r="E3405" t="s">
        <v>311</v>
      </c>
      <c r="F3405">
        <v>5</v>
      </c>
      <c r="G3405">
        <v>3.3353999999999999</v>
      </c>
    </row>
    <row r="3406" spans="1:7" x14ac:dyDescent="0.35">
      <c r="A3406" t="s">
        <v>847</v>
      </c>
      <c r="B3406" t="s">
        <v>680</v>
      </c>
      <c r="C3406" s="83">
        <v>46118</v>
      </c>
      <c r="D3406" t="s">
        <v>690</v>
      </c>
      <c r="E3406" t="s">
        <v>725</v>
      </c>
      <c r="F3406">
        <v>3</v>
      </c>
      <c r="G3406">
        <v>2.3263500000000001</v>
      </c>
    </row>
    <row r="3407" spans="1:7" x14ac:dyDescent="0.35">
      <c r="A3407" t="s">
        <v>847</v>
      </c>
      <c r="B3407" t="s">
        <v>680</v>
      </c>
      <c r="C3407" s="83">
        <v>46118</v>
      </c>
      <c r="D3407" t="s">
        <v>685</v>
      </c>
      <c r="E3407" t="s">
        <v>311</v>
      </c>
      <c r="F3407">
        <v>8</v>
      </c>
      <c r="G3407">
        <v>4.4992999999999999</v>
      </c>
    </row>
    <row r="3408" spans="1:7" x14ac:dyDescent="0.35">
      <c r="A3408" t="s">
        <v>847</v>
      </c>
      <c r="B3408" t="s">
        <v>680</v>
      </c>
      <c r="C3408" s="83">
        <v>46118</v>
      </c>
      <c r="D3408" t="s">
        <v>685</v>
      </c>
      <c r="E3408" t="s">
        <v>312</v>
      </c>
      <c r="F3408">
        <v>5</v>
      </c>
      <c r="G3408">
        <v>2.00728333333333</v>
      </c>
    </row>
    <row r="3409" spans="1:7" x14ac:dyDescent="0.35">
      <c r="A3409" t="s">
        <v>847</v>
      </c>
      <c r="B3409" t="s">
        <v>680</v>
      </c>
      <c r="C3409" s="83">
        <v>46118</v>
      </c>
      <c r="D3409" t="s">
        <v>685</v>
      </c>
      <c r="E3409" t="s">
        <v>723</v>
      </c>
      <c r="F3409">
        <v>2</v>
      </c>
      <c r="G3409">
        <v>0.83430000000000004</v>
      </c>
    </row>
    <row r="3410" spans="1:7" x14ac:dyDescent="0.35">
      <c r="A3410" t="s">
        <v>847</v>
      </c>
      <c r="B3410" t="s">
        <v>680</v>
      </c>
      <c r="C3410" s="83">
        <v>46119</v>
      </c>
      <c r="D3410" t="s">
        <v>681</v>
      </c>
      <c r="E3410" t="s">
        <v>298</v>
      </c>
      <c r="F3410">
        <v>20</v>
      </c>
      <c r="G3410">
        <v>24.173383333333302</v>
      </c>
    </row>
    <row r="3411" spans="1:7" x14ac:dyDescent="0.35">
      <c r="A3411" t="s">
        <v>847</v>
      </c>
      <c r="B3411" t="s">
        <v>680</v>
      </c>
      <c r="C3411" s="83">
        <v>46119</v>
      </c>
      <c r="D3411" t="s">
        <v>681</v>
      </c>
      <c r="E3411" t="s">
        <v>300</v>
      </c>
      <c r="F3411">
        <v>10</v>
      </c>
      <c r="G3411">
        <v>3.3403999999999998</v>
      </c>
    </row>
    <row r="3412" spans="1:7" x14ac:dyDescent="0.35">
      <c r="A3412" t="s">
        <v>847</v>
      </c>
      <c r="B3412" t="s">
        <v>680</v>
      </c>
      <c r="C3412" s="83">
        <v>46119</v>
      </c>
      <c r="D3412" t="s">
        <v>681</v>
      </c>
      <c r="E3412" t="s">
        <v>296</v>
      </c>
      <c r="F3412">
        <v>10</v>
      </c>
      <c r="G3412">
        <v>3.6623333333333301</v>
      </c>
    </row>
    <row r="3413" spans="1:7" x14ac:dyDescent="0.35">
      <c r="A3413" t="s">
        <v>847</v>
      </c>
      <c r="B3413" t="s">
        <v>680</v>
      </c>
      <c r="C3413" s="83">
        <v>46119</v>
      </c>
      <c r="D3413" t="s">
        <v>683</v>
      </c>
      <c r="E3413" t="s">
        <v>258</v>
      </c>
      <c r="F3413">
        <v>32</v>
      </c>
      <c r="G3413">
        <v>37.843350000000001</v>
      </c>
    </row>
    <row r="3414" spans="1:7" x14ac:dyDescent="0.35">
      <c r="A3414" t="s">
        <v>847</v>
      </c>
      <c r="B3414" t="s">
        <v>680</v>
      </c>
      <c r="C3414" s="83">
        <v>46119</v>
      </c>
      <c r="D3414" t="s">
        <v>683</v>
      </c>
      <c r="E3414" t="s">
        <v>332</v>
      </c>
      <c r="F3414">
        <v>14</v>
      </c>
      <c r="G3414">
        <v>3.9923999999999999</v>
      </c>
    </row>
    <row r="3415" spans="1:7" x14ac:dyDescent="0.35">
      <c r="A3415" t="s">
        <v>847</v>
      </c>
      <c r="B3415" t="s">
        <v>680</v>
      </c>
      <c r="C3415" s="83">
        <v>46119</v>
      </c>
      <c r="D3415" t="s">
        <v>683</v>
      </c>
      <c r="E3415" t="s">
        <v>727</v>
      </c>
      <c r="F3415">
        <v>8</v>
      </c>
      <c r="G3415">
        <v>3.5087333333333302</v>
      </c>
    </row>
    <row r="3416" spans="1:7" x14ac:dyDescent="0.35">
      <c r="A3416" t="s">
        <v>847</v>
      </c>
      <c r="B3416" t="s">
        <v>680</v>
      </c>
      <c r="C3416" s="83">
        <v>46119</v>
      </c>
      <c r="D3416" t="s">
        <v>689</v>
      </c>
      <c r="E3416" t="s">
        <v>298</v>
      </c>
      <c r="F3416">
        <v>20</v>
      </c>
      <c r="G3416">
        <v>17.660499999999999</v>
      </c>
    </row>
    <row r="3417" spans="1:7" x14ac:dyDescent="0.35">
      <c r="A3417" t="s">
        <v>847</v>
      </c>
      <c r="B3417" t="s">
        <v>680</v>
      </c>
      <c r="C3417" s="83">
        <v>46119</v>
      </c>
      <c r="D3417" t="s">
        <v>689</v>
      </c>
      <c r="E3417" t="s">
        <v>297</v>
      </c>
      <c r="F3417">
        <v>15</v>
      </c>
      <c r="G3417">
        <v>8.1636833333333296</v>
      </c>
    </row>
    <row r="3418" spans="1:7" x14ac:dyDescent="0.35">
      <c r="A3418" t="s">
        <v>847</v>
      </c>
      <c r="B3418" t="s">
        <v>680</v>
      </c>
      <c r="C3418" s="83">
        <v>46119</v>
      </c>
      <c r="D3418" t="s">
        <v>689</v>
      </c>
      <c r="E3418" t="s">
        <v>296</v>
      </c>
      <c r="F3418">
        <v>13</v>
      </c>
      <c r="G3418">
        <v>5.3296333333333301</v>
      </c>
    </row>
    <row r="3419" spans="1:7" x14ac:dyDescent="0.35">
      <c r="A3419" t="s">
        <v>847</v>
      </c>
      <c r="B3419" t="s">
        <v>680</v>
      </c>
      <c r="C3419" s="83">
        <v>46119</v>
      </c>
      <c r="D3419" t="s">
        <v>684</v>
      </c>
      <c r="E3419" t="s">
        <v>298</v>
      </c>
      <c r="F3419">
        <v>6</v>
      </c>
      <c r="G3419">
        <v>3.4929333333333301</v>
      </c>
    </row>
    <row r="3420" spans="1:7" x14ac:dyDescent="0.35">
      <c r="A3420" t="s">
        <v>847</v>
      </c>
      <c r="B3420" t="s">
        <v>680</v>
      </c>
      <c r="C3420" s="83">
        <v>46119</v>
      </c>
      <c r="D3420" t="s">
        <v>684</v>
      </c>
      <c r="E3420" t="s">
        <v>334</v>
      </c>
      <c r="F3420">
        <v>3</v>
      </c>
      <c r="G3420">
        <v>0.83221666666666705</v>
      </c>
    </row>
    <row r="3421" spans="1:7" x14ac:dyDescent="0.35">
      <c r="A3421" t="s">
        <v>847</v>
      </c>
      <c r="B3421" t="s">
        <v>680</v>
      </c>
      <c r="C3421" s="83">
        <v>46119</v>
      </c>
      <c r="D3421" t="s">
        <v>684</v>
      </c>
      <c r="E3421" t="s">
        <v>297</v>
      </c>
      <c r="F3421">
        <v>2</v>
      </c>
      <c r="G3421">
        <v>0.667333333333333</v>
      </c>
    </row>
    <row r="3422" spans="1:7" x14ac:dyDescent="0.35">
      <c r="A3422" t="s">
        <v>847</v>
      </c>
      <c r="B3422" t="s">
        <v>680</v>
      </c>
      <c r="C3422" s="83">
        <v>46119</v>
      </c>
      <c r="D3422" t="s">
        <v>688</v>
      </c>
      <c r="E3422" t="s">
        <v>316</v>
      </c>
      <c r="F3422">
        <v>9</v>
      </c>
      <c r="G3422">
        <v>2.50095</v>
      </c>
    </row>
    <row r="3423" spans="1:7" x14ac:dyDescent="0.35">
      <c r="A3423" t="s">
        <v>847</v>
      </c>
      <c r="B3423" t="s">
        <v>680</v>
      </c>
      <c r="C3423" s="83">
        <v>46119</v>
      </c>
      <c r="D3423" t="s">
        <v>688</v>
      </c>
      <c r="E3423" t="s">
        <v>311</v>
      </c>
      <c r="F3423">
        <v>7</v>
      </c>
      <c r="G3423">
        <v>2.6737333333333302</v>
      </c>
    </row>
    <row r="3424" spans="1:7" x14ac:dyDescent="0.35">
      <c r="A3424" t="s">
        <v>847</v>
      </c>
      <c r="B3424" t="s">
        <v>680</v>
      </c>
      <c r="C3424" s="83">
        <v>46119</v>
      </c>
      <c r="D3424" t="s">
        <v>688</v>
      </c>
      <c r="E3424" t="s">
        <v>312</v>
      </c>
      <c r="F3424">
        <v>7</v>
      </c>
      <c r="G3424">
        <v>3.3293833333333298</v>
      </c>
    </row>
    <row r="3425" spans="1:7" x14ac:dyDescent="0.35">
      <c r="A3425" t="s">
        <v>847</v>
      </c>
      <c r="B3425" t="s">
        <v>680</v>
      </c>
      <c r="C3425" s="83">
        <v>46119</v>
      </c>
      <c r="D3425" t="s">
        <v>690</v>
      </c>
      <c r="E3425" t="s">
        <v>724</v>
      </c>
      <c r="F3425">
        <v>35</v>
      </c>
      <c r="G3425">
        <v>137.36228333333301</v>
      </c>
    </row>
    <row r="3426" spans="1:7" x14ac:dyDescent="0.35">
      <c r="A3426" t="s">
        <v>847</v>
      </c>
      <c r="B3426" t="s">
        <v>680</v>
      </c>
      <c r="C3426" s="83">
        <v>46119</v>
      </c>
      <c r="D3426" t="s">
        <v>690</v>
      </c>
      <c r="E3426" t="s">
        <v>311</v>
      </c>
      <c r="F3426">
        <v>6</v>
      </c>
      <c r="G3426">
        <v>4.8177000000000003</v>
      </c>
    </row>
    <row r="3427" spans="1:7" x14ac:dyDescent="0.35">
      <c r="A3427" t="s">
        <v>847</v>
      </c>
      <c r="B3427" t="s">
        <v>680</v>
      </c>
      <c r="C3427" s="83">
        <v>46119</v>
      </c>
      <c r="D3427" t="s">
        <v>690</v>
      </c>
      <c r="E3427" t="s">
        <v>720</v>
      </c>
      <c r="F3427">
        <v>3</v>
      </c>
      <c r="G3427">
        <v>0.65788333333333304</v>
      </c>
    </row>
    <row r="3428" spans="1:7" x14ac:dyDescent="0.35">
      <c r="A3428" t="s">
        <v>847</v>
      </c>
      <c r="B3428" t="s">
        <v>680</v>
      </c>
      <c r="C3428" s="83">
        <v>46119</v>
      </c>
      <c r="D3428" t="s">
        <v>685</v>
      </c>
      <c r="E3428" t="s">
        <v>312</v>
      </c>
      <c r="F3428">
        <v>11</v>
      </c>
      <c r="G3428">
        <v>4.3458500000000004</v>
      </c>
    </row>
    <row r="3429" spans="1:7" x14ac:dyDescent="0.35">
      <c r="A3429" t="s">
        <v>847</v>
      </c>
      <c r="B3429" t="s">
        <v>680</v>
      </c>
      <c r="C3429" s="83">
        <v>46119</v>
      </c>
      <c r="D3429" t="s">
        <v>685</v>
      </c>
      <c r="E3429" t="s">
        <v>338</v>
      </c>
      <c r="F3429">
        <v>7</v>
      </c>
      <c r="G3429">
        <v>5.4909499999999998</v>
      </c>
    </row>
    <row r="3430" spans="1:7" x14ac:dyDescent="0.35">
      <c r="A3430" t="s">
        <v>847</v>
      </c>
      <c r="B3430" t="s">
        <v>680</v>
      </c>
      <c r="C3430" s="83">
        <v>46119</v>
      </c>
      <c r="D3430" t="s">
        <v>685</v>
      </c>
      <c r="E3430" t="s">
        <v>311</v>
      </c>
      <c r="F3430">
        <v>5</v>
      </c>
      <c r="G3430">
        <v>7.1735666666666704</v>
      </c>
    </row>
    <row r="3431" spans="1:7" x14ac:dyDescent="0.35">
      <c r="A3431" t="s">
        <v>847</v>
      </c>
      <c r="B3431" t="s">
        <v>680</v>
      </c>
      <c r="C3431" s="83">
        <v>46120</v>
      </c>
      <c r="D3431" t="s">
        <v>681</v>
      </c>
      <c r="E3431" t="s">
        <v>728</v>
      </c>
      <c r="F3431">
        <v>21</v>
      </c>
      <c r="G3431">
        <v>18.183733333333301</v>
      </c>
    </row>
    <row r="3432" spans="1:7" x14ac:dyDescent="0.35">
      <c r="A3432" t="s">
        <v>847</v>
      </c>
      <c r="B3432" t="s">
        <v>680</v>
      </c>
      <c r="C3432" s="83">
        <v>46120</v>
      </c>
      <c r="D3432" t="s">
        <v>681</v>
      </c>
      <c r="E3432" t="s">
        <v>298</v>
      </c>
      <c r="F3432">
        <v>17</v>
      </c>
      <c r="G3432">
        <v>18.4965333333333</v>
      </c>
    </row>
    <row r="3433" spans="1:7" x14ac:dyDescent="0.35">
      <c r="A3433" t="s">
        <v>847</v>
      </c>
      <c r="B3433" t="s">
        <v>680</v>
      </c>
      <c r="C3433" s="83">
        <v>46120</v>
      </c>
      <c r="D3433" t="s">
        <v>681</v>
      </c>
      <c r="E3433" t="s">
        <v>296</v>
      </c>
      <c r="F3433">
        <v>15</v>
      </c>
      <c r="G3433">
        <v>9.5085499999999996</v>
      </c>
    </row>
    <row r="3434" spans="1:7" x14ac:dyDescent="0.35">
      <c r="A3434" t="s">
        <v>847</v>
      </c>
      <c r="B3434" t="s">
        <v>680</v>
      </c>
      <c r="C3434" s="83">
        <v>46120</v>
      </c>
      <c r="D3434" t="s">
        <v>683</v>
      </c>
      <c r="E3434" t="s">
        <v>298</v>
      </c>
      <c r="F3434">
        <v>15</v>
      </c>
      <c r="G3434">
        <v>18.505583333333298</v>
      </c>
    </row>
    <row r="3435" spans="1:7" x14ac:dyDescent="0.35">
      <c r="A3435" t="s">
        <v>847</v>
      </c>
      <c r="B3435" t="s">
        <v>680</v>
      </c>
      <c r="C3435" s="83">
        <v>46120</v>
      </c>
      <c r="D3435" t="s">
        <v>683</v>
      </c>
      <c r="E3435" t="s">
        <v>727</v>
      </c>
      <c r="F3435">
        <v>10</v>
      </c>
      <c r="G3435">
        <v>9.3338999999999999</v>
      </c>
    </row>
    <row r="3436" spans="1:7" x14ac:dyDescent="0.35">
      <c r="A3436" t="s">
        <v>847</v>
      </c>
      <c r="B3436" t="s">
        <v>680</v>
      </c>
      <c r="C3436" s="83">
        <v>46120</v>
      </c>
      <c r="D3436" t="s">
        <v>683</v>
      </c>
      <c r="E3436" t="s">
        <v>737</v>
      </c>
      <c r="F3436">
        <v>6</v>
      </c>
      <c r="G3436">
        <v>9.3435500000000005</v>
      </c>
    </row>
    <row r="3437" spans="1:7" x14ac:dyDescent="0.35">
      <c r="A3437" t="s">
        <v>847</v>
      </c>
      <c r="B3437" t="s">
        <v>680</v>
      </c>
      <c r="C3437" s="83">
        <v>46120</v>
      </c>
      <c r="D3437" t="s">
        <v>689</v>
      </c>
      <c r="E3437" t="s">
        <v>297</v>
      </c>
      <c r="F3437">
        <v>31</v>
      </c>
      <c r="G3437">
        <v>24.1810333333333</v>
      </c>
    </row>
    <row r="3438" spans="1:7" x14ac:dyDescent="0.35">
      <c r="A3438" t="s">
        <v>847</v>
      </c>
      <c r="B3438" t="s">
        <v>680</v>
      </c>
      <c r="C3438" s="83">
        <v>46120</v>
      </c>
      <c r="D3438" t="s">
        <v>689</v>
      </c>
      <c r="E3438" t="s">
        <v>298</v>
      </c>
      <c r="F3438">
        <v>19</v>
      </c>
      <c r="G3438">
        <v>18.48845</v>
      </c>
    </row>
    <row r="3439" spans="1:7" x14ac:dyDescent="0.35">
      <c r="A3439" t="s">
        <v>847</v>
      </c>
      <c r="B3439" t="s">
        <v>680</v>
      </c>
      <c r="C3439" s="83">
        <v>46120</v>
      </c>
      <c r="D3439" t="s">
        <v>689</v>
      </c>
      <c r="E3439" t="s">
        <v>728</v>
      </c>
      <c r="F3439">
        <v>9</v>
      </c>
      <c r="G3439">
        <v>7.8392499999999998</v>
      </c>
    </row>
    <row r="3440" spans="1:7" x14ac:dyDescent="0.35">
      <c r="A3440" t="s">
        <v>847</v>
      </c>
      <c r="B3440" t="s">
        <v>680</v>
      </c>
      <c r="C3440" s="83">
        <v>46120</v>
      </c>
      <c r="D3440" t="s">
        <v>684</v>
      </c>
      <c r="E3440" t="s">
        <v>296</v>
      </c>
      <c r="F3440">
        <v>7</v>
      </c>
      <c r="G3440">
        <v>3.16275</v>
      </c>
    </row>
    <row r="3441" spans="1:7" x14ac:dyDescent="0.35">
      <c r="A3441" t="s">
        <v>847</v>
      </c>
      <c r="B3441" t="s">
        <v>680</v>
      </c>
      <c r="C3441" s="83">
        <v>46120</v>
      </c>
      <c r="D3441" t="s">
        <v>684</v>
      </c>
      <c r="E3441" t="s">
        <v>727</v>
      </c>
      <c r="F3441">
        <v>6</v>
      </c>
      <c r="G3441">
        <v>1.6736</v>
      </c>
    </row>
    <row r="3442" spans="1:7" x14ac:dyDescent="0.35">
      <c r="A3442" t="s">
        <v>847</v>
      </c>
      <c r="B3442" t="s">
        <v>680</v>
      </c>
      <c r="C3442" s="83">
        <v>46120</v>
      </c>
      <c r="D3442" t="s">
        <v>684</v>
      </c>
      <c r="E3442" t="s">
        <v>300</v>
      </c>
      <c r="F3442">
        <v>4</v>
      </c>
      <c r="G3442">
        <v>1.3346</v>
      </c>
    </row>
    <row r="3443" spans="1:7" x14ac:dyDescent="0.35">
      <c r="A3443" t="s">
        <v>847</v>
      </c>
      <c r="B3443" t="s">
        <v>680</v>
      </c>
      <c r="C3443" s="83">
        <v>46120</v>
      </c>
      <c r="D3443" t="s">
        <v>687</v>
      </c>
      <c r="E3443" t="s">
        <v>719</v>
      </c>
      <c r="F3443">
        <v>3</v>
      </c>
      <c r="G3443">
        <v>1.00071666666667</v>
      </c>
    </row>
    <row r="3444" spans="1:7" x14ac:dyDescent="0.35">
      <c r="A3444" t="s">
        <v>847</v>
      </c>
      <c r="B3444" t="s">
        <v>680</v>
      </c>
      <c r="C3444" s="83">
        <v>46120</v>
      </c>
      <c r="D3444" t="s">
        <v>687</v>
      </c>
      <c r="E3444" t="s">
        <v>746</v>
      </c>
      <c r="F3444">
        <v>3</v>
      </c>
      <c r="G3444">
        <v>0.49991666666666701</v>
      </c>
    </row>
    <row r="3445" spans="1:7" x14ac:dyDescent="0.35">
      <c r="A3445" t="s">
        <v>847</v>
      </c>
      <c r="B3445" t="s">
        <v>680</v>
      </c>
      <c r="C3445" s="83">
        <v>46120</v>
      </c>
      <c r="D3445" t="s">
        <v>687</v>
      </c>
      <c r="E3445" t="s">
        <v>717</v>
      </c>
      <c r="F3445">
        <v>3</v>
      </c>
      <c r="G3445">
        <v>2.8204166666666701</v>
      </c>
    </row>
    <row r="3446" spans="1:7" x14ac:dyDescent="0.35">
      <c r="A3446" t="s">
        <v>847</v>
      </c>
      <c r="B3446" t="s">
        <v>680</v>
      </c>
      <c r="C3446" s="83">
        <v>46120</v>
      </c>
      <c r="D3446" t="s">
        <v>688</v>
      </c>
      <c r="E3446" t="s">
        <v>732</v>
      </c>
      <c r="F3446">
        <v>11</v>
      </c>
      <c r="G3446">
        <v>10.355933333333301</v>
      </c>
    </row>
    <row r="3447" spans="1:7" x14ac:dyDescent="0.35">
      <c r="A3447" t="s">
        <v>847</v>
      </c>
      <c r="B3447" t="s">
        <v>680</v>
      </c>
      <c r="C3447" s="83">
        <v>46120</v>
      </c>
      <c r="D3447" t="s">
        <v>688</v>
      </c>
      <c r="E3447" t="s">
        <v>316</v>
      </c>
      <c r="F3447">
        <v>11</v>
      </c>
      <c r="G3447">
        <v>5.1809333333333303</v>
      </c>
    </row>
    <row r="3448" spans="1:7" x14ac:dyDescent="0.35">
      <c r="A3448" t="s">
        <v>847</v>
      </c>
      <c r="B3448" t="s">
        <v>680</v>
      </c>
      <c r="C3448" s="83">
        <v>46120</v>
      </c>
      <c r="D3448" t="s">
        <v>688</v>
      </c>
      <c r="E3448" t="s">
        <v>720</v>
      </c>
      <c r="F3448">
        <v>4</v>
      </c>
      <c r="G3448">
        <v>2.5059999999999998</v>
      </c>
    </row>
    <row r="3449" spans="1:7" x14ac:dyDescent="0.35">
      <c r="A3449" t="s">
        <v>847</v>
      </c>
      <c r="B3449" t="s">
        <v>680</v>
      </c>
      <c r="C3449" s="83">
        <v>46120</v>
      </c>
      <c r="D3449" t="s">
        <v>690</v>
      </c>
      <c r="E3449" t="s">
        <v>311</v>
      </c>
      <c r="F3449">
        <v>5</v>
      </c>
      <c r="G3449">
        <v>4.33463333333333</v>
      </c>
    </row>
    <row r="3450" spans="1:7" x14ac:dyDescent="0.35">
      <c r="A3450" t="s">
        <v>847</v>
      </c>
      <c r="B3450" t="s">
        <v>680</v>
      </c>
      <c r="C3450" s="83">
        <v>46120</v>
      </c>
      <c r="D3450" t="s">
        <v>690</v>
      </c>
      <c r="E3450" t="s">
        <v>720</v>
      </c>
      <c r="F3450">
        <v>3</v>
      </c>
      <c r="G3450">
        <v>1.3270500000000001</v>
      </c>
    </row>
    <row r="3451" spans="1:7" x14ac:dyDescent="0.35">
      <c r="A3451" t="s">
        <v>847</v>
      </c>
      <c r="B3451" t="s">
        <v>680</v>
      </c>
      <c r="C3451" s="83">
        <v>46120</v>
      </c>
      <c r="D3451" t="s">
        <v>690</v>
      </c>
      <c r="E3451" t="s">
        <v>316</v>
      </c>
      <c r="F3451">
        <v>2</v>
      </c>
      <c r="G3451">
        <v>0.83406666666666696</v>
      </c>
    </row>
    <row r="3452" spans="1:7" x14ac:dyDescent="0.35">
      <c r="A3452" t="s">
        <v>847</v>
      </c>
      <c r="B3452" t="s">
        <v>680</v>
      </c>
      <c r="C3452" s="83">
        <v>46120</v>
      </c>
      <c r="D3452" t="s">
        <v>685</v>
      </c>
      <c r="E3452" t="s">
        <v>311</v>
      </c>
      <c r="F3452">
        <v>6</v>
      </c>
      <c r="G3452">
        <v>5.1746999999999996</v>
      </c>
    </row>
    <row r="3453" spans="1:7" x14ac:dyDescent="0.35">
      <c r="A3453" t="s">
        <v>847</v>
      </c>
      <c r="B3453" t="s">
        <v>680</v>
      </c>
      <c r="C3453" s="83">
        <v>46120</v>
      </c>
      <c r="D3453" t="s">
        <v>685</v>
      </c>
      <c r="E3453" t="s">
        <v>312</v>
      </c>
      <c r="F3453">
        <v>6</v>
      </c>
      <c r="G3453">
        <v>4.1571999999999996</v>
      </c>
    </row>
    <row r="3454" spans="1:7" x14ac:dyDescent="0.35">
      <c r="A3454" t="s">
        <v>847</v>
      </c>
      <c r="B3454" t="s">
        <v>680</v>
      </c>
      <c r="C3454" s="83">
        <v>46120</v>
      </c>
      <c r="D3454" t="s">
        <v>685</v>
      </c>
      <c r="E3454" t="s">
        <v>739</v>
      </c>
      <c r="F3454">
        <v>4</v>
      </c>
      <c r="G3454">
        <v>0.83330000000000004</v>
      </c>
    </row>
    <row r="3455" spans="1:7" x14ac:dyDescent="0.35">
      <c r="A3455" t="s">
        <v>847</v>
      </c>
      <c r="B3455" t="s">
        <v>680</v>
      </c>
      <c r="C3455" s="83">
        <v>46121</v>
      </c>
      <c r="D3455" t="s">
        <v>681</v>
      </c>
      <c r="E3455" t="s">
        <v>300</v>
      </c>
      <c r="F3455">
        <v>10</v>
      </c>
      <c r="G3455">
        <v>3.4990000000000001</v>
      </c>
    </row>
    <row r="3456" spans="1:7" x14ac:dyDescent="0.35">
      <c r="A3456" t="s">
        <v>847</v>
      </c>
      <c r="B3456" t="s">
        <v>680</v>
      </c>
      <c r="C3456" s="83">
        <v>46121</v>
      </c>
      <c r="D3456" t="s">
        <v>681</v>
      </c>
      <c r="E3456" t="s">
        <v>298</v>
      </c>
      <c r="F3456">
        <v>10</v>
      </c>
      <c r="G3456">
        <v>8.3269000000000002</v>
      </c>
    </row>
    <row r="3457" spans="1:7" x14ac:dyDescent="0.35">
      <c r="A3457" t="s">
        <v>847</v>
      </c>
      <c r="B3457" t="s">
        <v>680</v>
      </c>
      <c r="C3457" s="83">
        <v>46121</v>
      </c>
      <c r="D3457" t="s">
        <v>681</v>
      </c>
      <c r="E3457" t="s">
        <v>297</v>
      </c>
      <c r="F3457">
        <v>6</v>
      </c>
      <c r="G3457">
        <v>2.8420999999999998</v>
      </c>
    </row>
    <row r="3458" spans="1:7" x14ac:dyDescent="0.35">
      <c r="A3458" t="s">
        <v>847</v>
      </c>
      <c r="B3458" t="s">
        <v>680</v>
      </c>
      <c r="C3458" s="83">
        <v>46121</v>
      </c>
      <c r="D3458" t="s">
        <v>683</v>
      </c>
      <c r="E3458" t="s">
        <v>332</v>
      </c>
      <c r="F3458">
        <v>16</v>
      </c>
      <c r="G3458">
        <v>3.8187166666666701</v>
      </c>
    </row>
    <row r="3459" spans="1:7" x14ac:dyDescent="0.35">
      <c r="A3459" t="s">
        <v>847</v>
      </c>
      <c r="B3459" t="s">
        <v>680</v>
      </c>
      <c r="C3459" s="83">
        <v>46121</v>
      </c>
      <c r="D3459" t="s">
        <v>683</v>
      </c>
      <c r="E3459" t="s">
        <v>298</v>
      </c>
      <c r="F3459">
        <v>9</v>
      </c>
      <c r="G3459">
        <v>10.3273666666667</v>
      </c>
    </row>
    <row r="3460" spans="1:7" x14ac:dyDescent="0.35">
      <c r="A3460" t="s">
        <v>847</v>
      </c>
      <c r="B3460" t="s">
        <v>680</v>
      </c>
      <c r="C3460" s="83">
        <v>46121</v>
      </c>
      <c r="D3460" t="s">
        <v>683</v>
      </c>
      <c r="E3460" t="s">
        <v>737</v>
      </c>
      <c r="F3460">
        <v>6</v>
      </c>
      <c r="G3460">
        <v>6.9945333333333304</v>
      </c>
    </row>
    <row r="3461" spans="1:7" x14ac:dyDescent="0.35">
      <c r="A3461" t="s">
        <v>847</v>
      </c>
      <c r="B3461" t="s">
        <v>680</v>
      </c>
      <c r="C3461" s="83">
        <v>46121</v>
      </c>
      <c r="D3461" t="s">
        <v>689</v>
      </c>
      <c r="E3461" t="s">
        <v>298</v>
      </c>
      <c r="F3461">
        <v>15</v>
      </c>
      <c r="G3461">
        <v>11.5100333333333</v>
      </c>
    </row>
    <row r="3462" spans="1:7" x14ac:dyDescent="0.35">
      <c r="A3462" t="s">
        <v>847</v>
      </c>
      <c r="B3462" t="s">
        <v>680</v>
      </c>
      <c r="C3462" s="83">
        <v>46121</v>
      </c>
      <c r="D3462" t="s">
        <v>689</v>
      </c>
      <c r="E3462" t="s">
        <v>296</v>
      </c>
      <c r="F3462">
        <v>11</v>
      </c>
      <c r="G3462">
        <v>5.6660833333333303</v>
      </c>
    </row>
    <row r="3463" spans="1:7" x14ac:dyDescent="0.35">
      <c r="A3463" t="s">
        <v>847</v>
      </c>
      <c r="B3463" t="s">
        <v>680</v>
      </c>
      <c r="C3463" s="83">
        <v>46121</v>
      </c>
      <c r="D3463" t="s">
        <v>689</v>
      </c>
      <c r="E3463" t="s">
        <v>297</v>
      </c>
      <c r="F3463">
        <v>6</v>
      </c>
      <c r="G3463">
        <v>2.31788333333333</v>
      </c>
    </row>
    <row r="3464" spans="1:7" x14ac:dyDescent="0.35">
      <c r="A3464" t="s">
        <v>847</v>
      </c>
      <c r="B3464" t="s">
        <v>680</v>
      </c>
      <c r="C3464" s="83">
        <v>46121</v>
      </c>
      <c r="D3464" t="s">
        <v>684</v>
      </c>
      <c r="E3464" t="s">
        <v>298</v>
      </c>
      <c r="F3464">
        <v>6</v>
      </c>
      <c r="G3464">
        <v>4.66461666666667</v>
      </c>
    </row>
    <row r="3465" spans="1:7" x14ac:dyDescent="0.35">
      <c r="A3465" t="s">
        <v>847</v>
      </c>
      <c r="B3465" t="s">
        <v>680</v>
      </c>
      <c r="C3465" s="83">
        <v>46121</v>
      </c>
      <c r="D3465" t="s">
        <v>684</v>
      </c>
      <c r="E3465" t="s">
        <v>297</v>
      </c>
      <c r="F3465">
        <v>2</v>
      </c>
      <c r="G3465">
        <v>0.84</v>
      </c>
    </row>
    <row r="3466" spans="1:7" x14ac:dyDescent="0.35">
      <c r="A3466" t="s">
        <v>847</v>
      </c>
      <c r="B3466" t="s">
        <v>680</v>
      </c>
      <c r="C3466" s="83">
        <v>46121</v>
      </c>
      <c r="D3466" t="s">
        <v>687</v>
      </c>
      <c r="E3466" t="s">
        <v>733</v>
      </c>
      <c r="F3466">
        <v>3</v>
      </c>
      <c r="G3466">
        <v>3.00095</v>
      </c>
    </row>
    <row r="3467" spans="1:7" x14ac:dyDescent="0.35">
      <c r="A3467" t="s">
        <v>847</v>
      </c>
      <c r="B3467" t="s">
        <v>680</v>
      </c>
      <c r="C3467" s="83">
        <v>46121</v>
      </c>
      <c r="D3467" t="s">
        <v>687</v>
      </c>
      <c r="E3467" t="s">
        <v>729</v>
      </c>
      <c r="F3467">
        <v>3</v>
      </c>
      <c r="G3467">
        <v>4.17261666666667</v>
      </c>
    </row>
    <row r="3468" spans="1:7" x14ac:dyDescent="0.35">
      <c r="A3468" t="s">
        <v>847</v>
      </c>
      <c r="B3468" t="s">
        <v>680</v>
      </c>
      <c r="C3468" s="83">
        <v>46121</v>
      </c>
      <c r="D3468" t="s">
        <v>687</v>
      </c>
      <c r="E3468" t="s">
        <v>717</v>
      </c>
      <c r="F3468">
        <v>3</v>
      </c>
      <c r="G3468">
        <v>1.00058333333333</v>
      </c>
    </row>
    <row r="3469" spans="1:7" x14ac:dyDescent="0.35">
      <c r="A3469" t="s">
        <v>847</v>
      </c>
      <c r="B3469" t="s">
        <v>680</v>
      </c>
      <c r="C3469" s="83">
        <v>46121</v>
      </c>
      <c r="D3469" t="s">
        <v>688</v>
      </c>
      <c r="E3469" t="s">
        <v>316</v>
      </c>
      <c r="F3469">
        <v>18</v>
      </c>
      <c r="G3469">
        <v>10.007583333333301</v>
      </c>
    </row>
    <row r="3470" spans="1:7" x14ac:dyDescent="0.35">
      <c r="A3470" t="s">
        <v>847</v>
      </c>
      <c r="B3470" t="s">
        <v>680</v>
      </c>
      <c r="C3470" s="83">
        <v>46121</v>
      </c>
      <c r="D3470" t="s">
        <v>688</v>
      </c>
      <c r="E3470" t="s">
        <v>720</v>
      </c>
      <c r="F3470">
        <v>7</v>
      </c>
      <c r="G3470">
        <v>1.66625</v>
      </c>
    </row>
    <row r="3471" spans="1:7" x14ac:dyDescent="0.35">
      <c r="A3471" t="s">
        <v>847</v>
      </c>
      <c r="B3471" t="s">
        <v>680</v>
      </c>
      <c r="C3471" s="83">
        <v>46121</v>
      </c>
      <c r="D3471" t="s">
        <v>688</v>
      </c>
      <c r="E3471" t="s">
        <v>732</v>
      </c>
      <c r="F3471">
        <v>6</v>
      </c>
      <c r="G3471">
        <v>3.3351999999999999</v>
      </c>
    </row>
    <row r="3472" spans="1:7" x14ac:dyDescent="0.35">
      <c r="A3472" t="s">
        <v>847</v>
      </c>
      <c r="B3472" t="s">
        <v>680</v>
      </c>
      <c r="C3472" s="83">
        <v>46121</v>
      </c>
      <c r="D3472" t="s">
        <v>690</v>
      </c>
      <c r="E3472" t="s">
        <v>311</v>
      </c>
      <c r="F3472">
        <v>9</v>
      </c>
      <c r="G3472">
        <v>5.6689333333333298</v>
      </c>
    </row>
    <row r="3473" spans="1:7" x14ac:dyDescent="0.35">
      <c r="A3473" t="s">
        <v>847</v>
      </c>
      <c r="B3473" t="s">
        <v>680</v>
      </c>
      <c r="C3473" s="83">
        <v>46121</v>
      </c>
      <c r="D3473" t="s">
        <v>690</v>
      </c>
      <c r="E3473" t="s">
        <v>720</v>
      </c>
      <c r="F3473">
        <v>3</v>
      </c>
      <c r="G3473">
        <v>1.66841666666667</v>
      </c>
    </row>
    <row r="3474" spans="1:7" x14ac:dyDescent="0.35">
      <c r="A3474" t="s">
        <v>847</v>
      </c>
      <c r="B3474" t="s">
        <v>680</v>
      </c>
      <c r="C3474" s="83">
        <v>46121</v>
      </c>
      <c r="D3474" t="s">
        <v>690</v>
      </c>
      <c r="E3474" t="s">
        <v>770</v>
      </c>
      <c r="F3474">
        <v>2</v>
      </c>
      <c r="G3474">
        <v>4.4997833333333297</v>
      </c>
    </row>
    <row r="3475" spans="1:7" x14ac:dyDescent="0.35">
      <c r="A3475" t="s">
        <v>847</v>
      </c>
      <c r="B3475" t="s">
        <v>680</v>
      </c>
      <c r="C3475" s="83">
        <v>46121</v>
      </c>
      <c r="D3475" t="s">
        <v>685</v>
      </c>
      <c r="E3475" t="s">
        <v>312</v>
      </c>
      <c r="F3475">
        <v>11</v>
      </c>
      <c r="G3475">
        <v>6.6676166666666701</v>
      </c>
    </row>
    <row r="3476" spans="1:7" x14ac:dyDescent="0.35">
      <c r="A3476" t="s">
        <v>847</v>
      </c>
      <c r="B3476" t="s">
        <v>680</v>
      </c>
      <c r="C3476" s="83">
        <v>46121</v>
      </c>
      <c r="D3476" t="s">
        <v>685</v>
      </c>
      <c r="E3476" t="s">
        <v>311</v>
      </c>
      <c r="F3476">
        <v>7</v>
      </c>
      <c r="G3476">
        <v>7.8425333333333302</v>
      </c>
    </row>
    <row r="3477" spans="1:7" x14ac:dyDescent="0.35">
      <c r="A3477" t="s">
        <v>847</v>
      </c>
      <c r="B3477" t="s">
        <v>680</v>
      </c>
      <c r="C3477" s="83">
        <v>46121</v>
      </c>
      <c r="D3477" t="s">
        <v>685</v>
      </c>
      <c r="E3477" t="s">
        <v>732</v>
      </c>
      <c r="F3477">
        <v>3</v>
      </c>
      <c r="G3477">
        <v>2.3344499999999999</v>
      </c>
    </row>
    <row r="3478" spans="1:7" x14ac:dyDescent="0.35">
      <c r="A3478" t="s">
        <v>847</v>
      </c>
      <c r="B3478" t="s">
        <v>680</v>
      </c>
      <c r="C3478" s="83">
        <v>46122</v>
      </c>
      <c r="D3478" t="s">
        <v>681</v>
      </c>
      <c r="E3478" t="s">
        <v>298</v>
      </c>
      <c r="F3478">
        <v>20</v>
      </c>
      <c r="G3478">
        <v>23.839266666666699</v>
      </c>
    </row>
    <row r="3479" spans="1:7" x14ac:dyDescent="0.35">
      <c r="A3479" t="s">
        <v>847</v>
      </c>
      <c r="B3479" t="s">
        <v>680</v>
      </c>
      <c r="C3479" s="83">
        <v>46122</v>
      </c>
      <c r="D3479" t="s">
        <v>681</v>
      </c>
      <c r="E3479" t="s">
        <v>728</v>
      </c>
      <c r="F3479">
        <v>6</v>
      </c>
      <c r="G3479">
        <v>0.673366666666667</v>
      </c>
    </row>
    <row r="3480" spans="1:7" x14ac:dyDescent="0.35">
      <c r="A3480" t="s">
        <v>847</v>
      </c>
      <c r="B3480" t="s">
        <v>680</v>
      </c>
      <c r="C3480" s="83">
        <v>46122</v>
      </c>
      <c r="D3480" t="s">
        <v>681</v>
      </c>
      <c r="E3480" t="s">
        <v>334</v>
      </c>
      <c r="F3480">
        <v>3</v>
      </c>
      <c r="G3480">
        <v>2.1603166666666702</v>
      </c>
    </row>
    <row r="3481" spans="1:7" x14ac:dyDescent="0.35">
      <c r="A3481" t="s">
        <v>847</v>
      </c>
      <c r="B3481" t="s">
        <v>680</v>
      </c>
      <c r="C3481" s="83">
        <v>46122</v>
      </c>
      <c r="D3481" t="s">
        <v>683</v>
      </c>
      <c r="E3481" t="s">
        <v>332</v>
      </c>
      <c r="F3481">
        <v>21</v>
      </c>
      <c r="G3481">
        <v>17.713433333333299</v>
      </c>
    </row>
    <row r="3482" spans="1:7" x14ac:dyDescent="0.35">
      <c r="A3482" t="s">
        <v>847</v>
      </c>
      <c r="B3482" t="s">
        <v>680</v>
      </c>
      <c r="C3482" s="83">
        <v>46122</v>
      </c>
      <c r="D3482" t="s">
        <v>683</v>
      </c>
      <c r="E3482" t="s">
        <v>298</v>
      </c>
      <c r="F3482">
        <v>15</v>
      </c>
      <c r="G3482">
        <v>16.164166666666699</v>
      </c>
    </row>
    <row r="3483" spans="1:7" x14ac:dyDescent="0.35">
      <c r="A3483" t="s">
        <v>847</v>
      </c>
      <c r="B3483" t="s">
        <v>680</v>
      </c>
      <c r="C3483" s="83">
        <v>46122</v>
      </c>
      <c r="D3483" t="s">
        <v>683</v>
      </c>
      <c r="E3483" t="s">
        <v>727</v>
      </c>
      <c r="F3483">
        <v>10</v>
      </c>
      <c r="G3483">
        <v>6.6542333333333303</v>
      </c>
    </row>
    <row r="3484" spans="1:7" x14ac:dyDescent="0.35">
      <c r="A3484" t="s">
        <v>847</v>
      </c>
      <c r="B3484" t="s">
        <v>680</v>
      </c>
      <c r="C3484" s="83">
        <v>46122</v>
      </c>
      <c r="D3484" t="s">
        <v>689</v>
      </c>
      <c r="E3484" t="s">
        <v>298</v>
      </c>
      <c r="F3484">
        <v>20</v>
      </c>
      <c r="G3484">
        <v>13.832599999999999</v>
      </c>
    </row>
    <row r="3485" spans="1:7" x14ac:dyDescent="0.35">
      <c r="A3485" t="s">
        <v>847</v>
      </c>
      <c r="B3485" t="s">
        <v>680</v>
      </c>
      <c r="C3485" s="83">
        <v>46122</v>
      </c>
      <c r="D3485" t="s">
        <v>689</v>
      </c>
      <c r="E3485" t="s">
        <v>730</v>
      </c>
      <c r="F3485">
        <v>12</v>
      </c>
      <c r="G3485">
        <v>9.0039499999999997</v>
      </c>
    </row>
    <row r="3486" spans="1:7" x14ac:dyDescent="0.35">
      <c r="A3486" t="s">
        <v>847</v>
      </c>
      <c r="B3486" t="s">
        <v>680</v>
      </c>
      <c r="C3486" s="83">
        <v>46122</v>
      </c>
      <c r="D3486" t="s">
        <v>689</v>
      </c>
      <c r="E3486" t="s">
        <v>728</v>
      </c>
      <c r="F3486">
        <v>8</v>
      </c>
      <c r="G3486">
        <v>6.16686666666667</v>
      </c>
    </row>
    <row r="3487" spans="1:7" x14ac:dyDescent="0.35">
      <c r="A3487" t="s">
        <v>847</v>
      </c>
      <c r="B3487" t="s">
        <v>680</v>
      </c>
      <c r="C3487" s="83">
        <v>46122</v>
      </c>
      <c r="D3487" t="s">
        <v>684</v>
      </c>
      <c r="E3487" t="s">
        <v>300</v>
      </c>
      <c r="F3487">
        <v>4</v>
      </c>
      <c r="G3487">
        <v>0.99931666666666696</v>
      </c>
    </row>
    <row r="3488" spans="1:7" x14ac:dyDescent="0.35">
      <c r="A3488" t="s">
        <v>847</v>
      </c>
      <c r="B3488" t="s">
        <v>680</v>
      </c>
      <c r="C3488" s="83">
        <v>46122</v>
      </c>
      <c r="D3488" t="s">
        <v>684</v>
      </c>
      <c r="E3488" t="s">
        <v>298</v>
      </c>
      <c r="F3488">
        <v>3</v>
      </c>
      <c r="G3488">
        <v>2.8336333333333301</v>
      </c>
    </row>
    <row r="3489" spans="1:7" x14ac:dyDescent="0.35">
      <c r="A3489" t="s">
        <v>847</v>
      </c>
      <c r="B3489" t="s">
        <v>680</v>
      </c>
      <c r="C3489" s="83">
        <v>46122</v>
      </c>
      <c r="D3489" t="s">
        <v>684</v>
      </c>
      <c r="E3489" t="s">
        <v>297</v>
      </c>
      <c r="F3489">
        <v>2</v>
      </c>
      <c r="G3489">
        <v>2.83463333333333</v>
      </c>
    </row>
    <row r="3490" spans="1:7" x14ac:dyDescent="0.35">
      <c r="A3490" t="s">
        <v>847</v>
      </c>
      <c r="B3490" t="s">
        <v>680</v>
      </c>
      <c r="C3490" s="83">
        <v>46122</v>
      </c>
      <c r="D3490" t="s">
        <v>687</v>
      </c>
      <c r="E3490" t="s">
        <v>746</v>
      </c>
      <c r="F3490">
        <v>2</v>
      </c>
      <c r="G3490">
        <v>0.172133333333333</v>
      </c>
    </row>
    <row r="3491" spans="1:7" x14ac:dyDescent="0.35">
      <c r="A3491" t="s">
        <v>847</v>
      </c>
      <c r="B3491" t="s">
        <v>680</v>
      </c>
      <c r="C3491" s="83">
        <v>46122</v>
      </c>
      <c r="D3491" t="s">
        <v>688</v>
      </c>
      <c r="E3491" t="s">
        <v>316</v>
      </c>
      <c r="F3491">
        <v>21</v>
      </c>
      <c r="G3491">
        <v>18.643333333333299</v>
      </c>
    </row>
    <row r="3492" spans="1:7" x14ac:dyDescent="0.35">
      <c r="A3492" t="s">
        <v>847</v>
      </c>
      <c r="B3492" t="s">
        <v>680</v>
      </c>
      <c r="C3492" s="83">
        <v>46122</v>
      </c>
      <c r="D3492" t="s">
        <v>688</v>
      </c>
      <c r="E3492" t="s">
        <v>312</v>
      </c>
      <c r="F3492">
        <v>7</v>
      </c>
      <c r="G3492">
        <v>2.5021</v>
      </c>
    </row>
    <row r="3493" spans="1:7" x14ac:dyDescent="0.35">
      <c r="A3493" t="s">
        <v>847</v>
      </c>
      <c r="B3493" t="s">
        <v>680</v>
      </c>
      <c r="C3493" s="83">
        <v>46122</v>
      </c>
      <c r="D3493" t="s">
        <v>688</v>
      </c>
      <c r="E3493" t="s">
        <v>732</v>
      </c>
      <c r="F3493">
        <v>6</v>
      </c>
      <c r="G3493">
        <v>6.0029833333333302</v>
      </c>
    </row>
    <row r="3494" spans="1:7" x14ac:dyDescent="0.35">
      <c r="A3494" t="s">
        <v>847</v>
      </c>
      <c r="B3494" t="s">
        <v>680</v>
      </c>
      <c r="C3494" s="83">
        <v>46122</v>
      </c>
      <c r="D3494" t="s">
        <v>690</v>
      </c>
      <c r="E3494" t="s">
        <v>311</v>
      </c>
      <c r="F3494">
        <v>4</v>
      </c>
      <c r="G3494">
        <v>2.1679666666666702</v>
      </c>
    </row>
    <row r="3495" spans="1:7" x14ac:dyDescent="0.35">
      <c r="A3495" t="s">
        <v>847</v>
      </c>
      <c r="B3495" t="s">
        <v>680</v>
      </c>
      <c r="C3495" s="83">
        <v>46122</v>
      </c>
      <c r="D3495" t="s">
        <v>690</v>
      </c>
      <c r="E3495" t="s">
        <v>773</v>
      </c>
      <c r="F3495">
        <v>4</v>
      </c>
      <c r="G3495">
        <v>1.6678333333333299</v>
      </c>
    </row>
    <row r="3496" spans="1:7" x14ac:dyDescent="0.35">
      <c r="A3496" t="s">
        <v>847</v>
      </c>
      <c r="B3496" t="s">
        <v>680</v>
      </c>
      <c r="C3496" s="83">
        <v>46122</v>
      </c>
      <c r="D3496" t="s">
        <v>690</v>
      </c>
      <c r="E3496" t="s">
        <v>720</v>
      </c>
      <c r="F3496">
        <v>3</v>
      </c>
      <c r="G3496">
        <v>0.99278333333333302</v>
      </c>
    </row>
    <row r="3497" spans="1:7" x14ac:dyDescent="0.35">
      <c r="A3497" t="s">
        <v>847</v>
      </c>
      <c r="B3497" t="s">
        <v>680</v>
      </c>
      <c r="C3497" s="83">
        <v>46122</v>
      </c>
      <c r="D3497" t="s">
        <v>685</v>
      </c>
      <c r="E3497" t="s">
        <v>312</v>
      </c>
      <c r="F3497">
        <v>8</v>
      </c>
      <c r="G3497">
        <v>2.65621666666667</v>
      </c>
    </row>
    <row r="3498" spans="1:7" x14ac:dyDescent="0.35">
      <c r="A3498" t="s">
        <v>847</v>
      </c>
      <c r="B3498" t="s">
        <v>680</v>
      </c>
      <c r="C3498" s="83">
        <v>46122</v>
      </c>
      <c r="D3498" t="s">
        <v>685</v>
      </c>
      <c r="E3498" t="s">
        <v>316</v>
      </c>
      <c r="F3498">
        <v>4</v>
      </c>
      <c r="G3498">
        <v>2.3323</v>
      </c>
    </row>
    <row r="3499" spans="1:7" x14ac:dyDescent="0.35">
      <c r="A3499" t="s">
        <v>847</v>
      </c>
      <c r="B3499" t="s">
        <v>680</v>
      </c>
      <c r="C3499" s="83">
        <v>46122</v>
      </c>
      <c r="D3499" t="s">
        <v>685</v>
      </c>
      <c r="E3499" t="s">
        <v>723</v>
      </c>
      <c r="F3499">
        <v>3</v>
      </c>
      <c r="G3499">
        <v>1.3345</v>
      </c>
    </row>
    <row r="3500" spans="1:7" x14ac:dyDescent="0.35">
      <c r="A3500" t="s">
        <v>847</v>
      </c>
      <c r="B3500" t="s">
        <v>680</v>
      </c>
      <c r="C3500" s="83">
        <v>46123</v>
      </c>
      <c r="D3500" t="s">
        <v>681</v>
      </c>
      <c r="E3500" t="s">
        <v>296</v>
      </c>
      <c r="F3500">
        <v>16</v>
      </c>
      <c r="G3500">
        <v>11.8184</v>
      </c>
    </row>
    <row r="3501" spans="1:7" x14ac:dyDescent="0.35">
      <c r="A3501" t="s">
        <v>847</v>
      </c>
      <c r="B3501" t="s">
        <v>680</v>
      </c>
      <c r="C3501" s="83">
        <v>46123</v>
      </c>
      <c r="D3501" t="s">
        <v>681</v>
      </c>
      <c r="E3501" t="s">
        <v>297</v>
      </c>
      <c r="F3501">
        <v>15</v>
      </c>
      <c r="G3501">
        <v>8.3348999999999993</v>
      </c>
    </row>
    <row r="3502" spans="1:7" x14ac:dyDescent="0.35">
      <c r="A3502" t="s">
        <v>847</v>
      </c>
      <c r="B3502" t="s">
        <v>680</v>
      </c>
      <c r="C3502" s="83">
        <v>46123</v>
      </c>
      <c r="D3502" t="s">
        <v>681</v>
      </c>
      <c r="E3502" t="s">
        <v>298</v>
      </c>
      <c r="F3502">
        <v>6</v>
      </c>
      <c r="G3502">
        <v>9.32775</v>
      </c>
    </row>
    <row r="3503" spans="1:7" x14ac:dyDescent="0.35">
      <c r="A3503" t="s">
        <v>847</v>
      </c>
      <c r="B3503" t="s">
        <v>680</v>
      </c>
      <c r="C3503" s="83">
        <v>46123</v>
      </c>
      <c r="D3503" t="s">
        <v>683</v>
      </c>
      <c r="E3503" t="s">
        <v>756</v>
      </c>
      <c r="F3503">
        <v>19</v>
      </c>
      <c r="G3503">
        <v>16.321366666666702</v>
      </c>
    </row>
    <row r="3504" spans="1:7" x14ac:dyDescent="0.35">
      <c r="A3504" t="s">
        <v>847</v>
      </c>
      <c r="B3504" t="s">
        <v>680</v>
      </c>
      <c r="C3504" s="83">
        <v>46123</v>
      </c>
      <c r="D3504" t="s">
        <v>683</v>
      </c>
      <c r="E3504" t="s">
        <v>298</v>
      </c>
      <c r="F3504">
        <v>10</v>
      </c>
      <c r="G3504">
        <v>15.0177333333333</v>
      </c>
    </row>
    <row r="3505" spans="1:7" x14ac:dyDescent="0.35">
      <c r="A3505" t="s">
        <v>847</v>
      </c>
      <c r="B3505" t="s">
        <v>680</v>
      </c>
      <c r="C3505" s="83">
        <v>46123</v>
      </c>
      <c r="D3505" t="s">
        <v>683</v>
      </c>
      <c r="E3505" t="s">
        <v>334</v>
      </c>
      <c r="F3505">
        <v>8</v>
      </c>
      <c r="G3505">
        <v>2.1727333333333299</v>
      </c>
    </row>
    <row r="3506" spans="1:7" x14ac:dyDescent="0.35">
      <c r="A3506" t="s">
        <v>847</v>
      </c>
      <c r="B3506" t="s">
        <v>680</v>
      </c>
      <c r="C3506" s="83">
        <v>46123</v>
      </c>
      <c r="D3506" t="s">
        <v>689</v>
      </c>
      <c r="E3506" t="s">
        <v>296</v>
      </c>
      <c r="F3506">
        <v>17</v>
      </c>
      <c r="G3506">
        <v>9.5005000000000006</v>
      </c>
    </row>
    <row r="3507" spans="1:7" x14ac:dyDescent="0.35">
      <c r="A3507" t="s">
        <v>847</v>
      </c>
      <c r="B3507" t="s">
        <v>693</v>
      </c>
      <c r="C3507" s="83"/>
      <c r="F3507">
        <v>52464</v>
      </c>
      <c r="G3507">
        <v>97795.437083333003</v>
      </c>
    </row>
    <row r="3508" spans="1:7" x14ac:dyDescent="0.35">
      <c r="A3508" t="s">
        <v>847</v>
      </c>
      <c r="B3508" t="s">
        <v>680</v>
      </c>
      <c r="C3508" s="83">
        <v>46123</v>
      </c>
      <c r="D3508" t="s">
        <v>689</v>
      </c>
      <c r="E3508" t="s">
        <v>297</v>
      </c>
      <c r="F3508">
        <v>14</v>
      </c>
      <c r="G3508">
        <v>4.4975166666666704</v>
      </c>
    </row>
    <row r="3509" spans="1:7" x14ac:dyDescent="0.35">
      <c r="A3509" t="s">
        <v>847</v>
      </c>
      <c r="B3509" t="s">
        <v>680</v>
      </c>
      <c r="C3509" s="83">
        <v>46123</v>
      </c>
      <c r="D3509" t="s">
        <v>689</v>
      </c>
      <c r="E3509" t="s">
        <v>304</v>
      </c>
      <c r="F3509">
        <v>9</v>
      </c>
      <c r="G3509">
        <v>19.030799999999999</v>
      </c>
    </row>
    <row r="3510" spans="1:7" x14ac:dyDescent="0.35">
      <c r="A3510" t="s">
        <v>847</v>
      </c>
      <c r="B3510" t="s">
        <v>680</v>
      </c>
      <c r="C3510" s="83">
        <v>46123</v>
      </c>
      <c r="D3510" t="s">
        <v>684</v>
      </c>
      <c r="E3510" t="s">
        <v>296</v>
      </c>
      <c r="F3510">
        <v>3</v>
      </c>
      <c r="G3510">
        <v>1.8258666666666701</v>
      </c>
    </row>
    <row r="3511" spans="1:7" x14ac:dyDescent="0.35">
      <c r="A3511" t="s">
        <v>847</v>
      </c>
      <c r="B3511" t="s">
        <v>680</v>
      </c>
      <c r="C3511" s="83">
        <v>46123</v>
      </c>
      <c r="D3511" t="s">
        <v>684</v>
      </c>
      <c r="E3511" t="s">
        <v>298</v>
      </c>
      <c r="F3511">
        <v>3</v>
      </c>
      <c r="G3511">
        <v>4.5005833333333296</v>
      </c>
    </row>
    <row r="3512" spans="1:7" x14ac:dyDescent="0.35">
      <c r="A3512" t="s">
        <v>847</v>
      </c>
      <c r="B3512" t="s">
        <v>680</v>
      </c>
      <c r="C3512" s="83">
        <v>46123</v>
      </c>
      <c r="D3512" t="s">
        <v>684</v>
      </c>
      <c r="E3512" t="s">
        <v>334</v>
      </c>
      <c r="F3512">
        <v>2</v>
      </c>
      <c r="G3512">
        <v>0.83248333333333302</v>
      </c>
    </row>
    <row r="3513" spans="1:7" x14ac:dyDescent="0.35">
      <c r="A3513" t="s">
        <v>847</v>
      </c>
      <c r="B3513" t="s">
        <v>680</v>
      </c>
      <c r="C3513" s="83">
        <v>46123</v>
      </c>
      <c r="D3513" t="s">
        <v>687</v>
      </c>
      <c r="E3513" t="s">
        <v>746</v>
      </c>
      <c r="F3513">
        <v>4</v>
      </c>
      <c r="G3513">
        <v>1.6672499999999999</v>
      </c>
    </row>
    <row r="3514" spans="1:7" x14ac:dyDescent="0.35">
      <c r="A3514" t="s">
        <v>847</v>
      </c>
      <c r="B3514" t="s">
        <v>680</v>
      </c>
      <c r="C3514" s="83">
        <v>46123</v>
      </c>
      <c r="D3514" t="s">
        <v>687</v>
      </c>
      <c r="E3514" t="s">
        <v>717</v>
      </c>
      <c r="F3514">
        <v>4</v>
      </c>
      <c r="G3514">
        <v>0.51258333333333295</v>
      </c>
    </row>
    <row r="3515" spans="1:7" x14ac:dyDescent="0.35">
      <c r="A3515" t="s">
        <v>847</v>
      </c>
      <c r="B3515" t="s">
        <v>680</v>
      </c>
      <c r="C3515" s="83">
        <v>46123</v>
      </c>
      <c r="D3515" t="s">
        <v>687</v>
      </c>
      <c r="E3515" t="s">
        <v>733</v>
      </c>
      <c r="F3515">
        <v>3</v>
      </c>
      <c r="G3515">
        <v>435.22123333333298</v>
      </c>
    </row>
    <row r="3516" spans="1:7" x14ac:dyDescent="0.35">
      <c r="A3516" t="s">
        <v>847</v>
      </c>
      <c r="B3516" t="s">
        <v>680</v>
      </c>
      <c r="C3516" s="83">
        <v>46123</v>
      </c>
      <c r="D3516" t="s">
        <v>688</v>
      </c>
      <c r="E3516" t="s">
        <v>316</v>
      </c>
      <c r="F3516">
        <v>11</v>
      </c>
      <c r="G3516">
        <v>33.567616666666702</v>
      </c>
    </row>
    <row r="3517" spans="1:7" x14ac:dyDescent="0.35">
      <c r="A3517" t="s">
        <v>847</v>
      </c>
      <c r="B3517" t="s">
        <v>680</v>
      </c>
      <c r="C3517" s="83">
        <v>46123</v>
      </c>
      <c r="D3517" t="s">
        <v>688</v>
      </c>
      <c r="E3517" t="s">
        <v>311</v>
      </c>
      <c r="F3517">
        <v>11</v>
      </c>
      <c r="G3517">
        <v>9.5089833333333296</v>
      </c>
    </row>
    <row r="3518" spans="1:7" x14ac:dyDescent="0.35">
      <c r="A3518" t="s">
        <v>847</v>
      </c>
      <c r="B3518" t="s">
        <v>680</v>
      </c>
      <c r="C3518" s="83">
        <v>46123</v>
      </c>
      <c r="D3518" t="s">
        <v>688</v>
      </c>
      <c r="E3518" t="s">
        <v>732</v>
      </c>
      <c r="F3518">
        <v>10</v>
      </c>
      <c r="G3518">
        <v>14.360716666666701</v>
      </c>
    </row>
    <row r="3519" spans="1:7" x14ac:dyDescent="0.35">
      <c r="A3519" t="s">
        <v>847</v>
      </c>
      <c r="B3519" t="s">
        <v>680</v>
      </c>
      <c r="C3519" s="83">
        <v>46123</v>
      </c>
      <c r="D3519" t="s">
        <v>690</v>
      </c>
      <c r="E3519" t="s">
        <v>725</v>
      </c>
      <c r="F3519">
        <v>2</v>
      </c>
      <c r="G3519">
        <v>0.17369999999999999</v>
      </c>
    </row>
    <row r="3520" spans="1:7" x14ac:dyDescent="0.35">
      <c r="A3520" t="s">
        <v>847</v>
      </c>
      <c r="B3520" t="s">
        <v>680</v>
      </c>
      <c r="C3520" s="83">
        <v>46123</v>
      </c>
      <c r="D3520" t="s">
        <v>690</v>
      </c>
      <c r="E3520" t="s">
        <v>724</v>
      </c>
      <c r="F3520">
        <v>2</v>
      </c>
      <c r="G3520">
        <v>0.32623333333333299</v>
      </c>
    </row>
    <row r="3521" spans="1:7" x14ac:dyDescent="0.35">
      <c r="A3521" t="s">
        <v>847</v>
      </c>
      <c r="B3521" t="s">
        <v>680</v>
      </c>
      <c r="C3521" s="83">
        <v>46123</v>
      </c>
      <c r="D3521" t="s">
        <v>690</v>
      </c>
      <c r="E3521" t="s">
        <v>322</v>
      </c>
      <c r="F3521">
        <v>2</v>
      </c>
      <c r="G3521">
        <v>18.993600000000001</v>
      </c>
    </row>
    <row r="3522" spans="1:7" x14ac:dyDescent="0.35">
      <c r="A3522" t="s">
        <v>847</v>
      </c>
      <c r="B3522" t="s">
        <v>680</v>
      </c>
      <c r="C3522" s="83">
        <v>46123</v>
      </c>
      <c r="D3522" t="s">
        <v>685</v>
      </c>
      <c r="E3522" t="s">
        <v>311</v>
      </c>
      <c r="F3522">
        <v>4</v>
      </c>
      <c r="G3522">
        <v>2.6731833333333301</v>
      </c>
    </row>
    <row r="3523" spans="1:7" x14ac:dyDescent="0.35">
      <c r="A3523" t="s">
        <v>847</v>
      </c>
      <c r="B3523" t="s">
        <v>680</v>
      </c>
      <c r="C3523" s="83">
        <v>46123</v>
      </c>
      <c r="D3523" t="s">
        <v>685</v>
      </c>
      <c r="E3523" t="s">
        <v>312</v>
      </c>
      <c r="F3523">
        <v>4</v>
      </c>
      <c r="G3523">
        <v>1.173</v>
      </c>
    </row>
    <row r="3524" spans="1:7" x14ac:dyDescent="0.35">
      <c r="A3524" t="s">
        <v>847</v>
      </c>
      <c r="B3524" t="s">
        <v>680</v>
      </c>
      <c r="C3524" s="83">
        <v>46123</v>
      </c>
      <c r="D3524" t="s">
        <v>685</v>
      </c>
      <c r="E3524" t="s">
        <v>316</v>
      </c>
      <c r="F3524">
        <v>2</v>
      </c>
      <c r="G3524">
        <v>0.17330000000000001</v>
      </c>
    </row>
    <row r="3525" spans="1:7" x14ac:dyDescent="0.35">
      <c r="A3525" t="s">
        <v>847</v>
      </c>
      <c r="B3525" t="s">
        <v>680</v>
      </c>
      <c r="C3525" s="83">
        <v>46124</v>
      </c>
      <c r="D3525" t="s">
        <v>681</v>
      </c>
      <c r="E3525" t="s">
        <v>296</v>
      </c>
      <c r="F3525">
        <v>34</v>
      </c>
      <c r="G3525">
        <v>11.8083166666667</v>
      </c>
    </row>
    <row r="3526" spans="1:7" x14ac:dyDescent="0.35">
      <c r="A3526" t="s">
        <v>847</v>
      </c>
      <c r="B3526" t="s">
        <v>680</v>
      </c>
      <c r="C3526" s="83">
        <v>46124</v>
      </c>
      <c r="D3526" t="s">
        <v>681</v>
      </c>
      <c r="E3526" t="s">
        <v>297</v>
      </c>
      <c r="F3526">
        <v>27</v>
      </c>
      <c r="G3526">
        <v>13.336966666666701</v>
      </c>
    </row>
    <row r="3527" spans="1:7" x14ac:dyDescent="0.35">
      <c r="A3527" t="s">
        <v>847</v>
      </c>
      <c r="B3527" t="s">
        <v>680</v>
      </c>
      <c r="C3527" s="83">
        <v>46124</v>
      </c>
      <c r="D3527" t="s">
        <v>681</v>
      </c>
      <c r="E3527" t="s">
        <v>298</v>
      </c>
      <c r="F3527">
        <v>22</v>
      </c>
      <c r="G3527">
        <v>30.663133333333299</v>
      </c>
    </row>
    <row r="3528" spans="1:7" x14ac:dyDescent="0.35">
      <c r="A3528" t="s">
        <v>847</v>
      </c>
      <c r="B3528" t="s">
        <v>680</v>
      </c>
      <c r="C3528" s="83">
        <v>46124</v>
      </c>
      <c r="D3528" t="s">
        <v>683</v>
      </c>
      <c r="E3528" t="s">
        <v>298</v>
      </c>
      <c r="F3528">
        <v>23</v>
      </c>
      <c r="G3528">
        <v>30.512699999999999</v>
      </c>
    </row>
    <row r="3529" spans="1:7" x14ac:dyDescent="0.35">
      <c r="A3529" t="s">
        <v>847</v>
      </c>
      <c r="B3529" t="s">
        <v>680</v>
      </c>
      <c r="C3529" s="83">
        <v>46124</v>
      </c>
      <c r="D3529" t="s">
        <v>683</v>
      </c>
      <c r="E3529" t="s">
        <v>334</v>
      </c>
      <c r="F3529">
        <v>4</v>
      </c>
      <c r="G3529">
        <v>1.1654166666666701</v>
      </c>
    </row>
    <row r="3530" spans="1:7" x14ac:dyDescent="0.35">
      <c r="A3530" t="s">
        <v>847</v>
      </c>
      <c r="B3530" t="s">
        <v>680</v>
      </c>
      <c r="C3530" s="83">
        <v>46124</v>
      </c>
      <c r="D3530" t="s">
        <v>683</v>
      </c>
      <c r="E3530" t="s">
        <v>296</v>
      </c>
      <c r="F3530">
        <v>4</v>
      </c>
      <c r="G3530">
        <v>1.3386</v>
      </c>
    </row>
    <row r="3531" spans="1:7" x14ac:dyDescent="0.35">
      <c r="A3531" t="s">
        <v>847</v>
      </c>
      <c r="B3531" t="s">
        <v>680</v>
      </c>
      <c r="C3531" s="83">
        <v>46124</v>
      </c>
      <c r="D3531" t="s">
        <v>689</v>
      </c>
      <c r="E3531" t="s">
        <v>297</v>
      </c>
      <c r="F3531">
        <v>34</v>
      </c>
      <c r="G3531">
        <v>14.030849999999999</v>
      </c>
    </row>
    <row r="3532" spans="1:7" x14ac:dyDescent="0.35">
      <c r="A3532" t="s">
        <v>847</v>
      </c>
      <c r="B3532" t="s">
        <v>680</v>
      </c>
      <c r="C3532" s="83">
        <v>46124</v>
      </c>
      <c r="D3532" t="s">
        <v>689</v>
      </c>
      <c r="E3532" t="s">
        <v>296</v>
      </c>
      <c r="F3532">
        <v>16</v>
      </c>
      <c r="G3532">
        <v>6.3184833333333303</v>
      </c>
    </row>
    <row r="3533" spans="1:7" x14ac:dyDescent="0.35">
      <c r="A3533" t="s">
        <v>847</v>
      </c>
      <c r="B3533" t="s">
        <v>680</v>
      </c>
      <c r="C3533" s="83">
        <v>46124</v>
      </c>
      <c r="D3533" t="s">
        <v>689</v>
      </c>
      <c r="E3533" t="s">
        <v>298</v>
      </c>
      <c r="F3533">
        <v>10</v>
      </c>
      <c r="G3533">
        <v>4.1611333333333302</v>
      </c>
    </row>
    <row r="3534" spans="1:7" x14ac:dyDescent="0.35">
      <c r="A3534" t="s">
        <v>847</v>
      </c>
      <c r="B3534" t="s">
        <v>680</v>
      </c>
      <c r="C3534" s="83">
        <v>46124</v>
      </c>
      <c r="D3534" t="s">
        <v>684</v>
      </c>
      <c r="E3534" t="s">
        <v>296</v>
      </c>
      <c r="F3534">
        <v>6</v>
      </c>
      <c r="G3534">
        <v>2.6698833333333298</v>
      </c>
    </row>
    <row r="3535" spans="1:7" x14ac:dyDescent="0.35">
      <c r="A3535" t="s">
        <v>847</v>
      </c>
      <c r="B3535" t="s">
        <v>680</v>
      </c>
      <c r="C3535" s="83">
        <v>46124</v>
      </c>
      <c r="D3535" t="s">
        <v>684</v>
      </c>
      <c r="E3535" t="s">
        <v>297</v>
      </c>
      <c r="F3535">
        <v>6</v>
      </c>
      <c r="G3535">
        <v>4.1755666666666702</v>
      </c>
    </row>
    <row r="3536" spans="1:7" x14ac:dyDescent="0.35">
      <c r="A3536" t="s">
        <v>847</v>
      </c>
      <c r="B3536" t="s">
        <v>680</v>
      </c>
      <c r="C3536" s="83">
        <v>46124</v>
      </c>
      <c r="D3536" t="s">
        <v>684</v>
      </c>
      <c r="E3536" t="s">
        <v>334</v>
      </c>
      <c r="F3536">
        <v>5</v>
      </c>
      <c r="G3536">
        <v>12.012133333333299</v>
      </c>
    </row>
    <row r="3537" spans="1:7" x14ac:dyDescent="0.35">
      <c r="A3537" t="s">
        <v>847</v>
      </c>
      <c r="B3537" t="s">
        <v>680</v>
      </c>
      <c r="C3537" s="83">
        <v>46124</v>
      </c>
      <c r="D3537" t="s">
        <v>687</v>
      </c>
      <c r="E3537" t="s">
        <v>726</v>
      </c>
      <c r="F3537">
        <v>6</v>
      </c>
      <c r="G3537">
        <v>6.9957000000000003</v>
      </c>
    </row>
    <row r="3538" spans="1:7" x14ac:dyDescent="0.35">
      <c r="A3538" t="s">
        <v>847</v>
      </c>
      <c r="B3538" t="s">
        <v>680</v>
      </c>
      <c r="C3538" s="83">
        <v>46124</v>
      </c>
      <c r="D3538" t="s">
        <v>687</v>
      </c>
      <c r="E3538" t="s">
        <v>746</v>
      </c>
      <c r="F3538">
        <v>4</v>
      </c>
      <c r="G3538">
        <v>1.3344</v>
      </c>
    </row>
    <row r="3539" spans="1:7" x14ac:dyDescent="0.35">
      <c r="A3539" t="s">
        <v>847</v>
      </c>
      <c r="B3539" t="s">
        <v>680</v>
      </c>
      <c r="C3539" s="83">
        <v>46124</v>
      </c>
      <c r="D3539" t="s">
        <v>687</v>
      </c>
      <c r="E3539" t="s">
        <v>717</v>
      </c>
      <c r="F3539">
        <v>3</v>
      </c>
      <c r="G3539">
        <v>1.9999</v>
      </c>
    </row>
    <row r="3540" spans="1:7" x14ac:dyDescent="0.35">
      <c r="A3540" t="s">
        <v>847</v>
      </c>
      <c r="B3540" t="s">
        <v>680</v>
      </c>
      <c r="C3540" s="83">
        <v>46124</v>
      </c>
      <c r="D3540" t="s">
        <v>688</v>
      </c>
      <c r="E3540" t="s">
        <v>311</v>
      </c>
      <c r="F3540">
        <v>27</v>
      </c>
      <c r="G3540">
        <v>13.161099999999999</v>
      </c>
    </row>
    <row r="3541" spans="1:7" x14ac:dyDescent="0.35">
      <c r="A3541" t="s">
        <v>847</v>
      </c>
      <c r="B3541" t="s">
        <v>680</v>
      </c>
      <c r="C3541" s="83">
        <v>46124</v>
      </c>
      <c r="D3541" t="s">
        <v>688</v>
      </c>
      <c r="E3541" t="s">
        <v>316</v>
      </c>
      <c r="F3541">
        <v>10</v>
      </c>
      <c r="G3541">
        <v>33.510166666666699</v>
      </c>
    </row>
    <row r="3542" spans="1:7" x14ac:dyDescent="0.35">
      <c r="A3542" t="s">
        <v>847</v>
      </c>
      <c r="B3542" t="s">
        <v>680</v>
      </c>
      <c r="C3542" s="83">
        <v>46124</v>
      </c>
      <c r="D3542" t="s">
        <v>688</v>
      </c>
      <c r="E3542" t="s">
        <v>720</v>
      </c>
      <c r="F3542">
        <v>5</v>
      </c>
      <c r="G3542">
        <v>3.0252166666666702</v>
      </c>
    </row>
    <row r="3543" spans="1:7" x14ac:dyDescent="0.35">
      <c r="A3543" t="s">
        <v>847</v>
      </c>
      <c r="B3543" t="s">
        <v>680</v>
      </c>
      <c r="C3543" s="83">
        <v>46124</v>
      </c>
      <c r="D3543" t="s">
        <v>690</v>
      </c>
      <c r="E3543" t="s">
        <v>311</v>
      </c>
      <c r="F3543">
        <v>21</v>
      </c>
      <c r="G3543">
        <v>17.652366666666701</v>
      </c>
    </row>
    <row r="3544" spans="1:7" x14ac:dyDescent="0.35">
      <c r="A3544" t="s">
        <v>847</v>
      </c>
      <c r="B3544" t="s">
        <v>680</v>
      </c>
      <c r="C3544" s="83">
        <v>46124</v>
      </c>
      <c r="D3544" t="s">
        <v>690</v>
      </c>
      <c r="E3544" t="s">
        <v>773</v>
      </c>
      <c r="F3544">
        <v>6</v>
      </c>
      <c r="G3544">
        <v>2.67415</v>
      </c>
    </row>
    <row r="3545" spans="1:7" x14ac:dyDescent="0.35">
      <c r="A3545" t="s">
        <v>847</v>
      </c>
      <c r="B3545" t="s">
        <v>680</v>
      </c>
      <c r="C3545" s="83">
        <v>46124</v>
      </c>
      <c r="D3545" t="s">
        <v>690</v>
      </c>
      <c r="E3545" t="s">
        <v>725</v>
      </c>
      <c r="F3545">
        <v>4</v>
      </c>
      <c r="G3545">
        <v>7.6692833333333299</v>
      </c>
    </row>
    <row r="3546" spans="1:7" x14ac:dyDescent="0.35">
      <c r="A3546" t="s">
        <v>847</v>
      </c>
      <c r="B3546" t="s">
        <v>680</v>
      </c>
      <c r="C3546" s="83">
        <v>46124</v>
      </c>
      <c r="D3546" t="s">
        <v>685</v>
      </c>
      <c r="E3546" t="s">
        <v>311</v>
      </c>
      <c r="F3546">
        <v>12</v>
      </c>
      <c r="G3546">
        <v>10.848283333333301</v>
      </c>
    </row>
    <row r="3547" spans="1:7" x14ac:dyDescent="0.35">
      <c r="A3547" t="s">
        <v>847</v>
      </c>
      <c r="B3547" t="s">
        <v>680</v>
      </c>
      <c r="C3547" s="83">
        <v>46124</v>
      </c>
      <c r="D3547" t="s">
        <v>685</v>
      </c>
      <c r="E3547" t="s">
        <v>316</v>
      </c>
      <c r="F3547">
        <v>4</v>
      </c>
      <c r="G3547">
        <v>1.34666666666667</v>
      </c>
    </row>
    <row r="3548" spans="1:7" x14ac:dyDescent="0.35">
      <c r="A3548" t="s">
        <v>847</v>
      </c>
      <c r="B3548" t="s">
        <v>680</v>
      </c>
      <c r="C3548" s="83">
        <v>46124</v>
      </c>
      <c r="D3548" t="s">
        <v>685</v>
      </c>
      <c r="E3548" t="s">
        <v>734</v>
      </c>
      <c r="F3548">
        <v>4</v>
      </c>
      <c r="G3548">
        <v>0.99399999999999999</v>
      </c>
    </row>
    <row r="3549" spans="1:7" x14ac:dyDescent="0.35">
      <c r="A3549" t="s">
        <v>847</v>
      </c>
      <c r="B3549" t="s">
        <v>680</v>
      </c>
      <c r="C3549" s="83">
        <v>46125</v>
      </c>
      <c r="D3549" t="s">
        <v>681</v>
      </c>
      <c r="E3549" t="s">
        <v>296</v>
      </c>
      <c r="F3549">
        <v>38</v>
      </c>
      <c r="G3549">
        <v>13.4748</v>
      </c>
    </row>
    <row r="3550" spans="1:7" x14ac:dyDescent="0.35">
      <c r="A3550" t="s">
        <v>847</v>
      </c>
      <c r="B3550" t="s">
        <v>680</v>
      </c>
      <c r="C3550" s="83">
        <v>46125</v>
      </c>
      <c r="D3550" t="s">
        <v>681</v>
      </c>
      <c r="E3550" t="s">
        <v>297</v>
      </c>
      <c r="F3550">
        <v>30</v>
      </c>
      <c r="G3550">
        <v>10.1664833333333</v>
      </c>
    </row>
    <row r="3551" spans="1:7" x14ac:dyDescent="0.35">
      <c r="A3551" t="s">
        <v>847</v>
      </c>
      <c r="B3551" t="s">
        <v>680</v>
      </c>
      <c r="C3551" s="83">
        <v>46125</v>
      </c>
      <c r="D3551" t="s">
        <v>681</v>
      </c>
      <c r="E3551" t="s">
        <v>334</v>
      </c>
      <c r="F3551">
        <v>13</v>
      </c>
      <c r="G3551">
        <v>8.6762666666666703</v>
      </c>
    </row>
    <row r="3552" spans="1:7" x14ac:dyDescent="0.35">
      <c r="A3552" t="s">
        <v>847</v>
      </c>
      <c r="B3552" t="s">
        <v>680</v>
      </c>
      <c r="C3552" s="83">
        <v>46125</v>
      </c>
      <c r="D3552" t="s">
        <v>683</v>
      </c>
      <c r="E3552" t="s">
        <v>298</v>
      </c>
      <c r="F3552">
        <v>13</v>
      </c>
      <c r="G3552">
        <v>23.1556833333333</v>
      </c>
    </row>
    <row r="3553" spans="1:7" x14ac:dyDescent="0.35">
      <c r="A3553" t="s">
        <v>847</v>
      </c>
      <c r="B3553" t="s">
        <v>680</v>
      </c>
      <c r="C3553" s="83">
        <v>46125</v>
      </c>
      <c r="D3553" t="s">
        <v>683</v>
      </c>
      <c r="E3553" t="s">
        <v>296</v>
      </c>
      <c r="F3553">
        <v>9</v>
      </c>
      <c r="G3553">
        <v>3.5055499999999999</v>
      </c>
    </row>
    <row r="3554" spans="1:7" x14ac:dyDescent="0.35">
      <c r="A3554" t="s">
        <v>847</v>
      </c>
      <c r="B3554" t="s">
        <v>680</v>
      </c>
      <c r="C3554" s="83">
        <v>46125</v>
      </c>
      <c r="D3554" t="s">
        <v>683</v>
      </c>
      <c r="E3554" t="s">
        <v>332</v>
      </c>
      <c r="F3554">
        <v>4</v>
      </c>
      <c r="G3554">
        <v>2.6730999999999998</v>
      </c>
    </row>
    <row r="3555" spans="1:7" x14ac:dyDescent="0.35">
      <c r="A3555" t="s">
        <v>847</v>
      </c>
      <c r="B3555" t="s">
        <v>680</v>
      </c>
      <c r="C3555" s="83">
        <v>46125</v>
      </c>
      <c r="D3555" t="s">
        <v>689</v>
      </c>
      <c r="E3555" t="s">
        <v>297</v>
      </c>
      <c r="F3555">
        <v>20</v>
      </c>
      <c r="G3555">
        <v>10.65865</v>
      </c>
    </row>
    <row r="3556" spans="1:7" x14ac:dyDescent="0.35">
      <c r="A3556" t="s">
        <v>847</v>
      </c>
      <c r="B3556" t="s">
        <v>680</v>
      </c>
      <c r="C3556" s="83">
        <v>46125</v>
      </c>
      <c r="D3556" t="s">
        <v>689</v>
      </c>
      <c r="E3556" t="s">
        <v>296</v>
      </c>
      <c r="F3556">
        <v>11</v>
      </c>
      <c r="G3556">
        <v>6.8487333333333398</v>
      </c>
    </row>
    <row r="3557" spans="1:7" x14ac:dyDescent="0.35">
      <c r="A3557" t="s">
        <v>847</v>
      </c>
      <c r="B3557" t="s">
        <v>680</v>
      </c>
      <c r="C3557" s="83">
        <v>46125</v>
      </c>
      <c r="D3557" t="s">
        <v>689</v>
      </c>
      <c r="E3557" t="s">
        <v>298</v>
      </c>
      <c r="F3557">
        <v>8</v>
      </c>
      <c r="G3557">
        <v>3.6590833333333301</v>
      </c>
    </row>
    <row r="3558" spans="1:7" x14ac:dyDescent="0.35">
      <c r="A3558" t="s">
        <v>847</v>
      </c>
      <c r="B3558" t="s">
        <v>680</v>
      </c>
      <c r="C3558" s="83">
        <v>46125</v>
      </c>
      <c r="D3558" t="s">
        <v>684</v>
      </c>
      <c r="E3558" t="s">
        <v>296</v>
      </c>
      <c r="F3558">
        <v>7</v>
      </c>
      <c r="G3558">
        <v>2.6621666666666699</v>
      </c>
    </row>
    <row r="3559" spans="1:7" x14ac:dyDescent="0.35">
      <c r="A3559" t="s">
        <v>847</v>
      </c>
      <c r="B3559" t="s">
        <v>680</v>
      </c>
      <c r="C3559" s="83">
        <v>46125</v>
      </c>
      <c r="D3559" t="s">
        <v>684</v>
      </c>
      <c r="E3559" t="s">
        <v>730</v>
      </c>
      <c r="F3559">
        <v>3</v>
      </c>
      <c r="G3559">
        <v>0.66673333333333296</v>
      </c>
    </row>
    <row r="3560" spans="1:7" x14ac:dyDescent="0.35">
      <c r="A3560" t="s">
        <v>847</v>
      </c>
      <c r="B3560" t="s">
        <v>680</v>
      </c>
      <c r="C3560" s="83">
        <v>46125</v>
      </c>
      <c r="D3560" t="s">
        <v>684</v>
      </c>
      <c r="E3560" t="s">
        <v>756</v>
      </c>
      <c r="F3560">
        <v>3</v>
      </c>
      <c r="G3560">
        <v>1.16791666666667</v>
      </c>
    </row>
    <row r="3561" spans="1:7" x14ac:dyDescent="0.35">
      <c r="A3561" t="s">
        <v>847</v>
      </c>
      <c r="B3561" t="s">
        <v>680</v>
      </c>
      <c r="C3561" s="83">
        <v>46125</v>
      </c>
      <c r="D3561" t="s">
        <v>687</v>
      </c>
      <c r="E3561" t="s">
        <v>726</v>
      </c>
      <c r="F3561">
        <v>4</v>
      </c>
      <c r="G3561">
        <v>5.0064333333333302</v>
      </c>
    </row>
    <row r="3562" spans="1:7" x14ac:dyDescent="0.35">
      <c r="A3562" t="s">
        <v>847</v>
      </c>
      <c r="B3562" t="s">
        <v>680</v>
      </c>
      <c r="C3562" s="83">
        <v>46125</v>
      </c>
      <c r="D3562" t="s">
        <v>687</v>
      </c>
      <c r="E3562" t="s">
        <v>717</v>
      </c>
      <c r="F3562">
        <v>3</v>
      </c>
      <c r="G3562">
        <v>0.82589999999999997</v>
      </c>
    </row>
    <row r="3563" spans="1:7" x14ac:dyDescent="0.35">
      <c r="A3563" t="s">
        <v>847</v>
      </c>
      <c r="B3563" t="s">
        <v>680</v>
      </c>
      <c r="C3563" s="83">
        <v>46125</v>
      </c>
      <c r="D3563" t="s">
        <v>687</v>
      </c>
      <c r="E3563" t="s">
        <v>745</v>
      </c>
      <c r="F3563">
        <v>2</v>
      </c>
      <c r="G3563">
        <v>3.1670333333333298</v>
      </c>
    </row>
    <row r="3564" spans="1:7" x14ac:dyDescent="0.35">
      <c r="A3564" t="s">
        <v>847</v>
      </c>
      <c r="B3564" t="s">
        <v>680</v>
      </c>
      <c r="C3564" s="83">
        <v>46125</v>
      </c>
      <c r="D3564" t="s">
        <v>688</v>
      </c>
      <c r="E3564" t="s">
        <v>316</v>
      </c>
      <c r="F3564">
        <v>12</v>
      </c>
      <c r="G3564">
        <v>8.3353166666666691</v>
      </c>
    </row>
    <row r="3565" spans="1:7" x14ac:dyDescent="0.35">
      <c r="A3565" t="s">
        <v>847</v>
      </c>
      <c r="B3565" t="s">
        <v>680</v>
      </c>
      <c r="C3565" s="83">
        <v>46125</v>
      </c>
      <c r="D3565" t="s">
        <v>688</v>
      </c>
      <c r="E3565" t="s">
        <v>311</v>
      </c>
      <c r="F3565">
        <v>5</v>
      </c>
      <c r="G3565">
        <v>1.4928666666666699</v>
      </c>
    </row>
    <row r="3566" spans="1:7" x14ac:dyDescent="0.35">
      <c r="A3566" t="s">
        <v>847</v>
      </c>
      <c r="B3566" t="s">
        <v>680</v>
      </c>
      <c r="C3566" s="83">
        <v>46125</v>
      </c>
      <c r="D3566" t="s">
        <v>688</v>
      </c>
      <c r="E3566" t="s">
        <v>774</v>
      </c>
      <c r="F3566">
        <v>2</v>
      </c>
      <c r="G3566">
        <v>0.33376666666666699</v>
      </c>
    </row>
    <row r="3567" spans="1:7" x14ac:dyDescent="0.35">
      <c r="A3567" t="s">
        <v>847</v>
      </c>
      <c r="B3567" t="s">
        <v>680</v>
      </c>
      <c r="C3567" s="83">
        <v>46125</v>
      </c>
      <c r="D3567" t="s">
        <v>690</v>
      </c>
      <c r="E3567" t="s">
        <v>311</v>
      </c>
      <c r="F3567">
        <v>15</v>
      </c>
      <c r="G3567">
        <v>7.6663833333333304</v>
      </c>
    </row>
    <row r="3568" spans="1:7" x14ac:dyDescent="0.35">
      <c r="A3568" t="s">
        <v>847</v>
      </c>
      <c r="B3568" t="s">
        <v>680</v>
      </c>
      <c r="C3568" s="83">
        <v>46125</v>
      </c>
      <c r="D3568" t="s">
        <v>690</v>
      </c>
      <c r="E3568" t="s">
        <v>773</v>
      </c>
      <c r="F3568">
        <v>15</v>
      </c>
      <c r="G3568">
        <v>6.1653833333333301</v>
      </c>
    </row>
    <row r="3569" spans="1:7" x14ac:dyDescent="0.35">
      <c r="A3569" t="s">
        <v>847</v>
      </c>
      <c r="B3569" t="s">
        <v>680</v>
      </c>
      <c r="C3569" s="83">
        <v>46125</v>
      </c>
      <c r="D3569" t="s">
        <v>690</v>
      </c>
      <c r="E3569" t="s">
        <v>720</v>
      </c>
      <c r="F3569">
        <v>3</v>
      </c>
      <c r="G3569">
        <v>1.6680999999999999</v>
      </c>
    </row>
    <row r="3570" spans="1:7" x14ac:dyDescent="0.35">
      <c r="A3570" t="s">
        <v>847</v>
      </c>
      <c r="B3570" t="s">
        <v>680</v>
      </c>
      <c r="C3570" s="83">
        <v>46125</v>
      </c>
      <c r="D3570" t="s">
        <v>685</v>
      </c>
      <c r="E3570" t="s">
        <v>311</v>
      </c>
      <c r="F3570">
        <v>21</v>
      </c>
      <c r="G3570">
        <v>10.332316666666699</v>
      </c>
    </row>
    <row r="3571" spans="1:7" x14ac:dyDescent="0.35">
      <c r="A3571" t="s">
        <v>847</v>
      </c>
      <c r="B3571" t="s">
        <v>680</v>
      </c>
      <c r="C3571" s="83">
        <v>46125</v>
      </c>
      <c r="D3571" t="s">
        <v>685</v>
      </c>
      <c r="E3571" t="s">
        <v>312</v>
      </c>
      <c r="F3571">
        <v>10</v>
      </c>
      <c r="G3571">
        <v>4.49921666666667</v>
      </c>
    </row>
    <row r="3572" spans="1:7" x14ac:dyDescent="0.35">
      <c r="A3572" t="s">
        <v>847</v>
      </c>
      <c r="B3572" t="s">
        <v>680</v>
      </c>
      <c r="C3572" s="83">
        <v>46125</v>
      </c>
      <c r="D3572" t="s">
        <v>685</v>
      </c>
      <c r="E3572" t="s">
        <v>720</v>
      </c>
      <c r="F3572">
        <v>5</v>
      </c>
      <c r="G3572">
        <v>3.6670166666666701</v>
      </c>
    </row>
    <row r="3573" spans="1:7" x14ac:dyDescent="0.35">
      <c r="A3573" t="s">
        <v>847</v>
      </c>
      <c r="B3573" t="s">
        <v>680</v>
      </c>
      <c r="C3573" s="83">
        <v>46126</v>
      </c>
      <c r="D3573" t="s">
        <v>681</v>
      </c>
      <c r="E3573" t="s">
        <v>296</v>
      </c>
      <c r="F3573">
        <v>68</v>
      </c>
      <c r="G3573">
        <v>33.491700000000002</v>
      </c>
    </row>
    <row r="3574" spans="1:7" x14ac:dyDescent="0.35">
      <c r="A3574" t="s">
        <v>847</v>
      </c>
      <c r="B3574" t="s">
        <v>680</v>
      </c>
      <c r="C3574" s="83">
        <v>46126</v>
      </c>
      <c r="D3574" t="s">
        <v>681</v>
      </c>
      <c r="E3574" t="s">
        <v>297</v>
      </c>
      <c r="F3574">
        <v>29</v>
      </c>
      <c r="G3574">
        <v>8.3322500000000002</v>
      </c>
    </row>
    <row r="3575" spans="1:7" x14ac:dyDescent="0.35">
      <c r="A3575" t="s">
        <v>847</v>
      </c>
      <c r="B3575" t="s">
        <v>680</v>
      </c>
      <c r="C3575" s="83">
        <v>46126</v>
      </c>
      <c r="D3575" t="s">
        <v>681</v>
      </c>
      <c r="E3575" t="s">
        <v>334</v>
      </c>
      <c r="F3575">
        <v>18</v>
      </c>
      <c r="G3575">
        <v>27.988016666666699</v>
      </c>
    </row>
    <row r="3576" spans="1:7" x14ac:dyDescent="0.35">
      <c r="A3576" t="s">
        <v>847</v>
      </c>
      <c r="B3576" t="s">
        <v>680</v>
      </c>
      <c r="C3576" s="83">
        <v>46126</v>
      </c>
      <c r="D3576" t="s">
        <v>683</v>
      </c>
      <c r="E3576" t="s">
        <v>298</v>
      </c>
      <c r="F3576">
        <v>24</v>
      </c>
      <c r="G3576">
        <v>28.329916666666701</v>
      </c>
    </row>
    <row r="3577" spans="1:7" x14ac:dyDescent="0.35">
      <c r="A3577" t="s">
        <v>847</v>
      </c>
      <c r="B3577" t="s">
        <v>680</v>
      </c>
      <c r="C3577" s="83">
        <v>46126</v>
      </c>
      <c r="D3577" t="s">
        <v>683</v>
      </c>
      <c r="E3577" t="s">
        <v>296</v>
      </c>
      <c r="F3577">
        <v>11</v>
      </c>
      <c r="G3577">
        <v>2.8327666666666702</v>
      </c>
    </row>
    <row r="3578" spans="1:7" x14ac:dyDescent="0.35">
      <c r="A3578" t="s">
        <v>847</v>
      </c>
      <c r="B3578" t="s">
        <v>680</v>
      </c>
      <c r="C3578" s="83">
        <v>46126</v>
      </c>
      <c r="D3578" t="s">
        <v>683</v>
      </c>
      <c r="E3578" t="s">
        <v>300</v>
      </c>
      <c r="F3578">
        <v>6</v>
      </c>
      <c r="G3578">
        <v>5.6656333333333304</v>
      </c>
    </row>
    <row r="3579" spans="1:7" x14ac:dyDescent="0.35">
      <c r="A3579" t="s">
        <v>847</v>
      </c>
      <c r="B3579" t="s">
        <v>680</v>
      </c>
      <c r="C3579" s="83">
        <v>46126</v>
      </c>
      <c r="D3579" t="s">
        <v>689</v>
      </c>
      <c r="E3579" t="s">
        <v>296</v>
      </c>
      <c r="F3579">
        <v>13</v>
      </c>
      <c r="G3579">
        <v>7.6439666666666701</v>
      </c>
    </row>
    <row r="3580" spans="1:7" x14ac:dyDescent="0.35">
      <c r="A3580" t="s">
        <v>847</v>
      </c>
      <c r="B3580" t="s">
        <v>680</v>
      </c>
      <c r="C3580" s="83">
        <v>46126</v>
      </c>
      <c r="D3580" t="s">
        <v>689</v>
      </c>
      <c r="E3580" t="s">
        <v>297</v>
      </c>
      <c r="F3580">
        <v>12</v>
      </c>
      <c r="G3580">
        <v>11.500716666666699</v>
      </c>
    </row>
    <row r="3581" spans="1:7" x14ac:dyDescent="0.35">
      <c r="A3581" t="s">
        <v>847</v>
      </c>
      <c r="B3581" t="s">
        <v>680</v>
      </c>
      <c r="C3581" s="83">
        <v>46126</v>
      </c>
      <c r="D3581" t="s">
        <v>689</v>
      </c>
      <c r="E3581" t="s">
        <v>298</v>
      </c>
      <c r="F3581">
        <v>9</v>
      </c>
      <c r="G3581">
        <v>5.1613833333333297</v>
      </c>
    </row>
    <row r="3582" spans="1:7" x14ac:dyDescent="0.35">
      <c r="A3582" t="s">
        <v>847</v>
      </c>
      <c r="B3582" t="s">
        <v>680</v>
      </c>
      <c r="C3582" s="83">
        <v>46126</v>
      </c>
      <c r="D3582" t="s">
        <v>684</v>
      </c>
      <c r="E3582" t="s">
        <v>297</v>
      </c>
      <c r="F3582">
        <v>9</v>
      </c>
      <c r="G3582">
        <v>3.1643333333333299</v>
      </c>
    </row>
    <row r="3583" spans="1:7" x14ac:dyDescent="0.35">
      <c r="A3583" t="s">
        <v>847</v>
      </c>
      <c r="B3583" t="s">
        <v>680</v>
      </c>
      <c r="C3583" s="83">
        <v>46126</v>
      </c>
      <c r="D3583" t="s">
        <v>684</v>
      </c>
      <c r="E3583" t="s">
        <v>296</v>
      </c>
      <c r="F3583">
        <v>4</v>
      </c>
      <c r="G3583">
        <v>1.6752166666666699</v>
      </c>
    </row>
    <row r="3584" spans="1:7" x14ac:dyDescent="0.35">
      <c r="A3584" t="s">
        <v>847</v>
      </c>
      <c r="B3584" t="s">
        <v>680</v>
      </c>
      <c r="C3584" s="83">
        <v>46126</v>
      </c>
      <c r="D3584" t="s">
        <v>684</v>
      </c>
      <c r="E3584" t="s">
        <v>343</v>
      </c>
      <c r="F3584">
        <v>3</v>
      </c>
      <c r="G3584">
        <v>1.83338333333333</v>
      </c>
    </row>
    <row r="3585" spans="1:7" x14ac:dyDescent="0.35">
      <c r="A3585" t="s">
        <v>847</v>
      </c>
      <c r="B3585" t="s">
        <v>680</v>
      </c>
      <c r="C3585" s="83">
        <v>46126</v>
      </c>
      <c r="D3585" t="s">
        <v>687</v>
      </c>
      <c r="E3585" t="s">
        <v>746</v>
      </c>
      <c r="F3585">
        <v>3</v>
      </c>
      <c r="G3585">
        <v>0.49409999999999998</v>
      </c>
    </row>
    <row r="3586" spans="1:7" x14ac:dyDescent="0.35">
      <c r="A3586" t="s">
        <v>847</v>
      </c>
      <c r="B3586" t="s">
        <v>680</v>
      </c>
      <c r="C3586" s="83">
        <v>46126</v>
      </c>
      <c r="D3586" t="s">
        <v>687</v>
      </c>
      <c r="E3586" t="s">
        <v>726</v>
      </c>
      <c r="F3586">
        <v>3</v>
      </c>
      <c r="G3586">
        <v>2.3338999999999999</v>
      </c>
    </row>
    <row r="3587" spans="1:7" x14ac:dyDescent="0.35">
      <c r="A3587" t="s">
        <v>847</v>
      </c>
      <c r="B3587" t="s">
        <v>680</v>
      </c>
      <c r="C3587" s="83">
        <v>46126</v>
      </c>
      <c r="D3587" t="s">
        <v>687</v>
      </c>
      <c r="E3587" t="s">
        <v>733</v>
      </c>
      <c r="F3587">
        <v>2</v>
      </c>
      <c r="G3587">
        <v>0.49281666666666701</v>
      </c>
    </row>
    <row r="3588" spans="1:7" x14ac:dyDescent="0.35">
      <c r="A3588" t="s">
        <v>847</v>
      </c>
      <c r="B3588" t="s">
        <v>680</v>
      </c>
      <c r="C3588" s="83">
        <v>46126</v>
      </c>
      <c r="D3588" t="s">
        <v>688</v>
      </c>
      <c r="E3588" t="s">
        <v>126</v>
      </c>
      <c r="F3588">
        <v>3</v>
      </c>
      <c r="G3588">
        <v>1.6667333333333301</v>
      </c>
    </row>
    <row r="3589" spans="1:7" x14ac:dyDescent="0.35">
      <c r="A3589" t="s">
        <v>847</v>
      </c>
      <c r="B3589" t="s">
        <v>680</v>
      </c>
      <c r="C3589" s="83">
        <v>46126</v>
      </c>
      <c r="D3589" t="s">
        <v>688</v>
      </c>
      <c r="E3589" t="s">
        <v>322</v>
      </c>
      <c r="F3589">
        <v>3</v>
      </c>
      <c r="G3589">
        <v>1.9988666666666699</v>
      </c>
    </row>
    <row r="3590" spans="1:7" x14ac:dyDescent="0.35">
      <c r="A3590" t="s">
        <v>847</v>
      </c>
      <c r="B3590" t="s">
        <v>680</v>
      </c>
      <c r="C3590" s="83">
        <v>46126</v>
      </c>
      <c r="D3590" t="s">
        <v>688</v>
      </c>
      <c r="E3590" t="s">
        <v>720</v>
      </c>
      <c r="F3590">
        <v>3</v>
      </c>
      <c r="G3590">
        <v>1.16838333333333</v>
      </c>
    </row>
    <row r="3591" spans="1:7" x14ac:dyDescent="0.35">
      <c r="A3591" t="s">
        <v>847</v>
      </c>
      <c r="B3591" t="s">
        <v>680</v>
      </c>
      <c r="C3591" s="83">
        <v>46126</v>
      </c>
      <c r="D3591" t="s">
        <v>690</v>
      </c>
      <c r="E3591" t="s">
        <v>311</v>
      </c>
      <c r="F3591">
        <v>19</v>
      </c>
      <c r="G3591">
        <v>14.141083333333301</v>
      </c>
    </row>
    <row r="3592" spans="1:7" x14ac:dyDescent="0.35">
      <c r="A3592" t="s">
        <v>847</v>
      </c>
      <c r="B3592" t="s">
        <v>680</v>
      </c>
      <c r="C3592" s="83">
        <v>46126</v>
      </c>
      <c r="D3592" t="s">
        <v>690</v>
      </c>
      <c r="E3592" t="s">
        <v>773</v>
      </c>
      <c r="F3592">
        <v>8</v>
      </c>
      <c r="G3592">
        <v>5.0022500000000001</v>
      </c>
    </row>
    <row r="3593" spans="1:7" x14ac:dyDescent="0.35">
      <c r="A3593" t="s">
        <v>847</v>
      </c>
      <c r="B3593" t="s">
        <v>680</v>
      </c>
      <c r="C3593" s="83">
        <v>46126</v>
      </c>
      <c r="D3593" t="s">
        <v>690</v>
      </c>
      <c r="E3593" t="s">
        <v>720</v>
      </c>
      <c r="F3593">
        <v>5</v>
      </c>
      <c r="G3593">
        <v>2.9926166666666698</v>
      </c>
    </row>
    <row r="3594" spans="1:7" x14ac:dyDescent="0.35">
      <c r="A3594" t="s">
        <v>847</v>
      </c>
      <c r="B3594" t="s">
        <v>680</v>
      </c>
      <c r="C3594" s="83">
        <v>46126</v>
      </c>
      <c r="D3594" t="s">
        <v>685</v>
      </c>
      <c r="E3594" t="s">
        <v>311</v>
      </c>
      <c r="F3594">
        <v>7</v>
      </c>
      <c r="G3594">
        <v>4.4889333333333301</v>
      </c>
    </row>
    <row r="3595" spans="1:7" x14ac:dyDescent="0.35">
      <c r="A3595" t="s">
        <v>847</v>
      </c>
      <c r="B3595" t="s">
        <v>680</v>
      </c>
      <c r="C3595" s="83">
        <v>46126</v>
      </c>
      <c r="D3595" t="s">
        <v>685</v>
      </c>
      <c r="E3595" t="s">
        <v>316</v>
      </c>
      <c r="F3595">
        <v>3</v>
      </c>
      <c r="G3595">
        <v>2.4994833333333299</v>
      </c>
    </row>
    <row r="3596" spans="1:7" x14ac:dyDescent="0.35">
      <c r="A3596" t="s">
        <v>847</v>
      </c>
      <c r="B3596" t="s">
        <v>680</v>
      </c>
      <c r="C3596" s="83">
        <v>46126</v>
      </c>
      <c r="D3596" t="s">
        <v>685</v>
      </c>
      <c r="E3596" t="s">
        <v>720</v>
      </c>
      <c r="F3596">
        <v>3</v>
      </c>
      <c r="G3596">
        <v>4.3358499999999998</v>
      </c>
    </row>
    <row r="3597" spans="1:7" x14ac:dyDescent="0.35">
      <c r="A3597" t="s">
        <v>847</v>
      </c>
      <c r="B3597" t="s">
        <v>680</v>
      </c>
      <c r="C3597" s="83">
        <v>46126</v>
      </c>
      <c r="D3597" t="s">
        <v>682</v>
      </c>
      <c r="E3597" t="s">
        <v>775</v>
      </c>
      <c r="F3597">
        <v>4</v>
      </c>
      <c r="G3597">
        <v>56.174566666666699</v>
      </c>
    </row>
    <row r="3598" spans="1:7" x14ac:dyDescent="0.35">
      <c r="A3598" t="s">
        <v>847</v>
      </c>
      <c r="B3598" t="s">
        <v>680</v>
      </c>
      <c r="C3598" s="83">
        <v>46127</v>
      </c>
      <c r="D3598" t="s">
        <v>681</v>
      </c>
      <c r="E3598" t="s">
        <v>297</v>
      </c>
      <c r="F3598">
        <v>63</v>
      </c>
      <c r="G3598">
        <v>20.167783333333301</v>
      </c>
    </row>
    <row r="3599" spans="1:7" x14ac:dyDescent="0.35">
      <c r="A3599" t="s">
        <v>847</v>
      </c>
      <c r="B3599" t="s">
        <v>680</v>
      </c>
      <c r="C3599" s="83">
        <v>46127</v>
      </c>
      <c r="D3599" t="s">
        <v>681</v>
      </c>
      <c r="E3599" t="s">
        <v>296</v>
      </c>
      <c r="F3599">
        <v>18</v>
      </c>
      <c r="G3599">
        <v>8.0112166666666695</v>
      </c>
    </row>
    <row r="3600" spans="1:7" x14ac:dyDescent="0.35">
      <c r="A3600" t="s">
        <v>847</v>
      </c>
      <c r="B3600" t="s">
        <v>680</v>
      </c>
      <c r="C3600" s="83">
        <v>46127</v>
      </c>
      <c r="D3600" t="s">
        <v>681</v>
      </c>
      <c r="E3600" t="s">
        <v>298</v>
      </c>
      <c r="F3600">
        <v>10</v>
      </c>
      <c r="G3600">
        <v>7.8276500000000002</v>
      </c>
    </row>
    <row r="3601" spans="1:7" x14ac:dyDescent="0.35">
      <c r="A3601" t="s">
        <v>847</v>
      </c>
      <c r="B3601" t="s">
        <v>680</v>
      </c>
      <c r="C3601" s="83">
        <v>46127</v>
      </c>
      <c r="D3601" t="s">
        <v>683</v>
      </c>
      <c r="E3601" t="s">
        <v>298</v>
      </c>
      <c r="F3601">
        <v>35</v>
      </c>
      <c r="G3601">
        <v>36.515083333333301</v>
      </c>
    </row>
    <row r="3602" spans="1:7" x14ac:dyDescent="0.35">
      <c r="A3602" t="s">
        <v>847</v>
      </c>
      <c r="B3602" t="s">
        <v>680</v>
      </c>
      <c r="C3602" s="83">
        <v>46127</v>
      </c>
      <c r="D3602" t="s">
        <v>683</v>
      </c>
      <c r="E3602" t="s">
        <v>296</v>
      </c>
      <c r="F3602">
        <v>14</v>
      </c>
      <c r="G3602">
        <v>3.6359666666666701</v>
      </c>
    </row>
    <row r="3603" spans="1:7" x14ac:dyDescent="0.35">
      <c r="A3603" t="s">
        <v>847</v>
      </c>
      <c r="B3603" t="s">
        <v>680</v>
      </c>
      <c r="C3603" s="83">
        <v>46127</v>
      </c>
      <c r="D3603" t="s">
        <v>683</v>
      </c>
      <c r="E3603" t="s">
        <v>334</v>
      </c>
      <c r="F3603">
        <v>10</v>
      </c>
      <c r="G3603">
        <v>2.6778</v>
      </c>
    </row>
    <row r="3604" spans="1:7" x14ac:dyDescent="0.35">
      <c r="A3604" t="s">
        <v>847</v>
      </c>
      <c r="B3604" t="s">
        <v>680</v>
      </c>
      <c r="C3604" s="83">
        <v>46127</v>
      </c>
      <c r="D3604" t="s">
        <v>689</v>
      </c>
      <c r="E3604" t="s">
        <v>300</v>
      </c>
      <c r="F3604">
        <v>6</v>
      </c>
      <c r="G3604">
        <v>4.6667333333333296</v>
      </c>
    </row>
    <row r="3605" spans="1:7" x14ac:dyDescent="0.35">
      <c r="A3605" t="s">
        <v>847</v>
      </c>
      <c r="B3605" t="s">
        <v>680</v>
      </c>
      <c r="C3605" s="83">
        <v>46127</v>
      </c>
      <c r="D3605" t="s">
        <v>689</v>
      </c>
      <c r="E3605" t="s">
        <v>297</v>
      </c>
      <c r="F3605">
        <v>6</v>
      </c>
      <c r="G3605">
        <v>3.1603333333333299</v>
      </c>
    </row>
    <row r="3606" spans="1:7" x14ac:dyDescent="0.35">
      <c r="A3606" t="s">
        <v>847</v>
      </c>
      <c r="B3606" t="s">
        <v>680</v>
      </c>
      <c r="C3606" s="83">
        <v>46127</v>
      </c>
      <c r="D3606" t="s">
        <v>689</v>
      </c>
      <c r="E3606" t="s">
        <v>298</v>
      </c>
      <c r="F3606">
        <v>6</v>
      </c>
      <c r="G3606">
        <v>4.4975166666666704</v>
      </c>
    </row>
    <row r="3607" spans="1:7" x14ac:dyDescent="0.35">
      <c r="A3607" t="s">
        <v>847</v>
      </c>
      <c r="B3607" t="s">
        <v>680</v>
      </c>
      <c r="C3607" s="83">
        <v>46127</v>
      </c>
      <c r="D3607" t="s">
        <v>684</v>
      </c>
      <c r="E3607" t="s">
        <v>297</v>
      </c>
      <c r="F3607">
        <v>4</v>
      </c>
      <c r="G3607">
        <v>3.1745333333333301</v>
      </c>
    </row>
    <row r="3608" spans="1:7" x14ac:dyDescent="0.35">
      <c r="A3608" t="s">
        <v>847</v>
      </c>
      <c r="B3608" t="s">
        <v>680</v>
      </c>
      <c r="C3608" s="83">
        <v>46127</v>
      </c>
      <c r="D3608" t="s">
        <v>684</v>
      </c>
      <c r="E3608" t="s">
        <v>298</v>
      </c>
      <c r="F3608">
        <v>4</v>
      </c>
      <c r="G3608">
        <v>4.6601666666666697</v>
      </c>
    </row>
    <row r="3609" spans="1:7" x14ac:dyDescent="0.35">
      <c r="A3609" t="s">
        <v>847</v>
      </c>
      <c r="B3609" t="s">
        <v>680</v>
      </c>
      <c r="C3609" s="83">
        <v>46127</v>
      </c>
      <c r="D3609" t="s">
        <v>684</v>
      </c>
      <c r="E3609" t="s">
        <v>334</v>
      </c>
      <c r="F3609">
        <v>3</v>
      </c>
      <c r="G3609">
        <v>0.66011666666666702</v>
      </c>
    </row>
    <row r="3610" spans="1:7" x14ac:dyDescent="0.35">
      <c r="A3610" t="s">
        <v>847</v>
      </c>
      <c r="B3610" t="s">
        <v>680</v>
      </c>
      <c r="C3610" s="83">
        <v>46127</v>
      </c>
      <c r="D3610" t="s">
        <v>687</v>
      </c>
      <c r="E3610" t="s">
        <v>776</v>
      </c>
      <c r="F3610">
        <v>2</v>
      </c>
      <c r="G3610">
        <v>6.6741999999999999</v>
      </c>
    </row>
    <row r="3611" spans="1:7" x14ac:dyDescent="0.35">
      <c r="A3611" t="s">
        <v>847</v>
      </c>
      <c r="B3611" t="s">
        <v>680</v>
      </c>
      <c r="C3611" s="83">
        <v>46127</v>
      </c>
      <c r="D3611" t="s">
        <v>687</v>
      </c>
      <c r="E3611" t="s">
        <v>746</v>
      </c>
      <c r="F3611">
        <v>2</v>
      </c>
      <c r="G3611">
        <v>0.16021666666666701</v>
      </c>
    </row>
    <row r="3612" spans="1:7" x14ac:dyDescent="0.35">
      <c r="A3612" t="s">
        <v>847</v>
      </c>
      <c r="B3612" t="s">
        <v>680</v>
      </c>
      <c r="C3612" s="83">
        <v>46127</v>
      </c>
      <c r="D3612" t="s">
        <v>687</v>
      </c>
      <c r="E3612" t="s">
        <v>762</v>
      </c>
      <c r="F3612">
        <v>2</v>
      </c>
      <c r="G3612">
        <v>0.82791666666666697</v>
      </c>
    </row>
    <row r="3613" spans="1:7" x14ac:dyDescent="0.35">
      <c r="A3613" t="s">
        <v>847</v>
      </c>
      <c r="B3613" t="s">
        <v>680</v>
      </c>
      <c r="C3613" s="83">
        <v>46127</v>
      </c>
      <c r="D3613" t="s">
        <v>688</v>
      </c>
      <c r="E3613" t="s">
        <v>311</v>
      </c>
      <c r="F3613">
        <v>7</v>
      </c>
      <c r="G3613">
        <v>5.8293166666666698</v>
      </c>
    </row>
    <row r="3614" spans="1:7" x14ac:dyDescent="0.35">
      <c r="A3614" t="s">
        <v>847</v>
      </c>
      <c r="B3614" t="s">
        <v>680</v>
      </c>
      <c r="C3614" s="83">
        <v>46127</v>
      </c>
      <c r="D3614" t="s">
        <v>688</v>
      </c>
      <c r="E3614" t="s">
        <v>337</v>
      </c>
      <c r="F3614">
        <v>3</v>
      </c>
      <c r="G3614">
        <v>0.66744999999999999</v>
      </c>
    </row>
    <row r="3615" spans="1:7" x14ac:dyDescent="0.35">
      <c r="A3615" t="s">
        <v>847</v>
      </c>
      <c r="B3615" t="s">
        <v>680</v>
      </c>
      <c r="C3615" s="83">
        <v>46127</v>
      </c>
      <c r="D3615" t="s">
        <v>688</v>
      </c>
      <c r="E3615" t="s">
        <v>720</v>
      </c>
      <c r="F3615">
        <v>3</v>
      </c>
      <c r="G3615">
        <v>0.66708333333333303</v>
      </c>
    </row>
    <row r="3616" spans="1:7" x14ac:dyDescent="0.35">
      <c r="A3616" t="s">
        <v>847</v>
      </c>
      <c r="B3616" t="s">
        <v>680</v>
      </c>
      <c r="C3616" s="83">
        <v>46127</v>
      </c>
      <c r="D3616" t="s">
        <v>690</v>
      </c>
      <c r="E3616" t="s">
        <v>311</v>
      </c>
      <c r="F3616">
        <v>27</v>
      </c>
      <c r="G3616">
        <v>14.833449999999999</v>
      </c>
    </row>
    <row r="3617" spans="1:7" x14ac:dyDescent="0.35">
      <c r="A3617" t="s">
        <v>847</v>
      </c>
      <c r="B3617" t="s">
        <v>680</v>
      </c>
      <c r="C3617" s="83">
        <v>46127</v>
      </c>
      <c r="D3617" t="s">
        <v>690</v>
      </c>
      <c r="E3617" t="s">
        <v>720</v>
      </c>
      <c r="F3617">
        <v>9</v>
      </c>
      <c r="G3617">
        <v>6.6596000000000002</v>
      </c>
    </row>
    <row r="3618" spans="1:7" x14ac:dyDescent="0.35">
      <c r="A3618" t="s">
        <v>847</v>
      </c>
      <c r="B3618" t="s">
        <v>680</v>
      </c>
      <c r="C3618" s="83">
        <v>46127</v>
      </c>
      <c r="D3618" t="s">
        <v>690</v>
      </c>
      <c r="E3618" t="s">
        <v>725</v>
      </c>
      <c r="F3618">
        <v>6</v>
      </c>
      <c r="G3618">
        <v>1.83273333333333</v>
      </c>
    </row>
    <row r="3619" spans="1:7" x14ac:dyDescent="0.35">
      <c r="A3619" t="s">
        <v>847</v>
      </c>
      <c r="B3619" t="s">
        <v>680</v>
      </c>
      <c r="C3619" s="83">
        <v>46127</v>
      </c>
      <c r="D3619" t="s">
        <v>685</v>
      </c>
      <c r="E3619" t="s">
        <v>311</v>
      </c>
      <c r="F3619">
        <v>5</v>
      </c>
      <c r="G3619">
        <v>5.66766666666667</v>
      </c>
    </row>
    <row r="3620" spans="1:7" x14ac:dyDescent="0.35">
      <c r="A3620" t="s">
        <v>847</v>
      </c>
      <c r="B3620" t="s">
        <v>680</v>
      </c>
      <c r="C3620" s="83">
        <v>46127</v>
      </c>
      <c r="D3620" t="s">
        <v>685</v>
      </c>
      <c r="E3620" t="s">
        <v>316</v>
      </c>
      <c r="F3620">
        <v>3</v>
      </c>
      <c r="G3620">
        <v>0.83383333333333298</v>
      </c>
    </row>
    <row r="3621" spans="1:7" x14ac:dyDescent="0.35">
      <c r="A3621" t="s">
        <v>847</v>
      </c>
      <c r="B3621" t="s">
        <v>680</v>
      </c>
      <c r="C3621" s="83">
        <v>46127</v>
      </c>
      <c r="D3621" t="s">
        <v>685</v>
      </c>
      <c r="E3621" t="s">
        <v>720</v>
      </c>
      <c r="F3621">
        <v>3</v>
      </c>
      <c r="G3621">
        <v>0.99350000000000005</v>
      </c>
    </row>
    <row r="3622" spans="1:7" x14ac:dyDescent="0.35">
      <c r="A3622" t="s">
        <v>847</v>
      </c>
      <c r="B3622" t="s">
        <v>680</v>
      </c>
      <c r="C3622" s="83">
        <v>46128</v>
      </c>
      <c r="D3622" t="s">
        <v>681</v>
      </c>
      <c r="E3622" t="s">
        <v>297</v>
      </c>
      <c r="F3622">
        <v>44</v>
      </c>
      <c r="G3622">
        <v>22.0932</v>
      </c>
    </row>
    <row r="3623" spans="1:7" x14ac:dyDescent="0.35">
      <c r="A3623" t="s">
        <v>847</v>
      </c>
      <c r="B3623" t="s">
        <v>680</v>
      </c>
      <c r="C3623" s="83">
        <v>46128</v>
      </c>
      <c r="D3623" t="s">
        <v>681</v>
      </c>
      <c r="E3623" t="s">
        <v>296</v>
      </c>
      <c r="F3623">
        <v>27</v>
      </c>
      <c r="G3623">
        <v>11.873900000000001</v>
      </c>
    </row>
    <row r="3624" spans="1:7" x14ac:dyDescent="0.35">
      <c r="A3624" t="s">
        <v>847</v>
      </c>
      <c r="B3624" t="s">
        <v>680</v>
      </c>
      <c r="C3624" s="83">
        <v>46128</v>
      </c>
      <c r="D3624" t="s">
        <v>681</v>
      </c>
      <c r="E3624" t="s">
        <v>298</v>
      </c>
      <c r="F3624">
        <v>14</v>
      </c>
      <c r="G3624">
        <v>14.8083333333333</v>
      </c>
    </row>
    <row r="3625" spans="1:7" x14ac:dyDescent="0.35">
      <c r="A3625" t="s">
        <v>847</v>
      </c>
      <c r="B3625" t="s">
        <v>680</v>
      </c>
      <c r="C3625" s="83">
        <v>46128</v>
      </c>
      <c r="D3625" t="s">
        <v>683</v>
      </c>
      <c r="E3625" t="s">
        <v>298</v>
      </c>
      <c r="F3625">
        <v>38</v>
      </c>
      <c r="G3625">
        <v>46.521149999999999</v>
      </c>
    </row>
    <row r="3626" spans="1:7" x14ac:dyDescent="0.35">
      <c r="A3626" t="s">
        <v>847</v>
      </c>
      <c r="B3626" t="s">
        <v>680</v>
      </c>
      <c r="C3626" s="83">
        <v>46128</v>
      </c>
      <c r="D3626" t="s">
        <v>683</v>
      </c>
      <c r="E3626" t="s">
        <v>730</v>
      </c>
      <c r="F3626">
        <v>37</v>
      </c>
      <c r="G3626">
        <v>15.842933333333299</v>
      </c>
    </row>
    <row r="3627" spans="1:7" x14ac:dyDescent="0.35">
      <c r="A3627" t="s">
        <v>847</v>
      </c>
      <c r="B3627" t="s">
        <v>680</v>
      </c>
      <c r="C3627" s="83">
        <v>46128</v>
      </c>
      <c r="D3627" t="s">
        <v>683</v>
      </c>
      <c r="E3627" t="s">
        <v>334</v>
      </c>
      <c r="F3627">
        <v>12</v>
      </c>
      <c r="G3627">
        <v>3.9624000000000001</v>
      </c>
    </row>
    <row r="3628" spans="1:7" x14ac:dyDescent="0.35">
      <c r="A3628" t="s">
        <v>847</v>
      </c>
      <c r="B3628" t="s">
        <v>680</v>
      </c>
      <c r="C3628" s="83">
        <v>46128</v>
      </c>
      <c r="D3628" t="s">
        <v>689</v>
      </c>
      <c r="E3628" t="s">
        <v>296</v>
      </c>
      <c r="F3628">
        <v>24</v>
      </c>
      <c r="G3628">
        <v>10.876416666666699</v>
      </c>
    </row>
    <row r="3629" spans="1:7" x14ac:dyDescent="0.35">
      <c r="A3629" t="s">
        <v>847</v>
      </c>
      <c r="B3629" t="s">
        <v>680</v>
      </c>
      <c r="C3629" s="83">
        <v>46128</v>
      </c>
      <c r="D3629" t="s">
        <v>689</v>
      </c>
      <c r="E3629" t="s">
        <v>297</v>
      </c>
      <c r="F3629">
        <v>18</v>
      </c>
      <c r="G3629">
        <v>10.2753333333333</v>
      </c>
    </row>
    <row r="3630" spans="1:7" x14ac:dyDescent="0.35">
      <c r="A3630" t="s">
        <v>847</v>
      </c>
      <c r="B3630" t="s">
        <v>680</v>
      </c>
      <c r="C3630" s="83">
        <v>46128</v>
      </c>
      <c r="D3630" t="s">
        <v>689</v>
      </c>
      <c r="E3630" t="s">
        <v>298</v>
      </c>
      <c r="F3630">
        <v>7</v>
      </c>
      <c r="G3630">
        <v>2.8394333333333299</v>
      </c>
    </row>
    <row r="3631" spans="1:7" x14ac:dyDescent="0.35">
      <c r="A3631" t="s">
        <v>847</v>
      </c>
      <c r="B3631" t="s">
        <v>680</v>
      </c>
      <c r="C3631" s="83">
        <v>46128</v>
      </c>
      <c r="D3631" t="s">
        <v>684</v>
      </c>
      <c r="E3631" t="s">
        <v>297</v>
      </c>
      <c r="F3631">
        <v>7</v>
      </c>
      <c r="G3631">
        <v>3.0024833333333301</v>
      </c>
    </row>
    <row r="3632" spans="1:7" x14ac:dyDescent="0.35">
      <c r="A3632" t="s">
        <v>847</v>
      </c>
      <c r="B3632" t="s">
        <v>680</v>
      </c>
      <c r="C3632" s="83">
        <v>46128</v>
      </c>
      <c r="D3632" t="s">
        <v>684</v>
      </c>
      <c r="E3632" t="s">
        <v>300</v>
      </c>
      <c r="F3632">
        <v>2</v>
      </c>
      <c r="G3632">
        <v>0.50563333333333305</v>
      </c>
    </row>
    <row r="3633" spans="1:7" x14ac:dyDescent="0.35">
      <c r="A3633" t="s">
        <v>847</v>
      </c>
      <c r="B3633" t="s">
        <v>680</v>
      </c>
      <c r="C3633" s="83">
        <v>46128</v>
      </c>
      <c r="D3633" t="s">
        <v>684</v>
      </c>
      <c r="E3633" t="s">
        <v>304</v>
      </c>
      <c r="F3633">
        <v>2</v>
      </c>
      <c r="G3633">
        <v>0.16668333333333299</v>
      </c>
    </row>
    <row r="3634" spans="1:7" x14ac:dyDescent="0.35">
      <c r="A3634" t="s">
        <v>847</v>
      </c>
      <c r="B3634" t="s">
        <v>680</v>
      </c>
      <c r="C3634" s="83">
        <v>46128</v>
      </c>
      <c r="D3634" t="s">
        <v>687</v>
      </c>
      <c r="E3634" t="s">
        <v>726</v>
      </c>
      <c r="F3634">
        <v>4</v>
      </c>
      <c r="G3634">
        <v>6.5103999999999997</v>
      </c>
    </row>
    <row r="3635" spans="1:7" x14ac:dyDescent="0.35">
      <c r="A3635" t="s">
        <v>847</v>
      </c>
      <c r="B3635" t="s">
        <v>680</v>
      </c>
      <c r="C3635" s="83">
        <v>46128</v>
      </c>
      <c r="D3635" t="s">
        <v>687</v>
      </c>
      <c r="E3635" t="s">
        <v>717</v>
      </c>
      <c r="F3635">
        <v>3</v>
      </c>
      <c r="G3635">
        <v>0.70950000000000002</v>
      </c>
    </row>
    <row r="3636" spans="1:7" x14ac:dyDescent="0.35">
      <c r="A3636" t="s">
        <v>847</v>
      </c>
      <c r="B3636" t="s">
        <v>680</v>
      </c>
      <c r="C3636" s="83">
        <v>46128</v>
      </c>
      <c r="D3636" t="s">
        <v>687</v>
      </c>
      <c r="E3636" t="s">
        <v>733</v>
      </c>
      <c r="F3636">
        <v>2</v>
      </c>
      <c r="G3636">
        <v>0.16666666666666699</v>
      </c>
    </row>
    <row r="3637" spans="1:7" x14ac:dyDescent="0.35">
      <c r="A3637" t="s">
        <v>847</v>
      </c>
      <c r="B3637" t="s">
        <v>680</v>
      </c>
      <c r="C3637" s="83">
        <v>46128</v>
      </c>
      <c r="D3637" t="s">
        <v>688</v>
      </c>
      <c r="E3637" t="s">
        <v>311</v>
      </c>
      <c r="F3637">
        <v>5</v>
      </c>
      <c r="G3637">
        <v>36.836583333333301</v>
      </c>
    </row>
    <row r="3638" spans="1:7" x14ac:dyDescent="0.35">
      <c r="A3638" t="s">
        <v>847</v>
      </c>
      <c r="B3638" t="s">
        <v>680</v>
      </c>
      <c r="C3638" s="83">
        <v>46128</v>
      </c>
      <c r="D3638" t="s">
        <v>688</v>
      </c>
      <c r="E3638" t="s">
        <v>316</v>
      </c>
      <c r="F3638">
        <v>2</v>
      </c>
      <c r="G3638">
        <v>0.66739999999999999</v>
      </c>
    </row>
    <row r="3639" spans="1:7" x14ac:dyDescent="0.35">
      <c r="A3639" t="s">
        <v>847</v>
      </c>
      <c r="B3639" t="s">
        <v>680</v>
      </c>
      <c r="C3639" s="83">
        <v>46128</v>
      </c>
      <c r="D3639" t="s">
        <v>688</v>
      </c>
      <c r="E3639" t="s">
        <v>720</v>
      </c>
      <c r="F3639">
        <v>2</v>
      </c>
      <c r="G3639">
        <v>0.667366666666667</v>
      </c>
    </row>
    <row r="3640" spans="1:7" x14ac:dyDescent="0.35">
      <c r="A3640" t="s">
        <v>847</v>
      </c>
      <c r="B3640" t="s">
        <v>680</v>
      </c>
      <c r="C3640" s="83">
        <v>46128</v>
      </c>
      <c r="D3640" t="s">
        <v>690</v>
      </c>
      <c r="E3640" t="s">
        <v>725</v>
      </c>
      <c r="F3640">
        <v>12</v>
      </c>
      <c r="G3640">
        <v>15.659700000000001</v>
      </c>
    </row>
    <row r="3641" spans="1:7" x14ac:dyDescent="0.35">
      <c r="A3641" t="s">
        <v>847</v>
      </c>
      <c r="B3641" t="s">
        <v>680</v>
      </c>
      <c r="C3641" s="83">
        <v>46128</v>
      </c>
      <c r="D3641" t="s">
        <v>690</v>
      </c>
      <c r="E3641" t="s">
        <v>311</v>
      </c>
      <c r="F3641">
        <v>7</v>
      </c>
      <c r="G3641">
        <v>3.6572666666666702</v>
      </c>
    </row>
    <row r="3642" spans="1:7" x14ac:dyDescent="0.35">
      <c r="A3642" t="s">
        <v>847</v>
      </c>
      <c r="B3642" t="s">
        <v>680</v>
      </c>
      <c r="C3642" s="83">
        <v>46128</v>
      </c>
      <c r="D3642" t="s">
        <v>690</v>
      </c>
      <c r="E3642" t="s">
        <v>720</v>
      </c>
      <c r="F3642">
        <v>4</v>
      </c>
      <c r="G3642">
        <v>5.0979999999999999</v>
      </c>
    </row>
    <row r="3643" spans="1:7" x14ac:dyDescent="0.35">
      <c r="A3643" t="s">
        <v>847</v>
      </c>
      <c r="B3643" t="s">
        <v>680</v>
      </c>
      <c r="C3643" s="83">
        <v>46128</v>
      </c>
      <c r="D3643" t="s">
        <v>685</v>
      </c>
      <c r="E3643" t="s">
        <v>311</v>
      </c>
      <c r="F3643">
        <v>6</v>
      </c>
      <c r="G3643">
        <v>2.8288333333333302</v>
      </c>
    </row>
    <row r="3644" spans="1:7" x14ac:dyDescent="0.35">
      <c r="A3644" t="s">
        <v>847</v>
      </c>
      <c r="B3644" t="s">
        <v>680</v>
      </c>
      <c r="C3644" s="83">
        <v>46128</v>
      </c>
      <c r="D3644" t="s">
        <v>685</v>
      </c>
      <c r="E3644" t="s">
        <v>312</v>
      </c>
      <c r="F3644">
        <v>5</v>
      </c>
      <c r="G3644">
        <v>3.6890000000000001</v>
      </c>
    </row>
    <row r="3645" spans="1:7" x14ac:dyDescent="0.35">
      <c r="A3645" t="s">
        <v>847</v>
      </c>
      <c r="B3645" t="s">
        <v>680</v>
      </c>
      <c r="C3645" s="83">
        <v>46128</v>
      </c>
      <c r="D3645" t="s">
        <v>685</v>
      </c>
      <c r="E3645" t="s">
        <v>322</v>
      </c>
      <c r="F3645">
        <v>3</v>
      </c>
      <c r="G3645">
        <v>0.99931666666666696</v>
      </c>
    </row>
    <row r="3646" spans="1:7" x14ac:dyDescent="0.35">
      <c r="A3646" t="s">
        <v>847</v>
      </c>
      <c r="B3646" t="s">
        <v>680</v>
      </c>
      <c r="C3646" s="83">
        <v>46129</v>
      </c>
      <c r="D3646" t="s">
        <v>681</v>
      </c>
      <c r="E3646" t="s">
        <v>297</v>
      </c>
      <c r="F3646">
        <v>42</v>
      </c>
      <c r="G3646">
        <v>15.1854666666667</v>
      </c>
    </row>
    <row r="3647" spans="1:7" x14ac:dyDescent="0.35">
      <c r="A3647" t="s">
        <v>847</v>
      </c>
      <c r="B3647" t="s">
        <v>680</v>
      </c>
      <c r="C3647" s="83">
        <v>46129</v>
      </c>
      <c r="D3647" t="s">
        <v>681</v>
      </c>
      <c r="E3647" t="s">
        <v>296</v>
      </c>
      <c r="F3647">
        <v>19</v>
      </c>
      <c r="G3647">
        <v>8.5104500000000005</v>
      </c>
    </row>
    <row r="3648" spans="1:7" x14ac:dyDescent="0.35">
      <c r="A3648" t="s">
        <v>847</v>
      </c>
      <c r="B3648" t="s">
        <v>680</v>
      </c>
      <c r="C3648" s="83">
        <v>46129</v>
      </c>
      <c r="D3648" t="s">
        <v>681</v>
      </c>
      <c r="E3648" t="s">
        <v>298</v>
      </c>
      <c r="F3648">
        <v>9</v>
      </c>
      <c r="G3648">
        <v>18.850083333333298</v>
      </c>
    </row>
    <row r="3649" spans="1:7" x14ac:dyDescent="0.35">
      <c r="A3649" t="s">
        <v>847</v>
      </c>
      <c r="B3649" t="s">
        <v>680</v>
      </c>
      <c r="C3649" s="83">
        <v>46129</v>
      </c>
      <c r="D3649" t="s">
        <v>683</v>
      </c>
      <c r="E3649" t="s">
        <v>298</v>
      </c>
      <c r="F3649">
        <v>28</v>
      </c>
      <c r="G3649">
        <v>46.829516666666699</v>
      </c>
    </row>
    <row r="3650" spans="1:7" x14ac:dyDescent="0.35">
      <c r="A3650" t="s">
        <v>847</v>
      </c>
      <c r="B3650" t="s">
        <v>680</v>
      </c>
      <c r="C3650" s="83">
        <v>46129</v>
      </c>
      <c r="D3650" t="s">
        <v>683</v>
      </c>
      <c r="E3650" t="s">
        <v>296</v>
      </c>
      <c r="F3650">
        <v>10</v>
      </c>
      <c r="G3650">
        <v>3.9905333333333299</v>
      </c>
    </row>
    <row r="3651" spans="1:7" x14ac:dyDescent="0.35">
      <c r="A3651" t="s">
        <v>847</v>
      </c>
      <c r="B3651" t="s">
        <v>680</v>
      </c>
      <c r="C3651" s="83">
        <v>46129</v>
      </c>
      <c r="D3651" t="s">
        <v>683</v>
      </c>
      <c r="E3651" t="s">
        <v>756</v>
      </c>
      <c r="F3651">
        <v>6</v>
      </c>
      <c r="G3651">
        <v>2.1523833333333302</v>
      </c>
    </row>
    <row r="3652" spans="1:7" x14ac:dyDescent="0.35">
      <c r="A3652" t="s">
        <v>847</v>
      </c>
      <c r="B3652" t="s">
        <v>680</v>
      </c>
      <c r="C3652" s="83">
        <v>46129</v>
      </c>
      <c r="D3652" t="s">
        <v>689</v>
      </c>
      <c r="E3652" t="s">
        <v>297</v>
      </c>
      <c r="F3652">
        <v>14</v>
      </c>
      <c r="G3652">
        <v>5.6672333333333302</v>
      </c>
    </row>
    <row r="3653" spans="1:7" x14ac:dyDescent="0.35">
      <c r="A3653" t="s">
        <v>847</v>
      </c>
      <c r="B3653" t="s">
        <v>680</v>
      </c>
      <c r="C3653" s="83">
        <v>46129</v>
      </c>
      <c r="D3653" t="s">
        <v>689</v>
      </c>
      <c r="E3653" t="s">
        <v>296</v>
      </c>
      <c r="F3653">
        <v>6</v>
      </c>
      <c r="G3653">
        <v>2.1676166666666701</v>
      </c>
    </row>
    <row r="3654" spans="1:7" x14ac:dyDescent="0.35">
      <c r="A3654" t="s">
        <v>847</v>
      </c>
      <c r="B3654" t="s">
        <v>680</v>
      </c>
      <c r="C3654" s="83">
        <v>46129</v>
      </c>
      <c r="D3654" t="s">
        <v>689</v>
      </c>
      <c r="E3654" t="s">
        <v>298</v>
      </c>
      <c r="F3654">
        <v>5</v>
      </c>
      <c r="G3654">
        <v>2.8196500000000002</v>
      </c>
    </row>
    <row r="3655" spans="1:7" x14ac:dyDescent="0.35">
      <c r="A3655" t="s">
        <v>847</v>
      </c>
      <c r="B3655" t="s">
        <v>680</v>
      </c>
      <c r="C3655" s="83">
        <v>46129</v>
      </c>
      <c r="D3655" t="s">
        <v>684</v>
      </c>
      <c r="E3655" t="s">
        <v>297</v>
      </c>
      <c r="F3655">
        <v>4</v>
      </c>
      <c r="G3655">
        <v>2.8285</v>
      </c>
    </row>
    <row r="3656" spans="1:7" x14ac:dyDescent="0.35">
      <c r="A3656" t="s">
        <v>847</v>
      </c>
      <c r="B3656" t="s">
        <v>680</v>
      </c>
      <c r="C3656" s="83">
        <v>46129</v>
      </c>
      <c r="D3656" t="s">
        <v>684</v>
      </c>
      <c r="E3656" t="s">
        <v>298</v>
      </c>
      <c r="F3656">
        <v>2</v>
      </c>
      <c r="G3656">
        <v>0.83356666666666701</v>
      </c>
    </row>
    <row r="3657" spans="1:7" x14ac:dyDescent="0.35">
      <c r="A3657" t="s">
        <v>847</v>
      </c>
      <c r="B3657" t="s">
        <v>680</v>
      </c>
      <c r="C3657" s="83">
        <v>46129</v>
      </c>
      <c r="D3657" t="s">
        <v>687</v>
      </c>
      <c r="E3657" t="s">
        <v>729</v>
      </c>
      <c r="F3657">
        <v>3</v>
      </c>
      <c r="G3657">
        <v>1.6729000000000001</v>
      </c>
    </row>
    <row r="3658" spans="1:7" x14ac:dyDescent="0.35">
      <c r="A3658" t="s">
        <v>847</v>
      </c>
      <c r="B3658" t="s">
        <v>680</v>
      </c>
      <c r="C3658" s="83">
        <v>46129</v>
      </c>
      <c r="D3658" t="s">
        <v>687</v>
      </c>
      <c r="E3658" t="s">
        <v>717</v>
      </c>
      <c r="F3658">
        <v>3</v>
      </c>
      <c r="G3658">
        <v>1.1595500000000001</v>
      </c>
    </row>
    <row r="3659" spans="1:7" x14ac:dyDescent="0.35">
      <c r="A3659" t="s">
        <v>847</v>
      </c>
      <c r="B3659" t="s">
        <v>680</v>
      </c>
      <c r="C3659" s="83">
        <v>46129</v>
      </c>
      <c r="D3659" t="s">
        <v>687</v>
      </c>
      <c r="E3659" t="s">
        <v>719</v>
      </c>
      <c r="F3659">
        <v>3</v>
      </c>
      <c r="G3659">
        <v>0.66698333333333304</v>
      </c>
    </row>
    <row r="3660" spans="1:7" x14ac:dyDescent="0.35">
      <c r="A3660" t="s">
        <v>847</v>
      </c>
      <c r="B3660" t="s">
        <v>680</v>
      </c>
      <c r="C3660" s="83">
        <v>46129</v>
      </c>
      <c r="D3660" t="s">
        <v>688</v>
      </c>
      <c r="E3660" t="s">
        <v>311</v>
      </c>
      <c r="F3660">
        <v>25</v>
      </c>
      <c r="G3660">
        <v>25.342183333333299</v>
      </c>
    </row>
    <row r="3661" spans="1:7" x14ac:dyDescent="0.35">
      <c r="A3661" t="s">
        <v>847</v>
      </c>
      <c r="B3661" t="s">
        <v>680</v>
      </c>
      <c r="C3661" s="83">
        <v>46129</v>
      </c>
      <c r="D3661" t="s">
        <v>688</v>
      </c>
      <c r="E3661" t="s">
        <v>316</v>
      </c>
      <c r="F3661">
        <v>3</v>
      </c>
      <c r="G3661">
        <v>2.50091666666667</v>
      </c>
    </row>
    <row r="3662" spans="1:7" x14ac:dyDescent="0.35">
      <c r="A3662" t="s">
        <v>847</v>
      </c>
      <c r="B3662" t="s">
        <v>680</v>
      </c>
      <c r="C3662" s="83">
        <v>46129</v>
      </c>
      <c r="D3662" t="s">
        <v>688</v>
      </c>
      <c r="E3662" t="s">
        <v>315</v>
      </c>
      <c r="F3662">
        <v>2</v>
      </c>
      <c r="G3662">
        <v>0.16668333333333299</v>
      </c>
    </row>
    <row r="3663" spans="1:7" x14ac:dyDescent="0.35">
      <c r="A3663" t="s">
        <v>847</v>
      </c>
      <c r="B3663" t="s">
        <v>680</v>
      </c>
      <c r="C3663" s="83">
        <v>46129</v>
      </c>
      <c r="D3663" t="s">
        <v>690</v>
      </c>
      <c r="E3663" t="s">
        <v>311</v>
      </c>
      <c r="F3663">
        <v>13</v>
      </c>
      <c r="G3663">
        <v>7.3353666666666699</v>
      </c>
    </row>
    <row r="3664" spans="1:7" x14ac:dyDescent="0.35">
      <c r="A3664" t="s">
        <v>847</v>
      </c>
      <c r="B3664" t="s">
        <v>680</v>
      </c>
      <c r="C3664" s="83">
        <v>46129</v>
      </c>
      <c r="D3664" t="s">
        <v>690</v>
      </c>
      <c r="E3664" t="s">
        <v>338</v>
      </c>
      <c r="F3664">
        <v>4</v>
      </c>
      <c r="G3664">
        <v>1.8425</v>
      </c>
    </row>
    <row r="3665" spans="1:7" x14ac:dyDescent="0.35">
      <c r="A3665" t="s">
        <v>847</v>
      </c>
      <c r="B3665" t="s">
        <v>680</v>
      </c>
      <c r="C3665" s="83">
        <v>46129</v>
      </c>
      <c r="D3665" t="s">
        <v>690</v>
      </c>
      <c r="E3665" t="s">
        <v>720</v>
      </c>
      <c r="F3665">
        <v>4</v>
      </c>
      <c r="G3665">
        <v>1.8345833333333299</v>
      </c>
    </row>
    <row r="3666" spans="1:7" x14ac:dyDescent="0.35">
      <c r="A3666" t="s">
        <v>847</v>
      </c>
      <c r="B3666" t="s">
        <v>680</v>
      </c>
      <c r="C3666" s="83">
        <v>46129</v>
      </c>
      <c r="D3666" t="s">
        <v>685</v>
      </c>
      <c r="E3666" t="s">
        <v>311</v>
      </c>
      <c r="F3666">
        <v>5</v>
      </c>
      <c r="G3666">
        <v>1.8197000000000001</v>
      </c>
    </row>
    <row r="3667" spans="1:7" x14ac:dyDescent="0.35">
      <c r="A3667" t="s">
        <v>847</v>
      </c>
      <c r="B3667" t="s">
        <v>680</v>
      </c>
      <c r="C3667" s="83">
        <v>46129</v>
      </c>
      <c r="D3667" t="s">
        <v>685</v>
      </c>
      <c r="E3667" t="s">
        <v>337</v>
      </c>
      <c r="F3667">
        <v>2</v>
      </c>
      <c r="G3667">
        <v>6.5016833333333297</v>
      </c>
    </row>
    <row r="3668" spans="1:7" x14ac:dyDescent="0.35">
      <c r="A3668" t="s">
        <v>847</v>
      </c>
      <c r="B3668" t="s">
        <v>680</v>
      </c>
      <c r="C3668" s="83">
        <v>46129</v>
      </c>
      <c r="D3668" t="s">
        <v>685</v>
      </c>
      <c r="E3668" t="s">
        <v>720</v>
      </c>
      <c r="F3668">
        <v>2</v>
      </c>
      <c r="G3668">
        <v>0.49333333333333301</v>
      </c>
    </row>
    <row r="3669" spans="1:7" x14ac:dyDescent="0.35">
      <c r="A3669" t="s">
        <v>847</v>
      </c>
      <c r="B3669" t="s">
        <v>680</v>
      </c>
      <c r="C3669" s="83">
        <v>46130</v>
      </c>
      <c r="D3669" t="s">
        <v>681</v>
      </c>
      <c r="E3669" t="s">
        <v>297</v>
      </c>
      <c r="F3669">
        <v>36</v>
      </c>
      <c r="G3669">
        <v>20.814</v>
      </c>
    </row>
    <row r="3670" spans="1:7" x14ac:dyDescent="0.35">
      <c r="A3670" t="s">
        <v>847</v>
      </c>
      <c r="B3670" t="s">
        <v>680</v>
      </c>
      <c r="C3670" s="83">
        <v>46130</v>
      </c>
      <c r="D3670" t="s">
        <v>681</v>
      </c>
      <c r="E3670" t="s">
        <v>296</v>
      </c>
      <c r="F3670">
        <v>27</v>
      </c>
      <c r="G3670">
        <v>7.3406833333333301</v>
      </c>
    </row>
    <row r="3671" spans="1:7" x14ac:dyDescent="0.35">
      <c r="A3671" t="s">
        <v>847</v>
      </c>
      <c r="B3671" t="s">
        <v>680</v>
      </c>
      <c r="C3671" s="83">
        <v>46130</v>
      </c>
      <c r="D3671" t="s">
        <v>681</v>
      </c>
      <c r="E3671" t="s">
        <v>298</v>
      </c>
      <c r="F3671">
        <v>16</v>
      </c>
      <c r="G3671">
        <v>17.672183333333301</v>
      </c>
    </row>
    <row r="3672" spans="1:7" x14ac:dyDescent="0.35">
      <c r="A3672" t="s">
        <v>847</v>
      </c>
      <c r="B3672" t="s">
        <v>680</v>
      </c>
      <c r="C3672" s="83">
        <v>46130</v>
      </c>
      <c r="D3672" t="s">
        <v>683</v>
      </c>
      <c r="E3672" t="s">
        <v>730</v>
      </c>
      <c r="F3672">
        <v>51</v>
      </c>
      <c r="G3672">
        <v>22.649566666666701</v>
      </c>
    </row>
    <row r="3673" spans="1:7" x14ac:dyDescent="0.35">
      <c r="A3673" t="s">
        <v>847</v>
      </c>
      <c r="B3673" t="s">
        <v>680</v>
      </c>
      <c r="C3673" s="83">
        <v>46130</v>
      </c>
      <c r="D3673" t="s">
        <v>683</v>
      </c>
      <c r="E3673" t="s">
        <v>334</v>
      </c>
      <c r="F3673">
        <v>22</v>
      </c>
      <c r="G3673">
        <v>7.6559333333333299</v>
      </c>
    </row>
    <row r="3674" spans="1:7" x14ac:dyDescent="0.35">
      <c r="A3674" t="s">
        <v>847</v>
      </c>
      <c r="B3674" t="s">
        <v>680</v>
      </c>
      <c r="C3674" s="83">
        <v>46130</v>
      </c>
      <c r="D3674" t="s">
        <v>683</v>
      </c>
      <c r="E3674" t="s">
        <v>298</v>
      </c>
      <c r="F3674">
        <v>22</v>
      </c>
      <c r="G3674">
        <v>26.651816666666701</v>
      </c>
    </row>
    <row r="3675" spans="1:7" x14ac:dyDescent="0.35">
      <c r="A3675" t="s">
        <v>847</v>
      </c>
      <c r="B3675" t="s">
        <v>680</v>
      </c>
      <c r="C3675" s="83">
        <v>46130</v>
      </c>
      <c r="D3675" t="s">
        <v>689</v>
      </c>
      <c r="E3675" t="s">
        <v>297</v>
      </c>
      <c r="F3675">
        <v>23</v>
      </c>
      <c r="G3675">
        <v>15.30635</v>
      </c>
    </row>
    <row r="3676" spans="1:7" x14ac:dyDescent="0.35">
      <c r="A3676" t="s">
        <v>847</v>
      </c>
      <c r="B3676" t="s">
        <v>680</v>
      </c>
      <c r="C3676" s="83">
        <v>46130</v>
      </c>
      <c r="D3676" t="s">
        <v>689</v>
      </c>
      <c r="E3676" t="s">
        <v>298</v>
      </c>
      <c r="F3676">
        <v>12</v>
      </c>
      <c r="G3676">
        <v>7.6627333333333301</v>
      </c>
    </row>
    <row r="3677" spans="1:7" x14ac:dyDescent="0.35">
      <c r="A3677" t="s">
        <v>847</v>
      </c>
      <c r="B3677" t="s">
        <v>680</v>
      </c>
      <c r="C3677" s="83">
        <v>46130</v>
      </c>
      <c r="D3677" t="s">
        <v>689</v>
      </c>
      <c r="E3677" t="s">
        <v>296</v>
      </c>
      <c r="F3677">
        <v>9</v>
      </c>
      <c r="G3677">
        <v>4.6771000000000003</v>
      </c>
    </row>
    <row r="3678" spans="1:7" x14ac:dyDescent="0.35">
      <c r="A3678" t="s">
        <v>847</v>
      </c>
      <c r="B3678" t="s">
        <v>680</v>
      </c>
      <c r="C3678" s="83">
        <v>46130</v>
      </c>
      <c r="D3678" t="s">
        <v>684</v>
      </c>
      <c r="E3678" t="s">
        <v>296</v>
      </c>
      <c r="F3678">
        <v>7</v>
      </c>
      <c r="G3678">
        <v>2.3272499999999998</v>
      </c>
    </row>
    <row r="3679" spans="1:7" x14ac:dyDescent="0.35">
      <c r="A3679" t="s">
        <v>847</v>
      </c>
      <c r="B3679" t="s">
        <v>680</v>
      </c>
      <c r="C3679" s="83">
        <v>46130</v>
      </c>
      <c r="D3679" t="s">
        <v>684</v>
      </c>
      <c r="E3679" t="s">
        <v>297</v>
      </c>
      <c r="F3679">
        <v>6</v>
      </c>
      <c r="G3679">
        <v>3.49393333333333</v>
      </c>
    </row>
    <row r="3680" spans="1:7" x14ac:dyDescent="0.35">
      <c r="A3680" t="s">
        <v>847</v>
      </c>
      <c r="B3680" t="s">
        <v>680</v>
      </c>
      <c r="C3680" s="83">
        <v>46130</v>
      </c>
      <c r="D3680" t="s">
        <v>684</v>
      </c>
      <c r="E3680" t="s">
        <v>300</v>
      </c>
      <c r="F3680">
        <v>3</v>
      </c>
      <c r="G3680">
        <v>5.33496666666667</v>
      </c>
    </row>
    <row r="3681" spans="1:7" x14ac:dyDescent="0.35">
      <c r="A3681" t="s">
        <v>847</v>
      </c>
      <c r="B3681" t="s">
        <v>680</v>
      </c>
      <c r="C3681" s="83">
        <v>46130</v>
      </c>
      <c r="D3681" t="s">
        <v>687</v>
      </c>
      <c r="E3681" t="s">
        <v>717</v>
      </c>
      <c r="F3681">
        <v>6</v>
      </c>
      <c r="G3681">
        <v>8.8361000000000001</v>
      </c>
    </row>
    <row r="3682" spans="1:7" x14ac:dyDescent="0.35">
      <c r="A3682" t="s">
        <v>847</v>
      </c>
      <c r="B3682" t="s">
        <v>680</v>
      </c>
      <c r="C3682" s="83">
        <v>46130</v>
      </c>
      <c r="D3682" t="s">
        <v>687</v>
      </c>
      <c r="E3682" t="s">
        <v>726</v>
      </c>
      <c r="F3682">
        <v>4</v>
      </c>
      <c r="G3682">
        <v>3.37483333333333</v>
      </c>
    </row>
    <row r="3683" spans="1:7" x14ac:dyDescent="0.35">
      <c r="A3683" t="s">
        <v>847</v>
      </c>
      <c r="B3683" t="s">
        <v>680</v>
      </c>
      <c r="C3683" s="83">
        <v>46130</v>
      </c>
      <c r="D3683" t="s">
        <v>687</v>
      </c>
      <c r="E3683" t="s">
        <v>762</v>
      </c>
      <c r="F3683">
        <v>3</v>
      </c>
      <c r="G3683">
        <v>3.3314666666666701</v>
      </c>
    </row>
    <row r="3684" spans="1:7" x14ac:dyDescent="0.35">
      <c r="A3684" t="s">
        <v>847</v>
      </c>
      <c r="B3684" t="s">
        <v>680</v>
      </c>
      <c r="C3684" s="83">
        <v>46130</v>
      </c>
      <c r="D3684" t="s">
        <v>688</v>
      </c>
      <c r="E3684" t="s">
        <v>311</v>
      </c>
      <c r="F3684">
        <v>13</v>
      </c>
      <c r="G3684">
        <v>8.18326666666667</v>
      </c>
    </row>
    <row r="3685" spans="1:7" x14ac:dyDescent="0.35">
      <c r="A3685" t="s">
        <v>847</v>
      </c>
      <c r="B3685" t="s">
        <v>680</v>
      </c>
      <c r="C3685" s="83">
        <v>46130</v>
      </c>
      <c r="D3685" t="s">
        <v>688</v>
      </c>
      <c r="E3685" t="s">
        <v>316</v>
      </c>
      <c r="F3685">
        <v>5</v>
      </c>
      <c r="G3685">
        <v>0.67820000000000003</v>
      </c>
    </row>
    <row r="3686" spans="1:7" x14ac:dyDescent="0.35">
      <c r="A3686" t="s">
        <v>847</v>
      </c>
      <c r="B3686" t="s">
        <v>680</v>
      </c>
      <c r="C3686" s="83">
        <v>46130</v>
      </c>
      <c r="D3686" t="s">
        <v>688</v>
      </c>
      <c r="E3686" t="s">
        <v>777</v>
      </c>
      <c r="F3686">
        <v>2</v>
      </c>
      <c r="G3686">
        <v>0.16651666666666701</v>
      </c>
    </row>
    <row r="3687" spans="1:7" x14ac:dyDescent="0.35">
      <c r="A3687" t="s">
        <v>847</v>
      </c>
      <c r="B3687" t="s">
        <v>680</v>
      </c>
      <c r="C3687" s="83">
        <v>46130</v>
      </c>
      <c r="D3687" t="s">
        <v>690</v>
      </c>
      <c r="E3687" t="s">
        <v>311</v>
      </c>
      <c r="F3687">
        <v>14</v>
      </c>
      <c r="G3687">
        <v>20.9788</v>
      </c>
    </row>
    <row r="3688" spans="1:7" x14ac:dyDescent="0.35">
      <c r="A3688" t="s">
        <v>847</v>
      </c>
      <c r="B3688" t="s">
        <v>680</v>
      </c>
      <c r="C3688" s="83">
        <v>46130</v>
      </c>
      <c r="D3688" t="s">
        <v>690</v>
      </c>
      <c r="E3688" t="s">
        <v>725</v>
      </c>
      <c r="F3688">
        <v>12</v>
      </c>
      <c r="G3688">
        <v>5.1661000000000001</v>
      </c>
    </row>
    <row r="3689" spans="1:7" x14ac:dyDescent="0.35">
      <c r="A3689" t="s">
        <v>847</v>
      </c>
      <c r="B3689" t="s">
        <v>680</v>
      </c>
      <c r="C3689" s="83">
        <v>46130</v>
      </c>
      <c r="D3689" t="s">
        <v>690</v>
      </c>
      <c r="E3689" t="s">
        <v>720</v>
      </c>
      <c r="F3689">
        <v>5</v>
      </c>
      <c r="G3689">
        <v>2.1735166666666701</v>
      </c>
    </row>
    <row r="3690" spans="1:7" x14ac:dyDescent="0.35">
      <c r="A3690" t="s">
        <v>847</v>
      </c>
      <c r="B3690" t="s">
        <v>680</v>
      </c>
      <c r="C3690" s="83">
        <v>46130</v>
      </c>
      <c r="D3690" t="s">
        <v>685</v>
      </c>
      <c r="E3690" t="s">
        <v>311</v>
      </c>
      <c r="F3690">
        <v>4</v>
      </c>
      <c r="G3690">
        <v>6.8344833333333304</v>
      </c>
    </row>
    <row r="3691" spans="1:7" x14ac:dyDescent="0.35">
      <c r="A3691" t="s">
        <v>847</v>
      </c>
      <c r="B3691" t="s">
        <v>680</v>
      </c>
      <c r="C3691" s="83">
        <v>46130</v>
      </c>
      <c r="D3691" t="s">
        <v>685</v>
      </c>
      <c r="E3691" t="s">
        <v>732</v>
      </c>
      <c r="F3691">
        <v>3</v>
      </c>
      <c r="G3691">
        <v>2.6602999999999999</v>
      </c>
    </row>
    <row r="3692" spans="1:7" x14ac:dyDescent="0.35">
      <c r="A3692" t="s">
        <v>847</v>
      </c>
      <c r="B3692" t="s">
        <v>680</v>
      </c>
      <c r="C3692" s="83">
        <v>46130</v>
      </c>
      <c r="D3692" t="s">
        <v>685</v>
      </c>
      <c r="E3692" t="s">
        <v>734</v>
      </c>
      <c r="F3692">
        <v>2</v>
      </c>
      <c r="G3692">
        <v>0.33341666666666703</v>
      </c>
    </row>
    <row r="3693" spans="1:7" x14ac:dyDescent="0.35">
      <c r="A3693" t="s">
        <v>847</v>
      </c>
      <c r="B3693" t="s">
        <v>680</v>
      </c>
      <c r="C3693" s="83">
        <v>46131</v>
      </c>
      <c r="D3693" t="s">
        <v>681</v>
      </c>
      <c r="E3693" t="s">
        <v>297</v>
      </c>
      <c r="F3693">
        <v>86</v>
      </c>
      <c r="G3693">
        <v>37.4696833333333</v>
      </c>
    </row>
    <row r="3694" spans="1:7" x14ac:dyDescent="0.35">
      <c r="A3694" t="s">
        <v>847</v>
      </c>
      <c r="B3694" t="s">
        <v>680</v>
      </c>
      <c r="C3694" s="83">
        <v>46131</v>
      </c>
      <c r="D3694" t="s">
        <v>681</v>
      </c>
      <c r="E3694" t="s">
        <v>298</v>
      </c>
      <c r="F3694">
        <v>25</v>
      </c>
      <c r="G3694">
        <v>29.525933333333299</v>
      </c>
    </row>
    <row r="3695" spans="1:7" x14ac:dyDescent="0.35">
      <c r="A3695" t="s">
        <v>847</v>
      </c>
      <c r="B3695" t="s">
        <v>680</v>
      </c>
      <c r="C3695" s="83">
        <v>46131</v>
      </c>
      <c r="D3695" t="s">
        <v>681</v>
      </c>
      <c r="E3695" t="s">
        <v>296</v>
      </c>
      <c r="F3695">
        <v>20</v>
      </c>
      <c r="G3695">
        <v>4.6593499999999999</v>
      </c>
    </row>
    <row r="3696" spans="1:7" x14ac:dyDescent="0.35">
      <c r="A3696" t="s">
        <v>847</v>
      </c>
      <c r="B3696" t="s">
        <v>680</v>
      </c>
      <c r="C3696" s="83">
        <v>46131</v>
      </c>
      <c r="D3696" t="s">
        <v>683</v>
      </c>
      <c r="E3696" t="s">
        <v>730</v>
      </c>
      <c r="F3696">
        <v>30</v>
      </c>
      <c r="G3696">
        <v>9.6483166666666698</v>
      </c>
    </row>
    <row r="3697" spans="1:7" x14ac:dyDescent="0.35">
      <c r="A3697" t="s">
        <v>847</v>
      </c>
      <c r="B3697" t="s">
        <v>680</v>
      </c>
      <c r="C3697" s="83">
        <v>46131</v>
      </c>
      <c r="D3697" t="s">
        <v>683</v>
      </c>
      <c r="E3697" t="s">
        <v>298</v>
      </c>
      <c r="F3697">
        <v>23</v>
      </c>
      <c r="G3697">
        <v>40.535150000000002</v>
      </c>
    </row>
    <row r="3698" spans="1:7" x14ac:dyDescent="0.35">
      <c r="A3698" t="s">
        <v>847</v>
      </c>
      <c r="B3698" t="s">
        <v>680</v>
      </c>
      <c r="C3698" s="83">
        <v>46131</v>
      </c>
      <c r="D3698" t="s">
        <v>683</v>
      </c>
      <c r="E3698" t="s">
        <v>334</v>
      </c>
      <c r="F3698">
        <v>10</v>
      </c>
      <c r="G3698">
        <v>2.9985166666666698</v>
      </c>
    </row>
    <row r="3699" spans="1:7" x14ac:dyDescent="0.35">
      <c r="A3699" t="s">
        <v>847</v>
      </c>
      <c r="B3699" t="s">
        <v>680</v>
      </c>
      <c r="C3699" s="83">
        <v>46131</v>
      </c>
      <c r="D3699" t="s">
        <v>689</v>
      </c>
      <c r="E3699" t="s">
        <v>297</v>
      </c>
      <c r="F3699">
        <v>21</v>
      </c>
      <c r="G3699">
        <v>10.151733333333301</v>
      </c>
    </row>
    <row r="3700" spans="1:7" x14ac:dyDescent="0.35">
      <c r="A3700" t="s">
        <v>847</v>
      </c>
      <c r="B3700" t="s">
        <v>680</v>
      </c>
      <c r="C3700" s="83">
        <v>46131</v>
      </c>
      <c r="D3700" t="s">
        <v>689</v>
      </c>
      <c r="E3700" t="s">
        <v>298</v>
      </c>
      <c r="F3700">
        <v>11</v>
      </c>
      <c r="G3700">
        <v>9.19248333333333</v>
      </c>
    </row>
    <row r="3701" spans="1:7" x14ac:dyDescent="0.35">
      <c r="A3701" t="s">
        <v>847</v>
      </c>
      <c r="B3701" t="s">
        <v>680</v>
      </c>
      <c r="C3701" s="83">
        <v>46131</v>
      </c>
      <c r="D3701" t="s">
        <v>689</v>
      </c>
      <c r="E3701" t="s">
        <v>300</v>
      </c>
      <c r="F3701">
        <v>6</v>
      </c>
      <c r="G3701">
        <v>3.5008666666666701</v>
      </c>
    </row>
    <row r="3702" spans="1:7" x14ac:dyDescent="0.35">
      <c r="A3702" t="s">
        <v>847</v>
      </c>
      <c r="B3702" t="s">
        <v>680</v>
      </c>
      <c r="C3702" s="83">
        <v>46131</v>
      </c>
      <c r="D3702" t="s">
        <v>684</v>
      </c>
      <c r="E3702" t="s">
        <v>296</v>
      </c>
      <c r="F3702">
        <v>7</v>
      </c>
      <c r="G3702">
        <v>2.8409166666666699</v>
      </c>
    </row>
    <row r="3703" spans="1:7" x14ac:dyDescent="0.35">
      <c r="A3703" t="s">
        <v>847</v>
      </c>
      <c r="B3703" t="s">
        <v>680</v>
      </c>
      <c r="C3703" s="83">
        <v>46131</v>
      </c>
      <c r="D3703" t="s">
        <v>684</v>
      </c>
      <c r="E3703" t="s">
        <v>343</v>
      </c>
      <c r="F3703">
        <v>4</v>
      </c>
      <c r="G3703">
        <v>0.66779999999999995</v>
      </c>
    </row>
    <row r="3704" spans="1:7" x14ac:dyDescent="0.35">
      <c r="A3704" t="s">
        <v>847</v>
      </c>
      <c r="B3704" t="s">
        <v>680</v>
      </c>
      <c r="C3704" s="83">
        <v>46131</v>
      </c>
      <c r="D3704" t="s">
        <v>684</v>
      </c>
      <c r="E3704" t="s">
        <v>300</v>
      </c>
      <c r="F3704">
        <v>3</v>
      </c>
      <c r="G3704">
        <v>0.83896666666666697</v>
      </c>
    </row>
    <row r="3705" spans="1:7" x14ac:dyDescent="0.35">
      <c r="A3705" t="s">
        <v>847</v>
      </c>
      <c r="B3705" t="s">
        <v>680</v>
      </c>
      <c r="C3705" s="83">
        <v>46131</v>
      </c>
      <c r="D3705" t="s">
        <v>687</v>
      </c>
      <c r="E3705" t="s">
        <v>719</v>
      </c>
      <c r="F3705">
        <v>7</v>
      </c>
      <c r="G3705">
        <v>6.6779500000000001</v>
      </c>
    </row>
    <row r="3706" spans="1:7" x14ac:dyDescent="0.35">
      <c r="A3706" t="s">
        <v>847</v>
      </c>
      <c r="B3706" t="s">
        <v>680</v>
      </c>
      <c r="C3706" s="83">
        <v>46131</v>
      </c>
      <c r="D3706" t="s">
        <v>687</v>
      </c>
      <c r="E3706" t="s">
        <v>746</v>
      </c>
      <c r="F3706">
        <v>4</v>
      </c>
      <c r="G3706">
        <v>4.5013500000000004</v>
      </c>
    </row>
    <row r="3707" spans="1:7" x14ac:dyDescent="0.35">
      <c r="A3707" t="s">
        <v>847</v>
      </c>
      <c r="B3707" t="s">
        <v>680</v>
      </c>
      <c r="C3707" s="83">
        <v>46131</v>
      </c>
      <c r="D3707" t="s">
        <v>687</v>
      </c>
      <c r="E3707" t="s">
        <v>762</v>
      </c>
      <c r="F3707">
        <v>3</v>
      </c>
      <c r="G3707">
        <v>1.8392833333333301</v>
      </c>
    </row>
    <row r="3708" spans="1:7" x14ac:dyDescent="0.35">
      <c r="A3708" t="s">
        <v>847</v>
      </c>
      <c r="B3708" t="s">
        <v>680</v>
      </c>
      <c r="C3708" s="83">
        <v>46131</v>
      </c>
      <c r="D3708" t="s">
        <v>688</v>
      </c>
      <c r="E3708" t="s">
        <v>311</v>
      </c>
      <c r="F3708">
        <v>11</v>
      </c>
      <c r="G3708">
        <v>10.1502833333333</v>
      </c>
    </row>
    <row r="3709" spans="1:7" x14ac:dyDescent="0.35">
      <c r="A3709" t="s">
        <v>847</v>
      </c>
      <c r="B3709" t="s">
        <v>680</v>
      </c>
      <c r="C3709" s="83">
        <v>46131</v>
      </c>
      <c r="D3709" t="s">
        <v>688</v>
      </c>
      <c r="E3709" t="s">
        <v>316</v>
      </c>
      <c r="F3709">
        <v>6</v>
      </c>
      <c r="G3709">
        <v>3.4867666666666701</v>
      </c>
    </row>
    <row r="3710" spans="1:7" x14ac:dyDescent="0.35">
      <c r="A3710" t="s">
        <v>847</v>
      </c>
      <c r="B3710" t="s">
        <v>680</v>
      </c>
      <c r="C3710" s="83">
        <v>46131</v>
      </c>
      <c r="D3710" t="s">
        <v>688</v>
      </c>
      <c r="E3710" t="s">
        <v>322</v>
      </c>
      <c r="F3710">
        <v>3</v>
      </c>
      <c r="G3710">
        <v>1.16733333333333</v>
      </c>
    </row>
    <row r="3711" spans="1:7" x14ac:dyDescent="0.35">
      <c r="A3711" t="s">
        <v>847</v>
      </c>
      <c r="B3711" t="s">
        <v>680</v>
      </c>
      <c r="C3711" s="83">
        <v>46131</v>
      </c>
      <c r="D3711" t="s">
        <v>690</v>
      </c>
      <c r="E3711" t="s">
        <v>311</v>
      </c>
      <c r="F3711">
        <v>5</v>
      </c>
      <c r="G3711">
        <v>3.3351833333333301</v>
      </c>
    </row>
    <row r="3712" spans="1:7" x14ac:dyDescent="0.35">
      <c r="A3712" t="s">
        <v>847</v>
      </c>
      <c r="B3712" t="s">
        <v>680</v>
      </c>
      <c r="C3712" s="83">
        <v>46131</v>
      </c>
      <c r="D3712" t="s">
        <v>690</v>
      </c>
      <c r="E3712" t="s">
        <v>720</v>
      </c>
      <c r="F3712">
        <v>5</v>
      </c>
      <c r="G3712">
        <v>1.5066999999999999</v>
      </c>
    </row>
    <row r="3713" spans="1:7" x14ac:dyDescent="0.35">
      <c r="A3713" t="s">
        <v>847</v>
      </c>
      <c r="B3713" t="s">
        <v>680</v>
      </c>
      <c r="C3713" s="83">
        <v>46131</v>
      </c>
      <c r="D3713" t="s">
        <v>690</v>
      </c>
      <c r="E3713" t="s">
        <v>778</v>
      </c>
      <c r="F3713">
        <v>3</v>
      </c>
      <c r="G3713">
        <v>0.33371666666666699</v>
      </c>
    </row>
    <row r="3714" spans="1:7" x14ac:dyDescent="0.35">
      <c r="A3714" t="s">
        <v>847</v>
      </c>
      <c r="B3714" t="s">
        <v>680</v>
      </c>
      <c r="C3714" s="83">
        <v>46131</v>
      </c>
      <c r="D3714" t="s">
        <v>685</v>
      </c>
      <c r="E3714" t="s">
        <v>311</v>
      </c>
      <c r="F3714">
        <v>4</v>
      </c>
      <c r="G3714">
        <v>2.5011333333333301</v>
      </c>
    </row>
    <row r="3715" spans="1:7" x14ac:dyDescent="0.35">
      <c r="A3715" t="s">
        <v>847</v>
      </c>
      <c r="B3715" t="s">
        <v>680</v>
      </c>
      <c r="C3715" s="83">
        <v>46131</v>
      </c>
      <c r="D3715" t="s">
        <v>685</v>
      </c>
      <c r="E3715" t="s">
        <v>338</v>
      </c>
      <c r="F3715">
        <v>3</v>
      </c>
      <c r="G3715">
        <v>1.3384166666666699</v>
      </c>
    </row>
    <row r="3716" spans="1:7" x14ac:dyDescent="0.35">
      <c r="A3716" t="s">
        <v>847</v>
      </c>
      <c r="B3716" t="s">
        <v>680</v>
      </c>
      <c r="C3716" s="83">
        <v>46131</v>
      </c>
      <c r="D3716" t="s">
        <v>685</v>
      </c>
      <c r="E3716" t="s">
        <v>337</v>
      </c>
      <c r="F3716">
        <v>2</v>
      </c>
      <c r="G3716">
        <v>0.66705000000000003</v>
      </c>
    </row>
    <row r="3717" spans="1:7" x14ac:dyDescent="0.35">
      <c r="A3717" t="s">
        <v>847</v>
      </c>
      <c r="B3717" t="s">
        <v>680</v>
      </c>
      <c r="C3717" s="83">
        <v>46132</v>
      </c>
      <c r="D3717" t="s">
        <v>681</v>
      </c>
      <c r="E3717" t="s">
        <v>297</v>
      </c>
      <c r="F3717">
        <v>78</v>
      </c>
      <c r="G3717">
        <v>40.802316666666698</v>
      </c>
    </row>
    <row r="3718" spans="1:7" x14ac:dyDescent="0.35">
      <c r="A3718" t="s">
        <v>847</v>
      </c>
      <c r="B3718" t="s">
        <v>680</v>
      </c>
      <c r="C3718" s="83">
        <v>46132</v>
      </c>
      <c r="D3718" t="s">
        <v>681</v>
      </c>
      <c r="E3718" t="s">
        <v>298</v>
      </c>
      <c r="F3718">
        <v>22</v>
      </c>
      <c r="G3718">
        <v>27.668199999999999</v>
      </c>
    </row>
    <row r="3719" spans="1:7" x14ac:dyDescent="0.35">
      <c r="A3719" t="s">
        <v>847</v>
      </c>
      <c r="B3719" t="s">
        <v>680</v>
      </c>
      <c r="C3719" s="83">
        <v>46132</v>
      </c>
      <c r="D3719" t="s">
        <v>681</v>
      </c>
      <c r="E3719" t="s">
        <v>296</v>
      </c>
      <c r="F3719">
        <v>18</v>
      </c>
      <c r="G3719">
        <v>5.3115666666666703</v>
      </c>
    </row>
    <row r="3720" spans="1:7" x14ac:dyDescent="0.35">
      <c r="A3720" t="s">
        <v>847</v>
      </c>
      <c r="B3720" t="s">
        <v>680</v>
      </c>
      <c r="C3720" s="83">
        <v>46132</v>
      </c>
      <c r="D3720" t="s">
        <v>683</v>
      </c>
      <c r="E3720" t="s">
        <v>298</v>
      </c>
      <c r="F3720">
        <v>37</v>
      </c>
      <c r="G3720">
        <v>59.568233333333303</v>
      </c>
    </row>
    <row r="3721" spans="1:7" x14ac:dyDescent="0.35">
      <c r="A3721" t="s">
        <v>847</v>
      </c>
      <c r="B3721" t="s">
        <v>680</v>
      </c>
      <c r="C3721" s="83">
        <v>46132</v>
      </c>
      <c r="D3721" t="s">
        <v>683</v>
      </c>
      <c r="E3721" t="s">
        <v>296</v>
      </c>
      <c r="F3721">
        <v>15</v>
      </c>
      <c r="G3721">
        <v>8.1583333333333297</v>
      </c>
    </row>
    <row r="3722" spans="1:7" x14ac:dyDescent="0.35">
      <c r="A3722" t="s">
        <v>847</v>
      </c>
      <c r="B3722" t="s">
        <v>680</v>
      </c>
      <c r="C3722" s="83">
        <v>46132</v>
      </c>
      <c r="D3722" t="s">
        <v>683</v>
      </c>
      <c r="E3722" t="s">
        <v>334</v>
      </c>
      <c r="F3722">
        <v>6</v>
      </c>
      <c r="G3722">
        <v>1.99095</v>
      </c>
    </row>
    <row r="3723" spans="1:7" x14ac:dyDescent="0.35">
      <c r="A3723" t="s">
        <v>847</v>
      </c>
      <c r="B3723" t="s">
        <v>680</v>
      </c>
      <c r="C3723" s="83">
        <v>46132</v>
      </c>
      <c r="D3723" t="s">
        <v>689</v>
      </c>
      <c r="E3723" t="s">
        <v>297</v>
      </c>
      <c r="F3723">
        <v>86</v>
      </c>
      <c r="G3723">
        <v>48.505650000000003</v>
      </c>
    </row>
    <row r="3724" spans="1:7" x14ac:dyDescent="0.35">
      <c r="A3724" t="s">
        <v>847</v>
      </c>
      <c r="B3724" t="s">
        <v>680</v>
      </c>
      <c r="C3724" s="83">
        <v>46132</v>
      </c>
      <c r="D3724" t="s">
        <v>689</v>
      </c>
      <c r="E3724" t="s">
        <v>296</v>
      </c>
      <c r="F3724">
        <v>16</v>
      </c>
      <c r="G3724">
        <v>10.8273166666667</v>
      </c>
    </row>
    <row r="3725" spans="1:7" x14ac:dyDescent="0.35">
      <c r="A3725" t="s">
        <v>847</v>
      </c>
      <c r="B3725" t="s">
        <v>680</v>
      </c>
      <c r="C3725" s="83">
        <v>46132</v>
      </c>
      <c r="D3725" t="s">
        <v>689</v>
      </c>
      <c r="E3725" t="s">
        <v>343</v>
      </c>
      <c r="F3725">
        <v>10</v>
      </c>
      <c r="G3725">
        <v>5.1580666666666701</v>
      </c>
    </row>
    <row r="3726" spans="1:7" x14ac:dyDescent="0.35">
      <c r="A3726" t="s">
        <v>847</v>
      </c>
      <c r="B3726" t="s">
        <v>680</v>
      </c>
      <c r="C3726" s="83">
        <v>46132</v>
      </c>
      <c r="D3726" t="s">
        <v>684</v>
      </c>
      <c r="E3726" t="s">
        <v>297</v>
      </c>
      <c r="F3726">
        <v>10</v>
      </c>
      <c r="G3726">
        <v>5.5006166666666703</v>
      </c>
    </row>
    <row r="3727" spans="1:7" x14ac:dyDescent="0.35">
      <c r="A3727" t="s">
        <v>847</v>
      </c>
      <c r="B3727" t="s">
        <v>680</v>
      </c>
      <c r="C3727" s="83">
        <v>46132</v>
      </c>
      <c r="D3727" t="s">
        <v>684</v>
      </c>
      <c r="E3727" t="s">
        <v>298</v>
      </c>
      <c r="F3727">
        <v>6</v>
      </c>
      <c r="G3727">
        <v>9.1666666666666696</v>
      </c>
    </row>
    <row r="3728" spans="1:7" x14ac:dyDescent="0.35">
      <c r="A3728" t="s">
        <v>847</v>
      </c>
      <c r="B3728" t="s">
        <v>680</v>
      </c>
      <c r="C3728" s="83">
        <v>46132</v>
      </c>
      <c r="D3728" t="s">
        <v>684</v>
      </c>
      <c r="E3728" t="s">
        <v>296</v>
      </c>
      <c r="F3728">
        <v>3</v>
      </c>
      <c r="G3728">
        <v>1.00071666666667</v>
      </c>
    </row>
    <row r="3729" spans="1:7" x14ac:dyDescent="0.35">
      <c r="A3729" t="s">
        <v>847</v>
      </c>
      <c r="B3729" t="s">
        <v>680</v>
      </c>
      <c r="C3729" s="83">
        <v>46132</v>
      </c>
      <c r="D3729" t="s">
        <v>687</v>
      </c>
      <c r="E3729" t="s">
        <v>726</v>
      </c>
      <c r="F3729">
        <v>9</v>
      </c>
      <c r="G3729">
        <v>17.670716666666699</v>
      </c>
    </row>
    <row r="3730" spans="1:7" x14ac:dyDescent="0.35">
      <c r="A3730" t="s">
        <v>847</v>
      </c>
      <c r="B3730" t="s">
        <v>680</v>
      </c>
      <c r="C3730" s="83">
        <v>46132</v>
      </c>
      <c r="D3730" t="s">
        <v>687</v>
      </c>
      <c r="E3730" t="s">
        <v>762</v>
      </c>
      <c r="F3730">
        <v>6</v>
      </c>
      <c r="G3730">
        <v>3.8121999999999998</v>
      </c>
    </row>
    <row r="3731" spans="1:7" x14ac:dyDescent="0.35">
      <c r="A3731" t="s">
        <v>847</v>
      </c>
      <c r="B3731" t="s">
        <v>680</v>
      </c>
      <c r="C3731" s="83">
        <v>46132</v>
      </c>
      <c r="D3731" t="s">
        <v>687</v>
      </c>
      <c r="E3731" t="s">
        <v>746</v>
      </c>
      <c r="F3731">
        <v>6</v>
      </c>
      <c r="G3731">
        <v>1.15356666666667</v>
      </c>
    </row>
    <row r="3732" spans="1:7" x14ac:dyDescent="0.35">
      <c r="A3732" t="s">
        <v>847</v>
      </c>
      <c r="B3732" t="s">
        <v>680</v>
      </c>
      <c r="C3732" s="83">
        <v>46132</v>
      </c>
      <c r="D3732" t="s">
        <v>688</v>
      </c>
      <c r="E3732" t="s">
        <v>311</v>
      </c>
      <c r="F3732">
        <v>15</v>
      </c>
      <c r="G3732">
        <v>7.4664666666666699</v>
      </c>
    </row>
    <row r="3733" spans="1:7" x14ac:dyDescent="0.35">
      <c r="A3733" t="s">
        <v>847</v>
      </c>
      <c r="B3733" t="s">
        <v>680</v>
      </c>
      <c r="C3733" s="83">
        <v>46132</v>
      </c>
      <c r="D3733" t="s">
        <v>688</v>
      </c>
      <c r="E3733" t="s">
        <v>316</v>
      </c>
      <c r="F3733">
        <v>5</v>
      </c>
      <c r="G3733">
        <v>1.6606000000000001</v>
      </c>
    </row>
    <row r="3734" spans="1:7" x14ac:dyDescent="0.35">
      <c r="A3734" t="s">
        <v>847</v>
      </c>
      <c r="B3734" t="s">
        <v>680</v>
      </c>
      <c r="C3734" s="83">
        <v>46132</v>
      </c>
      <c r="D3734" t="s">
        <v>688</v>
      </c>
      <c r="E3734" t="s">
        <v>322</v>
      </c>
      <c r="F3734">
        <v>2</v>
      </c>
      <c r="G3734">
        <v>0.67515000000000003</v>
      </c>
    </row>
    <row r="3735" spans="1:7" x14ac:dyDescent="0.35">
      <c r="A3735" t="s">
        <v>847</v>
      </c>
      <c r="B3735" t="s">
        <v>680</v>
      </c>
      <c r="C3735" s="83">
        <v>46132</v>
      </c>
      <c r="D3735" t="s">
        <v>690</v>
      </c>
      <c r="E3735" t="s">
        <v>311</v>
      </c>
      <c r="F3735">
        <v>20</v>
      </c>
      <c r="G3735">
        <v>8.4613166666666704</v>
      </c>
    </row>
    <row r="3736" spans="1:7" x14ac:dyDescent="0.35">
      <c r="A3736" t="s">
        <v>847</v>
      </c>
      <c r="B3736" t="s">
        <v>680</v>
      </c>
      <c r="C3736" s="83">
        <v>46132</v>
      </c>
      <c r="D3736" t="s">
        <v>690</v>
      </c>
      <c r="E3736" t="s">
        <v>723</v>
      </c>
      <c r="F3736">
        <v>7</v>
      </c>
      <c r="G3736">
        <v>10.6723833333333</v>
      </c>
    </row>
    <row r="3737" spans="1:7" x14ac:dyDescent="0.35">
      <c r="A3737" t="s">
        <v>847</v>
      </c>
      <c r="B3737" t="s">
        <v>680</v>
      </c>
      <c r="C3737" s="83">
        <v>46132</v>
      </c>
      <c r="D3737" t="s">
        <v>690</v>
      </c>
      <c r="E3737" t="s">
        <v>126</v>
      </c>
      <c r="F3737">
        <v>3</v>
      </c>
      <c r="G3737">
        <v>2.50095</v>
      </c>
    </row>
    <row r="3738" spans="1:7" x14ac:dyDescent="0.35">
      <c r="A3738" t="s">
        <v>847</v>
      </c>
      <c r="B3738" t="s">
        <v>680</v>
      </c>
      <c r="C3738" s="83">
        <v>46132</v>
      </c>
      <c r="D3738" t="s">
        <v>685</v>
      </c>
      <c r="E3738" t="s">
        <v>640</v>
      </c>
      <c r="F3738">
        <v>2</v>
      </c>
      <c r="G3738">
        <v>2.8321499999999999</v>
      </c>
    </row>
    <row r="3739" spans="1:7" x14ac:dyDescent="0.35">
      <c r="A3739" t="s">
        <v>847</v>
      </c>
      <c r="B3739" t="s">
        <v>680</v>
      </c>
      <c r="C3739" s="83">
        <v>46132</v>
      </c>
      <c r="D3739" t="s">
        <v>685</v>
      </c>
      <c r="E3739" t="s">
        <v>723</v>
      </c>
      <c r="F3739">
        <v>2</v>
      </c>
      <c r="G3739">
        <v>0.66735</v>
      </c>
    </row>
    <row r="3740" spans="1:7" x14ac:dyDescent="0.35">
      <c r="A3740" t="s">
        <v>847</v>
      </c>
      <c r="B3740" t="s">
        <v>680</v>
      </c>
      <c r="C3740" s="83">
        <v>46132</v>
      </c>
      <c r="D3740" t="s">
        <v>685</v>
      </c>
      <c r="E3740" t="s">
        <v>311</v>
      </c>
      <c r="F3740">
        <v>2</v>
      </c>
      <c r="G3740">
        <v>0.50048333333333295</v>
      </c>
    </row>
    <row r="3741" spans="1:7" x14ac:dyDescent="0.35">
      <c r="A3741" t="s">
        <v>847</v>
      </c>
      <c r="B3741" t="s">
        <v>680</v>
      </c>
      <c r="C3741" s="83">
        <v>46133</v>
      </c>
      <c r="D3741" t="s">
        <v>681</v>
      </c>
      <c r="E3741" t="s">
        <v>298</v>
      </c>
      <c r="F3741">
        <v>15</v>
      </c>
      <c r="G3741">
        <v>17.495166666666702</v>
      </c>
    </row>
    <row r="3742" spans="1:7" x14ac:dyDescent="0.35">
      <c r="A3742" t="s">
        <v>847</v>
      </c>
      <c r="B3742" t="s">
        <v>680</v>
      </c>
      <c r="C3742" s="83">
        <v>46133</v>
      </c>
      <c r="D3742" t="s">
        <v>681</v>
      </c>
      <c r="E3742" t="s">
        <v>297</v>
      </c>
      <c r="F3742">
        <v>10</v>
      </c>
      <c r="G3742">
        <v>3.0156666666666698</v>
      </c>
    </row>
    <row r="3743" spans="1:7" x14ac:dyDescent="0.35">
      <c r="A3743" t="s">
        <v>847</v>
      </c>
      <c r="B3743" t="s">
        <v>680</v>
      </c>
      <c r="C3743" s="83">
        <v>46133</v>
      </c>
      <c r="D3743" t="s">
        <v>681</v>
      </c>
      <c r="E3743" t="s">
        <v>334</v>
      </c>
      <c r="F3743">
        <v>7</v>
      </c>
      <c r="G3743">
        <v>5.8341166666666702</v>
      </c>
    </row>
    <row r="3744" spans="1:7" x14ac:dyDescent="0.35">
      <c r="A3744" t="s">
        <v>847</v>
      </c>
      <c r="B3744" t="s">
        <v>680</v>
      </c>
      <c r="C3744" s="83">
        <v>46133</v>
      </c>
      <c r="D3744" t="s">
        <v>683</v>
      </c>
      <c r="E3744" t="s">
        <v>298</v>
      </c>
      <c r="F3744">
        <v>31</v>
      </c>
      <c r="G3744">
        <v>44.805766666666699</v>
      </c>
    </row>
    <row r="3745" spans="1:7" x14ac:dyDescent="0.35">
      <c r="A3745" t="s">
        <v>847</v>
      </c>
      <c r="B3745" t="s">
        <v>680</v>
      </c>
      <c r="C3745" s="83">
        <v>46133</v>
      </c>
      <c r="D3745" t="s">
        <v>683</v>
      </c>
      <c r="E3745" t="s">
        <v>334</v>
      </c>
      <c r="F3745">
        <v>8</v>
      </c>
      <c r="G3745">
        <v>50.821950000000001</v>
      </c>
    </row>
    <row r="3746" spans="1:7" x14ac:dyDescent="0.35">
      <c r="A3746" t="s">
        <v>847</v>
      </c>
      <c r="B3746" t="s">
        <v>680</v>
      </c>
      <c r="C3746" s="83">
        <v>46133</v>
      </c>
      <c r="D3746" t="s">
        <v>683</v>
      </c>
      <c r="E3746" t="s">
        <v>736</v>
      </c>
      <c r="F3746">
        <v>6</v>
      </c>
      <c r="G3746">
        <v>21.348583333333298</v>
      </c>
    </row>
    <row r="3747" spans="1:7" x14ac:dyDescent="0.35">
      <c r="A3747" t="s">
        <v>847</v>
      </c>
      <c r="B3747" t="s">
        <v>680</v>
      </c>
      <c r="C3747" s="83">
        <v>46133</v>
      </c>
      <c r="D3747" t="s">
        <v>689</v>
      </c>
      <c r="E3747" t="s">
        <v>298</v>
      </c>
      <c r="F3747">
        <v>14</v>
      </c>
      <c r="G3747">
        <v>9.4896999999999991</v>
      </c>
    </row>
    <row r="3748" spans="1:7" x14ac:dyDescent="0.35">
      <c r="A3748" t="s">
        <v>847</v>
      </c>
      <c r="B3748" t="s">
        <v>680</v>
      </c>
      <c r="C3748" s="83">
        <v>46133</v>
      </c>
      <c r="D3748" t="s">
        <v>689</v>
      </c>
      <c r="E3748" t="s">
        <v>297</v>
      </c>
      <c r="F3748">
        <v>12</v>
      </c>
      <c r="G3748">
        <v>6.6658166666666698</v>
      </c>
    </row>
    <row r="3749" spans="1:7" x14ac:dyDescent="0.35">
      <c r="A3749" t="s">
        <v>847</v>
      </c>
      <c r="B3749" t="s">
        <v>680</v>
      </c>
      <c r="C3749" s="83">
        <v>46133</v>
      </c>
      <c r="D3749" t="s">
        <v>689</v>
      </c>
      <c r="E3749" t="s">
        <v>304</v>
      </c>
      <c r="F3749">
        <v>8</v>
      </c>
      <c r="G3749">
        <v>4.68445</v>
      </c>
    </row>
    <row r="3750" spans="1:7" x14ac:dyDescent="0.35">
      <c r="A3750" t="s">
        <v>847</v>
      </c>
      <c r="B3750" t="s">
        <v>680</v>
      </c>
      <c r="C3750" s="83">
        <v>46133</v>
      </c>
      <c r="D3750" t="s">
        <v>684</v>
      </c>
      <c r="E3750" t="s">
        <v>297</v>
      </c>
      <c r="F3750">
        <v>5</v>
      </c>
      <c r="G3750">
        <v>1.9959499999999999</v>
      </c>
    </row>
    <row r="3751" spans="1:7" x14ac:dyDescent="0.35">
      <c r="A3751" t="s">
        <v>847</v>
      </c>
      <c r="B3751" t="s">
        <v>680</v>
      </c>
      <c r="C3751" s="83">
        <v>46133</v>
      </c>
      <c r="D3751" t="s">
        <v>684</v>
      </c>
      <c r="E3751" t="s">
        <v>304</v>
      </c>
      <c r="F3751">
        <v>3</v>
      </c>
      <c r="G3751">
        <v>143.8372</v>
      </c>
    </row>
    <row r="3752" spans="1:7" x14ac:dyDescent="0.35">
      <c r="A3752" t="s">
        <v>847</v>
      </c>
      <c r="B3752" t="s">
        <v>680</v>
      </c>
      <c r="C3752" s="83">
        <v>46133</v>
      </c>
      <c r="D3752" t="s">
        <v>684</v>
      </c>
      <c r="E3752" t="s">
        <v>728</v>
      </c>
      <c r="F3752">
        <v>2</v>
      </c>
      <c r="G3752">
        <v>0.16700000000000001</v>
      </c>
    </row>
    <row r="3753" spans="1:7" x14ac:dyDescent="0.35">
      <c r="A3753" t="s">
        <v>847</v>
      </c>
      <c r="B3753" t="s">
        <v>680</v>
      </c>
      <c r="C3753" s="83">
        <v>46133</v>
      </c>
      <c r="D3753" t="s">
        <v>687</v>
      </c>
      <c r="E3753" t="s">
        <v>752</v>
      </c>
      <c r="F3753">
        <v>11</v>
      </c>
      <c r="G3753">
        <v>5.3469333333333298</v>
      </c>
    </row>
    <row r="3754" spans="1:7" x14ac:dyDescent="0.35">
      <c r="A3754" t="s">
        <v>847</v>
      </c>
      <c r="B3754" t="s">
        <v>680</v>
      </c>
      <c r="C3754" s="83">
        <v>46133</v>
      </c>
      <c r="D3754" t="s">
        <v>687</v>
      </c>
      <c r="E3754" t="s">
        <v>729</v>
      </c>
      <c r="F3754">
        <v>2</v>
      </c>
      <c r="G3754">
        <v>0.65968333333333296</v>
      </c>
    </row>
    <row r="3755" spans="1:7" x14ac:dyDescent="0.35">
      <c r="A3755" t="s">
        <v>847</v>
      </c>
      <c r="B3755" t="s">
        <v>680</v>
      </c>
      <c r="C3755" s="83">
        <v>46133</v>
      </c>
      <c r="D3755" t="s">
        <v>687</v>
      </c>
      <c r="E3755" t="s">
        <v>733</v>
      </c>
      <c r="F3755">
        <v>2</v>
      </c>
      <c r="G3755">
        <v>2.6664666666666701</v>
      </c>
    </row>
    <row r="3756" spans="1:7" x14ac:dyDescent="0.35">
      <c r="A3756" t="s">
        <v>847</v>
      </c>
      <c r="B3756" t="s">
        <v>680</v>
      </c>
      <c r="C3756" s="83">
        <v>46133</v>
      </c>
      <c r="D3756" t="s">
        <v>688</v>
      </c>
      <c r="E3756" t="s">
        <v>311</v>
      </c>
      <c r="F3756">
        <v>14</v>
      </c>
      <c r="G3756">
        <v>8.1659333333333404</v>
      </c>
    </row>
    <row r="3757" spans="1:7" x14ac:dyDescent="0.35">
      <c r="A3757" t="s">
        <v>847</v>
      </c>
      <c r="B3757" t="s">
        <v>680</v>
      </c>
      <c r="C3757" s="83">
        <v>46133</v>
      </c>
      <c r="D3757" t="s">
        <v>688</v>
      </c>
      <c r="E3757" t="s">
        <v>312</v>
      </c>
      <c r="F3757">
        <v>13</v>
      </c>
      <c r="G3757">
        <v>22.647950000000002</v>
      </c>
    </row>
    <row r="3758" spans="1:7" x14ac:dyDescent="0.35">
      <c r="A3758" t="s">
        <v>847</v>
      </c>
      <c r="B3758" t="s">
        <v>680</v>
      </c>
      <c r="C3758" s="83">
        <v>46133</v>
      </c>
      <c r="D3758" t="s">
        <v>688</v>
      </c>
      <c r="E3758" t="s">
        <v>720</v>
      </c>
      <c r="F3758">
        <v>10</v>
      </c>
      <c r="G3758">
        <v>5.30603333333333</v>
      </c>
    </row>
    <row r="3759" spans="1:7" x14ac:dyDescent="0.35">
      <c r="A3759" t="s">
        <v>847</v>
      </c>
      <c r="B3759" t="s">
        <v>680</v>
      </c>
      <c r="C3759" s="83">
        <v>46133</v>
      </c>
      <c r="D3759" t="s">
        <v>690</v>
      </c>
      <c r="E3759" t="s">
        <v>720</v>
      </c>
      <c r="F3759">
        <v>8</v>
      </c>
      <c r="G3759">
        <v>10.4807666666667</v>
      </c>
    </row>
    <row r="3760" spans="1:7" x14ac:dyDescent="0.35">
      <c r="A3760" t="s">
        <v>847</v>
      </c>
      <c r="B3760" t="s">
        <v>680</v>
      </c>
      <c r="C3760" s="83">
        <v>46133</v>
      </c>
      <c r="D3760" t="s">
        <v>690</v>
      </c>
      <c r="E3760" t="s">
        <v>311</v>
      </c>
      <c r="F3760">
        <v>6</v>
      </c>
      <c r="G3760">
        <v>5.6601999999999997</v>
      </c>
    </row>
    <row r="3761" spans="1:7" x14ac:dyDescent="0.35">
      <c r="A3761" t="s">
        <v>847</v>
      </c>
      <c r="B3761" t="s">
        <v>680</v>
      </c>
      <c r="C3761" s="83">
        <v>46133</v>
      </c>
      <c r="D3761" t="s">
        <v>690</v>
      </c>
      <c r="E3761" t="s">
        <v>316</v>
      </c>
      <c r="F3761">
        <v>5</v>
      </c>
      <c r="G3761">
        <v>2.84188333333333</v>
      </c>
    </row>
    <row r="3762" spans="1:7" x14ac:dyDescent="0.35">
      <c r="A3762" t="s">
        <v>847</v>
      </c>
      <c r="B3762" t="s">
        <v>680</v>
      </c>
      <c r="C3762" s="83">
        <v>46133</v>
      </c>
      <c r="D3762" t="s">
        <v>685</v>
      </c>
      <c r="E3762" t="s">
        <v>311</v>
      </c>
      <c r="F3762">
        <v>14</v>
      </c>
      <c r="G3762">
        <v>6.1667166666666704</v>
      </c>
    </row>
    <row r="3763" spans="1:7" x14ac:dyDescent="0.35">
      <c r="A3763" t="s">
        <v>847</v>
      </c>
      <c r="B3763" t="s">
        <v>680</v>
      </c>
      <c r="C3763" s="83">
        <v>46133</v>
      </c>
      <c r="D3763" t="s">
        <v>685</v>
      </c>
      <c r="E3763" t="s">
        <v>316</v>
      </c>
      <c r="F3763">
        <v>9</v>
      </c>
      <c r="G3763">
        <v>6.8326333333333302</v>
      </c>
    </row>
    <row r="3764" spans="1:7" x14ac:dyDescent="0.35">
      <c r="A3764" t="s">
        <v>847</v>
      </c>
      <c r="B3764" t="s">
        <v>680</v>
      </c>
      <c r="C3764" s="83">
        <v>46133</v>
      </c>
      <c r="D3764" t="s">
        <v>685</v>
      </c>
      <c r="E3764" t="s">
        <v>321</v>
      </c>
      <c r="F3764">
        <v>6</v>
      </c>
      <c r="G3764">
        <v>4.1703000000000001</v>
      </c>
    </row>
    <row r="3765" spans="1:7" x14ac:dyDescent="0.35">
      <c r="A3765" t="s">
        <v>847</v>
      </c>
      <c r="B3765" t="s">
        <v>680</v>
      </c>
      <c r="C3765" s="83">
        <v>46134</v>
      </c>
      <c r="D3765" t="s">
        <v>681</v>
      </c>
      <c r="E3765" t="s">
        <v>300</v>
      </c>
      <c r="F3765">
        <v>12</v>
      </c>
      <c r="G3765">
        <v>4.99163333333333</v>
      </c>
    </row>
    <row r="3766" spans="1:7" x14ac:dyDescent="0.35">
      <c r="A3766" t="s">
        <v>847</v>
      </c>
      <c r="B3766" t="s">
        <v>680</v>
      </c>
      <c r="C3766" s="83">
        <v>46134</v>
      </c>
      <c r="D3766" t="s">
        <v>681</v>
      </c>
      <c r="E3766" t="s">
        <v>297</v>
      </c>
      <c r="F3766">
        <v>10</v>
      </c>
      <c r="G3766">
        <v>4.6594333333333298</v>
      </c>
    </row>
    <row r="3767" spans="1:7" x14ac:dyDescent="0.35">
      <c r="A3767" t="s">
        <v>847</v>
      </c>
      <c r="B3767" t="s">
        <v>680</v>
      </c>
      <c r="C3767" s="83">
        <v>46134</v>
      </c>
      <c r="D3767" t="s">
        <v>681</v>
      </c>
      <c r="E3767" t="s">
        <v>334</v>
      </c>
      <c r="F3767">
        <v>6</v>
      </c>
      <c r="G3767">
        <v>6.3181833333333302</v>
      </c>
    </row>
    <row r="3768" spans="1:7" x14ac:dyDescent="0.35">
      <c r="A3768" t="s">
        <v>847</v>
      </c>
      <c r="B3768" t="s">
        <v>680</v>
      </c>
      <c r="C3768" s="83">
        <v>46134</v>
      </c>
      <c r="D3768" t="s">
        <v>683</v>
      </c>
      <c r="E3768" t="s">
        <v>298</v>
      </c>
      <c r="F3768">
        <v>12</v>
      </c>
      <c r="G3768">
        <v>6.8282499999999997</v>
      </c>
    </row>
    <row r="3769" spans="1:7" x14ac:dyDescent="0.35">
      <c r="A3769" t="s">
        <v>847</v>
      </c>
      <c r="B3769" t="s">
        <v>680</v>
      </c>
      <c r="C3769" s="83">
        <v>46134</v>
      </c>
      <c r="D3769" t="s">
        <v>683</v>
      </c>
      <c r="E3769" t="s">
        <v>300</v>
      </c>
      <c r="F3769">
        <v>9</v>
      </c>
      <c r="G3769">
        <v>4.4911833333333302</v>
      </c>
    </row>
    <row r="3770" spans="1:7" x14ac:dyDescent="0.35">
      <c r="A3770" t="s">
        <v>847</v>
      </c>
      <c r="B3770" t="s">
        <v>680</v>
      </c>
      <c r="C3770" s="83">
        <v>46134</v>
      </c>
      <c r="D3770" t="s">
        <v>683</v>
      </c>
      <c r="E3770" t="s">
        <v>730</v>
      </c>
      <c r="F3770">
        <v>7</v>
      </c>
      <c r="G3770">
        <v>2.8469833333333301</v>
      </c>
    </row>
    <row r="3771" spans="1:7" x14ac:dyDescent="0.35">
      <c r="A3771" t="s">
        <v>847</v>
      </c>
      <c r="B3771" t="s">
        <v>680</v>
      </c>
      <c r="C3771" s="83">
        <v>46134</v>
      </c>
      <c r="D3771" t="s">
        <v>689</v>
      </c>
      <c r="E3771" t="s">
        <v>298</v>
      </c>
      <c r="F3771">
        <v>19</v>
      </c>
      <c r="G3771">
        <v>17.1447</v>
      </c>
    </row>
    <row r="3772" spans="1:7" x14ac:dyDescent="0.35">
      <c r="A3772" t="s">
        <v>847</v>
      </c>
      <c r="B3772" t="s">
        <v>680</v>
      </c>
      <c r="C3772" s="83">
        <v>46134</v>
      </c>
      <c r="D3772" t="s">
        <v>689</v>
      </c>
      <c r="E3772" t="s">
        <v>300</v>
      </c>
      <c r="F3772">
        <v>7</v>
      </c>
      <c r="G3772">
        <v>2.4974333333333298</v>
      </c>
    </row>
    <row r="3773" spans="1:7" x14ac:dyDescent="0.35">
      <c r="A3773" t="s">
        <v>847</v>
      </c>
      <c r="B3773" t="s">
        <v>680</v>
      </c>
      <c r="C3773" s="83">
        <v>46134</v>
      </c>
      <c r="D3773" t="s">
        <v>689</v>
      </c>
      <c r="E3773" t="s">
        <v>343</v>
      </c>
      <c r="F3773">
        <v>6</v>
      </c>
      <c r="G3773">
        <v>2.1509166666666699</v>
      </c>
    </row>
    <row r="3774" spans="1:7" x14ac:dyDescent="0.35">
      <c r="A3774" t="s">
        <v>847</v>
      </c>
      <c r="B3774" t="s">
        <v>680</v>
      </c>
      <c r="C3774" s="83">
        <v>46134</v>
      </c>
      <c r="D3774" t="s">
        <v>684</v>
      </c>
      <c r="E3774" t="s">
        <v>304</v>
      </c>
      <c r="F3774">
        <v>5</v>
      </c>
      <c r="G3774">
        <v>7.1744500000000002</v>
      </c>
    </row>
    <row r="3775" spans="1:7" x14ac:dyDescent="0.35">
      <c r="A3775" t="s">
        <v>847</v>
      </c>
      <c r="B3775" t="s">
        <v>680</v>
      </c>
      <c r="C3775" s="83">
        <v>46134</v>
      </c>
      <c r="D3775" t="s">
        <v>684</v>
      </c>
      <c r="E3775" t="s">
        <v>297</v>
      </c>
      <c r="F3775">
        <v>5</v>
      </c>
      <c r="G3775">
        <v>1.1607166666666699</v>
      </c>
    </row>
    <row r="3776" spans="1:7" x14ac:dyDescent="0.35">
      <c r="A3776" t="s">
        <v>847</v>
      </c>
      <c r="B3776" t="s">
        <v>680</v>
      </c>
      <c r="C3776" s="83">
        <v>46134</v>
      </c>
      <c r="D3776" t="s">
        <v>684</v>
      </c>
      <c r="E3776" t="s">
        <v>300</v>
      </c>
      <c r="F3776">
        <v>3</v>
      </c>
      <c r="G3776">
        <v>2.1635499999999999</v>
      </c>
    </row>
    <row r="3777" spans="1:7" x14ac:dyDescent="0.35">
      <c r="A3777" t="s">
        <v>847</v>
      </c>
      <c r="B3777" t="s">
        <v>680</v>
      </c>
      <c r="C3777" s="83">
        <v>46134</v>
      </c>
      <c r="D3777" t="s">
        <v>687</v>
      </c>
      <c r="E3777" t="s">
        <v>717</v>
      </c>
      <c r="F3777">
        <v>4</v>
      </c>
      <c r="G3777">
        <v>7.1634333333333302</v>
      </c>
    </row>
    <row r="3778" spans="1:7" x14ac:dyDescent="0.35">
      <c r="A3778" t="s">
        <v>847</v>
      </c>
      <c r="B3778" t="s">
        <v>680</v>
      </c>
      <c r="C3778" s="83">
        <v>46134</v>
      </c>
      <c r="D3778" t="s">
        <v>687</v>
      </c>
      <c r="E3778" t="s">
        <v>726</v>
      </c>
      <c r="F3778">
        <v>4</v>
      </c>
      <c r="G3778">
        <v>6.84148333333333</v>
      </c>
    </row>
    <row r="3779" spans="1:7" x14ac:dyDescent="0.35">
      <c r="A3779" t="s">
        <v>847</v>
      </c>
      <c r="B3779" t="s">
        <v>680</v>
      </c>
      <c r="C3779" s="83">
        <v>46134</v>
      </c>
      <c r="D3779" t="s">
        <v>687</v>
      </c>
      <c r="E3779" t="s">
        <v>729</v>
      </c>
      <c r="F3779">
        <v>2</v>
      </c>
      <c r="G3779">
        <v>0.331116666666667</v>
      </c>
    </row>
    <row r="3780" spans="1:7" x14ac:dyDescent="0.35">
      <c r="A3780" t="s">
        <v>847</v>
      </c>
      <c r="B3780" t="s">
        <v>680</v>
      </c>
      <c r="C3780" s="83">
        <v>46134</v>
      </c>
      <c r="D3780" t="s">
        <v>688</v>
      </c>
      <c r="E3780" t="s">
        <v>312</v>
      </c>
      <c r="F3780">
        <v>18</v>
      </c>
      <c r="G3780">
        <v>8.5127333333333297</v>
      </c>
    </row>
    <row r="3781" spans="1:7" x14ac:dyDescent="0.35">
      <c r="A3781" t="s">
        <v>847</v>
      </c>
      <c r="B3781" t="s">
        <v>680</v>
      </c>
      <c r="C3781" s="83">
        <v>46134</v>
      </c>
      <c r="D3781" t="s">
        <v>688</v>
      </c>
      <c r="E3781" t="s">
        <v>720</v>
      </c>
      <c r="F3781">
        <v>12</v>
      </c>
      <c r="G3781">
        <v>10.844849999999999</v>
      </c>
    </row>
    <row r="3782" spans="1:7" x14ac:dyDescent="0.35">
      <c r="A3782" t="s">
        <v>847</v>
      </c>
      <c r="B3782" t="s">
        <v>680</v>
      </c>
      <c r="C3782" s="83">
        <v>46134</v>
      </c>
      <c r="D3782" t="s">
        <v>688</v>
      </c>
      <c r="E3782" t="s">
        <v>338</v>
      </c>
      <c r="F3782">
        <v>4</v>
      </c>
      <c r="G3782">
        <v>3.6572666666666702</v>
      </c>
    </row>
    <row r="3783" spans="1:7" x14ac:dyDescent="0.35">
      <c r="A3783" t="s">
        <v>847</v>
      </c>
      <c r="B3783" t="s">
        <v>680</v>
      </c>
      <c r="C3783" s="83">
        <v>46134</v>
      </c>
      <c r="D3783" t="s">
        <v>690</v>
      </c>
      <c r="E3783" t="s">
        <v>311</v>
      </c>
      <c r="F3783">
        <v>4</v>
      </c>
      <c r="G3783">
        <v>1.50125</v>
      </c>
    </row>
    <row r="3784" spans="1:7" x14ac:dyDescent="0.35">
      <c r="A3784" t="s">
        <v>847</v>
      </c>
      <c r="B3784" t="s">
        <v>680</v>
      </c>
      <c r="C3784" s="83">
        <v>46134</v>
      </c>
      <c r="D3784" t="s">
        <v>690</v>
      </c>
      <c r="E3784" t="s">
        <v>720</v>
      </c>
      <c r="F3784">
        <v>4</v>
      </c>
      <c r="G3784">
        <v>1.66001666666667</v>
      </c>
    </row>
    <row r="3785" spans="1:7" x14ac:dyDescent="0.35">
      <c r="A3785" t="s">
        <v>847</v>
      </c>
      <c r="B3785" t="s">
        <v>680</v>
      </c>
      <c r="C3785" s="83">
        <v>46134</v>
      </c>
      <c r="D3785" t="s">
        <v>690</v>
      </c>
      <c r="E3785" t="s">
        <v>725</v>
      </c>
      <c r="F3785">
        <v>2</v>
      </c>
      <c r="G3785">
        <v>0.66720000000000002</v>
      </c>
    </row>
    <row r="3786" spans="1:7" x14ac:dyDescent="0.35">
      <c r="A3786" t="s">
        <v>847</v>
      </c>
      <c r="B3786" t="s">
        <v>680</v>
      </c>
      <c r="C3786" s="83">
        <v>46134</v>
      </c>
      <c r="D3786" t="s">
        <v>685</v>
      </c>
      <c r="E3786" t="s">
        <v>311</v>
      </c>
      <c r="F3786">
        <v>29</v>
      </c>
      <c r="G3786">
        <v>24.513533333333299</v>
      </c>
    </row>
    <row r="3787" spans="1:7" x14ac:dyDescent="0.35">
      <c r="A3787" t="s">
        <v>847</v>
      </c>
      <c r="B3787" t="s">
        <v>680</v>
      </c>
      <c r="C3787" s="83">
        <v>46134</v>
      </c>
      <c r="D3787" t="s">
        <v>685</v>
      </c>
      <c r="E3787" t="s">
        <v>312</v>
      </c>
      <c r="F3787">
        <v>19</v>
      </c>
      <c r="G3787">
        <v>13.17055</v>
      </c>
    </row>
    <row r="3788" spans="1:7" x14ac:dyDescent="0.35">
      <c r="A3788" t="s">
        <v>847</v>
      </c>
      <c r="B3788" t="s">
        <v>680</v>
      </c>
      <c r="C3788" s="83">
        <v>46134</v>
      </c>
      <c r="D3788" t="s">
        <v>685</v>
      </c>
      <c r="E3788" t="s">
        <v>720</v>
      </c>
      <c r="F3788">
        <v>8</v>
      </c>
      <c r="G3788">
        <v>5.4909999999999997</v>
      </c>
    </row>
    <row r="3789" spans="1:7" x14ac:dyDescent="0.35">
      <c r="A3789" t="s">
        <v>847</v>
      </c>
      <c r="B3789" t="s">
        <v>680</v>
      </c>
      <c r="C3789" s="83">
        <v>46135</v>
      </c>
      <c r="D3789" t="s">
        <v>681</v>
      </c>
      <c r="E3789" t="s">
        <v>297</v>
      </c>
      <c r="F3789">
        <v>32</v>
      </c>
      <c r="G3789">
        <v>12.692683333333299</v>
      </c>
    </row>
    <row r="3790" spans="1:7" x14ac:dyDescent="0.35">
      <c r="A3790" t="s">
        <v>847</v>
      </c>
      <c r="B3790" t="s">
        <v>680</v>
      </c>
      <c r="C3790" s="83">
        <v>46135</v>
      </c>
      <c r="D3790" t="s">
        <v>681</v>
      </c>
      <c r="E3790" t="s">
        <v>296</v>
      </c>
      <c r="F3790">
        <v>8</v>
      </c>
      <c r="G3790">
        <v>2.1815500000000001</v>
      </c>
    </row>
    <row r="3791" spans="1:7" x14ac:dyDescent="0.35">
      <c r="A3791" t="s">
        <v>847</v>
      </c>
      <c r="B3791" t="s">
        <v>680</v>
      </c>
      <c r="C3791" s="83">
        <v>46135</v>
      </c>
      <c r="D3791" t="s">
        <v>681</v>
      </c>
      <c r="E3791" t="s">
        <v>334</v>
      </c>
      <c r="F3791">
        <v>6</v>
      </c>
      <c r="G3791">
        <v>5.3410166666666701</v>
      </c>
    </row>
    <row r="3792" spans="1:7" x14ac:dyDescent="0.35">
      <c r="A3792" t="s">
        <v>847</v>
      </c>
      <c r="B3792" t="s">
        <v>680</v>
      </c>
      <c r="C3792" s="83">
        <v>46135</v>
      </c>
      <c r="D3792" t="s">
        <v>683</v>
      </c>
      <c r="E3792" t="s">
        <v>334</v>
      </c>
      <c r="F3792">
        <v>14</v>
      </c>
      <c r="G3792">
        <v>12.864133333333299</v>
      </c>
    </row>
    <row r="3793" spans="1:7" x14ac:dyDescent="0.35">
      <c r="A3793" t="s">
        <v>847</v>
      </c>
      <c r="B3793" t="s">
        <v>680</v>
      </c>
      <c r="C3793" s="83">
        <v>46135</v>
      </c>
      <c r="D3793" t="s">
        <v>683</v>
      </c>
      <c r="E3793" t="s">
        <v>296</v>
      </c>
      <c r="F3793">
        <v>7</v>
      </c>
      <c r="G3793">
        <v>1.82788333333333</v>
      </c>
    </row>
    <row r="3794" spans="1:7" x14ac:dyDescent="0.35">
      <c r="A3794" t="s">
        <v>847</v>
      </c>
      <c r="B3794" t="s">
        <v>680</v>
      </c>
      <c r="C3794" s="83">
        <v>46135</v>
      </c>
      <c r="D3794" t="s">
        <v>683</v>
      </c>
      <c r="E3794" t="s">
        <v>298</v>
      </c>
      <c r="F3794">
        <v>7</v>
      </c>
      <c r="G3794">
        <v>7.0054499999999997</v>
      </c>
    </row>
    <row r="3795" spans="1:7" x14ac:dyDescent="0.35">
      <c r="A3795" t="s">
        <v>847</v>
      </c>
      <c r="B3795" t="s">
        <v>680</v>
      </c>
      <c r="C3795" s="83">
        <v>46135</v>
      </c>
      <c r="D3795" t="s">
        <v>689</v>
      </c>
      <c r="E3795" t="s">
        <v>296</v>
      </c>
      <c r="F3795">
        <v>51</v>
      </c>
      <c r="G3795">
        <v>13.01585</v>
      </c>
    </row>
    <row r="3796" spans="1:7" x14ac:dyDescent="0.35">
      <c r="A3796" t="s">
        <v>847</v>
      </c>
      <c r="B3796" t="s">
        <v>680</v>
      </c>
      <c r="C3796" s="83">
        <v>46135</v>
      </c>
      <c r="D3796" t="s">
        <v>689</v>
      </c>
      <c r="E3796" t="s">
        <v>334</v>
      </c>
      <c r="F3796">
        <v>7</v>
      </c>
      <c r="G3796">
        <v>27.010833333333299</v>
      </c>
    </row>
    <row r="3797" spans="1:7" x14ac:dyDescent="0.35">
      <c r="A3797" t="s">
        <v>847</v>
      </c>
      <c r="B3797" t="s">
        <v>680</v>
      </c>
      <c r="C3797" s="83">
        <v>46135</v>
      </c>
      <c r="D3797" t="s">
        <v>689</v>
      </c>
      <c r="E3797" t="s">
        <v>300</v>
      </c>
      <c r="F3797">
        <v>6</v>
      </c>
      <c r="G3797">
        <v>3.8097333333333299</v>
      </c>
    </row>
    <row r="3798" spans="1:7" x14ac:dyDescent="0.35">
      <c r="A3798" t="s">
        <v>847</v>
      </c>
      <c r="B3798" t="s">
        <v>680</v>
      </c>
      <c r="C3798" s="83">
        <v>46135</v>
      </c>
      <c r="D3798" t="s">
        <v>684</v>
      </c>
      <c r="E3798" t="s">
        <v>296</v>
      </c>
      <c r="F3798">
        <v>44</v>
      </c>
      <c r="G3798">
        <v>23.637866666666699</v>
      </c>
    </row>
    <row r="3799" spans="1:7" x14ac:dyDescent="0.35">
      <c r="A3799" t="s">
        <v>847</v>
      </c>
      <c r="B3799" t="s">
        <v>680</v>
      </c>
      <c r="C3799" s="83">
        <v>46135</v>
      </c>
      <c r="D3799" t="s">
        <v>684</v>
      </c>
      <c r="E3799" t="s">
        <v>727</v>
      </c>
      <c r="F3799">
        <v>5</v>
      </c>
      <c r="G3799">
        <v>1.9995000000000001</v>
      </c>
    </row>
    <row r="3800" spans="1:7" x14ac:dyDescent="0.35">
      <c r="A3800" t="s">
        <v>847</v>
      </c>
      <c r="B3800" t="s">
        <v>680</v>
      </c>
      <c r="C3800" s="83">
        <v>46135</v>
      </c>
      <c r="D3800" t="s">
        <v>684</v>
      </c>
      <c r="E3800" t="s">
        <v>297</v>
      </c>
      <c r="F3800">
        <v>4</v>
      </c>
      <c r="G3800">
        <v>0.50021666666666698</v>
      </c>
    </row>
    <row r="3801" spans="1:7" x14ac:dyDescent="0.35">
      <c r="A3801" t="s">
        <v>847</v>
      </c>
      <c r="B3801" t="s">
        <v>680</v>
      </c>
      <c r="C3801" s="83">
        <v>46135</v>
      </c>
      <c r="D3801" t="s">
        <v>687</v>
      </c>
      <c r="E3801" t="s">
        <v>717</v>
      </c>
      <c r="F3801">
        <v>6</v>
      </c>
      <c r="G3801">
        <v>6.6419666666666703</v>
      </c>
    </row>
    <row r="3802" spans="1:7" x14ac:dyDescent="0.35">
      <c r="A3802" t="s">
        <v>847</v>
      </c>
      <c r="B3802" t="s">
        <v>680</v>
      </c>
      <c r="C3802" s="83">
        <v>46135</v>
      </c>
      <c r="D3802" t="s">
        <v>687</v>
      </c>
      <c r="E3802" t="s">
        <v>733</v>
      </c>
      <c r="F3802">
        <v>6</v>
      </c>
      <c r="G3802">
        <v>4.1604666666666699</v>
      </c>
    </row>
    <row r="3803" spans="1:7" x14ac:dyDescent="0.35">
      <c r="A3803" t="s">
        <v>847</v>
      </c>
      <c r="B3803" t="s">
        <v>680</v>
      </c>
      <c r="C3803" s="83">
        <v>46135</v>
      </c>
      <c r="D3803" t="s">
        <v>687</v>
      </c>
      <c r="E3803" t="s">
        <v>779</v>
      </c>
      <c r="F3803">
        <v>3</v>
      </c>
      <c r="G3803">
        <v>0.83384999999999998</v>
      </c>
    </row>
    <row r="3804" spans="1:7" x14ac:dyDescent="0.35">
      <c r="A3804" t="s">
        <v>847</v>
      </c>
      <c r="B3804" t="s">
        <v>680</v>
      </c>
      <c r="C3804" s="83">
        <v>46135</v>
      </c>
      <c r="D3804" t="s">
        <v>688</v>
      </c>
      <c r="E3804" t="s">
        <v>311</v>
      </c>
      <c r="F3804">
        <v>5</v>
      </c>
      <c r="G3804">
        <v>5.9922666666666702</v>
      </c>
    </row>
    <row r="3805" spans="1:7" x14ac:dyDescent="0.35">
      <c r="A3805" t="s">
        <v>847</v>
      </c>
      <c r="B3805" t="s">
        <v>680</v>
      </c>
      <c r="C3805" s="83">
        <v>46135</v>
      </c>
      <c r="D3805" t="s">
        <v>688</v>
      </c>
      <c r="E3805" t="s">
        <v>720</v>
      </c>
      <c r="F3805">
        <v>4</v>
      </c>
      <c r="G3805">
        <v>3.6823000000000001</v>
      </c>
    </row>
    <row r="3806" spans="1:7" x14ac:dyDescent="0.35">
      <c r="A3806" t="s">
        <v>847</v>
      </c>
      <c r="B3806" t="s">
        <v>680</v>
      </c>
      <c r="C3806" s="83">
        <v>46135</v>
      </c>
      <c r="D3806" t="s">
        <v>688</v>
      </c>
      <c r="E3806" t="s">
        <v>316</v>
      </c>
      <c r="F3806">
        <v>3</v>
      </c>
      <c r="G3806">
        <v>1.0086666666666699</v>
      </c>
    </row>
    <row r="3807" spans="1:7" x14ac:dyDescent="0.35">
      <c r="A3807" t="s">
        <v>847</v>
      </c>
      <c r="B3807" t="s">
        <v>680</v>
      </c>
      <c r="C3807" s="83">
        <v>46135</v>
      </c>
      <c r="D3807" t="s">
        <v>690</v>
      </c>
      <c r="E3807" t="s">
        <v>657</v>
      </c>
      <c r="F3807">
        <v>2</v>
      </c>
      <c r="G3807">
        <v>1.17608333333333</v>
      </c>
    </row>
    <row r="3808" spans="1:7" x14ac:dyDescent="0.35">
      <c r="A3808" t="s">
        <v>847</v>
      </c>
      <c r="B3808" t="s">
        <v>680</v>
      </c>
      <c r="C3808" s="83">
        <v>46135</v>
      </c>
      <c r="D3808" t="s">
        <v>685</v>
      </c>
      <c r="E3808" t="s">
        <v>311</v>
      </c>
      <c r="F3808">
        <v>4</v>
      </c>
      <c r="G3808">
        <v>1041.1171666666701</v>
      </c>
    </row>
    <row r="3809" spans="1:7" x14ac:dyDescent="0.35">
      <c r="A3809" t="s">
        <v>847</v>
      </c>
      <c r="B3809" t="s">
        <v>680</v>
      </c>
      <c r="C3809" s="83">
        <v>46135</v>
      </c>
      <c r="D3809" t="s">
        <v>685</v>
      </c>
      <c r="E3809" t="s">
        <v>316</v>
      </c>
      <c r="F3809">
        <v>2</v>
      </c>
      <c r="G3809">
        <v>0.16676666666666701</v>
      </c>
    </row>
    <row r="3810" spans="1:7" x14ac:dyDescent="0.35">
      <c r="A3810" t="s">
        <v>847</v>
      </c>
      <c r="B3810" t="s">
        <v>680</v>
      </c>
      <c r="C3810" s="83">
        <v>46135</v>
      </c>
      <c r="D3810" t="s">
        <v>685</v>
      </c>
      <c r="E3810" t="s">
        <v>321</v>
      </c>
      <c r="F3810">
        <v>2</v>
      </c>
      <c r="G3810">
        <v>0.33343333333333303</v>
      </c>
    </row>
    <row r="3811" spans="1:7" x14ac:dyDescent="0.35">
      <c r="A3811" t="s">
        <v>847</v>
      </c>
      <c r="B3811" t="s">
        <v>680</v>
      </c>
      <c r="C3811" s="83">
        <v>46136</v>
      </c>
      <c r="D3811" t="s">
        <v>681</v>
      </c>
      <c r="E3811" t="s">
        <v>297</v>
      </c>
      <c r="F3811">
        <v>173</v>
      </c>
      <c r="G3811">
        <v>54.793849999999999</v>
      </c>
    </row>
    <row r="3812" spans="1:7" x14ac:dyDescent="0.35">
      <c r="A3812" t="s">
        <v>847</v>
      </c>
      <c r="B3812" t="s">
        <v>680</v>
      </c>
      <c r="C3812" s="83">
        <v>46136</v>
      </c>
      <c r="D3812" t="s">
        <v>681</v>
      </c>
      <c r="E3812" t="s">
        <v>296</v>
      </c>
      <c r="F3812">
        <v>32</v>
      </c>
      <c r="G3812">
        <v>7.4944499999999996</v>
      </c>
    </row>
    <row r="3813" spans="1:7" x14ac:dyDescent="0.35">
      <c r="A3813" t="s">
        <v>847</v>
      </c>
      <c r="B3813" t="s">
        <v>680</v>
      </c>
      <c r="C3813" s="83">
        <v>46136</v>
      </c>
      <c r="D3813" t="s">
        <v>681</v>
      </c>
      <c r="E3813" t="s">
        <v>298</v>
      </c>
      <c r="F3813">
        <v>5</v>
      </c>
      <c r="G3813">
        <v>5.6608166666666699</v>
      </c>
    </row>
    <row r="3814" spans="1:7" x14ac:dyDescent="0.35">
      <c r="A3814" t="s">
        <v>847</v>
      </c>
      <c r="B3814" t="s">
        <v>680</v>
      </c>
      <c r="C3814" s="83">
        <v>46136</v>
      </c>
      <c r="D3814" t="s">
        <v>683</v>
      </c>
      <c r="E3814" t="s">
        <v>296</v>
      </c>
      <c r="F3814">
        <v>78</v>
      </c>
      <c r="G3814">
        <v>26.197883333333301</v>
      </c>
    </row>
    <row r="3815" spans="1:7" x14ac:dyDescent="0.35">
      <c r="A3815" t="s">
        <v>847</v>
      </c>
      <c r="B3815" t="s">
        <v>680</v>
      </c>
      <c r="C3815" s="83">
        <v>46136</v>
      </c>
      <c r="D3815" t="s">
        <v>683</v>
      </c>
      <c r="E3815" t="s">
        <v>297</v>
      </c>
      <c r="F3815">
        <v>44</v>
      </c>
      <c r="G3815">
        <v>15.4836166666667</v>
      </c>
    </row>
    <row r="3816" spans="1:7" x14ac:dyDescent="0.35">
      <c r="A3816" t="s">
        <v>847</v>
      </c>
      <c r="B3816" t="s">
        <v>680</v>
      </c>
      <c r="C3816" s="83">
        <v>46136</v>
      </c>
      <c r="D3816" t="s">
        <v>683</v>
      </c>
      <c r="E3816" t="s">
        <v>298</v>
      </c>
      <c r="F3816">
        <v>25</v>
      </c>
      <c r="G3816">
        <v>71.499183333333306</v>
      </c>
    </row>
    <row r="3817" spans="1:7" x14ac:dyDescent="0.35">
      <c r="A3817" t="s">
        <v>847</v>
      </c>
      <c r="B3817" t="s">
        <v>680</v>
      </c>
      <c r="C3817" s="83">
        <v>46136</v>
      </c>
      <c r="D3817" t="s">
        <v>689</v>
      </c>
      <c r="E3817" t="s">
        <v>296</v>
      </c>
      <c r="F3817">
        <v>97</v>
      </c>
      <c r="G3817">
        <v>23.811583333333299</v>
      </c>
    </row>
    <row r="3818" spans="1:7" x14ac:dyDescent="0.35">
      <c r="A3818" t="s">
        <v>847</v>
      </c>
      <c r="B3818" t="s">
        <v>680</v>
      </c>
      <c r="C3818" s="83">
        <v>46136</v>
      </c>
      <c r="D3818" t="s">
        <v>689</v>
      </c>
      <c r="E3818" t="s">
        <v>334</v>
      </c>
      <c r="F3818">
        <v>17</v>
      </c>
      <c r="G3818">
        <v>29.34825</v>
      </c>
    </row>
    <row r="3819" spans="1:7" x14ac:dyDescent="0.35">
      <c r="A3819" t="s">
        <v>847</v>
      </c>
      <c r="B3819" t="s">
        <v>680</v>
      </c>
      <c r="C3819" s="83">
        <v>46136</v>
      </c>
      <c r="D3819" t="s">
        <v>689</v>
      </c>
      <c r="E3819" t="s">
        <v>727</v>
      </c>
      <c r="F3819">
        <v>9</v>
      </c>
      <c r="G3819">
        <v>20.0092</v>
      </c>
    </row>
    <row r="3820" spans="1:7" x14ac:dyDescent="0.35">
      <c r="A3820" t="s">
        <v>847</v>
      </c>
      <c r="B3820" t="s">
        <v>680</v>
      </c>
      <c r="C3820" s="83">
        <v>46136</v>
      </c>
      <c r="D3820" t="s">
        <v>684</v>
      </c>
      <c r="E3820" t="s">
        <v>296</v>
      </c>
      <c r="F3820">
        <v>76</v>
      </c>
      <c r="G3820">
        <v>18.476133333333301</v>
      </c>
    </row>
    <row r="3821" spans="1:7" x14ac:dyDescent="0.35">
      <c r="A3821" t="s">
        <v>847</v>
      </c>
      <c r="B3821" t="s">
        <v>680</v>
      </c>
      <c r="C3821" s="83">
        <v>46136</v>
      </c>
      <c r="D3821" t="s">
        <v>684</v>
      </c>
      <c r="E3821" t="s">
        <v>297</v>
      </c>
      <c r="F3821">
        <v>18</v>
      </c>
      <c r="G3821">
        <v>4.8284833333333301</v>
      </c>
    </row>
    <row r="3822" spans="1:7" x14ac:dyDescent="0.35">
      <c r="A3822" t="s">
        <v>847</v>
      </c>
      <c r="B3822" t="s">
        <v>680</v>
      </c>
      <c r="C3822" s="83">
        <v>46136</v>
      </c>
      <c r="D3822" t="s">
        <v>684</v>
      </c>
      <c r="E3822" t="s">
        <v>298</v>
      </c>
      <c r="F3822">
        <v>5</v>
      </c>
      <c r="G3822">
        <v>8.3292666666666708</v>
      </c>
    </row>
    <row r="3823" spans="1:7" x14ac:dyDescent="0.35">
      <c r="A3823" t="s">
        <v>847</v>
      </c>
      <c r="B3823" t="s">
        <v>680</v>
      </c>
      <c r="C3823" s="83">
        <v>46136</v>
      </c>
      <c r="D3823" t="s">
        <v>687</v>
      </c>
      <c r="E3823" t="s">
        <v>735</v>
      </c>
      <c r="F3823">
        <v>3</v>
      </c>
      <c r="G3823">
        <v>20.002866666666701</v>
      </c>
    </row>
    <row r="3824" spans="1:7" x14ac:dyDescent="0.35">
      <c r="A3824" t="s">
        <v>847</v>
      </c>
      <c r="B3824" t="s">
        <v>680</v>
      </c>
      <c r="C3824" s="83">
        <v>46136</v>
      </c>
      <c r="D3824" t="s">
        <v>687</v>
      </c>
      <c r="E3824" t="s">
        <v>717</v>
      </c>
      <c r="F3824">
        <v>3</v>
      </c>
      <c r="G3824">
        <v>0.667316666666667</v>
      </c>
    </row>
    <row r="3825" spans="1:7" x14ac:dyDescent="0.35">
      <c r="A3825" t="s">
        <v>847</v>
      </c>
      <c r="B3825" t="s">
        <v>680</v>
      </c>
      <c r="C3825" s="83">
        <v>46136</v>
      </c>
      <c r="D3825" t="s">
        <v>687</v>
      </c>
      <c r="E3825" t="s">
        <v>733</v>
      </c>
      <c r="F3825">
        <v>3</v>
      </c>
      <c r="G3825">
        <v>1.16055</v>
      </c>
    </row>
    <row r="3826" spans="1:7" x14ac:dyDescent="0.35">
      <c r="A3826" t="s">
        <v>847</v>
      </c>
      <c r="B3826" t="s">
        <v>680</v>
      </c>
      <c r="C3826" s="83">
        <v>46136</v>
      </c>
      <c r="D3826" t="s">
        <v>685</v>
      </c>
      <c r="E3826" t="s">
        <v>780</v>
      </c>
      <c r="F3826">
        <v>2</v>
      </c>
      <c r="G3826">
        <v>294.25678333333298</v>
      </c>
    </row>
    <row r="3827" spans="1:7" x14ac:dyDescent="0.35">
      <c r="A3827" t="s">
        <v>847</v>
      </c>
      <c r="B3827" t="s">
        <v>680</v>
      </c>
      <c r="C3827" s="83">
        <v>46136</v>
      </c>
      <c r="D3827" t="s">
        <v>685</v>
      </c>
      <c r="E3827" t="s">
        <v>311</v>
      </c>
      <c r="F3827">
        <v>1</v>
      </c>
      <c r="G3827">
        <v>1135.7360333333299</v>
      </c>
    </row>
    <row r="3828" spans="1:7" x14ac:dyDescent="0.35">
      <c r="A3828" t="s">
        <v>847</v>
      </c>
      <c r="B3828" t="s">
        <v>680</v>
      </c>
      <c r="C3828" s="83">
        <v>46137</v>
      </c>
      <c r="D3828" t="s">
        <v>681</v>
      </c>
      <c r="E3828" t="s">
        <v>297</v>
      </c>
      <c r="F3828">
        <v>85</v>
      </c>
      <c r="G3828">
        <v>26.6787666666667</v>
      </c>
    </row>
    <row r="3829" spans="1:7" x14ac:dyDescent="0.35">
      <c r="A3829" t="s">
        <v>847</v>
      </c>
      <c r="B3829" t="s">
        <v>680</v>
      </c>
      <c r="C3829" s="83">
        <v>46137</v>
      </c>
      <c r="D3829" t="s">
        <v>681</v>
      </c>
      <c r="E3829" t="s">
        <v>296</v>
      </c>
      <c r="F3829">
        <v>45</v>
      </c>
      <c r="G3829">
        <v>35.776233333333302</v>
      </c>
    </row>
    <row r="3830" spans="1:7" x14ac:dyDescent="0.35">
      <c r="A3830" t="s">
        <v>847</v>
      </c>
      <c r="B3830" t="s">
        <v>680</v>
      </c>
      <c r="C3830" s="83">
        <v>46137</v>
      </c>
      <c r="D3830" t="s">
        <v>681</v>
      </c>
      <c r="E3830" t="s">
        <v>728</v>
      </c>
      <c r="F3830">
        <v>12</v>
      </c>
      <c r="G3830">
        <v>4.3419666666666696</v>
      </c>
    </row>
    <row r="3831" spans="1:7" x14ac:dyDescent="0.35">
      <c r="A3831" t="s">
        <v>847</v>
      </c>
      <c r="B3831" t="s">
        <v>680</v>
      </c>
      <c r="C3831" s="83">
        <v>46137</v>
      </c>
      <c r="D3831" t="s">
        <v>683</v>
      </c>
      <c r="E3831" t="s">
        <v>296</v>
      </c>
      <c r="F3831">
        <v>21</v>
      </c>
      <c r="G3831">
        <v>19.166933333333301</v>
      </c>
    </row>
    <row r="3832" spans="1:7" x14ac:dyDescent="0.35">
      <c r="A3832" t="s">
        <v>847</v>
      </c>
      <c r="B3832" t="s">
        <v>680</v>
      </c>
      <c r="C3832" s="83">
        <v>46137</v>
      </c>
      <c r="D3832" t="s">
        <v>683</v>
      </c>
      <c r="E3832" t="s">
        <v>298</v>
      </c>
      <c r="F3832">
        <v>16</v>
      </c>
      <c r="G3832">
        <v>16.659516666666701</v>
      </c>
    </row>
    <row r="3833" spans="1:7" x14ac:dyDescent="0.35">
      <c r="A3833" t="s">
        <v>847</v>
      </c>
      <c r="B3833" t="s">
        <v>680</v>
      </c>
      <c r="C3833" s="83">
        <v>46137</v>
      </c>
      <c r="D3833" t="s">
        <v>683</v>
      </c>
      <c r="E3833" t="s">
        <v>334</v>
      </c>
      <c r="F3833">
        <v>11</v>
      </c>
      <c r="G3833">
        <v>6.6569166666666701</v>
      </c>
    </row>
    <row r="3834" spans="1:7" x14ac:dyDescent="0.35">
      <c r="A3834" t="s">
        <v>847</v>
      </c>
      <c r="B3834" t="s">
        <v>680</v>
      </c>
      <c r="C3834" s="83">
        <v>46137</v>
      </c>
      <c r="D3834" t="s">
        <v>689</v>
      </c>
      <c r="E3834" t="s">
        <v>296</v>
      </c>
      <c r="F3834">
        <v>39</v>
      </c>
      <c r="G3834">
        <v>18.640916666666701</v>
      </c>
    </row>
    <row r="3835" spans="1:7" x14ac:dyDescent="0.35">
      <c r="A3835" t="s">
        <v>847</v>
      </c>
      <c r="B3835" t="s">
        <v>680</v>
      </c>
      <c r="C3835" s="83">
        <v>46137</v>
      </c>
      <c r="D3835" t="s">
        <v>689</v>
      </c>
      <c r="E3835" t="s">
        <v>727</v>
      </c>
      <c r="F3835">
        <v>20</v>
      </c>
      <c r="G3835">
        <v>33.179650000000002</v>
      </c>
    </row>
    <row r="3836" spans="1:7" x14ac:dyDescent="0.35">
      <c r="A3836" t="s">
        <v>847</v>
      </c>
      <c r="B3836" t="s">
        <v>680</v>
      </c>
      <c r="C3836" s="83">
        <v>46137</v>
      </c>
      <c r="D3836" t="s">
        <v>689</v>
      </c>
      <c r="E3836" t="s">
        <v>297</v>
      </c>
      <c r="F3836">
        <v>13</v>
      </c>
      <c r="G3836">
        <v>4.1776666666666697</v>
      </c>
    </row>
    <row r="3837" spans="1:7" x14ac:dyDescent="0.35">
      <c r="A3837" t="s">
        <v>847</v>
      </c>
      <c r="B3837" t="s">
        <v>680</v>
      </c>
      <c r="C3837" s="83">
        <v>46137</v>
      </c>
      <c r="D3837" t="s">
        <v>684</v>
      </c>
      <c r="E3837" t="s">
        <v>296</v>
      </c>
      <c r="F3837">
        <v>41</v>
      </c>
      <c r="G3837">
        <v>165.51845</v>
      </c>
    </row>
    <row r="3838" spans="1:7" x14ac:dyDescent="0.35">
      <c r="A3838" t="s">
        <v>847</v>
      </c>
      <c r="B3838" t="s">
        <v>680</v>
      </c>
      <c r="C3838" s="83">
        <v>46137</v>
      </c>
      <c r="D3838" t="s">
        <v>684</v>
      </c>
      <c r="E3838" t="s">
        <v>297</v>
      </c>
      <c r="F3838">
        <v>32</v>
      </c>
      <c r="G3838">
        <v>23.5073333333333</v>
      </c>
    </row>
    <row r="3839" spans="1:7" x14ac:dyDescent="0.35">
      <c r="A3839" t="s">
        <v>847</v>
      </c>
      <c r="B3839" t="s">
        <v>680</v>
      </c>
      <c r="C3839" s="83">
        <v>46137</v>
      </c>
      <c r="D3839" t="s">
        <v>684</v>
      </c>
      <c r="E3839" t="s">
        <v>728</v>
      </c>
      <c r="F3839">
        <v>8</v>
      </c>
      <c r="G3839">
        <v>12.001533333333301</v>
      </c>
    </row>
    <row r="3840" spans="1:7" x14ac:dyDescent="0.35">
      <c r="A3840" t="s">
        <v>847</v>
      </c>
      <c r="B3840" t="s">
        <v>680</v>
      </c>
      <c r="C3840" s="83">
        <v>46137</v>
      </c>
      <c r="D3840" t="s">
        <v>687</v>
      </c>
      <c r="E3840" t="s">
        <v>719</v>
      </c>
      <c r="F3840">
        <v>15</v>
      </c>
      <c r="G3840">
        <v>31.518266666666701</v>
      </c>
    </row>
    <row r="3841" spans="1:7" x14ac:dyDescent="0.35">
      <c r="A3841" t="s">
        <v>847</v>
      </c>
      <c r="B3841" t="s">
        <v>680</v>
      </c>
      <c r="C3841" s="83">
        <v>46137</v>
      </c>
      <c r="D3841" t="s">
        <v>687</v>
      </c>
      <c r="E3841" t="s">
        <v>745</v>
      </c>
      <c r="F3841">
        <v>6</v>
      </c>
      <c r="G3841">
        <v>6.1739333333333297</v>
      </c>
    </row>
    <row r="3842" spans="1:7" x14ac:dyDescent="0.35">
      <c r="A3842" t="s">
        <v>847</v>
      </c>
      <c r="B3842" t="s">
        <v>680</v>
      </c>
      <c r="C3842" s="83">
        <v>46137</v>
      </c>
      <c r="D3842" t="s">
        <v>687</v>
      </c>
      <c r="E3842" t="s">
        <v>729</v>
      </c>
      <c r="F3842">
        <v>6</v>
      </c>
      <c r="G3842">
        <v>4.6589499999999999</v>
      </c>
    </row>
    <row r="3843" spans="1:7" x14ac:dyDescent="0.35">
      <c r="A3843" t="s">
        <v>847</v>
      </c>
      <c r="B3843" t="s">
        <v>680</v>
      </c>
      <c r="C3843" s="83">
        <v>46137</v>
      </c>
      <c r="D3843" t="s">
        <v>688</v>
      </c>
      <c r="E3843" t="s">
        <v>312</v>
      </c>
      <c r="F3843">
        <v>8</v>
      </c>
      <c r="G3843">
        <v>5.1657999999999999</v>
      </c>
    </row>
    <row r="3844" spans="1:7" x14ac:dyDescent="0.35">
      <c r="A3844" t="s">
        <v>847</v>
      </c>
      <c r="B3844" t="s">
        <v>680</v>
      </c>
      <c r="C3844" s="83">
        <v>46137</v>
      </c>
      <c r="D3844" t="s">
        <v>688</v>
      </c>
      <c r="E3844" t="s">
        <v>316</v>
      </c>
      <c r="F3844">
        <v>8</v>
      </c>
      <c r="G3844">
        <v>4.1455500000000001</v>
      </c>
    </row>
    <row r="3845" spans="1:7" x14ac:dyDescent="0.35">
      <c r="A3845" t="s">
        <v>847</v>
      </c>
      <c r="B3845" t="s">
        <v>680</v>
      </c>
      <c r="C3845" s="83">
        <v>46137</v>
      </c>
      <c r="D3845" t="s">
        <v>688</v>
      </c>
      <c r="E3845" t="s">
        <v>311</v>
      </c>
      <c r="F3845">
        <v>6</v>
      </c>
      <c r="G3845">
        <v>7.5035166666666697</v>
      </c>
    </row>
    <row r="3846" spans="1:7" x14ac:dyDescent="0.35">
      <c r="A3846" t="s">
        <v>847</v>
      </c>
      <c r="B3846" t="s">
        <v>680</v>
      </c>
      <c r="C3846" s="83">
        <v>46137</v>
      </c>
      <c r="D3846" t="s">
        <v>690</v>
      </c>
      <c r="E3846" t="s">
        <v>311</v>
      </c>
      <c r="F3846">
        <v>5</v>
      </c>
      <c r="G3846">
        <v>1.8331166666666701</v>
      </c>
    </row>
    <row r="3847" spans="1:7" x14ac:dyDescent="0.35">
      <c r="A3847" t="s">
        <v>847</v>
      </c>
      <c r="B3847" t="s">
        <v>680</v>
      </c>
      <c r="C3847" s="83">
        <v>46137</v>
      </c>
      <c r="D3847" t="s">
        <v>690</v>
      </c>
      <c r="E3847" t="s">
        <v>337</v>
      </c>
      <c r="F3847">
        <v>3</v>
      </c>
      <c r="G3847">
        <v>1.6835833333333301</v>
      </c>
    </row>
    <row r="3848" spans="1:7" x14ac:dyDescent="0.35">
      <c r="A3848" t="s">
        <v>847</v>
      </c>
      <c r="B3848" t="s">
        <v>680</v>
      </c>
      <c r="C3848" s="83">
        <v>46137</v>
      </c>
      <c r="D3848" t="s">
        <v>690</v>
      </c>
      <c r="E3848" t="s">
        <v>322</v>
      </c>
      <c r="F3848">
        <v>2</v>
      </c>
      <c r="G3848">
        <v>0.16685</v>
      </c>
    </row>
    <row r="3849" spans="1:7" x14ac:dyDescent="0.35">
      <c r="A3849" t="s">
        <v>847</v>
      </c>
      <c r="B3849" t="s">
        <v>680</v>
      </c>
      <c r="C3849" s="83">
        <v>46137</v>
      </c>
      <c r="D3849" t="s">
        <v>685</v>
      </c>
      <c r="E3849" t="s">
        <v>312</v>
      </c>
      <c r="F3849">
        <v>24</v>
      </c>
      <c r="G3849">
        <v>12.1579833333333</v>
      </c>
    </row>
    <row r="3850" spans="1:7" x14ac:dyDescent="0.35">
      <c r="A3850" t="s">
        <v>847</v>
      </c>
      <c r="B3850" t="s">
        <v>680</v>
      </c>
      <c r="C3850" s="83">
        <v>46137</v>
      </c>
      <c r="D3850" t="s">
        <v>685</v>
      </c>
      <c r="E3850" t="s">
        <v>311</v>
      </c>
      <c r="F3850">
        <v>14</v>
      </c>
      <c r="G3850">
        <v>10.499216666666699</v>
      </c>
    </row>
    <row r="3851" spans="1:7" x14ac:dyDescent="0.35">
      <c r="A3851" t="s">
        <v>847</v>
      </c>
      <c r="B3851" t="s">
        <v>680</v>
      </c>
      <c r="C3851" s="83">
        <v>46137</v>
      </c>
      <c r="D3851" t="s">
        <v>685</v>
      </c>
      <c r="E3851" t="s">
        <v>316</v>
      </c>
      <c r="F3851">
        <v>4</v>
      </c>
      <c r="G3851">
        <v>3.3271000000000002</v>
      </c>
    </row>
    <row r="3852" spans="1:7" x14ac:dyDescent="0.35">
      <c r="A3852" t="s">
        <v>847</v>
      </c>
      <c r="B3852" t="s">
        <v>680</v>
      </c>
      <c r="C3852" s="83">
        <v>46138</v>
      </c>
      <c r="D3852" t="s">
        <v>681</v>
      </c>
      <c r="E3852" t="s">
        <v>296</v>
      </c>
      <c r="F3852">
        <v>14</v>
      </c>
      <c r="G3852">
        <v>4.3422999999999998</v>
      </c>
    </row>
    <row r="3853" spans="1:7" x14ac:dyDescent="0.35">
      <c r="A3853" t="s">
        <v>847</v>
      </c>
      <c r="B3853" t="s">
        <v>680</v>
      </c>
      <c r="C3853" s="83">
        <v>46138</v>
      </c>
      <c r="D3853" t="s">
        <v>681</v>
      </c>
      <c r="E3853" t="s">
        <v>728</v>
      </c>
      <c r="F3853">
        <v>10</v>
      </c>
      <c r="G3853">
        <v>3.16448333333333</v>
      </c>
    </row>
    <row r="3854" spans="1:7" x14ac:dyDescent="0.35">
      <c r="A3854" t="s">
        <v>847</v>
      </c>
      <c r="B3854" t="s">
        <v>680</v>
      </c>
      <c r="C3854" s="83">
        <v>46138</v>
      </c>
      <c r="D3854" t="s">
        <v>681</v>
      </c>
      <c r="E3854" t="s">
        <v>334</v>
      </c>
      <c r="F3854">
        <v>8</v>
      </c>
      <c r="G3854">
        <v>3.49865</v>
      </c>
    </row>
    <row r="3855" spans="1:7" x14ac:dyDescent="0.35">
      <c r="A3855" t="s">
        <v>847</v>
      </c>
      <c r="B3855" t="s">
        <v>680</v>
      </c>
      <c r="C3855" s="83">
        <v>46138</v>
      </c>
      <c r="D3855" t="s">
        <v>683</v>
      </c>
      <c r="E3855" t="s">
        <v>298</v>
      </c>
      <c r="F3855">
        <v>21</v>
      </c>
      <c r="G3855">
        <v>19.167933333333298</v>
      </c>
    </row>
    <row r="3856" spans="1:7" x14ac:dyDescent="0.35">
      <c r="A3856" t="s">
        <v>847</v>
      </c>
      <c r="B3856" t="s">
        <v>680</v>
      </c>
      <c r="C3856" s="83">
        <v>46138</v>
      </c>
      <c r="D3856" t="s">
        <v>683</v>
      </c>
      <c r="E3856" t="s">
        <v>296</v>
      </c>
      <c r="F3856">
        <v>14</v>
      </c>
      <c r="G3856">
        <v>7.8337500000000002</v>
      </c>
    </row>
    <row r="3857" spans="1:7" x14ac:dyDescent="0.35">
      <c r="A3857" t="s">
        <v>847</v>
      </c>
      <c r="B3857" t="s">
        <v>680</v>
      </c>
      <c r="C3857" s="83">
        <v>46138</v>
      </c>
      <c r="D3857" t="s">
        <v>683</v>
      </c>
      <c r="E3857" t="s">
        <v>727</v>
      </c>
      <c r="F3857">
        <v>13</v>
      </c>
      <c r="G3857">
        <v>3.8485666666666698</v>
      </c>
    </row>
    <row r="3858" spans="1:7" x14ac:dyDescent="0.35">
      <c r="A3858" t="s">
        <v>847</v>
      </c>
      <c r="B3858" t="s">
        <v>680</v>
      </c>
      <c r="C3858" s="83">
        <v>46138</v>
      </c>
      <c r="D3858" t="s">
        <v>689</v>
      </c>
      <c r="E3858" t="s">
        <v>296</v>
      </c>
      <c r="F3858">
        <v>46</v>
      </c>
      <c r="G3858">
        <v>24.9880666666667</v>
      </c>
    </row>
    <row r="3859" spans="1:7" x14ac:dyDescent="0.35">
      <c r="A3859" t="s">
        <v>847</v>
      </c>
      <c r="B3859" t="s">
        <v>680</v>
      </c>
      <c r="C3859" s="83">
        <v>46138</v>
      </c>
      <c r="D3859" t="s">
        <v>689</v>
      </c>
      <c r="E3859" t="s">
        <v>727</v>
      </c>
      <c r="F3859">
        <v>25</v>
      </c>
      <c r="G3859">
        <v>26.817983333333299</v>
      </c>
    </row>
    <row r="3860" spans="1:7" x14ac:dyDescent="0.35">
      <c r="A3860" t="s">
        <v>847</v>
      </c>
      <c r="B3860" t="s">
        <v>680</v>
      </c>
      <c r="C3860" s="83">
        <v>46138</v>
      </c>
      <c r="D3860" t="s">
        <v>689</v>
      </c>
      <c r="E3860" t="s">
        <v>298</v>
      </c>
      <c r="F3860">
        <v>17</v>
      </c>
      <c r="G3860">
        <v>15.1421166666667</v>
      </c>
    </row>
    <row r="3861" spans="1:7" x14ac:dyDescent="0.35">
      <c r="A3861" t="s">
        <v>847</v>
      </c>
      <c r="B3861" t="s">
        <v>680</v>
      </c>
      <c r="C3861" s="83">
        <v>46138</v>
      </c>
      <c r="D3861" t="s">
        <v>684</v>
      </c>
      <c r="E3861" t="s">
        <v>300</v>
      </c>
      <c r="F3861">
        <v>5</v>
      </c>
      <c r="G3861">
        <v>4.1659833333333296</v>
      </c>
    </row>
    <row r="3862" spans="1:7" x14ac:dyDescent="0.35">
      <c r="A3862" t="s">
        <v>847</v>
      </c>
      <c r="B3862" t="s">
        <v>680</v>
      </c>
      <c r="C3862" s="83">
        <v>46138</v>
      </c>
      <c r="D3862" t="s">
        <v>684</v>
      </c>
      <c r="E3862" t="s">
        <v>735</v>
      </c>
      <c r="F3862">
        <v>2</v>
      </c>
      <c r="G3862">
        <v>9.8338000000000001</v>
      </c>
    </row>
    <row r="3863" spans="1:7" x14ac:dyDescent="0.35">
      <c r="A3863" t="s">
        <v>847</v>
      </c>
      <c r="B3863" t="s">
        <v>680</v>
      </c>
      <c r="C3863" s="83">
        <v>46138</v>
      </c>
      <c r="D3863" t="s">
        <v>684</v>
      </c>
      <c r="E3863" t="s">
        <v>334</v>
      </c>
      <c r="F3863">
        <v>2</v>
      </c>
      <c r="G3863">
        <v>0.16693333333333299</v>
      </c>
    </row>
    <row r="3864" spans="1:7" x14ac:dyDescent="0.35">
      <c r="A3864" t="s">
        <v>847</v>
      </c>
      <c r="B3864" t="s">
        <v>680</v>
      </c>
      <c r="C3864" s="83">
        <v>46138</v>
      </c>
      <c r="D3864" t="s">
        <v>687</v>
      </c>
      <c r="E3864" t="s">
        <v>719</v>
      </c>
      <c r="F3864">
        <v>16</v>
      </c>
      <c r="G3864">
        <v>19.5110833333333</v>
      </c>
    </row>
    <row r="3865" spans="1:7" x14ac:dyDescent="0.35">
      <c r="A3865" t="s">
        <v>847</v>
      </c>
      <c r="B3865" t="s">
        <v>680</v>
      </c>
      <c r="C3865" s="83">
        <v>46138</v>
      </c>
      <c r="D3865" t="s">
        <v>687</v>
      </c>
      <c r="E3865" t="s">
        <v>745</v>
      </c>
      <c r="F3865">
        <v>3</v>
      </c>
      <c r="G3865">
        <v>0.65941666666666698</v>
      </c>
    </row>
    <row r="3866" spans="1:7" x14ac:dyDescent="0.35">
      <c r="A3866" t="s">
        <v>847</v>
      </c>
      <c r="B3866" t="s">
        <v>680</v>
      </c>
      <c r="C3866" s="83">
        <v>46138</v>
      </c>
      <c r="D3866" t="s">
        <v>687</v>
      </c>
      <c r="E3866" t="s">
        <v>729</v>
      </c>
      <c r="F3866">
        <v>2</v>
      </c>
      <c r="G3866">
        <v>0.33306666666666701</v>
      </c>
    </row>
    <row r="3867" spans="1:7" x14ac:dyDescent="0.35">
      <c r="A3867" t="s">
        <v>847</v>
      </c>
      <c r="B3867" t="s">
        <v>680</v>
      </c>
      <c r="C3867" s="83">
        <v>46138</v>
      </c>
      <c r="D3867" t="s">
        <v>688</v>
      </c>
      <c r="E3867" t="s">
        <v>311</v>
      </c>
      <c r="F3867">
        <v>31</v>
      </c>
      <c r="G3867">
        <v>22.5360333333333</v>
      </c>
    </row>
    <row r="3868" spans="1:7" x14ac:dyDescent="0.35">
      <c r="A3868" t="s">
        <v>847</v>
      </c>
      <c r="B3868" t="s">
        <v>680</v>
      </c>
      <c r="C3868" s="83">
        <v>46138</v>
      </c>
      <c r="D3868" t="s">
        <v>688</v>
      </c>
      <c r="E3868" t="s">
        <v>720</v>
      </c>
      <c r="F3868">
        <v>23</v>
      </c>
      <c r="G3868">
        <v>16.176649999999999</v>
      </c>
    </row>
    <row r="3869" spans="1:7" x14ac:dyDescent="0.35">
      <c r="A3869" t="s">
        <v>847</v>
      </c>
      <c r="B3869" t="s">
        <v>680</v>
      </c>
      <c r="C3869" s="83">
        <v>46138</v>
      </c>
      <c r="D3869" t="s">
        <v>688</v>
      </c>
      <c r="E3869" t="s">
        <v>316</v>
      </c>
      <c r="F3869">
        <v>15</v>
      </c>
      <c r="G3869">
        <v>5.1607666666666701</v>
      </c>
    </row>
    <row r="3870" spans="1:7" x14ac:dyDescent="0.35">
      <c r="A3870" t="s">
        <v>847</v>
      </c>
      <c r="B3870" t="s">
        <v>680</v>
      </c>
      <c r="C3870" s="83">
        <v>46138</v>
      </c>
      <c r="D3870" t="s">
        <v>690</v>
      </c>
      <c r="E3870" t="s">
        <v>311</v>
      </c>
      <c r="F3870">
        <v>13</v>
      </c>
      <c r="G3870">
        <v>10.4890833333333</v>
      </c>
    </row>
    <row r="3871" spans="1:7" x14ac:dyDescent="0.35">
      <c r="A3871" t="s">
        <v>847</v>
      </c>
      <c r="B3871" t="s">
        <v>680</v>
      </c>
      <c r="C3871" s="83">
        <v>46138</v>
      </c>
      <c r="D3871" t="s">
        <v>690</v>
      </c>
      <c r="E3871" t="s">
        <v>725</v>
      </c>
      <c r="F3871">
        <v>3</v>
      </c>
      <c r="G3871">
        <v>0.681483333333333</v>
      </c>
    </row>
    <row r="3872" spans="1:7" x14ac:dyDescent="0.35">
      <c r="A3872" t="s">
        <v>847</v>
      </c>
      <c r="B3872" t="s">
        <v>680</v>
      </c>
      <c r="C3872" s="83">
        <v>46138</v>
      </c>
      <c r="D3872" t="s">
        <v>690</v>
      </c>
      <c r="E3872" t="s">
        <v>312</v>
      </c>
      <c r="F3872">
        <v>3</v>
      </c>
      <c r="G3872">
        <v>0.99948333333333395</v>
      </c>
    </row>
    <row r="3873" spans="1:7" x14ac:dyDescent="0.35">
      <c r="A3873" t="s">
        <v>847</v>
      </c>
      <c r="B3873" t="s">
        <v>680</v>
      </c>
      <c r="C3873" s="83">
        <v>46138</v>
      </c>
      <c r="D3873" t="s">
        <v>685</v>
      </c>
      <c r="E3873" t="s">
        <v>312</v>
      </c>
      <c r="F3873">
        <v>27</v>
      </c>
      <c r="G3873">
        <v>15.144866666666699</v>
      </c>
    </row>
    <row r="3874" spans="1:7" x14ac:dyDescent="0.35">
      <c r="A3874" t="s">
        <v>847</v>
      </c>
      <c r="B3874" t="s">
        <v>680</v>
      </c>
      <c r="C3874" s="83">
        <v>46138</v>
      </c>
      <c r="D3874" t="s">
        <v>685</v>
      </c>
      <c r="E3874" t="s">
        <v>720</v>
      </c>
      <c r="F3874">
        <v>10</v>
      </c>
      <c r="G3874">
        <v>7.6683500000000002</v>
      </c>
    </row>
    <row r="3875" spans="1:7" x14ac:dyDescent="0.35">
      <c r="A3875" t="s">
        <v>847</v>
      </c>
      <c r="B3875" t="s">
        <v>680</v>
      </c>
      <c r="C3875" s="83">
        <v>46138</v>
      </c>
      <c r="D3875" t="s">
        <v>685</v>
      </c>
      <c r="E3875" t="s">
        <v>311</v>
      </c>
      <c r="F3875">
        <v>6</v>
      </c>
      <c r="G3875">
        <v>3.6524333333333301</v>
      </c>
    </row>
    <row r="3876" spans="1:7" x14ac:dyDescent="0.35">
      <c r="A3876" t="s">
        <v>847</v>
      </c>
      <c r="B3876" t="s">
        <v>680</v>
      </c>
      <c r="C3876" s="83">
        <v>46139</v>
      </c>
      <c r="D3876" t="s">
        <v>681</v>
      </c>
      <c r="E3876" t="s">
        <v>728</v>
      </c>
      <c r="F3876">
        <v>18</v>
      </c>
      <c r="G3876">
        <v>8.1785666666666703</v>
      </c>
    </row>
    <row r="3877" spans="1:7" x14ac:dyDescent="0.35">
      <c r="A3877" t="s">
        <v>847</v>
      </c>
      <c r="B3877" t="s">
        <v>680</v>
      </c>
      <c r="C3877" s="83">
        <v>46139</v>
      </c>
      <c r="D3877" t="s">
        <v>681</v>
      </c>
      <c r="E3877" t="s">
        <v>296</v>
      </c>
      <c r="F3877">
        <v>7</v>
      </c>
      <c r="G3877">
        <v>2.9922166666666699</v>
      </c>
    </row>
    <row r="3878" spans="1:7" x14ac:dyDescent="0.35">
      <c r="A3878" t="s">
        <v>847</v>
      </c>
      <c r="B3878" t="s">
        <v>680</v>
      </c>
      <c r="C3878" s="83">
        <v>46139</v>
      </c>
      <c r="D3878" t="s">
        <v>681</v>
      </c>
      <c r="E3878" t="s">
        <v>298</v>
      </c>
      <c r="F3878">
        <v>4</v>
      </c>
      <c r="G3878">
        <v>2.31748333333333</v>
      </c>
    </row>
    <row r="3879" spans="1:7" x14ac:dyDescent="0.35">
      <c r="A3879" t="s">
        <v>847</v>
      </c>
      <c r="B3879" t="s">
        <v>680</v>
      </c>
      <c r="C3879" s="83">
        <v>46139</v>
      </c>
      <c r="D3879" t="s">
        <v>683</v>
      </c>
      <c r="E3879" t="s">
        <v>298</v>
      </c>
      <c r="F3879">
        <v>23</v>
      </c>
      <c r="G3879">
        <v>28.706033333333298</v>
      </c>
    </row>
    <row r="3880" spans="1:7" x14ac:dyDescent="0.35">
      <c r="A3880" t="s">
        <v>847</v>
      </c>
      <c r="B3880" t="s">
        <v>680</v>
      </c>
      <c r="C3880" s="83">
        <v>46139</v>
      </c>
      <c r="D3880" t="s">
        <v>683</v>
      </c>
      <c r="E3880" t="s">
        <v>727</v>
      </c>
      <c r="F3880">
        <v>7</v>
      </c>
      <c r="G3880">
        <v>2.8432833333333298</v>
      </c>
    </row>
    <row r="3881" spans="1:7" x14ac:dyDescent="0.35">
      <c r="A3881" t="s">
        <v>847</v>
      </c>
      <c r="B3881" t="s">
        <v>680</v>
      </c>
      <c r="C3881" s="83">
        <v>46139</v>
      </c>
      <c r="D3881" t="s">
        <v>683</v>
      </c>
      <c r="E3881" t="s">
        <v>334</v>
      </c>
      <c r="F3881">
        <v>5</v>
      </c>
      <c r="G3881">
        <v>2.8226166666666699</v>
      </c>
    </row>
    <row r="3882" spans="1:7" x14ac:dyDescent="0.35">
      <c r="A3882" t="s">
        <v>847</v>
      </c>
      <c r="B3882" t="s">
        <v>680</v>
      </c>
      <c r="C3882" s="83">
        <v>46139</v>
      </c>
      <c r="D3882" t="s">
        <v>689</v>
      </c>
      <c r="E3882" t="s">
        <v>298</v>
      </c>
      <c r="F3882">
        <v>24</v>
      </c>
      <c r="G3882">
        <v>27.4875333333333</v>
      </c>
    </row>
    <row r="3883" spans="1:7" x14ac:dyDescent="0.35">
      <c r="A3883" t="s">
        <v>847</v>
      </c>
      <c r="B3883" t="s">
        <v>680</v>
      </c>
      <c r="C3883" s="83">
        <v>46139</v>
      </c>
      <c r="D3883" t="s">
        <v>689</v>
      </c>
      <c r="E3883" t="s">
        <v>728</v>
      </c>
      <c r="F3883">
        <v>10</v>
      </c>
      <c r="G3883">
        <v>3.8344666666666698</v>
      </c>
    </row>
    <row r="3884" spans="1:7" x14ac:dyDescent="0.35">
      <c r="A3884" t="s">
        <v>847</v>
      </c>
      <c r="B3884" t="s">
        <v>680</v>
      </c>
      <c r="C3884" s="83">
        <v>46139</v>
      </c>
      <c r="D3884" t="s">
        <v>689</v>
      </c>
      <c r="E3884" t="s">
        <v>334</v>
      </c>
      <c r="F3884">
        <v>9</v>
      </c>
      <c r="G3884">
        <v>7.3235000000000001</v>
      </c>
    </row>
    <row r="3885" spans="1:7" x14ac:dyDescent="0.35">
      <c r="A3885" t="s">
        <v>847</v>
      </c>
      <c r="B3885" t="s">
        <v>680</v>
      </c>
      <c r="C3885" s="83">
        <v>46139</v>
      </c>
      <c r="D3885" t="s">
        <v>684</v>
      </c>
      <c r="E3885" t="s">
        <v>300</v>
      </c>
      <c r="F3885">
        <v>5</v>
      </c>
      <c r="G3885">
        <v>5.8246333333333302</v>
      </c>
    </row>
    <row r="3886" spans="1:7" x14ac:dyDescent="0.35">
      <c r="A3886" t="s">
        <v>847</v>
      </c>
      <c r="B3886" t="s">
        <v>680</v>
      </c>
      <c r="C3886" s="83">
        <v>46139</v>
      </c>
      <c r="D3886" t="s">
        <v>684</v>
      </c>
      <c r="E3886" t="s">
        <v>298</v>
      </c>
      <c r="F3886">
        <v>3</v>
      </c>
      <c r="G3886">
        <v>1.1671166666666699</v>
      </c>
    </row>
    <row r="3887" spans="1:7" x14ac:dyDescent="0.35">
      <c r="A3887" t="s">
        <v>847</v>
      </c>
      <c r="B3887" t="s">
        <v>680</v>
      </c>
      <c r="C3887" s="83">
        <v>46139</v>
      </c>
      <c r="D3887" t="s">
        <v>684</v>
      </c>
      <c r="E3887" t="s">
        <v>728</v>
      </c>
      <c r="F3887">
        <v>2</v>
      </c>
      <c r="G3887">
        <v>0.1671</v>
      </c>
    </row>
    <row r="3888" spans="1:7" x14ac:dyDescent="0.35">
      <c r="A3888" t="s">
        <v>847</v>
      </c>
      <c r="B3888" t="s">
        <v>680</v>
      </c>
      <c r="C3888" s="83">
        <v>46139</v>
      </c>
      <c r="D3888" t="s">
        <v>687</v>
      </c>
      <c r="E3888" t="s">
        <v>717</v>
      </c>
      <c r="F3888">
        <v>5</v>
      </c>
      <c r="G3888">
        <v>2.84145</v>
      </c>
    </row>
    <row r="3889" spans="1:7" x14ac:dyDescent="0.35">
      <c r="A3889" t="s">
        <v>847</v>
      </c>
      <c r="B3889" t="s">
        <v>680</v>
      </c>
      <c r="C3889" s="83">
        <v>46139</v>
      </c>
      <c r="D3889" t="s">
        <v>687</v>
      </c>
      <c r="E3889" t="s">
        <v>718</v>
      </c>
      <c r="F3889">
        <v>2</v>
      </c>
      <c r="G3889">
        <v>0.159533333333333</v>
      </c>
    </row>
    <row r="3890" spans="1:7" x14ac:dyDescent="0.35">
      <c r="A3890" t="s">
        <v>847</v>
      </c>
      <c r="B3890" t="s">
        <v>680</v>
      </c>
      <c r="C3890" s="83">
        <v>46139</v>
      </c>
      <c r="D3890" t="s">
        <v>687</v>
      </c>
      <c r="E3890" t="s">
        <v>733</v>
      </c>
      <c r="F3890">
        <v>2</v>
      </c>
      <c r="G3890">
        <v>3.3406333333333298</v>
      </c>
    </row>
    <row r="3891" spans="1:7" x14ac:dyDescent="0.35">
      <c r="A3891" t="s">
        <v>847</v>
      </c>
      <c r="B3891" t="s">
        <v>680</v>
      </c>
      <c r="C3891" s="83">
        <v>46139</v>
      </c>
      <c r="D3891" t="s">
        <v>688</v>
      </c>
      <c r="E3891" t="s">
        <v>311</v>
      </c>
      <c r="F3891">
        <v>22</v>
      </c>
      <c r="G3891">
        <v>11.3526333333333</v>
      </c>
    </row>
    <row r="3892" spans="1:7" x14ac:dyDescent="0.35">
      <c r="A3892" t="s">
        <v>847</v>
      </c>
      <c r="B3892" t="s">
        <v>680</v>
      </c>
      <c r="C3892" s="83">
        <v>46139</v>
      </c>
      <c r="D3892" t="s">
        <v>688</v>
      </c>
      <c r="E3892" t="s">
        <v>720</v>
      </c>
      <c r="F3892">
        <v>15</v>
      </c>
      <c r="G3892">
        <v>7.1581000000000001</v>
      </c>
    </row>
    <row r="3893" spans="1:7" x14ac:dyDescent="0.35">
      <c r="A3893" t="s">
        <v>847</v>
      </c>
      <c r="B3893" t="s">
        <v>680</v>
      </c>
      <c r="C3893" s="83">
        <v>46139</v>
      </c>
      <c r="D3893" t="s">
        <v>688</v>
      </c>
      <c r="E3893" t="s">
        <v>126</v>
      </c>
      <c r="F3893">
        <v>7</v>
      </c>
      <c r="G3893">
        <v>3.17265</v>
      </c>
    </row>
    <row r="3894" spans="1:7" x14ac:dyDescent="0.35">
      <c r="A3894" t="s">
        <v>847</v>
      </c>
      <c r="B3894" t="s">
        <v>680</v>
      </c>
      <c r="C3894" s="83">
        <v>46139</v>
      </c>
      <c r="D3894" t="s">
        <v>690</v>
      </c>
      <c r="E3894" t="s">
        <v>322</v>
      </c>
      <c r="F3894">
        <v>3</v>
      </c>
      <c r="G3894">
        <v>7.5009666666666703</v>
      </c>
    </row>
    <row r="3895" spans="1:7" x14ac:dyDescent="0.35">
      <c r="A3895" t="s">
        <v>847</v>
      </c>
      <c r="B3895" t="s">
        <v>680</v>
      </c>
      <c r="C3895" s="83">
        <v>46139</v>
      </c>
      <c r="D3895" t="s">
        <v>690</v>
      </c>
      <c r="E3895" t="s">
        <v>349</v>
      </c>
      <c r="F3895">
        <v>2</v>
      </c>
      <c r="G3895">
        <v>7.5021000000000004</v>
      </c>
    </row>
    <row r="3896" spans="1:7" x14ac:dyDescent="0.35">
      <c r="A3896" t="s">
        <v>847</v>
      </c>
      <c r="B3896" t="s">
        <v>680</v>
      </c>
      <c r="C3896" s="83">
        <v>46139</v>
      </c>
      <c r="D3896" t="s">
        <v>690</v>
      </c>
      <c r="E3896" t="s">
        <v>772</v>
      </c>
      <c r="F3896">
        <v>2</v>
      </c>
      <c r="G3896">
        <v>2.1592166666666701</v>
      </c>
    </row>
    <row r="3897" spans="1:7" x14ac:dyDescent="0.35">
      <c r="A3897" t="s">
        <v>847</v>
      </c>
      <c r="B3897" t="s">
        <v>680</v>
      </c>
      <c r="C3897" s="83">
        <v>46139</v>
      </c>
      <c r="D3897" t="s">
        <v>685</v>
      </c>
      <c r="E3897" t="s">
        <v>311</v>
      </c>
      <c r="F3897">
        <v>10</v>
      </c>
      <c r="G3897">
        <v>9.0015999999999998</v>
      </c>
    </row>
    <row r="3898" spans="1:7" x14ac:dyDescent="0.35">
      <c r="A3898" t="s">
        <v>847</v>
      </c>
      <c r="B3898" t="s">
        <v>680</v>
      </c>
      <c r="C3898" s="83">
        <v>46139</v>
      </c>
      <c r="D3898" t="s">
        <v>685</v>
      </c>
      <c r="E3898" t="s">
        <v>316</v>
      </c>
      <c r="F3898">
        <v>5</v>
      </c>
      <c r="G3898">
        <v>11.161250000000001</v>
      </c>
    </row>
    <row r="3899" spans="1:7" x14ac:dyDescent="0.35">
      <c r="A3899" t="s">
        <v>847</v>
      </c>
      <c r="B3899" t="s">
        <v>680</v>
      </c>
      <c r="C3899" s="83">
        <v>46139</v>
      </c>
      <c r="D3899" t="s">
        <v>685</v>
      </c>
      <c r="E3899" t="s">
        <v>720</v>
      </c>
      <c r="F3899">
        <v>5</v>
      </c>
      <c r="G3899">
        <v>4.6737000000000002</v>
      </c>
    </row>
    <row r="3900" spans="1:7" x14ac:dyDescent="0.35">
      <c r="A3900" t="s">
        <v>847</v>
      </c>
      <c r="B3900" t="s">
        <v>680</v>
      </c>
      <c r="C3900" s="83">
        <v>46140</v>
      </c>
      <c r="D3900" t="s">
        <v>681</v>
      </c>
      <c r="E3900" t="s">
        <v>728</v>
      </c>
      <c r="F3900">
        <v>13</v>
      </c>
      <c r="G3900">
        <v>2.6568999999999998</v>
      </c>
    </row>
    <row r="3901" spans="1:7" x14ac:dyDescent="0.35">
      <c r="A3901" t="s">
        <v>847</v>
      </c>
      <c r="B3901" t="s">
        <v>680</v>
      </c>
      <c r="C3901" s="83">
        <v>46140</v>
      </c>
      <c r="D3901" t="s">
        <v>681</v>
      </c>
      <c r="E3901" t="s">
        <v>727</v>
      </c>
      <c r="F3901">
        <v>12</v>
      </c>
      <c r="G3901">
        <v>5.4233500000000001</v>
      </c>
    </row>
    <row r="3902" spans="1:7" x14ac:dyDescent="0.35">
      <c r="A3902" t="s">
        <v>847</v>
      </c>
      <c r="B3902" t="s">
        <v>680</v>
      </c>
      <c r="C3902" s="83">
        <v>46140</v>
      </c>
      <c r="D3902" t="s">
        <v>681</v>
      </c>
      <c r="E3902" t="s">
        <v>296</v>
      </c>
      <c r="F3902">
        <v>9</v>
      </c>
      <c r="G3902">
        <v>3.1662166666666698</v>
      </c>
    </row>
    <row r="3903" spans="1:7" x14ac:dyDescent="0.35">
      <c r="A3903" t="s">
        <v>847</v>
      </c>
      <c r="B3903" t="s">
        <v>680</v>
      </c>
      <c r="C3903" s="83">
        <v>46140</v>
      </c>
      <c r="D3903" t="s">
        <v>683</v>
      </c>
      <c r="E3903" t="s">
        <v>298</v>
      </c>
      <c r="F3903">
        <v>10</v>
      </c>
      <c r="G3903">
        <v>6.3287166666666703</v>
      </c>
    </row>
    <row r="3904" spans="1:7" x14ac:dyDescent="0.35">
      <c r="A3904" t="s">
        <v>847</v>
      </c>
      <c r="B3904" t="s">
        <v>680</v>
      </c>
      <c r="C3904" s="83">
        <v>46140</v>
      </c>
      <c r="D3904" t="s">
        <v>683</v>
      </c>
      <c r="E3904" t="s">
        <v>727</v>
      </c>
      <c r="F3904">
        <v>9</v>
      </c>
      <c r="G3904">
        <v>5.0251000000000001</v>
      </c>
    </row>
    <row r="3905" spans="1:7" x14ac:dyDescent="0.35">
      <c r="A3905" t="s">
        <v>847</v>
      </c>
      <c r="B3905" t="s">
        <v>680</v>
      </c>
      <c r="C3905" s="83">
        <v>46140</v>
      </c>
      <c r="D3905" t="s">
        <v>683</v>
      </c>
      <c r="E3905" t="s">
        <v>334</v>
      </c>
      <c r="F3905">
        <v>7</v>
      </c>
      <c r="G3905">
        <v>2.5422500000000001</v>
      </c>
    </row>
    <row r="3906" spans="1:7" x14ac:dyDescent="0.35">
      <c r="A3906" t="s">
        <v>847</v>
      </c>
      <c r="B3906" t="s">
        <v>680</v>
      </c>
      <c r="C3906" s="83">
        <v>46140</v>
      </c>
      <c r="D3906" t="s">
        <v>689</v>
      </c>
      <c r="E3906" t="s">
        <v>298</v>
      </c>
      <c r="F3906">
        <v>23</v>
      </c>
      <c r="G3906">
        <v>15.541833333333299</v>
      </c>
    </row>
    <row r="3907" spans="1:7" x14ac:dyDescent="0.35">
      <c r="A3907" t="s">
        <v>847</v>
      </c>
      <c r="B3907" t="s">
        <v>680</v>
      </c>
      <c r="C3907" s="83">
        <v>46140</v>
      </c>
      <c r="D3907" t="s">
        <v>689</v>
      </c>
      <c r="E3907" t="s">
        <v>296</v>
      </c>
      <c r="F3907">
        <v>18</v>
      </c>
      <c r="G3907">
        <v>9.3465666666666696</v>
      </c>
    </row>
    <row r="3908" spans="1:7" x14ac:dyDescent="0.35">
      <c r="A3908" t="s">
        <v>847</v>
      </c>
      <c r="B3908" t="s">
        <v>680</v>
      </c>
      <c r="C3908" s="83">
        <v>46140</v>
      </c>
      <c r="D3908" t="s">
        <v>689</v>
      </c>
      <c r="E3908" t="s">
        <v>297</v>
      </c>
      <c r="F3908">
        <v>15</v>
      </c>
      <c r="G3908">
        <v>4.4834833333333304</v>
      </c>
    </row>
    <row r="3909" spans="1:7" x14ac:dyDescent="0.35">
      <c r="A3909" t="s">
        <v>847</v>
      </c>
      <c r="B3909" t="s">
        <v>680</v>
      </c>
      <c r="C3909" s="83">
        <v>46140</v>
      </c>
      <c r="D3909" t="s">
        <v>684</v>
      </c>
      <c r="E3909" t="s">
        <v>300</v>
      </c>
      <c r="F3909">
        <v>6</v>
      </c>
      <c r="G3909">
        <v>4.6663333333333297</v>
      </c>
    </row>
    <row r="3910" spans="1:7" x14ac:dyDescent="0.35">
      <c r="A3910" t="s">
        <v>847</v>
      </c>
      <c r="B3910" t="s">
        <v>680</v>
      </c>
      <c r="C3910" s="83">
        <v>46140</v>
      </c>
      <c r="D3910" t="s">
        <v>684</v>
      </c>
      <c r="E3910" t="s">
        <v>728</v>
      </c>
      <c r="F3910">
        <v>2</v>
      </c>
      <c r="G3910">
        <v>0.83381666666666698</v>
      </c>
    </row>
    <row r="3911" spans="1:7" x14ac:dyDescent="0.35">
      <c r="A3911" t="s">
        <v>847</v>
      </c>
      <c r="B3911" t="s">
        <v>680</v>
      </c>
      <c r="C3911" s="83">
        <v>46140</v>
      </c>
      <c r="D3911" t="s">
        <v>684</v>
      </c>
      <c r="E3911" t="s">
        <v>297</v>
      </c>
      <c r="F3911">
        <v>2</v>
      </c>
      <c r="G3911">
        <v>0.168066666666667</v>
      </c>
    </row>
    <row r="3912" spans="1:7" x14ac:dyDescent="0.35">
      <c r="A3912" t="s">
        <v>847</v>
      </c>
      <c r="B3912" t="s">
        <v>680</v>
      </c>
      <c r="C3912" s="83">
        <v>46140</v>
      </c>
      <c r="D3912" t="s">
        <v>687</v>
      </c>
      <c r="E3912" t="s">
        <v>718</v>
      </c>
      <c r="F3912">
        <v>2</v>
      </c>
      <c r="G3912">
        <v>1.3491833333333301</v>
      </c>
    </row>
    <row r="3913" spans="1:7" x14ac:dyDescent="0.35">
      <c r="A3913" t="s">
        <v>847</v>
      </c>
      <c r="B3913" t="s">
        <v>680</v>
      </c>
      <c r="C3913" s="83">
        <v>46140</v>
      </c>
      <c r="D3913" t="s">
        <v>687</v>
      </c>
      <c r="E3913" t="s">
        <v>729</v>
      </c>
      <c r="F3913">
        <v>2</v>
      </c>
      <c r="G3913">
        <v>0.20680000000000001</v>
      </c>
    </row>
    <row r="3914" spans="1:7" x14ac:dyDescent="0.35">
      <c r="A3914" t="s">
        <v>847</v>
      </c>
      <c r="B3914" t="s">
        <v>680</v>
      </c>
      <c r="C3914" s="83">
        <v>46140</v>
      </c>
      <c r="D3914" t="s">
        <v>687</v>
      </c>
      <c r="E3914" t="s">
        <v>717</v>
      </c>
      <c r="F3914">
        <v>2</v>
      </c>
      <c r="G3914">
        <v>1.00193333333333</v>
      </c>
    </row>
    <row r="3915" spans="1:7" x14ac:dyDescent="0.35">
      <c r="A3915" t="s">
        <v>847</v>
      </c>
      <c r="B3915" t="s">
        <v>680</v>
      </c>
      <c r="C3915" s="83">
        <v>46140</v>
      </c>
      <c r="D3915" t="s">
        <v>688</v>
      </c>
      <c r="E3915" t="s">
        <v>311</v>
      </c>
      <c r="F3915">
        <v>45</v>
      </c>
      <c r="G3915">
        <v>32.368583333333298</v>
      </c>
    </row>
    <row r="3916" spans="1:7" x14ac:dyDescent="0.35">
      <c r="A3916" t="s">
        <v>847</v>
      </c>
      <c r="B3916" t="s">
        <v>680</v>
      </c>
      <c r="C3916" s="83">
        <v>46140</v>
      </c>
      <c r="D3916" t="s">
        <v>688</v>
      </c>
      <c r="E3916" t="s">
        <v>312</v>
      </c>
      <c r="F3916">
        <v>10</v>
      </c>
      <c r="G3916">
        <v>4.95888333333333</v>
      </c>
    </row>
    <row r="3917" spans="1:7" x14ac:dyDescent="0.35">
      <c r="A3917" t="s">
        <v>847</v>
      </c>
      <c r="B3917" t="s">
        <v>680</v>
      </c>
      <c r="C3917" s="83">
        <v>46140</v>
      </c>
      <c r="D3917" t="s">
        <v>688</v>
      </c>
      <c r="E3917" t="s">
        <v>720</v>
      </c>
      <c r="F3917">
        <v>6</v>
      </c>
      <c r="G3917">
        <v>2.4056333333333302</v>
      </c>
    </row>
    <row r="3918" spans="1:7" x14ac:dyDescent="0.35">
      <c r="A3918" t="s">
        <v>847</v>
      </c>
      <c r="B3918" t="s">
        <v>680</v>
      </c>
      <c r="C3918" s="83">
        <v>46140</v>
      </c>
      <c r="D3918" t="s">
        <v>690</v>
      </c>
      <c r="E3918" t="s">
        <v>311</v>
      </c>
      <c r="F3918">
        <v>9</v>
      </c>
      <c r="G3918">
        <v>4.5380000000000003</v>
      </c>
    </row>
    <row r="3919" spans="1:7" x14ac:dyDescent="0.35">
      <c r="A3919" t="s">
        <v>847</v>
      </c>
      <c r="B3919" t="s">
        <v>680</v>
      </c>
      <c r="C3919" s="83">
        <v>46140</v>
      </c>
      <c r="D3919" t="s">
        <v>690</v>
      </c>
      <c r="E3919" t="s">
        <v>338</v>
      </c>
      <c r="F3919">
        <v>3</v>
      </c>
      <c r="G3919">
        <v>1.34696666666667</v>
      </c>
    </row>
    <row r="3920" spans="1:7" x14ac:dyDescent="0.35">
      <c r="A3920" t="s">
        <v>847</v>
      </c>
      <c r="B3920" t="s">
        <v>680</v>
      </c>
      <c r="C3920" s="83">
        <v>46140</v>
      </c>
      <c r="D3920" t="s">
        <v>690</v>
      </c>
      <c r="E3920" t="s">
        <v>774</v>
      </c>
      <c r="F3920">
        <v>2</v>
      </c>
      <c r="G3920">
        <v>22.58135</v>
      </c>
    </row>
    <row r="3921" spans="1:7" x14ac:dyDescent="0.35">
      <c r="A3921" t="s">
        <v>847</v>
      </c>
      <c r="B3921" t="s">
        <v>680</v>
      </c>
      <c r="C3921" s="83">
        <v>46140</v>
      </c>
      <c r="D3921" t="s">
        <v>685</v>
      </c>
      <c r="E3921" t="s">
        <v>311</v>
      </c>
      <c r="F3921">
        <v>11</v>
      </c>
      <c r="G3921">
        <v>6.3135166666666702</v>
      </c>
    </row>
    <row r="3922" spans="1:7" x14ac:dyDescent="0.35">
      <c r="A3922" t="s">
        <v>847</v>
      </c>
      <c r="B3922" t="s">
        <v>680</v>
      </c>
      <c r="C3922" s="83">
        <v>46140</v>
      </c>
      <c r="D3922" t="s">
        <v>685</v>
      </c>
      <c r="E3922" t="s">
        <v>316</v>
      </c>
      <c r="F3922">
        <v>4</v>
      </c>
      <c r="G3922">
        <v>2.3328000000000002</v>
      </c>
    </row>
    <row r="3923" spans="1:7" x14ac:dyDescent="0.35">
      <c r="A3923" t="s">
        <v>847</v>
      </c>
      <c r="B3923" t="s">
        <v>680</v>
      </c>
      <c r="C3923" s="83">
        <v>46140</v>
      </c>
      <c r="D3923" t="s">
        <v>685</v>
      </c>
      <c r="E3923" t="s">
        <v>739</v>
      </c>
      <c r="F3923">
        <v>4</v>
      </c>
      <c r="G3923">
        <v>6.0210499999999998</v>
      </c>
    </row>
    <row r="3924" spans="1:7" x14ac:dyDescent="0.35">
      <c r="A3924" t="s">
        <v>847</v>
      </c>
      <c r="B3924" t="s">
        <v>680</v>
      </c>
      <c r="C3924" s="83">
        <v>46141</v>
      </c>
      <c r="D3924" t="s">
        <v>681</v>
      </c>
      <c r="E3924" t="s">
        <v>296</v>
      </c>
      <c r="F3924">
        <v>11</v>
      </c>
      <c r="G3924">
        <v>61.505016666666698</v>
      </c>
    </row>
    <row r="3925" spans="1:7" x14ac:dyDescent="0.35">
      <c r="A3925" t="s">
        <v>847</v>
      </c>
      <c r="B3925" t="s">
        <v>680</v>
      </c>
      <c r="C3925" s="83">
        <v>46141</v>
      </c>
      <c r="D3925" t="s">
        <v>681</v>
      </c>
      <c r="E3925" t="s">
        <v>728</v>
      </c>
      <c r="F3925">
        <v>10</v>
      </c>
      <c r="G3925">
        <v>3.6458166666666698</v>
      </c>
    </row>
    <row r="3926" spans="1:7" x14ac:dyDescent="0.35">
      <c r="A3926" t="s">
        <v>847</v>
      </c>
      <c r="B3926" t="s">
        <v>680</v>
      </c>
      <c r="C3926" s="83">
        <v>46141</v>
      </c>
      <c r="D3926" t="s">
        <v>681</v>
      </c>
      <c r="E3926" t="s">
        <v>334</v>
      </c>
      <c r="F3926">
        <v>7</v>
      </c>
      <c r="G3926">
        <v>7.6676166666666701</v>
      </c>
    </row>
    <row r="3927" spans="1:7" x14ac:dyDescent="0.35">
      <c r="A3927" t="s">
        <v>847</v>
      </c>
      <c r="B3927" t="s">
        <v>680</v>
      </c>
      <c r="C3927" s="83">
        <v>46141</v>
      </c>
      <c r="D3927" t="s">
        <v>683</v>
      </c>
      <c r="E3927" t="s">
        <v>727</v>
      </c>
      <c r="F3927">
        <v>19</v>
      </c>
      <c r="G3927">
        <v>12.690849999999999</v>
      </c>
    </row>
    <row r="3928" spans="1:7" x14ac:dyDescent="0.35">
      <c r="A3928" t="s">
        <v>847</v>
      </c>
      <c r="B3928" t="s">
        <v>680</v>
      </c>
      <c r="C3928" s="83">
        <v>46141</v>
      </c>
      <c r="D3928" t="s">
        <v>683</v>
      </c>
      <c r="E3928" t="s">
        <v>334</v>
      </c>
      <c r="F3928">
        <v>10</v>
      </c>
      <c r="G3928">
        <v>5.9989833333333298</v>
      </c>
    </row>
    <row r="3929" spans="1:7" x14ac:dyDescent="0.35">
      <c r="A3929" t="s">
        <v>847</v>
      </c>
      <c r="B3929" t="s">
        <v>680</v>
      </c>
      <c r="C3929" s="83">
        <v>46141</v>
      </c>
      <c r="D3929" t="s">
        <v>683</v>
      </c>
      <c r="E3929" t="s">
        <v>298</v>
      </c>
      <c r="F3929">
        <v>7</v>
      </c>
      <c r="G3929">
        <v>6.1577166666666701</v>
      </c>
    </row>
    <row r="3930" spans="1:7" x14ac:dyDescent="0.35">
      <c r="A3930" t="s">
        <v>847</v>
      </c>
      <c r="B3930" t="s">
        <v>680</v>
      </c>
      <c r="C3930" s="83">
        <v>46141</v>
      </c>
      <c r="D3930" t="s">
        <v>689</v>
      </c>
      <c r="E3930" t="s">
        <v>297</v>
      </c>
      <c r="F3930">
        <v>26</v>
      </c>
      <c r="G3930">
        <v>22.032016666666699</v>
      </c>
    </row>
    <row r="3931" spans="1:7" x14ac:dyDescent="0.35">
      <c r="A3931" t="s">
        <v>847</v>
      </c>
      <c r="B3931" t="s">
        <v>680</v>
      </c>
      <c r="C3931" s="83">
        <v>46141</v>
      </c>
      <c r="D3931" t="s">
        <v>689</v>
      </c>
      <c r="E3931" t="s">
        <v>298</v>
      </c>
      <c r="F3931">
        <v>18</v>
      </c>
      <c r="G3931">
        <v>11.1530166666667</v>
      </c>
    </row>
    <row r="3932" spans="1:7" x14ac:dyDescent="0.35">
      <c r="A3932" t="s">
        <v>847</v>
      </c>
      <c r="B3932" t="s">
        <v>680</v>
      </c>
      <c r="C3932" s="83">
        <v>46141</v>
      </c>
      <c r="D3932" t="s">
        <v>689</v>
      </c>
      <c r="E3932" t="s">
        <v>296</v>
      </c>
      <c r="F3932">
        <v>8</v>
      </c>
      <c r="G3932">
        <v>3.5014500000000002</v>
      </c>
    </row>
    <row r="3933" spans="1:7" x14ac:dyDescent="0.35">
      <c r="A3933" t="s">
        <v>847</v>
      </c>
      <c r="B3933" t="s">
        <v>680</v>
      </c>
      <c r="C3933" s="83">
        <v>46141</v>
      </c>
      <c r="D3933" t="s">
        <v>684</v>
      </c>
      <c r="E3933" t="s">
        <v>728</v>
      </c>
      <c r="F3933">
        <v>3</v>
      </c>
      <c r="G3933">
        <v>0.83556666666666701</v>
      </c>
    </row>
    <row r="3934" spans="1:7" x14ac:dyDescent="0.35">
      <c r="A3934" t="s">
        <v>847</v>
      </c>
      <c r="B3934" t="s">
        <v>680</v>
      </c>
      <c r="C3934" s="83">
        <v>46141</v>
      </c>
      <c r="D3934" t="s">
        <v>684</v>
      </c>
      <c r="E3934" t="s">
        <v>736</v>
      </c>
      <c r="F3934">
        <v>2</v>
      </c>
      <c r="G3934">
        <v>0.83394999999999997</v>
      </c>
    </row>
    <row r="3935" spans="1:7" x14ac:dyDescent="0.35">
      <c r="A3935" t="s">
        <v>847</v>
      </c>
      <c r="B3935" t="s">
        <v>680</v>
      </c>
      <c r="C3935" s="83">
        <v>46141</v>
      </c>
      <c r="D3935" t="s">
        <v>684</v>
      </c>
      <c r="E3935" t="s">
        <v>304</v>
      </c>
      <c r="F3935">
        <v>2</v>
      </c>
      <c r="G3935">
        <v>0.167116666666667</v>
      </c>
    </row>
    <row r="3936" spans="1:7" x14ac:dyDescent="0.35">
      <c r="A3936" t="s">
        <v>847</v>
      </c>
      <c r="B3936" t="s">
        <v>680</v>
      </c>
      <c r="C3936" s="83">
        <v>46141</v>
      </c>
      <c r="D3936" t="s">
        <v>687</v>
      </c>
      <c r="E3936" t="s">
        <v>735</v>
      </c>
      <c r="F3936">
        <v>4</v>
      </c>
      <c r="G3936">
        <v>3.8323999999999998</v>
      </c>
    </row>
    <row r="3937" spans="1:7" x14ac:dyDescent="0.35">
      <c r="A3937" t="s">
        <v>847</v>
      </c>
      <c r="B3937" t="s">
        <v>680</v>
      </c>
      <c r="C3937" s="83">
        <v>46141</v>
      </c>
      <c r="D3937" t="s">
        <v>687</v>
      </c>
      <c r="E3937" t="s">
        <v>733</v>
      </c>
      <c r="F3937">
        <v>3</v>
      </c>
      <c r="G3937">
        <v>2.4996666666666698</v>
      </c>
    </row>
    <row r="3938" spans="1:7" x14ac:dyDescent="0.35">
      <c r="A3938" t="s">
        <v>847</v>
      </c>
      <c r="B3938" t="s">
        <v>680</v>
      </c>
      <c r="C3938" s="83">
        <v>46141</v>
      </c>
      <c r="D3938" t="s">
        <v>687</v>
      </c>
      <c r="E3938" t="s">
        <v>755</v>
      </c>
      <c r="F3938">
        <v>2</v>
      </c>
      <c r="G3938">
        <v>3.3362333333333298</v>
      </c>
    </row>
    <row r="3939" spans="1:7" x14ac:dyDescent="0.35">
      <c r="A3939" t="s">
        <v>847</v>
      </c>
      <c r="B3939" t="s">
        <v>680</v>
      </c>
      <c r="C3939" s="83">
        <v>46141</v>
      </c>
      <c r="D3939" t="s">
        <v>688</v>
      </c>
      <c r="E3939" t="s">
        <v>311</v>
      </c>
      <c r="F3939">
        <v>50</v>
      </c>
      <c r="G3939">
        <v>32.312449999999998</v>
      </c>
    </row>
    <row r="3940" spans="1:7" x14ac:dyDescent="0.35">
      <c r="A3940" t="s">
        <v>847</v>
      </c>
      <c r="B3940" t="s">
        <v>680</v>
      </c>
      <c r="C3940" s="83">
        <v>46141</v>
      </c>
      <c r="D3940" t="s">
        <v>688</v>
      </c>
      <c r="E3940" t="s">
        <v>312</v>
      </c>
      <c r="F3940">
        <v>13</v>
      </c>
      <c r="G3940">
        <v>24.321466666666701</v>
      </c>
    </row>
    <row r="3941" spans="1:7" x14ac:dyDescent="0.35">
      <c r="A3941" t="s">
        <v>847</v>
      </c>
      <c r="B3941" t="s">
        <v>680</v>
      </c>
      <c r="C3941" s="83">
        <v>46141</v>
      </c>
      <c r="D3941" t="s">
        <v>688</v>
      </c>
      <c r="E3941" t="s">
        <v>720</v>
      </c>
      <c r="F3941">
        <v>5</v>
      </c>
      <c r="G3941">
        <v>2.1594333333333302</v>
      </c>
    </row>
    <row r="3942" spans="1:7" x14ac:dyDescent="0.35">
      <c r="A3942" t="s">
        <v>847</v>
      </c>
      <c r="B3942" t="s">
        <v>680</v>
      </c>
      <c r="C3942" s="83">
        <v>46141</v>
      </c>
      <c r="D3942" t="s">
        <v>690</v>
      </c>
      <c r="E3942" t="s">
        <v>720</v>
      </c>
      <c r="F3942">
        <v>6</v>
      </c>
      <c r="G3942">
        <v>1.8412999999999999</v>
      </c>
    </row>
    <row r="3943" spans="1:7" x14ac:dyDescent="0.35">
      <c r="A3943" t="s">
        <v>847</v>
      </c>
      <c r="B3943" t="s">
        <v>680</v>
      </c>
      <c r="C3943" s="83">
        <v>46141</v>
      </c>
      <c r="D3943" t="s">
        <v>690</v>
      </c>
      <c r="E3943" t="s">
        <v>311</v>
      </c>
      <c r="F3943">
        <v>4</v>
      </c>
      <c r="G3943">
        <v>1.0071333333333301</v>
      </c>
    </row>
    <row r="3944" spans="1:7" x14ac:dyDescent="0.35">
      <c r="A3944" t="s">
        <v>847</v>
      </c>
      <c r="B3944" t="s">
        <v>680</v>
      </c>
      <c r="C3944" s="83">
        <v>46141</v>
      </c>
      <c r="D3944" t="s">
        <v>690</v>
      </c>
      <c r="E3944" t="s">
        <v>319</v>
      </c>
      <c r="F3944">
        <v>2</v>
      </c>
      <c r="G3944">
        <v>0.34089999999999998</v>
      </c>
    </row>
    <row r="3945" spans="1:7" x14ac:dyDescent="0.35">
      <c r="A3945" t="s">
        <v>847</v>
      </c>
      <c r="B3945" t="s">
        <v>680</v>
      </c>
      <c r="C3945" s="83">
        <v>46141</v>
      </c>
      <c r="D3945" t="s">
        <v>685</v>
      </c>
      <c r="E3945" t="s">
        <v>311</v>
      </c>
      <c r="F3945">
        <v>9</v>
      </c>
      <c r="G3945">
        <v>9.1520833333333407</v>
      </c>
    </row>
    <row r="3946" spans="1:7" x14ac:dyDescent="0.35">
      <c r="A3946" t="s">
        <v>847</v>
      </c>
      <c r="B3946" t="s">
        <v>680</v>
      </c>
      <c r="C3946" s="83">
        <v>46141</v>
      </c>
      <c r="D3946" t="s">
        <v>685</v>
      </c>
      <c r="E3946" t="s">
        <v>720</v>
      </c>
      <c r="F3946">
        <v>3</v>
      </c>
      <c r="G3946">
        <v>1.15985</v>
      </c>
    </row>
    <row r="3947" spans="1:7" x14ac:dyDescent="0.35">
      <c r="A3947" t="s">
        <v>847</v>
      </c>
      <c r="B3947" t="s">
        <v>680</v>
      </c>
      <c r="C3947" s="83">
        <v>46141</v>
      </c>
      <c r="D3947" t="s">
        <v>685</v>
      </c>
      <c r="E3947" t="s">
        <v>312</v>
      </c>
      <c r="F3947">
        <v>2</v>
      </c>
      <c r="G3947">
        <v>1.65933333333333</v>
      </c>
    </row>
    <row r="3948" spans="1:7" x14ac:dyDescent="0.35">
      <c r="A3948" t="s">
        <v>847</v>
      </c>
      <c r="B3948" t="s">
        <v>680</v>
      </c>
      <c r="C3948" s="83">
        <v>46142</v>
      </c>
      <c r="D3948" t="s">
        <v>681</v>
      </c>
      <c r="E3948" t="s">
        <v>728</v>
      </c>
      <c r="F3948">
        <v>25</v>
      </c>
      <c r="G3948">
        <v>14.3392</v>
      </c>
    </row>
    <row r="3949" spans="1:7" x14ac:dyDescent="0.35">
      <c r="A3949" t="s">
        <v>847</v>
      </c>
      <c r="B3949" t="s">
        <v>680</v>
      </c>
      <c r="C3949" s="83">
        <v>46142</v>
      </c>
      <c r="D3949" t="s">
        <v>681</v>
      </c>
      <c r="E3949" t="s">
        <v>300</v>
      </c>
      <c r="F3949">
        <v>10</v>
      </c>
      <c r="G3949">
        <v>4.6580333333333304</v>
      </c>
    </row>
    <row r="3950" spans="1:7" x14ac:dyDescent="0.35">
      <c r="A3950" t="s">
        <v>847</v>
      </c>
      <c r="B3950" t="s">
        <v>680</v>
      </c>
      <c r="C3950" s="83">
        <v>46142</v>
      </c>
      <c r="D3950" t="s">
        <v>681</v>
      </c>
      <c r="E3950" t="s">
        <v>298</v>
      </c>
      <c r="F3950">
        <v>9</v>
      </c>
      <c r="G3950">
        <v>5.3336666666666703</v>
      </c>
    </row>
    <row r="3951" spans="1:7" x14ac:dyDescent="0.35">
      <c r="A3951" t="s">
        <v>847</v>
      </c>
      <c r="B3951" t="s">
        <v>680</v>
      </c>
      <c r="C3951" s="83">
        <v>46142</v>
      </c>
      <c r="D3951" t="s">
        <v>683</v>
      </c>
      <c r="E3951" t="s">
        <v>298</v>
      </c>
      <c r="F3951">
        <v>12</v>
      </c>
      <c r="G3951">
        <v>7.8356500000000002</v>
      </c>
    </row>
    <row r="3952" spans="1:7" x14ac:dyDescent="0.35">
      <c r="A3952" t="s">
        <v>847</v>
      </c>
      <c r="B3952" t="s">
        <v>680</v>
      </c>
      <c r="C3952" s="83">
        <v>46142</v>
      </c>
      <c r="D3952" t="s">
        <v>683</v>
      </c>
      <c r="E3952" t="s">
        <v>334</v>
      </c>
      <c r="F3952">
        <v>8</v>
      </c>
      <c r="G3952">
        <v>4.6742499999999998</v>
      </c>
    </row>
    <row r="3953" spans="1:7" x14ac:dyDescent="0.35">
      <c r="A3953" t="s">
        <v>847</v>
      </c>
      <c r="B3953" t="s">
        <v>680</v>
      </c>
      <c r="C3953" s="83">
        <v>46142</v>
      </c>
      <c r="D3953" t="s">
        <v>683</v>
      </c>
      <c r="E3953" t="s">
        <v>300</v>
      </c>
      <c r="F3953">
        <v>7</v>
      </c>
      <c r="G3953">
        <v>1.6596833333333301</v>
      </c>
    </row>
    <row r="3954" spans="1:7" x14ac:dyDescent="0.35">
      <c r="A3954" t="s">
        <v>847</v>
      </c>
      <c r="B3954" t="s">
        <v>680</v>
      </c>
      <c r="C3954" s="83">
        <v>46142</v>
      </c>
      <c r="D3954" t="s">
        <v>689</v>
      </c>
      <c r="E3954" t="s">
        <v>297</v>
      </c>
      <c r="F3954">
        <v>30</v>
      </c>
      <c r="G3954">
        <v>15.6739833333333</v>
      </c>
    </row>
    <row r="3955" spans="1:7" x14ac:dyDescent="0.35">
      <c r="A3955" t="s">
        <v>847</v>
      </c>
      <c r="B3955" t="s">
        <v>680</v>
      </c>
      <c r="C3955" s="83">
        <v>46142</v>
      </c>
      <c r="D3955" t="s">
        <v>689</v>
      </c>
      <c r="E3955" t="s">
        <v>730</v>
      </c>
      <c r="F3955">
        <v>17</v>
      </c>
      <c r="G3955">
        <v>8.3402833333333302</v>
      </c>
    </row>
    <row r="3956" spans="1:7" x14ac:dyDescent="0.35">
      <c r="A3956" t="s">
        <v>847</v>
      </c>
      <c r="B3956" t="s">
        <v>680</v>
      </c>
      <c r="C3956" s="83">
        <v>46142</v>
      </c>
      <c r="D3956" t="s">
        <v>689</v>
      </c>
      <c r="E3956" t="s">
        <v>298</v>
      </c>
      <c r="F3956">
        <v>15</v>
      </c>
      <c r="G3956">
        <v>12.186</v>
      </c>
    </row>
    <row r="3957" spans="1:7" x14ac:dyDescent="0.35">
      <c r="A3957" t="s">
        <v>847</v>
      </c>
      <c r="B3957" t="s">
        <v>680</v>
      </c>
      <c r="C3957" s="83">
        <v>46142</v>
      </c>
      <c r="D3957" t="s">
        <v>684</v>
      </c>
      <c r="E3957" t="s">
        <v>728</v>
      </c>
      <c r="F3957">
        <v>4</v>
      </c>
      <c r="G3957">
        <v>1.00636666666667</v>
      </c>
    </row>
    <row r="3958" spans="1:7" x14ac:dyDescent="0.35">
      <c r="A3958" t="s">
        <v>847</v>
      </c>
      <c r="B3958" t="s">
        <v>680</v>
      </c>
      <c r="C3958" s="83">
        <v>46142</v>
      </c>
      <c r="D3958" t="s">
        <v>684</v>
      </c>
      <c r="E3958" t="s">
        <v>737</v>
      </c>
      <c r="F3958">
        <v>2</v>
      </c>
      <c r="G3958">
        <v>1.16831666666667</v>
      </c>
    </row>
    <row r="3959" spans="1:7" x14ac:dyDescent="0.35">
      <c r="A3959" t="s">
        <v>847</v>
      </c>
      <c r="B3959" t="s">
        <v>680</v>
      </c>
      <c r="C3959" s="83">
        <v>46142</v>
      </c>
      <c r="D3959" t="s">
        <v>684</v>
      </c>
      <c r="E3959" t="s">
        <v>781</v>
      </c>
      <c r="F3959">
        <v>2</v>
      </c>
      <c r="G3959">
        <v>0.17283333333333301</v>
      </c>
    </row>
    <row r="3960" spans="1:7" x14ac:dyDescent="0.35">
      <c r="A3960" t="s">
        <v>847</v>
      </c>
      <c r="B3960" t="s">
        <v>680</v>
      </c>
      <c r="C3960" s="83">
        <v>46142</v>
      </c>
      <c r="D3960" t="s">
        <v>687</v>
      </c>
      <c r="E3960" t="s">
        <v>758</v>
      </c>
      <c r="F3960">
        <v>4</v>
      </c>
      <c r="G3960">
        <v>13.0012333333333</v>
      </c>
    </row>
    <row r="3961" spans="1:7" x14ac:dyDescent="0.35">
      <c r="A3961" t="s">
        <v>847</v>
      </c>
      <c r="B3961" t="s">
        <v>680</v>
      </c>
      <c r="C3961" s="83">
        <v>46142</v>
      </c>
      <c r="D3961" t="s">
        <v>687</v>
      </c>
      <c r="E3961" t="s">
        <v>742</v>
      </c>
      <c r="F3961">
        <v>3</v>
      </c>
      <c r="G3961">
        <v>3.3343333333333298</v>
      </c>
    </row>
    <row r="3962" spans="1:7" x14ac:dyDescent="0.35">
      <c r="A3962" t="s">
        <v>847</v>
      </c>
      <c r="B3962" t="s">
        <v>680</v>
      </c>
      <c r="C3962" s="83">
        <v>46142</v>
      </c>
      <c r="D3962" t="s">
        <v>687</v>
      </c>
      <c r="E3962" t="s">
        <v>733</v>
      </c>
      <c r="F3962">
        <v>3</v>
      </c>
      <c r="G3962">
        <v>3.5031833333333302</v>
      </c>
    </row>
    <row r="3963" spans="1:7" x14ac:dyDescent="0.35">
      <c r="A3963" t="s">
        <v>847</v>
      </c>
      <c r="B3963" t="s">
        <v>680</v>
      </c>
      <c r="C3963" s="83">
        <v>46142</v>
      </c>
      <c r="D3963" t="s">
        <v>688</v>
      </c>
      <c r="E3963" t="s">
        <v>311</v>
      </c>
      <c r="F3963">
        <v>35</v>
      </c>
      <c r="G3963">
        <v>24.168666666666699</v>
      </c>
    </row>
    <row r="3964" spans="1:7" x14ac:dyDescent="0.35">
      <c r="A3964" t="s">
        <v>847</v>
      </c>
      <c r="B3964" t="s">
        <v>680</v>
      </c>
      <c r="C3964" s="83">
        <v>46142</v>
      </c>
      <c r="D3964" t="s">
        <v>688</v>
      </c>
      <c r="E3964" t="s">
        <v>312</v>
      </c>
      <c r="F3964">
        <v>10</v>
      </c>
      <c r="G3964">
        <v>2.5087333333333302</v>
      </c>
    </row>
    <row r="3965" spans="1:7" x14ac:dyDescent="0.35">
      <c r="A3965" t="s">
        <v>847</v>
      </c>
      <c r="B3965" t="s">
        <v>680</v>
      </c>
      <c r="C3965" s="83">
        <v>46142</v>
      </c>
      <c r="D3965" t="s">
        <v>688</v>
      </c>
      <c r="E3965" t="s">
        <v>316</v>
      </c>
      <c r="F3965">
        <v>7</v>
      </c>
      <c r="G3965">
        <v>3.9959166666666701</v>
      </c>
    </row>
    <row r="3966" spans="1:7" x14ac:dyDescent="0.35">
      <c r="A3966" t="s">
        <v>847</v>
      </c>
      <c r="B3966" t="s">
        <v>680</v>
      </c>
      <c r="C3966" s="83">
        <v>46142</v>
      </c>
      <c r="D3966" t="s">
        <v>690</v>
      </c>
      <c r="E3966" t="s">
        <v>725</v>
      </c>
      <c r="F3966">
        <v>6</v>
      </c>
      <c r="G3966">
        <v>3.33233333333333</v>
      </c>
    </row>
    <row r="3967" spans="1:7" x14ac:dyDescent="0.35">
      <c r="A3967" t="s">
        <v>847</v>
      </c>
      <c r="B3967" t="s">
        <v>680</v>
      </c>
      <c r="C3967" s="83">
        <v>46142</v>
      </c>
      <c r="D3967" t="s">
        <v>690</v>
      </c>
      <c r="E3967" t="s">
        <v>311</v>
      </c>
      <c r="F3967">
        <v>5</v>
      </c>
      <c r="G3967">
        <v>4.8430499999999999</v>
      </c>
    </row>
    <row r="3968" spans="1:7" x14ac:dyDescent="0.35">
      <c r="A3968" t="s">
        <v>847</v>
      </c>
      <c r="B3968" t="s">
        <v>680</v>
      </c>
      <c r="C3968" s="83">
        <v>46142</v>
      </c>
      <c r="D3968" t="s">
        <v>690</v>
      </c>
      <c r="E3968" t="s">
        <v>347</v>
      </c>
      <c r="F3968">
        <v>2</v>
      </c>
      <c r="G3968">
        <v>0.65918333333333301</v>
      </c>
    </row>
    <row r="3969" spans="1:7" x14ac:dyDescent="0.35">
      <c r="A3969" t="s">
        <v>847</v>
      </c>
      <c r="B3969" t="s">
        <v>680</v>
      </c>
      <c r="C3969" s="83">
        <v>46142</v>
      </c>
      <c r="D3969" t="s">
        <v>685</v>
      </c>
      <c r="E3969" t="s">
        <v>311</v>
      </c>
      <c r="F3969">
        <v>12</v>
      </c>
      <c r="G3969">
        <v>5.4833999999999996</v>
      </c>
    </row>
    <row r="3970" spans="1:7" x14ac:dyDescent="0.35">
      <c r="A3970" t="s">
        <v>847</v>
      </c>
      <c r="B3970" t="s">
        <v>680</v>
      </c>
      <c r="C3970" s="83">
        <v>46142</v>
      </c>
      <c r="D3970" t="s">
        <v>685</v>
      </c>
      <c r="E3970" t="s">
        <v>316</v>
      </c>
      <c r="F3970">
        <v>2</v>
      </c>
      <c r="G3970">
        <v>0.16635</v>
      </c>
    </row>
    <row r="3971" spans="1:7" x14ac:dyDescent="0.35">
      <c r="A3971" t="s">
        <v>847</v>
      </c>
      <c r="B3971" t="s">
        <v>680</v>
      </c>
      <c r="C3971" s="83">
        <v>46142</v>
      </c>
      <c r="D3971" t="s">
        <v>685</v>
      </c>
      <c r="E3971" t="s">
        <v>720</v>
      </c>
      <c r="F3971">
        <v>2</v>
      </c>
      <c r="G3971">
        <v>1.3340666666666701</v>
      </c>
    </row>
    <row r="3972" spans="1:7" x14ac:dyDescent="0.35">
      <c r="A3972" t="s">
        <v>847</v>
      </c>
      <c r="B3972" t="s">
        <v>680</v>
      </c>
      <c r="C3972" s="83">
        <v>46143</v>
      </c>
      <c r="D3972" t="s">
        <v>681</v>
      </c>
      <c r="E3972" t="s">
        <v>296</v>
      </c>
      <c r="F3972">
        <v>47</v>
      </c>
      <c r="G3972">
        <v>19.840399999999999</v>
      </c>
    </row>
    <row r="3973" spans="1:7" x14ac:dyDescent="0.35">
      <c r="A3973" t="s">
        <v>847</v>
      </c>
      <c r="B3973" t="s">
        <v>680</v>
      </c>
      <c r="C3973" s="83">
        <v>46143</v>
      </c>
      <c r="D3973" t="s">
        <v>681</v>
      </c>
      <c r="E3973" t="s">
        <v>728</v>
      </c>
      <c r="F3973">
        <v>18</v>
      </c>
      <c r="G3973">
        <v>11.8287333333333</v>
      </c>
    </row>
    <row r="3974" spans="1:7" x14ac:dyDescent="0.35">
      <c r="A3974" t="s">
        <v>847</v>
      </c>
      <c r="B3974" t="s">
        <v>680</v>
      </c>
      <c r="C3974" s="83">
        <v>46143</v>
      </c>
      <c r="D3974" t="s">
        <v>681</v>
      </c>
      <c r="E3974" t="s">
        <v>297</v>
      </c>
      <c r="F3974">
        <v>17</v>
      </c>
      <c r="G3974">
        <v>6.4780499999999996</v>
      </c>
    </row>
    <row r="3975" spans="1:7" x14ac:dyDescent="0.35">
      <c r="A3975" t="s">
        <v>847</v>
      </c>
      <c r="B3975" t="s">
        <v>680</v>
      </c>
      <c r="C3975" s="83">
        <v>46143</v>
      </c>
      <c r="D3975" t="s">
        <v>683</v>
      </c>
      <c r="E3975" t="s">
        <v>298</v>
      </c>
      <c r="F3975">
        <v>27</v>
      </c>
      <c r="G3975">
        <v>55.189916666666697</v>
      </c>
    </row>
    <row r="3976" spans="1:7" x14ac:dyDescent="0.35">
      <c r="A3976" t="s">
        <v>847</v>
      </c>
      <c r="B3976" t="s">
        <v>680</v>
      </c>
      <c r="C3976" s="83">
        <v>46143</v>
      </c>
      <c r="D3976" t="s">
        <v>683</v>
      </c>
      <c r="E3976" t="s">
        <v>304</v>
      </c>
      <c r="F3976">
        <v>10</v>
      </c>
      <c r="G3976">
        <v>8.0010333333333392</v>
      </c>
    </row>
    <row r="3977" spans="1:7" x14ac:dyDescent="0.35">
      <c r="A3977" t="s">
        <v>847</v>
      </c>
      <c r="B3977" t="s">
        <v>680</v>
      </c>
      <c r="C3977" s="83">
        <v>46143</v>
      </c>
      <c r="D3977" t="s">
        <v>683</v>
      </c>
      <c r="E3977" t="s">
        <v>727</v>
      </c>
      <c r="F3977">
        <v>8</v>
      </c>
      <c r="G3977">
        <v>3.1741666666666699</v>
      </c>
    </row>
    <row r="3978" spans="1:7" x14ac:dyDescent="0.35">
      <c r="A3978" t="s">
        <v>847</v>
      </c>
      <c r="B3978" t="s">
        <v>680</v>
      </c>
      <c r="C3978" s="83">
        <v>46143</v>
      </c>
      <c r="D3978" t="s">
        <v>689</v>
      </c>
      <c r="E3978" t="s">
        <v>296</v>
      </c>
      <c r="F3978">
        <v>23</v>
      </c>
      <c r="G3978">
        <v>18.504750000000001</v>
      </c>
    </row>
    <row r="3979" spans="1:7" x14ac:dyDescent="0.35">
      <c r="A3979" t="s">
        <v>847</v>
      </c>
      <c r="B3979" t="s">
        <v>680</v>
      </c>
      <c r="C3979" s="83">
        <v>46143</v>
      </c>
      <c r="D3979" t="s">
        <v>689</v>
      </c>
      <c r="E3979" t="s">
        <v>297</v>
      </c>
      <c r="F3979">
        <v>19</v>
      </c>
      <c r="G3979">
        <v>7.5079333333333302</v>
      </c>
    </row>
    <row r="3980" spans="1:7" x14ac:dyDescent="0.35">
      <c r="A3980" t="s">
        <v>847</v>
      </c>
      <c r="B3980" t="s">
        <v>680</v>
      </c>
      <c r="C3980" s="83">
        <v>46143</v>
      </c>
      <c r="D3980" t="s">
        <v>689</v>
      </c>
      <c r="E3980" t="s">
        <v>730</v>
      </c>
      <c r="F3980">
        <v>19</v>
      </c>
      <c r="G3980">
        <v>10.3278</v>
      </c>
    </row>
    <row r="3981" spans="1:7" x14ac:dyDescent="0.35">
      <c r="A3981" t="s">
        <v>847</v>
      </c>
      <c r="B3981" t="s">
        <v>680</v>
      </c>
      <c r="C3981" s="83">
        <v>46143</v>
      </c>
      <c r="D3981" t="s">
        <v>684</v>
      </c>
      <c r="E3981" t="s">
        <v>296</v>
      </c>
      <c r="F3981">
        <v>7</v>
      </c>
      <c r="G3981">
        <v>3.0003333333333302</v>
      </c>
    </row>
    <row r="3982" spans="1:7" x14ac:dyDescent="0.35">
      <c r="A3982" t="s">
        <v>847</v>
      </c>
      <c r="B3982" t="s">
        <v>680</v>
      </c>
      <c r="C3982" s="83">
        <v>46143</v>
      </c>
      <c r="D3982" t="s">
        <v>684</v>
      </c>
      <c r="E3982" t="s">
        <v>334</v>
      </c>
      <c r="F3982">
        <v>6</v>
      </c>
      <c r="G3982">
        <v>5.16848333333333</v>
      </c>
    </row>
    <row r="3983" spans="1:7" x14ac:dyDescent="0.35">
      <c r="A3983" t="s">
        <v>847</v>
      </c>
      <c r="B3983" t="s">
        <v>680</v>
      </c>
      <c r="C3983" s="83">
        <v>46143</v>
      </c>
      <c r="D3983" t="s">
        <v>684</v>
      </c>
      <c r="E3983" t="s">
        <v>298</v>
      </c>
      <c r="F3983">
        <v>4</v>
      </c>
      <c r="G3983">
        <v>2.9879500000000001</v>
      </c>
    </row>
    <row r="3984" spans="1:7" x14ac:dyDescent="0.35">
      <c r="A3984" t="s">
        <v>847</v>
      </c>
      <c r="B3984" t="s">
        <v>680</v>
      </c>
      <c r="C3984" s="83">
        <v>46143</v>
      </c>
      <c r="D3984" t="s">
        <v>687</v>
      </c>
      <c r="E3984" t="s">
        <v>733</v>
      </c>
      <c r="F3984">
        <v>5</v>
      </c>
      <c r="G3984">
        <v>0.82646666666666702</v>
      </c>
    </row>
    <row r="3985" spans="1:7" x14ac:dyDescent="0.35">
      <c r="A3985" t="s">
        <v>847</v>
      </c>
      <c r="B3985" t="s">
        <v>680</v>
      </c>
      <c r="C3985" s="83">
        <v>46143</v>
      </c>
      <c r="D3985" t="s">
        <v>687</v>
      </c>
      <c r="E3985" t="s">
        <v>735</v>
      </c>
      <c r="F3985">
        <v>2</v>
      </c>
      <c r="G3985">
        <v>0.67408333333333303</v>
      </c>
    </row>
    <row r="3986" spans="1:7" x14ac:dyDescent="0.35">
      <c r="A3986" t="s">
        <v>847</v>
      </c>
      <c r="B3986" t="s">
        <v>680</v>
      </c>
      <c r="C3986" s="83">
        <v>46143</v>
      </c>
      <c r="D3986" t="s">
        <v>687</v>
      </c>
      <c r="E3986" t="s">
        <v>729</v>
      </c>
      <c r="F3986">
        <v>2</v>
      </c>
      <c r="G3986">
        <v>0.33360000000000001</v>
      </c>
    </row>
    <row r="3987" spans="1:7" x14ac:dyDescent="0.35">
      <c r="A3987" t="s">
        <v>847</v>
      </c>
      <c r="B3987" t="s">
        <v>680</v>
      </c>
      <c r="C3987" s="83">
        <v>46143</v>
      </c>
      <c r="D3987" t="s">
        <v>688</v>
      </c>
      <c r="E3987" t="s">
        <v>311</v>
      </c>
      <c r="F3987">
        <v>23</v>
      </c>
      <c r="G3987">
        <v>101.459433333333</v>
      </c>
    </row>
    <row r="3988" spans="1:7" x14ac:dyDescent="0.35">
      <c r="A3988" t="s">
        <v>847</v>
      </c>
      <c r="B3988" t="s">
        <v>680</v>
      </c>
      <c r="C3988" s="83">
        <v>46143</v>
      </c>
      <c r="D3988" t="s">
        <v>688</v>
      </c>
      <c r="E3988" t="s">
        <v>316</v>
      </c>
      <c r="F3988">
        <v>6</v>
      </c>
      <c r="G3988">
        <v>2.3407499999999999</v>
      </c>
    </row>
    <row r="3989" spans="1:7" x14ac:dyDescent="0.35">
      <c r="A3989" t="s">
        <v>847</v>
      </c>
      <c r="B3989" t="s">
        <v>680</v>
      </c>
      <c r="C3989" s="83">
        <v>46143</v>
      </c>
      <c r="D3989" t="s">
        <v>688</v>
      </c>
      <c r="E3989" t="s">
        <v>312</v>
      </c>
      <c r="F3989">
        <v>4</v>
      </c>
      <c r="G3989">
        <v>1.82486666666667</v>
      </c>
    </row>
    <row r="3990" spans="1:7" x14ac:dyDescent="0.35">
      <c r="A3990" t="s">
        <v>847</v>
      </c>
      <c r="B3990" t="s">
        <v>680</v>
      </c>
      <c r="C3990" s="83">
        <v>46143</v>
      </c>
      <c r="D3990" t="s">
        <v>690</v>
      </c>
      <c r="E3990" t="s">
        <v>311</v>
      </c>
      <c r="F3990">
        <v>10</v>
      </c>
      <c r="G3990">
        <v>10.6546</v>
      </c>
    </row>
    <row r="3991" spans="1:7" x14ac:dyDescent="0.35">
      <c r="A3991" t="s">
        <v>847</v>
      </c>
      <c r="B3991" t="s">
        <v>680</v>
      </c>
      <c r="C3991" s="83">
        <v>46143</v>
      </c>
      <c r="D3991" t="s">
        <v>690</v>
      </c>
      <c r="E3991" t="s">
        <v>338</v>
      </c>
      <c r="F3991">
        <v>5</v>
      </c>
      <c r="G3991">
        <v>5.3402000000000003</v>
      </c>
    </row>
    <row r="3992" spans="1:7" x14ac:dyDescent="0.35">
      <c r="A3992" t="s">
        <v>847</v>
      </c>
      <c r="B3992" t="s">
        <v>680</v>
      </c>
      <c r="C3992" s="83">
        <v>46143</v>
      </c>
      <c r="D3992" t="s">
        <v>690</v>
      </c>
      <c r="E3992" t="s">
        <v>720</v>
      </c>
      <c r="F3992">
        <v>5</v>
      </c>
      <c r="G3992">
        <v>3.18218333333333</v>
      </c>
    </row>
    <row r="3993" spans="1:7" x14ac:dyDescent="0.35">
      <c r="A3993" t="s">
        <v>847</v>
      </c>
      <c r="B3993" t="s">
        <v>680</v>
      </c>
      <c r="C3993" s="83">
        <v>46143</v>
      </c>
      <c r="D3993" t="s">
        <v>685</v>
      </c>
      <c r="E3993" t="s">
        <v>720</v>
      </c>
      <c r="F3993">
        <v>14</v>
      </c>
      <c r="G3993">
        <v>8.3374500000000005</v>
      </c>
    </row>
    <row r="3994" spans="1:7" x14ac:dyDescent="0.35">
      <c r="A3994" t="s">
        <v>847</v>
      </c>
      <c r="B3994" t="s">
        <v>680</v>
      </c>
      <c r="C3994" s="83">
        <v>46143</v>
      </c>
      <c r="D3994" t="s">
        <v>685</v>
      </c>
      <c r="E3994" t="s">
        <v>316</v>
      </c>
      <c r="F3994">
        <v>3</v>
      </c>
      <c r="G3994">
        <v>3.3414000000000001</v>
      </c>
    </row>
    <row r="3995" spans="1:7" x14ac:dyDescent="0.35">
      <c r="A3995" t="s">
        <v>847</v>
      </c>
      <c r="B3995" t="s">
        <v>680</v>
      </c>
      <c r="C3995" s="83">
        <v>46143</v>
      </c>
      <c r="D3995" t="s">
        <v>685</v>
      </c>
      <c r="E3995" t="s">
        <v>311</v>
      </c>
      <c r="F3995">
        <v>3</v>
      </c>
      <c r="G3995">
        <v>1.83293333333333</v>
      </c>
    </row>
    <row r="3996" spans="1:7" x14ac:dyDescent="0.35">
      <c r="A3996" t="s">
        <v>847</v>
      </c>
      <c r="B3996" t="s">
        <v>680</v>
      </c>
      <c r="C3996" s="83">
        <v>46144</v>
      </c>
      <c r="D3996" t="s">
        <v>681</v>
      </c>
      <c r="E3996" t="s">
        <v>296</v>
      </c>
      <c r="F3996">
        <v>96</v>
      </c>
      <c r="G3996">
        <v>32.489216666666699</v>
      </c>
    </row>
    <row r="3997" spans="1:7" x14ac:dyDescent="0.35">
      <c r="A3997" t="s">
        <v>847</v>
      </c>
      <c r="B3997" t="s">
        <v>680</v>
      </c>
      <c r="C3997" s="83">
        <v>46144</v>
      </c>
      <c r="D3997" t="s">
        <v>681</v>
      </c>
      <c r="E3997" t="s">
        <v>297</v>
      </c>
      <c r="F3997">
        <v>19</v>
      </c>
      <c r="G3997">
        <v>4.5022333333333302</v>
      </c>
    </row>
    <row r="3998" spans="1:7" x14ac:dyDescent="0.35">
      <c r="A3998" t="s">
        <v>847</v>
      </c>
      <c r="B3998" t="s">
        <v>680</v>
      </c>
      <c r="C3998" s="83">
        <v>46144</v>
      </c>
      <c r="D3998" t="s">
        <v>681</v>
      </c>
      <c r="E3998" t="s">
        <v>298</v>
      </c>
      <c r="F3998">
        <v>17</v>
      </c>
      <c r="G3998">
        <v>23.5034833333333</v>
      </c>
    </row>
    <row r="3999" spans="1:7" x14ac:dyDescent="0.35">
      <c r="A3999" t="s">
        <v>847</v>
      </c>
      <c r="B3999" t="s">
        <v>680</v>
      </c>
      <c r="C3999" s="83">
        <v>46144</v>
      </c>
      <c r="D3999" t="s">
        <v>683</v>
      </c>
      <c r="E3999" t="s">
        <v>298</v>
      </c>
      <c r="F3999">
        <v>28</v>
      </c>
      <c r="G3999">
        <v>43.170499999999997</v>
      </c>
    </row>
    <row r="4000" spans="1:7" x14ac:dyDescent="0.35">
      <c r="A4000" t="s">
        <v>847</v>
      </c>
      <c r="B4000" t="s">
        <v>680</v>
      </c>
      <c r="C4000" s="83">
        <v>46144</v>
      </c>
      <c r="D4000" t="s">
        <v>683</v>
      </c>
      <c r="E4000" t="s">
        <v>332</v>
      </c>
      <c r="F4000">
        <v>18</v>
      </c>
      <c r="G4000">
        <v>18.808050000000001</v>
      </c>
    </row>
    <row r="4001" spans="1:7" x14ac:dyDescent="0.35">
      <c r="A4001" t="s">
        <v>847</v>
      </c>
      <c r="B4001" t="s">
        <v>680</v>
      </c>
      <c r="C4001" s="83">
        <v>46144</v>
      </c>
      <c r="D4001" t="s">
        <v>683</v>
      </c>
      <c r="E4001" t="s">
        <v>296</v>
      </c>
      <c r="F4001">
        <v>17</v>
      </c>
      <c r="G4001">
        <v>8.0085833333333305</v>
      </c>
    </row>
    <row r="4002" spans="1:7" x14ac:dyDescent="0.35">
      <c r="A4002" t="s">
        <v>847</v>
      </c>
      <c r="B4002" t="s">
        <v>680</v>
      </c>
      <c r="C4002" s="83">
        <v>46144</v>
      </c>
      <c r="D4002" t="s">
        <v>689</v>
      </c>
      <c r="E4002" t="s">
        <v>296</v>
      </c>
      <c r="F4002">
        <v>19</v>
      </c>
      <c r="G4002">
        <v>8.3191333333333297</v>
      </c>
    </row>
    <row r="4003" spans="1:7" x14ac:dyDescent="0.35">
      <c r="A4003" t="s">
        <v>847</v>
      </c>
      <c r="B4003" t="s">
        <v>680</v>
      </c>
      <c r="C4003" s="83">
        <v>46144</v>
      </c>
      <c r="D4003" t="s">
        <v>689</v>
      </c>
      <c r="E4003" t="s">
        <v>297</v>
      </c>
      <c r="F4003">
        <v>13</v>
      </c>
      <c r="G4003">
        <v>9.8232166666666707</v>
      </c>
    </row>
    <row r="4004" spans="1:7" x14ac:dyDescent="0.35">
      <c r="A4004" t="s">
        <v>847</v>
      </c>
      <c r="B4004" t="s">
        <v>680</v>
      </c>
      <c r="C4004" s="83">
        <v>46144</v>
      </c>
      <c r="D4004" t="s">
        <v>689</v>
      </c>
      <c r="E4004" t="s">
        <v>298</v>
      </c>
      <c r="F4004">
        <v>10</v>
      </c>
      <c r="G4004">
        <v>11.31325</v>
      </c>
    </row>
    <row r="4005" spans="1:7" x14ac:dyDescent="0.35">
      <c r="A4005" t="s">
        <v>847</v>
      </c>
      <c r="B4005" t="s">
        <v>680</v>
      </c>
      <c r="C4005" s="83">
        <v>46144</v>
      </c>
      <c r="D4005" t="s">
        <v>684</v>
      </c>
      <c r="E4005" t="s">
        <v>756</v>
      </c>
      <c r="F4005">
        <v>4</v>
      </c>
      <c r="G4005">
        <v>1.15411666666667</v>
      </c>
    </row>
    <row r="4006" spans="1:7" x14ac:dyDescent="0.35">
      <c r="A4006" t="s">
        <v>847</v>
      </c>
      <c r="B4006" t="s">
        <v>680</v>
      </c>
      <c r="C4006" s="83">
        <v>46144</v>
      </c>
      <c r="D4006" t="s">
        <v>684</v>
      </c>
      <c r="E4006" t="s">
        <v>297</v>
      </c>
      <c r="F4006">
        <v>3</v>
      </c>
      <c r="G4006">
        <v>0.66710000000000003</v>
      </c>
    </row>
    <row r="4007" spans="1:7" x14ac:dyDescent="0.35">
      <c r="A4007" t="s">
        <v>847</v>
      </c>
      <c r="B4007" t="s">
        <v>680</v>
      </c>
      <c r="C4007" s="83">
        <v>46144</v>
      </c>
      <c r="D4007" t="s">
        <v>684</v>
      </c>
      <c r="E4007" t="s">
        <v>334</v>
      </c>
      <c r="F4007">
        <v>3</v>
      </c>
      <c r="G4007">
        <v>2.9979833333333299</v>
      </c>
    </row>
    <row r="4008" spans="1:7" x14ac:dyDescent="0.35">
      <c r="A4008" t="s">
        <v>847</v>
      </c>
      <c r="B4008" t="s">
        <v>693</v>
      </c>
      <c r="C4008" s="83"/>
      <c r="F4008">
        <v>52464</v>
      </c>
      <c r="G4008">
        <v>97795.437083333003</v>
      </c>
    </row>
    <row r="4009" spans="1:7" x14ac:dyDescent="0.35">
      <c r="A4009" t="s">
        <v>847</v>
      </c>
      <c r="B4009" t="s">
        <v>680</v>
      </c>
      <c r="C4009" s="83">
        <v>46144</v>
      </c>
      <c r="D4009" t="s">
        <v>687</v>
      </c>
      <c r="E4009" t="s">
        <v>726</v>
      </c>
      <c r="F4009">
        <v>4</v>
      </c>
      <c r="G4009">
        <v>2.6528</v>
      </c>
    </row>
    <row r="4010" spans="1:7" x14ac:dyDescent="0.35">
      <c r="A4010" t="s">
        <v>847</v>
      </c>
      <c r="B4010" t="s">
        <v>680</v>
      </c>
      <c r="C4010" s="83">
        <v>46144</v>
      </c>
      <c r="D4010" t="s">
        <v>687</v>
      </c>
      <c r="E4010" t="s">
        <v>718</v>
      </c>
      <c r="F4010">
        <v>2</v>
      </c>
      <c r="G4010">
        <v>2.9995833333333302</v>
      </c>
    </row>
    <row r="4011" spans="1:7" x14ac:dyDescent="0.35">
      <c r="A4011" t="s">
        <v>847</v>
      </c>
      <c r="B4011" t="s">
        <v>680</v>
      </c>
      <c r="C4011" s="83">
        <v>46144</v>
      </c>
      <c r="D4011" t="s">
        <v>688</v>
      </c>
      <c r="E4011" t="s">
        <v>311</v>
      </c>
      <c r="F4011">
        <v>26</v>
      </c>
      <c r="G4011">
        <v>17.317499999999999</v>
      </c>
    </row>
    <row r="4012" spans="1:7" x14ac:dyDescent="0.35">
      <c r="A4012" t="s">
        <v>847</v>
      </c>
      <c r="B4012" t="s">
        <v>680</v>
      </c>
      <c r="C4012" s="83">
        <v>46144</v>
      </c>
      <c r="D4012" t="s">
        <v>688</v>
      </c>
      <c r="E4012" t="s">
        <v>720</v>
      </c>
      <c r="F4012">
        <v>13</v>
      </c>
      <c r="G4012">
        <v>7.0003166666666701</v>
      </c>
    </row>
    <row r="4013" spans="1:7" x14ac:dyDescent="0.35">
      <c r="A4013" t="s">
        <v>847</v>
      </c>
      <c r="B4013" t="s">
        <v>680</v>
      </c>
      <c r="C4013" s="83">
        <v>46144</v>
      </c>
      <c r="D4013" t="s">
        <v>688</v>
      </c>
      <c r="E4013" t="s">
        <v>778</v>
      </c>
      <c r="F4013">
        <v>3</v>
      </c>
      <c r="G4013">
        <v>0.16771666666666701</v>
      </c>
    </row>
    <row r="4014" spans="1:7" x14ac:dyDescent="0.35">
      <c r="A4014" t="s">
        <v>847</v>
      </c>
      <c r="B4014" t="s">
        <v>680</v>
      </c>
      <c r="C4014" s="83">
        <v>46144</v>
      </c>
      <c r="D4014" t="s">
        <v>690</v>
      </c>
      <c r="E4014" t="s">
        <v>723</v>
      </c>
      <c r="F4014">
        <v>12</v>
      </c>
      <c r="G4014">
        <v>31.52375</v>
      </c>
    </row>
    <row r="4015" spans="1:7" x14ac:dyDescent="0.35">
      <c r="A4015" t="s">
        <v>847</v>
      </c>
      <c r="B4015" t="s">
        <v>680</v>
      </c>
      <c r="C4015" s="83">
        <v>46144</v>
      </c>
      <c r="D4015" t="s">
        <v>690</v>
      </c>
      <c r="E4015" t="s">
        <v>311</v>
      </c>
      <c r="F4015">
        <v>9</v>
      </c>
      <c r="G4015">
        <v>4.9855833333333299</v>
      </c>
    </row>
    <row r="4016" spans="1:7" x14ac:dyDescent="0.35">
      <c r="A4016" t="s">
        <v>847</v>
      </c>
      <c r="B4016" t="s">
        <v>680</v>
      </c>
      <c r="C4016" s="83">
        <v>46144</v>
      </c>
      <c r="D4016" t="s">
        <v>690</v>
      </c>
      <c r="E4016" t="s">
        <v>338</v>
      </c>
      <c r="F4016">
        <v>8</v>
      </c>
      <c r="G4016">
        <v>16.1783</v>
      </c>
    </row>
    <row r="4017" spans="1:7" x14ac:dyDescent="0.35">
      <c r="A4017" t="s">
        <v>847</v>
      </c>
      <c r="B4017" t="s">
        <v>680</v>
      </c>
      <c r="C4017" s="83">
        <v>46144</v>
      </c>
      <c r="D4017" t="s">
        <v>685</v>
      </c>
      <c r="E4017" t="s">
        <v>312</v>
      </c>
      <c r="F4017">
        <v>10</v>
      </c>
      <c r="G4017">
        <v>4.6708999999999996</v>
      </c>
    </row>
    <row r="4018" spans="1:7" x14ac:dyDescent="0.35">
      <c r="A4018" t="s">
        <v>847</v>
      </c>
      <c r="B4018" t="s">
        <v>680</v>
      </c>
      <c r="C4018" s="83">
        <v>46144</v>
      </c>
      <c r="D4018" t="s">
        <v>685</v>
      </c>
      <c r="E4018" t="s">
        <v>316</v>
      </c>
      <c r="F4018">
        <v>8</v>
      </c>
      <c r="G4018">
        <v>9.3560666666666705</v>
      </c>
    </row>
    <row r="4019" spans="1:7" x14ac:dyDescent="0.35">
      <c r="A4019" t="s">
        <v>847</v>
      </c>
      <c r="B4019" t="s">
        <v>680</v>
      </c>
      <c r="C4019" s="83">
        <v>46144</v>
      </c>
      <c r="D4019" t="s">
        <v>685</v>
      </c>
      <c r="E4019" t="s">
        <v>338</v>
      </c>
      <c r="F4019">
        <v>3</v>
      </c>
      <c r="G4019">
        <v>0.99404999999999999</v>
      </c>
    </row>
    <row r="4020" spans="1:7" x14ac:dyDescent="0.35">
      <c r="A4020" t="s">
        <v>847</v>
      </c>
      <c r="B4020" t="s">
        <v>680</v>
      </c>
      <c r="C4020" s="83">
        <v>46145</v>
      </c>
      <c r="D4020" t="s">
        <v>681</v>
      </c>
      <c r="E4020" t="s">
        <v>296</v>
      </c>
      <c r="F4020">
        <v>63</v>
      </c>
      <c r="G4020">
        <v>19.285699999999999</v>
      </c>
    </row>
    <row r="4021" spans="1:7" x14ac:dyDescent="0.35">
      <c r="A4021" t="s">
        <v>847</v>
      </c>
      <c r="B4021" t="s">
        <v>680</v>
      </c>
      <c r="C4021" s="83">
        <v>46145</v>
      </c>
      <c r="D4021" t="s">
        <v>681</v>
      </c>
      <c r="E4021" t="s">
        <v>298</v>
      </c>
      <c r="F4021">
        <v>15</v>
      </c>
      <c r="G4021">
        <v>24.1498833333333</v>
      </c>
    </row>
    <row r="4022" spans="1:7" x14ac:dyDescent="0.35">
      <c r="A4022" t="s">
        <v>847</v>
      </c>
      <c r="B4022" t="s">
        <v>680</v>
      </c>
      <c r="C4022" s="83">
        <v>46145</v>
      </c>
      <c r="D4022" t="s">
        <v>681</v>
      </c>
      <c r="E4022" t="s">
        <v>297</v>
      </c>
      <c r="F4022">
        <v>10</v>
      </c>
      <c r="G4022">
        <v>2.5222833333333301</v>
      </c>
    </row>
    <row r="4023" spans="1:7" x14ac:dyDescent="0.35">
      <c r="A4023" t="s">
        <v>847</v>
      </c>
      <c r="B4023" t="s">
        <v>680</v>
      </c>
      <c r="C4023" s="83">
        <v>46145</v>
      </c>
      <c r="D4023" t="s">
        <v>683</v>
      </c>
      <c r="E4023" t="s">
        <v>298</v>
      </c>
      <c r="F4023">
        <v>18</v>
      </c>
      <c r="G4023">
        <v>35.997216666666702</v>
      </c>
    </row>
    <row r="4024" spans="1:7" x14ac:dyDescent="0.35">
      <c r="A4024" t="s">
        <v>847</v>
      </c>
      <c r="B4024" t="s">
        <v>680</v>
      </c>
      <c r="C4024" s="83">
        <v>46145</v>
      </c>
      <c r="D4024" t="s">
        <v>683</v>
      </c>
      <c r="E4024" t="s">
        <v>304</v>
      </c>
      <c r="F4024">
        <v>10</v>
      </c>
      <c r="G4024">
        <v>3.66516666666667</v>
      </c>
    </row>
    <row r="4025" spans="1:7" x14ac:dyDescent="0.35">
      <c r="A4025" t="s">
        <v>847</v>
      </c>
      <c r="B4025" t="s">
        <v>680</v>
      </c>
      <c r="C4025" s="83">
        <v>46145</v>
      </c>
      <c r="D4025" t="s">
        <v>683</v>
      </c>
      <c r="E4025" t="s">
        <v>334</v>
      </c>
      <c r="F4025">
        <v>8</v>
      </c>
      <c r="G4025">
        <v>4.6689833333333297</v>
      </c>
    </row>
    <row r="4026" spans="1:7" x14ac:dyDescent="0.35">
      <c r="A4026" t="s">
        <v>847</v>
      </c>
      <c r="B4026" t="s">
        <v>680</v>
      </c>
      <c r="C4026" s="83">
        <v>46145</v>
      </c>
      <c r="D4026" t="s">
        <v>689</v>
      </c>
      <c r="E4026" t="s">
        <v>300</v>
      </c>
      <c r="F4026">
        <v>11</v>
      </c>
      <c r="G4026">
        <v>4.8406166666666701</v>
      </c>
    </row>
    <row r="4027" spans="1:7" x14ac:dyDescent="0.35">
      <c r="A4027" t="s">
        <v>847</v>
      </c>
      <c r="B4027" t="s">
        <v>680</v>
      </c>
      <c r="C4027" s="83">
        <v>46145</v>
      </c>
      <c r="D4027" t="s">
        <v>689</v>
      </c>
      <c r="E4027" t="s">
        <v>297</v>
      </c>
      <c r="F4027">
        <v>8</v>
      </c>
      <c r="G4027">
        <v>5.1614166666666703</v>
      </c>
    </row>
    <row r="4028" spans="1:7" x14ac:dyDescent="0.35">
      <c r="A4028" t="s">
        <v>847</v>
      </c>
      <c r="B4028" t="s">
        <v>680</v>
      </c>
      <c r="C4028" s="83">
        <v>46145</v>
      </c>
      <c r="D4028" t="s">
        <v>689</v>
      </c>
      <c r="E4028" t="s">
        <v>298</v>
      </c>
      <c r="F4028">
        <v>8</v>
      </c>
      <c r="G4028">
        <v>6.8095333333333299</v>
      </c>
    </row>
    <row r="4029" spans="1:7" x14ac:dyDescent="0.35">
      <c r="A4029" t="s">
        <v>847</v>
      </c>
      <c r="B4029" t="s">
        <v>680</v>
      </c>
      <c r="C4029" s="83">
        <v>46145</v>
      </c>
      <c r="D4029" t="s">
        <v>684</v>
      </c>
      <c r="E4029" t="s">
        <v>297</v>
      </c>
      <c r="F4029">
        <v>6</v>
      </c>
      <c r="G4029">
        <v>3.1800333333333302</v>
      </c>
    </row>
    <row r="4030" spans="1:7" x14ac:dyDescent="0.35">
      <c r="A4030" t="s">
        <v>847</v>
      </c>
      <c r="B4030" t="s">
        <v>680</v>
      </c>
      <c r="C4030" s="83">
        <v>46145</v>
      </c>
      <c r="D4030" t="s">
        <v>684</v>
      </c>
      <c r="E4030" t="s">
        <v>300</v>
      </c>
      <c r="F4030">
        <v>4</v>
      </c>
      <c r="G4030">
        <v>2.6660833333333298</v>
      </c>
    </row>
    <row r="4031" spans="1:7" x14ac:dyDescent="0.35">
      <c r="A4031" t="s">
        <v>847</v>
      </c>
      <c r="B4031" t="s">
        <v>680</v>
      </c>
      <c r="C4031" s="83">
        <v>46145</v>
      </c>
      <c r="D4031" t="s">
        <v>684</v>
      </c>
      <c r="E4031" t="s">
        <v>298</v>
      </c>
      <c r="F4031">
        <v>3</v>
      </c>
      <c r="G4031">
        <v>1.16946666666667</v>
      </c>
    </row>
    <row r="4032" spans="1:7" x14ac:dyDescent="0.35">
      <c r="A4032" t="s">
        <v>847</v>
      </c>
      <c r="B4032" t="s">
        <v>680</v>
      </c>
      <c r="C4032" s="83">
        <v>46145</v>
      </c>
      <c r="D4032" t="s">
        <v>687</v>
      </c>
      <c r="E4032" t="s">
        <v>726</v>
      </c>
      <c r="F4032">
        <v>3</v>
      </c>
      <c r="G4032">
        <v>3.16523333333333</v>
      </c>
    </row>
    <row r="4033" spans="1:7" x14ac:dyDescent="0.35">
      <c r="A4033" t="s">
        <v>847</v>
      </c>
      <c r="B4033" t="s">
        <v>680</v>
      </c>
      <c r="C4033" s="83">
        <v>46145</v>
      </c>
      <c r="D4033" t="s">
        <v>687</v>
      </c>
      <c r="E4033" t="s">
        <v>718</v>
      </c>
      <c r="F4033">
        <v>2</v>
      </c>
      <c r="G4033">
        <v>1.8338333333333301</v>
      </c>
    </row>
    <row r="4034" spans="1:7" x14ac:dyDescent="0.35">
      <c r="A4034" t="s">
        <v>847</v>
      </c>
      <c r="B4034" t="s">
        <v>680</v>
      </c>
      <c r="C4034" s="83">
        <v>46145</v>
      </c>
      <c r="D4034" t="s">
        <v>687</v>
      </c>
      <c r="E4034" t="s">
        <v>729</v>
      </c>
      <c r="F4034">
        <v>2</v>
      </c>
      <c r="G4034">
        <v>2.9928666666666701</v>
      </c>
    </row>
    <row r="4035" spans="1:7" x14ac:dyDescent="0.35">
      <c r="A4035" t="s">
        <v>847</v>
      </c>
      <c r="B4035" t="s">
        <v>680</v>
      </c>
      <c r="C4035" s="83">
        <v>46145</v>
      </c>
      <c r="D4035" t="s">
        <v>688</v>
      </c>
      <c r="E4035" t="s">
        <v>316</v>
      </c>
      <c r="F4035">
        <v>22</v>
      </c>
      <c r="G4035">
        <v>40.841383333333297</v>
      </c>
    </row>
    <row r="4036" spans="1:7" x14ac:dyDescent="0.35">
      <c r="A4036" t="s">
        <v>847</v>
      </c>
      <c r="B4036" t="s">
        <v>680</v>
      </c>
      <c r="C4036" s="83">
        <v>46145</v>
      </c>
      <c r="D4036" t="s">
        <v>688</v>
      </c>
      <c r="E4036" t="s">
        <v>311</v>
      </c>
      <c r="F4036">
        <v>21</v>
      </c>
      <c r="G4036">
        <v>10.9834333333333</v>
      </c>
    </row>
    <row r="4037" spans="1:7" x14ac:dyDescent="0.35">
      <c r="A4037" t="s">
        <v>847</v>
      </c>
      <c r="B4037" t="s">
        <v>680</v>
      </c>
      <c r="C4037" s="83">
        <v>46145</v>
      </c>
      <c r="D4037" t="s">
        <v>688</v>
      </c>
      <c r="E4037" t="s">
        <v>720</v>
      </c>
      <c r="F4037">
        <v>8</v>
      </c>
      <c r="G4037">
        <v>6.6914499999999997</v>
      </c>
    </row>
    <row r="4038" spans="1:7" x14ac:dyDescent="0.35">
      <c r="A4038" t="s">
        <v>847</v>
      </c>
      <c r="B4038" t="s">
        <v>680</v>
      </c>
      <c r="C4038" s="83">
        <v>46145</v>
      </c>
      <c r="D4038" t="s">
        <v>690</v>
      </c>
      <c r="E4038" t="s">
        <v>311</v>
      </c>
      <c r="F4038">
        <v>11</v>
      </c>
      <c r="G4038">
        <v>7.47976666666667</v>
      </c>
    </row>
    <row r="4039" spans="1:7" x14ac:dyDescent="0.35">
      <c r="A4039" t="s">
        <v>847</v>
      </c>
      <c r="B4039" t="s">
        <v>680</v>
      </c>
      <c r="C4039" s="83">
        <v>46145</v>
      </c>
      <c r="D4039" t="s">
        <v>690</v>
      </c>
      <c r="E4039" t="s">
        <v>725</v>
      </c>
      <c r="F4039">
        <v>11</v>
      </c>
      <c r="G4039">
        <v>5.3503666666666696</v>
      </c>
    </row>
    <row r="4040" spans="1:7" x14ac:dyDescent="0.35">
      <c r="A4040" t="s">
        <v>847</v>
      </c>
      <c r="B4040" t="s">
        <v>680</v>
      </c>
      <c r="C4040" s="83">
        <v>46145</v>
      </c>
      <c r="D4040" t="s">
        <v>690</v>
      </c>
      <c r="E4040" t="s">
        <v>720</v>
      </c>
      <c r="F4040">
        <v>6</v>
      </c>
      <c r="G4040">
        <v>4.3565500000000004</v>
      </c>
    </row>
    <row r="4041" spans="1:7" x14ac:dyDescent="0.35">
      <c r="A4041" t="s">
        <v>847</v>
      </c>
      <c r="B4041" t="s">
        <v>680</v>
      </c>
      <c r="C4041" s="83">
        <v>46145</v>
      </c>
      <c r="D4041" t="s">
        <v>685</v>
      </c>
      <c r="E4041" t="s">
        <v>312</v>
      </c>
      <c r="F4041">
        <v>7</v>
      </c>
      <c r="G4041">
        <v>5.6613499999999997</v>
      </c>
    </row>
    <row r="4042" spans="1:7" x14ac:dyDescent="0.35">
      <c r="A4042" t="s">
        <v>847</v>
      </c>
      <c r="B4042" t="s">
        <v>680</v>
      </c>
      <c r="C4042" s="83">
        <v>46145</v>
      </c>
      <c r="D4042" t="s">
        <v>685</v>
      </c>
      <c r="E4042" t="s">
        <v>720</v>
      </c>
      <c r="F4042">
        <v>6</v>
      </c>
      <c r="G4042">
        <v>4.15858333333333</v>
      </c>
    </row>
    <row r="4043" spans="1:7" x14ac:dyDescent="0.35">
      <c r="A4043" t="s">
        <v>847</v>
      </c>
      <c r="B4043" t="s">
        <v>680</v>
      </c>
      <c r="C4043" s="83">
        <v>46145</v>
      </c>
      <c r="D4043" t="s">
        <v>685</v>
      </c>
      <c r="E4043" t="s">
        <v>311</v>
      </c>
      <c r="F4043">
        <v>3</v>
      </c>
      <c r="G4043">
        <v>1.0005666666666699</v>
      </c>
    </row>
    <row r="4044" spans="1:7" x14ac:dyDescent="0.35">
      <c r="A4044" t="s">
        <v>847</v>
      </c>
      <c r="B4044" t="s">
        <v>680</v>
      </c>
      <c r="C4044" s="83">
        <v>46146</v>
      </c>
      <c r="D4044" t="s">
        <v>681</v>
      </c>
      <c r="E4044" t="s">
        <v>296</v>
      </c>
      <c r="F4044">
        <v>38</v>
      </c>
      <c r="G4044">
        <v>15.830766666666699</v>
      </c>
    </row>
    <row r="4045" spans="1:7" x14ac:dyDescent="0.35">
      <c r="A4045" t="s">
        <v>847</v>
      </c>
      <c r="B4045" t="s">
        <v>680</v>
      </c>
      <c r="C4045" s="83">
        <v>46146</v>
      </c>
      <c r="D4045" t="s">
        <v>681</v>
      </c>
      <c r="E4045" t="s">
        <v>298</v>
      </c>
      <c r="F4045">
        <v>21</v>
      </c>
      <c r="G4045">
        <v>16.507816666666699</v>
      </c>
    </row>
    <row r="4046" spans="1:7" x14ac:dyDescent="0.35">
      <c r="A4046" t="s">
        <v>847</v>
      </c>
      <c r="B4046" t="s">
        <v>680</v>
      </c>
      <c r="C4046" s="83">
        <v>46146</v>
      </c>
      <c r="D4046" t="s">
        <v>681</v>
      </c>
      <c r="E4046" t="s">
        <v>297</v>
      </c>
      <c r="F4046">
        <v>9</v>
      </c>
      <c r="G4046">
        <v>2.6660833333333298</v>
      </c>
    </row>
    <row r="4047" spans="1:7" x14ac:dyDescent="0.35">
      <c r="A4047" t="s">
        <v>847</v>
      </c>
      <c r="B4047" t="s">
        <v>680</v>
      </c>
      <c r="C4047" s="83">
        <v>46146</v>
      </c>
      <c r="D4047" t="s">
        <v>683</v>
      </c>
      <c r="E4047" t="s">
        <v>296</v>
      </c>
      <c r="F4047">
        <v>27</v>
      </c>
      <c r="G4047">
        <v>17.829083333333301</v>
      </c>
    </row>
    <row r="4048" spans="1:7" x14ac:dyDescent="0.35">
      <c r="A4048" t="s">
        <v>847</v>
      </c>
      <c r="B4048" t="s">
        <v>680</v>
      </c>
      <c r="C4048" s="83">
        <v>46146</v>
      </c>
      <c r="D4048" t="s">
        <v>683</v>
      </c>
      <c r="E4048" t="s">
        <v>298</v>
      </c>
      <c r="F4048">
        <v>22</v>
      </c>
      <c r="G4048">
        <v>26.509216666666699</v>
      </c>
    </row>
    <row r="4049" spans="1:7" x14ac:dyDescent="0.35">
      <c r="A4049" t="s">
        <v>847</v>
      </c>
      <c r="B4049" t="s">
        <v>680</v>
      </c>
      <c r="C4049" s="83">
        <v>46146</v>
      </c>
      <c r="D4049" t="s">
        <v>683</v>
      </c>
      <c r="E4049" t="s">
        <v>334</v>
      </c>
      <c r="F4049">
        <v>8</v>
      </c>
      <c r="G4049">
        <v>3.1753499999999999</v>
      </c>
    </row>
    <row r="4050" spans="1:7" x14ac:dyDescent="0.35">
      <c r="A4050" t="s">
        <v>847</v>
      </c>
      <c r="B4050" t="s">
        <v>680</v>
      </c>
      <c r="C4050" s="83">
        <v>46146</v>
      </c>
      <c r="D4050" t="s">
        <v>689</v>
      </c>
      <c r="E4050" t="s">
        <v>298</v>
      </c>
      <c r="F4050">
        <v>9</v>
      </c>
      <c r="G4050">
        <v>11.333966666666701</v>
      </c>
    </row>
    <row r="4051" spans="1:7" x14ac:dyDescent="0.35">
      <c r="A4051" t="s">
        <v>847</v>
      </c>
      <c r="B4051" t="s">
        <v>680</v>
      </c>
      <c r="C4051" s="83">
        <v>46146</v>
      </c>
      <c r="D4051" t="s">
        <v>689</v>
      </c>
      <c r="E4051" t="s">
        <v>300</v>
      </c>
      <c r="F4051">
        <v>9</v>
      </c>
      <c r="G4051">
        <v>6.3275833333333296</v>
      </c>
    </row>
    <row r="4052" spans="1:7" x14ac:dyDescent="0.35">
      <c r="A4052" t="s">
        <v>847</v>
      </c>
      <c r="B4052" t="s">
        <v>680</v>
      </c>
      <c r="C4052" s="83">
        <v>46146</v>
      </c>
      <c r="D4052" t="s">
        <v>689</v>
      </c>
      <c r="E4052" t="s">
        <v>297</v>
      </c>
      <c r="F4052">
        <v>7</v>
      </c>
      <c r="G4052">
        <v>3.00078333333333</v>
      </c>
    </row>
    <row r="4053" spans="1:7" x14ac:dyDescent="0.35">
      <c r="A4053" t="s">
        <v>847</v>
      </c>
      <c r="B4053" t="s">
        <v>680</v>
      </c>
      <c r="C4053" s="83">
        <v>46146</v>
      </c>
      <c r="D4053" t="s">
        <v>684</v>
      </c>
      <c r="E4053" t="s">
        <v>297</v>
      </c>
      <c r="F4053">
        <v>4</v>
      </c>
      <c r="G4053">
        <v>0.68073333333333297</v>
      </c>
    </row>
    <row r="4054" spans="1:7" x14ac:dyDescent="0.35">
      <c r="A4054" t="s">
        <v>847</v>
      </c>
      <c r="B4054" t="s">
        <v>680</v>
      </c>
      <c r="C4054" s="83">
        <v>46146</v>
      </c>
      <c r="D4054" t="s">
        <v>684</v>
      </c>
      <c r="E4054" t="s">
        <v>334</v>
      </c>
      <c r="F4054">
        <v>3</v>
      </c>
      <c r="G4054">
        <v>5.4947499999999998</v>
      </c>
    </row>
    <row r="4055" spans="1:7" x14ac:dyDescent="0.35">
      <c r="A4055" t="s">
        <v>847</v>
      </c>
      <c r="B4055" t="s">
        <v>680</v>
      </c>
      <c r="C4055" s="83">
        <v>46146</v>
      </c>
      <c r="D4055" t="s">
        <v>684</v>
      </c>
      <c r="E4055" t="s">
        <v>304</v>
      </c>
      <c r="F4055">
        <v>2</v>
      </c>
      <c r="G4055">
        <v>0.333683333333333</v>
      </c>
    </row>
    <row r="4056" spans="1:7" x14ac:dyDescent="0.35">
      <c r="A4056" t="s">
        <v>847</v>
      </c>
      <c r="B4056" t="s">
        <v>680</v>
      </c>
      <c r="C4056" s="83">
        <v>46146</v>
      </c>
      <c r="D4056" t="s">
        <v>687</v>
      </c>
      <c r="E4056" t="s">
        <v>743</v>
      </c>
      <c r="F4056">
        <v>8</v>
      </c>
      <c r="G4056">
        <v>31.517949999999999</v>
      </c>
    </row>
    <row r="4057" spans="1:7" x14ac:dyDescent="0.35">
      <c r="A4057" t="s">
        <v>847</v>
      </c>
      <c r="B4057" t="s">
        <v>680</v>
      </c>
      <c r="C4057" s="83">
        <v>46146</v>
      </c>
      <c r="D4057" t="s">
        <v>687</v>
      </c>
      <c r="E4057" t="s">
        <v>742</v>
      </c>
      <c r="F4057">
        <v>4</v>
      </c>
      <c r="G4057">
        <v>4.6804333333333297</v>
      </c>
    </row>
    <row r="4058" spans="1:7" x14ac:dyDescent="0.35">
      <c r="A4058" t="s">
        <v>847</v>
      </c>
      <c r="B4058" t="s">
        <v>680</v>
      </c>
      <c r="C4058" s="83">
        <v>46146</v>
      </c>
      <c r="D4058" t="s">
        <v>687</v>
      </c>
      <c r="E4058" t="s">
        <v>726</v>
      </c>
      <c r="F4058">
        <v>3</v>
      </c>
      <c r="G4058">
        <v>4.6665333333333301</v>
      </c>
    </row>
    <row r="4059" spans="1:7" x14ac:dyDescent="0.35">
      <c r="A4059" t="s">
        <v>847</v>
      </c>
      <c r="B4059" t="s">
        <v>680</v>
      </c>
      <c r="C4059" s="83">
        <v>46146</v>
      </c>
      <c r="D4059" t="s">
        <v>688</v>
      </c>
      <c r="E4059" t="s">
        <v>311</v>
      </c>
      <c r="F4059">
        <v>18</v>
      </c>
      <c r="G4059">
        <v>23.493966666666701</v>
      </c>
    </row>
    <row r="4060" spans="1:7" x14ac:dyDescent="0.35">
      <c r="A4060" t="s">
        <v>847</v>
      </c>
      <c r="B4060" t="s">
        <v>680</v>
      </c>
      <c r="C4060" s="83">
        <v>46146</v>
      </c>
      <c r="D4060" t="s">
        <v>688</v>
      </c>
      <c r="E4060" t="s">
        <v>316</v>
      </c>
      <c r="F4060">
        <v>12</v>
      </c>
      <c r="G4060">
        <v>31.170033333333301</v>
      </c>
    </row>
    <row r="4061" spans="1:7" x14ac:dyDescent="0.35">
      <c r="A4061" t="s">
        <v>847</v>
      </c>
      <c r="B4061" t="s">
        <v>680</v>
      </c>
      <c r="C4061" s="83">
        <v>46146</v>
      </c>
      <c r="D4061" t="s">
        <v>688</v>
      </c>
      <c r="E4061" t="s">
        <v>321</v>
      </c>
      <c r="F4061">
        <v>7</v>
      </c>
      <c r="G4061">
        <v>2.15906666666667</v>
      </c>
    </row>
    <row r="4062" spans="1:7" x14ac:dyDescent="0.35">
      <c r="A4062" t="s">
        <v>847</v>
      </c>
      <c r="B4062" t="s">
        <v>680</v>
      </c>
      <c r="C4062" s="83">
        <v>46146</v>
      </c>
      <c r="D4062" t="s">
        <v>690</v>
      </c>
      <c r="E4062" t="s">
        <v>311</v>
      </c>
      <c r="F4062">
        <v>9</v>
      </c>
      <c r="G4062">
        <v>6.6377666666666704</v>
      </c>
    </row>
    <row r="4063" spans="1:7" x14ac:dyDescent="0.35">
      <c r="A4063" t="s">
        <v>847</v>
      </c>
      <c r="B4063" t="s">
        <v>680</v>
      </c>
      <c r="C4063" s="83">
        <v>46146</v>
      </c>
      <c r="D4063" t="s">
        <v>690</v>
      </c>
      <c r="E4063" t="s">
        <v>338</v>
      </c>
      <c r="F4063">
        <v>8</v>
      </c>
      <c r="G4063">
        <v>9.3251666666666697</v>
      </c>
    </row>
    <row r="4064" spans="1:7" x14ac:dyDescent="0.35">
      <c r="A4064" t="s">
        <v>847</v>
      </c>
      <c r="B4064" t="s">
        <v>680</v>
      </c>
      <c r="C4064" s="83">
        <v>46146</v>
      </c>
      <c r="D4064" t="s">
        <v>690</v>
      </c>
      <c r="E4064" t="s">
        <v>321</v>
      </c>
      <c r="F4064">
        <v>7</v>
      </c>
      <c r="G4064">
        <v>7.6651666666666696</v>
      </c>
    </row>
    <row r="4065" spans="1:7" x14ac:dyDescent="0.35">
      <c r="A4065" t="s">
        <v>847</v>
      </c>
      <c r="B4065" t="s">
        <v>680</v>
      </c>
      <c r="C4065" s="83">
        <v>46146</v>
      </c>
      <c r="D4065" t="s">
        <v>685</v>
      </c>
      <c r="E4065" t="s">
        <v>311</v>
      </c>
      <c r="F4065">
        <v>48</v>
      </c>
      <c r="G4065">
        <v>38.471433333333302</v>
      </c>
    </row>
    <row r="4066" spans="1:7" x14ac:dyDescent="0.35">
      <c r="A4066" t="s">
        <v>847</v>
      </c>
      <c r="B4066" t="s">
        <v>680</v>
      </c>
      <c r="C4066" s="83">
        <v>46146</v>
      </c>
      <c r="D4066" t="s">
        <v>685</v>
      </c>
      <c r="E4066" t="s">
        <v>720</v>
      </c>
      <c r="F4066">
        <v>6</v>
      </c>
      <c r="G4066">
        <v>2.4870000000000001</v>
      </c>
    </row>
    <row r="4067" spans="1:7" x14ac:dyDescent="0.35">
      <c r="A4067" t="s">
        <v>847</v>
      </c>
      <c r="B4067" t="s">
        <v>680</v>
      </c>
      <c r="C4067" s="83">
        <v>46146</v>
      </c>
      <c r="D4067" t="s">
        <v>685</v>
      </c>
      <c r="E4067" t="s">
        <v>657</v>
      </c>
      <c r="F4067">
        <v>5</v>
      </c>
      <c r="G4067">
        <v>3.6667333333333301</v>
      </c>
    </row>
    <row r="4068" spans="1:7" x14ac:dyDescent="0.35">
      <c r="A4068" t="s">
        <v>847</v>
      </c>
      <c r="B4068" t="s">
        <v>680</v>
      </c>
      <c r="C4068" s="83">
        <v>46147</v>
      </c>
      <c r="D4068" t="s">
        <v>681</v>
      </c>
      <c r="E4068" t="s">
        <v>296</v>
      </c>
      <c r="F4068">
        <v>44</v>
      </c>
      <c r="G4068">
        <v>15.5236</v>
      </c>
    </row>
    <row r="4069" spans="1:7" x14ac:dyDescent="0.35">
      <c r="A4069" t="s">
        <v>847</v>
      </c>
      <c r="B4069" t="s">
        <v>680</v>
      </c>
      <c r="C4069" s="83">
        <v>46147</v>
      </c>
      <c r="D4069" t="s">
        <v>681</v>
      </c>
      <c r="E4069" t="s">
        <v>298</v>
      </c>
      <c r="F4069">
        <v>22</v>
      </c>
      <c r="G4069">
        <v>23.5177333333333</v>
      </c>
    </row>
    <row r="4070" spans="1:7" x14ac:dyDescent="0.35">
      <c r="A4070" t="s">
        <v>847</v>
      </c>
      <c r="B4070" t="s">
        <v>680</v>
      </c>
      <c r="C4070" s="83">
        <v>46147</v>
      </c>
      <c r="D4070" t="s">
        <v>681</v>
      </c>
      <c r="E4070" t="s">
        <v>297</v>
      </c>
      <c r="F4070">
        <v>13</v>
      </c>
      <c r="G4070">
        <v>3.9722499999999998</v>
      </c>
    </row>
    <row r="4071" spans="1:7" x14ac:dyDescent="0.35">
      <c r="A4071" t="s">
        <v>847</v>
      </c>
      <c r="B4071" t="s">
        <v>680</v>
      </c>
      <c r="C4071" s="83">
        <v>46147</v>
      </c>
      <c r="D4071" t="s">
        <v>683</v>
      </c>
      <c r="E4071" t="s">
        <v>296</v>
      </c>
      <c r="F4071">
        <v>24</v>
      </c>
      <c r="G4071">
        <v>8.9740500000000001</v>
      </c>
    </row>
    <row r="4072" spans="1:7" x14ac:dyDescent="0.35">
      <c r="A4072" t="s">
        <v>847</v>
      </c>
      <c r="B4072" t="s">
        <v>680</v>
      </c>
      <c r="C4072" s="83">
        <v>46147</v>
      </c>
      <c r="D4072" t="s">
        <v>683</v>
      </c>
      <c r="E4072" t="s">
        <v>298</v>
      </c>
      <c r="F4072">
        <v>20</v>
      </c>
      <c r="G4072">
        <v>20.652233333333299</v>
      </c>
    </row>
    <row r="4073" spans="1:7" x14ac:dyDescent="0.35">
      <c r="A4073" t="s">
        <v>847</v>
      </c>
      <c r="B4073" t="s">
        <v>680</v>
      </c>
      <c r="C4073" s="83">
        <v>46147</v>
      </c>
      <c r="D4073" t="s">
        <v>683</v>
      </c>
      <c r="E4073" t="s">
        <v>334</v>
      </c>
      <c r="F4073">
        <v>4</v>
      </c>
      <c r="G4073">
        <v>2.50226666666667</v>
      </c>
    </row>
    <row r="4074" spans="1:7" x14ac:dyDescent="0.35">
      <c r="A4074" t="s">
        <v>847</v>
      </c>
      <c r="B4074" t="s">
        <v>680</v>
      </c>
      <c r="C4074" s="83">
        <v>46147</v>
      </c>
      <c r="D4074" t="s">
        <v>689</v>
      </c>
      <c r="E4074" t="s">
        <v>298</v>
      </c>
      <c r="F4074">
        <v>11</v>
      </c>
      <c r="G4074">
        <v>4.9889000000000001</v>
      </c>
    </row>
    <row r="4075" spans="1:7" x14ac:dyDescent="0.35">
      <c r="A4075" t="s">
        <v>847</v>
      </c>
      <c r="B4075" t="s">
        <v>680</v>
      </c>
      <c r="C4075" s="83">
        <v>46147</v>
      </c>
      <c r="D4075" t="s">
        <v>689</v>
      </c>
      <c r="E4075" t="s">
        <v>332</v>
      </c>
      <c r="F4075">
        <v>10</v>
      </c>
      <c r="G4075">
        <v>23.9867666666667</v>
      </c>
    </row>
    <row r="4076" spans="1:7" x14ac:dyDescent="0.35">
      <c r="A4076" t="s">
        <v>847</v>
      </c>
      <c r="B4076" t="s">
        <v>680</v>
      </c>
      <c r="C4076" s="83">
        <v>46147</v>
      </c>
      <c r="D4076" t="s">
        <v>689</v>
      </c>
      <c r="E4076" t="s">
        <v>334</v>
      </c>
      <c r="F4076">
        <v>7</v>
      </c>
      <c r="G4076">
        <v>3.9819166666666699</v>
      </c>
    </row>
    <row r="4077" spans="1:7" x14ac:dyDescent="0.35">
      <c r="A4077" t="s">
        <v>847</v>
      </c>
      <c r="B4077" t="s">
        <v>680</v>
      </c>
      <c r="C4077" s="83">
        <v>46147</v>
      </c>
      <c r="D4077" t="s">
        <v>684</v>
      </c>
      <c r="E4077" t="s">
        <v>298</v>
      </c>
      <c r="F4077">
        <v>4</v>
      </c>
      <c r="G4077">
        <v>4.83341666666667</v>
      </c>
    </row>
    <row r="4078" spans="1:7" x14ac:dyDescent="0.35">
      <c r="A4078" t="s">
        <v>847</v>
      </c>
      <c r="B4078" t="s">
        <v>680</v>
      </c>
      <c r="C4078" s="83">
        <v>46147</v>
      </c>
      <c r="D4078" t="s">
        <v>684</v>
      </c>
      <c r="E4078" t="s">
        <v>300</v>
      </c>
      <c r="F4078">
        <v>3</v>
      </c>
      <c r="G4078">
        <v>1.4880833333333301</v>
      </c>
    </row>
    <row r="4079" spans="1:7" x14ac:dyDescent="0.35">
      <c r="A4079" t="s">
        <v>847</v>
      </c>
      <c r="B4079" t="s">
        <v>680</v>
      </c>
      <c r="C4079" s="83">
        <v>46147</v>
      </c>
      <c r="D4079" t="s">
        <v>684</v>
      </c>
      <c r="E4079" t="s">
        <v>297</v>
      </c>
      <c r="F4079">
        <v>2</v>
      </c>
      <c r="G4079">
        <v>0.66690000000000005</v>
      </c>
    </row>
    <row r="4080" spans="1:7" x14ac:dyDescent="0.35">
      <c r="A4080" t="s">
        <v>847</v>
      </c>
      <c r="B4080" t="s">
        <v>680</v>
      </c>
      <c r="C4080" s="83">
        <v>46147</v>
      </c>
      <c r="D4080" t="s">
        <v>687</v>
      </c>
      <c r="E4080" t="s">
        <v>743</v>
      </c>
      <c r="F4080">
        <v>2</v>
      </c>
      <c r="G4080">
        <v>1.66746666666667</v>
      </c>
    </row>
    <row r="4081" spans="1:7" x14ac:dyDescent="0.35">
      <c r="A4081" t="s">
        <v>847</v>
      </c>
      <c r="B4081" t="s">
        <v>680</v>
      </c>
      <c r="C4081" s="83">
        <v>46147</v>
      </c>
      <c r="D4081" t="s">
        <v>687</v>
      </c>
      <c r="E4081" t="s">
        <v>717</v>
      </c>
      <c r="F4081">
        <v>2</v>
      </c>
      <c r="G4081">
        <v>1.1667666666666701</v>
      </c>
    </row>
    <row r="4082" spans="1:7" x14ac:dyDescent="0.35">
      <c r="A4082" t="s">
        <v>847</v>
      </c>
      <c r="B4082" t="s">
        <v>680</v>
      </c>
      <c r="C4082" s="83">
        <v>46147</v>
      </c>
      <c r="D4082" t="s">
        <v>688</v>
      </c>
      <c r="E4082" t="s">
        <v>311</v>
      </c>
      <c r="F4082">
        <v>29</v>
      </c>
      <c r="G4082">
        <v>12.164766666666701</v>
      </c>
    </row>
    <row r="4083" spans="1:7" x14ac:dyDescent="0.35">
      <c r="A4083" t="s">
        <v>847</v>
      </c>
      <c r="B4083" t="s">
        <v>680</v>
      </c>
      <c r="C4083" s="83">
        <v>46147</v>
      </c>
      <c r="D4083" t="s">
        <v>688</v>
      </c>
      <c r="E4083" t="s">
        <v>316</v>
      </c>
      <c r="F4083">
        <v>4</v>
      </c>
      <c r="G4083">
        <v>6.3419833333333298</v>
      </c>
    </row>
    <row r="4084" spans="1:7" x14ac:dyDescent="0.35">
      <c r="A4084" t="s">
        <v>847</v>
      </c>
      <c r="B4084" t="s">
        <v>680</v>
      </c>
      <c r="C4084" s="83">
        <v>46147</v>
      </c>
      <c r="D4084" t="s">
        <v>688</v>
      </c>
      <c r="E4084" t="s">
        <v>720</v>
      </c>
      <c r="F4084">
        <v>3</v>
      </c>
      <c r="G4084">
        <v>0.83345000000000002</v>
      </c>
    </row>
    <row r="4085" spans="1:7" x14ac:dyDescent="0.35">
      <c r="A4085" t="s">
        <v>847</v>
      </c>
      <c r="B4085" t="s">
        <v>680</v>
      </c>
      <c r="C4085" s="83">
        <v>46147</v>
      </c>
      <c r="D4085" t="s">
        <v>690</v>
      </c>
      <c r="E4085" t="s">
        <v>316</v>
      </c>
      <c r="F4085">
        <v>6</v>
      </c>
      <c r="G4085">
        <v>4.6668000000000003</v>
      </c>
    </row>
    <row r="4086" spans="1:7" x14ac:dyDescent="0.35">
      <c r="A4086" t="s">
        <v>847</v>
      </c>
      <c r="B4086" t="s">
        <v>680</v>
      </c>
      <c r="C4086" s="83">
        <v>46147</v>
      </c>
      <c r="D4086" t="s">
        <v>690</v>
      </c>
      <c r="E4086" t="s">
        <v>321</v>
      </c>
      <c r="F4086">
        <v>5</v>
      </c>
      <c r="G4086">
        <v>33.679533333333303</v>
      </c>
    </row>
    <row r="4087" spans="1:7" x14ac:dyDescent="0.35">
      <c r="A4087" t="s">
        <v>847</v>
      </c>
      <c r="B4087" t="s">
        <v>680</v>
      </c>
      <c r="C4087" s="83">
        <v>46147</v>
      </c>
      <c r="D4087" t="s">
        <v>690</v>
      </c>
      <c r="E4087" t="s">
        <v>311</v>
      </c>
      <c r="F4087">
        <v>4</v>
      </c>
      <c r="G4087">
        <v>2.1660833333333298</v>
      </c>
    </row>
    <row r="4088" spans="1:7" x14ac:dyDescent="0.35">
      <c r="A4088" t="s">
        <v>847</v>
      </c>
      <c r="B4088" t="s">
        <v>680</v>
      </c>
      <c r="C4088" s="83">
        <v>46147</v>
      </c>
      <c r="D4088" t="s">
        <v>685</v>
      </c>
      <c r="E4088" t="s">
        <v>312</v>
      </c>
      <c r="F4088">
        <v>11</v>
      </c>
      <c r="G4088">
        <v>3.3175500000000002</v>
      </c>
    </row>
    <row r="4089" spans="1:7" x14ac:dyDescent="0.35">
      <c r="A4089" t="s">
        <v>847</v>
      </c>
      <c r="B4089" t="s">
        <v>680</v>
      </c>
      <c r="C4089" s="83">
        <v>46147</v>
      </c>
      <c r="D4089" t="s">
        <v>685</v>
      </c>
      <c r="E4089" t="s">
        <v>126</v>
      </c>
      <c r="F4089">
        <v>4</v>
      </c>
      <c r="G4089">
        <v>4.3289499999999999</v>
      </c>
    </row>
    <row r="4090" spans="1:7" x14ac:dyDescent="0.35">
      <c r="A4090" t="s">
        <v>847</v>
      </c>
      <c r="B4090" t="s">
        <v>680</v>
      </c>
      <c r="C4090" s="83">
        <v>46147</v>
      </c>
      <c r="D4090" t="s">
        <v>685</v>
      </c>
      <c r="E4090" t="s">
        <v>338</v>
      </c>
      <c r="F4090">
        <v>4</v>
      </c>
      <c r="G4090">
        <v>26.336066666666699</v>
      </c>
    </row>
    <row r="4091" spans="1:7" x14ac:dyDescent="0.35">
      <c r="A4091" t="s">
        <v>847</v>
      </c>
      <c r="B4091" t="s">
        <v>680</v>
      </c>
      <c r="C4091" s="83">
        <v>46148</v>
      </c>
      <c r="D4091" t="s">
        <v>681</v>
      </c>
      <c r="E4091" t="s">
        <v>296</v>
      </c>
      <c r="F4091">
        <v>91</v>
      </c>
      <c r="G4091">
        <v>32.49295</v>
      </c>
    </row>
    <row r="4092" spans="1:7" x14ac:dyDescent="0.35">
      <c r="A4092" t="s">
        <v>847</v>
      </c>
      <c r="B4092" t="s">
        <v>680</v>
      </c>
      <c r="C4092" s="83">
        <v>46148</v>
      </c>
      <c r="D4092" t="s">
        <v>681</v>
      </c>
      <c r="E4092" t="s">
        <v>297</v>
      </c>
      <c r="F4092">
        <v>21</v>
      </c>
      <c r="G4092">
        <v>7.1602833333333296</v>
      </c>
    </row>
    <row r="4093" spans="1:7" x14ac:dyDescent="0.35">
      <c r="A4093" t="s">
        <v>847</v>
      </c>
      <c r="B4093" t="s">
        <v>680</v>
      </c>
      <c r="C4093" s="83">
        <v>46148</v>
      </c>
      <c r="D4093" t="s">
        <v>681</v>
      </c>
      <c r="E4093" t="s">
        <v>298</v>
      </c>
      <c r="F4093">
        <v>18</v>
      </c>
      <c r="G4093">
        <v>15.3386333333333</v>
      </c>
    </row>
    <row r="4094" spans="1:7" x14ac:dyDescent="0.35">
      <c r="A4094" t="s">
        <v>847</v>
      </c>
      <c r="B4094" t="s">
        <v>680</v>
      </c>
      <c r="C4094" s="83">
        <v>46148</v>
      </c>
      <c r="D4094" t="s">
        <v>683</v>
      </c>
      <c r="E4094" t="s">
        <v>298</v>
      </c>
      <c r="F4094">
        <v>27</v>
      </c>
      <c r="G4094">
        <v>29.518350000000002</v>
      </c>
    </row>
    <row r="4095" spans="1:7" x14ac:dyDescent="0.35">
      <c r="A4095" t="s">
        <v>847</v>
      </c>
      <c r="B4095" t="s">
        <v>680</v>
      </c>
      <c r="C4095" s="83">
        <v>46148</v>
      </c>
      <c r="D4095" t="s">
        <v>683</v>
      </c>
      <c r="E4095" t="s">
        <v>296</v>
      </c>
      <c r="F4095">
        <v>23</v>
      </c>
      <c r="G4095">
        <v>10.844716666666701</v>
      </c>
    </row>
    <row r="4096" spans="1:7" x14ac:dyDescent="0.35">
      <c r="A4096" t="s">
        <v>847</v>
      </c>
      <c r="B4096" t="s">
        <v>680</v>
      </c>
      <c r="C4096" s="83">
        <v>46148</v>
      </c>
      <c r="D4096" t="s">
        <v>683</v>
      </c>
      <c r="E4096" t="s">
        <v>297</v>
      </c>
      <c r="F4096">
        <v>6</v>
      </c>
      <c r="G4096">
        <v>6.3408833333333297</v>
      </c>
    </row>
    <row r="4097" spans="1:7" x14ac:dyDescent="0.35">
      <c r="A4097" t="s">
        <v>847</v>
      </c>
      <c r="B4097" t="s">
        <v>680</v>
      </c>
      <c r="C4097" s="83">
        <v>46148</v>
      </c>
      <c r="D4097" t="s">
        <v>689</v>
      </c>
      <c r="E4097" t="s">
        <v>298</v>
      </c>
      <c r="F4097">
        <v>15</v>
      </c>
      <c r="G4097">
        <v>4.9998166666666704</v>
      </c>
    </row>
    <row r="4098" spans="1:7" x14ac:dyDescent="0.35">
      <c r="A4098" t="s">
        <v>847</v>
      </c>
      <c r="B4098" t="s">
        <v>680</v>
      </c>
      <c r="C4098" s="83">
        <v>46148</v>
      </c>
      <c r="D4098" t="s">
        <v>689</v>
      </c>
      <c r="E4098" t="s">
        <v>727</v>
      </c>
      <c r="F4098">
        <v>6</v>
      </c>
      <c r="G4098">
        <v>6.1707666666666698</v>
      </c>
    </row>
    <row r="4099" spans="1:7" x14ac:dyDescent="0.35">
      <c r="A4099" t="s">
        <v>847</v>
      </c>
      <c r="B4099" t="s">
        <v>680</v>
      </c>
      <c r="C4099" s="83">
        <v>46148</v>
      </c>
      <c r="D4099" t="s">
        <v>689</v>
      </c>
      <c r="E4099" t="s">
        <v>297</v>
      </c>
      <c r="F4099">
        <v>6</v>
      </c>
      <c r="G4099">
        <v>3.0100833333333301</v>
      </c>
    </row>
    <row r="4100" spans="1:7" x14ac:dyDescent="0.35">
      <c r="A4100" t="s">
        <v>847</v>
      </c>
      <c r="B4100" t="s">
        <v>680</v>
      </c>
      <c r="C4100" s="83">
        <v>46148</v>
      </c>
      <c r="D4100" t="s">
        <v>684</v>
      </c>
      <c r="E4100" t="s">
        <v>300</v>
      </c>
      <c r="F4100">
        <v>4</v>
      </c>
      <c r="G4100">
        <v>1.32696666666667</v>
      </c>
    </row>
    <row r="4101" spans="1:7" x14ac:dyDescent="0.35">
      <c r="A4101" t="s">
        <v>847</v>
      </c>
      <c r="B4101" t="s">
        <v>680</v>
      </c>
      <c r="C4101" s="83">
        <v>46148</v>
      </c>
      <c r="D4101" t="s">
        <v>684</v>
      </c>
      <c r="E4101" t="s">
        <v>304</v>
      </c>
      <c r="F4101">
        <v>3</v>
      </c>
      <c r="G4101">
        <v>5.1679166666666703</v>
      </c>
    </row>
    <row r="4102" spans="1:7" x14ac:dyDescent="0.35">
      <c r="A4102" t="s">
        <v>847</v>
      </c>
      <c r="B4102" t="s">
        <v>680</v>
      </c>
      <c r="C4102" s="83">
        <v>46148</v>
      </c>
      <c r="D4102" t="s">
        <v>684</v>
      </c>
      <c r="E4102" t="s">
        <v>298</v>
      </c>
      <c r="F4102">
        <v>3</v>
      </c>
      <c r="G4102">
        <v>1.8278000000000001</v>
      </c>
    </row>
    <row r="4103" spans="1:7" x14ac:dyDescent="0.35">
      <c r="A4103" t="s">
        <v>847</v>
      </c>
      <c r="B4103" t="s">
        <v>680</v>
      </c>
      <c r="C4103" s="83">
        <v>46148</v>
      </c>
      <c r="D4103" t="s">
        <v>687</v>
      </c>
      <c r="E4103" t="s">
        <v>754</v>
      </c>
      <c r="F4103">
        <v>2</v>
      </c>
      <c r="G4103">
        <v>0.33301666666666702</v>
      </c>
    </row>
    <row r="4104" spans="1:7" x14ac:dyDescent="0.35">
      <c r="A4104" t="s">
        <v>847</v>
      </c>
      <c r="B4104" t="s">
        <v>680</v>
      </c>
      <c r="C4104" s="83">
        <v>46148</v>
      </c>
      <c r="D4104" t="s">
        <v>687</v>
      </c>
      <c r="E4104" t="s">
        <v>767</v>
      </c>
      <c r="F4104">
        <v>2</v>
      </c>
      <c r="G4104">
        <v>0.16666666666666699</v>
      </c>
    </row>
    <row r="4105" spans="1:7" x14ac:dyDescent="0.35">
      <c r="A4105" t="s">
        <v>847</v>
      </c>
      <c r="B4105" t="s">
        <v>680</v>
      </c>
      <c r="C4105" s="83">
        <v>46148</v>
      </c>
      <c r="D4105" t="s">
        <v>687</v>
      </c>
      <c r="E4105" t="s">
        <v>726</v>
      </c>
      <c r="F4105">
        <v>2</v>
      </c>
      <c r="G4105">
        <v>1.16005</v>
      </c>
    </row>
    <row r="4106" spans="1:7" x14ac:dyDescent="0.35">
      <c r="A4106" t="s">
        <v>847</v>
      </c>
      <c r="B4106" t="s">
        <v>680</v>
      </c>
      <c r="C4106" s="83">
        <v>46148</v>
      </c>
      <c r="D4106" t="s">
        <v>688</v>
      </c>
      <c r="E4106" t="s">
        <v>316</v>
      </c>
      <c r="F4106">
        <v>5</v>
      </c>
      <c r="G4106">
        <v>1.5085666666666699</v>
      </c>
    </row>
    <row r="4107" spans="1:7" x14ac:dyDescent="0.35">
      <c r="A4107" t="s">
        <v>847</v>
      </c>
      <c r="B4107" t="s">
        <v>680</v>
      </c>
      <c r="C4107" s="83">
        <v>46148</v>
      </c>
      <c r="D4107" t="s">
        <v>688</v>
      </c>
      <c r="E4107" t="s">
        <v>311</v>
      </c>
      <c r="F4107">
        <v>5</v>
      </c>
      <c r="G4107">
        <v>2.8332999999999999</v>
      </c>
    </row>
    <row r="4108" spans="1:7" x14ac:dyDescent="0.35">
      <c r="A4108" t="s">
        <v>847</v>
      </c>
      <c r="B4108" t="s">
        <v>680</v>
      </c>
      <c r="C4108" s="83">
        <v>46148</v>
      </c>
      <c r="D4108" t="s">
        <v>688</v>
      </c>
      <c r="E4108" t="s">
        <v>720</v>
      </c>
      <c r="F4108">
        <v>2</v>
      </c>
      <c r="G4108">
        <v>0.50041666666666695</v>
      </c>
    </row>
    <row r="4109" spans="1:7" x14ac:dyDescent="0.35">
      <c r="A4109" t="s">
        <v>847</v>
      </c>
      <c r="B4109" t="s">
        <v>680</v>
      </c>
      <c r="C4109" s="83">
        <v>46148</v>
      </c>
      <c r="D4109" t="s">
        <v>690</v>
      </c>
      <c r="E4109" t="s">
        <v>311</v>
      </c>
      <c r="F4109">
        <v>10</v>
      </c>
      <c r="G4109">
        <v>9.5002499999999994</v>
      </c>
    </row>
    <row r="4110" spans="1:7" x14ac:dyDescent="0.35">
      <c r="A4110" t="s">
        <v>847</v>
      </c>
      <c r="B4110" t="s">
        <v>680</v>
      </c>
      <c r="C4110" s="83">
        <v>46148</v>
      </c>
      <c r="D4110" t="s">
        <v>690</v>
      </c>
      <c r="E4110" t="s">
        <v>321</v>
      </c>
      <c r="F4110">
        <v>8</v>
      </c>
      <c r="G4110">
        <v>12.338333333333299</v>
      </c>
    </row>
    <row r="4111" spans="1:7" x14ac:dyDescent="0.35">
      <c r="A4111" t="s">
        <v>847</v>
      </c>
      <c r="B4111" t="s">
        <v>680</v>
      </c>
      <c r="C4111" s="83">
        <v>46148</v>
      </c>
      <c r="D4111" t="s">
        <v>690</v>
      </c>
      <c r="E4111" t="s">
        <v>316</v>
      </c>
      <c r="F4111">
        <v>3</v>
      </c>
      <c r="G4111">
        <v>2.6665333333333301</v>
      </c>
    </row>
    <row r="4112" spans="1:7" x14ac:dyDescent="0.35">
      <c r="A4112" t="s">
        <v>847</v>
      </c>
      <c r="B4112" t="s">
        <v>680</v>
      </c>
      <c r="C4112" s="83">
        <v>46148</v>
      </c>
      <c r="D4112" t="s">
        <v>685</v>
      </c>
      <c r="E4112" t="s">
        <v>311</v>
      </c>
      <c r="F4112">
        <v>6</v>
      </c>
      <c r="G4112">
        <v>2.0146500000000001</v>
      </c>
    </row>
    <row r="4113" spans="1:7" x14ac:dyDescent="0.35">
      <c r="A4113" t="s">
        <v>847</v>
      </c>
      <c r="B4113" t="s">
        <v>680</v>
      </c>
      <c r="C4113" s="83">
        <v>46148</v>
      </c>
      <c r="D4113" t="s">
        <v>685</v>
      </c>
      <c r="E4113" t="s">
        <v>316</v>
      </c>
      <c r="F4113">
        <v>4</v>
      </c>
      <c r="G4113">
        <v>0.82756666666666701</v>
      </c>
    </row>
    <row r="4114" spans="1:7" x14ac:dyDescent="0.35">
      <c r="A4114" t="s">
        <v>847</v>
      </c>
      <c r="B4114" t="s">
        <v>680</v>
      </c>
      <c r="C4114" s="83">
        <v>46148</v>
      </c>
      <c r="D4114" t="s">
        <v>685</v>
      </c>
      <c r="E4114" t="s">
        <v>720</v>
      </c>
      <c r="F4114">
        <v>2</v>
      </c>
      <c r="G4114">
        <v>0.16635</v>
      </c>
    </row>
    <row r="4115" spans="1:7" x14ac:dyDescent="0.35">
      <c r="A4115" t="s">
        <v>847</v>
      </c>
      <c r="B4115" t="s">
        <v>680</v>
      </c>
      <c r="C4115" s="83">
        <v>46149</v>
      </c>
      <c r="D4115" t="s">
        <v>681</v>
      </c>
      <c r="E4115" t="s">
        <v>296</v>
      </c>
      <c r="F4115">
        <v>56</v>
      </c>
      <c r="G4115">
        <v>17.502483333333299</v>
      </c>
    </row>
    <row r="4116" spans="1:7" x14ac:dyDescent="0.35">
      <c r="A4116" t="s">
        <v>847</v>
      </c>
      <c r="B4116" t="s">
        <v>680</v>
      </c>
      <c r="C4116" s="83">
        <v>46149</v>
      </c>
      <c r="D4116" t="s">
        <v>681</v>
      </c>
      <c r="E4116" t="s">
        <v>297</v>
      </c>
      <c r="F4116">
        <v>26</v>
      </c>
      <c r="G4116">
        <v>9.1738666666666706</v>
      </c>
    </row>
    <row r="4117" spans="1:7" x14ac:dyDescent="0.35">
      <c r="A4117" t="s">
        <v>847</v>
      </c>
      <c r="B4117" t="s">
        <v>680</v>
      </c>
      <c r="C4117" s="83">
        <v>46149</v>
      </c>
      <c r="D4117" t="s">
        <v>681</v>
      </c>
      <c r="E4117" t="s">
        <v>298</v>
      </c>
      <c r="F4117">
        <v>15</v>
      </c>
      <c r="G4117">
        <v>18.0039333333333</v>
      </c>
    </row>
    <row r="4118" spans="1:7" x14ac:dyDescent="0.35">
      <c r="A4118" t="s">
        <v>847</v>
      </c>
      <c r="B4118" t="s">
        <v>680</v>
      </c>
      <c r="C4118" s="83">
        <v>46149</v>
      </c>
      <c r="D4118" t="s">
        <v>683</v>
      </c>
      <c r="E4118" t="s">
        <v>298</v>
      </c>
      <c r="F4118">
        <v>16</v>
      </c>
      <c r="G4118">
        <v>20.187049999999999</v>
      </c>
    </row>
    <row r="4119" spans="1:7" x14ac:dyDescent="0.35">
      <c r="A4119" t="s">
        <v>847</v>
      </c>
      <c r="B4119" t="s">
        <v>680</v>
      </c>
      <c r="C4119" s="83">
        <v>46149</v>
      </c>
      <c r="D4119" t="s">
        <v>683</v>
      </c>
      <c r="E4119" t="s">
        <v>297</v>
      </c>
      <c r="F4119">
        <v>10</v>
      </c>
      <c r="G4119">
        <v>3.33955</v>
      </c>
    </row>
    <row r="4120" spans="1:7" x14ac:dyDescent="0.35">
      <c r="A4120" t="s">
        <v>847</v>
      </c>
      <c r="B4120" t="s">
        <v>680</v>
      </c>
      <c r="C4120" s="83">
        <v>46149</v>
      </c>
      <c r="D4120" t="s">
        <v>683</v>
      </c>
      <c r="E4120" t="s">
        <v>728</v>
      </c>
      <c r="F4120">
        <v>9</v>
      </c>
      <c r="G4120">
        <v>5.4993666666666696</v>
      </c>
    </row>
    <row r="4121" spans="1:7" x14ac:dyDescent="0.35">
      <c r="A4121" t="s">
        <v>847</v>
      </c>
      <c r="B4121" t="s">
        <v>680</v>
      </c>
      <c r="C4121" s="83">
        <v>46149</v>
      </c>
      <c r="D4121" t="s">
        <v>689</v>
      </c>
      <c r="E4121" t="s">
        <v>297</v>
      </c>
      <c r="F4121">
        <v>15</v>
      </c>
      <c r="G4121">
        <v>5.0294166666666698</v>
      </c>
    </row>
    <row r="4122" spans="1:7" x14ac:dyDescent="0.35">
      <c r="A4122" t="s">
        <v>847</v>
      </c>
      <c r="B4122" t="s">
        <v>680</v>
      </c>
      <c r="C4122" s="83">
        <v>46149</v>
      </c>
      <c r="D4122" t="s">
        <v>689</v>
      </c>
      <c r="E4122" t="s">
        <v>298</v>
      </c>
      <c r="F4122">
        <v>13</v>
      </c>
      <c r="G4122">
        <v>6.8481666666666703</v>
      </c>
    </row>
    <row r="4123" spans="1:7" x14ac:dyDescent="0.35">
      <c r="A4123" t="s">
        <v>847</v>
      </c>
      <c r="B4123" t="s">
        <v>680</v>
      </c>
      <c r="C4123" s="83">
        <v>46149</v>
      </c>
      <c r="D4123" t="s">
        <v>689</v>
      </c>
      <c r="E4123" t="s">
        <v>334</v>
      </c>
      <c r="F4123">
        <v>8</v>
      </c>
      <c r="G4123">
        <v>6.8258000000000001</v>
      </c>
    </row>
    <row r="4124" spans="1:7" x14ac:dyDescent="0.35">
      <c r="A4124" t="s">
        <v>847</v>
      </c>
      <c r="B4124" t="s">
        <v>680</v>
      </c>
      <c r="C4124" s="83">
        <v>46149</v>
      </c>
      <c r="D4124" t="s">
        <v>684</v>
      </c>
      <c r="E4124" t="s">
        <v>296</v>
      </c>
      <c r="F4124">
        <v>8</v>
      </c>
      <c r="G4124">
        <v>41.685400000000001</v>
      </c>
    </row>
    <row r="4125" spans="1:7" x14ac:dyDescent="0.35">
      <c r="A4125" t="s">
        <v>847</v>
      </c>
      <c r="B4125" t="s">
        <v>680</v>
      </c>
      <c r="C4125" s="83">
        <v>46149</v>
      </c>
      <c r="D4125" t="s">
        <v>684</v>
      </c>
      <c r="E4125" t="s">
        <v>297</v>
      </c>
      <c r="F4125">
        <v>6</v>
      </c>
      <c r="G4125">
        <v>2.1544500000000002</v>
      </c>
    </row>
    <row r="4126" spans="1:7" x14ac:dyDescent="0.35">
      <c r="A4126" t="s">
        <v>847</v>
      </c>
      <c r="B4126" t="s">
        <v>680</v>
      </c>
      <c r="C4126" s="83">
        <v>46149</v>
      </c>
      <c r="D4126" t="s">
        <v>684</v>
      </c>
      <c r="E4126" t="s">
        <v>334</v>
      </c>
      <c r="F4126">
        <v>3</v>
      </c>
      <c r="G4126">
        <v>2.32623333333333</v>
      </c>
    </row>
    <row r="4127" spans="1:7" x14ac:dyDescent="0.35">
      <c r="A4127" t="s">
        <v>847</v>
      </c>
      <c r="B4127" t="s">
        <v>680</v>
      </c>
      <c r="C4127" s="83">
        <v>46149</v>
      </c>
      <c r="D4127" t="s">
        <v>687</v>
      </c>
      <c r="E4127" t="s">
        <v>729</v>
      </c>
      <c r="F4127">
        <v>4</v>
      </c>
      <c r="G4127">
        <v>1.0006999999999999</v>
      </c>
    </row>
    <row r="4128" spans="1:7" x14ac:dyDescent="0.35">
      <c r="A4128" t="s">
        <v>847</v>
      </c>
      <c r="B4128" t="s">
        <v>680</v>
      </c>
      <c r="C4128" s="83">
        <v>46149</v>
      </c>
      <c r="D4128" t="s">
        <v>687</v>
      </c>
      <c r="E4128" t="s">
        <v>718</v>
      </c>
      <c r="F4128">
        <v>2</v>
      </c>
      <c r="G4128">
        <v>0.493916666666667</v>
      </c>
    </row>
    <row r="4129" spans="1:7" x14ac:dyDescent="0.35">
      <c r="A4129" t="s">
        <v>847</v>
      </c>
      <c r="B4129" t="s">
        <v>680</v>
      </c>
      <c r="C4129" s="83">
        <v>46149</v>
      </c>
      <c r="D4129" t="s">
        <v>687</v>
      </c>
      <c r="E4129" t="s">
        <v>733</v>
      </c>
      <c r="F4129">
        <v>2</v>
      </c>
      <c r="G4129">
        <v>3.33381666666667</v>
      </c>
    </row>
    <row r="4130" spans="1:7" x14ac:dyDescent="0.35">
      <c r="A4130" t="s">
        <v>847</v>
      </c>
      <c r="B4130" t="s">
        <v>680</v>
      </c>
      <c r="C4130" s="83">
        <v>46149</v>
      </c>
      <c r="D4130" t="s">
        <v>688</v>
      </c>
      <c r="E4130" t="s">
        <v>311</v>
      </c>
      <c r="F4130">
        <v>12</v>
      </c>
      <c r="G4130">
        <v>11.670116666666701</v>
      </c>
    </row>
    <row r="4131" spans="1:7" x14ac:dyDescent="0.35">
      <c r="A4131" t="s">
        <v>847</v>
      </c>
      <c r="B4131" t="s">
        <v>680</v>
      </c>
      <c r="C4131" s="83">
        <v>46149</v>
      </c>
      <c r="D4131" t="s">
        <v>688</v>
      </c>
      <c r="E4131" t="s">
        <v>720</v>
      </c>
      <c r="F4131">
        <v>5</v>
      </c>
      <c r="G4131">
        <v>2.8481333333333301</v>
      </c>
    </row>
    <row r="4132" spans="1:7" x14ac:dyDescent="0.35">
      <c r="A4132" t="s">
        <v>847</v>
      </c>
      <c r="B4132" t="s">
        <v>680</v>
      </c>
      <c r="C4132" s="83">
        <v>46149</v>
      </c>
      <c r="D4132" t="s">
        <v>688</v>
      </c>
      <c r="E4132" t="s">
        <v>316</v>
      </c>
      <c r="F4132">
        <v>4</v>
      </c>
      <c r="G4132">
        <v>10.172166666666699</v>
      </c>
    </row>
    <row r="4133" spans="1:7" x14ac:dyDescent="0.35">
      <c r="A4133" t="s">
        <v>847</v>
      </c>
      <c r="B4133" t="s">
        <v>680</v>
      </c>
      <c r="C4133" s="83">
        <v>46149</v>
      </c>
      <c r="D4133" t="s">
        <v>690</v>
      </c>
      <c r="E4133" t="s">
        <v>311</v>
      </c>
      <c r="F4133">
        <v>14</v>
      </c>
      <c r="G4133">
        <v>10.504616666666699</v>
      </c>
    </row>
    <row r="4134" spans="1:7" x14ac:dyDescent="0.35">
      <c r="A4134" t="s">
        <v>847</v>
      </c>
      <c r="B4134" t="s">
        <v>680</v>
      </c>
      <c r="C4134" s="83">
        <v>46149</v>
      </c>
      <c r="D4134" t="s">
        <v>690</v>
      </c>
      <c r="E4134" t="s">
        <v>321</v>
      </c>
      <c r="F4134">
        <v>6</v>
      </c>
      <c r="G4134">
        <v>2.5014333333333298</v>
      </c>
    </row>
    <row r="4135" spans="1:7" x14ac:dyDescent="0.35">
      <c r="A4135" t="s">
        <v>847</v>
      </c>
      <c r="B4135" t="s">
        <v>680</v>
      </c>
      <c r="C4135" s="83">
        <v>46149</v>
      </c>
      <c r="D4135" t="s">
        <v>690</v>
      </c>
      <c r="E4135" t="s">
        <v>316</v>
      </c>
      <c r="F4135">
        <v>3</v>
      </c>
      <c r="G4135">
        <v>2.0003000000000002</v>
      </c>
    </row>
    <row r="4136" spans="1:7" x14ac:dyDescent="0.35">
      <c r="A4136" t="s">
        <v>847</v>
      </c>
      <c r="B4136" t="s">
        <v>680</v>
      </c>
      <c r="C4136" s="83">
        <v>46149</v>
      </c>
      <c r="D4136" t="s">
        <v>685</v>
      </c>
      <c r="E4136" t="s">
        <v>311</v>
      </c>
      <c r="F4136">
        <v>11</v>
      </c>
      <c r="G4136">
        <v>8.0036666666666694</v>
      </c>
    </row>
    <row r="4137" spans="1:7" x14ac:dyDescent="0.35">
      <c r="A4137" t="s">
        <v>847</v>
      </c>
      <c r="B4137" t="s">
        <v>680</v>
      </c>
      <c r="C4137" s="83">
        <v>46149</v>
      </c>
      <c r="D4137" t="s">
        <v>685</v>
      </c>
      <c r="E4137" t="s">
        <v>316</v>
      </c>
      <c r="F4137">
        <v>7</v>
      </c>
      <c r="G4137">
        <v>12.9964166666667</v>
      </c>
    </row>
    <row r="4138" spans="1:7" x14ac:dyDescent="0.35">
      <c r="A4138" t="s">
        <v>847</v>
      </c>
      <c r="B4138" t="s">
        <v>680</v>
      </c>
      <c r="C4138" s="83">
        <v>46149</v>
      </c>
      <c r="D4138" t="s">
        <v>685</v>
      </c>
      <c r="E4138" t="s">
        <v>720</v>
      </c>
      <c r="F4138">
        <v>6</v>
      </c>
      <c r="G4138">
        <v>5.4855833333333299</v>
      </c>
    </row>
    <row r="4139" spans="1:7" x14ac:dyDescent="0.35">
      <c r="A4139" t="s">
        <v>847</v>
      </c>
      <c r="B4139" t="s">
        <v>680</v>
      </c>
      <c r="C4139" s="83">
        <v>46150</v>
      </c>
      <c r="D4139" t="s">
        <v>681</v>
      </c>
      <c r="E4139" t="s">
        <v>296</v>
      </c>
      <c r="F4139">
        <v>56</v>
      </c>
      <c r="G4139">
        <v>32.845683333333298</v>
      </c>
    </row>
    <row r="4140" spans="1:7" x14ac:dyDescent="0.35">
      <c r="A4140" t="s">
        <v>847</v>
      </c>
      <c r="B4140" t="s">
        <v>680</v>
      </c>
      <c r="C4140" s="83">
        <v>46150</v>
      </c>
      <c r="D4140" t="s">
        <v>681</v>
      </c>
      <c r="E4140" t="s">
        <v>298</v>
      </c>
      <c r="F4140">
        <v>18</v>
      </c>
      <c r="G4140">
        <v>26.480333333333299</v>
      </c>
    </row>
    <row r="4141" spans="1:7" x14ac:dyDescent="0.35">
      <c r="A4141" t="s">
        <v>847</v>
      </c>
      <c r="B4141" t="s">
        <v>680</v>
      </c>
      <c r="C4141" s="83">
        <v>46150</v>
      </c>
      <c r="D4141" t="s">
        <v>681</v>
      </c>
      <c r="E4141" t="s">
        <v>297</v>
      </c>
      <c r="F4141">
        <v>8</v>
      </c>
      <c r="G4141">
        <v>2.8479000000000001</v>
      </c>
    </row>
    <row r="4142" spans="1:7" x14ac:dyDescent="0.35">
      <c r="A4142" t="s">
        <v>847</v>
      </c>
      <c r="B4142" t="s">
        <v>680</v>
      </c>
      <c r="C4142" s="83">
        <v>46150</v>
      </c>
      <c r="D4142" t="s">
        <v>683</v>
      </c>
      <c r="E4142" t="s">
        <v>298</v>
      </c>
      <c r="F4142">
        <v>11</v>
      </c>
      <c r="G4142">
        <v>16.977116666666699</v>
      </c>
    </row>
    <row r="4143" spans="1:7" x14ac:dyDescent="0.35">
      <c r="A4143" t="s">
        <v>847</v>
      </c>
      <c r="B4143" t="s">
        <v>680</v>
      </c>
      <c r="C4143" s="83">
        <v>46150</v>
      </c>
      <c r="D4143" t="s">
        <v>683</v>
      </c>
      <c r="E4143" t="s">
        <v>296</v>
      </c>
      <c r="F4143">
        <v>9</v>
      </c>
      <c r="G4143">
        <v>5.6505999999999998</v>
      </c>
    </row>
    <row r="4144" spans="1:7" x14ac:dyDescent="0.35">
      <c r="A4144" t="s">
        <v>847</v>
      </c>
      <c r="B4144" t="s">
        <v>680</v>
      </c>
      <c r="C4144" s="83">
        <v>46150</v>
      </c>
      <c r="D4144" t="s">
        <v>683</v>
      </c>
      <c r="E4144" t="s">
        <v>728</v>
      </c>
      <c r="F4144">
        <v>6</v>
      </c>
      <c r="G4144">
        <v>2.6763499999999998</v>
      </c>
    </row>
    <row r="4145" spans="1:7" x14ac:dyDescent="0.35">
      <c r="A4145" t="s">
        <v>847</v>
      </c>
      <c r="B4145" t="s">
        <v>680</v>
      </c>
      <c r="C4145" s="83">
        <v>46150</v>
      </c>
      <c r="D4145" t="s">
        <v>689</v>
      </c>
      <c r="E4145" t="s">
        <v>297</v>
      </c>
      <c r="F4145">
        <v>6</v>
      </c>
      <c r="G4145">
        <v>2.8196833333333302</v>
      </c>
    </row>
    <row r="4146" spans="1:7" x14ac:dyDescent="0.35">
      <c r="A4146" t="s">
        <v>847</v>
      </c>
      <c r="B4146" t="s">
        <v>680</v>
      </c>
      <c r="C4146" s="83">
        <v>46150</v>
      </c>
      <c r="D4146" t="s">
        <v>689</v>
      </c>
      <c r="E4146" t="s">
        <v>296</v>
      </c>
      <c r="F4146">
        <v>6</v>
      </c>
      <c r="G4146">
        <v>2.9991166666666702</v>
      </c>
    </row>
    <row r="4147" spans="1:7" x14ac:dyDescent="0.35">
      <c r="A4147" t="s">
        <v>847</v>
      </c>
      <c r="B4147" t="s">
        <v>680</v>
      </c>
      <c r="C4147" s="83">
        <v>46150</v>
      </c>
      <c r="D4147" t="s">
        <v>689</v>
      </c>
      <c r="E4147" t="s">
        <v>332</v>
      </c>
      <c r="F4147">
        <v>5</v>
      </c>
      <c r="G4147">
        <v>9.6607833333333293</v>
      </c>
    </row>
    <row r="4148" spans="1:7" x14ac:dyDescent="0.35">
      <c r="A4148" t="s">
        <v>847</v>
      </c>
      <c r="B4148" t="s">
        <v>680</v>
      </c>
      <c r="C4148" s="83">
        <v>46150</v>
      </c>
      <c r="D4148" t="s">
        <v>684</v>
      </c>
      <c r="E4148" t="s">
        <v>297</v>
      </c>
      <c r="F4148">
        <v>6</v>
      </c>
      <c r="G4148">
        <v>3.4993333333333299</v>
      </c>
    </row>
    <row r="4149" spans="1:7" x14ac:dyDescent="0.35">
      <c r="A4149" t="s">
        <v>847</v>
      </c>
      <c r="B4149" t="s">
        <v>680</v>
      </c>
      <c r="C4149" s="83">
        <v>46150</v>
      </c>
      <c r="D4149" t="s">
        <v>684</v>
      </c>
      <c r="E4149" t="s">
        <v>334</v>
      </c>
      <c r="F4149">
        <v>3</v>
      </c>
      <c r="G4149">
        <v>4.1667166666666704</v>
      </c>
    </row>
    <row r="4150" spans="1:7" x14ac:dyDescent="0.35">
      <c r="A4150" t="s">
        <v>847</v>
      </c>
      <c r="B4150" t="s">
        <v>680</v>
      </c>
      <c r="C4150" s="83">
        <v>46150</v>
      </c>
      <c r="D4150" t="s">
        <v>684</v>
      </c>
      <c r="E4150" t="s">
        <v>296</v>
      </c>
      <c r="F4150">
        <v>3</v>
      </c>
      <c r="G4150">
        <v>0.339683333333333</v>
      </c>
    </row>
    <row r="4151" spans="1:7" x14ac:dyDescent="0.35">
      <c r="A4151" t="s">
        <v>847</v>
      </c>
      <c r="B4151" t="s">
        <v>680</v>
      </c>
      <c r="C4151" s="83">
        <v>46150</v>
      </c>
      <c r="D4151" t="s">
        <v>687</v>
      </c>
      <c r="E4151" t="s">
        <v>717</v>
      </c>
      <c r="F4151">
        <v>11</v>
      </c>
      <c r="G4151">
        <v>75.331283333333303</v>
      </c>
    </row>
    <row r="4152" spans="1:7" x14ac:dyDescent="0.35">
      <c r="A4152" t="s">
        <v>847</v>
      </c>
      <c r="B4152" t="s">
        <v>680</v>
      </c>
      <c r="C4152" s="83">
        <v>46150</v>
      </c>
      <c r="D4152" t="s">
        <v>687</v>
      </c>
      <c r="E4152" t="s">
        <v>735</v>
      </c>
      <c r="F4152">
        <v>3</v>
      </c>
      <c r="G4152">
        <v>0.99370000000000003</v>
      </c>
    </row>
    <row r="4153" spans="1:7" x14ac:dyDescent="0.35">
      <c r="A4153" t="s">
        <v>847</v>
      </c>
      <c r="B4153" t="s">
        <v>680</v>
      </c>
      <c r="C4153" s="83">
        <v>46150</v>
      </c>
      <c r="D4153" t="s">
        <v>687</v>
      </c>
      <c r="E4153" t="s">
        <v>733</v>
      </c>
      <c r="F4153">
        <v>3</v>
      </c>
      <c r="G4153">
        <v>9.1686333333333305</v>
      </c>
    </row>
    <row r="4154" spans="1:7" x14ac:dyDescent="0.35">
      <c r="A4154" t="s">
        <v>847</v>
      </c>
      <c r="B4154" t="s">
        <v>680</v>
      </c>
      <c r="C4154" s="83">
        <v>46150</v>
      </c>
      <c r="D4154" t="s">
        <v>688</v>
      </c>
      <c r="E4154" t="s">
        <v>720</v>
      </c>
      <c r="F4154">
        <v>8</v>
      </c>
      <c r="G4154">
        <v>8.0143500000000003</v>
      </c>
    </row>
    <row r="4155" spans="1:7" x14ac:dyDescent="0.35">
      <c r="A4155" t="s">
        <v>847</v>
      </c>
      <c r="B4155" t="s">
        <v>680</v>
      </c>
      <c r="C4155" s="83">
        <v>46150</v>
      </c>
      <c r="D4155" t="s">
        <v>688</v>
      </c>
      <c r="E4155" t="s">
        <v>311</v>
      </c>
      <c r="F4155">
        <v>3</v>
      </c>
      <c r="G4155">
        <v>2.8334333333333301</v>
      </c>
    </row>
    <row r="4156" spans="1:7" x14ac:dyDescent="0.35">
      <c r="A4156" t="s">
        <v>847</v>
      </c>
      <c r="B4156" t="s">
        <v>680</v>
      </c>
      <c r="C4156" s="83">
        <v>46150</v>
      </c>
      <c r="D4156" t="s">
        <v>688</v>
      </c>
      <c r="E4156" t="s">
        <v>321</v>
      </c>
      <c r="F4156">
        <v>3</v>
      </c>
      <c r="G4156">
        <v>0.66685000000000005</v>
      </c>
    </row>
    <row r="4157" spans="1:7" x14ac:dyDescent="0.35">
      <c r="A4157" t="s">
        <v>847</v>
      </c>
      <c r="B4157" t="s">
        <v>680</v>
      </c>
      <c r="C4157" s="83">
        <v>46150</v>
      </c>
      <c r="D4157" t="s">
        <v>690</v>
      </c>
      <c r="E4157" t="s">
        <v>321</v>
      </c>
      <c r="F4157">
        <v>12</v>
      </c>
      <c r="G4157">
        <v>8.4822333333333297</v>
      </c>
    </row>
    <row r="4158" spans="1:7" x14ac:dyDescent="0.35">
      <c r="A4158" t="s">
        <v>847</v>
      </c>
      <c r="B4158" t="s">
        <v>680</v>
      </c>
      <c r="C4158" s="83">
        <v>46150</v>
      </c>
      <c r="D4158" t="s">
        <v>690</v>
      </c>
      <c r="E4158" t="s">
        <v>720</v>
      </c>
      <c r="F4158">
        <v>9</v>
      </c>
      <c r="G4158">
        <v>7.5107666666666697</v>
      </c>
    </row>
    <row r="4159" spans="1:7" x14ac:dyDescent="0.35">
      <c r="A4159" t="s">
        <v>847</v>
      </c>
      <c r="B4159" t="s">
        <v>680</v>
      </c>
      <c r="C4159" s="83">
        <v>46150</v>
      </c>
      <c r="D4159" t="s">
        <v>690</v>
      </c>
      <c r="E4159" t="s">
        <v>311</v>
      </c>
      <c r="F4159">
        <v>6</v>
      </c>
      <c r="G4159">
        <v>3.6691833333333301</v>
      </c>
    </row>
    <row r="4160" spans="1:7" x14ac:dyDescent="0.35">
      <c r="A4160" t="s">
        <v>847</v>
      </c>
      <c r="B4160" t="s">
        <v>680</v>
      </c>
      <c r="C4160" s="83">
        <v>46150</v>
      </c>
      <c r="D4160" t="s">
        <v>685</v>
      </c>
      <c r="E4160" t="s">
        <v>311</v>
      </c>
      <c r="F4160">
        <v>6</v>
      </c>
      <c r="G4160">
        <v>4.1717166666666703</v>
      </c>
    </row>
    <row r="4161" spans="1:7" x14ac:dyDescent="0.35">
      <c r="A4161" t="s">
        <v>847</v>
      </c>
      <c r="B4161" t="s">
        <v>680</v>
      </c>
      <c r="C4161" s="83">
        <v>46150</v>
      </c>
      <c r="D4161" t="s">
        <v>685</v>
      </c>
      <c r="E4161" t="s">
        <v>316</v>
      </c>
      <c r="F4161">
        <v>3</v>
      </c>
      <c r="G4161">
        <v>2.8347333333333302</v>
      </c>
    </row>
    <row r="4162" spans="1:7" x14ac:dyDescent="0.35">
      <c r="A4162" t="s">
        <v>847</v>
      </c>
      <c r="B4162" t="s">
        <v>680</v>
      </c>
      <c r="C4162" s="83">
        <v>46150</v>
      </c>
      <c r="D4162" t="s">
        <v>685</v>
      </c>
      <c r="E4162" t="s">
        <v>720</v>
      </c>
      <c r="F4162">
        <v>3</v>
      </c>
      <c r="G4162">
        <v>1.6597500000000001</v>
      </c>
    </row>
    <row r="4163" spans="1:7" x14ac:dyDescent="0.35">
      <c r="A4163" t="s">
        <v>847</v>
      </c>
      <c r="B4163" t="s">
        <v>680</v>
      </c>
      <c r="C4163" s="83">
        <v>46151</v>
      </c>
      <c r="D4163" t="s">
        <v>681</v>
      </c>
      <c r="E4163" t="s">
        <v>297</v>
      </c>
      <c r="F4163">
        <v>13</v>
      </c>
      <c r="G4163">
        <v>9.8309833333333305</v>
      </c>
    </row>
    <row r="4164" spans="1:7" x14ac:dyDescent="0.35">
      <c r="A4164" t="s">
        <v>847</v>
      </c>
      <c r="B4164" t="s">
        <v>680</v>
      </c>
      <c r="C4164" s="83">
        <v>46151</v>
      </c>
      <c r="D4164" t="s">
        <v>681</v>
      </c>
      <c r="E4164" t="s">
        <v>296</v>
      </c>
      <c r="F4164">
        <v>13</v>
      </c>
      <c r="G4164">
        <v>13.1733666666667</v>
      </c>
    </row>
    <row r="4165" spans="1:7" x14ac:dyDescent="0.35">
      <c r="A4165" t="s">
        <v>847</v>
      </c>
      <c r="B4165" t="s">
        <v>680</v>
      </c>
      <c r="C4165" s="83">
        <v>46151</v>
      </c>
      <c r="D4165" t="s">
        <v>681</v>
      </c>
      <c r="E4165" t="s">
        <v>298</v>
      </c>
      <c r="F4165">
        <v>12</v>
      </c>
      <c r="G4165">
        <v>9.9975666666666694</v>
      </c>
    </row>
    <row r="4166" spans="1:7" x14ac:dyDescent="0.35">
      <c r="A4166" t="s">
        <v>847</v>
      </c>
      <c r="B4166" t="s">
        <v>680</v>
      </c>
      <c r="C4166" s="83">
        <v>46151</v>
      </c>
      <c r="D4166" t="s">
        <v>683</v>
      </c>
      <c r="E4166" t="s">
        <v>298</v>
      </c>
      <c r="F4166">
        <v>19</v>
      </c>
      <c r="G4166">
        <v>9.8033999999999999</v>
      </c>
    </row>
    <row r="4167" spans="1:7" x14ac:dyDescent="0.35">
      <c r="A4167" t="s">
        <v>847</v>
      </c>
      <c r="B4167" t="s">
        <v>680</v>
      </c>
      <c r="C4167" s="83">
        <v>46151</v>
      </c>
      <c r="D4167" t="s">
        <v>683</v>
      </c>
      <c r="E4167" t="s">
        <v>334</v>
      </c>
      <c r="F4167">
        <v>8</v>
      </c>
      <c r="G4167">
        <v>3.6585333333333301</v>
      </c>
    </row>
    <row r="4168" spans="1:7" x14ac:dyDescent="0.35">
      <c r="A4168" t="s">
        <v>847</v>
      </c>
      <c r="B4168" t="s">
        <v>680</v>
      </c>
      <c r="C4168" s="83">
        <v>46151</v>
      </c>
      <c r="D4168" t="s">
        <v>683</v>
      </c>
      <c r="E4168" t="s">
        <v>756</v>
      </c>
      <c r="F4168">
        <v>8</v>
      </c>
      <c r="G4168">
        <v>3.1609166666666701</v>
      </c>
    </row>
    <row r="4169" spans="1:7" x14ac:dyDescent="0.35">
      <c r="A4169" t="s">
        <v>847</v>
      </c>
      <c r="B4169" t="s">
        <v>680</v>
      </c>
      <c r="C4169" s="83">
        <v>46151</v>
      </c>
      <c r="D4169" t="s">
        <v>689</v>
      </c>
      <c r="E4169" t="s">
        <v>298</v>
      </c>
      <c r="F4169">
        <v>19</v>
      </c>
      <c r="G4169">
        <v>12.3388166666667</v>
      </c>
    </row>
    <row r="4170" spans="1:7" x14ac:dyDescent="0.35">
      <c r="A4170" t="s">
        <v>847</v>
      </c>
      <c r="B4170" t="s">
        <v>680</v>
      </c>
      <c r="C4170" s="83">
        <v>46151</v>
      </c>
      <c r="D4170" t="s">
        <v>689</v>
      </c>
      <c r="E4170" t="s">
        <v>296</v>
      </c>
      <c r="F4170">
        <v>18</v>
      </c>
      <c r="G4170">
        <v>10.1671333333333</v>
      </c>
    </row>
    <row r="4171" spans="1:7" x14ac:dyDescent="0.35">
      <c r="A4171" t="s">
        <v>847</v>
      </c>
      <c r="B4171" t="s">
        <v>680</v>
      </c>
      <c r="C4171" s="83">
        <v>46151</v>
      </c>
      <c r="D4171" t="s">
        <v>689</v>
      </c>
      <c r="E4171" t="s">
        <v>297</v>
      </c>
      <c r="F4171">
        <v>6</v>
      </c>
      <c r="G4171">
        <v>3.1763833333333298</v>
      </c>
    </row>
    <row r="4172" spans="1:7" x14ac:dyDescent="0.35">
      <c r="A4172" t="s">
        <v>847</v>
      </c>
      <c r="B4172" t="s">
        <v>680</v>
      </c>
      <c r="C4172" s="83">
        <v>46151</v>
      </c>
      <c r="D4172" t="s">
        <v>684</v>
      </c>
      <c r="E4172" t="s">
        <v>296</v>
      </c>
      <c r="F4172">
        <v>10</v>
      </c>
      <c r="G4172">
        <v>5.3474333333333304</v>
      </c>
    </row>
    <row r="4173" spans="1:7" x14ac:dyDescent="0.35">
      <c r="A4173" t="s">
        <v>847</v>
      </c>
      <c r="B4173" t="s">
        <v>680</v>
      </c>
      <c r="C4173" s="83">
        <v>46151</v>
      </c>
      <c r="D4173" t="s">
        <v>684</v>
      </c>
      <c r="E4173" t="s">
        <v>728</v>
      </c>
      <c r="F4173">
        <v>3</v>
      </c>
      <c r="G4173">
        <v>1.3289</v>
      </c>
    </row>
    <row r="4174" spans="1:7" x14ac:dyDescent="0.35">
      <c r="A4174" t="s">
        <v>847</v>
      </c>
      <c r="B4174" t="s">
        <v>680</v>
      </c>
      <c r="C4174" s="83">
        <v>46151</v>
      </c>
      <c r="D4174" t="s">
        <v>684</v>
      </c>
      <c r="E4174" t="s">
        <v>298</v>
      </c>
      <c r="F4174">
        <v>3</v>
      </c>
      <c r="G4174">
        <v>2.6690833333333299</v>
      </c>
    </row>
    <row r="4175" spans="1:7" x14ac:dyDescent="0.35">
      <c r="A4175" t="s">
        <v>847</v>
      </c>
      <c r="B4175" t="s">
        <v>680</v>
      </c>
      <c r="C4175" s="83">
        <v>46151</v>
      </c>
      <c r="D4175" t="s">
        <v>687</v>
      </c>
      <c r="E4175" t="s">
        <v>717</v>
      </c>
      <c r="F4175">
        <v>5</v>
      </c>
      <c r="G4175">
        <v>1.49465</v>
      </c>
    </row>
    <row r="4176" spans="1:7" x14ac:dyDescent="0.35">
      <c r="A4176" t="s">
        <v>847</v>
      </c>
      <c r="B4176" t="s">
        <v>680</v>
      </c>
      <c r="C4176" s="83">
        <v>46151</v>
      </c>
      <c r="D4176" t="s">
        <v>687</v>
      </c>
      <c r="E4176" t="s">
        <v>726</v>
      </c>
      <c r="F4176">
        <v>4</v>
      </c>
      <c r="G4176">
        <v>7.3423333333333298</v>
      </c>
    </row>
    <row r="4177" spans="1:7" x14ac:dyDescent="0.35">
      <c r="A4177" t="s">
        <v>847</v>
      </c>
      <c r="B4177" t="s">
        <v>680</v>
      </c>
      <c r="C4177" s="83">
        <v>46151</v>
      </c>
      <c r="D4177" t="s">
        <v>687</v>
      </c>
      <c r="E4177" t="s">
        <v>776</v>
      </c>
      <c r="F4177">
        <v>2</v>
      </c>
      <c r="G4177">
        <v>0.66688333333333305</v>
      </c>
    </row>
    <row r="4178" spans="1:7" x14ac:dyDescent="0.35">
      <c r="A4178" t="s">
        <v>847</v>
      </c>
      <c r="B4178" t="s">
        <v>680</v>
      </c>
      <c r="C4178" s="83">
        <v>46151</v>
      </c>
      <c r="D4178" t="s">
        <v>688</v>
      </c>
      <c r="E4178" t="s">
        <v>316</v>
      </c>
      <c r="F4178">
        <v>10</v>
      </c>
      <c r="G4178">
        <v>13.850683333333301</v>
      </c>
    </row>
    <row r="4179" spans="1:7" x14ac:dyDescent="0.35">
      <c r="A4179" t="s">
        <v>847</v>
      </c>
      <c r="B4179" t="s">
        <v>680</v>
      </c>
      <c r="C4179" s="83">
        <v>46151</v>
      </c>
      <c r="D4179" t="s">
        <v>688</v>
      </c>
      <c r="E4179" t="s">
        <v>312</v>
      </c>
      <c r="F4179">
        <v>9</v>
      </c>
      <c r="G4179">
        <v>4.0014166666666702</v>
      </c>
    </row>
    <row r="4180" spans="1:7" x14ac:dyDescent="0.35">
      <c r="A4180" t="s">
        <v>847</v>
      </c>
      <c r="B4180" t="s">
        <v>680</v>
      </c>
      <c r="C4180" s="83">
        <v>46151</v>
      </c>
      <c r="D4180" t="s">
        <v>688</v>
      </c>
      <c r="E4180" t="s">
        <v>311</v>
      </c>
      <c r="F4180">
        <v>5</v>
      </c>
      <c r="G4180">
        <v>2.3377833333333302</v>
      </c>
    </row>
    <row r="4181" spans="1:7" x14ac:dyDescent="0.35">
      <c r="A4181" t="s">
        <v>847</v>
      </c>
      <c r="B4181" t="s">
        <v>680</v>
      </c>
      <c r="C4181" s="83">
        <v>46151</v>
      </c>
      <c r="D4181" t="s">
        <v>690</v>
      </c>
      <c r="E4181" t="s">
        <v>311</v>
      </c>
      <c r="F4181">
        <v>7</v>
      </c>
      <c r="G4181">
        <v>4.65356666666667</v>
      </c>
    </row>
    <row r="4182" spans="1:7" x14ac:dyDescent="0.35">
      <c r="A4182" t="s">
        <v>847</v>
      </c>
      <c r="B4182" t="s">
        <v>680</v>
      </c>
      <c r="C4182" s="83">
        <v>46151</v>
      </c>
      <c r="D4182" t="s">
        <v>690</v>
      </c>
      <c r="E4182" t="s">
        <v>321</v>
      </c>
      <c r="F4182">
        <v>5</v>
      </c>
      <c r="G4182">
        <v>2.5016333333333298</v>
      </c>
    </row>
    <row r="4183" spans="1:7" x14ac:dyDescent="0.35">
      <c r="A4183" t="s">
        <v>847</v>
      </c>
      <c r="B4183" t="s">
        <v>680</v>
      </c>
      <c r="C4183" s="83">
        <v>46151</v>
      </c>
      <c r="D4183" t="s">
        <v>690</v>
      </c>
      <c r="E4183" t="s">
        <v>720</v>
      </c>
      <c r="F4183">
        <v>5</v>
      </c>
      <c r="G4183">
        <v>9.33385</v>
      </c>
    </row>
    <row r="4184" spans="1:7" x14ac:dyDescent="0.35">
      <c r="A4184" t="s">
        <v>847</v>
      </c>
      <c r="B4184" t="s">
        <v>680</v>
      </c>
      <c r="C4184" s="83">
        <v>46151</v>
      </c>
      <c r="D4184" t="s">
        <v>685</v>
      </c>
      <c r="E4184" t="s">
        <v>311</v>
      </c>
      <c r="F4184">
        <v>17</v>
      </c>
      <c r="G4184">
        <v>10.334616666666699</v>
      </c>
    </row>
    <row r="4185" spans="1:7" x14ac:dyDescent="0.35">
      <c r="A4185" t="s">
        <v>847</v>
      </c>
      <c r="B4185" t="s">
        <v>680</v>
      </c>
      <c r="C4185" s="83">
        <v>46151</v>
      </c>
      <c r="D4185" t="s">
        <v>685</v>
      </c>
      <c r="E4185" t="s">
        <v>312</v>
      </c>
      <c r="F4185">
        <v>11</v>
      </c>
      <c r="G4185">
        <v>14.502000000000001</v>
      </c>
    </row>
    <row r="4186" spans="1:7" x14ac:dyDescent="0.35">
      <c r="A4186" t="s">
        <v>847</v>
      </c>
      <c r="B4186" t="s">
        <v>680</v>
      </c>
      <c r="C4186" s="83">
        <v>46151</v>
      </c>
      <c r="D4186" t="s">
        <v>685</v>
      </c>
      <c r="E4186" t="s">
        <v>321</v>
      </c>
      <c r="F4186">
        <v>7</v>
      </c>
      <c r="G4186">
        <v>2.8401333333333301</v>
      </c>
    </row>
    <row r="4187" spans="1:7" x14ac:dyDescent="0.35">
      <c r="A4187" t="s">
        <v>847</v>
      </c>
      <c r="B4187" t="s">
        <v>680</v>
      </c>
      <c r="C4187" s="83">
        <v>46152</v>
      </c>
      <c r="D4187" t="s">
        <v>681</v>
      </c>
      <c r="E4187" t="s">
        <v>300</v>
      </c>
      <c r="F4187">
        <v>10</v>
      </c>
      <c r="G4187">
        <v>6.3427833333333297</v>
      </c>
    </row>
    <row r="4188" spans="1:7" x14ac:dyDescent="0.35">
      <c r="A4188" t="s">
        <v>847</v>
      </c>
      <c r="B4188" t="s">
        <v>680</v>
      </c>
      <c r="C4188" s="83">
        <v>46152</v>
      </c>
      <c r="D4188" t="s">
        <v>681</v>
      </c>
      <c r="E4188" t="s">
        <v>298</v>
      </c>
      <c r="F4188">
        <v>7</v>
      </c>
      <c r="G4188">
        <v>5.6750333333333298</v>
      </c>
    </row>
    <row r="4189" spans="1:7" x14ac:dyDescent="0.35">
      <c r="A4189" t="s">
        <v>847</v>
      </c>
      <c r="B4189" t="s">
        <v>680</v>
      </c>
      <c r="C4189" s="83">
        <v>46152</v>
      </c>
      <c r="D4189" t="s">
        <v>681</v>
      </c>
      <c r="E4189" t="s">
        <v>296</v>
      </c>
      <c r="F4189">
        <v>3</v>
      </c>
      <c r="G4189">
        <v>5.0021166666666703</v>
      </c>
    </row>
    <row r="4190" spans="1:7" x14ac:dyDescent="0.35">
      <c r="A4190" t="s">
        <v>847</v>
      </c>
      <c r="B4190" t="s">
        <v>680</v>
      </c>
      <c r="C4190" s="83">
        <v>46152</v>
      </c>
      <c r="D4190" t="s">
        <v>683</v>
      </c>
      <c r="E4190" t="s">
        <v>730</v>
      </c>
      <c r="F4190">
        <v>31</v>
      </c>
      <c r="G4190">
        <v>13.81105</v>
      </c>
    </row>
    <row r="4191" spans="1:7" x14ac:dyDescent="0.35">
      <c r="A4191" t="s">
        <v>847</v>
      </c>
      <c r="B4191" t="s">
        <v>680</v>
      </c>
      <c r="C4191" s="83">
        <v>46152</v>
      </c>
      <c r="D4191" t="s">
        <v>683</v>
      </c>
      <c r="E4191" t="s">
        <v>298</v>
      </c>
      <c r="F4191">
        <v>17</v>
      </c>
      <c r="G4191">
        <v>5.4905999999999997</v>
      </c>
    </row>
    <row r="4192" spans="1:7" x14ac:dyDescent="0.35">
      <c r="A4192" t="s">
        <v>847</v>
      </c>
      <c r="B4192" t="s">
        <v>680</v>
      </c>
      <c r="C4192" s="83">
        <v>46152</v>
      </c>
      <c r="D4192" t="s">
        <v>683</v>
      </c>
      <c r="E4192" t="s">
        <v>300</v>
      </c>
      <c r="F4192">
        <v>6</v>
      </c>
      <c r="G4192">
        <v>3.1828500000000002</v>
      </c>
    </row>
    <row r="4193" spans="1:7" x14ac:dyDescent="0.35">
      <c r="A4193" t="s">
        <v>847</v>
      </c>
      <c r="B4193" t="s">
        <v>680</v>
      </c>
      <c r="C4193" s="83">
        <v>46152</v>
      </c>
      <c r="D4193" t="s">
        <v>689</v>
      </c>
      <c r="E4193" t="s">
        <v>298</v>
      </c>
      <c r="F4193">
        <v>20</v>
      </c>
      <c r="G4193">
        <v>12.9961</v>
      </c>
    </row>
    <row r="4194" spans="1:7" x14ac:dyDescent="0.35">
      <c r="A4194" t="s">
        <v>847</v>
      </c>
      <c r="B4194" t="s">
        <v>680</v>
      </c>
      <c r="C4194" s="83">
        <v>46152</v>
      </c>
      <c r="D4194" t="s">
        <v>689</v>
      </c>
      <c r="E4194" t="s">
        <v>296</v>
      </c>
      <c r="F4194">
        <v>16</v>
      </c>
      <c r="G4194">
        <v>10.51975</v>
      </c>
    </row>
    <row r="4195" spans="1:7" x14ac:dyDescent="0.35">
      <c r="A4195" t="s">
        <v>847</v>
      </c>
      <c r="B4195" t="s">
        <v>680</v>
      </c>
      <c r="C4195" s="83">
        <v>46152</v>
      </c>
      <c r="D4195" t="s">
        <v>689</v>
      </c>
      <c r="E4195" t="s">
        <v>297</v>
      </c>
      <c r="F4195">
        <v>16</v>
      </c>
      <c r="G4195">
        <v>6.1656666666666702</v>
      </c>
    </row>
    <row r="4196" spans="1:7" x14ac:dyDescent="0.35">
      <c r="A4196" t="s">
        <v>847</v>
      </c>
      <c r="B4196" t="s">
        <v>680</v>
      </c>
      <c r="C4196" s="83">
        <v>46152</v>
      </c>
      <c r="D4196" t="s">
        <v>684</v>
      </c>
      <c r="E4196" t="s">
        <v>298</v>
      </c>
      <c r="F4196">
        <v>3</v>
      </c>
      <c r="G4196">
        <v>2.5017166666666699</v>
      </c>
    </row>
    <row r="4197" spans="1:7" x14ac:dyDescent="0.35">
      <c r="A4197" t="s">
        <v>847</v>
      </c>
      <c r="B4197" t="s">
        <v>680</v>
      </c>
      <c r="C4197" s="83">
        <v>46152</v>
      </c>
      <c r="D4197" t="s">
        <v>684</v>
      </c>
      <c r="E4197" t="s">
        <v>735</v>
      </c>
      <c r="F4197">
        <v>2</v>
      </c>
      <c r="G4197">
        <v>1.00095</v>
      </c>
    </row>
    <row r="4198" spans="1:7" x14ac:dyDescent="0.35">
      <c r="A4198" t="s">
        <v>847</v>
      </c>
      <c r="B4198" t="s">
        <v>680</v>
      </c>
      <c r="C4198" s="83">
        <v>46152</v>
      </c>
      <c r="D4198" t="s">
        <v>684</v>
      </c>
      <c r="E4198" t="s">
        <v>304</v>
      </c>
      <c r="F4198">
        <v>2</v>
      </c>
      <c r="G4198">
        <v>0.33381666666666698</v>
      </c>
    </row>
    <row r="4199" spans="1:7" x14ac:dyDescent="0.35">
      <c r="A4199" t="s">
        <v>847</v>
      </c>
      <c r="B4199" t="s">
        <v>680</v>
      </c>
      <c r="C4199" s="83">
        <v>46152</v>
      </c>
      <c r="D4199" t="s">
        <v>687</v>
      </c>
      <c r="E4199" t="s">
        <v>717</v>
      </c>
      <c r="F4199">
        <v>4</v>
      </c>
      <c r="G4199">
        <v>2.4948333333333301</v>
      </c>
    </row>
    <row r="4200" spans="1:7" x14ac:dyDescent="0.35">
      <c r="A4200" t="s">
        <v>847</v>
      </c>
      <c r="B4200" t="s">
        <v>680</v>
      </c>
      <c r="C4200" s="83">
        <v>46152</v>
      </c>
      <c r="D4200" t="s">
        <v>687</v>
      </c>
      <c r="E4200" t="s">
        <v>729</v>
      </c>
      <c r="F4200">
        <v>3</v>
      </c>
      <c r="G4200">
        <v>0.99929999999999997</v>
      </c>
    </row>
    <row r="4201" spans="1:7" x14ac:dyDescent="0.35">
      <c r="A4201" t="s">
        <v>847</v>
      </c>
      <c r="B4201" t="s">
        <v>680</v>
      </c>
      <c r="C4201" s="83">
        <v>46152</v>
      </c>
      <c r="D4201" t="s">
        <v>687</v>
      </c>
      <c r="E4201" t="s">
        <v>726</v>
      </c>
      <c r="F4201">
        <v>3</v>
      </c>
      <c r="G4201">
        <v>5.1593666666666698</v>
      </c>
    </row>
    <row r="4202" spans="1:7" x14ac:dyDescent="0.35">
      <c r="A4202" t="s">
        <v>847</v>
      </c>
      <c r="B4202" t="s">
        <v>680</v>
      </c>
      <c r="C4202" s="83">
        <v>46152</v>
      </c>
      <c r="D4202" t="s">
        <v>688</v>
      </c>
      <c r="E4202" t="s">
        <v>316</v>
      </c>
      <c r="F4202">
        <v>11</v>
      </c>
      <c r="G4202">
        <v>4.1658333333333299</v>
      </c>
    </row>
    <row r="4203" spans="1:7" x14ac:dyDescent="0.35">
      <c r="A4203" t="s">
        <v>847</v>
      </c>
      <c r="B4203" t="s">
        <v>680</v>
      </c>
      <c r="C4203" s="83">
        <v>46152</v>
      </c>
      <c r="D4203" t="s">
        <v>688</v>
      </c>
      <c r="E4203" t="s">
        <v>311</v>
      </c>
      <c r="F4203">
        <v>7</v>
      </c>
      <c r="G4203">
        <v>4.51521666666667</v>
      </c>
    </row>
    <row r="4204" spans="1:7" x14ac:dyDescent="0.35">
      <c r="A4204" t="s">
        <v>847</v>
      </c>
      <c r="B4204" t="s">
        <v>680</v>
      </c>
      <c r="C4204" s="83">
        <v>46152</v>
      </c>
      <c r="D4204" t="s">
        <v>688</v>
      </c>
      <c r="E4204" t="s">
        <v>321</v>
      </c>
      <c r="F4204">
        <v>6</v>
      </c>
      <c r="G4204">
        <v>3.8270166666666698</v>
      </c>
    </row>
    <row r="4205" spans="1:7" x14ac:dyDescent="0.35">
      <c r="A4205" t="s">
        <v>847</v>
      </c>
      <c r="B4205" t="s">
        <v>680</v>
      </c>
      <c r="C4205" s="83">
        <v>46152</v>
      </c>
      <c r="D4205" t="s">
        <v>690</v>
      </c>
      <c r="E4205" t="s">
        <v>321</v>
      </c>
      <c r="F4205">
        <v>5</v>
      </c>
      <c r="G4205">
        <v>1.8271333333333299</v>
      </c>
    </row>
    <row r="4206" spans="1:7" x14ac:dyDescent="0.35">
      <c r="A4206" t="s">
        <v>847</v>
      </c>
      <c r="B4206" t="s">
        <v>680</v>
      </c>
      <c r="C4206" s="83">
        <v>46152</v>
      </c>
      <c r="D4206" t="s">
        <v>690</v>
      </c>
      <c r="E4206" t="s">
        <v>312</v>
      </c>
      <c r="F4206">
        <v>4</v>
      </c>
      <c r="G4206">
        <v>0.993933333333333</v>
      </c>
    </row>
    <row r="4207" spans="1:7" x14ac:dyDescent="0.35">
      <c r="A4207" t="s">
        <v>847</v>
      </c>
      <c r="B4207" t="s">
        <v>680</v>
      </c>
      <c r="C4207" s="83">
        <v>46152</v>
      </c>
      <c r="D4207" t="s">
        <v>690</v>
      </c>
      <c r="E4207" t="s">
        <v>720</v>
      </c>
      <c r="F4207">
        <v>3</v>
      </c>
      <c r="G4207">
        <v>0.83420000000000005</v>
      </c>
    </row>
    <row r="4208" spans="1:7" x14ac:dyDescent="0.35">
      <c r="A4208" t="s">
        <v>847</v>
      </c>
      <c r="B4208" t="s">
        <v>680</v>
      </c>
      <c r="C4208" s="83">
        <v>46152</v>
      </c>
      <c r="D4208" t="s">
        <v>685</v>
      </c>
      <c r="E4208" t="s">
        <v>720</v>
      </c>
      <c r="F4208">
        <v>7</v>
      </c>
      <c r="G4208">
        <v>11.4962</v>
      </c>
    </row>
    <row r="4209" spans="1:7" x14ac:dyDescent="0.35">
      <c r="A4209" t="s">
        <v>847</v>
      </c>
      <c r="B4209" t="s">
        <v>680</v>
      </c>
      <c r="C4209" s="83">
        <v>46152</v>
      </c>
      <c r="D4209" t="s">
        <v>685</v>
      </c>
      <c r="E4209" t="s">
        <v>312</v>
      </c>
      <c r="F4209">
        <v>6</v>
      </c>
      <c r="G4209">
        <v>4.1779666666666699</v>
      </c>
    </row>
    <row r="4210" spans="1:7" x14ac:dyDescent="0.35">
      <c r="A4210" t="s">
        <v>847</v>
      </c>
      <c r="B4210" t="s">
        <v>680</v>
      </c>
      <c r="C4210" s="83">
        <v>46152</v>
      </c>
      <c r="D4210" t="s">
        <v>685</v>
      </c>
      <c r="E4210" t="s">
        <v>311</v>
      </c>
      <c r="F4210">
        <v>5</v>
      </c>
      <c r="G4210">
        <v>65.842666666666702</v>
      </c>
    </row>
    <row r="4211" spans="1:7" x14ac:dyDescent="0.35">
      <c r="A4211" t="s">
        <v>847</v>
      </c>
      <c r="B4211" t="s">
        <v>680</v>
      </c>
      <c r="C4211" s="83">
        <v>46153</v>
      </c>
      <c r="D4211" t="s">
        <v>681</v>
      </c>
      <c r="E4211" t="s">
        <v>296</v>
      </c>
      <c r="F4211">
        <v>27</v>
      </c>
      <c r="G4211">
        <v>18.136483333333299</v>
      </c>
    </row>
    <row r="4212" spans="1:7" x14ac:dyDescent="0.35">
      <c r="A4212" t="s">
        <v>847</v>
      </c>
      <c r="B4212" t="s">
        <v>680</v>
      </c>
      <c r="C4212" s="83">
        <v>46153</v>
      </c>
      <c r="D4212" t="s">
        <v>681</v>
      </c>
      <c r="E4212" t="s">
        <v>298</v>
      </c>
      <c r="F4212">
        <v>21</v>
      </c>
      <c r="G4212">
        <v>33.414783333333297</v>
      </c>
    </row>
    <row r="4213" spans="1:7" x14ac:dyDescent="0.35">
      <c r="A4213" t="s">
        <v>847</v>
      </c>
      <c r="B4213" t="s">
        <v>680</v>
      </c>
      <c r="C4213" s="83">
        <v>46153</v>
      </c>
      <c r="D4213" t="s">
        <v>681</v>
      </c>
      <c r="E4213" t="s">
        <v>727</v>
      </c>
      <c r="F4213">
        <v>8</v>
      </c>
      <c r="G4213">
        <v>1.17481666666667</v>
      </c>
    </row>
    <row r="4214" spans="1:7" x14ac:dyDescent="0.35">
      <c r="A4214" t="s">
        <v>847</v>
      </c>
      <c r="B4214" t="s">
        <v>680</v>
      </c>
      <c r="C4214" s="83">
        <v>46153</v>
      </c>
      <c r="D4214" t="s">
        <v>683</v>
      </c>
      <c r="E4214" t="s">
        <v>298</v>
      </c>
      <c r="F4214">
        <v>19</v>
      </c>
      <c r="G4214">
        <v>10.6010166666667</v>
      </c>
    </row>
    <row r="4215" spans="1:7" x14ac:dyDescent="0.35">
      <c r="A4215" t="s">
        <v>847</v>
      </c>
      <c r="B4215" t="s">
        <v>680</v>
      </c>
      <c r="C4215" s="83">
        <v>46153</v>
      </c>
      <c r="D4215" t="s">
        <v>683</v>
      </c>
      <c r="E4215" t="s">
        <v>334</v>
      </c>
      <c r="F4215">
        <v>18</v>
      </c>
      <c r="G4215">
        <v>11.9621333333333</v>
      </c>
    </row>
    <row r="4216" spans="1:7" x14ac:dyDescent="0.35">
      <c r="A4216" t="s">
        <v>847</v>
      </c>
      <c r="B4216" t="s">
        <v>680</v>
      </c>
      <c r="C4216" s="83">
        <v>46153</v>
      </c>
      <c r="D4216" t="s">
        <v>683</v>
      </c>
      <c r="E4216" t="s">
        <v>730</v>
      </c>
      <c r="F4216">
        <v>12</v>
      </c>
      <c r="G4216">
        <v>4.8137666666666696</v>
      </c>
    </row>
    <row r="4217" spans="1:7" x14ac:dyDescent="0.35">
      <c r="A4217" t="s">
        <v>847</v>
      </c>
      <c r="B4217" t="s">
        <v>680</v>
      </c>
      <c r="C4217" s="83">
        <v>46153</v>
      </c>
      <c r="D4217" t="s">
        <v>689</v>
      </c>
      <c r="E4217" t="s">
        <v>298</v>
      </c>
      <c r="F4217">
        <v>29</v>
      </c>
      <c r="G4217">
        <v>29.786249999999999</v>
      </c>
    </row>
    <row r="4218" spans="1:7" x14ac:dyDescent="0.35">
      <c r="A4218" t="s">
        <v>847</v>
      </c>
      <c r="B4218" t="s">
        <v>680</v>
      </c>
      <c r="C4218" s="83">
        <v>46153</v>
      </c>
      <c r="D4218" t="s">
        <v>689</v>
      </c>
      <c r="E4218" t="s">
        <v>296</v>
      </c>
      <c r="F4218">
        <v>23</v>
      </c>
      <c r="G4218">
        <v>13.3466</v>
      </c>
    </row>
    <row r="4219" spans="1:7" x14ac:dyDescent="0.35">
      <c r="A4219" t="s">
        <v>847</v>
      </c>
      <c r="B4219" t="s">
        <v>680</v>
      </c>
      <c r="C4219" s="83">
        <v>46153</v>
      </c>
      <c r="D4219" t="s">
        <v>689</v>
      </c>
      <c r="E4219" t="s">
        <v>297</v>
      </c>
      <c r="F4219">
        <v>13</v>
      </c>
      <c r="G4219">
        <v>7.5030333333333301</v>
      </c>
    </row>
    <row r="4220" spans="1:7" x14ac:dyDescent="0.35">
      <c r="A4220" t="s">
        <v>847</v>
      </c>
      <c r="B4220" t="s">
        <v>680</v>
      </c>
      <c r="C4220" s="83">
        <v>46153</v>
      </c>
      <c r="D4220" t="s">
        <v>684</v>
      </c>
      <c r="E4220" t="s">
        <v>334</v>
      </c>
      <c r="F4220">
        <v>5</v>
      </c>
      <c r="G4220">
        <v>3.48681666666667</v>
      </c>
    </row>
    <row r="4221" spans="1:7" x14ac:dyDescent="0.35">
      <c r="A4221" t="s">
        <v>847</v>
      </c>
      <c r="B4221" t="s">
        <v>680</v>
      </c>
      <c r="C4221" s="83">
        <v>46153</v>
      </c>
      <c r="D4221" t="s">
        <v>684</v>
      </c>
      <c r="E4221" t="s">
        <v>298</v>
      </c>
      <c r="F4221">
        <v>5</v>
      </c>
      <c r="G4221">
        <v>9.0236333333333292</v>
      </c>
    </row>
    <row r="4222" spans="1:7" x14ac:dyDescent="0.35">
      <c r="A4222" t="s">
        <v>847</v>
      </c>
      <c r="B4222" t="s">
        <v>680</v>
      </c>
      <c r="C4222" s="83">
        <v>46153</v>
      </c>
      <c r="D4222" t="s">
        <v>684</v>
      </c>
      <c r="E4222" t="s">
        <v>297</v>
      </c>
      <c r="F4222">
        <v>3</v>
      </c>
      <c r="G4222">
        <v>1.1610166666666699</v>
      </c>
    </row>
    <row r="4223" spans="1:7" x14ac:dyDescent="0.35">
      <c r="A4223" t="s">
        <v>847</v>
      </c>
      <c r="B4223" t="s">
        <v>680</v>
      </c>
      <c r="C4223" s="83">
        <v>46153</v>
      </c>
      <c r="D4223" t="s">
        <v>687</v>
      </c>
      <c r="E4223" t="s">
        <v>717</v>
      </c>
      <c r="F4223">
        <v>9</v>
      </c>
      <c r="G4223">
        <v>5.0216166666666702</v>
      </c>
    </row>
    <row r="4224" spans="1:7" x14ac:dyDescent="0.35">
      <c r="A4224" t="s">
        <v>847</v>
      </c>
      <c r="B4224" t="s">
        <v>680</v>
      </c>
      <c r="C4224" s="83">
        <v>46153</v>
      </c>
      <c r="D4224" t="s">
        <v>687</v>
      </c>
      <c r="E4224" t="s">
        <v>729</v>
      </c>
      <c r="F4224">
        <v>9</v>
      </c>
      <c r="G4224">
        <v>13.901116666666701</v>
      </c>
    </row>
    <row r="4225" spans="1:7" x14ac:dyDescent="0.35">
      <c r="A4225" t="s">
        <v>847</v>
      </c>
      <c r="B4225" t="s">
        <v>680</v>
      </c>
      <c r="C4225" s="83">
        <v>46153</v>
      </c>
      <c r="D4225" t="s">
        <v>687</v>
      </c>
      <c r="E4225" t="s">
        <v>745</v>
      </c>
      <c r="F4225">
        <v>7</v>
      </c>
      <c r="G4225">
        <v>3.1698833333333298</v>
      </c>
    </row>
    <row r="4226" spans="1:7" x14ac:dyDescent="0.35">
      <c r="A4226" t="s">
        <v>847</v>
      </c>
      <c r="B4226" t="s">
        <v>680</v>
      </c>
      <c r="C4226" s="83">
        <v>46153</v>
      </c>
      <c r="D4226" t="s">
        <v>688</v>
      </c>
      <c r="E4226" t="s">
        <v>316</v>
      </c>
      <c r="F4226">
        <v>20</v>
      </c>
      <c r="G4226">
        <v>5.3510833333333299</v>
      </c>
    </row>
    <row r="4227" spans="1:7" x14ac:dyDescent="0.35">
      <c r="A4227" t="s">
        <v>847</v>
      </c>
      <c r="B4227" t="s">
        <v>680</v>
      </c>
      <c r="C4227" s="83">
        <v>46153</v>
      </c>
      <c r="D4227" t="s">
        <v>688</v>
      </c>
      <c r="E4227" t="s">
        <v>321</v>
      </c>
      <c r="F4227">
        <v>11</v>
      </c>
      <c r="G4227">
        <v>7.9459833333333298</v>
      </c>
    </row>
    <row r="4228" spans="1:7" x14ac:dyDescent="0.35">
      <c r="A4228" t="s">
        <v>847</v>
      </c>
      <c r="B4228" t="s">
        <v>680</v>
      </c>
      <c r="C4228" s="83">
        <v>46153</v>
      </c>
      <c r="D4228" t="s">
        <v>688</v>
      </c>
      <c r="E4228" t="s">
        <v>732</v>
      </c>
      <c r="F4228">
        <v>10</v>
      </c>
      <c r="G4228">
        <v>13.5139</v>
      </c>
    </row>
    <row r="4229" spans="1:7" x14ac:dyDescent="0.35">
      <c r="A4229" t="s">
        <v>847</v>
      </c>
      <c r="B4229" t="s">
        <v>680</v>
      </c>
      <c r="C4229" s="83">
        <v>46153</v>
      </c>
      <c r="D4229" t="s">
        <v>690</v>
      </c>
      <c r="E4229" t="s">
        <v>321</v>
      </c>
      <c r="F4229">
        <v>15</v>
      </c>
      <c r="G4229">
        <v>14.190633333333301</v>
      </c>
    </row>
    <row r="4230" spans="1:7" x14ac:dyDescent="0.35">
      <c r="A4230" t="s">
        <v>847</v>
      </c>
      <c r="B4230" t="s">
        <v>680</v>
      </c>
      <c r="C4230" s="83">
        <v>46153</v>
      </c>
      <c r="D4230" t="s">
        <v>690</v>
      </c>
      <c r="E4230" t="s">
        <v>316</v>
      </c>
      <c r="F4230">
        <v>5</v>
      </c>
      <c r="G4230">
        <v>3.4922</v>
      </c>
    </row>
    <row r="4231" spans="1:7" x14ac:dyDescent="0.35">
      <c r="A4231" t="s">
        <v>847</v>
      </c>
      <c r="B4231" t="s">
        <v>680</v>
      </c>
      <c r="C4231" s="83">
        <v>46153</v>
      </c>
      <c r="D4231" t="s">
        <v>690</v>
      </c>
      <c r="E4231" t="s">
        <v>725</v>
      </c>
      <c r="F4231">
        <v>5</v>
      </c>
      <c r="G4231">
        <v>1.5178</v>
      </c>
    </row>
    <row r="4232" spans="1:7" x14ac:dyDescent="0.35">
      <c r="A4232" t="s">
        <v>847</v>
      </c>
      <c r="B4232" t="s">
        <v>680</v>
      </c>
      <c r="C4232" s="83">
        <v>46153</v>
      </c>
      <c r="D4232" t="s">
        <v>685</v>
      </c>
      <c r="E4232" t="s">
        <v>311</v>
      </c>
      <c r="F4232">
        <v>7</v>
      </c>
      <c r="G4232">
        <v>12.8569666666667</v>
      </c>
    </row>
    <row r="4233" spans="1:7" x14ac:dyDescent="0.35">
      <c r="A4233" t="s">
        <v>847</v>
      </c>
      <c r="B4233" t="s">
        <v>680</v>
      </c>
      <c r="C4233" s="83">
        <v>46153</v>
      </c>
      <c r="D4233" t="s">
        <v>685</v>
      </c>
      <c r="E4233" t="s">
        <v>321</v>
      </c>
      <c r="F4233">
        <v>6</v>
      </c>
      <c r="G4233">
        <v>4.1661000000000001</v>
      </c>
    </row>
    <row r="4234" spans="1:7" x14ac:dyDescent="0.35">
      <c r="A4234" t="s">
        <v>847</v>
      </c>
      <c r="B4234" t="s">
        <v>680</v>
      </c>
      <c r="C4234" s="83">
        <v>46153</v>
      </c>
      <c r="D4234" t="s">
        <v>685</v>
      </c>
      <c r="E4234" t="s">
        <v>126</v>
      </c>
      <c r="F4234">
        <v>6</v>
      </c>
      <c r="G4234">
        <v>7.3515666666666704</v>
      </c>
    </row>
    <row r="4235" spans="1:7" x14ac:dyDescent="0.35">
      <c r="A4235" t="s">
        <v>847</v>
      </c>
      <c r="B4235" t="s">
        <v>680</v>
      </c>
      <c r="C4235" s="83">
        <v>46154</v>
      </c>
      <c r="D4235" t="s">
        <v>681</v>
      </c>
      <c r="E4235" t="s">
        <v>296</v>
      </c>
      <c r="F4235">
        <v>27</v>
      </c>
      <c r="G4235">
        <v>13.852550000000001</v>
      </c>
    </row>
    <row r="4236" spans="1:7" x14ac:dyDescent="0.35">
      <c r="A4236" t="s">
        <v>847</v>
      </c>
      <c r="B4236" t="s">
        <v>680</v>
      </c>
      <c r="C4236" s="83">
        <v>46154</v>
      </c>
      <c r="D4236" t="s">
        <v>681</v>
      </c>
      <c r="E4236" t="s">
        <v>298</v>
      </c>
      <c r="F4236">
        <v>19</v>
      </c>
      <c r="G4236">
        <v>17.009216666666699</v>
      </c>
    </row>
    <row r="4237" spans="1:7" x14ac:dyDescent="0.35">
      <c r="A4237" t="s">
        <v>847</v>
      </c>
      <c r="B4237" t="s">
        <v>680</v>
      </c>
      <c r="C4237" s="83">
        <v>46154</v>
      </c>
      <c r="D4237" t="s">
        <v>681</v>
      </c>
      <c r="E4237" t="s">
        <v>297</v>
      </c>
      <c r="F4237">
        <v>6</v>
      </c>
      <c r="G4237">
        <v>1.65893333333333</v>
      </c>
    </row>
    <row r="4238" spans="1:7" x14ac:dyDescent="0.35">
      <c r="A4238" t="s">
        <v>847</v>
      </c>
      <c r="B4238" t="s">
        <v>680</v>
      </c>
      <c r="C4238" s="83">
        <v>46154</v>
      </c>
      <c r="D4238" t="s">
        <v>683</v>
      </c>
      <c r="E4238" t="s">
        <v>730</v>
      </c>
      <c r="F4238">
        <v>21</v>
      </c>
      <c r="G4238">
        <v>11.517049999999999</v>
      </c>
    </row>
    <row r="4239" spans="1:7" x14ac:dyDescent="0.35">
      <c r="A4239" t="s">
        <v>847</v>
      </c>
      <c r="B4239" t="s">
        <v>680</v>
      </c>
      <c r="C4239" s="83">
        <v>46154</v>
      </c>
      <c r="D4239" t="s">
        <v>683</v>
      </c>
      <c r="E4239" t="s">
        <v>334</v>
      </c>
      <c r="F4239">
        <v>17</v>
      </c>
      <c r="G4239">
        <v>9.0038</v>
      </c>
    </row>
    <row r="4240" spans="1:7" x14ac:dyDescent="0.35">
      <c r="A4240" t="s">
        <v>847</v>
      </c>
      <c r="B4240" t="s">
        <v>680</v>
      </c>
      <c r="C4240" s="83">
        <v>46154</v>
      </c>
      <c r="D4240" t="s">
        <v>683</v>
      </c>
      <c r="E4240" t="s">
        <v>298</v>
      </c>
      <c r="F4240">
        <v>15</v>
      </c>
      <c r="G4240">
        <v>7.7999833333333299</v>
      </c>
    </row>
    <row r="4241" spans="1:7" x14ac:dyDescent="0.35">
      <c r="A4241" t="s">
        <v>847</v>
      </c>
      <c r="B4241" t="s">
        <v>680</v>
      </c>
      <c r="C4241" s="83">
        <v>46154</v>
      </c>
      <c r="D4241" t="s">
        <v>689</v>
      </c>
      <c r="E4241" t="s">
        <v>298</v>
      </c>
      <c r="F4241">
        <v>29</v>
      </c>
      <c r="G4241">
        <v>13.153700000000001</v>
      </c>
    </row>
    <row r="4242" spans="1:7" x14ac:dyDescent="0.35">
      <c r="A4242" t="s">
        <v>847</v>
      </c>
      <c r="B4242" t="s">
        <v>680</v>
      </c>
      <c r="C4242" s="83">
        <v>46154</v>
      </c>
      <c r="D4242" t="s">
        <v>689</v>
      </c>
      <c r="E4242" t="s">
        <v>297</v>
      </c>
      <c r="F4242">
        <v>27</v>
      </c>
      <c r="G4242">
        <v>13.974116666666699</v>
      </c>
    </row>
    <row r="4243" spans="1:7" x14ac:dyDescent="0.35">
      <c r="A4243" t="s">
        <v>847</v>
      </c>
      <c r="B4243" t="s">
        <v>680</v>
      </c>
      <c r="C4243" s="83">
        <v>46154</v>
      </c>
      <c r="D4243" t="s">
        <v>689</v>
      </c>
      <c r="E4243" t="s">
        <v>296</v>
      </c>
      <c r="F4243">
        <v>15</v>
      </c>
      <c r="G4243">
        <v>6.8434333333333299</v>
      </c>
    </row>
    <row r="4244" spans="1:7" x14ac:dyDescent="0.35">
      <c r="A4244" t="s">
        <v>847</v>
      </c>
      <c r="B4244" t="s">
        <v>680</v>
      </c>
      <c r="C4244" s="83">
        <v>46154</v>
      </c>
      <c r="D4244" t="s">
        <v>684</v>
      </c>
      <c r="E4244" t="s">
        <v>300</v>
      </c>
      <c r="F4244">
        <v>4</v>
      </c>
      <c r="G4244">
        <v>1.01125</v>
      </c>
    </row>
    <row r="4245" spans="1:7" x14ac:dyDescent="0.35">
      <c r="A4245" t="s">
        <v>847</v>
      </c>
      <c r="B4245" t="s">
        <v>680</v>
      </c>
      <c r="C4245" s="83">
        <v>46154</v>
      </c>
      <c r="D4245" t="s">
        <v>684</v>
      </c>
      <c r="E4245" t="s">
        <v>297</v>
      </c>
      <c r="F4245">
        <v>3</v>
      </c>
      <c r="G4245">
        <v>0.67303333333333304</v>
      </c>
    </row>
    <row r="4246" spans="1:7" x14ac:dyDescent="0.35">
      <c r="A4246" t="s">
        <v>847</v>
      </c>
      <c r="B4246" t="s">
        <v>680</v>
      </c>
      <c r="C4246" s="83">
        <v>46154</v>
      </c>
      <c r="D4246" t="s">
        <v>684</v>
      </c>
      <c r="E4246" t="s">
        <v>334</v>
      </c>
      <c r="F4246">
        <v>3</v>
      </c>
      <c r="G4246">
        <v>2.1600666666666699</v>
      </c>
    </row>
    <row r="4247" spans="1:7" x14ac:dyDescent="0.35">
      <c r="A4247" t="s">
        <v>847</v>
      </c>
      <c r="B4247" t="s">
        <v>680</v>
      </c>
      <c r="C4247" s="83">
        <v>46154</v>
      </c>
      <c r="D4247" t="s">
        <v>687</v>
      </c>
      <c r="E4247" t="s">
        <v>762</v>
      </c>
      <c r="F4247">
        <v>3</v>
      </c>
      <c r="G4247">
        <v>2.1744833333333302</v>
      </c>
    </row>
    <row r="4248" spans="1:7" x14ac:dyDescent="0.35">
      <c r="A4248" t="s">
        <v>847</v>
      </c>
      <c r="B4248" t="s">
        <v>680</v>
      </c>
      <c r="C4248" s="83">
        <v>46154</v>
      </c>
      <c r="D4248" t="s">
        <v>687</v>
      </c>
      <c r="E4248" t="s">
        <v>738</v>
      </c>
      <c r="F4248">
        <v>3</v>
      </c>
      <c r="G4248">
        <v>9.1594499999999996</v>
      </c>
    </row>
    <row r="4249" spans="1:7" x14ac:dyDescent="0.35">
      <c r="A4249" t="s">
        <v>847</v>
      </c>
      <c r="B4249" t="s">
        <v>680</v>
      </c>
      <c r="C4249" s="83">
        <v>46154</v>
      </c>
      <c r="D4249" t="s">
        <v>687</v>
      </c>
      <c r="E4249" t="s">
        <v>729</v>
      </c>
      <c r="F4249">
        <v>2</v>
      </c>
      <c r="G4249">
        <v>0.67353333333333298</v>
      </c>
    </row>
    <row r="4250" spans="1:7" x14ac:dyDescent="0.35">
      <c r="A4250" t="s">
        <v>847</v>
      </c>
      <c r="B4250" t="s">
        <v>680</v>
      </c>
      <c r="C4250" s="83">
        <v>46154</v>
      </c>
      <c r="D4250" t="s">
        <v>688</v>
      </c>
      <c r="E4250" t="s">
        <v>316</v>
      </c>
      <c r="F4250">
        <v>24</v>
      </c>
      <c r="G4250">
        <v>15.642049999999999</v>
      </c>
    </row>
    <row r="4251" spans="1:7" x14ac:dyDescent="0.35">
      <c r="A4251" t="s">
        <v>847</v>
      </c>
      <c r="B4251" t="s">
        <v>680</v>
      </c>
      <c r="C4251" s="83">
        <v>46154</v>
      </c>
      <c r="D4251" t="s">
        <v>688</v>
      </c>
      <c r="E4251" t="s">
        <v>321</v>
      </c>
      <c r="F4251">
        <v>16</v>
      </c>
      <c r="G4251">
        <v>9.1885833333333302</v>
      </c>
    </row>
    <row r="4252" spans="1:7" x14ac:dyDescent="0.35">
      <c r="A4252" t="s">
        <v>847</v>
      </c>
      <c r="B4252" t="s">
        <v>680</v>
      </c>
      <c r="C4252" s="83">
        <v>46154</v>
      </c>
      <c r="D4252" t="s">
        <v>688</v>
      </c>
      <c r="E4252" t="s">
        <v>311</v>
      </c>
      <c r="F4252">
        <v>14</v>
      </c>
      <c r="G4252">
        <v>6.1708166666666697</v>
      </c>
    </row>
    <row r="4253" spans="1:7" x14ac:dyDescent="0.35">
      <c r="A4253" t="s">
        <v>847</v>
      </c>
      <c r="B4253" t="s">
        <v>680</v>
      </c>
      <c r="C4253" s="83">
        <v>46154</v>
      </c>
      <c r="D4253" t="s">
        <v>690</v>
      </c>
      <c r="E4253" t="s">
        <v>321</v>
      </c>
      <c r="F4253">
        <v>6</v>
      </c>
      <c r="G4253">
        <v>4.3409333333333304</v>
      </c>
    </row>
    <row r="4254" spans="1:7" x14ac:dyDescent="0.35">
      <c r="A4254" t="s">
        <v>847</v>
      </c>
      <c r="B4254" t="s">
        <v>680</v>
      </c>
      <c r="C4254" s="83">
        <v>46154</v>
      </c>
      <c r="D4254" t="s">
        <v>690</v>
      </c>
      <c r="E4254" t="s">
        <v>311</v>
      </c>
      <c r="F4254">
        <v>6</v>
      </c>
      <c r="G4254">
        <v>17.350383333333301</v>
      </c>
    </row>
    <row r="4255" spans="1:7" x14ac:dyDescent="0.35">
      <c r="A4255" t="s">
        <v>847</v>
      </c>
      <c r="B4255" t="s">
        <v>680</v>
      </c>
      <c r="C4255" s="83">
        <v>46154</v>
      </c>
      <c r="D4255" t="s">
        <v>690</v>
      </c>
      <c r="E4255" t="s">
        <v>725</v>
      </c>
      <c r="F4255">
        <v>4</v>
      </c>
      <c r="G4255">
        <v>1.0001166666666701</v>
      </c>
    </row>
    <row r="4256" spans="1:7" x14ac:dyDescent="0.35">
      <c r="A4256" t="s">
        <v>847</v>
      </c>
      <c r="B4256" t="s">
        <v>680</v>
      </c>
      <c r="C4256" s="83">
        <v>46154</v>
      </c>
      <c r="D4256" t="s">
        <v>685</v>
      </c>
      <c r="E4256" t="s">
        <v>311</v>
      </c>
      <c r="F4256">
        <v>11</v>
      </c>
      <c r="G4256">
        <v>10.832050000000001</v>
      </c>
    </row>
    <row r="4257" spans="1:7" x14ac:dyDescent="0.35">
      <c r="A4257" t="s">
        <v>847</v>
      </c>
      <c r="B4257" t="s">
        <v>680</v>
      </c>
      <c r="C4257" s="83">
        <v>46154</v>
      </c>
      <c r="D4257" t="s">
        <v>685</v>
      </c>
      <c r="E4257" t="s">
        <v>316</v>
      </c>
      <c r="F4257">
        <v>7</v>
      </c>
      <c r="G4257">
        <v>9.9919833333333301</v>
      </c>
    </row>
    <row r="4258" spans="1:7" x14ac:dyDescent="0.35">
      <c r="A4258" t="s">
        <v>847</v>
      </c>
      <c r="B4258" t="s">
        <v>680</v>
      </c>
      <c r="C4258" s="83">
        <v>46154</v>
      </c>
      <c r="D4258" t="s">
        <v>685</v>
      </c>
      <c r="E4258" t="s">
        <v>126</v>
      </c>
      <c r="F4258">
        <v>4</v>
      </c>
      <c r="G4258">
        <v>7.6672833333333301</v>
      </c>
    </row>
    <row r="4259" spans="1:7" x14ac:dyDescent="0.35">
      <c r="A4259" t="s">
        <v>847</v>
      </c>
      <c r="B4259" t="s">
        <v>680</v>
      </c>
      <c r="C4259" s="83">
        <v>46155</v>
      </c>
      <c r="D4259" t="s">
        <v>681</v>
      </c>
      <c r="E4259" t="s">
        <v>297</v>
      </c>
      <c r="F4259">
        <v>16</v>
      </c>
      <c r="G4259">
        <v>4.8286833333333297</v>
      </c>
    </row>
    <row r="4260" spans="1:7" x14ac:dyDescent="0.35">
      <c r="A4260" t="s">
        <v>847</v>
      </c>
      <c r="B4260" t="s">
        <v>680</v>
      </c>
      <c r="C4260" s="83">
        <v>46155</v>
      </c>
      <c r="D4260" t="s">
        <v>681</v>
      </c>
      <c r="E4260" t="s">
        <v>298</v>
      </c>
      <c r="F4260">
        <v>7</v>
      </c>
      <c r="G4260">
        <v>6.5079000000000002</v>
      </c>
    </row>
    <row r="4261" spans="1:7" x14ac:dyDescent="0.35">
      <c r="A4261" t="s">
        <v>847</v>
      </c>
      <c r="B4261" t="s">
        <v>680</v>
      </c>
      <c r="C4261" s="83">
        <v>46155</v>
      </c>
      <c r="D4261" t="s">
        <v>681</v>
      </c>
      <c r="E4261" t="s">
        <v>296</v>
      </c>
      <c r="F4261">
        <v>6</v>
      </c>
      <c r="G4261">
        <v>5.6734999999999998</v>
      </c>
    </row>
    <row r="4262" spans="1:7" x14ac:dyDescent="0.35">
      <c r="A4262" t="s">
        <v>847</v>
      </c>
      <c r="B4262" t="s">
        <v>680</v>
      </c>
      <c r="C4262" s="83">
        <v>46155</v>
      </c>
      <c r="D4262" t="s">
        <v>683</v>
      </c>
      <c r="E4262" t="s">
        <v>298</v>
      </c>
      <c r="F4262">
        <v>15</v>
      </c>
      <c r="G4262">
        <v>12.1483833333333</v>
      </c>
    </row>
    <row r="4263" spans="1:7" x14ac:dyDescent="0.35">
      <c r="A4263" t="s">
        <v>847</v>
      </c>
      <c r="B4263" t="s">
        <v>680</v>
      </c>
      <c r="C4263" s="83">
        <v>46155</v>
      </c>
      <c r="D4263" t="s">
        <v>683</v>
      </c>
      <c r="E4263" t="s">
        <v>730</v>
      </c>
      <c r="F4263">
        <v>12</v>
      </c>
      <c r="G4263">
        <v>6.0291833333333296</v>
      </c>
    </row>
    <row r="4264" spans="1:7" x14ac:dyDescent="0.35">
      <c r="A4264" t="s">
        <v>847</v>
      </c>
      <c r="B4264" t="s">
        <v>680</v>
      </c>
      <c r="C4264" s="83">
        <v>46155</v>
      </c>
      <c r="D4264" t="s">
        <v>683</v>
      </c>
      <c r="E4264" t="s">
        <v>334</v>
      </c>
      <c r="F4264">
        <v>11</v>
      </c>
      <c r="G4264">
        <v>6.4830666666666703</v>
      </c>
    </row>
    <row r="4265" spans="1:7" x14ac:dyDescent="0.35">
      <c r="A4265" t="s">
        <v>847</v>
      </c>
      <c r="B4265" t="s">
        <v>680</v>
      </c>
      <c r="C4265" s="83">
        <v>46155</v>
      </c>
      <c r="D4265" t="s">
        <v>689</v>
      </c>
      <c r="E4265" t="s">
        <v>297</v>
      </c>
      <c r="F4265">
        <v>45</v>
      </c>
      <c r="G4265">
        <v>39.982983333333301</v>
      </c>
    </row>
    <row r="4266" spans="1:7" x14ac:dyDescent="0.35">
      <c r="A4266" t="s">
        <v>847</v>
      </c>
      <c r="B4266" t="s">
        <v>680</v>
      </c>
      <c r="C4266" s="83">
        <v>46155</v>
      </c>
      <c r="D4266" t="s">
        <v>689</v>
      </c>
      <c r="E4266" t="s">
        <v>298</v>
      </c>
      <c r="F4266">
        <v>16</v>
      </c>
      <c r="G4266">
        <v>8.0073666666666696</v>
      </c>
    </row>
    <row r="4267" spans="1:7" x14ac:dyDescent="0.35">
      <c r="A4267" t="s">
        <v>847</v>
      </c>
      <c r="B4267" t="s">
        <v>680</v>
      </c>
      <c r="C4267" s="83">
        <v>46155</v>
      </c>
      <c r="D4267" t="s">
        <v>689</v>
      </c>
      <c r="E4267" t="s">
        <v>296</v>
      </c>
      <c r="F4267">
        <v>12</v>
      </c>
      <c r="G4267">
        <v>33.988833333333297</v>
      </c>
    </row>
    <row r="4268" spans="1:7" x14ac:dyDescent="0.35">
      <c r="A4268" t="s">
        <v>847</v>
      </c>
      <c r="B4268" t="s">
        <v>680</v>
      </c>
      <c r="C4268" s="83">
        <v>46155</v>
      </c>
      <c r="D4268" t="s">
        <v>684</v>
      </c>
      <c r="E4268" t="s">
        <v>297</v>
      </c>
      <c r="F4268">
        <v>5</v>
      </c>
      <c r="G4268">
        <v>4.1645833333333302</v>
      </c>
    </row>
    <row r="4269" spans="1:7" x14ac:dyDescent="0.35">
      <c r="A4269" t="s">
        <v>847</v>
      </c>
      <c r="B4269" t="s">
        <v>680</v>
      </c>
      <c r="C4269" s="83">
        <v>46155</v>
      </c>
      <c r="D4269" t="s">
        <v>684</v>
      </c>
      <c r="E4269" t="s">
        <v>300</v>
      </c>
      <c r="F4269">
        <v>3</v>
      </c>
      <c r="G4269">
        <v>0.66769999999999996</v>
      </c>
    </row>
    <row r="4270" spans="1:7" x14ac:dyDescent="0.35">
      <c r="A4270" t="s">
        <v>847</v>
      </c>
      <c r="B4270" t="s">
        <v>680</v>
      </c>
      <c r="C4270" s="83">
        <v>46155</v>
      </c>
      <c r="D4270" t="s">
        <v>684</v>
      </c>
      <c r="E4270" t="s">
        <v>298</v>
      </c>
      <c r="F4270">
        <v>3</v>
      </c>
      <c r="G4270">
        <v>1.5000500000000001</v>
      </c>
    </row>
    <row r="4271" spans="1:7" x14ac:dyDescent="0.35">
      <c r="A4271" t="s">
        <v>847</v>
      </c>
      <c r="B4271" t="s">
        <v>680</v>
      </c>
      <c r="C4271" s="83">
        <v>46155</v>
      </c>
      <c r="D4271" t="s">
        <v>687</v>
      </c>
      <c r="E4271" t="s">
        <v>718</v>
      </c>
      <c r="F4271">
        <v>5</v>
      </c>
      <c r="G4271">
        <v>3.16678333333333</v>
      </c>
    </row>
    <row r="4272" spans="1:7" x14ac:dyDescent="0.35">
      <c r="A4272" t="s">
        <v>847</v>
      </c>
      <c r="B4272" t="s">
        <v>680</v>
      </c>
      <c r="C4272" s="83">
        <v>46155</v>
      </c>
      <c r="D4272" t="s">
        <v>687</v>
      </c>
      <c r="E4272" t="s">
        <v>726</v>
      </c>
      <c r="F4272">
        <v>4</v>
      </c>
      <c r="G4272">
        <v>5.5083000000000002</v>
      </c>
    </row>
    <row r="4273" spans="1:7" x14ac:dyDescent="0.35">
      <c r="A4273" t="s">
        <v>847</v>
      </c>
      <c r="B4273" t="s">
        <v>680</v>
      </c>
      <c r="C4273" s="83">
        <v>46155</v>
      </c>
      <c r="D4273" t="s">
        <v>687</v>
      </c>
      <c r="E4273" t="s">
        <v>729</v>
      </c>
      <c r="F4273">
        <v>2</v>
      </c>
      <c r="G4273">
        <v>1.3331833333333301</v>
      </c>
    </row>
    <row r="4274" spans="1:7" x14ac:dyDescent="0.35">
      <c r="A4274" t="s">
        <v>847</v>
      </c>
      <c r="B4274" t="s">
        <v>680</v>
      </c>
      <c r="C4274" s="83">
        <v>46155</v>
      </c>
      <c r="D4274" t="s">
        <v>688</v>
      </c>
      <c r="E4274" t="s">
        <v>316</v>
      </c>
      <c r="F4274">
        <v>23</v>
      </c>
      <c r="G4274">
        <v>12.6430333333333</v>
      </c>
    </row>
    <row r="4275" spans="1:7" x14ac:dyDescent="0.35">
      <c r="A4275" t="s">
        <v>847</v>
      </c>
      <c r="B4275" t="s">
        <v>680</v>
      </c>
      <c r="C4275" s="83">
        <v>46155</v>
      </c>
      <c r="D4275" t="s">
        <v>688</v>
      </c>
      <c r="E4275" t="s">
        <v>311</v>
      </c>
      <c r="F4275">
        <v>22</v>
      </c>
      <c r="G4275">
        <v>10.840733333333301</v>
      </c>
    </row>
    <row r="4276" spans="1:7" x14ac:dyDescent="0.35">
      <c r="A4276" t="s">
        <v>847</v>
      </c>
      <c r="B4276" t="s">
        <v>680</v>
      </c>
      <c r="C4276" s="83">
        <v>46155</v>
      </c>
      <c r="D4276" t="s">
        <v>688</v>
      </c>
      <c r="E4276" t="s">
        <v>312</v>
      </c>
      <c r="F4276">
        <v>14</v>
      </c>
      <c r="G4276">
        <v>7.3568499999999997</v>
      </c>
    </row>
    <row r="4277" spans="1:7" x14ac:dyDescent="0.35">
      <c r="A4277" t="s">
        <v>847</v>
      </c>
      <c r="B4277" t="s">
        <v>680</v>
      </c>
      <c r="C4277" s="83">
        <v>46155</v>
      </c>
      <c r="D4277" t="s">
        <v>690</v>
      </c>
      <c r="E4277" t="s">
        <v>321</v>
      </c>
      <c r="F4277">
        <v>5</v>
      </c>
      <c r="G4277">
        <v>3.6690499999999999</v>
      </c>
    </row>
    <row r="4278" spans="1:7" x14ac:dyDescent="0.35">
      <c r="A4278" t="s">
        <v>847</v>
      </c>
      <c r="B4278" t="s">
        <v>680</v>
      </c>
      <c r="C4278" s="83">
        <v>46155</v>
      </c>
      <c r="D4278" t="s">
        <v>690</v>
      </c>
      <c r="E4278" t="s">
        <v>311</v>
      </c>
      <c r="F4278">
        <v>3</v>
      </c>
      <c r="G4278">
        <v>3.0075833333333302</v>
      </c>
    </row>
    <row r="4279" spans="1:7" x14ac:dyDescent="0.35">
      <c r="A4279" t="s">
        <v>847</v>
      </c>
      <c r="B4279" t="s">
        <v>680</v>
      </c>
      <c r="C4279" s="83">
        <v>46155</v>
      </c>
      <c r="D4279" t="s">
        <v>690</v>
      </c>
      <c r="E4279" t="s">
        <v>725</v>
      </c>
      <c r="F4279">
        <v>2</v>
      </c>
      <c r="G4279">
        <v>0.66748333333333298</v>
      </c>
    </row>
    <row r="4280" spans="1:7" x14ac:dyDescent="0.35">
      <c r="A4280" t="s">
        <v>847</v>
      </c>
      <c r="B4280" t="s">
        <v>680</v>
      </c>
      <c r="C4280" s="83">
        <v>46155</v>
      </c>
      <c r="D4280" t="s">
        <v>685</v>
      </c>
      <c r="E4280" t="s">
        <v>126</v>
      </c>
      <c r="F4280">
        <v>7</v>
      </c>
      <c r="G4280">
        <v>29.3435666666667</v>
      </c>
    </row>
    <row r="4281" spans="1:7" x14ac:dyDescent="0.35">
      <c r="A4281" t="s">
        <v>847</v>
      </c>
      <c r="B4281" t="s">
        <v>680</v>
      </c>
      <c r="C4281" s="83">
        <v>46155</v>
      </c>
      <c r="D4281" t="s">
        <v>685</v>
      </c>
      <c r="E4281" t="s">
        <v>321</v>
      </c>
      <c r="F4281">
        <v>4</v>
      </c>
      <c r="G4281">
        <v>0.998983333333333</v>
      </c>
    </row>
    <row r="4282" spans="1:7" x14ac:dyDescent="0.35">
      <c r="A4282" t="s">
        <v>847</v>
      </c>
      <c r="B4282" t="s">
        <v>680</v>
      </c>
      <c r="C4282" s="83">
        <v>46155</v>
      </c>
      <c r="D4282" t="s">
        <v>685</v>
      </c>
      <c r="E4282" t="s">
        <v>720</v>
      </c>
      <c r="F4282">
        <v>4</v>
      </c>
      <c r="G4282">
        <v>4.8253333333333304</v>
      </c>
    </row>
    <row r="4283" spans="1:7" x14ac:dyDescent="0.35">
      <c r="A4283" t="s">
        <v>847</v>
      </c>
      <c r="B4283" t="s">
        <v>680</v>
      </c>
      <c r="C4283" s="83">
        <v>46156</v>
      </c>
      <c r="D4283" t="s">
        <v>681</v>
      </c>
      <c r="E4283" t="s">
        <v>297</v>
      </c>
      <c r="F4283">
        <v>15</v>
      </c>
      <c r="G4283">
        <v>7.6666833333333297</v>
      </c>
    </row>
    <row r="4284" spans="1:7" x14ac:dyDescent="0.35">
      <c r="A4284" t="s">
        <v>847</v>
      </c>
      <c r="B4284" t="s">
        <v>680</v>
      </c>
      <c r="C4284" s="83">
        <v>46156</v>
      </c>
      <c r="D4284" t="s">
        <v>681</v>
      </c>
      <c r="E4284" t="s">
        <v>296</v>
      </c>
      <c r="F4284">
        <v>13</v>
      </c>
      <c r="G4284">
        <v>24.82105</v>
      </c>
    </row>
    <row r="4285" spans="1:7" x14ac:dyDescent="0.35">
      <c r="A4285" t="s">
        <v>847</v>
      </c>
      <c r="B4285" t="s">
        <v>680</v>
      </c>
      <c r="C4285" s="83">
        <v>46156</v>
      </c>
      <c r="D4285" t="s">
        <v>681</v>
      </c>
      <c r="E4285" t="s">
        <v>298</v>
      </c>
      <c r="F4285">
        <v>6</v>
      </c>
      <c r="G4285">
        <v>8.16956666666667</v>
      </c>
    </row>
    <row r="4286" spans="1:7" x14ac:dyDescent="0.35">
      <c r="A4286" t="s">
        <v>847</v>
      </c>
      <c r="B4286" t="s">
        <v>680</v>
      </c>
      <c r="C4286" s="83">
        <v>46156</v>
      </c>
      <c r="D4286" t="s">
        <v>683</v>
      </c>
      <c r="E4286" t="s">
        <v>298</v>
      </c>
      <c r="F4286">
        <v>18</v>
      </c>
      <c r="G4286">
        <v>6.0076499999999999</v>
      </c>
    </row>
    <row r="4287" spans="1:7" x14ac:dyDescent="0.35">
      <c r="A4287" t="s">
        <v>847</v>
      </c>
      <c r="B4287" t="s">
        <v>680</v>
      </c>
      <c r="C4287" s="83">
        <v>46156</v>
      </c>
      <c r="D4287" t="s">
        <v>683</v>
      </c>
      <c r="E4287" t="s">
        <v>334</v>
      </c>
      <c r="F4287">
        <v>17</v>
      </c>
      <c r="G4287">
        <v>15.169116666666699</v>
      </c>
    </row>
    <row r="4288" spans="1:7" x14ac:dyDescent="0.35">
      <c r="A4288" t="s">
        <v>847</v>
      </c>
      <c r="B4288" t="s">
        <v>680</v>
      </c>
      <c r="C4288" s="83">
        <v>46156</v>
      </c>
      <c r="D4288" t="s">
        <v>683</v>
      </c>
      <c r="E4288" t="s">
        <v>297</v>
      </c>
      <c r="F4288">
        <v>16</v>
      </c>
      <c r="G4288">
        <v>8.6571333333333307</v>
      </c>
    </row>
    <row r="4289" spans="1:7" x14ac:dyDescent="0.35">
      <c r="A4289" t="s">
        <v>847</v>
      </c>
      <c r="B4289" t="s">
        <v>680</v>
      </c>
      <c r="C4289" s="83">
        <v>46156</v>
      </c>
      <c r="D4289" t="s">
        <v>689</v>
      </c>
      <c r="E4289" t="s">
        <v>297</v>
      </c>
      <c r="F4289">
        <v>52</v>
      </c>
      <c r="G4289">
        <v>29.649000000000001</v>
      </c>
    </row>
    <row r="4290" spans="1:7" x14ac:dyDescent="0.35">
      <c r="A4290" t="s">
        <v>847</v>
      </c>
      <c r="B4290" t="s">
        <v>680</v>
      </c>
      <c r="C4290" s="83">
        <v>46156</v>
      </c>
      <c r="D4290" t="s">
        <v>689</v>
      </c>
      <c r="E4290" t="s">
        <v>298</v>
      </c>
      <c r="F4290">
        <v>17</v>
      </c>
      <c r="G4290">
        <v>17.146383333333301</v>
      </c>
    </row>
    <row r="4291" spans="1:7" x14ac:dyDescent="0.35">
      <c r="A4291" t="s">
        <v>847</v>
      </c>
      <c r="B4291" t="s">
        <v>680</v>
      </c>
      <c r="C4291" s="83">
        <v>46156</v>
      </c>
      <c r="D4291" t="s">
        <v>689</v>
      </c>
      <c r="E4291" t="s">
        <v>296</v>
      </c>
      <c r="F4291">
        <v>8</v>
      </c>
      <c r="G4291">
        <v>6.0016333333333298</v>
      </c>
    </row>
    <row r="4292" spans="1:7" x14ac:dyDescent="0.35">
      <c r="A4292" t="s">
        <v>847</v>
      </c>
      <c r="B4292" t="s">
        <v>680</v>
      </c>
      <c r="C4292" s="83">
        <v>46156</v>
      </c>
      <c r="D4292" t="s">
        <v>684</v>
      </c>
      <c r="E4292" t="s">
        <v>297</v>
      </c>
      <c r="F4292">
        <v>6</v>
      </c>
      <c r="G4292">
        <v>4.0020833333333297</v>
      </c>
    </row>
    <row r="4293" spans="1:7" x14ac:dyDescent="0.35">
      <c r="A4293" t="s">
        <v>847</v>
      </c>
      <c r="B4293" t="s">
        <v>680</v>
      </c>
      <c r="C4293" s="83">
        <v>46156</v>
      </c>
      <c r="D4293" t="s">
        <v>684</v>
      </c>
      <c r="E4293" t="s">
        <v>304</v>
      </c>
      <c r="F4293">
        <v>3</v>
      </c>
      <c r="G4293">
        <v>2.8393999999999999</v>
      </c>
    </row>
    <row r="4294" spans="1:7" x14ac:dyDescent="0.35">
      <c r="A4294" t="s">
        <v>847</v>
      </c>
      <c r="B4294" t="s">
        <v>680</v>
      </c>
      <c r="C4294" s="83">
        <v>46156</v>
      </c>
      <c r="D4294" t="s">
        <v>684</v>
      </c>
      <c r="E4294" t="s">
        <v>737</v>
      </c>
      <c r="F4294">
        <v>2</v>
      </c>
      <c r="G4294">
        <v>0.84079999999999999</v>
      </c>
    </row>
    <row r="4295" spans="1:7" x14ac:dyDescent="0.35">
      <c r="A4295" t="s">
        <v>847</v>
      </c>
      <c r="B4295" t="s">
        <v>680</v>
      </c>
      <c r="C4295" s="83">
        <v>46156</v>
      </c>
      <c r="D4295" t="s">
        <v>687</v>
      </c>
      <c r="E4295" t="s">
        <v>754</v>
      </c>
      <c r="F4295">
        <v>2</v>
      </c>
      <c r="G4295">
        <v>0.32450000000000001</v>
      </c>
    </row>
    <row r="4296" spans="1:7" x14ac:dyDescent="0.35">
      <c r="A4296" t="s">
        <v>847</v>
      </c>
      <c r="B4296" t="s">
        <v>680</v>
      </c>
      <c r="C4296" s="83">
        <v>46156</v>
      </c>
      <c r="D4296" t="s">
        <v>687</v>
      </c>
      <c r="E4296" t="s">
        <v>735</v>
      </c>
      <c r="F4296">
        <v>2</v>
      </c>
      <c r="G4296">
        <v>0.15883333333333299</v>
      </c>
    </row>
    <row r="4297" spans="1:7" x14ac:dyDescent="0.35">
      <c r="A4297" t="s">
        <v>847</v>
      </c>
      <c r="B4297" t="s">
        <v>680</v>
      </c>
      <c r="C4297" s="83">
        <v>46156</v>
      </c>
      <c r="D4297" t="s">
        <v>687</v>
      </c>
      <c r="E4297" t="s">
        <v>717</v>
      </c>
      <c r="F4297">
        <v>2</v>
      </c>
      <c r="G4297">
        <v>2.8336666666666699</v>
      </c>
    </row>
    <row r="4298" spans="1:7" x14ac:dyDescent="0.35">
      <c r="A4298" t="s">
        <v>847</v>
      </c>
      <c r="B4298" t="s">
        <v>680</v>
      </c>
      <c r="C4298" s="83">
        <v>46156</v>
      </c>
      <c r="D4298" t="s">
        <v>688</v>
      </c>
      <c r="E4298" t="s">
        <v>316</v>
      </c>
      <c r="F4298">
        <v>30</v>
      </c>
      <c r="G4298">
        <v>16.011666666666699</v>
      </c>
    </row>
    <row r="4299" spans="1:7" x14ac:dyDescent="0.35">
      <c r="A4299" t="s">
        <v>847</v>
      </c>
      <c r="B4299" t="s">
        <v>680</v>
      </c>
      <c r="C4299" s="83">
        <v>46156</v>
      </c>
      <c r="D4299" t="s">
        <v>688</v>
      </c>
      <c r="E4299" t="s">
        <v>311</v>
      </c>
      <c r="F4299">
        <v>26</v>
      </c>
      <c r="G4299">
        <v>20.164283333333302</v>
      </c>
    </row>
    <row r="4300" spans="1:7" x14ac:dyDescent="0.35">
      <c r="A4300" t="s">
        <v>847</v>
      </c>
      <c r="B4300" t="s">
        <v>680</v>
      </c>
      <c r="C4300" s="83">
        <v>46156</v>
      </c>
      <c r="D4300" t="s">
        <v>688</v>
      </c>
      <c r="E4300" t="s">
        <v>321</v>
      </c>
      <c r="F4300">
        <v>14</v>
      </c>
      <c r="G4300">
        <v>6.8284833333333301</v>
      </c>
    </row>
    <row r="4301" spans="1:7" x14ac:dyDescent="0.35">
      <c r="A4301" t="s">
        <v>847</v>
      </c>
      <c r="B4301" t="s">
        <v>680</v>
      </c>
      <c r="C4301" s="83">
        <v>46156</v>
      </c>
      <c r="D4301" t="s">
        <v>690</v>
      </c>
      <c r="E4301" t="s">
        <v>311</v>
      </c>
      <c r="F4301">
        <v>4</v>
      </c>
      <c r="G4301">
        <v>4.1603000000000003</v>
      </c>
    </row>
    <row r="4302" spans="1:7" x14ac:dyDescent="0.35">
      <c r="A4302" t="s">
        <v>847</v>
      </c>
      <c r="B4302" t="s">
        <v>680</v>
      </c>
      <c r="C4302" s="83">
        <v>46156</v>
      </c>
      <c r="D4302" t="s">
        <v>690</v>
      </c>
      <c r="E4302" t="s">
        <v>720</v>
      </c>
      <c r="F4302">
        <v>4</v>
      </c>
      <c r="G4302">
        <v>3.4939666666666702</v>
      </c>
    </row>
    <row r="4303" spans="1:7" x14ac:dyDescent="0.35">
      <c r="A4303" t="s">
        <v>847</v>
      </c>
      <c r="B4303" t="s">
        <v>680</v>
      </c>
      <c r="C4303" s="83">
        <v>46156</v>
      </c>
      <c r="D4303" t="s">
        <v>690</v>
      </c>
      <c r="E4303" t="s">
        <v>321</v>
      </c>
      <c r="F4303">
        <v>3</v>
      </c>
      <c r="G4303">
        <v>0.99986666666666701</v>
      </c>
    </row>
    <row r="4304" spans="1:7" x14ac:dyDescent="0.35">
      <c r="A4304" t="s">
        <v>847</v>
      </c>
      <c r="B4304" t="s">
        <v>680</v>
      </c>
      <c r="C4304" s="83">
        <v>46156</v>
      </c>
      <c r="D4304" t="s">
        <v>685</v>
      </c>
      <c r="E4304" t="s">
        <v>312</v>
      </c>
      <c r="F4304">
        <v>34</v>
      </c>
      <c r="G4304">
        <v>27.644833333333299</v>
      </c>
    </row>
    <row r="4305" spans="1:7" x14ac:dyDescent="0.35">
      <c r="A4305" t="s">
        <v>847</v>
      </c>
      <c r="B4305" t="s">
        <v>680</v>
      </c>
      <c r="C4305" s="83">
        <v>46156</v>
      </c>
      <c r="D4305" t="s">
        <v>685</v>
      </c>
      <c r="E4305" t="s">
        <v>126</v>
      </c>
      <c r="F4305">
        <v>9</v>
      </c>
      <c r="G4305">
        <v>5.4932333333333299</v>
      </c>
    </row>
    <row r="4306" spans="1:7" x14ac:dyDescent="0.35">
      <c r="A4306" t="s">
        <v>847</v>
      </c>
      <c r="B4306" t="s">
        <v>680</v>
      </c>
      <c r="C4306" s="83">
        <v>46156</v>
      </c>
      <c r="D4306" t="s">
        <v>685</v>
      </c>
      <c r="E4306" t="s">
        <v>311</v>
      </c>
      <c r="F4306">
        <v>8</v>
      </c>
      <c r="G4306">
        <v>11.836166666666699</v>
      </c>
    </row>
    <row r="4307" spans="1:7" x14ac:dyDescent="0.35">
      <c r="A4307" t="s">
        <v>847</v>
      </c>
      <c r="B4307" t="s">
        <v>680</v>
      </c>
      <c r="C4307" s="83">
        <v>46157</v>
      </c>
      <c r="D4307" t="s">
        <v>681</v>
      </c>
      <c r="E4307" t="s">
        <v>296</v>
      </c>
      <c r="F4307">
        <v>17</v>
      </c>
      <c r="G4307">
        <v>5.81171666666667</v>
      </c>
    </row>
    <row r="4308" spans="1:7" x14ac:dyDescent="0.35">
      <c r="A4308" t="s">
        <v>847</v>
      </c>
      <c r="B4308" t="s">
        <v>680</v>
      </c>
      <c r="C4308" s="83">
        <v>46157</v>
      </c>
      <c r="D4308" t="s">
        <v>681</v>
      </c>
      <c r="E4308" t="s">
        <v>298</v>
      </c>
      <c r="F4308">
        <v>9</v>
      </c>
      <c r="G4308">
        <v>10.6761</v>
      </c>
    </row>
    <row r="4309" spans="1:7" x14ac:dyDescent="0.35">
      <c r="A4309" t="s">
        <v>847</v>
      </c>
      <c r="B4309" t="s">
        <v>680</v>
      </c>
      <c r="C4309" s="83">
        <v>46157</v>
      </c>
      <c r="D4309" t="s">
        <v>681</v>
      </c>
      <c r="E4309" t="s">
        <v>297</v>
      </c>
      <c r="F4309">
        <v>6</v>
      </c>
      <c r="G4309">
        <v>1.494</v>
      </c>
    </row>
    <row r="4310" spans="1:7" x14ac:dyDescent="0.35">
      <c r="A4310" t="s">
        <v>847</v>
      </c>
      <c r="B4310" t="s">
        <v>680</v>
      </c>
      <c r="C4310" s="83">
        <v>46157</v>
      </c>
      <c r="D4310" t="s">
        <v>683</v>
      </c>
      <c r="E4310" t="s">
        <v>727</v>
      </c>
      <c r="F4310">
        <v>13</v>
      </c>
      <c r="G4310">
        <v>10.4972333333333</v>
      </c>
    </row>
    <row r="4311" spans="1:7" x14ac:dyDescent="0.35">
      <c r="A4311" t="s">
        <v>847</v>
      </c>
      <c r="B4311" t="s">
        <v>680</v>
      </c>
      <c r="C4311" s="83">
        <v>46157</v>
      </c>
      <c r="D4311" t="s">
        <v>683</v>
      </c>
      <c r="E4311" t="s">
        <v>298</v>
      </c>
      <c r="F4311">
        <v>10</v>
      </c>
      <c r="G4311">
        <v>8.3490666666666709</v>
      </c>
    </row>
    <row r="4312" spans="1:7" x14ac:dyDescent="0.35">
      <c r="A4312" t="s">
        <v>847</v>
      </c>
      <c r="B4312" t="s">
        <v>680</v>
      </c>
      <c r="C4312" s="83">
        <v>46157</v>
      </c>
      <c r="D4312" t="s">
        <v>683</v>
      </c>
      <c r="E4312" t="s">
        <v>334</v>
      </c>
      <c r="F4312">
        <v>9</v>
      </c>
      <c r="G4312">
        <v>5.3423499999999997</v>
      </c>
    </row>
    <row r="4313" spans="1:7" x14ac:dyDescent="0.35">
      <c r="A4313" t="s">
        <v>847</v>
      </c>
      <c r="B4313" t="s">
        <v>680</v>
      </c>
      <c r="C4313" s="83">
        <v>46157</v>
      </c>
      <c r="D4313" t="s">
        <v>689</v>
      </c>
      <c r="E4313" t="s">
        <v>297</v>
      </c>
      <c r="F4313">
        <v>44</v>
      </c>
      <c r="G4313">
        <v>18.538350000000001</v>
      </c>
    </row>
    <row r="4314" spans="1:7" x14ac:dyDescent="0.35">
      <c r="A4314" t="s">
        <v>847</v>
      </c>
      <c r="B4314" t="s">
        <v>680</v>
      </c>
      <c r="C4314" s="83">
        <v>46157</v>
      </c>
      <c r="D4314" t="s">
        <v>689</v>
      </c>
      <c r="E4314" t="s">
        <v>298</v>
      </c>
      <c r="F4314">
        <v>26</v>
      </c>
      <c r="G4314">
        <v>11.8267166666667</v>
      </c>
    </row>
    <row r="4315" spans="1:7" x14ac:dyDescent="0.35">
      <c r="A4315" t="s">
        <v>847</v>
      </c>
      <c r="B4315" t="s">
        <v>680</v>
      </c>
      <c r="C4315" s="83">
        <v>46157</v>
      </c>
      <c r="D4315" t="s">
        <v>689</v>
      </c>
      <c r="E4315" t="s">
        <v>296</v>
      </c>
      <c r="F4315">
        <v>9</v>
      </c>
      <c r="G4315">
        <v>6.1363500000000002</v>
      </c>
    </row>
    <row r="4316" spans="1:7" x14ac:dyDescent="0.35">
      <c r="A4316" t="s">
        <v>847</v>
      </c>
      <c r="B4316" t="s">
        <v>680</v>
      </c>
      <c r="C4316" s="83">
        <v>46157</v>
      </c>
      <c r="D4316" t="s">
        <v>684</v>
      </c>
      <c r="E4316" t="s">
        <v>297</v>
      </c>
      <c r="F4316">
        <v>4</v>
      </c>
      <c r="G4316">
        <v>3.0006499999999998</v>
      </c>
    </row>
    <row r="4317" spans="1:7" x14ac:dyDescent="0.35">
      <c r="A4317" t="s">
        <v>847</v>
      </c>
      <c r="B4317" t="s">
        <v>680</v>
      </c>
      <c r="C4317" s="83">
        <v>46157</v>
      </c>
      <c r="D4317" t="s">
        <v>684</v>
      </c>
      <c r="E4317" t="s">
        <v>304</v>
      </c>
      <c r="F4317">
        <v>4</v>
      </c>
      <c r="G4317">
        <v>2.9957166666666701</v>
      </c>
    </row>
    <row r="4318" spans="1:7" x14ac:dyDescent="0.35">
      <c r="A4318" t="s">
        <v>847</v>
      </c>
      <c r="B4318" t="s">
        <v>680</v>
      </c>
      <c r="C4318" s="83">
        <v>46157</v>
      </c>
      <c r="D4318" t="s">
        <v>684</v>
      </c>
      <c r="E4318" t="s">
        <v>298</v>
      </c>
      <c r="F4318">
        <v>4</v>
      </c>
      <c r="G4318">
        <v>2.6672833333333301</v>
      </c>
    </row>
    <row r="4319" spans="1:7" x14ac:dyDescent="0.35">
      <c r="A4319" t="s">
        <v>847</v>
      </c>
      <c r="B4319" t="s">
        <v>680</v>
      </c>
      <c r="C4319" s="83">
        <v>46157</v>
      </c>
      <c r="D4319" t="s">
        <v>687</v>
      </c>
      <c r="E4319" t="s">
        <v>782</v>
      </c>
      <c r="F4319">
        <v>2</v>
      </c>
      <c r="G4319">
        <v>1.16638333333333</v>
      </c>
    </row>
    <row r="4320" spans="1:7" x14ac:dyDescent="0.35">
      <c r="A4320" t="s">
        <v>847</v>
      </c>
      <c r="B4320" t="s">
        <v>680</v>
      </c>
      <c r="C4320" s="83">
        <v>46157</v>
      </c>
      <c r="D4320" t="s">
        <v>687</v>
      </c>
      <c r="E4320" t="s">
        <v>746</v>
      </c>
      <c r="F4320">
        <v>2</v>
      </c>
      <c r="G4320">
        <v>0.33388333333333298</v>
      </c>
    </row>
    <row r="4321" spans="1:7" x14ac:dyDescent="0.35">
      <c r="A4321" t="s">
        <v>847</v>
      </c>
      <c r="B4321" t="s">
        <v>680</v>
      </c>
      <c r="C4321" s="83">
        <v>46157</v>
      </c>
      <c r="D4321" t="s">
        <v>688</v>
      </c>
      <c r="E4321" t="s">
        <v>316</v>
      </c>
      <c r="F4321">
        <v>18</v>
      </c>
      <c r="G4321">
        <v>7.5023666666666697</v>
      </c>
    </row>
    <row r="4322" spans="1:7" x14ac:dyDescent="0.35">
      <c r="A4322" t="s">
        <v>847</v>
      </c>
      <c r="B4322" t="s">
        <v>680</v>
      </c>
      <c r="C4322" s="83">
        <v>46157</v>
      </c>
      <c r="D4322" t="s">
        <v>688</v>
      </c>
      <c r="E4322" t="s">
        <v>321</v>
      </c>
      <c r="F4322">
        <v>16</v>
      </c>
      <c r="G4322">
        <v>6.1491666666666704</v>
      </c>
    </row>
    <row r="4323" spans="1:7" x14ac:dyDescent="0.35">
      <c r="A4323" t="s">
        <v>847</v>
      </c>
      <c r="B4323" t="s">
        <v>680</v>
      </c>
      <c r="C4323" s="83">
        <v>46157</v>
      </c>
      <c r="D4323" t="s">
        <v>688</v>
      </c>
      <c r="E4323" t="s">
        <v>720</v>
      </c>
      <c r="F4323">
        <v>7</v>
      </c>
      <c r="G4323">
        <v>6.6689333333333298</v>
      </c>
    </row>
    <row r="4324" spans="1:7" x14ac:dyDescent="0.35">
      <c r="A4324" t="s">
        <v>847</v>
      </c>
      <c r="B4324" t="s">
        <v>680</v>
      </c>
      <c r="C4324" s="83">
        <v>46157</v>
      </c>
      <c r="D4324" t="s">
        <v>690</v>
      </c>
      <c r="E4324" t="s">
        <v>311</v>
      </c>
      <c r="F4324">
        <v>4</v>
      </c>
      <c r="G4324">
        <v>2.32636666666667</v>
      </c>
    </row>
    <row r="4325" spans="1:7" x14ac:dyDescent="0.35">
      <c r="A4325" t="s">
        <v>847</v>
      </c>
      <c r="B4325" t="s">
        <v>680</v>
      </c>
      <c r="C4325" s="83">
        <v>46157</v>
      </c>
      <c r="D4325" t="s">
        <v>690</v>
      </c>
      <c r="E4325" t="s">
        <v>720</v>
      </c>
      <c r="F4325">
        <v>3</v>
      </c>
      <c r="G4325">
        <v>0.99204999999999999</v>
      </c>
    </row>
    <row r="4326" spans="1:7" x14ac:dyDescent="0.35">
      <c r="A4326" t="s">
        <v>847</v>
      </c>
      <c r="B4326" t="s">
        <v>680</v>
      </c>
      <c r="C4326" s="83">
        <v>46157</v>
      </c>
      <c r="D4326" t="s">
        <v>685</v>
      </c>
      <c r="E4326" t="s">
        <v>312</v>
      </c>
      <c r="F4326">
        <v>18</v>
      </c>
      <c r="G4326">
        <v>17.001049999999999</v>
      </c>
    </row>
    <row r="4327" spans="1:7" x14ac:dyDescent="0.35">
      <c r="A4327" t="s">
        <v>847</v>
      </c>
      <c r="B4327" t="s">
        <v>680</v>
      </c>
      <c r="C4327" s="83">
        <v>46157</v>
      </c>
      <c r="D4327" t="s">
        <v>685</v>
      </c>
      <c r="E4327" t="s">
        <v>126</v>
      </c>
      <c r="F4327">
        <v>13</v>
      </c>
      <c r="G4327">
        <v>6.3225833333333297</v>
      </c>
    </row>
    <row r="4328" spans="1:7" x14ac:dyDescent="0.35">
      <c r="A4328" t="s">
        <v>847</v>
      </c>
      <c r="B4328" t="s">
        <v>680</v>
      </c>
      <c r="C4328" s="83">
        <v>46157</v>
      </c>
      <c r="D4328" t="s">
        <v>685</v>
      </c>
      <c r="E4328" t="s">
        <v>311</v>
      </c>
      <c r="F4328">
        <v>8</v>
      </c>
      <c r="G4328">
        <v>9.1694499999999994</v>
      </c>
    </row>
    <row r="4329" spans="1:7" x14ac:dyDescent="0.35">
      <c r="A4329" t="s">
        <v>847</v>
      </c>
      <c r="B4329" t="s">
        <v>680</v>
      </c>
      <c r="C4329" s="83">
        <v>46158</v>
      </c>
      <c r="D4329" t="s">
        <v>681</v>
      </c>
      <c r="E4329" t="s">
        <v>296</v>
      </c>
      <c r="F4329">
        <v>13</v>
      </c>
      <c r="G4329">
        <v>9.3489833333333294</v>
      </c>
    </row>
    <row r="4330" spans="1:7" x14ac:dyDescent="0.35">
      <c r="A4330" t="s">
        <v>847</v>
      </c>
      <c r="B4330" t="s">
        <v>680</v>
      </c>
      <c r="C4330" s="83">
        <v>46158</v>
      </c>
      <c r="D4330" t="s">
        <v>681</v>
      </c>
      <c r="E4330" t="s">
        <v>300</v>
      </c>
      <c r="F4330">
        <v>9</v>
      </c>
      <c r="G4330">
        <v>7.6687000000000003</v>
      </c>
    </row>
    <row r="4331" spans="1:7" x14ac:dyDescent="0.35">
      <c r="A4331" t="s">
        <v>847</v>
      </c>
      <c r="B4331" t="s">
        <v>680</v>
      </c>
      <c r="C4331" s="83">
        <v>46158</v>
      </c>
      <c r="D4331" t="s">
        <v>681</v>
      </c>
      <c r="E4331" t="s">
        <v>727</v>
      </c>
      <c r="F4331">
        <v>6</v>
      </c>
      <c r="G4331">
        <v>6.5003833333333301</v>
      </c>
    </row>
    <row r="4332" spans="1:7" x14ac:dyDescent="0.35">
      <c r="A4332" t="s">
        <v>847</v>
      </c>
      <c r="B4332" t="s">
        <v>680</v>
      </c>
      <c r="C4332" s="83">
        <v>46158</v>
      </c>
      <c r="D4332" t="s">
        <v>683</v>
      </c>
      <c r="E4332" t="s">
        <v>298</v>
      </c>
      <c r="F4332">
        <v>24</v>
      </c>
      <c r="G4332">
        <v>28.1034166666667</v>
      </c>
    </row>
    <row r="4333" spans="1:7" x14ac:dyDescent="0.35">
      <c r="A4333" t="s">
        <v>847</v>
      </c>
      <c r="B4333" t="s">
        <v>680</v>
      </c>
      <c r="C4333" s="83">
        <v>46158</v>
      </c>
      <c r="D4333" t="s">
        <v>683</v>
      </c>
      <c r="E4333" t="s">
        <v>334</v>
      </c>
      <c r="F4333">
        <v>17</v>
      </c>
      <c r="G4333">
        <v>37.015900000000002</v>
      </c>
    </row>
    <row r="4334" spans="1:7" x14ac:dyDescent="0.35">
      <c r="A4334" t="s">
        <v>847</v>
      </c>
      <c r="B4334" t="s">
        <v>680</v>
      </c>
      <c r="C4334" s="83">
        <v>46158</v>
      </c>
      <c r="D4334" t="s">
        <v>683</v>
      </c>
      <c r="E4334" t="s">
        <v>727</v>
      </c>
      <c r="F4334">
        <v>13</v>
      </c>
      <c r="G4334">
        <v>12.754433333333299</v>
      </c>
    </row>
    <row r="4335" spans="1:7" x14ac:dyDescent="0.35">
      <c r="A4335" t="s">
        <v>847</v>
      </c>
      <c r="B4335" t="s">
        <v>680</v>
      </c>
      <c r="C4335" s="83">
        <v>46158</v>
      </c>
      <c r="D4335" t="s">
        <v>689</v>
      </c>
      <c r="E4335" t="s">
        <v>297</v>
      </c>
      <c r="F4335">
        <v>52</v>
      </c>
      <c r="G4335">
        <v>23.1009833333333</v>
      </c>
    </row>
    <row r="4336" spans="1:7" x14ac:dyDescent="0.35">
      <c r="A4336" t="s">
        <v>847</v>
      </c>
      <c r="B4336" t="s">
        <v>680</v>
      </c>
      <c r="C4336" s="83">
        <v>46158</v>
      </c>
      <c r="D4336" t="s">
        <v>689</v>
      </c>
      <c r="E4336" t="s">
        <v>298</v>
      </c>
      <c r="F4336">
        <v>25</v>
      </c>
      <c r="G4336">
        <v>25.7824666666667</v>
      </c>
    </row>
    <row r="4337" spans="1:7" x14ac:dyDescent="0.35">
      <c r="A4337" t="s">
        <v>847</v>
      </c>
      <c r="B4337" t="s">
        <v>680</v>
      </c>
      <c r="C4337" s="83">
        <v>46158</v>
      </c>
      <c r="D4337" t="s">
        <v>689</v>
      </c>
      <c r="E4337" t="s">
        <v>296</v>
      </c>
      <c r="F4337">
        <v>14</v>
      </c>
      <c r="G4337">
        <v>5.3299166666666702</v>
      </c>
    </row>
    <row r="4338" spans="1:7" x14ac:dyDescent="0.35">
      <c r="A4338" t="s">
        <v>847</v>
      </c>
      <c r="B4338" t="s">
        <v>680</v>
      </c>
      <c r="C4338" s="83">
        <v>46158</v>
      </c>
      <c r="D4338" t="s">
        <v>684</v>
      </c>
      <c r="E4338" t="s">
        <v>297</v>
      </c>
      <c r="F4338">
        <v>12</v>
      </c>
      <c r="G4338">
        <v>10.86725</v>
      </c>
    </row>
    <row r="4339" spans="1:7" x14ac:dyDescent="0.35">
      <c r="A4339" t="s">
        <v>847</v>
      </c>
      <c r="B4339" t="s">
        <v>680</v>
      </c>
      <c r="C4339" s="83">
        <v>46158</v>
      </c>
      <c r="D4339" t="s">
        <v>684</v>
      </c>
      <c r="E4339" t="s">
        <v>332</v>
      </c>
      <c r="F4339">
        <v>6</v>
      </c>
      <c r="G4339">
        <v>2.8408833333333301</v>
      </c>
    </row>
    <row r="4340" spans="1:7" x14ac:dyDescent="0.35">
      <c r="A4340" t="s">
        <v>847</v>
      </c>
      <c r="B4340" t="s">
        <v>680</v>
      </c>
      <c r="C4340" s="83">
        <v>46158</v>
      </c>
      <c r="D4340" t="s">
        <v>684</v>
      </c>
      <c r="E4340" t="s">
        <v>334</v>
      </c>
      <c r="F4340">
        <v>4</v>
      </c>
      <c r="G4340">
        <v>2.3271666666666699</v>
      </c>
    </row>
    <row r="4341" spans="1:7" x14ac:dyDescent="0.35">
      <c r="A4341" t="s">
        <v>847</v>
      </c>
      <c r="B4341" t="s">
        <v>680</v>
      </c>
      <c r="C4341" s="83">
        <v>46158</v>
      </c>
      <c r="D4341" t="s">
        <v>687</v>
      </c>
      <c r="E4341" t="s">
        <v>717</v>
      </c>
      <c r="F4341">
        <v>9</v>
      </c>
      <c r="G4341">
        <v>37.668433333333297</v>
      </c>
    </row>
    <row r="4342" spans="1:7" x14ac:dyDescent="0.35">
      <c r="A4342" t="s">
        <v>847</v>
      </c>
      <c r="B4342" t="s">
        <v>680</v>
      </c>
      <c r="C4342" s="83">
        <v>46158</v>
      </c>
      <c r="D4342" t="s">
        <v>687</v>
      </c>
      <c r="E4342" t="s">
        <v>735</v>
      </c>
      <c r="F4342">
        <v>3</v>
      </c>
      <c r="G4342">
        <v>2.3302499999999999</v>
      </c>
    </row>
    <row r="4343" spans="1:7" x14ac:dyDescent="0.35">
      <c r="A4343" t="s">
        <v>847</v>
      </c>
      <c r="B4343" t="s">
        <v>680</v>
      </c>
      <c r="C4343" s="83">
        <v>46158</v>
      </c>
      <c r="D4343" t="s">
        <v>687</v>
      </c>
      <c r="E4343" t="s">
        <v>729</v>
      </c>
      <c r="F4343">
        <v>3</v>
      </c>
      <c r="G4343">
        <v>2.3406500000000001</v>
      </c>
    </row>
    <row r="4344" spans="1:7" x14ac:dyDescent="0.35">
      <c r="A4344" t="s">
        <v>847</v>
      </c>
      <c r="B4344" t="s">
        <v>680</v>
      </c>
      <c r="C4344" s="83">
        <v>46158</v>
      </c>
      <c r="D4344" t="s">
        <v>688</v>
      </c>
      <c r="E4344" t="s">
        <v>316</v>
      </c>
      <c r="F4344">
        <v>72</v>
      </c>
      <c r="G4344">
        <v>44.767000000000003</v>
      </c>
    </row>
    <row r="4345" spans="1:7" x14ac:dyDescent="0.35">
      <c r="A4345" t="s">
        <v>847</v>
      </c>
      <c r="B4345" t="s">
        <v>680</v>
      </c>
      <c r="C4345" s="83">
        <v>46158</v>
      </c>
      <c r="D4345" t="s">
        <v>688</v>
      </c>
      <c r="E4345" t="s">
        <v>311</v>
      </c>
      <c r="F4345">
        <v>11</v>
      </c>
      <c r="G4345">
        <v>12.675649999999999</v>
      </c>
    </row>
    <row r="4346" spans="1:7" x14ac:dyDescent="0.35">
      <c r="A4346" t="s">
        <v>847</v>
      </c>
      <c r="B4346" t="s">
        <v>680</v>
      </c>
      <c r="C4346" s="83">
        <v>46158</v>
      </c>
      <c r="D4346" t="s">
        <v>688</v>
      </c>
      <c r="E4346" t="s">
        <v>734</v>
      </c>
      <c r="F4346">
        <v>2</v>
      </c>
      <c r="G4346">
        <v>0.158483333333333</v>
      </c>
    </row>
    <row r="4347" spans="1:7" x14ac:dyDescent="0.35">
      <c r="A4347" t="s">
        <v>847</v>
      </c>
      <c r="B4347" t="s">
        <v>680</v>
      </c>
      <c r="C4347" s="83">
        <v>46158</v>
      </c>
      <c r="D4347" t="s">
        <v>690</v>
      </c>
      <c r="E4347" t="s">
        <v>311</v>
      </c>
      <c r="F4347">
        <v>6</v>
      </c>
      <c r="G4347">
        <v>2.2674500000000002</v>
      </c>
    </row>
    <row r="4348" spans="1:7" x14ac:dyDescent="0.35">
      <c r="A4348" t="s">
        <v>847</v>
      </c>
      <c r="B4348" t="s">
        <v>680</v>
      </c>
      <c r="C4348" s="83">
        <v>46158</v>
      </c>
      <c r="D4348" t="s">
        <v>690</v>
      </c>
      <c r="E4348" t="s">
        <v>316</v>
      </c>
      <c r="F4348">
        <v>4</v>
      </c>
      <c r="G4348">
        <v>1.16773333333333</v>
      </c>
    </row>
    <row r="4349" spans="1:7" x14ac:dyDescent="0.35">
      <c r="A4349" t="s">
        <v>847</v>
      </c>
      <c r="B4349" t="s">
        <v>680</v>
      </c>
      <c r="C4349" s="83">
        <v>46158</v>
      </c>
      <c r="D4349" t="s">
        <v>690</v>
      </c>
      <c r="E4349" t="s">
        <v>720</v>
      </c>
      <c r="F4349">
        <v>4</v>
      </c>
      <c r="G4349">
        <v>5.6678833333333296</v>
      </c>
    </row>
    <row r="4350" spans="1:7" x14ac:dyDescent="0.35">
      <c r="A4350" t="s">
        <v>847</v>
      </c>
      <c r="B4350" t="s">
        <v>680</v>
      </c>
      <c r="C4350" s="83">
        <v>46158</v>
      </c>
      <c r="D4350" t="s">
        <v>685</v>
      </c>
      <c r="E4350" t="s">
        <v>311</v>
      </c>
      <c r="F4350">
        <v>8</v>
      </c>
      <c r="G4350">
        <v>4.8499166666666698</v>
      </c>
    </row>
    <row r="4351" spans="1:7" x14ac:dyDescent="0.35">
      <c r="A4351" t="s">
        <v>847</v>
      </c>
      <c r="B4351" t="s">
        <v>680</v>
      </c>
      <c r="C4351" s="83">
        <v>46158</v>
      </c>
      <c r="D4351" t="s">
        <v>685</v>
      </c>
      <c r="E4351" t="s">
        <v>126</v>
      </c>
      <c r="F4351">
        <v>7</v>
      </c>
      <c r="G4351">
        <v>5.3430833333333299</v>
      </c>
    </row>
    <row r="4352" spans="1:7" x14ac:dyDescent="0.35">
      <c r="A4352" t="s">
        <v>847</v>
      </c>
      <c r="B4352" t="s">
        <v>680</v>
      </c>
      <c r="C4352" s="83">
        <v>46158</v>
      </c>
      <c r="D4352" t="s">
        <v>685</v>
      </c>
      <c r="E4352" t="s">
        <v>338</v>
      </c>
      <c r="F4352">
        <v>5</v>
      </c>
      <c r="G4352">
        <v>6.5980333333333299</v>
      </c>
    </row>
    <row r="4353" spans="1:7" x14ac:dyDescent="0.35">
      <c r="A4353" t="s">
        <v>847</v>
      </c>
      <c r="B4353" t="s">
        <v>680</v>
      </c>
      <c r="C4353" s="83">
        <v>46159</v>
      </c>
      <c r="D4353" t="s">
        <v>681</v>
      </c>
      <c r="E4353" t="s">
        <v>296</v>
      </c>
      <c r="F4353">
        <v>42</v>
      </c>
      <c r="G4353">
        <v>13.1587833333333</v>
      </c>
    </row>
    <row r="4354" spans="1:7" x14ac:dyDescent="0.35">
      <c r="A4354" t="s">
        <v>847</v>
      </c>
      <c r="B4354" t="s">
        <v>680</v>
      </c>
      <c r="C4354" s="83">
        <v>46159</v>
      </c>
      <c r="D4354" t="s">
        <v>681</v>
      </c>
      <c r="E4354" t="s">
        <v>727</v>
      </c>
      <c r="F4354">
        <v>6</v>
      </c>
      <c r="G4354">
        <v>1.0077166666666699</v>
      </c>
    </row>
    <row r="4355" spans="1:7" x14ac:dyDescent="0.35">
      <c r="A4355" t="s">
        <v>847</v>
      </c>
      <c r="B4355" t="s">
        <v>680</v>
      </c>
      <c r="C4355" s="83">
        <v>46159</v>
      </c>
      <c r="D4355" t="s">
        <v>681</v>
      </c>
      <c r="E4355" t="s">
        <v>300</v>
      </c>
      <c r="F4355">
        <v>5</v>
      </c>
      <c r="G4355">
        <v>3.00285</v>
      </c>
    </row>
    <row r="4356" spans="1:7" x14ac:dyDescent="0.35">
      <c r="A4356" t="s">
        <v>847</v>
      </c>
      <c r="B4356" t="s">
        <v>680</v>
      </c>
      <c r="C4356" s="83">
        <v>46159</v>
      </c>
      <c r="D4356" t="s">
        <v>683</v>
      </c>
      <c r="E4356" t="s">
        <v>298</v>
      </c>
      <c r="F4356">
        <v>11</v>
      </c>
      <c r="G4356">
        <v>9.1660666666666692</v>
      </c>
    </row>
    <row r="4357" spans="1:7" x14ac:dyDescent="0.35">
      <c r="A4357" t="s">
        <v>847</v>
      </c>
      <c r="B4357" t="s">
        <v>680</v>
      </c>
      <c r="C4357" s="83">
        <v>46159</v>
      </c>
      <c r="D4357" t="s">
        <v>683</v>
      </c>
      <c r="E4357" t="s">
        <v>334</v>
      </c>
      <c r="F4357">
        <v>7</v>
      </c>
      <c r="G4357">
        <v>2.1529166666666701</v>
      </c>
    </row>
    <row r="4358" spans="1:7" x14ac:dyDescent="0.35">
      <c r="A4358" t="s">
        <v>847</v>
      </c>
      <c r="B4358" t="s">
        <v>680</v>
      </c>
      <c r="C4358" s="83">
        <v>46159</v>
      </c>
      <c r="D4358" t="s">
        <v>683</v>
      </c>
      <c r="E4358" t="s">
        <v>297</v>
      </c>
      <c r="F4358">
        <v>7</v>
      </c>
      <c r="G4358">
        <v>1.8254999999999999</v>
      </c>
    </row>
    <row r="4359" spans="1:7" x14ac:dyDescent="0.35">
      <c r="A4359" t="s">
        <v>847</v>
      </c>
      <c r="B4359" t="s">
        <v>680</v>
      </c>
      <c r="C4359" s="83">
        <v>46159</v>
      </c>
      <c r="D4359" t="s">
        <v>689</v>
      </c>
      <c r="E4359" t="s">
        <v>297</v>
      </c>
      <c r="F4359">
        <v>56</v>
      </c>
      <c r="G4359">
        <v>24.8323</v>
      </c>
    </row>
    <row r="4360" spans="1:7" x14ac:dyDescent="0.35">
      <c r="A4360" t="s">
        <v>847</v>
      </c>
      <c r="B4360" t="s">
        <v>680</v>
      </c>
      <c r="C4360" s="83">
        <v>46159</v>
      </c>
      <c r="D4360" t="s">
        <v>689</v>
      </c>
      <c r="E4360" t="s">
        <v>298</v>
      </c>
      <c r="F4360">
        <v>19</v>
      </c>
      <c r="G4360">
        <v>17.850466666666701</v>
      </c>
    </row>
    <row r="4361" spans="1:7" x14ac:dyDescent="0.35">
      <c r="A4361" t="s">
        <v>847</v>
      </c>
      <c r="B4361" t="s">
        <v>680</v>
      </c>
      <c r="C4361" s="83">
        <v>46159</v>
      </c>
      <c r="D4361" t="s">
        <v>689</v>
      </c>
      <c r="E4361" t="s">
        <v>296</v>
      </c>
      <c r="F4361">
        <v>13</v>
      </c>
      <c r="G4361">
        <v>3.1735333333333302</v>
      </c>
    </row>
    <row r="4362" spans="1:7" x14ac:dyDescent="0.35">
      <c r="A4362" t="s">
        <v>847</v>
      </c>
      <c r="B4362" t="s">
        <v>680</v>
      </c>
      <c r="C4362" s="83">
        <v>46159</v>
      </c>
      <c r="D4362" t="s">
        <v>684</v>
      </c>
      <c r="E4362" t="s">
        <v>334</v>
      </c>
      <c r="F4362">
        <v>7</v>
      </c>
      <c r="G4362">
        <v>3.17621666666667</v>
      </c>
    </row>
    <row r="4363" spans="1:7" x14ac:dyDescent="0.35">
      <c r="A4363" t="s">
        <v>847</v>
      </c>
      <c r="B4363" t="s">
        <v>680</v>
      </c>
      <c r="C4363" s="83">
        <v>46159</v>
      </c>
      <c r="D4363" t="s">
        <v>684</v>
      </c>
      <c r="E4363" t="s">
        <v>297</v>
      </c>
      <c r="F4363">
        <v>7</v>
      </c>
      <c r="G4363">
        <v>1.99075</v>
      </c>
    </row>
    <row r="4364" spans="1:7" x14ac:dyDescent="0.35">
      <c r="A4364" t="s">
        <v>847</v>
      </c>
      <c r="B4364" t="s">
        <v>680</v>
      </c>
      <c r="C4364" s="83">
        <v>46159</v>
      </c>
      <c r="D4364" t="s">
        <v>684</v>
      </c>
      <c r="E4364" t="s">
        <v>740</v>
      </c>
      <c r="F4364">
        <v>6</v>
      </c>
      <c r="G4364">
        <v>21.8395166666667</v>
      </c>
    </row>
    <row r="4365" spans="1:7" x14ac:dyDescent="0.35">
      <c r="A4365" t="s">
        <v>847</v>
      </c>
      <c r="B4365" t="s">
        <v>680</v>
      </c>
      <c r="C4365" s="83">
        <v>46159</v>
      </c>
      <c r="D4365" t="s">
        <v>687</v>
      </c>
      <c r="E4365" t="s">
        <v>717</v>
      </c>
      <c r="F4365">
        <v>4</v>
      </c>
      <c r="G4365">
        <v>5.1669</v>
      </c>
    </row>
    <row r="4366" spans="1:7" x14ac:dyDescent="0.35">
      <c r="A4366" t="s">
        <v>847</v>
      </c>
      <c r="B4366" t="s">
        <v>680</v>
      </c>
      <c r="C4366" s="83">
        <v>46159</v>
      </c>
      <c r="D4366" t="s">
        <v>687</v>
      </c>
      <c r="E4366" t="s">
        <v>726</v>
      </c>
      <c r="F4366">
        <v>3</v>
      </c>
      <c r="G4366">
        <v>4.3333500000000003</v>
      </c>
    </row>
    <row r="4367" spans="1:7" x14ac:dyDescent="0.35">
      <c r="A4367" t="s">
        <v>847</v>
      </c>
      <c r="B4367" t="s">
        <v>680</v>
      </c>
      <c r="C4367" s="83">
        <v>46159</v>
      </c>
      <c r="D4367" t="s">
        <v>687</v>
      </c>
      <c r="E4367" t="s">
        <v>718</v>
      </c>
      <c r="F4367">
        <v>2</v>
      </c>
      <c r="G4367">
        <v>0.16646666666666701</v>
      </c>
    </row>
    <row r="4368" spans="1:7" x14ac:dyDescent="0.35">
      <c r="A4368" t="s">
        <v>847</v>
      </c>
      <c r="B4368" t="s">
        <v>680</v>
      </c>
      <c r="C4368" s="83">
        <v>46159</v>
      </c>
      <c r="D4368" t="s">
        <v>688</v>
      </c>
      <c r="E4368" t="s">
        <v>316</v>
      </c>
      <c r="F4368">
        <v>108</v>
      </c>
      <c r="G4368">
        <v>54.519816666666699</v>
      </c>
    </row>
    <row r="4369" spans="1:7" x14ac:dyDescent="0.35">
      <c r="A4369" t="s">
        <v>847</v>
      </c>
      <c r="B4369" t="s">
        <v>680</v>
      </c>
      <c r="C4369" s="83">
        <v>46159</v>
      </c>
      <c r="D4369" t="s">
        <v>688</v>
      </c>
      <c r="E4369" t="s">
        <v>311</v>
      </c>
      <c r="F4369">
        <v>14</v>
      </c>
      <c r="G4369">
        <v>5.1448999999999998</v>
      </c>
    </row>
    <row r="4370" spans="1:7" x14ac:dyDescent="0.35">
      <c r="A4370" t="s">
        <v>847</v>
      </c>
      <c r="B4370" t="s">
        <v>680</v>
      </c>
      <c r="C4370" s="83">
        <v>46159</v>
      </c>
      <c r="D4370" t="s">
        <v>688</v>
      </c>
      <c r="E4370" t="s">
        <v>783</v>
      </c>
      <c r="F4370">
        <v>2</v>
      </c>
      <c r="G4370">
        <v>1.6569499999999999</v>
      </c>
    </row>
    <row r="4371" spans="1:7" x14ac:dyDescent="0.35">
      <c r="A4371" t="s">
        <v>847</v>
      </c>
      <c r="B4371" t="s">
        <v>680</v>
      </c>
      <c r="C4371" s="83">
        <v>46159</v>
      </c>
      <c r="D4371" t="s">
        <v>690</v>
      </c>
      <c r="E4371" t="s">
        <v>720</v>
      </c>
      <c r="F4371">
        <v>22</v>
      </c>
      <c r="G4371">
        <v>17.351566666666699</v>
      </c>
    </row>
    <row r="4372" spans="1:7" x14ac:dyDescent="0.35">
      <c r="A4372" t="s">
        <v>847</v>
      </c>
      <c r="B4372" t="s">
        <v>680</v>
      </c>
      <c r="C4372" s="83">
        <v>46159</v>
      </c>
      <c r="D4372" t="s">
        <v>690</v>
      </c>
      <c r="E4372" t="s">
        <v>126</v>
      </c>
      <c r="F4372">
        <v>12</v>
      </c>
      <c r="G4372">
        <v>17.0086333333333</v>
      </c>
    </row>
    <row r="4373" spans="1:7" x14ac:dyDescent="0.35">
      <c r="A4373" t="s">
        <v>847</v>
      </c>
      <c r="B4373" t="s">
        <v>680</v>
      </c>
      <c r="C4373" s="83">
        <v>46159</v>
      </c>
      <c r="D4373" t="s">
        <v>690</v>
      </c>
      <c r="E4373" t="s">
        <v>311</v>
      </c>
      <c r="F4373">
        <v>10</v>
      </c>
      <c r="G4373">
        <v>18.074950000000001</v>
      </c>
    </row>
    <row r="4374" spans="1:7" x14ac:dyDescent="0.35">
      <c r="A4374" t="s">
        <v>847</v>
      </c>
      <c r="B4374" t="s">
        <v>680</v>
      </c>
      <c r="C4374" s="83">
        <v>46159</v>
      </c>
      <c r="D4374" t="s">
        <v>685</v>
      </c>
      <c r="E4374" t="s">
        <v>312</v>
      </c>
      <c r="F4374">
        <v>31</v>
      </c>
      <c r="G4374">
        <v>24.963433333333299</v>
      </c>
    </row>
    <row r="4375" spans="1:7" x14ac:dyDescent="0.35">
      <c r="A4375" t="s">
        <v>847</v>
      </c>
      <c r="B4375" t="s">
        <v>680</v>
      </c>
      <c r="C4375" s="83">
        <v>46159</v>
      </c>
      <c r="D4375" t="s">
        <v>685</v>
      </c>
      <c r="E4375" t="s">
        <v>338</v>
      </c>
      <c r="F4375">
        <v>6</v>
      </c>
      <c r="G4375">
        <v>5.1654166666666699</v>
      </c>
    </row>
    <row r="4376" spans="1:7" x14ac:dyDescent="0.35">
      <c r="A4376" t="s">
        <v>847</v>
      </c>
      <c r="B4376" t="s">
        <v>680</v>
      </c>
      <c r="C4376" s="83">
        <v>46159</v>
      </c>
      <c r="D4376" t="s">
        <v>685</v>
      </c>
      <c r="E4376" t="s">
        <v>720</v>
      </c>
      <c r="F4376">
        <v>6</v>
      </c>
      <c r="G4376">
        <v>4.3424833333333304</v>
      </c>
    </row>
    <row r="4377" spans="1:7" x14ac:dyDescent="0.35">
      <c r="A4377" t="s">
        <v>847</v>
      </c>
      <c r="B4377" t="s">
        <v>680</v>
      </c>
      <c r="C4377" s="83">
        <v>46160</v>
      </c>
      <c r="D4377" t="s">
        <v>681</v>
      </c>
      <c r="E4377" t="s">
        <v>296</v>
      </c>
      <c r="F4377">
        <v>13</v>
      </c>
      <c r="G4377">
        <v>5.6734833333333299</v>
      </c>
    </row>
    <row r="4378" spans="1:7" x14ac:dyDescent="0.35">
      <c r="A4378" t="s">
        <v>847</v>
      </c>
      <c r="B4378" t="s">
        <v>680</v>
      </c>
      <c r="C4378" s="83">
        <v>46160</v>
      </c>
      <c r="D4378" t="s">
        <v>681</v>
      </c>
      <c r="E4378" t="s">
        <v>300</v>
      </c>
      <c r="F4378">
        <v>7</v>
      </c>
      <c r="G4378">
        <v>2.8267500000000001</v>
      </c>
    </row>
    <row r="4379" spans="1:7" x14ac:dyDescent="0.35">
      <c r="A4379" t="s">
        <v>847</v>
      </c>
      <c r="B4379" t="s">
        <v>680</v>
      </c>
      <c r="C4379" s="83">
        <v>46160</v>
      </c>
      <c r="D4379" t="s">
        <v>681</v>
      </c>
      <c r="E4379" t="s">
        <v>297</v>
      </c>
      <c r="F4379">
        <v>5</v>
      </c>
      <c r="G4379">
        <v>1.49855</v>
      </c>
    </row>
    <row r="4380" spans="1:7" x14ac:dyDescent="0.35">
      <c r="A4380" t="s">
        <v>847</v>
      </c>
      <c r="B4380" t="s">
        <v>680</v>
      </c>
      <c r="C4380" s="83">
        <v>46160</v>
      </c>
      <c r="D4380" t="s">
        <v>683</v>
      </c>
      <c r="E4380" t="s">
        <v>300</v>
      </c>
      <c r="F4380">
        <v>10</v>
      </c>
      <c r="G4380">
        <v>4.6765499999999998</v>
      </c>
    </row>
    <row r="4381" spans="1:7" x14ac:dyDescent="0.35">
      <c r="A4381" t="s">
        <v>847</v>
      </c>
      <c r="B4381" t="s">
        <v>680</v>
      </c>
      <c r="C4381" s="83">
        <v>46160</v>
      </c>
      <c r="D4381" t="s">
        <v>683</v>
      </c>
      <c r="E4381" t="s">
        <v>298</v>
      </c>
      <c r="F4381">
        <v>8</v>
      </c>
      <c r="G4381">
        <v>8.8201000000000001</v>
      </c>
    </row>
    <row r="4382" spans="1:7" x14ac:dyDescent="0.35">
      <c r="A4382" t="s">
        <v>847</v>
      </c>
      <c r="B4382" t="s">
        <v>680</v>
      </c>
      <c r="C4382" s="83">
        <v>46160</v>
      </c>
      <c r="D4382" t="s">
        <v>683</v>
      </c>
      <c r="E4382" t="s">
        <v>297</v>
      </c>
      <c r="F4382">
        <v>5</v>
      </c>
      <c r="G4382">
        <v>2.4839833333333301</v>
      </c>
    </row>
    <row r="4383" spans="1:7" x14ac:dyDescent="0.35">
      <c r="A4383" t="s">
        <v>847</v>
      </c>
      <c r="B4383" t="s">
        <v>680</v>
      </c>
      <c r="C4383" s="83">
        <v>46160</v>
      </c>
      <c r="D4383" t="s">
        <v>689</v>
      </c>
      <c r="E4383" t="s">
        <v>297</v>
      </c>
      <c r="F4383">
        <v>25</v>
      </c>
      <c r="G4383">
        <v>14.808666666666699</v>
      </c>
    </row>
    <row r="4384" spans="1:7" x14ac:dyDescent="0.35">
      <c r="A4384" t="s">
        <v>847</v>
      </c>
      <c r="B4384" t="s">
        <v>680</v>
      </c>
      <c r="C4384" s="83">
        <v>46160</v>
      </c>
      <c r="D4384" t="s">
        <v>689</v>
      </c>
      <c r="E4384" t="s">
        <v>298</v>
      </c>
      <c r="F4384">
        <v>14</v>
      </c>
      <c r="G4384">
        <v>12.6407166666667</v>
      </c>
    </row>
    <row r="4385" spans="1:7" x14ac:dyDescent="0.35">
      <c r="A4385" t="s">
        <v>847</v>
      </c>
      <c r="B4385" t="s">
        <v>680</v>
      </c>
      <c r="C4385" s="83">
        <v>46160</v>
      </c>
      <c r="D4385" t="s">
        <v>689</v>
      </c>
      <c r="E4385" t="s">
        <v>728</v>
      </c>
      <c r="F4385">
        <v>6</v>
      </c>
      <c r="G4385">
        <v>5.15743333333333</v>
      </c>
    </row>
    <row r="4386" spans="1:7" x14ac:dyDescent="0.35">
      <c r="A4386" t="s">
        <v>847</v>
      </c>
      <c r="B4386" t="s">
        <v>680</v>
      </c>
      <c r="C4386" s="83">
        <v>46160</v>
      </c>
      <c r="D4386" t="s">
        <v>684</v>
      </c>
      <c r="E4386" t="s">
        <v>334</v>
      </c>
      <c r="F4386">
        <v>5</v>
      </c>
      <c r="G4386">
        <v>2.0068666666666699</v>
      </c>
    </row>
    <row r="4387" spans="1:7" x14ac:dyDescent="0.35">
      <c r="A4387" t="s">
        <v>847</v>
      </c>
      <c r="B4387" t="s">
        <v>680</v>
      </c>
      <c r="C4387" s="83">
        <v>46160</v>
      </c>
      <c r="D4387" t="s">
        <v>684</v>
      </c>
      <c r="E4387" t="s">
        <v>300</v>
      </c>
      <c r="F4387">
        <v>4</v>
      </c>
      <c r="G4387">
        <v>1.0068333333333299</v>
      </c>
    </row>
    <row r="4388" spans="1:7" x14ac:dyDescent="0.35">
      <c r="A4388" t="s">
        <v>847</v>
      </c>
      <c r="B4388" t="s">
        <v>680</v>
      </c>
      <c r="C4388" s="83">
        <v>46160</v>
      </c>
      <c r="D4388" t="s">
        <v>684</v>
      </c>
      <c r="E4388" t="s">
        <v>298</v>
      </c>
      <c r="F4388">
        <v>4</v>
      </c>
      <c r="G4388">
        <v>4.8292999999999999</v>
      </c>
    </row>
    <row r="4389" spans="1:7" x14ac:dyDescent="0.35">
      <c r="A4389" t="s">
        <v>847</v>
      </c>
      <c r="B4389" t="s">
        <v>680</v>
      </c>
      <c r="C4389" s="83">
        <v>46160</v>
      </c>
      <c r="D4389" t="s">
        <v>687</v>
      </c>
      <c r="E4389" t="s">
        <v>718</v>
      </c>
      <c r="F4389">
        <v>5</v>
      </c>
      <c r="G4389">
        <v>7.1730833333333299</v>
      </c>
    </row>
    <row r="4390" spans="1:7" x14ac:dyDescent="0.35">
      <c r="A4390" t="s">
        <v>847</v>
      </c>
      <c r="B4390" t="s">
        <v>680</v>
      </c>
      <c r="C4390" s="83">
        <v>46160</v>
      </c>
      <c r="D4390" t="s">
        <v>687</v>
      </c>
      <c r="E4390" t="s">
        <v>733</v>
      </c>
      <c r="F4390">
        <v>3</v>
      </c>
      <c r="G4390">
        <v>19.161483333333301</v>
      </c>
    </row>
    <row r="4391" spans="1:7" x14ac:dyDescent="0.35">
      <c r="A4391" t="s">
        <v>847</v>
      </c>
      <c r="B4391" t="s">
        <v>680</v>
      </c>
      <c r="C4391" s="83">
        <v>46160</v>
      </c>
      <c r="D4391" t="s">
        <v>687</v>
      </c>
      <c r="E4391" t="s">
        <v>759</v>
      </c>
      <c r="F4391">
        <v>2</v>
      </c>
      <c r="G4391">
        <v>0.33384999999999998</v>
      </c>
    </row>
    <row r="4392" spans="1:7" x14ac:dyDescent="0.35">
      <c r="A4392" t="s">
        <v>847</v>
      </c>
      <c r="B4392" t="s">
        <v>680</v>
      </c>
      <c r="C4392" s="83">
        <v>46160</v>
      </c>
      <c r="D4392" t="s">
        <v>688</v>
      </c>
      <c r="E4392" t="s">
        <v>316</v>
      </c>
      <c r="F4392">
        <v>49</v>
      </c>
      <c r="G4392">
        <v>15.129049999999999</v>
      </c>
    </row>
    <row r="4393" spans="1:7" x14ac:dyDescent="0.35">
      <c r="A4393" t="s">
        <v>847</v>
      </c>
      <c r="B4393" t="s">
        <v>680</v>
      </c>
      <c r="C4393" s="83">
        <v>46160</v>
      </c>
      <c r="D4393" t="s">
        <v>688</v>
      </c>
      <c r="E4393" t="s">
        <v>311</v>
      </c>
      <c r="F4393">
        <v>17</v>
      </c>
      <c r="G4393">
        <v>8.3328833333333296</v>
      </c>
    </row>
    <row r="4394" spans="1:7" x14ac:dyDescent="0.35">
      <c r="A4394" t="s">
        <v>847</v>
      </c>
      <c r="B4394" t="s">
        <v>680</v>
      </c>
      <c r="C4394" s="83">
        <v>46160</v>
      </c>
      <c r="D4394" t="s">
        <v>688</v>
      </c>
      <c r="E4394" t="s">
        <v>720</v>
      </c>
      <c r="F4394">
        <v>2</v>
      </c>
      <c r="G4394">
        <v>5.1671166666666704</v>
      </c>
    </row>
    <row r="4395" spans="1:7" x14ac:dyDescent="0.35">
      <c r="A4395" t="s">
        <v>847</v>
      </c>
      <c r="B4395" t="s">
        <v>680</v>
      </c>
      <c r="C4395" s="83">
        <v>46160</v>
      </c>
      <c r="D4395" t="s">
        <v>690</v>
      </c>
      <c r="E4395" t="s">
        <v>312</v>
      </c>
      <c r="F4395">
        <v>26</v>
      </c>
      <c r="G4395">
        <v>11.3191666666667</v>
      </c>
    </row>
    <row r="4396" spans="1:7" x14ac:dyDescent="0.35">
      <c r="A4396" t="s">
        <v>847</v>
      </c>
      <c r="B4396" t="s">
        <v>680</v>
      </c>
      <c r="C4396" s="83">
        <v>46160</v>
      </c>
      <c r="D4396" t="s">
        <v>690</v>
      </c>
      <c r="E4396" t="s">
        <v>720</v>
      </c>
      <c r="F4396">
        <v>12</v>
      </c>
      <c r="G4396">
        <v>5.6712333333333298</v>
      </c>
    </row>
    <row r="4397" spans="1:7" x14ac:dyDescent="0.35">
      <c r="A4397" t="s">
        <v>847</v>
      </c>
      <c r="B4397" t="s">
        <v>680</v>
      </c>
      <c r="C4397" s="83">
        <v>46160</v>
      </c>
      <c r="D4397" t="s">
        <v>690</v>
      </c>
      <c r="E4397" t="s">
        <v>311</v>
      </c>
      <c r="F4397">
        <v>11</v>
      </c>
      <c r="G4397">
        <v>7.33381666666667</v>
      </c>
    </row>
    <row r="4398" spans="1:7" x14ac:dyDescent="0.35">
      <c r="A4398" t="s">
        <v>847</v>
      </c>
      <c r="B4398" t="s">
        <v>680</v>
      </c>
      <c r="C4398" s="83">
        <v>46160</v>
      </c>
      <c r="D4398" t="s">
        <v>685</v>
      </c>
      <c r="E4398" t="s">
        <v>312</v>
      </c>
      <c r="F4398">
        <v>22</v>
      </c>
      <c r="G4398">
        <v>12.1464833333333</v>
      </c>
    </row>
    <row r="4399" spans="1:7" x14ac:dyDescent="0.35">
      <c r="A4399" t="s">
        <v>847</v>
      </c>
      <c r="B4399" t="s">
        <v>680</v>
      </c>
      <c r="C4399" s="83">
        <v>46160</v>
      </c>
      <c r="D4399" t="s">
        <v>685</v>
      </c>
      <c r="E4399" t="s">
        <v>720</v>
      </c>
      <c r="F4399">
        <v>13</v>
      </c>
      <c r="G4399">
        <v>9.8284500000000001</v>
      </c>
    </row>
    <row r="4400" spans="1:7" x14ac:dyDescent="0.35">
      <c r="A4400" t="s">
        <v>847</v>
      </c>
      <c r="B4400" t="s">
        <v>680</v>
      </c>
      <c r="C4400" s="83">
        <v>46160</v>
      </c>
      <c r="D4400" t="s">
        <v>685</v>
      </c>
      <c r="E4400" t="s">
        <v>311</v>
      </c>
      <c r="F4400">
        <v>6</v>
      </c>
      <c r="G4400">
        <v>5.6671666666666702</v>
      </c>
    </row>
    <row r="4401" spans="1:7" x14ac:dyDescent="0.35">
      <c r="A4401" t="s">
        <v>847</v>
      </c>
      <c r="B4401" t="s">
        <v>680</v>
      </c>
      <c r="C4401" s="83">
        <v>46161</v>
      </c>
      <c r="D4401" t="s">
        <v>681</v>
      </c>
      <c r="E4401" t="s">
        <v>296</v>
      </c>
      <c r="F4401">
        <v>33</v>
      </c>
      <c r="G4401">
        <v>17.013083333333299</v>
      </c>
    </row>
    <row r="4402" spans="1:7" x14ac:dyDescent="0.35">
      <c r="A4402" t="s">
        <v>847</v>
      </c>
      <c r="B4402" t="s">
        <v>680</v>
      </c>
      <c r="C4402" s="83">
        <v>46161</v>
      </c>
      <c r="D4402" t="s">
        <v>681</v>
      </c>
      <c r="E4402" t="s">
        <v>343</v>
      </c>
      <c r="F4402">
        <v>6</v>
      </c>
      <c r="G4402">
        <v>2.1720000000000002</v>
      </c>
    </row>
    <row r="4403" spans="1:7" x14ac:dyDescent="0.35">
      <c r="A4403" t="s">
        <v>847</v>
      </c>
      <c r="B4403" t="s">
        <v>680</v>
      </c>
      <c r="C4403" s="83">
        <v>46161</v>
      </c>
      <c r="D4403" t="s">
        <v>681</v>
      </c>
      <c r="E4403" t="s">
        <v>300</v>
      </c>
      <c r="F4403">
        <v>5</v>
      </c>
      <c r="G4403">
        <v>1.6648499999999999</v>
      </c>
    </row>
    <row r="4404" spans="1:7" x14ac:dyDescent="0.35">
      <c r="A4404" t="s">
        <v>847</v>
      </c>
      <c r="B4404" t="s">
        <v>680</v>
      </c>
      <c r="C4404" s="83">
        <v>46161</v>
      </c>
      <c r="D4404" t="s">
        <v>683</v>
      </c>
      <c r="E4404" t="s">
        <v>727</v>
      </c>
      <c r="F4404">
        <v>11</v>
      </c>
      <c r="G4404">
        <v>5.8096500000000004</v>
      </c>
    </row>
    <row r="4405" spans="1:7" x14ac:dyDescent="0.35">
      <c r="A4405" t="s">
        <v>847</v>
      </c>
      <c r="B4405" t="s">
        <v>680</v>
      </c>
      <c r="C4405" s="83">
        <v>46161</v>
      </c>
      <c r="D4405" t="s">
        <v>683</v>
      </c>
      <c r="E4405" t="s">
        <v>334</v>
      </c>
      <c r="F4405">
        <v>8</v>
      </c>
      <c r="G4405">
        <v>4.1517166666666698</v>
      </c>
    </row>
    <row r="4406" spans="1:7" x14ac:dyDescent="0.35">
      <c r="A4406" t="s">
        <v>847</v>
      </c>
      <c r="B4406" t="s">
        <v>680</v>
      </c>
      <c r="C4406" s="83">
        <v>46161</v>
      </c>
      <c r="D4406" t="s">
        <v>683</v>
      </c>
      <c r="E4406" t="s">
        <v>298</v>
      </c>
      <c r="F4406">
        <v>7</v>
      </c>
      <c r="G4406">
        <v>5.5002833333333303</v>
      </c>
    </row>
    <row r="4407" spans="1:7" x14ac:dyDescent="0.35">
      <c r="A4407" t="s">
        <v>847</v>
      </c>
      <c r="B4407" t="s">
        <v>680</v>
      </c>
      <c r="C4407" s="83">
        <v>46161</v>
      </c>
      <c r="D4407" t="s">
        <v>689</v>
      </c>
      <c r="E4407" t="s">
        <v>297</v>
      </c>
      <c r="F4407">
        <v>19</v>
      </c>
      <c r="G4407">
        <v>10.836066666666699</v>
      </c>
    </row>
    <row r="4408" spans="1:7" x14ac:dyDescent="0.35">
      <c r="A4408" t="s">
        <v>847</v>
      </c>
      <c r="B4408" t="s">
        <v>680</v>
      </c>
      <c r="C4408" s="83">
        <v>46161</v>
      </c>
      <c r="D4408" t="s">
        <v>689</v>
      </c>
      <c r="E4408" t="s">
        <v>298</v>
      </c>
      <c r="F4408">
        <v>12</v>
      </c>
      <c r="G4408">
        <v>10.3303833333333</v>
      </c>
    </row>
    <row r="4409" spans="1:7" x14ac:dyDescent="0.35">
      <c r="A4409" t="s">
        <v>847</v>
      </c>
      <c r="B4409" t="s">
        <v>680</v>
      </c>
      <c r="C4409" s="83">
        <v>46161</v>
      </c>
      <c r="D4409" t="s">
        <v>689</v>
      </c>
      <c r="E4409" t="s">
        <v>300</v>
      </c>
      <c r="F4409">
        <v>9</v>
      </c>
      <c r="G4409">
        <v>3.1738499999999998</v>
      </c>
    </row>
    <row r="4410" spans="1:7" x14ac:dyDescent="0.35">
      <c r="A4410" t="s">
        <v>847</v>
      </c>
      <c r="B4410" t="s">
        <v>680</v>
      </c>
      <c r="C4410" s="83">
        <v>46161</v>
      </c>
      <c r="D4410" t="s">
        <v>684</v>
      </c>
      <c r="E4410" t="s">
        <v>332</v>
      </c>
      <c r="F4410">
        <v>4</v>
      </c>
      <c r="G4410">
        <v>1.16628333333333</v>
      </c>
    </row>
    <row r="4411" spans="1:7" x14ac:dyDescent="0.35">
      <c r="A4411" t="s">
        <v>847</v>
      </c>
      <c r="B4411" t="s">
        <v>680</v>
      </c>
      <c r="C4411" s="83">
        <v>46161</v>
      </c>
      <c r="D4411" t="s">
        <v>684</v>
      </c>
      <c r="E4411" t="s">
        <v>297</v>
      </c>
      <c r="F4411">
        <v>4</v>
      </c>
      <c r="G4411">
        <v>1.5023833333333301</v>
      </c>
    </row>
    <row r="4412" spans="1:7" x14ac:dyDescent="0.35">
      <c r="A4412" t="s">
        <v>847</v>
      </c>
      <c r="B4412" t="s">
        <v>680</v>
      </c>
      <c r="C4412" s="83">
        <v>46161</v>
      </c>
      <c r="D4412" t="s">
        <v>684</v>
      </c>
      <c r="E4412" t="s">
        <v>304</v>
      </c>
      <c r="F4412">
        <v>3</v>
      </c>
      <c r="G4412">
        <v>6.6672833333333301</v>
      </c>
    </row>
    <row r="4413" spans="1:7" x14ac:dyDescent="0.35">
      <c r="A4413" t="s">
        <v>847</v>
      </c>
      <c r="B4413" t="s">
        <v>680</v>
      </c>
      <c r="C4413" s="83">
        <v>46161</v>
      </c>
      <c r="D4413" t="s">
        <v>687</v>
      </c>
      <c r="E4413" t="s">
        <v>718</v>
      </c>
      <c r="F4413">
        <v>5</v>
      </c>
      <c r="G4413">
        <v>2.0024500000000001</v>
      </c>
    </row>
    <row r="4414" spans="1:7" x14ac:dyDescent="0.35">
      <c r="A4414" t="s">
        <v>847</v>
      </c>
      <c r="B4414" t="s">
        <v>680</v>
      </c>
      <c r="C4414" s="83">
        <v>46161</v>
      </c>
      <c r="D4414" t="s">
        <v>687</v>
      </c>
      <c r="E4414" t="s">
        <v>717</v>
      </c>
      <c r="F4414">
        <v>4</v>
      </c>
      <c r="G4414">
        <v>7.1691166666666701</v>
      </c>
    </row>
    <row r="4415" spans="1:7" x14ac:dyDescent="0.35">
      <c r="A4415" t="s">
        <v>847</v>
      </c>
      <c r="B4415" t="s">
        <v>680</v>
      </c>
      <c r="C4415" s="83">
        <v>46161</v>
      </c>
      <c r="D4415" t="s">
        <v>687</v>
      </c>
      <c r="E4415" t="s">
        <v>742</v>
      </c>
      <c r="F4415">
        <v>3</v>
      </c>
      <c r="G4415">
        <v>12.502333333333301</v>
      </c>
    </row>
    <row r="4416" spans="1:7" x14ac:dyDescent="0.35">
      <c r="A4416" t="s">
        <v>847</v>
      </c>
      <c r="B4416" t="s">
        <v>680</v>
      </c>
      <c r="C4416" s="83">
        <v>46161</v>
      </c>
      <c r="D4416" t="s">
        <v>688</v>
      </c>
      <c r="E4416" t="s">
        <v>311</v>
      </c>
      <c r="F4416">
        <v>25</v>
      </c>
      <c r="G4416">
        <v>15.513616666666699</v>
      </c>
    </row>
    <row r="4417" spans="1:7" x14ac:dyDescent="0.35">
      <c r="A4417" t="s">
        <v>847</v>
      </c>
      <c r="B4417" t="s">
        <v>680</v>
      </c>
      <c r="C4417" s="83">
        <v>46161</v>
      </c>
      <c r="D4417" t="s">
        <v>688</v>
      </c>
      <c r="E4417" t="s">
        <v>316</v>
      </c>
      <c r="F4417">
        <v>18</v>
      </c>
      <c r="G4417">
        <v>10.353249999999999</v>
      </c>
    </row>
    <row r="4418" spans="1:7" x14ac:dyDescent="0.35">
      <c r="A4418" t="s">
        <v>847</v>
      </c>
      <c r="B4418" t="s">
        <v>680</v>
      </c>
      <c r="C4418" s="83">
        <v>46161</v>
      </c>
      <c r="D4418" t="s">
        <v>688</v>
      </c>
      <c r="E4418" t="s">
        <v>312</v>
      </c>
      <c r="F4418">
        <v>2</v>
      </c>
      <c r="G4418">
        <v>1.1678166666666701</v>
      </c>
    </row>
    <row r="4419" spans="1:7" x14ac:dyDescent="0.35">
      <c r="A4419" t="s">
        <v>847</v>
      </c>
      <c r="B4419" t="s">
        <v>680</v>
      </c>
      <c r="C4419" s="83">
        <v>46161</v>
      </c>
      <c r="D4419" t="s">
        <v>690</v>
      </c>
      <c r="E4419" t="s">
        <v>312</v>
      </c>
      <c r="F4419">
        <v>20</v>
      </c>
      <c r="G4419">
        <v>7.9980166666666701</v>
      </c>
    </row>
    <row r="4420" spans="1:7" x14ac:dyDescent="0.35">
      <c r="A4420" t="s">
        <v>847</v>
      </c>
      <c r="B4420" t="s">
        <v>680</v>
      </c>
      <c r="C4420" s="83">
        <v>46161</v>
      </c>
      <c r="D4420" t="s">
        <v>690</v>
      </c>
      <c r="E4420" t="s">
        <v>720</v>
      </c>
      <c r="F4420">
        <v>13</v>
      </c>
      <c r="G4420">
        <v>6.4956833333333304</v>
      </c>
    </row>
    <row r="4421" spans="1:7" x14ac:dyDescent="0.35">
      <c r="A4421" t="s">
        <v>847</v>
      </c>
      <c r="B4421" t="s">
        <v>680</v>
      </c>
      <c r="C4421" s="83">
        <v>46161</v>
      </c>
      <c r="D4421" t="s">
        <v>690</v>
      </c>
      <c r="E4421" t="s">
        <v>311</v>
      </c>
      <c r="F4421">
        <v>8</v>
      </c>
      <c r="G4421">
        <v>5.4160000000000004</v>
      </c>
    </row>
    <row r="4422" spans="1:7" x14ac:dyDescent="0.35">
      <c r="A4422" t="s">
        <v>847</v>
      </c>
      <c r="B4422" t="s">
        <v>680</v>
      </c>
      <c r="C4422" s="83">
        <v>46161</v>
      </c>
      <c r="D4422" t="s">
        <v>685</v>
      </c>
      <c r="E4422" t="s">
        <v>720</v>
      </c>
      <c r="F4422">
        <v>18</v>
      </c>
      <c r="G4422">
        <v>13.353300000000001</v>
      </c>
    </row>
    <row r="4423" spans="1:7" x14ac:dyDescent="0.35">
      <c r="A4423" t="s">
        <v>847</v>
      </c>
      <c r="B4423" t="s">
        <v>680</v>
      </c>
      <c r="C4423" s="83">
        <v>46161</v>
      </c>
      <c r="D4423" t="s">
        <v>685</v>
      </c>
      <c r="E4423" t="s">
        <v>312</v>
      </c>
      <c r="F4423">
        <v>15</v>
      </c>
      <c r="G4423">
        <v>9.3489666666666693</v>
      </c>
    </row>
    <row r="4424" spans="1:7" x14ac:dyDescent="0.35">
      <c r="A4424" t="s">
        <v>847</v>
      </c>
      <c r="B4424" t="s">
        <v>680</v>
      </c>
      <c r="C4424" s="83">
        <v>46161</v>
      </c>
      <c r="D4424" t="s">
        <v>685</v>
      </c>
      <c r="E4424" t="s">
        <v>311</v>
      </c>
      <c r="F4424">
        <v>6</v>
      </c>
      <c r="G4424">
        <v>4.8425500000000001</v>
      </c>
    </row>
    <row r="4425" spans="1:7" x14ac:dyDescent="0.35">
      <c r="A4425" t="s">
        <v>847</v>
      </c>
      <c r="B4425" t="s">
        <v>680</v>
      </c>
      <c r="C4425" s="83">
        <v>46162</v>
      </c>
      <c r="D4425" t="s">
        <v>681</v>
      </c>
      <c r="E4425" t="s">
        <v>296</v>
      </c>
      <c r="F4425">
        <v>110</v>
      </c>
      <c r="G4425">
        <v>39.190800000000003</v>
      </c>
    </row>
    <row r="4426" spans="1:7" x14ac:dyDescent="0.35">
      <c r="A4426" t="s">
        <v>847</v>
      </c>
      <c r="B4426" t="s">
        <v>680</v>
      </c>
      <c r="C4426" s="83">
        <v>46162</v>
      </c>
      <c r="D4426" t="s">
        <v>681</v>
      </c>
      <c r="E4426" t="s">
        <v>297</v>
      </c>
      <c r="F4426">
        <v>13</v>
      </c>
      <c r="G4426">
        <v>3.1591499999999999</v>
      </c>
    </row>
    <row r="4427" spans="1:7" x14ac:dyDescent="0.35">
      <c r="A4427" t="s">
        <v>847</v>
      </c>
      <c r="B4427" t="s">
        <v>680</v>
      </c>
      <c r="C4427" s="83">
        <v>46162</v>
      </c>
      <c r="D4427" t="s">
        <v>681</v>
      </c>
      <c r="E4427" t="s">
        <v>298</v>
      </c>
      <c r="F4427">
        <v>12</v>
      </c>
      <c r="G4427">
        <v>16.332350000000002</v>
      </c>
    </row>
    <row r="4428" spans="1:7" x14ac:dyDescent="0.35">
      <c r="A4428" t="s">
        <v>847</v>
      </c>
      <c r="B4428" t="s">
        <v>680</v>
      </c>
      <c r="C4428" s="83">
        <v>46162</v>
      </c>
      <c r="D4428" t="s">
        <v>683</v>
      </c>
      <c r="E4428" t="s">
        <v>334</v>
      </c>
      <c r="F4428">
        <v>12</v>
      </c>
      <c r="G4428">
        <v>6.6905666666666699</v>
      </c>
    </row>
    <row r="4429" spans="1:7" x14ac:dyDescent="0.35">
      <c r="A4429" t="s">
        <v>847</v>
      </c>
      <c r="B4429" t="s">
        <v>680</v>
      </c>
      <c r="C4429" s="83">
        <v>46162</v>
      </c>
      <c r="D4429" t="s">
        <v>683</v>
      </c>
      <c r="E4429" t="s">
        <v>297</v>
      </c>
      <c r="F4429">
        <v>12</v>
      </c>
      <c r="G4429">
        <v>72.355099999999993</v>
      </c>
    </row>
    <row r="4430" spans="1:7" x14ac:dyDescent="0.35">
      <c r="A4430" t="s">
        <v>847</v>
      </c>
      <c r="B4430" t="s">
        <v>680</v>
      </c>
      <c r="C4430" s="83">
        <v>46162</v>
      </c>
      <c r="D4430" t="s">
        <v>683</v>
      </c>
      <c r="E4430" t="s">
        <v>332</v>
      </c>
      <c r="F4430">
        <v>6</v>
      </c>
      <c r="G4430">
        <v>2.6837166666666699</v>
      </c>
    </row>
    <row r="4431" spans="1:7" x14ac:dyDescent="0.35">
      <c r="A4431" t="s">
        <v>847</v>
      </c>
      <c r="B4431" t="s">
        <v>680</v>
      </c>
      <c r="C4431" s="83">
        <v>46162</v>
      </c>
      <c r="D4431" t="s">
        <v>689</v>
      </c>
      <c r="E4431" t="s">
        <v>297</v>
      </c>
      <c r="F4431">
        <v>66</v>
      </c>
      <c r="G4431">
        <v>32.943366666666698</v>
      </c>
    </row>
    <row r="4432" spans="1:7" x14ac:dyDescent="0.35">
      <c r="A4432" t="s">
        <v>847</v>
      </c>
      <c r="B4432" t="s">
        <v>680</v>
      </c>
      <c r="C4432" s="83">
        <v>46162</v>
      </c>
      <c r="D4432" t="s">
        <v>689</v>
      </c>
      <c r="E4432" t="s">
        <v>296</v>
      </c>
      <c r="F4432">
        <v>40</v>
      </c>
      <c r="G4432">
        <v>12.1399166666667</v>
      </c>
    </row>
    <row r="4433" spans="1:7" x14ac:dyDescent="0.35">
      <c r="A4433" t="s">
        <v>847</v>
      </c>
      <c r="B4433" t="s">
        <v>680</v>
      </c>
      <c r="C4433" s="83">
        <v>46162</v>
      </c>
      <c r="D4433" t="s">
        <v>689</v>
      </c>
      <c r="E4433" t="s">
        <v>334</v>
      </c>
      <c r="F4433">
        <v>8</v>
      </c>
      <c r="G4433">
        <v>30.3291</v>
      </c>
    </row>
    <row r="4434" spans="1:7" x14ac:dyDescent="0.35">
      <c r="A4434" t="s">
        <v>847</v>
      </c>
      <c r="B4434" t="s">
        <v>680</v>
      </c>
      <c r="C4434" s="83">
        <v>46162</v>
      </c>
      <c r="D4434" t="s">
        <v>684</v>
      </c>
      <c r="E4434" t="s">
        <v>296</v>
      </c>
      <c r="F4434">
        <v>39</v>
      </c>
      <c r="G4434">
        <v>8.8157499999999995</v>
      </c>
    </row>
    <row r="4435" spans="1:7" x14ac:dyDescent="0.35">
      <c r="A4435" t="s">
        <v>847</v>
      </c>
      <c r="B4435" t="s">
        <v>680</v>
      </c>
      <c r="C4435" s="83">
        <v>46162</v>
      </c>
      <c r="D4435" t="s">
        <v>684</v>
      </c>
      <c r="E4435" t="s">
        <v>297</v>
      </c>
      <c r="F4435">
        <v>8</v>
      </c>
      <c r="G4435">
        <v>6.9920166666666699</v>
      </c>
    </row>
    <row r="4436" spans="1:7" x14ac:dyDescent="0.35">
      <c r="A4436" t="s">
        <v>847</v>
      </c>
      <c r="B4436" t="s">
        <v>680</v>
      </c>
      <c r="C4436" s="83">
        <v>46162</v>
      </c>
      <c r="D4436" t="s">
        <v>684</v>
      </c>
      <c r="E4436" t="s">
        <v>332</v>
      </c>
      <c r="F4436">
        <v>3</v>
      </c>
      <c r="G4436">
        <v>1.6645333333333301</v>
      </c>
    </row>
    <row r="4437" spans="1:7" x14ac:dyDescent="0.35">
      <c r="A4437" t="s">
        <v>847</v>
      </c>
      <c r="B4437" t="s">
        <v>680</v>
      </c>
      <c r="C4437" s="83">
        <v>46162</v>
      </c>
      <c r="D4437" t="s">
        <v>687</v>
      </c>
      <c r="E4437" t="s">
        <v>746</v>
      </c>
      <c r="F4437">
        <v>35</v>
      </c>
      <c r="G4437">
        <v>34.489766666666704</v>
      </c>
    </row>
    <row r="4438" spans="1:7" x14ac:dyDescent="0.35">
      <c r="A4438" t="s">
        <v>847</v>
      </c>
      <c r="B4438" t="s">
        <v>680</v>
      </c>
      <c r="C4438" s="83">
        <v>46162</v>
      </c>
      <c r="D4438" t="s">
        <v>687</v>
      </c>
      <c r="E4438" t="s">
        <v>717</v>
      </c>
      <c r="F4438">
        <v>9</v>
      </c>
      <c r="G4438">
        <v>82.841583333333304</v>
      </c>
    </row>
    <row r="4439" spans="1:7" x14ac:dyDescent="0.35">
      <c r="A4439" t="s">
        <v>847</v>
      </c>
      <c r="B4439" t="s">
        <v>680</v>
      </c>
      <c r="C4439" s="83">
        <v>46162</v>
      </c>
      <c r="D4439" t="s">
        <v>687</v>
      </c>
      <c r="E4439" t="s">
        <v>722</v>
      </c>
      <c r="F4439">
        <v>4</v>
      </c>
      <c r="G4439">
        <v>1.5012333333333301</v>
      </c>
    </row>
    <row r="4440" spans="1:7" x14ac:dyDescent="0.35">
      <c r="A4440" t="s">
        <v>847</v>
      </c>
      <c r="B4440" t="s">
        <v>680</v>
      </c>
      <c r="C4440" s="83">
        <v>46162</v>
      </c>
      <c r="D4440" t="s">
        <v>688</v>
      </c>
      <c r="E4440" t="s">
        <v>311</v>
      </c>
      <c r="F4440">
        <v>2</v>
      </c>
      <c r="G4440">
        <v>1.33341666666667</v>
      </c>
    </row>
    <row r="4441" spans="1:7" x14ac:dyDescent="0.35">
      <c r="A4441" t="s">
        <v>847</v>
      </c>
      <c r="B4441" t="s">
        <v>680</v>
      </c>
      <c r="C4441" s="83">
        <v>46162</v>
      </c>
      <c r="D4441" t="s">
        <v>688</v>
      </c>
      <c r="E4441" t="s">
        <v>721</v>
      </c>
      <c r="F4441">
        <v>2</v>
      </c>
      <c r="G4441">
        <v>1.3343166666666699</v>
      </c>
    </row>
    <row r="4442" spans="1:7" x14ac:dyDescent="0.35">
      <c r="A4442" t="s">
        <v>847</v>
      </c>
      <c r="B4442" t="s">
        <v>680</v>
      </c>
      <c r="C4442" s="83">
        <v>46162</v>
      </c>
      <c r="D4442" t="s">
        <v>690</v>
      </c>
      <c r="E4442" t="s">
        <v>312</v>
      </c>
      <c r="F4442">
        <v>9</v>
      </c>
      <c r="G4442">
        <v>5.68445</v>
      </c>
    </row>
    <row r="4443" spans="1:7" x14ac:dyDescent="0.35">
      <c r="A4443" t="s">
        <v>847</v>
      </c>
      <c r="B4443" t="s">
        <v>680</v>
      </c>
      <c r="C4443" s="83">
        <v>46162</v>
      </c>
      <c r="D4443" t="s">
        <v>690</v>
      </c>
      <c r="E4443" t="s">
        <v>311</v>
      </c>
      <c r="F4443">
        <v>3</v>
      </c>
      <c r="G4443">
        <v>2.6569500000000001</v>
      </c>
    </row>
    <row r="4444" spans="1:7" x14ac:dyDescent="0.35">
      <c r="A4444" t="s">
        <v>847</v>
      </c>
      <c r="B4444" t="s">
        <v>680</v>
      </c>
      <c r="C4444" s="83">
        <v>46162</v>
      </c>
      <c r="D4444" t="s">
        <v>690</v>
      </c>
      <c r="E4444" t="s">
        <v>720</v>
      </c>
      <c r="F4444">
        <v>3</v>
      </c>
      <c r="G4444">
        <v>1.3345166666666699</v>
      </c>
    </row>
    <row r="4445" spans="1:7" x14ac:dyDescent="0.35">
      <c r="A4445" t="s">
        <v>847</v>
      </c>
      <c r="B4445" t="s">
        <v>680</v>
      </c>
      <c r="C4445" s="83">
        <v>46162</v>
      </c>
      <c r="D4445" t="s">
        <v>685</v>
      </c>
      <c r="E4445" t="s">
        <v>720</v>
      </c>
      <c r="F4445">
        <v>10</v>
      </c>
      <c r="G4445">
        <v>7.4906833333333296</v>
      </c>
    </row>
    <row r="4446" spans="1:7" x14ac:dyDescent="0.35">
      <c r="A4446" t="s">
        <v>847</v>
      </c>
      <c r="B4446" t="s">
        <v>680</v>
      </c>
      <c r="C4446" s="83">
        <v>46162</v>
      </c>
      <c r="D4446" t="s">
        <v>685</v>
      </c>
      <c r="E4446" t="s">
        <v>311</v>
      </c>
      <c r="F4446">
        <v>2</v>
      </c>
      <c r="G4446">
        <v>2.6610166666666699</v>
      </c>
    </row>
    <row r="4447" spans="1:7" x14ac:dyDescent="0.35">
      <c r="A4447" t="s">
        <v>847</v>
      </c>
      <c r="B4447" t="s">
        <v>680</v>
      </c>
      <c r="C4447" s="83">
        <v>46163</v>
      </c>
      <c r="D4447" t="s">
        <v>681</v>
      </c>
      <c r="E4447" t="s">
        <v>296</v>
      </c>
      <c r="F4447">
        <v>239</v>
      </c>
      <c r="G4447">
        <v>81.586516666666697</v>
      </c>
    </row>
    <row r="4448" spans="1:7" x14ac:dyDescent="0.35">
      <c r="A4448" t="s">
        <v>847</v>
      </c>
      <c r="B4448" t="s">
        <v>680</v>
      </c>
      <c r="C4448" s="83">
        <v>46163</v>
      </c>
      <c r="D4448" t="s">
        <v>681</v>
      </c>
      <c r="E4448" t="s">
        <v>297</v>
      </c>
      <c r="F4448">
        <v>30</v>
      </c>
      <c r="G4448">
        <v>6.6695833333333301</v>
      </c>
    </row>
    <row r="4449" spans="1:7" x14ac:dyDescent="0.35">
      <c r="A4449" t="s">
        <v>847</v>
      </c>
      <c r="B4449" t="s">
        <v>680</v>
      </c>
      <c r="C4449" s="83">
        <v>46163</v>
      </c>
      <c r="D4449" t="s">
        <v>681</v>
      </c>
      <c r="E4449" t="s">
        <v>334</v>
      </c>
      <c r="F4449">
        <v>10</v>
      </c>
      <c r="G4449">
        <v>9.0097833333333295</v>
      </c>
    </row>
    <row r="4450" spans="1:7" x14ac:dyDescent="0.35">
      <c r="A4450" t="s">
        <v>847</v>
      </c>
      <c r="B4450" t="s">
        <v>680</v>
      </c>
      <c r="C4450" s="83">
        <v>46163</v>
      </c>
      <c r="D4450" t="s">
        <v>683</v>
      </c>
      <c r="E4450" t="s">
        <v>332</v>
      </c>
      <c r="F4450">
        <v>79</v>
      </c>
      <c r="G4450">
        <v>99.7453</v>
      </c>
    </row>
    <row r="4451" spans="1:7" x14ac:dyDescent="0.35">
      <c r="A4451" t="s">
        <v>847</v>
      </c>
      <c r="B4451" t="s">
        <v>680</v>
      </c>
      <c r="C4451" s="83">
        <v>46163</v>
      </c>
      <c r="D4451" t="s">
        <v>683</v>
      </c>
      <c r="E4451" t="s">
        <v>297</v>
      </c>
      <c r="F4451">
        <v>50</v>
      </c>
      <c r="G4451">
        <v>31.999966666666701</v>
      </c>
    </row>
    <row r="4452" spans="1:7" x14ac:dyDescent="0.35">
      <c r="A4452" t="s">
        <v>847</v>
      </c>
      <c r="B4452" t="s">
        <v>680</v>
      </c>
      <c r="C4452" s="83">
        <v>46163</v>
      </c>
      <c r="D4452" t="s">
        <v>683</v>
      </c>
      <c r="E4452" t="s">
        <v>296</v>
      </c>
      <c r="F4452">
        <v>21</v>
      </c>
      <c r="G4452">
        <v>19.019933333333299</v>
      </c>
    </row>
    <row r="4453" spans="1:7" x14ac:dyDescent="0.35">
      <c r="A4453" t="s">
        <v>847</v>
      </c>
      <c r="B4453" t="s">
        <v>680</v>
      </c>
      <c r="C4453" s="83">
        <v>46163</v>
      </c>
      <c r="D4453" t="s">
        <v>689</v>
      </c>
      <c r="E4453" t="s">
        <v>296</v>
      </c>
      <c r="F4453">
        <v>65</v>
      </c>
      <c r="G4453">
        <v>16.480250000000002</v>
      </c>
    </row>
    <row r="4454" spans="1:7" x14ac:dyDescent="0.35">
      <c r="A4454" t="s">
        <v>847</v>
      </c>
      <c r="B4454" t="s">
        <v>680</v>
      </c>
      <c r="C4454" s="83">
        <v>46163</v>
      </c>
      <c r="D4454" t="s">
        <v>689</v>
      </c>
      <c r="E4454" t="s">
        <v>727</v>
      </c>
      <c r="F4454">
        <v>15</v>
      </c>
      <c r="G4454">
        <v>3.98911666666667</v>
      </c>
    </row>
    <row r="4455" spans="1:7" x14ac:dyDescent="0.35">
      <c r="A4455" t="s">
        <v>847</v>
      </c>
      <c r="B4455" t="s">
        <v>680</v>
      </c>
      <c r="C4455" s="83">
        <v>46163</v>
      </c>
      <c r="D4455" t="s">
        <v>689</v>
      </c>
      <c r="E4455" t="s">
        <v>297</v>
      </c>
      <c r="F4455">
        <v>10</v>
      </c>
      <c r="G4455">
        <v>3.3295499999999998</v>
      </c>
    </row>
    <row r="4456" spans="1:7" x14ac:dyDescent="0.35">
      <c r="A4456" t="s">
        <v>847</v>
      </c>
      <c r="B4456" t="s">
        <v>680</v>
      </c>
      <c r="C4456" s="83">
        <v>46163</v>
      </c>
      <c r="D4456" t="s">
        <v>684</v>
      </c>
      <c r="E4456" t="s">
        <v>296</v>
      </c>
      <c r="F4456">
        <v>200</v>
      </c>
      <c r="G4456">
        <v>77.267650000000003</v>
      </c>
    </row>
    <row r="4457" spans="1:7" x14ac:dyDescent="0.35">
      <c r="A4457" t="s">
        <v>847</v>
      </c>
      <c r="B4457" t="s">
        <v>680</v>
      </c>
      <c r="C4457" s="83">
        <v>46163</v>
      </c>
      <c r="D4457" t="s">
        <v>684</v>
      </c>
      <c r="E4457" t="s">
        <v>297</v>
      </c>
      <c r="F4457">
        <v>3</v>
      </c>
      <c r="G4457">
        <v>0.50505</v>
      </c>
    </row>
    <row r="4458" spans="1:7" x14ac:dyDescent="0.35">
      <c r="A4458" t="s">
        <v>847</v>
      </c>
      <c r="B4458" t="s">
        <v>680</v>
      </c>
      <c r="C4458" s="83">
        <v>46163</v>
      </c>
      <c r="D4458" t="s">
        <v>684</v>
      </c>
      <c r="E4458" t="s">
        <v>298</v>
      </c>
      <c r="F4458">
        <v>3</v>
      </c>
      <c r="G4458">
        <v>1.83405</v>
      </c>
    </row>
    <row r="4459" spans="1:7" x14ac:dyDescent="0.35">
      <c r="A4459" t="s">
        <v>847</v>
      </c>
      <c r="B4459" t="s">
        <v>680</v>
      </c>
      <c r="C4459" s="83">
        <v>46163</v>
      </c>
      <c r="D4459" t="s">
        <v>687</v>
      </c>
      <c r="E4459" t="s">
        <v>746</v>
      </c>
      <c r="F4459">
        <v>6</v>
      </c>
      <c r="G4459">
        <v>2.4991166666666702</v>
      </c>
    </row>
    <row r="4460" spans="1:7" x14ac:dyDescent="0.35">
      <c r="A4460" t="s">
        <v>847</v>
      </c>
      <c r="B4460" t="s">
        <v>680</v>
      </c>
      <c r="C4460" s="83">
        <v>46163</v>
      </c>
      <c r="D4460" t="s">
        <v>687</v>
      </c>
      <c r="E4460" t="s">
        <v>717</v>
      </c>
      <c r="F4460">
        <v>5</v>
      </c>
      <c r="G4460">
        <v>2.00016666666667</v>
      </c>
    </row>
    <row r="4461" spans="1:7" x14ac:dyDescent="0.35">
      <c r="A4461" t="s">
        <v>847</v>
      </c>
      <c r="B4461" t="s">
        <v>680</v>
      </c>
      <c r="C4461" s="83">
        <v>46163</v>
      </c>
      <c r="D4461" t="s">
        <v>687</v>
      </c>
      <c r="E4461" t="s">
        <v>733</v>
      </c>
      <c r="F4461">
        <v>2</v>
      </c>
      <c r="G4461">
        <v>0.17401666666666701</v>
      </c>
    </row>
    <row r="4462" spans="1:7" x14ac:dyDescent="0.35">
      <c r="A4462" t="s">
        <v>847</v>
      </c>
      <c r="B4462" t="s">
        <v>680</v>
      </c>
      <c r="C4462" s="83">
        <v>46164</v>
      </c>
      <c r="D4462" t="s">
        <v>681</v>
      </c>
      <c r="E4462" t="s">
        <v>296</v>
      </c>
      <c r="F4462">
        <v>121</v>
      </c>
      <c r="G4462">
        <v>53.169983333333299</v>
      </c>
    </row>
    <row r="4463" spans="1:7" x14ac:dyDescent="0.35">
      <c r="A4463" t="s">
        <v>847</v>
      </c>
      <c r="B4463" t="s">
        <v>680</v>
      </c>
      <c r="C4463" s="83">
        <v>46164</v>
      </c>
      <c r="D4463" t="s">
        <v>681</v>
      </c>
      <c r="E4463" t="s">
        <v>297</v>
      </c>
      <c r="F4463">
        <v>116</v>
      </c>
      <c r="G4463">
        <v>69.132466666666701</v>
      </c>
    </row>
    <row r="4464" spans="1:7" x14ac:dyDescent="0.35">
      <c r="A4464" t="s">
        <v>847</v>
      </c>
      <c r="B4464" t="s">
        <v>680</v>
      </c>
      <c r="C4464" s="83">
        <v>46164</v>
      </c>
      <c r="D4464" t="s">
        <v>681</v>
      </c>
      <c r="E4464" t="s">
        <v>334</v>
      </c>
      <c r="F4464">
        <v>15</v>
      </c>
      <c r="G4464">
        <v>26.0017833333333</v>
      </c>
    </row>
    <row r="4465" spans="1:7" x14ac:dyDescent="0.35">
      <c r="A4465" t="s">
        <v>847</v>
      </c>
      <c r="B4465" t="s">
        <v>680</v>
      </c>
      <c r="C4465" s="83">
        <v>46164</v>
      </c>
      <c r="D4465" t="s">
        <v>683</v>
      </c>
      <c r="E4465" t="s">
        <v>296</v>
      </c>
      <c r="F4465">
        <v>15</v>
      </c>
      <c r="G4465">
        <v>4.1833999999999998</v>
      </c>
    </row>
    <row r="4466" spans="1:7" x14ac:dyDescent="0.35">
      <c r="A4466" t="s">
        <v>847</v>
      </c>
      <c r="B4466" t="s">
        <v>680</v>
      </c>
      <c r="C4466" s="83">
        <v>46164</v>
      </c>
      <c r="D4466" t="s">
        <v>683</v>
      </c>
      <c r="E4466" t="s">
        <v>297</v>
      </c>
      <c r="F4466">
        <v>15</v>
      </c>
      <c r="G4466">
        <v>2.6590333333333298</v>
      </c>
    </row>
    <row r="4467" spans="1:7" x14ac:dyDescent="0.35">
      <c r="A4467" t="s">
        <v>847</v>
      </c>
      <c r="B4467" t="s">
        <v>680</v>
      </c>
      <c r="C4467" s="83">
        <v>46164</v>
      </c>
      <c r="D4467" t="s">
        <v>683</v>
      </c>
      <c r="E4467" t="s">
        <v>334</v>
      </c>
      <c r="F4467">
        <v>4</v>
      </c>
      <c r="G4467">
        <v>16.008600000000001</v>
      </c>
    </row>
    <row r="4468" spans="1:7" x14ac:dyDescent="0.35">
      <c r="A4468" t="s">
        <v>847</v>
      </c>
      <c r="B4468" t="s">
        <v>680</v>
      </c>
      <c r="C4468" s="83">
        <v>46164</v>
      </c>
      <c r="D4468" t="s">
        <v>689</v>
      </c>
      <c r="E4468" t="s">
        <v>296</v>
      </c>
      <c r="F4468">
        <v>32</v>
      </c>
      <c r="G4468">
        <v>8.4718833333333308</v>
      </c>
    </row>
    <row r="4469" spans="1:7" x14ac:dyDescent="0.35">
      <c r="A4469" t="s">
        <v>847</v>
      </c>
      <c r="B4469" t="s">
        <v>680</v>
      </c>
      <c r="C4469" s="83">
        <v>46164</v>
      </c>
      <c r="D4469" t="s">
        <v>689</v>
      </c>
      <c r="E4469" t="s">
        <v>727</v>
      </c>
      <c r="F4469">
        <v>20</v>
      </c>
      <c r="G4469">
        <v>13.998200000000001</v>
      </c>
    </row>
    <row r="4470" spans="1:7" x14ac:dyDescent="0.35">
      <c r="A4470" t="s">
        <v>847</v>
      </c>
      <c r="B4470" t="s">
        <v>680</v>
      </c>
      <c r="C4470" s="83">
        <v>46164</v>
      </c>
      <c r="D4470" t="s">
        <v>689</v>
      </c>
      <c r="E4470" t="s">
        <v>297</v>
      </c>
      <c r="F4470">
        <v>6</v>
      </c>
      <c r="G4470">
        <v>1.6514833333333301</v>
      </c>
    </row>
    <row r="4471" spans="1:7" x14ac:dyDescent="0.35">
      <c r="A4471" t="s">
        <v>847</v>
      </c>
      <c r="B4471" t="s">
        <v>680</v>
      </c>
      <c r="C4471" s="83">
        <v>46164</v>
      </c>
      <c r="D4471" t="s">
        <v>684</v>
      </c>
      <c r="E4471" t="s">
        <v>296</v>
      </c>
      <c r="F4471">
        <v>78</v>
      </c>
      <c r="G4471">
        <v>49.281416666666701</v>
      </c>
    </row>
    <row r="4472" spans="1:7" x14ac:dyDescent="0.35">
      <c r="A4472" t="s">
        <v>847</v>
      </c>
      <c r="B4472" t="s">
        <v>680</v>
      </c>
      <c r="C4472" s="83">
        <v>46164</v>
      </c>
      <c r="D4472" t="s">
        <v>684</v>
      </c>
      <c r="E4472" t="s">
        <v>297</v>
      </c>
      <c r="F4472">
        <v>20</v>
      </c>
      <c r="G4472">
        <v>3.8048833333333301</v>
      </c>
    </row>
    <row r="4473" spans="1:7" x14ac:dyDescent="0.35">
      <c r="A4473" t="s">
        <v>847</v>
      </c>
      <c r="B4473" t="s">
        <v>680</v>
      </c>
      <c r="C4473" s="83">
        <v>46164</v>
      </c>
      <c r="D4473" t="s">
        <v>684</v>
      </c>
      <c r="E4473" t="s">
        <v>334</v>
      </c>
      <c r="F4473">
        <v>10</v>
      </c>
      <c r="G4473">
        <v>7.8327833333333299</v>
      </c>
    </row>
    <row r="4474" spans="1:7" x14ac:dyDescent="0.35">
      <c r="A4474" t="s">
        <v>847</v>
      </c>
      <c r="B4474" t="s">
        <v>680</v>
      </c>
      <c r="C4474" s="83">
        <v>46164</v>
      </c>
      <c r="D4474" t="s">
        <v>687</v>
      </c>
      <c r="E4474" t="s">
        <v>746</v>
      </c>
      <c r="F4474">
        <v>8</v>
      </c>
      <c r="G4474">
        <v>5.3215166666666702</v>
      </c>
    </row>
    <row r="4475" spans="1:7" x14ac:dyDescent="0.35">
      <c r="A4475" t="s">
        <v>847</v>
      </c>
      <c r="B4475" t="s">
        <v>680</v>
      </c>
      <c r="C4475" s="83">
        <v>46164</v>
      </c>
      <c r="D4475" t="s">
        <v>687</v>
      </c>
      <c r="E4475" t="s">
        <v>758</v>
      </c>
      <c r="F4475">
        <v>3</v>
      </c>
      <c r="G4475">
        <v>4.3325666666666702</v>
      </c>
    </row>
    <row r="4476" spans="1:7" x14ac:dyDescent="0.35">
      <c r="A4476" t="s">
        <v>847</v>
      </c>
      <c r="B4476" t="s">
        <v>680</v>
      </c>
      <c r="C4476" s="83">
        <v>46164</v>
      </c>
      <c r="D4476" t="s">
        <v>687</v>
      </c>
      <c r="E4476" t="s">
        <v>784</v>
      </c>
      <c r="F4476">
        <v>2</v>
      </c>
      <c r="G4476">
        <v>0.499483333333333</v>
      </c>
    </row>
    <row r="4477" spans="1:7" x14ac:dyDescent="0.35">
      <c r="A4477" t="s">
        <v>847</v>
      </c>
      <c r="B4477" t="s">
        <v>680</v>
      </c>
      <c r="C4477" s="83">
        <v>46164</v>
      </c>
      <c r="D4477" t="s">
        <v>688</v>
      </c>
      <c r="E4477" t="s">
        <v>316</v>
      </c>
      <c r="F4477">
        <v>4</v>
      </c>
      <c r="G4477">
        <v>2.6592833333333301</v>
      </c>
    </row>
    <row r="4478" spans="1:7" x14ac:dyDescent="0.35">
      <c r="A4478" t="s">
        <v>847</v>
      </c>
      <c r="B4478" t="s">
        <v>680</v>
      </c>
      <c r="C4478" s="83">
        <v>46164</v>
      </c>
      <c r="D4478" t="s">
        <v>688</v>
      </c>
      <c r="E4478" t="s">
        <v>311</v>
      </c>
      <c r="F4478">
        <v>2</v>
      </c>
      <c r="G4478">
        <v>2.3307000000000002</v>
      </c>
    </row>
    <row r="4479" spans="1:7" x14ac:dyDescent="0.35">
      <c r="A4479" t="s">
        <v>847</v>
      </c>
      <c r="B4479" t="s">
        <v>680</v>
      </c>
      <c r="C4479" s="83">
        <v>46164</v>
      </c>
      <c r="D4479" t="s">
        <v>690</v>
      </c>
      <c r="E4479" t="s">
        <v>777</v>
      </c>
      <c r="F4479">
        <v>2</v>
      </c>
      <c r="G4479">
        <v>3.5018500000000001</v>
      </c>
    </row>
    <row r="4480" spans="1:7" x14ac:dyDescent="0.35">
      <c r="A4480" t="s">
        <v>847</v>
      </c>
      <c r="B4480" t="s">
        <v>680</v>
      </c>
      <c r="C4480" s="83">
        <v>46165</v>
      </c>
      <c r="D4480" t="s">
        <v>681</v>
      </c>
      <c r="E4480" t="s">
        <v>296</v>
      </c>
      <c r="F4480">
        <v>181</v>
      </c>
      <c r="G4480">
        <v>52.015250000000002</v>
      </c>
    </row>
    <row r="4481" spans="1:7" x14ac:dyDescent="0.35">
      <c r="A4481" t="s">
        <v>847</v>
      </c>
      <c r="B4481" t="s">
        <v>680</v>
      </c>
      <c r="C4481" s="83">
        <v>46165</v>
      </c>
      <c r="D4481" t="s">
        <v>681</v>
      </c>
      <c r="E4481" t="s">
        <v>297</v>
      </c>
      <c r="F4481">
        <v>105</v>
      </c>
      <c r="G4481">
        <v>33.667499999999997</v>
      </c>
    </row>
    <row r="4482" spans="1:7" x14ac:dyDescent="0.35">
      <c r="A4482" t="s">
        <v>847</v>
      </c>
      <c r="B4482" t="s">
        <v>680</v>
      </c>
      <c r="C4482" s="83">
        <v>46165</v>
      </c>
      <c r="D4482" t="s">
        <v>681</v>
      </c>
      <c r="E4482" t="s">
        <v>728</v>
      </c>
      <c r="F4482">
        <v>17</v>
      </c>
      <c r="G4482">
        <v>13.670783333333301</v>
      </c>
    </row>
    <row r="4483" spans="1:7" x14ac:dyDescent="0.35">
      <c r="A4483" t="s">
        <v>847</v>
      </c>
      <c r="B4483" t="s">
        <v>680</v>
      </c>
      <c r="C4483" s="83">
        <v>46165</v>
      </c>
      <c r="D4483" t="s">
        <v>683</v>
      </c>
      <c r="E4483" t="s">
        <v>297</v>
      </c>
      <c r="F4483">
        <v>30</v>
      </c>
      <c r="G4483">
        <v>11.162599999999999</v>
      </c>
    </row>
    <row r="4484" spans="1:7" x14ac:dyDescent="0.35">
      <c r="A4484" t="s">
        <v>847</v>
      </c>
      <c r="B4484" t="s">
        <v>680</v>
      </c>
      <c r="C4484" s="83">
        <v>46165</v>
      </c>
      <c r="D4484" t="s">
        <v>683</v>
      </c>
      <c r="E4484" t="s">
        <v>296</v>
      </c>
      <c r="F4484">
        <v>15</v>
      </c>
      <c r="G4484">
        <v>53.314883333333299</v>
      </c>
    </row>
    <row r="4485" spans="1:7" x14ac:dyDescent="0.35">
      <c r="A4485" t="s">
        <v>847</v>
      </c>
      <c r="B4485" t="s">
        <v>680</v>
      </c>
      <c r="C4485" s="83">
        <v>46165</v>
      </c>
      <c r="D4485" t="s">
        <v>683</v>
      </c>
      <c r="E4485" t="s">
        <v>334</v>
      </c>
      <c r="F4485">
        <v>12</v>
      </c>
      <c r="G4485">
        <v>35.538200000000003</v>
      </c>
    </row>
    <row r="4486" spans="1:7" x14ac:dyDescent="0.35">
      <c r="A4486" t="s">
        <v>847</v>
      </c>
      <c r="B4486" t="s">
        <v>680</v>
      </c>
      <c r="C4486" s="83">
        <v>46165</v>
      </c>
      <c r="D4486" t="s">
        <v>689</v>
      </c>
      <c r="E4486" t="s">
        <v>296</v>
      </c>
      <c r="F4486">
        <v>50</v>
      </c>
      <c r="G4486">
        <v>59.176266666666699</v>
      </c>
    </row>
    <row r="4487" spans="1:7" x14ac:dyDescent="0.35">
      <c r="A4487" t="s">
        <v>847</v>
      </c>
      <c r="B4487" t="s">
        <v>680</v>
      </c>
      <c r="C4487" s="83">
        <v>46165</v>
      </c>
      <c r="D4487" t="s">
        <v>689</v>
      </c>
      <c r="E4487" t="s">
        <v>727</v>
      </c>
      <c r="F4487">
        <v>16</v>
      </c>
      <c r="G4487">
        <v>11.02435</v>
      </c>
    </row>
    <row r="4488" spans="1:7" x14ac:dyDescent="0.35">
      <c r="A4488" t="s">
        <v>847</v>
      </c>
      <c r="B4488" t="s">
        <v>680</v>
      </c>
      <c r="C4488" s="83">
        <v>46165</v>
      </c>
      <c r="D4488" t="s">
        <v>689</v>
      </c>
      <c r="E4488" t="s">
        <v>297</v>
      </c>
      <c r="F4488">
        <v>11</v>
      </c>
      <c r="G4488">
        <v>4.31785</v>
      </c>
    </row>
    <row r="4489" spans="1:7" x14ac:dyDescent="0.35">
      <c r="A4489" t="s">
        <v>847</v>
      </c>
      <c r="B4489" t="s">
        <v>680</v>
      </c>
      <c r="C4489" s="83">
        <v>46165</v>
      </c>
      <c r="D4489" t="s">
        <v>684</v>
      </c>
      <c r="E4489" t="s">
        <v>296</v>
      </c>
      <c r="F4489">
        <v>50</v>
      </c>
      <c r="G4489">
        <v>12.460050000000001</v>
      </c>
    </row>
    <row r="4490" spans="1:7" x14ac:dyDescent="0.35">
      <c r="A4490" t="s">
        <v>847</v>
      </c>
      <c r="B4490" t="s">
        <v>680</v>
      </c>
      <c r="C4490" s="83">
        <v>46165</v>
      </c>
      <c r="D4490" t="s">
        <v>684</v>
      </c>
      <c r="E4490" t="s">
        <v>297</v>
      </c>
      <c r="F4490">
        <v>12</v>
      </c>
      <c r="G4490">
        <v>2.5221666666666702</v>
      </c>
    </row>
    <row r="4491" spans="1:7" x14ac:dyDescent="0.35">
      <c r="A4491" t="s">
        <v>847</v>
      </c>
      <c r="B4491" t="s">
        <v>680</v>
      </c>
      <c r="C4491" s="83">
        <v>46165</v>
      </c>
      <c r="D4491" t="s">
        <v>684</v>
      </c>
      <c r="E4491" t="s">
        <v>334</v>
      </c>
      <c r="F4491">
        <v>6</v>
      </c>
      <c r="G4491">
        <v>2.1612666666666702</v>
      </c>
    </row>
    <row r="4492" spans="1:7" x14ac:dyDescent="0.35">
      <c r="A4492" t="s">
        <v>847</v>
      </c>
      <c r="B4492" t="s">
        <v>680</v>
      </c>
      <c r="C4492" s="83">
        <v>46165</v>
      </c>
      <c r="D4492" t="s">
        <v>687</v>
      </c>
      <c r="E4492" t="s">
        <v>717</v>
      </c>
      <c r="F4492">
        <v>7</v>
      </c>
      <c r="G4492">
        <v>15.4860166666667</v>
      </c>
    </row>
    <row r="4493" spans="1:7" x14ac:dyDescent="0.35">
      <c r="A4493" t="s">
        <v>847</v>
      </c>
      <c r="B4493" t="s">
        <v>680</v>
      </c>
      <c r="C4493" s="83">
        <v>46165</v>
      </c>
      <c r="D4493" t="s">
        <v>687</v>
      </c>
      <c r="E4493" t="s">
        <v>746</v>
      </c>
      <c r="F4493">
        <v>4</v>
      </c>
      <c r="G4493">
        <v>4.6667166666666704</v>
      </c>
    </row>
    <row r="4494" spans="1:7" x14ac:dyDescent="0.35">
      <c r="A4494" t="s">
        <v>847</v>
      </c>
      <c r="B4494" t="s">
        <v>680</v>
      </c>
      <c r="C4494" s="83">
        <v>46165</v>
      </c>
      <c r="D4494" t="s">
        <v>687</v>
      </c>
      <c r="E4494" t="s">
        <v>758</v>
      </c>
      <c r="F4494">
        <v>3</v>
      </c>
      <c r="G4494">
        <v>0.99345000000000006</v>
      </c>
    </row>
    <row r="4495" spans="1:7" x14ac:dyDescent="0.35">
      <c r="A4495" t="s">
        <v>847</v>
      </c>
      <c r="B4495" t="s">
        <v>680</v>
      </c>
      <c r="C4495" s="83">
        <v>46165</v>
      </c>
      <c r="D4495" t="s">
        <v>688</v>
      </c>
      <c r="E4495" t="s">
        <v>321</v>
      </c>
      <c r="F4495">
        <v>5</v>
      </c>
      <c r="G4495">
        <v>88.517633333333293</v>
      </c>
    </row>
    <row r="4496" spans="1:7" x14ac:dyDescent="0.35">
      <c r="A4496" t="s">
        <v>847</v>
      </c>
      <c r="B4496" t="s">
        <v>680</v>
      </c>
      <c r="C4496" s="83">
        <v>46165</v>
      </c>
      <c r="D4496" t="s">
        <v>688</v>
      </c>
      <c r="E4496" t="s">
        <v>312</v>
      </c>
      <c r="F4496">
        <v>4</v>
      </c>
      <c r="G4496">
        <v>3.5092333333333299</v>
      </c>
    </row>
    <row r="4497" spans="1:7" x14ac:dyDescent="0.35">
      <c r="A4497" t="s">
        <v>847</v>
      </c>
      <c r="B4497" t="s">
        <v>680</v>
      </c>
      <c r="C4497" s="83">
        <v>46165</v>
      </c>
      <c r="D4497" t="s">
        <v>688</v>
      </c>
      <c r="E4497" t="s">
        <v>316</v>
      </c>
      <c r="F4497">
        <v>3</v>
      </c>
      <c r="G4497">
        <v>0.4924</v>
      </c>
    </row>
    <row r="4498" spans="1:7" x14ac:dyDescent="0.35">
      <c r="A4498" t="s">
        <v>847</v>
      </c>
      <c r="B4498" t="s">
        <v>680</v>
      </c>
      <c r="C4498" s="83">
        <v>46165</v>
      </c>
      <c r="D4498" t="s">
        <v>690</v>
      </c>
      <c r="E4498" t="s">
        <v>311</v>
      </c>
      <c r="F4498">
        <v>3</v>
      </c>
      <c r="G4498">
        <v>232.186033333333</v>
      </c>
    </row>
    <row r="4499" spans="1:7" x14ac:dyDescent="0.35">
      <c r="A4499" t="s">
        <v>847</v>
      </c>
      <c r="B4499" t="s">
        <v>680</v>
      </c>
      <c r="C4499" s="83">
        <v>46165</v>
      </c>
      <c r="D4499" t="s">
        <v>690</v>
      </c>
      <c r="E4499" t="s">
        <v>657</v>
      </c>
      <c r="F4499">
        <v>2</v>
      </c>
      <c r="G4499">
        <v>3.1663999999999999</v>
      </c>
    </row>
    <row r="4500" spans="1:7" x14ac:dyDescent="0.35">
      <c r="A4500" t="s">
        <v>847</v>
      </c>
      <c r="B4500" t="s">
        <v>680</v>
      </c>
      <c r="C4500" s="83">
        <v>46165</v>
      </c>
      <c r="D4500" t="s">
        <v>690</v>
      </c>
      <c r="E4500" t="s">
        <v>338</v>
      </c>
      <c r="F4500">
        <v>2</v>
      </c>
      <c r="G4500">
        <v>2.3415666666666701</v>
      </c>
    </row>
    <row r="4501" spans="1:7" x14ac:dyDescent="0.35">
      <c r="A4501" t="s">
        <v>847</v>
      </c>
      <c r="B4501" t="s">
        <v>680</v>
      </c>
      <c r="C4501" s="83">
        <v>46165</v>
      </c>
      <c r="D4501" t="s">
        <v>685</v>
      </c>
      <c r="E4501" t="s">
        <v>311</v>
      </c>
      <c r="F4501">
        <v>13</v>
      </c>
      <c r="G4501">
        <v>48.147583333333301</v>
      </c>
    </row>
    <row r="4502" spans="1:7" x14ac:dyDescent="0.35">
      <c r="A4502" t="s">
        <v>847</v>
      </c>
      <c r="B4502" t="s">
        <v>680</v>
      </c>
      <c r="C4502" s="83">
        <v>46165</v>
      </c>
      <c r="D4502" t="s">
        <v>685</v>
      </c>
      <c r="E4502" t="s">
        <v>720</v>
      </c>
      <c r="F4502">
        <v>3</v>
      </c>
      <c r="G4502">
        <v>18.681650000000001</v>
      </c>
    </row>
    <row r="4503" spans="1:7" x14ac:dyDescent="0.35">
      <c r="A4503" t="s">
        <v>847</v>
      </c>
      <c r="B4503" t="s">
        <v>680</v>
      </c>
      <c r="C4503" s="83">
        <v>46165</v>
      </c>
      <c r="D4503" t="s">
        <v>685</v>
      </c>
      <c r="E4503" t="s">
        <v>315</v>
      </c>
      <c r="F4503">
        <v>2</v>
      </c>
      <c r="G4503">
        <v>0.173866666666667</v>
      </c>
    </row>
    <row r="4504" spans="1:7" x14ac:dyDescent="0.35">
      <c r="A4504" t="s">
        <v>847</v>
      </c>
      <c r="B4504" t="s">
        <v>680</v>
      </c>
      <c r="C4504" s="83">
        <v>46166</v>
      </c>
      <c r="D4504" t="s">
        <v>681</v>
      </c>
      <c r="E4504" t="s">
        <v>296</v>
      </c>
      <c r="F4504">
        <v>38</v>
      </c>
      <c r="G4504">
        <v>64.368466666666706</v>
      </c>
    </row>
    <row r="4505" spans="1:7" x14ac:dyDescent="0.35">
      <c r="A4505" t="s">
        <v>847</v>
      </c>
      <c r="B4505" t="s">
        <v>680</v>
      </c>
      <c r="C4505" s="83">
        <v>46166</v>
      </c>
      <c r="D4505" t="s">
        <v>681</v>
      </c>
      <c r="E4505" t="s">
        <v>297</v>
      </c>
      <c r="F4505">
        <v>17</v>
      </c>
      <c r="G4505">
        <v>10.0109166666667</v>
      </c>
    </row>
    <row r="4506" spans="1:7" x14ac:dyDescent="0.35">
      <c r="A4506" t="s">
        <v>847</v>
      </c>
      <c r="B4506" t="s">
        <v>680</v>
      </c>
      <c r="C4506" s="83">
        <v>46166</v>
      </c>
      <c r="D4506" t="s">
        <v>681</v>
      </c>
      <c r="E4506" t="s">
        <v>728</v>
      </c>
      <c r="F4506">
        <v>6</v>
      </c>
      <c r="G4506">
        <v>1.17425</v>
      </c>
    </row>
    <row r="4507" spans="1:7" x14ac:dyDescent="0.35">
      <c r="A4507" t="s">
        <v>847</v>
      </c>
      <c r="B4507" t="s">
        <v>680</v>
      </c>
      <c r="C4507" s="83">
        <v>46166</v>
      </c>
      <c r="D4507" t="s">
        <v>683</v>
      </c>
      <c r="E4507" t="s">
        <v>298</v>
      </c>
      <c r="F4507">
        <v>18</v>
      </c>
      <c r="G4507">
        <v>20.147366666666699</v>
      </c>
    </row>
    <row r="4508" spans="1:7" x14ac:dyDescent="0.35">
      <c r="A4508" t="s">
        <v>847</v>
      </c>
      <c r="B4508" t="s">
        <v>680</v>
      </c>
      <c r="C4508" s="83">
        <v>46166</v>
      </c>
      <c r="D4508" t="s">
        <v>683</v>
      </c>
      <c r="E4508" t="s">
        <v>334</v>
      </c>
      <c r="F4508">
        <v>11</v>
      </c>
      <c r="G4508">
        <v>157.496366666667</v>
      </c>
    </row>
    <row r="4509" spans="1:7" x14ac:dyDescent="0.35">
      <c r="A4509" t="s">
        <v>847</v>
      </c>
      <c r="B4509" t="s">
        <v>693</v>
      </c>
      <c r="C4509" s="83"/>
      <c r="F4509">
        <v>52464</v>
      </c>
      <c r="G4509">
        <v>97795.437083333003</v>
      </c>
    </row>
    <row r="4510" spans="1:7" x14ac:dyDescent="0.35">
      <c r="A4510" t="s">
        <v>847</v>
      </c>
      <c r="B4510" t="s">
        <v>680</v>
      </c>
      <c r="C4510" s="83">
        <v>46166</v>
      </c>
      <c r="D4510" t="s">
        <v>683</v>
      </c>
      <c r="E4510" t="s">
        <v>297</v>
      </c>
      <c r="F4510">
        <v>10</v>
      </c>
      <c r="G4510">
        <v>4.1831666666666703</v>
      </c>
    </row>
    <row r="4511" spans="1:7" x14ac:dyDescent="0.35">
      <c r="A4511" t="s">
        <v>847</v>
      </c>
      <c r="B4511" t="s">
        <v>680</v>
      </c>
      <c r="C4511" s="83">
        <v>46166</v>
      </c>
      <c r="D4511" t="s">
        <v>689</v>
      </c>
      <c r="E4511" t="s">
        <v>297</v>
      </c>
      <c r="F4511">
        <v>29</v>
      </c>
      <c r="G4511">
        <v>12.82535</v>
      </c>
    </row>
    <row r="4512" spans="1:7" x14ac:dyDescent="0.35">
      <c r="A4512" t="s">
        <v>847</v>
      </c>
      <c r="B4512" t="s">
        <v>680</v>
      </c>
      <c r="C4512" s="83">
        <v>46166</v>
      </c>
      <c r="D4512" t="s">
        <v>689</v>
      </c>
      <c r="E4512" t="s">
        <v>296</v>
      </c>
      <c r="F4512">
        <v>14</v>
      </c>
      <c r="G4512">
        <v>4.6773666666666696</v>
      </c>
    </row>
    <row r="4513" spans="1:7" x14ac:dyDescent="0.35">
      <c r="A4513" t="s">
        <v>847</v>
      </c>
      <c r="B4513" t="s">
        <v>680</v>
      </c>
      <c r="C4513" s="83">
        <v>46166</v>
      </c>
      <c r="D4513" t="s">
        <v>689</v>
      </c>
      <c r="E4513" t="s">
        <v>334</v>
      </c>
      <c r="F4513">
        <v>4</v>
      </c>
      <c r="G4513">
        <v>258.30983333333302</v>
      </c>
    </row>
    <row r="4514" spans="1:7" x14ac:dyDescent="0.35">
      <c r="A4514" t="s">
        <v>847</v>
      </c>
      <c r="B4514" t="s">
        <v>680</v>
      </c>
      <c r="C4514" s="83">
        <v>46166</v>
      </c>
      <c r="D4514" t="s">
        <v>684</v>
      </c>
      <c r="E4514" t="s">
        <v>297</v>
      </c>
      <c r="F4514">
        <v>8</v>
      </c>
      <c r="G4514">
        <v>2.8290000000000002</v>
      </c>
    </row>
    <row r="4515" spans="1:7" x14ac:dyDescent="0.35">
      <c r="A4515" t="s">
        <v>847</v>
      </c>
      <c r="B4515" t="s">
        <v>680</v>
      </c>
      <c r="C4515" s="83">
        <v>46166</v>
      </c>
      <c r="D4515" t="s">
        <v>684</v>
      </c>
      <c r="E4515" t="s">
        <v>298</v>
      </c>
      <c r="F4515">
        <v>5</v>
      </c>
      <c r="G4515">
        <v>3.8314166666666698</v>
      </c>
    </row>
    <row r="4516" spans="1:7" x14ac:dyDescent="0.35">
      <c r="A4516" t="s">
        <v>847</v>
      </c>
      <c r="B4516" t="s">
        <v>680</v>
      </c>
      <c r="C4516" s="83">
        <v>46166</v>
      </c>
      <c r="D4516" t="s">
        <v>684</v>
      </c>
      <c r="E4516" t="s">
        <v>296</v>
      </c>
      <c r="F4516">
        <v>4</v>
      </c>
      <c r="G4516">
        <v>2.5015333333333301</v>
      </c>
    </row>
    <row r="4517" spans="1:7" x14ac:dyDescent="0.35">
      <c r="A4517" t="s">
        <v>847</v>
      </c>
      <c r="B4517" t="s">
        <v>680</v>
      </c>
      <c r="C4517" s="83">
        <v>46166</v>
      </c>
      <c r="D4517" t="s">
        <v>687</v>
      </c>
      <c r="E4517" t="s">
        <v>746</v>
      </c>
      <c r="F4517">
        <v>7</v>
      </c>
      <c r="G4517">
        <v>5.0061999999999998</v>
      </c>
    </row>
    <row r="4518" spans="1:7" x14ac:dyDescent="0.35">
      <c r="A4518" t="s">
        <v>847</v>
      </c>
      <c r="B4518" t="s">
        <v>680</v>
      </c>
      <c r="C4518" s="83">
        <v>46166</v>
      </c>
      <c r="D4518" t="s">
        <v>687</v>
      </c>
      <c r="E4518" t="s">
        <v>717</v>
      </c>
      <c r="F4518">
        <v>3</v>
      </c>
      <c r="G4518">
        <v>1.16591666666667</v>
      </c>
    </row>
    <row r="4519" spans="1:7" x14ac:dyDescent="0.35">
      <c r="A4519" t="s">
        <v>847</v>
      </c>
      <c r="B4519" t="s">
        <v>680</v>
      </c>
      <c r="C4519" s="83">
        <v>46166</v>
      </c>
      <c r="D4519" t="s">
        <v>687</v>
      </c>
      <c r="E4519" t="s">
        <v>747</v>
      </c>
      <c r="F4519">
        <v>2</v>
      </c>
      <c r="G4519">
        <v>163.013483333333</v>
      </c>
    </row>
    <row r="4520" spans="1:7" x14ac:dyDescent="0.35">
      <c r="A4520" t="s">
        <v>847</v>
      </c>
      <c r="B4520" t="s">
        <v>680</v>
      </c>
      <c r="C4520" s="83">
        <v>46166</v>
      </c>
      <c r="D4520" t="s">
        <v>688</v>
      </c>
      <c r="E4520" t="s">
        <v>311</v>
      </c>
      <c r="F4520">
        <v>22</v>
      </c>
      <c r="G4520">
        <v>13.3471166666667</v>
      </c>
    </row>
    <row r="4521" spans="1:7" x14ac:dyDescent="0.35">
      <c r="A4521" t="s">
        <v>847</v>
      </c>
      <c r="B4521" t="s">
        <v>680</v>
      </c>
      <c r="C4521" s="83">
        <v>46166</v>
      </c>
      <c r="D4521" t="s">
        <v>688</v>
      </c>
      <c r="E4521" t="s">
        <v>321</v>
      </c>
      <c r="F4521">
        <v>3</v>
      </c>
      <c r="G4521">
        <v>2.4997500000000001</v>
      </c>
    </row>
    <row r="4522" spans="1:7" x14ac:dyDescent="0.35">
      <c r="A4522" t="s">
        <v>847</v>
      </c>
      <c r="B4522" t="s">
        <v>680</v>
      </c>
      <c r="C4522" s="83">
        <v>46166</v>
      </c>
      <c r="D4522" t="s">
        <v>688</v>
      </c>
      <c r="E4522" t="s">
        <v>785</v>
      </c>
      <c r="F4522">
        <v>2</v>
      </c>
      <c r="G4522">
        <v>0.50013333333333299</v>
      </c>
    </row>
    <row r="4523" spans="1:7" x14ac:dyDescent="0.35">
      <c r="A4523" t="s">
        <v>847</v>
      </c>
      <c r="B4523" t="s">
        <v>680</v>
      </c>
      <c r="C4523" s="83">
        <v>46166</v>
      </c>
      <c r="D4523" t="s">
        <v>690</v>
      </c>
      <c r="E4523" t="s">
        <v>126</v>
      </c>
      <c r="F4523">
        <v>7</v>
      </c>
      <c r="G4523">
        <v>4.6610166666666704</v>
      </c>
    </row>
    <row r="4524" spans="1:7" x14ac:dyDescent="0.35">
      <c r="A4524" t="s">
        <v>847</v>
      </c>
      <c r="B4524" t="s">
        <v>680</v>
      </c>
      <c r="C4524" s="83">
        <v>46166</v>
      </c>
      <c r="D4524" t="s">
        <v>690</v>
      </c>
      <c r="E4524" t="s">
        <v>657</v>
      </c>
      <c r="F4524">
        <v>7</v>
      </c>
      <c r="G4524">
        <v>11.3317333333333</v>
      </c>
    </row>
    <row r="4525" spans="1:7" x14ac:dyDescent="0.35">
      <c r="A4525" t="s">
        <v>847</v>
      </c>
      <c r="B4525" t="s">
        <v>680</v>
      </c>
      <c r="C4525" s="83">
        <v>46166</v>
      </c>
      <c r="D4525" t="s">
        <v>690</v>
      </c>
      <c r="E4525" t="s">
        <v>316</v>
      </c>
      <c r="F4525">
        <v>5</v>
      </c>
      <c r="G4525">
        <v>2.15985</v>
      </c>
    </row>
    <row r="4526" spans="1:7" x14ac:dyDescent="0.35">
      <c r="A4526" t="s">
        <v>847</v>
      </c>
      <c r="B4526" t="s">
        <v>680</v>
      </c>
      <c r="C4526" s="83">
        <v>46166</v>
      </c>
      <c r="D4526" t="s">
        <v>685</v>
      </c>
      <c r="E4526" t="s">
        <v>311</v>
      </c>
      <c r="F4526">
        <v>10</v>
      </c>
      <c r="G4526">
        <v>6.0006666666666701</v>
      </c>
    </row>
    <row r="4527" spans="1:7" x14ac:dyDescent="0.35">
      <c r="A4527" t="s">
        <v>847</v>
      </c>
      <c r="B4527" t="s">
        <v>680</v>
      </c>
      <c r="C4527" s="83">
        <v>46166</v>
      </c>
      <c r="D4527" t="s">
        <v>685</v>
      </c>
      <c r="E4527" t="s">
        <v>316</v>
      </c>
      <c r="F4527">
        <v>7</v>
      </c>
      <c r="G4527">
        <v>9.5075000000000003</v>
      </c>
    </row>
    <row r="4528" spans="1:7" x14ac:dyDescent="0.35">
      <c r="A4528" t="s">
        <v>847</v>
      </c>
      <c r="B4528" t="s">
        <v>680</v>
      </c>
      <c r="C4528" s="83">
        <v>46166</v>
      </c>
      <c r="D4528" t="s">
        <v>685</v>
      </c>
      <c r="E4528" t="s">
        <v>321</v>
      </c>
      <c r="F4528">
        <v>2</v>
      </c>
      <c r="G4528">
        <v>0.83245000000000002</v>
      </c>
    </row>
    <row r="4529" spans="1:7" x14ac:dyDescent="0.35">
      <c r="A4529" t="s">
        <v>847</v>
      </c>
      <c r="B4529" t="s">
        <v>680</v>
      </c>
      <c r="C4529" s="83">
        <v>46167</v>
      </c>
      <c r="D4529" t="s">
        <v>681</v>
      </c>
      <c r="E4529" t="s">
        <v>298</v>
      </c>
      <c r="F4529">
        <v>21</v>
      </c>
      <c r="G4529">
        <v>40.652299999999997</v>
      </c>
    </row>
    <row r="4530" spans="1:7" x14ac:dyDescent="0.35">
      <c r="A4530" t="s">
        <v>847</v>
      </c>
      <c r="B4530" t="s">
        <v>680</v>
      </c>
      <c r="C4530" s="83">
        <v>46167</v>
      </c>
      <c r="D4530" t="s">
        <v>681</v>
      </c>
      <c r="E4530" t="s">
        <v>296</v>
      </c>
      <c r="F4530">
        <v>18</v>
      </c>
      <c r="G4530">
        <v>5.1685999999999996</v>
      </c>
    </row>
    <row r="4531" spans="1:7" x14ac:dyDescent="0.35">
      <c r="A4531" t="s">
        <v>847</v>
      </c>
      <c r="B4531" t="s">
        <v>680</v>
      </c>
      <c r="C4531" s="83">
        <v>46167</v>
      </c>
      <c r="D4531" t="s">
        <v>681</v>
      </c>
      <c r="E4531" t="s">
        <v>334</v>
      </c>
      <c r="F4531">
        <v>12</v>
      </c>
      <c r="G4531">
        <v>8.3236166666666698</v>
      </c>
    </row>
    <row r="4532" spans="1:7" x14ac:dyDescent="0.35">
      <c r="A4532" t="s">
        <v>847</v>
      </c>
      <c r="B4532" t="s">
        <v>680</v>
      </c>
      <c r="C4532" s="83">
        <v>46167</v>
      </c>
      <c r="D4532" t="s">
        <v>683</v>
      </c>
      <c r="E4532" t="s">
        <v>298</v>
      </c>
      <c r="F4532">
        <v>39</v>
      </c>
      <c r="G4532">
        <v>45.649716666666698</v>
      </c>
    </row>
    <row r="4533" spans="1:7" x14ac:dyDescent="0.35">
      <c r="A4533" t="s">
        <v>847</v>
      </c>
      <c r="B4533" t="s">
        <v>680</v>
      </c>
      <c r="C4533" s="83">
        <v>46167</v>
      </c>
      <c r="D4533" t="s">
        <v>683</v>
      </c>
      <c r="E4533" t="s">
        <v>296</v>
      </c>
      <c r="F4533">
        <v>9</v>
      </c>
      <c r="G4533">
        <v>3.6624666666666701</v>
      </c>
    </row>
    <row r="4534" spans="1:7" x14ac:dyDescent="0.35">
      <c r="A4534" t="s">
        <v>847</v>
      </c>
      <c r="B4534" t="s">
        <v>680</v>
      </c>
      <c r="C4534" s="83">
        <v>46167</v>
      </c>
      <c r="D4534" t="s">
        <v>683</v>
      </c>
      <c r="E4534" t="s">
        <v>334</v>
      </c>
      <c r="F4534">
        <v>8</v>
      </c>
      <c r="G4534">
        <v>5.0012499999999998</v>
      </c>
    </row>
    <row r="4535" spans="1:7" x14ac:dyDescent="0.35">
      <c r="A4535" t="s">
        <v>847</v>
      </c>
      <c r="B4535" t="s">
        <v>680</v>
      </c>
      <c r="C4535" s="83">
        <v>46167</v>
      </c>
      <c r="D4535" t="s">
        <v>689</v>
      </c>
      <c r="E4535" t="s">
        <v>298</v>
      </c>
      <c r="F4535">
        <v>15</v>
      </c>
      <c r="G4535">
        <v>10.6605333333333</v>
      </c>
    </row>
    <row r="4536" spans="1:7" x14ac:dyDescent="0.35">
      <c r="A4536" t="s">
        <v>847</v>
      </c>
      <c r="B4536" t="s">
        <v>680</v>
      </c>
      <c r="C4536" s="83">
        <v>46167</v>
      </c>
      <c r="D4536" t="s">
        <v>689</v>
      </c>
      <c r="E4536" t="s">
        <v>297</v>
      </c>
      <c r="F4536">
        <v>7</v>
      </c>
      <c r="G4536">
        <v>3.6602000000000001</v>
      </c>
    </row>
    <row r="4537" spans="1:7" x14ac:dyDescent="0.35">
      <c r="A4537" t="s">
        <v>847</v>
      </c>
      <c r="B4537" t="s">
        <v>680</v>
      </c>
      <c r="C4537" s="83">
        <v>46167</v>
      </c>
      <c r="D4537" t="s">
        <v>689</v>
      </c>
      <c r="E4537" t="s">
        <v>332</v>
      </c>
      <c r="F4537">
        <v>6</v>
      </c>
      <c r="G4537">
        <v>8.6539333333333293</v>
      </c>
    </row>
    <row r="4538" spans="1:7" x14ac:dyDescent="0.35">
      <c r="A4538" t="s">
        <v>847</v>
      </c>
      <c r="B4538" t="s">
        <v>680</v>
      </c>
      <c r="C4538" s="83">
        <v>46167</v>
      </c>
      <c r="D4538" t="s">
        <v>684</v>
      </c>
      <c r="E4538" t="s">
        <v>300</v>
      </c>
      <c r="F4538">
        <v>4</v>
      </c>
      <c r="G4538">
        <v>1.33446666666667</v>
      </c>
    </row>
    <row r="4539" spans="1:7" x14ac:dyDescent="0.35">
      <c r="A4539" t="s">
        <v>847</v>
      </c>
      <c r="B4539" t="s">
        <v>680</v>
      </c>
      <c r="C4539" s="83">
        <v>46167</v>
      </c>
      <c r="D4539" t="s">
        <v>684</v>
      </c>
      <c r="E4539" t="s">
        <v>298</v>
      </c>
      <c r="F4539">
        <v>4</v>
      </c>
      <c r="G4539">
        <v>1.6567000000000001</v>
      </c>
    </row>
    <row r="4540" spans="1:7" x14ac:dyDescent="0.35">
      <c r="A4540" t="s">
        <v>847</v>
      </c>
      <c r="B4540" t="s">
        <v>680</v>
      </c>
      <c r="C4540" s="83">
        <v>46167</v>
      </c>
      <c r="D4540" t="s">
        <v>684</v>
      </c>
      <c r="E4540" t="s">
        <v>756</v>
      </c>
      <c r="F4540">
        <v>4</v>
      </c>
      <c r="G4540">
        <v>0.50068333333333304</v>
      </c>
    </row>
    <row r="4541" spans="1:7" x14ac:dyDescent="0.35">
      <c r="A4541" t="s">
        <v>847</v>
      </c>
      <c r="B4541" t="s">
        <v>680</v>
      </c>
      <c r="C4541" s="83">
        <v>46167</v>
      </c>
      <c r="D4541" t="s">
        <v>687</v>
      </c>
      <c r="E4541" t="s">
        <v>746</v>
      </c>
      <c r="F4541">
        <v>8</v>
      </c>
      <c r="G4541">
        <v>6.8291500000000003</v>
      </c>
    </row>
    <row r="4542" spans="1:7" x14ac:dyDescent="0.35">
      <c r="A4542" t="s">
        <v>847</v>
      </c>
      <c r="B4542" t="s">
        <v>680</v>
      </c>
      <c r="C4542" s="83">
        <v>46167</v>
      </c>
      <c r="D4542" t="s">
        <v>687</v>
      </c>
      <c r="E4542" t="s">
        <v>743</v>
      </c>
      <c r="F4542">
        <v>2</v>
      </c>
      <c r="G4542">
        <v>0.83433333333333304</v>
      </c>
    </row>
    <row r="4543" spans="1:7" x14ac:dyDescent="0.35">
      <c r="A4543" t="s">
        <v>847</v>
      </c>
      <c r="B4543" t="s">
        <v>680</v>
      </c>
      <c r="C4543" s="83">
        <v>46167</v>
      </c>
      <c r="D4543" t="s">
        <v>687</v>
      </c>
      <c r="E4543" t="s">
        <v>717</v>
      </c>
      <c r="F4543">
        <v>2</v>
      </c>
      <c r="G4543">
        <v>1.3327166666666701</v>
      </c>
    </row>
    <row r="4544" spans="1:7" x14ac:dyDescent="0.35">
      <c r="A4544" t="s">
        <v>847</v>
      </c>
      <c r="B4544" t="s">
        <v>680</v>
      </c>
      <c r="C4544" s="83">
        <v>46167</v>
      </c>
      <c r="D4544" t="s">
        <v>688</v>
      </c>
      <c r="E4544" t="s">
        <v>311</v>
      </c>
      <c r="F4544">
        <v>23</v>
      </c>
      <c r="G4544">
        <v>18.295500000000001</v>
      </c>
    </row>
    <row r="4545" spans="1:7" x14ac:dyDescent="0.35">
      <c r="A4545" t="s">
        <v>847</v>
      </c>
      <c r="B4545" t="s">
        <v>680</v>
      </c>
      <c r="C4545" s="83">
        <v>46167</v>
      </c>
      <c r="D4545" t="s">
        <v>688</v>
      </c>
      <c r="E4545" t="s">
        <v>720</v>
      </c>
      <c r="F4545">
        <v>8</v>
      </c>
      <c r="G4545">
        <v>9.1648166666666704</v>
      </c>
    </row>
    <row r="4546" spans="1:7" x14ac:dyDescent="0.35">
      <c r="A4546" t="s">
        <v>847</v>
      </c>
      <c r="B4546" t="s">
        <v>680</v>
      </c>
      <c r="C4546" s="83">
        <v>46167</v>
      </c>
      <c r="D4546" t="s">
        <v>688</v>
      </c>
      <c r="E4546" t="s">
        <v>316</v>
      </c>
      <c r="F4546">
        <v>7</v>
      </c>
      <c r="G4546">
        <v>4.1586333333333299</v>
      </c>
    </row>
    <row r="4547" spans="1:7" x14ac:dyDescent="0.35">
      <c r="A4547" t="s">
        <v>847</v>
      </c>
      <c r="B4547" t="s">
        <v>680</v>
      </c>
      <c r="C4547" s="83">
        <v>46167</v>
      </c>
      <c r="D4547" t="s">
        <v>690</v>
      </c>
      <c r="E4547" t="s">
        <v>311</v>
      </c>
      <c r="F4547">
        <v>18</v>
      </c>
      <c r="G4547">
        <v>12.6703166666667</v>
      </c>
    </row>
    <row r="4548" spans="1:7" x14ac:dyDescent="0.35">
      <c r="A4548" t="s">
        <v>847</v>
      </c>
      <c r="B4548" t="s">
        <v>680</v>
      </c>
      <c r="C4548" s="83">
        <v>46167</v>
      </c>
      <c r="D4548" t="s">
        <v>690</v>
      </c>
      <c r="E4548" t="s">
        <v>720</v>
      </c>
      <c r="F4548">
        <v>12</v>
      </c>
      <c r="G4548">
        <v>6.5145499999999998</v>
      </c>
    </row>
    <row r="4549" spans="1:7" x14ac:dyDescent="0.35">
      <c r="A4549" t="s">
        <v>847</v>
      </c>
      <c r="B4549" t="s">
        <v>680</v>
      </c>
      <c r="C4549" s="83">
        <v>46167</v>
      </c>
      <c r="D4549" t="s">
        <v>690</v>
      </c>
      <c r="E4549" t="s">
        <v>316</v>
      </c>
      <c r="F4549">
        <v>9</v>
      </c>
      <c r="G4549">
        <v>3.32588333333333</v>
      </c>
    </row>
    <row r="4550" spans="1:7" x14ac:dyDescent="0.35">
      <c r="A4550" t="s">
        <v>847</v>
      </c>
      <c r="B4550" t="s">
        <v>680</v>
      </c>
      <c r="C4550" s="83">
        <v>46167</v>
      </c>
      <c r="D4550" t="s">
        <v>685</v>
      </c>
      <c r="E4550" t="s">
        <v>311</v>
      </c>
      <c r="F4550">
        <v>4</v>
      </c>
      <c r="G4550">
        <v>1.8398666666666701</v>
      </c>
    </row>
    <row r="4551" spans="1:7" x14ac:dyDescent="0.35">
      <c r="A4551" t="s">
        <v>847</v>
      </c>
      <c r="B4551" t="s">
        <v>680</v>
      </c>
      <c r="C4551" s="83">
        <v>46167</v>
      </c>
      <c r="D4551" t="s">
        <v>685</v>
      </c>
      <c r="E4551" t="s">
        <v>321</v>
      </c>
      <c r="F4551">
        <v>3</v>
      </c>
      <c r="G4551">
        <v>1.1671166666666699</v>
      </c>
    </row>
    <row r="4552" spans="1:7" x14ac:dyDescent="0.35">
      <c r="A4552" t="s">
        <v>847</v>
      </c>
      <c r="B4552" t="s">
        <v>680</v>
      </c>
      <c r="C4552" s="83">
        <v>46167</v>
      </c>
      <c r="D4552" t="s">
        <v>685</v>
      </c>
      <c r="E4552" t="s">
        <v>316</v>
      </c>
      <c r="F4552">
        <v>2</v>
      </c>
      <c r="G4552">
        <v>0.16648333333333301</v>
      </c>
    </row>
    <row r="4553" spans="1:7" x14ac:dyDescent="0.35">
      <c r="A4553" t="s">
        <v>847</v>
      </c>
      <c r="B4553" t="s">
        <v>680</v>
      </c>
      <c r="C4553" s="83">
        <v>46168</v>
      </c>
      <c r="D4553" t="s">
        <v>681</v>
      </c>
      <c r="E4553" t="s">
        <v>296</v>
      </c>
      <c r="F4553">
        <v>62</v>
      </c>
      <c r="G4553">
        <v>30.0241166666667</v>
      </c>
    </row>
    <row r="4554" spans="1:7" x14ac:dyDescent="0.35">
      <c r="A4554" t="s">
        <v>847</v>
      </c>
      <c r="B4554" t="s">
        <v>680</v>
      </c>
      <c r="C4554" s="83">
        <v>46168</v>
      </c>
      <c r="D4554" t="s">
        <v>681</v>
      </c>
      <c r="E4554" t="s">
        <v>297</v>
      </c>
      <c r="F4554">
        <v>29</v>
      </c>
      <c r="G4554">
        <v>9.4946166666666691</v>
      </c>
    </row>
    <row r="4555" spans="1:7" x14ac:dyDescent="0.35">
      <c r="A4555" t="s">
        <v>847</v>
      </c>
      <c r="B4555" t="s">
        <v>680</v>
      </c>
      <c r="C4555" s="83">
        <v>46168</v>
      </c>
      <c r="D4555" t="s">
        <v>681</v>
      </c>
      <c r="E4555" t="s">
        <v>298</v>
      </c>
      <c r="F4555">
        <v>14</v>
      </c>
      <c r="G4555">
        <v>22.505666666666698</v>
      </c>
    </row>
    <row r="4556" spans="1:7" x14ac:dyDescent="0.35">
      <c r="A4556" t="s">
        <v>847</v>
      </c>
      <c r="B4556" t="s">
        <v>680</v>
      </c>
      <c r="C4556" s="83">
        <v>46168</v>
      </c>
      <c r="D4556" t="s">
        <v>683</v>
      </c>
      <c r="E4556" t="s">
        <v>298</v>
      </c>
      <c r="F4556">
        <v>24</v>
      </c>
      <c r="G4556">
        <v>18.4965166666667</v>
      </c>
    </row>
    <row r="4557" spans="1:7" x14ac:dyDescent="0.35">
      <c r="A4557" t="s">
        <v>847</v>
      </c>
      <c r="B4557" t="s">
        <v>680</v>
      </c>
      <c r="C4557" s="83">
        <v>46168</v>
      </c>
      <c r="D4557" t="s">
        <v>683</v>
      </c>
      <c r="E4557" t="s">
        <v>334</v>
      </c>
      <c r="F4557">
        <v>11</v>
      </c>
      <c r="G4557">
        <v>4.66195</v>
      </c>
    </row>
    <row r="4558" spans="1:7" x14ac:dyDescent="0.35">
      <c r="A4558" t="s">
        <v>847</v>
      </c>
      <c r="B4558" t="s">
        <v>680</v>
      </c>
      <c r="C4558" s="83">
        <v>46168</v>
      </c>
      <c r="D4558" t="s">
        <v>683</v>
      </c>
      <c r="E4558" t="s">
        <v>297</v>
      </c>
      <c r="F4558">
        <v>9</v>
      </c>
      <c r="G4558">
        <v>4.3438833333333298</v>
      </c>
    </row>
    <row r="4559" spans="1:7" x14ac:dyDescent="0.35">
      <c r="A4559" t="s">
        <v>847</v>
      </c>
      <c r="B4559" t="s">
        <v>680</v>
      </c>
      <c r="C4559" s="83">
        <v>46168</v>
      </c>
      <c r="D4559" t="s">
        <v>689</v>
      </c>
      <c r="E4559" t="s">
        <v>296</v>
      </c>
      <c r="F4559">
        <v>24</v>
      </c>
      <c r="G4559">
        <v>15.1789666666667</v>
      </c>
    </row>
    <row r="4560" spans="1:7" x14ac:dyDescent="0.35">
      <c r="A4560" t="s">
        <v>847</v>
      </c>
      <c r="B4560" t="s">
        <v>680</v>
      </c>
      <c r="C4560" s="83">
        <v>46168</v>
      </c>
      <c r="D4560" t="s">
        <v>689</v>
      </c>
      <c r="E4560" t="s">
        <v>297</v>
      </c>
      <c r="F4560">
        <v>16</v>
      </c>
      <c r="G4560">
        <v>9.4739500000000003</v>
      </c>
    </row>
    <row r="4561" spans="1:7" x14ac:dyDescent="0.35">
      <c r="A4561" t="s">
        <v>847</v>
      </c>
      <c r="B4561" t="s">
        <v>680</v>
      </c>
      <c r="C4561" s="83">
        <v>46168</v>
      </c>
      <c r="D4561" t="s">
        <v>689</v>
      </c>
      <c r="E4561" t="s">
        <v>298</v>
      </c>
      <c r="F4561">
        <v>12</v>
      </c>
      <c r="G4561">
        <v>8.0035833333333297</v>
      </c>
    </row>
    <row r="4562" spans="1:7" x14ac:dyDescent="0.35">
      <c r="A4562" t="s">
        <v>847</v>
      </c>
      <c r="B4562" t="s">
        <v>680</v>
      </c>
      <c r="C4562" s="83">
        <v>46168</v>
      </c>
      <c r="D4562" t="s">
        <v>684</v>
      </c>
      <c r="E4562" t="s">
        <v>334</v>
      </c>
      <c r="F4562">
        <v>6</v>
      </c>
      <c r="G4562">
        <v>2.48648333333333</v>
      </c>
    </row>
    <row r="4563" spans="1:7" x14ac:dyDescent="0.35">
      <c r="A4563" t="s">
        <v>847</v>
      </c>
      <c r="B4563" t="s">
        <v>680</v>
      </c>
      <c r="C4563" s="83">
        <v>46168</v>
      </c>
      <c r="D4563" t="s">
        <v>684</v>
      </c>
      <c r="E4563" t="s">
        <v>298</v>
      </c>
      <c r="F4563">
        <v>4</v>
      </c>
      <c r="G4563">
        <v>2.0143499999999999</v>
      </c>
    </row>
    <row r="4564" spans="1:7" x14ac:dyDescent="0.35">
      <c r="A4564" t="s">
        <v>847</v>
      </c>
      <c r="B4564" t="s">
        <v>680</v>
      </c>
      <c r="C4564" s="83">
        <v>46168</v>
      </c>
      <c r="D4564" t="s">
        <v>684</v>
      </c>
      <c r="E4564" t="s">
        <v>304</v>
      </c>
      <c r="F4564">
        <v>2</v>
      </c>
      <c r="G4564">
        <v>2.16733333333333</v>
      </c>
    </row>
    <row r="4565" spans="1:7" x14ac:dyDescent="0.35">
      <c r="A4565" t="s">
        <v>847</v>
      </c>
      <c r="B4565" t="s">
        <v>680</v>
      </c>
      <c r="C4565" s="83">
        <v>46168</v>
      </c>
      <c r="D4565" t="s">
        <v>687</v>
      </c>
      <c r="E4565" t="s">
        <v>746</v>
      </c>
      <c r="F4565">
        <v>4</v>
      </c>
      <c r="G4565">
        <v>2.6677</v>
      </c>
    </row>
    <row r="4566" spans="1:7" x14ac:dyDescent="0.35">
      <c r="A4566" t="s">
        <v>847</v>
      </c>
      <c r="B4566" t="s">
        <v>680</v>
      </c>
      <c r="C4566" s="83">
        <v>46168</v>
      </c>
      <c r="D4566" t="s">
        <v>687</v>
      </c>
      <c r="E4566" t="s">
        <v>729</v>
      </c>
      <c r="F4566">
        <v>3</v>
      </c>
      <c r="G4566">
        <v>0.84053333333333302</v>
      </c>
    </row>
    <row r="4567" spans="1:7" x14ac:dyDescent="0.35">
      <c r="A4567" t="s">
        <v>847</v>
      </c>
      <c r="B4567" t="s">
        <v>680</v>
      </c>
      <c r="C4567" s="83">
        <v>46168</v>
      </c>
      <c r="D4567" t="s">
        <v>687</v>
      </c>
      <c r="E4567" t="s">
        <v>733</v>
      </c>
      <c r="F4567">
        <v>3</v>
      </c>
      <c r="G4567">
        <v>3.0011333333333301</v>
      </c>
    </row>
    <row r="4568" spans="1:7" x14ac:dyDescent="0.35">
      <c r="A4568" t="s">
        <v>847</v>
      </c>
      <c r="B4568" t="s">
        <v>680</v>
      </c>
      <c r="C4568" s="83">
        <v>46168</v>
      </c>
      <c r="D4568" t="s">
        <v>688</v>
      </c>
      <c r="E4568" t="s">
        <v>311</v>
      </c>
      <c r="F4568">
        <v>31</v>
      </c>
      <c r="G4568">
        <v>17.049966666666698</v>
      </c>
    </row>
    <row r="4569" spans="1:7" x14ac:dyDescent="0.35">
      <c r="A4569" t="s">
        <v>847</v>
      </c>
      <c r="B4569" t="s">
        <v>680</v>
      </c>
      <c r="C4569" s="83">
        <v>46168</v>
      </c>
      <c r="D4569" t="s">
        <v>688</v>
      </c>
      <c r="E4569" t="s">
        <v>720</v>
      </c>
      <c r="F4569">
        <v>3</v>
      </c>
      <c r="G4569">
        <v>1.3409166666666701</v>
      </c>
    </row>
    <row r="4570" spans="1:7" x14ac:dyDescent="0.35">
      <c r="A4570" t="s">
        <v>847</v>
      </c>
      <c r="B4570" t="s">
        <v>680</v>
      </c>
      <c r="C4570" s="83">
        <v>46168</v>
      </c>
      <c r="D4570" t="s">
        <v>688</v>
      </c>
      <c r="E4570" t="s">
        <v>316</v>
      </c>
      <c r="F4570">
        <v>2</v>
      </c>
      <c r="G4570">
        <v>0.33305000000000001</v>
      </c>
    </row>
    <row r="4571" spans="1:7" x14ac:dyDescent="0.35">
      <c r="A4571" t="s">
        <v>847</v>
      </c>
      <c r="B4571" t="s">
        <v>680</v>
      </c>
      <c r="C4571" s="83">
        <v>46168</v>
      </c>
      <c r="D4571" t="s">
        <v>690</v>
      </c>
      <c r="E4571" t="s">
        <v>311</v>
      </c>
      <c r="F4571">
        <v>18</v>
      </c>
      <c r="G4571">
        <v>10.642950000000001</v>
      </c>
    </row>
    <row r="4572" spans="1:7" x14ac:dyDescent="0.35">
      <c r="A4572" t="s">
        <v>847</v>
      </c>
      <c r="B4572" t="s">
        <v>680</v>
      </c>
      <c r="C4572" s="83">
        <v>46168</v>
      </c>
      <c r="D4572" t="s">
        <v>690</v>
      </c>
      <c r="E4572" t="s">
        <v>720</v>
      </c>
      <c r="F4572">
        <v>5</v>
      </c>
      <c r="G4572">
        <v>4.98776666666667</v>
      </c>
    </row>
    <row r="4573" spans="1:7" x14ac:dyDescent="0.35">
      <c r="A4573" t="s">
        <v>847</v>
      </c>
      <c r="B4573" t="s">
        <v>680</v>
      </c>
      <c r="C4573" s="83">
        <v>46168</v>
      </c>
      <c r="D4573" t="s">
        <v>690</v>
      </c>
      <c r="E4573" t="s">
        <v>312</v>
      </c>
      <c r="F4573">
        <v>3</v>
      </c>
      <c r="G4573">
        <v>1.8252666666666699</v>
      </c>
    </row>
    <row r="4574" spans="1:7" x14ac:dyDescent="0.35">
      <c r="A4574" t="s">
        <v>847</v>
      </c>
      <c r="B4574" t="s">
        <v>680</v>
      </c>
      <c r="C4574" s="83">
        <v>46168</v>
      </c>
      <c r="D4574" t="s">
        <v>685</v>
      </c>
      <c r="E4574" t="s">
        <v>316</v>
      </c>
      <c r="F4574">
        <v>8</v>
      </c>
      <c r="G4574">
        <v>4.9905999999999997</v>
      </c>
    </row>
    <row r="4575" spans="1:7" x14ac:dyDescent="0.35">
      <c r="A4575" t="s">
        <v>847</v>
      </c>
      <c r="B4575" t="s">
        <v>680</v>
      </c>
      <c r="C4575" s="83">
        <v>46168</v>
      </c>
      <c r="D4575" t="s">
        <v>685</v>
      </c>
      <c r="E4575" t="s">
        <v>321</v>
      </c>
      <c r="F4575">
        <v>7</v>
      </c>
      <c r="G4575">
        <v>3.1753833333333299</v>
      </c>
    </row>
    <row r="4576" spans="1:7" x14ac:dyDescent="0.35">
      <c r="A4576" t="s">
        <v>847</v>
      </c>
      <c r="B4576" t="s">
        <v>680</v>
      </c>
      <c r="C4576" s="83">
        <v>46168</v>
      </c>
      <c r="D4576" t="s">
        <v>685</v>
      </c>
      <c r="E4576" t="s">
        <v>311</v>
      </c>
      <c r="F4576">
        <v>4</v>
      </c>
      <c r="G4576">
        <v>1.4991666666666701</v>
      </c>
    </row>
    <row r="4577" spans="1:7" x14ac:dyDescent="0.35">
      <c r="A4577" t="s">
        <v>847</v>
      </c>
      <c r="B4577" t="s">
        <v>680</v>
      </c>
      <c r="C4577" s="83">
        <v>46169</v>
      </c>
      <c r="D4577" t="s">
        <v>681</v>
      </c>
      <c r="E4577" t="s">
        <v>296</v>
      </c>
      <c r="F4577">
        <v>21</v>
      </c>
      <c r="G4577">
        <v>9.80901666666667</v>
      </c>
    </row>
    <row r="4578" spans="1:7" x14ac:dyDescent="0.35">
      <c r="A4578" t="s">
        <v>847</v>
      </c>
      <c r="B4578" t="s">
        <v>680</v>
      </c>
      <c r="C4578" s="83">
        <v>46169</v>
      </c>
      <c r="D4578" t="s">
        <v>681</v>
      </c>
      <c r="E4578" t="s">
        <v>297</v>
      </c>
      <c r="F4578">
        <v>21</v>
      </c>
      <c r="G4578">
        <v>8.5094999999999992</v>
      </c>
    </row>
    <row r="4579" spans="1:7" x14ac:dyDescent="0.35">
      <c r="A4579" t="s">
        <v>847</v>
      </c>
      <c r="B4579" t="s">
        <v>680</v>
      </c>
      <c r="C4579" s="83">
        <v>46169</v>
      </c>
      <c r="D4579" t="s">
        <v>681</v>
      </c>
      <c r="E4579" t="s">
        <v>298</v>
      </c>
      <c r="F4579">
        <v>17</v>
      </c>
      <c r="G4579">
        <v>19.665566666666699</v>
      </c>
    </row>
    <row r="4580" spans="1:7" x14ac:dyDescent="0.35">
      <c r="A4580" t="s">
        <v>847</v>
      </c>
      <c r="B4580" t="s">
        <v>680</v>
      </c>
      <c r="C4580" s="83">
        <v>46169</v>
      </c>
      <c r="D4580" t="s">
        <v>683</v>
      </c>
      <c r="E4580" t="s">
        <v>298</v>
      </c>
      <c r="F4580">
        <v>22</v>
      </c>
      <c r="G4580">
        <v>20.1601</v>
      </c>
    </row>
    <row r="4581" spans="1:7" x14ac:dyDescent="0.35">
      <c r="A4581" t="s">
        <v>847</v>
      </c>
      <c r="B4581" t="s">
        <v>680</v>
      </c>
      <c r="C4581" s="83">
        <v>46169</v>
      </c>
      <c r="D4581" t="s">
        <v>683</v>
      </c>
      <c r="E4581" t="s">
        <v>756</v>
      </c>
      <c r="F4581">
        <v>5</v>
      </c>
      <c r="G4581">
        <v>1.34001666666667</v>
      </c>
    </row>
    <row r="4582" spans="1:7" x14ac:dyDescent="0.35">
      <c r="A4582" t="s">
        <v>847</v>
      </c>
      <c r="B4582" t="s">
        <v>680</v>
      </c>
      <c r="C4582" s="83">
        <v>46169</v>
      </c>
      <c r="D4582" t="s">
        <v>683</v>
      </c>
      <c r="E4582" t="s">
        <v>334</v>
      </c>
      <c r="F4582">
        <v>4</v>
      </c>
      <c r="G4582">
        <v>0.83294999999999997</v>
      </c>
    </row>
    <row r="4583" spans="1:7" x14ac:dyDescent="0.35">
      <c r="A4583" t="s">
        <v>847</v>
      </c>
      <c r="B4583" t="s">
        <v>680</v>
      </c>
      <c r="C4583" s="83">
        <v>46169</v>
      </c>
      <c r="D4583" t="s">
        <v>689</v>
      </c>
      <c r="E4583" t="s">
        <v>298</v>
      </c>
      <c r="F4583">
        <v>15</v>
      </c>
      <c r="G4583">
        <v>5.9902333333333297</v>
      </c>
    </row>
    <row r="4584" spans="1:7" x14ac:dyDescent="0.35">
      <c r="A4584" t="s">
        <v>847</v>
      </c>
      <c r="B4584" t="s">
        <v>680</v>
      </c>
      <c r="C4584" s="83">
        <v>46169</v>
      </c>
      <c r="D4584" t="s">
        <v>689</v>
      </c>
      <c r="E4584" t="s">
        <v>296</v>
      </c>
      <c r="F4584">
        <v>9</v>
      </c>
      <c r="G4584">
        <v>5.3476666666666697</v>
      </c>
    </row>
    <row r="4585" spans="1:7" x14ac:dyDescent="0.35">
      <c r="A4585" t="s">
        <v>847</v>
      </c>
      <c r="B4585" t="s">
        <v>680</v>
      </c>
      <c r="C4585" s="83">
        <v>46169</v>
      </c>
      <c r="D4585" t="s">
        <v>689</v>
      </c>
      <c r="E4585" t="s">
        <v>297</v>
      </c>
      <c r="F4585">
        <v>4</v>
      </c>
      <c r="G4585">
        <v>1.0001833333333301</v>
      </c>
    </row>
    <row r="4586" spans="1:7" x14ac:dyDescent="0.35">
      <c r="A4586" t="s">
        <v>847</v>
      </c>
      <c r="B4586" t="s">
        <v>680</v>
      </c>
      <c r="C4586" s="83">
        <v>46169</v>
      </c>
      <c r="D4586" t="s">
        <v>684</v>
      </c>
      <c r="E4586" t="s">
        <v>296</v>
      </c>
      <c r="F4586">
        <v>5</v>
      </c>
      <c r="G4586">
        <v>1.16801666666667</v>
      </c>
    </row>
    <row r="4587" spans="1:7" x14ac:dyDescent="0.35">
      <c r="A4587" t="s">
        <v>847</v>
      </c>
      <c r="B4587" t="s">
        <v>680</v>
      </c>
      <c r="C4587" s="83">
        <v>46169</v>
      </c>
      <c r="D4587" t="s">
        <v>684</v>
      </c>
      <c r="E4587" t="s">
        <v>298</v>
      </c>
      <c r="F4587">
        <v>4</v>
      </c>
      <c r="G4587">
        <v>3.8259500000000002</v>
      </c>
    </row>
    <row r="4588" spans="1:7" x14ac:dyDescent="0.35">
      <c r="A4588" t="s">
        <v>847</v>
      </c>
      <c r="B4588" t="s">
        <v>680</v>
      </c>
      <c r="C4588" s="83">
        <v>46169</v>
      </c>
      <c r="D4588" t="s">
        <v>684</v>
      </c>
      <c r="E4588" t="s">
        <v>730</v>
      </c>
      <c r="F4588">
        <v>3</v>
      </c>
      <c r="G4588">
        <v>0.33365</v>
      </c>
    </row>
    <row r="4589" spans="1:7" x14ac:dyDescent="0.35">
      <c r="A4589" t="s">
        <v>847</v>
      </c>
      <c r="B4589" t="s">
        <v>680</v>
      </c>
      <c r="C4589" s="83">
        <v>46169</v>
      </c>
      <c r="D4589" t="s">
        <v>687</v>
      </c>
      <c r="E4589" t="s">
        <v>746</v>
      </c>
      <c r="F4589">
        <v>5</v>
      </c>
      <c r="G4589">
        <v>4.5069666666666697</v>
      </c>
    </row>
    <row r="4590" spans="1:7" x14ac:dyDescent="0.35">
      <c r="A4590" t="s">
        <v>847</v>
      </c>
      <c r="B4590" t="s">
        <v>680</v>
      </c>
      <c r="C4590" s="83">
        <v>46169</v>
      </c>
      <c r="D4590" t="s">
        <v>687</v>
      </c>
      <c r="E4590" t="s">
        <v>717</v>
      </c>
      <c r="F4590">
        <v>2</v>
      </c>
      <c r="G4590">
        <v>0.83383333333333298</v>
      </c>
    </row>
    <row r="4591" spans="1:7" x14ac:dyDescent="0.35">
      <c r="A4591" t="s">
        <v>847</v>
      </c>
      <c r="B4591" t="s">
        <v>680</v>
      </c>
      <c r="C4591" s="83">
        <v>46169</v>
      </c>
      <c r="D4591" t="s">
        <v>687</v>
      </c>
      <c r="E4591" t="s">
        <v>726</v>
      </c>
      <c r="F4591">
        <v>2</v>
      </c>
      <c r="G4591">
        <v>0.333666666666667</v>
      </c>
    </row>
    <row r="4592" spans="1:7" x14ac:dyDescent="0.35">
      <c r="A4592" t="s">
        <v>847</v>
      </c>
      <c r="B4592" t="s">
        <v>680</v>
      </c>
      <c r="C4592" s="83">
        <v>46169</v>
      </c>
      <c r="D4592" t="s">
        <v>688</v>
      </c>
      <c r="E4592" t="s">
        <v>316</v>
      </c>
      <c r="F4592">
        <v>6</v>
      </c>
      <c r="G4592">
        <v>4.4860666666666704</v>
      </c>
    </row>
    <row r="4593" spans="1:7" x14ac:dyDescent="0.35">
      <c r="A4593" t="s">
        <v>847</v>
      </c>
      <c r="B4593" t="s">
        <v>680</v>
      </c>
      <c r="C4593" s="83">
        <v>46169</v>
      </c>
      <c r="D4593" t="s">
        <v>688</v>
      </c>
      <c r="E4593" t="s">
        <v>720</v>
      </c>
      <c r="F4593">
        <v>5</v>
      </c>
      <c r="G4593">
        <v>2.49203333333333</v>
      </c>
    </row>
    <row r="4594" spans="1:7" x14ac:dyDescent="0.35">
      <c r="A4594" t="s">
        <v>847</v>
      </c>
      <c r="B4594" t="s">
        <v>680</v>
      </c>
      <c r="C4594" s="83">
        <v>46169</v>
      </c>
      <c r="D4594" t="s">
        <v>688</v>
      </c>
      <c r="E4594" t="s">
        <v>311</v>
      </c>
      <c r="F4594">
        <v>4</v>
      </c>
      <c r="G4594">
        <v>1.9839833333333301</v>
      </c>
    </row>
    <row r="4595" spans="1:7" x14ac:dyDescent="0.35">
      <c r="A4595" t="s">
        <v>847</v>
      </c>
      <c r="B4595" t="s">
        <v>680</v>
      </c>
      <c r="C4595" s="83">
        <v>46169</v>
      </c>
      <c r="D4595" t="s">
        <v>690</v>
      </c>
      <c r="E4595" t="s">
        <v>311</v>
      </c>
      <c r="F4595">
        <v>8</v>
      </c>
      <c r="G4595">
        <v>4.34758333333333</v>
      </c>
    </row>
    <row r="4596" spans="1:7" x14ac:dyDescent="0.35">
      <c r="A4596" t="s">
        <v>847</v>
      </c>
      <c r="B4596" t="s">
        <v>680</v>
      </c>
      <c r="C4596" s="83">
        <v>46169</v>
      </c>
      <c r="D4596" t="s">
        <v>690</v>
      </c>
      <c r="E4596" t="s">
        <v>723</v>
      </c>
      <c r="F4596">
        <v>8</v>
      </c>
      <c r="G4596">
        <v>11.3199666666667</v>
      </c>
    </row>
    <row r="4597" spans="1:7" x14ac:dyDescent="0.35">
      <c r="A4597" t="s">
        <v>847</v>
      </c>
      <c r="B4597" t="s">
        <v>680</v>
      </c>
      <c r="C4597" s="83">
        <v>46169</v>
      </c>
      <c r="D4597" t="s">
        <v>690</v>
      </c>
      <c r="E4597" t="s">
        <v>720</v>
      </c>
      <c r="F4597">
        <v>5</v>
      </c>
      <c r="G4597">
        <v>2.83578333333333</v>
      </c>
    </row>
    <row r="4598" spans="1:7" x14ac:dyDescent="0.35">
      <c r="A4598" t="s">
        <v>847</v>
      </c>
      <c r="B4598" t="s">
        <v>680</v>
      </c>
      <c r="C4598" s="83">
        <v>46169</v>
      </c>
      <c r="D4598" t="s">
        <v>685</v>
      </c>
      <c r="E4598" t="s">
        <v>312</v>
      </c>
      <c r="F4598">
        <v>14</v>
      </c>
      <c r="G4598">
        <v>6.4888000000000003</v>
      </c>
    </row>
    <row r="4599" spans="1:7" x14ac:dyDescent="0.35">
      <c r="A4599" t="s">
        <v>847</v>
      </c>
      <c r="B4599" t="s">
        <v>680</v>
      </c>
      <c r="C4599" s="83">
        <v>46169</v>
      </c>
      <c r="D4599" t="s">
        <v>685</v>
      </c>
      <c r="E4599" t="s">
        <v>720</v>
      </c>
      <c r="F4599">
        <v>6</v>
      </c>
      <c r="G4599">
        <v>29.661750000000001</v>
      </c>
    </row>
    <row r="4600" spans="1:7" x14ac:dyDescent="0.35">
      <c r="A4600" t="s">
        <v>847</v>
      </c>
      <c r="B4600" t="s">
        <v>680</v>
      </c>
      <c r="C4600" s="83">
        <v>46169</v>
      </c>
      <c r="D4600" t="s">
        <v>685</v>
      </c>
      <c r="E4600" t="s">
        <v>316</v>
      </c>
      <c r="F4600">
        <v>3</v>
      </c>
      <c r="G4600">
        <v>0.33334999999999998</v>
      </c>
    </row>
    <row r="4601" spans="1:7" x14ac:dyDescent="0.35">
      <c r="A4601" t="s">
        <v>847</v>
      </c>
      <c r="B4601" t="s">
        <v>680</v>
      </c>
      <c r="C4601" s="83">
        <v>46170</v>
      </c>
      <c r="D4601" t="s">
        <v>681</v>
      </c>
      <c r="E4601" t="s">
        <v>296</v>
      </c>
      <c r="F4601">
        <v>38</v>
      </c>
      <c r="G4601">
        <v>20.375800000000002</v>
      </c>
    </row>
    <row r="4602" spans="1:7" x14ac:dyDescent="0.35">
      <c r="A4602" t="s">
        <v>847</v>
      </c>
      <c r="B4602" t="s">
        <v>680</v>
      </c>
      <c r="C4602" s="83">
        <v>46170</v>
      </c>
      <c r="D4602" t="s">
        <v>681</v>
      </c>
      <c r="E4602" t="s">
        <v>297</v>
      </c>
      <c r="F4602">
        <v>9</v>
      </c>
      <c r="G4602">
        <v>2.34205</v>
      </c>
    </row>
    <row r="4603" spans="1:7" x14ac:dyDescent="0.35">
      <c r="A4603" t="s">
        <v>847</v>
      </c>
      <c r="B4603" t="s">
        <v>680</v>
      </c>
      <c r="C4603" s="83">
        <v>46170</v>
      </c>
      <c r="D4603" t="s">
        <v>681</v>
      </c>
      <c r="E4603" t="s">
        <v>300</v>
      </c>
      <c r="F4603">
        <v>9</v>
      </c>
      <c r="G4603">
        <v>3.5014333333333298</v>
      </c>
    </row>
    <row r="4604" spans="1:7" x14ac:dyDescent="0.35">
      <c r="A4604" t="s">
        <v>847</v>
      </c>
      <c r="B4604" t="s">
        <v>680</v>
      </c>
      <c r="C4604" s="83">
        <v>46170</v>
      </c>
      <c r="D4604" t="s">
        <v>683</v>
      </c>
      <c r="E4604" t="s">
        <v>334</v>
      </c>
      <c r="F4604">
        <v>15</v>
      </c>
      <c r="G4604">
        <v>6.6340000000000003</v>
      </c>
    </row>
    <row r="4605" spans="1:7" x14ac:dyDescent="0.35">
      <c r="A4605" t="s">
        <v>847</v>
      </c>
      <c r="B4605" t="s">
        <v>680</v>
      </c>
      <c r="C4605" s="83">
        <v>46170</v>
      </c>
      <c r="D4605" t="s">
        <v>683</v>
      </c>
      <c r="E4605" t="s">
        <v>296</v>
      </c>
      <c r="F4605">
        <v>10</v>
      </c>
      <c r="G4605">
        <v>2.8177166666666702</v>
      </c>
    </row>
    <row r="4606" spans="1:7" x14ac:dyDescent="0.35">
      <c r="A4606" t="s">
        <v>847</v>
      </c>
      <c r="B4606" t="s">
        <v>680</v>
      </c>
      <c r="C4606" s="83">
        <v>46170</v>
      </c>
      <c r="D4606" t="s">
        <v>683</v>
      </c>
      <c r="E4606" t="s">
        <v>298</v>
      </c>
      <c r="F4606">
        <v>8</v>
      </c>
      <c r="G4606">
        <v>6.66651666666667</v>
      </c>
    </row>
    <row r="4607" spans="1:7" x14ac:dyDescent="0.35">
      <c r="A4607" t="s">
        <v>847</v>
      </c>
      <c r="B4607" t="s">
        <v>680</v>
      </c>
      <c r="C4607" s="83">
        <v>46170</v>
      </c>
      <c r="D4607" t="s">
        <v>689</v>
      </c>
      <c r="E4607" t="s">
        <v>296</v>
      </c>
      <c r="F4607">
        <v>10</v>
      </c>
      <c r="G4607">
        <v>12.33555</v>
      </c>
    </row>
    <row r="4608" spans="1:7" x14ac:dyDescent="0.35">
      <c r="A4608" t="s">
        <v>847</v>
      </c>
      <c r="B4608" t="s">
        <v>680</v>
      </c>
      <c r="C4608" s="83">
        <v>46170</v>
      </c>
      <c r="D4608" t="s">
        <v>689</v>
      </c>
      <c r="E4608" t="s">
        <v>300</v>
      </c>
      <c r="F4608">
        <v>9</v>
      </c>
      <c r="G4608">
        <v>9.1481333333333303</v>
      </c>
    </row>
    <row r="4609" spans="1:7" x14ac:dyDescent="0.35">
      <c r="A4609" t="s">
        <v>847</v>
      </c>
      <c r="B4609" t="s">
        <v>680</v>
      </c>
      <c r="C4609" s="83">
        <v>46170</v>
      </c>
      <c r="D4609" t="s">
        <v>689</v>
      </c>
      <c r="E4609" t="s">
        <v>297</v>
      </c>
      <c r="F4609">
        <v>8</v>
      </c>
      <c r="G4609">
        <v>6.6650499999999999</v>
      </c>
    </row>
    <row r="4610" spans="1:7" x14ac:dyDescent="0.35">
      <c r="A4610" t="s">
        <v>847</v>
      </c>
      <c r="B4610" t="s">
        <v>680</v>
      </c>
      <c r="C4610" s="83">
        <v>46170</v>
      </c>
      <c r="D4610" t="s">
        <v>684</v>
      </c>
      <c r="E4610" t="s">
        <v>296</v>
      </c>
      <c r="F4610">
        <v>3</v>
      </c>
      <c r="G4610">
        <v>8.1692833333333308</v>
      </c>
    </row>
    <row r="4611" spans="1:7" x14ac:dyDescent="0.35">
      <c r="A4611" t="s">
        <v>847</v>
      </c>
      <c r="B4611" t="s">
        <v>680</v>
      </c>
      <c r="C4611" s="83">
        <v>46170</v>
      </c>
      <c r="D4611" t="s">
        <v>684</v>
      </c>
      <c r="E4611" t="s">
        <v>297</v>
      </c>
      <c r="F4611">
        <v>2</v>
      </c>
      <c r="G4611">
        <v>0.16673333333333301</v>
      </c>
    </row>
    <row r="4612" spans="1:7" x14ac:dyDescent="0.35">
      <c r="A4612" t="s">
        <v>847</v>
      </c>
      <c r="B4612" t="s">
        <v>680</v>
      </c>
      <c r="C4612" s="83">
        <v>46170</v>
      </c>
      <c r="D4612" t="s">
        <v>684</v>
      </c>
      <c r="E4612" t="s">
        <v>334</v>
      </c>
      <c r="F4612">
        <v>2</v>
      </c>
      <c r="G4612">
        <v>1.33341666666667</v>
      </c>
    </row>
    <row r="4613" spans="1:7" x14ac:dyDescent="0.35">
      <c r="A4613" t="s">
        <v>847</v>
      </c>
      <c r="B4613" t="s">
        <v>680</v>
      </c>
      <c r="C4613" s="83">
        <v>46170</v>
      </c>
      <c r="D4613" t="s">
        <v>687</v>
      </c>
      <c r="E4613" t="s">
        <v>746</v>
      </c>
      <c r="F4613">
        <v>6</v>
      </c>
      <c r="G4613">
        <v>21.5162333333333</v>
      </c>
    </row>
    <row r="4614" spans="1:7" x14ac:dyDescent="0.35">
      <c r="A4614" t="s">
        <v>847</v>
      </c>
      <c r="B4614" t="s">
        <v>680</v>
      </c>
      <c r="C4614" s="83">
        <v>46170</v>
      </c>
      <c r="D4614" t="s">
        <v>687</v>
      </c>
      <c r="E4614" t="s">
        <v>726</v>
      </c>
      <c r="F4614">
        <v>4</v>
      </c>
      <c r="G4614">
        <v>4.6702500000000002</v>
      </c>
    </row>
    <row r="4615" spans="1:7" x14ac:dyDescent="0.35">
      <c r="A4615" t="s">
        <v>847</v>
      </c>
      <c r="B4615" t="s">
        <v>680</v>
      </c>
      <c r="C4615" s="83">
        <v>46170</v>
      </c>
      <c r="D4615" t="s">
        <v>687</v>
      </c>
      <c r="E4615" t="s">
        <v>718</v>
      </c>
      <c r="F4615">
        <v>3</v>
      </c>
      <c r="G4615">
        <v>2.66845</v>
      </c>
    </row>
    <row r="4616" spans="1:7" x14ac:dyDescent="0.35">
      <c r="A4616" t="s">
        <v>847</v>
      </c>
      <c r="B4616" t="s">
        <v>680</v>
      </c>
      <c r="C4616" s="83">
        <v>46170</v>
      </c>
      <c r="D4616" t="s">
        <v>688</v>
      </c>
      <c r="E4616" t="s">
        <v>311</v>
      </c>
      <c r="F4616">
        <v>10</v>
      </c>
      <c r="G4616">
        <v>8.5166333333333295</v>
      </c>
    </row>
    <row r="4617" spans="1:7" x14ac:dyDescent="0.35">
      <c r="A4617" t="s">
        <v>847</v>
      </c>
      <c r="B4617" t="s">
        <v>680</v>
      </c>
      <c r="C4617" s="83">
        <v>46170</v>
      </c>
      <c r="D4617" t="s">
        <v>688</v>
      </c>
      <c r="E4617" t="s">
        <v>720</v>
      </c>
      <c r="F4617">
        <v>4</v>
      </c>
      <c r="G4617">
        <v>9.3302499999999995</v>
      </c>
    </row>
    <row r="4618" spans="1:7" x14ac:dyDescent="0.35">
      <c r="A4618" t="s">
        <v>847</v>
      </c>
      <c r="B4618" t="s">
        <v>680</v>
      </c>
      <c r="C4618" s="83">
        <v>46170</v>
      </c>
      <c r="D4618" t="s">
        <v>688</v>
      </c>
      <c r="E4618" t="s">
        <v>126</v>
      </c>
      <c r="F4618">
        <v>3</v>
      </c>
      <c r="G4618">
        <v>3.99766666666667</v>
      </c>
    </row>
    <row r="4619" spans="1:7" x14ac:dyDescent="0.35">
      <c r="A4619" t="s">
        <v>847</v>
      </c>
      <c r="B4619" t="s">
        <v>680</v>
      </c>
      <c r="C4619" s="83">
        <v>46170</v>
      </c>
      <c r="D4619" t="s">
        <v>690</v>
      </c>
      <c r="E4619" t="s">
        <v>312</v>
      </c>
      <c r="F4619">
        <v>13</v>
      </c>
      <c r="G4619">
        <v>8.98511666666667</v>
      </c>
    </row>
    <row r="4620" spans="1:7" x14ac:dyDescent="0.35">
      <c r="A4620" t="s">
        <v>847</v>
      </c>
      <c r="B4620" t="s">
        <v>680</v>
      </c>
      <c r="C4620" s="83">
        <v>46170</v>
      </c>
      <c r="D4620" t="s">
        <v>690</v>
      </c>
      <c r="E4620" t="s">
        <v>720</v>
      </c>
      <c r="F4620">
        <v>11</v>
      </c>
      <c r="G4620">
        <v>9.1773166666666697</v>
      </c>
    </row>
    <row r="4621" spans="1:7" x14ac:dyDescent="0.35">
      <c r="A4621" t="s">
        <v>847</v>
      </c>
      <c r="B4621" t="s">
        <v>680</v>
      </c>
      <c r="C4621" s="83">
        <v>46170</v>
      </c>
      <c r="D4621" t="s">
        <v>690</v>
      </c>
      <c r="E4621" t="s">
        <v>311</v>
      </c>
      <c r="F4621">
        <v>11</v>
      </c>
      <c r="G4621">
        <v>5.4920833333333299</v>
      </c>
    </row>
    <row r="4622" spans="1:7" x14ac:dyDescent="0.35">
      <c r="A4622" t="s">
        <v>847</v>
      </c>
      <c r="B4622" t="s">
        <v>680</v>
      </c>
      <c r="C4622" s="83">
        <v>46170</v>
      </c>
      <c r="D4622" t="s">
        <v>685</v>
      </c>
      <c r="E4622" t="s">
        <v>720</v>
      </c>
      <c r="F4622">
        <v>5</v>
      </c>
      <c r="G4622">
        <v>3.1565666666666701</v>
      </c>
    </row>
    <row r="4623" spans="1:7" x14ac:dyDescent="0.35">
      <c r="A4623" t="s">
        <v>847</v>
      </c>
      <c r="B4623" t="s">
        <v>680</v>
      </c>
      <c r="C4623" s="83">
        <v>46170</v>
      </c>
      <c r="D4623" t="s">
        <v>685</v>
      </c>
      <c r="E4623" t="s">
        <v>316</v>
      </c>
      <c r="F4623">
        <v>3</v>
      </c>
      <c r="G4623">
        <v>0.66723333333333301</v>
      </c>
    </row>
    <row r="4624" spans="1:7" x14ac:dyDescent="0.35">
      <c r="A4624" t="s">
        <v>847</v>
      </c>
      <c r="B4624" t="s">
        <v>680</v>
      </c>
      <c r="C4624" s="83">
        <v>46170</v>
      </c>
      <c r="D4624" t="s">
        <v>685</v>
      </c>
      <c r="E4624" t="s">
        <v>311</v>
      </c>
      <c r="F4624">
        <v>3</v>
      </c>
      <c r="G4624">
        <v>0.66695000000000004</v>
      </c>
    </row>
    <row r="4625" spans="1:7" x14ac:dyDescent="0.35">
      <c r="A4625" t="s">
        <v>847</v>
      </c>
      <c r="B4625" t="s">
        <v>680</v>
      </c>
      <c r="C4625" s="83">
        <v>46171</v>
      </c>
      <c r="D4625" t="s">
        <v>681</v>
      </c>
      <c r="E4625" t="s">
        <v>296</v>
      </c>
      <c r="F4625">
        <v>22</v>
      </c>
      <c r="G4625">
        <v>9.6971000000000007</v>
      </c>
    </row>
    <row r="4626" spans="1:7" x14ac:dyDescent="0.35">
      <c r="A4626" t="s">
        <v>847</v>
      </c>
      <c r="B4626" t="s">
        <v>680</v>
      </c>
      <c r="C4626" s="83">
        <v>46171</v>
      </c>
      <c r="D4626" t="s">
        <v>681</v>
      </c>
      <c r="E4626" t="s">
        <v>297</v>
      </c>
      <c r="F4626">
        <v>8</v>
      </c>
      <c r="G4626">
        <v>2.6838500000000001</v>
      </c>
    </row>
    <row r="4627" spans="1:7" x14ac:dyDescent="0.35">
      <c r="A4627" t="s">
        <v>847</v>
      </c>
      <c r="B4627" t="s">
        <v>680</v>
      </c>
      <c r="C4627" s="83">
        <v>46171</v>
      </c>
      <c r="D4627" t="s">
        <v>681</v>
      </c>
      <c r="E4627" t="s">
        <v>298</v>
      </c>
      <c r="F4627">
        <v>6</v>
      </c>
      <c r="G4627">
        <v>13.1619333333333</v>
      </c>
    </row>
    <row r="4628" spans="1:7" x14ac:dyDescent="0.35">
      <c r="A4628" t="s">
        <v>847</v>
      </c>
      <c r="B4628" t="s">
        <v>680</v>
      </c>
      <c r="C4628" s="83">
        <v>46171</v>
      </c>
      <c r="D4628" t="s">
        <v>683</v>
      </c>
      <c r="E4628" t="s">
        <v>298</v>
      </c>
      <c r="F4628">
        <v>13</v>
      </c>
      <c r="G4628">
        <v>14.343683333333299</v>
      </c>
    </row>
    <row r="4629" spans="1:7" x14ac:dyDescent="0.35">
      <c r="A4629" t="s">
        <v>847</v>
      </c>
      <c r="B4629" t="s">
        <v>680</v>
      </c>
      <c r="C4629" s="83">
        <v>46171</v>
      </c>
      <c r="D4629" t="s">
        <v>683</v>
      </c>
      <c r="E4629" t="s">
        <v>296</v>
      </c>
      <c r="F4629">
        <v>12</v>
      </c>
      <c r="G4629">
        <v>4.9940833333333297</v>
      </c>
    </row>
    <row r="4630" spans="1:7" x14ac:dyDescent="0.35">
      <c r="A4630" t="s">
        <v>847</v>
      </c>
      <c r="B4630" t="s">
        <v>680</v>
      </c>
      <c r="C4630" s="83">
        <v>46171</v>
      </c>
      <c r="D4630" t="s">
        <v>683</v>
      </c>
      <c r="E4630" t="s">
        <v>300</v>
      </c>
      <c r="F4630">
        <v>7</v>
      </c>
      <c r="G4630">
        <v>3.1591833333333299</v>
      </c>
    </row>
    <row r="4631" spans="1:7" x14ac:dyDescent="0.35">
      <c r="A4631" t="s">
        <v>847</v>
      </c>
      <c r="B4631" t="s">
        <v>680</v>
      </c>
      <c r="C4631" s="83">
        <v>46171</v>
      </c>
      <c r="D4631" t="s">
        <v>689</v>
      </c>
      <c r="E4631" t="s">
        <v>296</v>
      </c>
      <c r="F4631">
        <v>12</v>
      </c>
      <c r="G4631">
        <v>12.9947833333333</v>
      </c>
    </row>
    <row r="4632" spans="1:7" x14ac:dyDescent="0.35">
      <c r="A4632" t="s">
        <v>847</v>
      </c>
      <c r="B4632" t="s">
        <v>680</v>
      </c>
      <c r="C4632" s="83">
        <v>46171</v>
      </c>
      <c r="D4632" t="s">
        <v>689</v>
      </c>
      <c r="E4632" t="s">
        <v>298</v>
      </c>
      <c r="F4632">
        <v>7</v>
      </c>
      <c r="G4632">
        <v>4.1675000000000004</v>
      </c>
    </row>
    <row r="4633" spans="1:7" x14ac:dyDescent="0.35">
      <c r="A4633" t="s">
        <v>847</v>
      </c>
      <c r="B4633" t="s">
        <v>680</v>
      </c>
      <c r="C4633" s="83">
        <v>46171</v>
      </c>
      <c r="D4633" t="s">
        <v>689</v>
      </c>
      <c r="E4633" t="s">
        <v>334</v>
      </c>
      <c r="F4633">
        <v>5</v>
      </c>
      <c r="G4633">
        <v>3.5006833333333298</v>
      </c>
    </row>
    <row r="4634" spans="1:7" x14ac:dyDescent="0.35">
      <c r="A4634" t="s">
        <v>847</v>
      </c>
      <c r="B4634" t="s">
        <v>680</v>
      </c>
      <c r="C4634" s="83">
        <v>46171</v>
      </c>
      <c r="D4634" t="s">
        <v>684</v>
      </c>
      <c r="E4634" t="s">
        <v>300</v>
      </c>
      <c r="F4634">
        <v>5</v>
      </c>
      <c r="G4634">
        <v>2.3418000000000001</v>
      </c>
    </row>
    <row r="4635" spans="1:7" x14ac:dyDescent="0.35">
      <c r="A4635" t="s">
        <v>847</v>
      </c>
      <c r="B4635" t="s">
        <v>680</v>
      </c>
      <c r="C4635" s="83">
        <v>46171</v>
      </c>
      <c r="D4635" t="s">
        <v>684</v>
      </c>
      <c r="E4635" t="s">
        <v>297</v>
      </c>
      <c r="F4635">
        <v>2</v>
      </c>
      <c r="G4635">
        <v>0.1668</v>
      </c>
    </row>
    <row r="4636" spans="1:7" x14ac:dyDescent="0.35">
      <c r="A4636" t="s">
        <v>847</v>
      </c>
      <c r="B4636" t="s">
        <v>680</v>
      </c>
      <c r="C4636" s="83">
        <v>46171</v>
      </c>
      <c r="D4636" t="s">
        <v>684</v>
      </c>
      <c r="E4636" t="s">
        <v>737</v>
      </c>
      <c r="F4636">
        <v>2</v>
      </c>
      <c r="G4636">
        <v>6.6679666666666702</v>
      </c>
    </row>
    <row r="4637" spans="1:7" x14ac:dyDescent="0.35">
      <c r="A4637" t="s">
        <v>847</v>
      </c>
      <c r="B4637" t="s">
        <v>680</v>
      </c>
      <c r="C4637" s="83">
        <v>46171</v>
      </c>
      <c r="D4637" t="s">
        <v>687</v>
      </c>
      <c r="E4637" t="s">
        <v>717</v>
      </c>
      <c r="F4637">
        <v>4</v>
      </c>
      <c r="G4637">
        <v>0.49809999999999999</v>
      </c>
    </row>
    <row r="4638" spans="1:7" x14ac:dyDescent="0.35">
      <c r="A4638" t="s">
        <v>847</v>
      </c>
      <c r="B4638" t="s">
        <v>680</v>
      </c>
      <c r="C4638" s="83">
        <v>46171</v>
      </c>
      <c r="D4638" t="s">
        <v>687</v>
      </c>
      <c r="E4638" t="s">
        <v>776</v>
      </c>
      <c r="F4638">
        <v>2</v>
      </c>
      <c r="G4638">
        <v>1.4998499999999999</v>
      </c>
    </row>
    <row r="4639" spans="1:7" x14ac:dyDescent="0.35">
      <c r="A4639" t="s">
        <v>847</v>
      </c>
      <c r="B4639" t="s">
        <v>680</v>
      </c>
      <c r="C4639" s="83">
        <v>46171</v>
      </c>
      <c r="D4639" t="s">
        <v>687</v>
      </c>
      <c r="E4639" t="s">
        <v>729</v>
      </c>
      <c r="F4639">
        <v>2</v>
      </c>
      <c r="G4639">
        <v>2.4944999999999999</v>
      </c>
    </row>
    <row r="4640" spans="1:7" x14ac:dyDescent="0.35">
      <c r="A4640" t="s">
        <v>847</v>
      </c>
      <c r="B4640" t="s">
        <v>680</v>
      </c>
      <c r="C4640" s="83">
        <v>46171</v>
      </c>
      <c r="D4640" t="s">
        <v>688</v>
      </c>
      <c r="E4640" t="s">
        <v>720</v>
      </c>
      <c r="F4640">
        <v>14</v>
      </c>
      <c r="G4640">
        <v>19.6591666666667</v>
      </c>
    </row>
    <row r="4641" spans="1:7" x14ac:dyDescent="0.35">
      <c r="A4641" t="s">
        <v>847</v>
      </c>
      <c r="B4641" t="s">
        <v>680</v>
      </c>
      <c r="C4641" s="83">
        <v>46171</v>
      </c>
      <c r="D4641" t="s">
        <v>688</v>
      </c>
      <c r="E4641" t="s">
        <v>316</v>
      </c>
      <c r="F4641">
        <v>3</v>
      </c>
      <c r="G4641">
        <v>0.66688333333333305</v>
      </c>
    </row>
    <row r="4642" spans="1:7" x14ac:dyDescent="0.35">
      <c r="A4642" t="s">
        <v>847</v>
      </c>
      <c r="B4642" t="s">
        <v>680</v>
      </c>
      <c r="C4642" s="83">
        <v>46171</v>
      </c>
      <c r="D4642" t="s">
        <v>688</v>
      </c>
      <c r="E4642" t="s">
        <v>311</v>
      </c>
      <c r="F4642">
        <v>3</v>
      </c>
      <c r="G4642">
        <v>3.3419666666666701</v>
      </c>
    </row>
    <row r="4643" spans="1:7" x14ac:dyDescent="0.35">
      <c r="A4643" t="s">
        <v>847</v>
      </c>
      <c r="B4643" t="s">
        <v>680</v>
      </c>
      <c r="C4643" s="83">
        <v>46171</v>
      </c>
      <c r="D4643" t="s">
        <v>690</v>
      </c>
      <c r="E4643" t="s">
        <v>311</v>
      </c>
      <c r="F4643">
        <v>16</v>
      </c>
      <c r="G4643">
        <v>16.018316666666699</v>
      </c>
    </row>
    <row r="4644" spans="1:7" x14ac:dyDescent="0.35">
      <c r="A4644" t="s">
        <v>847</v>
      </c>
      <c r="B4644" t="s">
        <v>680</v>
      </c>
      <c r="C4644" s="83">
        <v>46171</v>
      </c>
      <c r="D4644" t="s">
        <v>690</v>
      </c>
      <c r="E4644" t="s">
        <v>720</v>
      </c>
      <c r="F4644">
        <v>11</v>
      </c>
      <c r="G4644">
        <v>11.525733333333299</v>
      </c>
    </row>
    <row r="4645" spans="1:7" x14ac:dyDescent="0.35">
      <c r="A4645" t="s">
        <v>847</v>
      </c>
      <c r="B4645" t="s">
        <v>680</v>
      </c>
      <c r="C4645" s="83">
        <v>46171</v>
      </c>
      <c r="D4645" t="s">
        <v>690</v>
      </c>
      <c r="E4645" t="s">
        <v>316</v>
      </c>
      <c r="F4645">
        <v>4</v>
      </c>
      <c r="G4645">
        <v>2.3349833333333301</v>
      </c>
    </row>
    <row r="4646" spans="1:7" x14ac:dyDescent="0.35">
      <c r="A4646" t="s">
        <v>847</v>
      </c>
      <c r="B4646" t="s">
        <v>680</v>
      </c>
      <c r="C4646" s="83">
        <v>46171</v>
      </c>
      <c r="D4646" t="s">
        <v>685</v>
      </c>
      <c r="E4646" t="s">
        <v>720</v>
      </c>
      <c r="F4646">
        <v>17</v>
      </c>
      <c r="G4646">
        <v>40.670349999999999</v>
      </c>
    </row>
    <row r="4647" spans="1:7" x14ac:dyDescent="0.35">
      <c r="A4647" t="s">
        <v>847</v>
      </c>
      <c r="B4647" t="s">
        <v>680</v>
      </c>
      <c r="C4647" s="83">
        <v>46171</v>
      </c>
      <c r="D4647" t="s">
        <v>685</v>
      </c>
      <c r="E4647" t="s">
        <v>311</v>
      </c>
      <c r="F4647">
        <v>9</v>
      </c>
      <c r="G4647">
        <v>4.5082500000000003</v>
      </c>
    </row>
    <row r="4648" spans="1:7" x14ac:dyDescent="0.35">
      <c r="A4648" t="s">
        <v>847</v>
      </c>
      <c r="B4648" t="s">
        <v>680</v>
      </c>
      <c r="C4648" s="83">
        <v>46171</v>
      </c>
      <c r="D4648" t="s">
        <v>685</v>
      </c>
      <c r="E4648" t="s">
        <v>732</v>
      </c>
      <c r="F4648">
        <v>8</v>
      </c>
      <c r="G4648">
        <v>61.860399999999998</v>
      </c>
    </row>
    <row r="4649" spans="1:7" x14ac:dyDescent="0.35">
      <c r="A4649" t="s">
        <v>847</v>
      </c>
      <c r="B4649" t="s">
        <v>680</v>
      </c>
      <c r="C4649" s="83">
        <v>46172</v>
      </c>
      <c r="D4649" t="s">
        <v>681</v>
      </c>
      <c r="E4649" t="s">
        <v>296</v>
      </c>
      <c r="F4649">
        <v>43</v>
      </c>
      <c r="G4649">
        <v>14.829983333333301</v>
      </c>
    </row>
    <row r="4650" spans="1:7" x14ac:dyDescent="0.35">
      <c r="A4650" t="s">
        <v>847</v>
      </c>
      <c r="B4650" t="s">
        <v>680</v>
      </c>
      <c r="C4650" s="83">
        <v>46172</v>
      </c>
      <c r="D4650" t="s">
        <v>681</v>
      </c>
      <c r="E4650" t="s">
        <v>297</v>
      </c>
      <c r="F4650">
        <v>8</v>
      </c>
      <c r="G4650">
        <v>1.65438333333333</v>
      </c>
    </row>
    <row r="4651" spans="1:7" x14ac:dyDescent="0.35">
      <c r="A4651" t="s">
        <v>847</v>
      </c>
      <c r="B4651" t="s">
        <v>680</v>
      </c>
      <c r="C4651" s="83">
        <v>46172</v>
      </c>
      <c r="D4651" t="s">
        <v>681</v>
      </c>
      <c r="E4651" t="s">
        <v>298</v>
      </c>
      <c r="F4651">
        <v>8</v>
      </c>
      <c r="G4651">
        <v>9.9910166666666704</v>
      </c>
    </row>
    <row r="4652" spans="1:7" x14ac:dyDescent="0.35">
      <c r="A4652" t="s">
        <v>847</v>
      </c>
      <c r="B4652" t="s">
        <v>680</v>
      </c>
      <c r="C4652" s="83">
        <v>46172</v>
      </c>
      <c r="D4652" t="s">
        <v>683</v>
      </c>
      <c r="E4652" t="s">
        <v>296</v>
      </c>
      <c r="F4652">
        <v>11</v>
      </c>
      <c r="G4652">
        <v>5.4862833333333301</v>
      </c>
    </row>
    <row r="4653" spans="1:7" x14ac:dyDescent="0.35">
      <c r="A4653" t="s">
        <v>847</v>
      </c>
      <c r="B4653" t="s">
        <v>680</v>
      </c>
      <c r="C4653" s="83">
        <v>46172</v>
      </c>
      <c r="D4653" t="s">
        <v>683</v>
      </c>
      <c r="E4653" t="s">
        <v>300</v>
      </c>
      <c r="F4653">
        <v>7</v>
      </c>
      <c r="G4653">
        <v>2.65973333333333</v>
      </c>
    </row>
    <row r="4654" spans="1:7" x14ac:dyDescent="0.35">
      <c r="A4654" t="s">
        <v>847</v>
      </c>
      <c r="B4654" t="s">
        <v>680</v>
      </c>
      <c r="C4654" s="83">
        <v>46172</v>
      </c>
      <c r="D4654" t="s">
        <v>683</v>
      </c>
      <c r="E4654" t="s">
        <v>298</v>
      </c>
      <c r="F4654">
        <v>7</v>
      </c>
      <c r="G4654">
        <v>5.8410833333333301</v>
      </c>
    </row>
    <row r="4655" spans="1:7" x14ac:dyDescent="0.35">
      <c r="A4655" t="s">
        <v>847</v>
      </c>
      <c r="B4655" t="s">
        <v>680</v>
      </c>
      <c r="C4655" s="83">
        <v>46172</v>
      </c>
      <c r="D4655" t="s">
        <v>689</v>
      </c>
      <c r="E4655" t="s">
        <v>296</v>
      </c>
      <c r="F4655">
        <v>33</v>
      </c>
      <c r="G4655">
        <v>20.6789666666667</v>
      </c>
    </row>
    <row r="4656" spans="1:7" x14ac:dyDescent="0.35">
      <c r="A4656" t="s">
        <v>847</v>
      </c>
      <c r="B4656" t="s">
        <v>680</v>
      </c>
      <c r="C4656" s="83">
        <v>46172</v>
      </c>
      <c r="D4656" t="s">
        <v>689</v>
      </c>
      <c r="E4656" t="s">
        <v>298</v>
      </c>
      <c r="F4656">
        <v>8</v>
      </c>
      <c r="G4656">
        <v>3.9870333333333301</v>
      </c>
    </row>
    <row r="4657" spans="1:7" x14ac:dyDescent="0.35">
      <c r="A4657" t="s">
        <v>847</v>
      </c>
      <c r="B4657" t="s">
        <v>680</v>
      </c>
      <c r="C4657" s="83">
        <v>46172</v>
      </c>
      <c r="D4657" t="s">
        <v>689</v>
      </c>
      <c r="E4657" t="s">
        <v>334</v>
      </c>
      <c r="F4657">
        <v>5</v>
      </c>
      <c r="G4657">
        <v>3.3355999999999999</v>
      </c>
    </row>
    <row r="4658" spans="1:7" x14ac:dyDescent="0.35">
      <c r="A4658" t="s">
        <v>847</v>
      </c>
      <c r="B4658" t="s">
        <v>680</v>
      </c>
      <c r="C4658" s="83">
        <v>46172</v>
      </c>
      <c r="D4658" t="s">
        <v>684</v>
      </c>
      <c r="E4658" t="s">
        <v>300</v>
      </c>
      <c r="F4658">
        <v>5</v>
      </c>
      <c r="G4658">
        <v>3.0075500000000002</v>
      </c>
    </row>
    <row r="4659" spans="1:7" x14ac:dyDescent="0.35">
      <c r="A4659" t="s">
        <v>847</v>
      </c>
      <c r="B4659" t="s">
        <v>680</v>
      </c>
      <c r="C4659" s="83">
        <v>46172</v>
      </c>
      <c r="D4659" t="s">
        <v>684</v>
      </c>
      <c r="E4659" t="s">
        <v>304</v>
      </c>
      <c r="F4659">
        <v>2</v>
      </c>
      <c r="G4659">
        <v>0.16691666666666699</v>
      </c>
    </row>
    <row r="4660" spans="1:7" x14ac:dyDescent="0.35">
      <c r="A4660" t="s">
        <v>847</v>
      </c>
      <c r="B4660" t="s">
        <v>680</v>
      </c>
      <c r="C4660" s="83">
        <v>46172</v>
      </c>
      <c r="D4660" t="s">
        <v>684</v>
      </c>
      <c r="E4660" t="s">
        <v>334</v>
      </c>
      <c r="F4660">
        <v>2</v>
      </c>
      <c r="G4660">
        <v>0.50034999999999996</v>
      </c>
    </row>
    <row r="4661" spans="1:7" x14ac:dyDescent="0.35">
      <c r="A4661" t="s">
        <v>847</v>
      </c>
      <c r="B4661" t="s">
        <v>680</v>
      </c>
      <c r="C4661" s="83">
        <v>46172</v>
      </c>
      <c r="D4661" t="s">
        <v>687</v>
      </c>
      <c r="E4661" t="s">
        <v>746</v>
      </c>
      <c r="F4661">
        <v>5</v>
      </c>
      <c r="G4661">
        <v>9.8370666666666704</v>
      </c>
    </row>
    <row r="4662" spans="1:7" x14ac:dyDescent="0.35">
      <c r="A4662" t="s">
        <v>847</v>
      </c>
      <c r="B4662" t="s">
        <v>680</v>
      </c>
      <c r="C4662" s="83">
        <v>46172</v>
      </c>
      <c r="D4662" t="s">
        <v>687</v>
      </c>
      <c r="E4662" t="s">
        <v>717</v>
      </c>
      <c r="F4662">
        <v>4</v>
      </c>
      <c r="G4662">
        <v>2.1661333333333301</v>
      </c>
    </row>
    <row r="4663" spans="1:7" x14ac:dyDescent="0.35">
      <c r="A4663" t="s">
        <v>847</v>
      </c>
      <c r="B4663" t="s">
        <v>680</v>
      </c>
      <c r="C4663" s="83">
        <v>46172</v>
      </c>
      <c r="D4663" t="s">
        <v>687</v>
      </c>
      <c r="E4663" t="s">
        <v>745</v>
      </c>
      <c r="F4663">
        <v>2</v>
      </c>
      <c r="G4663">
        <v>4.8321666666666703</v>
      </c>
    </row>
    <row r="4664" spans="1:7" x14ac:dyDescent="0.35">
      <c r="A4664" t="s">
        <v>847</v>
      </c>
      <c r="B4664" t="s">
        <v>680</v>
      </c>
      <c r="C4664" s="83">
        <v>46172</v>
      </c>
      <c r="D4664" t="s">
        <v>688</v>
      </c>
      <c r="E4664" t="s">
        <v>316</v>
      </c>
      <c r="F4664">
        <v>5</v>
      </c>
      <c r="G4664">
        <v>1.68183333333333</v>
      </c>
    </row>
    <row r="4665" spans="1:7" x14ac:dyDescent="0.35">
      <c r="A4665" t="s">
        <v>847</v>
      </c>
      <c r="B4665" t="s">
        <v>680</v>
      </c>
      <c r="C4665" s="83">
        <v>46172</v>
      </c>
      <c r="D4665" t="s">
        <v>688</v>
      </c>
      <c r="E4665" t="s">
        <v>311</v>
      </c>
      <c r="F4665">
        <v>3</v>
      </c>
      <c r="G4665">
        <v>0.65868333333333295</v>
      </c>
    </row>
    <row r="4666" spans="1:7" x14ac:dyDescent="0.35">
      <c r="A4666" t="s">
        <v>847</v>
      </c>
      <c r="B4666" t="s">
        <v>680</v>
      </c>
      <c r="C4666" s="83">
        <v>46172</v>
      </c>
      <c r="D4666" t="s">
        <v>688</v>
      </c>
      <c r="E4666" t="s">
        <v>321</v>
      </c>
      <c r="F4666">
        <v>2</v>
      </c>
      <c r="G4666">
        <v>0.16669999999999999</v>
      </c>
    </row>
    <row r="4667" spans="1:7" x14ac:dyDescent="0.35">
      <c r="A4667" t="s">
        <v>847</v>
      </c>
      <c r="B4667" t="s">
        <v>680</v>
      </c>
      <c r="C4667" s="83">
        <v>46172</v>
      </c>
      <c r="D4667" t="s">
        <v>690</v>
      </c>
      <c r="E4667" t="s">
        <v>312</v>
      </c>
      <c r="F4667">
        <v>5</v>
      </c>
      <c r="G4667">
        <v>3.01548333333333</v>
      </c>
    </row>
    <row r="4668" spans="1:7" x14ac:dyDescent="0.35">
      <c r="A4668" t="s">
        <v>847</v>
      </c>
      <c r="B4668" t="s">
        <v>680</v>
      </c>
      <c r="C4668" s="83">
        <v>46172</v>
      </c>
      <c r="D4668" t="s">
        <v>690</v>
      </c>
      <c r="E4668" t="s">
        <v>126</v>
      </c>
      <c r="F4668">
        <v>3</v>
      </c>
      <c r="G4668">
        <v>1.33385</v>
      </c>
    </row>
    <row r="4669" spans="1:7" x14ac:dyDescent="0.35">
      <c r="A4669" t="s">
        <v>847</v>
      </c>
      <c r="B4669" t="s">
        <v>680</v>
      </c>
      <c r="C4669" s="83">
        <v>46172</v>
      </c>
      <c r="D4669" t="s">
        <v>690</v>
      </c>
      <c r="E4669" t="s">
        <v>322</v>
      </c>
      <c r="F4669">
        <v>2</v>
      </c>
      <c r="G4669">
        <v>0.16671666666666701</v>
      </c>
    </row>
    <row r="4670" spans="1:7" x14ac:dyDescent="0.35">
      <c r="A4670" t="s">
        <v>847</v>
      </c>
      <c r="B4670" t="s">
        <v>680</v>
      </c>
      <c r="C4670" s="83">
        <v>46172</v>
      </c>
      <c r="D4670" t="s">
        <v>685</v>
      </c>
      <c r="E4670" t="s">
        <v>316</v>
      </c>
      <c r="F4670">
        <v>6</v>
      </c>
      <c r="G4670">
        <v>4.1751166666666704</v>
      </c>
    </row>
    <row r="4671" spans="1:7" x14ac:dyDescent="0.35">
      <c r="A4671" t="s">
        <v>847</v>
      </c>
      <c r="B4671" t="s">
        <v>680</v>
      </c>
      <c r="C4671" s="83">
        <v>46172</v>
      </c>
      <c r="D4671" t="s">
        <v>685</v>
      </c>
      <c r="E4671" t="s">
        <v>720</v>
      </c>
      <c r="F4671">
        <v>5</v>
      </c>
      <c r="G4671">
        <v>3.1656666666666702</v>
      </c>
    </row>
    <row r="4672" spans="1:7" x14ac:dyDescent="0.35">
      <c r="A4672" t="s">
        <v>847</v>
      </c>
      <c r="B4672" t="s">
        <v>680</v>
      </c>
      <c r="C4672" s="83">
        <v>46172</v>
      </c>
      <c r="D4672" t="s">
        <v>685</v>
      </c>
      <c r="E4672" t="s">
        <v>338</v>
      </c>
      <c r="F4672">
        <v>4</v>
      </c>
      <c r="G4672">
        <v>4.3272833333333303</v>
      </c>
    </row>
    <row r="4673" spans="1:7" x14ac:dyDescent="0.35">
      <c r="A4673" t="s">
        <v>847</v>
      </c>
      <c r="B4673" t="s">
        <v>680</v>
      </c>
      <c r="C4673" s="83">
        <v>46173</v>
      </c>
      <c r="D4673" t="s">
        <v>681</v>
      </c>
      <c r="E4673" t="s">
        <v>296</v>
      </c>
      <c r="F4673">
        <v>60</v>
      </c>
      <c r="G4673">
        <v>25.847249999999999</v>
      </c>
    </row>
    <row r="4674" spans="1:7" x14ac:dyDescent="0.35">
      <c r="A4674" t="s">
        <v>847</v>
      </c>
      <c r="B4674" t="s">
        <v>680</v>
      </c>
      <c r="C4674" s="83">
        <v>46173</v>
      </c>
      <c r="D4674" t="s">
        <v>681</v>
      </c>
      <c r="E4674" t="s">
        <v>297</v>
      </c>
      <c r="F4674">
        <v>10</v>
      </c>
      <c r="G4674">
        <v>3.1591666666666698</v>
      </c>
    </row>
    <row r="4675" spans="1:7" x14ac:dyDescent="0.35">
      <c r="A4675" t="s">
        <v>847</v>
      </c>
      <c r="B4675" t="s">
        <v>680</v>
      </c>
      <c r="C4675" s="83">
        <v>46173</v>
      </c>
      <c r="D4675" t="s">
        <v>681</v>
      </c>
      <c r="E4675" t="s">
        <v>334</v>
      </c>
      <c r="F4675">
        <v>5</v>
      </c>
      <c r="G4675">
        <v>3.9869833333333302</v>
      </c>
    </row>
    <row r="4676" spans="1:7" x14ac:dyDescent="0.35">
      <c r="A4676" t="s">
        <v>847</v>
      </c>
      <c r="B4676" t="s">
        <v>680</v>
      </c>
      <c r="C4676" s="83">
        <v>46173</v>
      </c>
      <c r="D4676" t="s">
        <v>683</v>
      </c>
      <c r="E4676" t="s">
        <v>296</v>
      </c>
      <c r="F4676">
        <v>13</v>
      </c>
      <c r="G4676">
        <v>20.846399999999999</v>
      </c>
    </row>
    <row r="4677" spans="1:7" x14ac:dyDescent="0.35">
      <c r="A4677" t="s">
        <v>847</v>
      </c>
      <c r="B4677" t="s">
        <v>680</v>
      </c>
      <c r="C4677" s="83">
        <v>46173</v>
      </c>
      <c r="D4677" t="s">
        <v>683</v>
      </c>
      <c r="E4677" t="s">
        <v>298</v>
      </c>
      <c r="F4677">
        <v>12</v>
      </c>
      <c r="G4677">
        <v>16.847383333333301</v>
      </c>
    </row>
    <row r="4678" spans="1:7" x14ac:dyDescent="0.35">
      <c r="A4678" t="s">
        <v>847</v>
      </c>
      <c r="B4678" t="s">
        <v>680</v>
      </c>
      <c r="C4678" s="83">
        <v>46173</v>
      </c>
      <c r="D4678" t="s">
        <v>683</v>
      </c>
      <c r="E4678" t="s">
        <v>300</v>
      </c>
      <c r="F4678">
        <v>5</v>
      </c>
      <c r="G4678">
        <v>3.1669666666666698</v>
      </c>
    </row>
    <row r="4679" spans="1:7" x14ac:dyDescent="0.35">
      <c r="A4679" t="s">
        <v>847</v>
      </c>
      <c r="B4679" t="s">
        <v>680</v>
      </c>
      <c r="C4679" s="83">
        <v>46173</v>
      </c>
      <c r="D4679" t="s">
        <v>689</v>
      </c>
      <c r="E4679" t="s">
        <v>296</v>
      </c>
      <c r="F4679">
        <v>12</v>
      </c>
      <c r="G4679">
        <v>8.0017833333333304</v>
      </c>
    </row>
    <row r="4680" spans="1:7" x14ac:dyDescent="0.35">
      <c r="A4680" t="s">
        <v>847</v>
      </c>
      <c r="B4680" t="s">
        <v>680</v>
      </c>
      <c r="C4680" s="83">
        <v>46173</v>
      </c>
      <c r="D4680" t="s">
        <v>689</v>
      </c>
      <c r="E4680" t="s">
        <v>298</v>
      </c>
      <c r="F4680">
        <v>7</v>
      </c>
      <c r="G4680">
        <v>3.3351000000000002</v>
      </c>
    </row>
    <row r="4681" spans="1:7" x14ac:dyDescent="0.35">
      <c r="A4681" t="s">
        <v>847</v>
      </c>
      <c r="B4681" t="s">
        <v>680</v>
      </c>
      <c r="C4681" s="83">
        <v>46173</v>
      </c>
      <c r="D4681" t="s">
        <v>689</v>
      </c>
      <c r="E4681" t="s">
        <v>737</v>
      </c>
      <c r="F4681">
        <v>3</v>
      </c>
      <c r="G4681">
        <v>1.17481666666667</v>
      </c>
    </row>
    <row r="4682" spans="1:7" x14ac:dyDescent="0.35">
      <c r="A4682" t="s">
        <v>847</v>
      </c>
      <c r="B4682" t="s">
        <v>680</v>
      </c>
      <c r="C4682" s="83">
        <v>46173</v>
      </c>
      <c r="D4682" t="s">
        <v>684</v>
      </c>
      <c r="E4682" t="s">
        <v>296</v>
      </c>
      <c r="F4682">
        <v>4</v>
      </c>
      <c r="G4682">
        <v>1.6653166666666701</v>
      </c>
    </row>
    <row r="4683" spans="1:7" x14ac:dyDescent="0.35">
      <c r="A4683" t="s">
        <v>847</v>
      </c>
      <c r="B4683" t="s">
        <v>680</v>
      </c>
      <c r="C4683" s="83">
        <v>46173</v>
      </c>
      <c r="D4683" t="s">
        <v>684</v>
      </c>
      <c r="E4683" t="s">
        <v>300</v>
      </c>
      <c r="F4683">
        <v>3</v>
      </c>
      <c r="G4683">
        <v>2.4836666666666698</v>
      </c>
    </row>
    <row r="4684" spans="1:7" x14ac:dyDescent="0.35">
      <c r="A4684" t="s">
        <v>847</v>
      </c>
      <c r="B4684" t="s">
        <v>680</v>
      </c>
      <c r="C4684" s="83">
        <v>46173</v>
      </c>
      <c r="D4684" t="s">
        <v>684</v>
      </c>
      <c r="E4684" t="s">
        <v>334</v>
      </c>
      <c r="F4684">
        <v>2</v>
      </c>
      <c r="G4684">
        <v>0.50026666666666697</v>
      </c>
    </row>
    <row r="4685" spans="1:7" x14ac:dyDescent="0.35">
      <c r="A4685" t="s">
        <v>847</v>
      </c>
      <c r="B4685" t="s">
        <v>680</v>
      </c>
      <c r="C4685" s="83">
        <v>46173</v>
      </c>
      <c r="D4685" t="s">
        <v>687</v>
      </c>
      <c r="E4685" t="s">
        <v>733</v>
      </c>
      <c r="F4685">
        <v>5</v>
      </c>
      <c r="G4685">
        <v>1.6595166666666701</v>
      </c>
    </row>
    <row r="4686" spans="1:7" x14ac:dyDescent="0.35">
      <c r="A4686" t="s">
        <v>847</v>
      </c>
      <c r="B4686" t="s">
        <v>680</v>
      </c>
      <c r="C4686" s="83">
        <v>46173</v>
      </c>
      <c r="D4686" t="s">
        <v>687</v>
      </c>
      <c r="E4686" t="s">
        <v>718</v>
      </c>
      <c r="F4686">
        <v>2</v>
      </c>
      <c r="G4686">
        <v>0.333633333333333</v>
      </c>
    </row>
    <row r="4687" spans="1:7" x14ac:dyDescent="0.35">
      <c r="A4687" t="s">
        <v>847</v>
      </c>
      <c r="B4687" t="s">
        <v>680</v>
      </c>
      <c r="C4687" s="83">
        <v>46173</v>
      </c>
      <c r="D4687" t="s">
        <v>687</v>
      </c>
      <c r="E4687" t="s">
        <v>717</v>
      </c>
      <c r="F4687">
        <v>2</v>
      </c>
      <c r="G4687">
        <v>1.8325166666666699</v>
      </c>
    </row>
    <row r="4688" spans="1:7" x14ac:dyDescent="0.35">
      <c r="A4688" t="s">
        <v>847</v>
      </c>
      <c r="B4688" t="s">
        <v>680</v>
      </c>
      <c r="C4688" s="83">
        <v>46173</v>
      </c>
      <c r="D4688" t="s">
        <v>688</v>
      </c>
      <c r="E4688" t="s">
        <v>316</v>
      </c>
      <c r="F4688">
        <v>3</v>
      </c>
      <c r="G4688">
        <v>3.50095</v>
      </c>
    </row>
    <row r="4689" spans="1:7" x14ac:dyDescent="0.35">
      <c r="A4689" t="s">
        <v>847</v>
      </c>
      <c r="B4689" t="s">
        <v>680</v>
      </c>
      <c r="C4689" s="83">
        <v>46173</v>
      </c>
      <c r="D4689" t="s">
        <v>688</v>
      </c>
      <c r="E4689" t="s">
        <v>311</v>
      </c>
      <c r="F4689">
        <v>3</v>
      </c>
      <c r="G4689">
        <v>0.66741666666666699</v>
      </c>
    </row>
    <row r="4690" spans="1:7" x14ac:dyDescent="0.35">
      <c r="A4690" t="s">
        <v>847</v>
      </c>
      <c r="B4690" t="s">
        <v>680</v>
      </c>
      <c r="C4690" s="83">
        <v>46173</v>
      </c>
      <c r="D4690" t="s">
        <v>688</v>
      </c>
      <c r="E4690" t="s">
        <v>321</v>
      </c>
      <c r="F4690">
        <v>2</v>
      </c>
      <c r="G4690">
        <v>0.166833333333333</v>
      </c>
    </row>
    <row r="4691" spans="1:7" x14ac:dyDescent="0.35">
      <c r="A4691" t="s">
        <v>847</v>
      </c>
      <c r="B4691" t="s">
        <v>680</v>
      </c>
      <c r="C4691" s="83">
        <v>46173</v>
      </c>
      <c r="D4691" t="s">
        <v>690</v>
      </c>
      <c r="E4691" t="s">
        <v>321</v>
      </c>
      <c r="F4691">
        <v>10</v>
      </c>
      <c r="G4691">
        <v>81.1828</v>
      </c>
    </row>
    <row r="4692" spans="1:7" x14ac:dyDescent="0.35">
      <c r="A4692" t="s">
        <v>847</v>
      </c>
      <c r="B4692" t="s">
        <v>680</v>
      </c>
      <c r="C4692" s="83">
        <v>46173</v>
      </c>
      <c r="D4692" t="s">
        <v>690</v>
      </c>
      <c r="E4692" t="s">
        <v>316</v>
      </c>
      <c r="F4692">
        <v>7</v>
      </c>
      <c r="G4692">
        <v>4.1494166666666699</v>
      </c>
    </row>
    <row r="4693" spans="1:7" x14ac:dyDescent="0.35">
      <c r="A4693" t="s">
        <v>847</v>
      </c>
      <c r="B4693" t="s">
        <v>680</v>
      </c>
      <c r="C4693" s="83">
        <v>46173</v>
      </c>
      <c r="D4693" t="s">
        <v>690</v>
      </c>
      <c r="E4693" t="s">
        <v>312</v>
      </c>
      <c r="F4693">
        <v>6</v>
      </c>
      <c r="G4693">
        <v>4.1819166666666696</v>
      </c>
    </row>
    <row r="4694" spans="1:7" x14ac:dyDescent="0.35">
      <c r="A4694" t="s">
        <v>847</v>
      </c>
      <c r="B4694" t="s">
        <v>680</v>
      </c>
      <c r="C4694" s="83">
        <v>46173</v>
      </c>
      <c r="D4694" t="s">
        <v>685</v>
      </c>
      <c r="E4694" t="s">
        <v>720</v>
      </c>
      <c r="F4694">
        <v>7</v>
      </c>
      <c r="G4694">
        <v>44.664916666666699</v>
      </c>
    </row>
    <row r="4695" spans="1:7" x14ac:dyDescent="0.35">
      <c r="A4695" t="s">
        <v>847</v>
      </c>
      <c r="B4695" t="s">
        <v>680</v>
      </c>
      <c r="C4695" s="83">
        <v>46173</v>
      </c>
      <c r="D4695" t="s">
        <v>685</v>
      </c>
      <c r="E4695" t="s">
        <v>312</v>
      </c>
      <c r="F4695">
        <v>5</v>
      </c>
      <c r="G4695">
        <v>1.4934666666666701</v>
      </c>
    </row>
    <row r="4696" spans="1:7" x14ac:dyDescent="0.35">
      <c r="A4696" t="s">
        <v>847</v>
      </c>
      <c r="B4696" t="s">
        <v>680</v>
      </c>
      <c r="C4696" s="83">
        <v>46173</v>
      </c>
      <c r="D4696" t="s">
        <v>685</v>
      </c>
      <c r="E4696" t="s">
        <v>723</v>
      </c>
      <c r="F4696">
        <v>3</v>
      </c>
      <c r="G4696">
        <v>2.3204500000000001</v>
      </c>
    </row>
    <row r="4697" spans="1:7" x14ac:dyDescent="0.35">
      <c r="A4697" t="s">
        <v>847</v>
      </c>
      <c r="B4697" t="s">
        <v>680</v>
      </c>
      <c r="C4697" s="83">
        <v>46174</v>
      </c>
      <c r="D4697" t="s">
        <v>681</v>
      </c>
      <c r="E4697" t="s">
        <v>298</v>
      </c>
      <c r="F4697">
        <v>22</v>
      </c>
      <c r="G4697">
        <v>34.900700000000001</v>
      </c>
    </row>
    <row r="4698" spans="1:7" x14ac:dyDescent="0.35">
      <c r="A4698" t="s">
        <v>847</v>
      </c>
      <c r="B4698" t="s">
        <v>680</v>
      </c>
      <c r="C4698" s="83">
        <v>46174</v>
      </c>
      <c r="D4698" t="s">
        <v>681</v>
      </c>
      <c r="E4698" t="s">
        <v>296</v>
      </c>
      <c r="F4698">
        <v>11</v>
      </c>
      <c r="G4698">
        <v>24.319016666666698</v>
      </c>
    </row>
    <row r="4699" spans="1:7" x14ac:dyDescent="0.35">
      <c r="A4699" t="s">
        <v>847</v>
      </c>
      <c r="B4699" t="s">
        <v>680</v>
      </c>
      <c r="C4699" s="83">
        <v>46174</v>
      </c>
      <c r="D4699" t="s">
        <v>681</v>
      </c>
      <c r="E4699" t="s">
        <v>334</v>
      </c>
      <c r="F4699">
        <v>7</v>
      </c>
      <c r="G4699">
        <v>3.3342833333333299</v>
      </c>
    </row>
    <row r="4700" spans="1:7" x14ac:dyDescent="0.35">
      <c r="A4700" t="s">
        <v>847</v>
      </c>
      <c r="B4700" t="s">
        <v>680</v>
      </c>
      <c r="C4700" s="83">
        <v>46174</v>
      </c>
      <c r="D4700" t="s">
        <v>683</v>
      </c>
      <c r="E4700" t="s">
        <v>298</v>
      </c>
      <c r="F4700">
        <v>16</v>
      </c>
      <c r="G4700">
        <v>22.704933333333301</v>
      </c>
    </row>
    <row r="4701" spans="1:7" x14ac:dyDescent="0.35">
      <c r="A4701" t="s">
        <v>847</v>
      </c>
      <c r="B4701" t="s">
        <v>680</v>
      </c>
      <c r="C4701" s="83">
        <v>46174</v>
      </c>
      <c r="D4701" t="s">
        <v>683</v>
      </c>
      <c r="E4701" t="s">
        <v>296</v>
      </c>
      <c r="F4701">
        <v>10</v>
      </c>
      <c r="G4701">
        <v>2.2912166666666698</v>
      </c>
    </row>
    <row r="4702" spans="1:7" x14ac:dyDescent="0.35">
      <c r="A4702" t="s">
        <v>847</v>
      </c>
      <c r="B4702" t="s">
        <v>680</v>
      </c>
      <c r="C4702" s="83">
        <v>46174</v>
      </c>
      <c r="D4702" t="s">
        <v>683</v>
      </c>
      <c r="E4702" t="s">
        <v>300</v>
      </c>
      <c r="F4702">
        <v>7</v>
      </c>
      <c r="G4702">
        <v>15.196016666666701</v>
      </c>
    </row>
    <row r="4703" spans="1:7" x14ac:dyDescent="0.35">
      <c r="A4703" t="s">
        <v>847</v>
      </c>
      <c r="B4703" t="s">
        <v>680</v>
      </c>
      <c r="C4703" s="83">
        <v>46174</v>
      </c>
      <c r="D4703" t="s">
        <v>689</v>
      </c>
      <c r="E4703" t="s">
        <v>300</v>
      </c>
      <c r="F4703">
        <v>11</v>
      </c>
      <c r="G4703">
        <v>9.5196500000000004</v>
      </c>
    </row>
    <row r="4704" spans="1:7" x14ac:dyDescent="0.35">
      <c r="A4704" t="s">
        <v>847</v>
      </c>
      <c r="B4704" t="s">
        <v>680</v>
      </c>
      <c r="C4704" s="83">
        <v>46174</v>
      </c>
      <c r="D4704" t="s">
        <v>689</v>
      </c>
      <c r="E4704" t="s">
        <v>297</v>
      </c>
      <c r="F4704">
        <v>9</v>
      </c>
      <c r="G4704">
        <v>6.4436166666666699</v>
      </c>
    </row>
    <row r="4705" spans="1:7" x14ac:dyDescent="0.35">
      <c r="A4705" t="s">
        <v>847</v>
      </c>
      <c r="B4705" t="s">
        <v>680</v>
      </c>
      <c r="C4705" s="83">
        <v>46174</v>
      </c>
      <c r="D4705" t="s">
        <v>689</v>
      </c>
      <c r="E4705" t="s">
        <v>298</v>
      </c>
      <c r="F4705">
        <v>7</v>
      </c>
      <c r="G4705">
        <v>3.8423500000000002</v>
      </c>
    </row>
    <row r="4706" spans="1:7" x14ac:dyDescent="0.35">
      <c r="A4706" t="s">
        <v>847</v>
      </c>
      <c r="B4706" t="s">
        <v>680</v>
      </c>
      <c r="C4706" s="83">
        <v>46174</v>
      </c>
      <c r="D4706" t="s">
        <v>684</v>
      </c>
      <c r="E4706" t="s">
        <v>300</v>
      </c>
      <c r="F4706">
        <v>4</v>
      </c>
      <c r="G4706">
        <v>5.5053999999999998</v>
      </c>
    </row>
    <row r="4707" spans="1:7" x14ac:dyDescent="0.35">
      <c r="A4707" t="s">
        <v>847</v>
      </c>
      <c r="B4707" t="s">
        <v>680</v>
      </c>
      <c r="C4707" s="83">
        <v>46174</v>
      </c>
      <c r="D4707" t="s">
        <v>684</v>
      </c>
      <c r="E4707" t="s">
        <v>296</v>
      </c>
      <c r="F4707">
        <v>4</v>
      </c>
      <c r="G4707">
        <v>1.0004999999999999</v>
      </c>
    </row>
    <row r="4708" spans="1:7" x14ac:dyDescent="0.35">
      <c r="A4708" t="s">
        <v>847</v>
      </c>
      <c r="B4708" t="s">
        <v>680</v>
      </c>
      <c r="C4708" s="83">
        <v>46174</v>
      </c>
      <c r="D4708" t="s">
        <v>684</v>
      </c>
      <c r="E4708" t="s">
        <v>298</v>
      </c>
      <c r="F4708">
        <v>4</v>
      </c>
      <c r="G4708">
        <v>4.5214333333333299</v>
      </c>
    </row>
    <row r="4709" spans="1:7" x14ac:dyDescent="0.35">
      <c r="A4709" t="s">
        <v>847</v>
      </c>
      <c r="B4709" t="s">
        <v>680</v>
      </c>
      <c r="C4709" s="83">
        <v>46174</v>
      </c>
      <c r="D4709" t="s">
        <v>687</v>
      </c>
      <c r="E4709" t="s">
        <v>746</v>
      </c>
      <c r="F4709">
        <v>6</v>
      </c>
      <c r="G4709">
        <v>7.3789166666666697</v>
      </c>
    </row>
    <row r="4710" spans="1:7" x14ac:dyDescent="0.35">
      <c r="A4710" t="s">
        <v>847</v>
      </c>
      <c r="B4710" t="s">
        <v>680</v>
      </c>
      <c r="C4710" s="83">
        <v>46174</v>
      </c>
      <c r="D4710" t="s">
        <v>687</v>
      </c>
      <c r="E4710" t="s">
        <v>717</v>
      </c>
      <c r="F4710">
        <v>4</v>
      </c>
      <c r="G4710">
        <v>3.1897000000000002</v>
      </c>
    </row>
    <row r="4711" spans="1:7" x14ac:dyDescent="0.35">
      <c r="A4711" t="s">
        <v>847</v>
      </c>
      <c r="B4711" t="s">
        <v>680</v>
      </c>
      <c r="C4711" s="83">
        <v>46174</v>
      </c>
      <c r="D4711" t="s">
        <v>687</v>
      </c>
      <c r="E4711" t="s">
        <v>733</v>
      </c>
      <c r="F4711">
        <v>3</v>
      </c>
      <c r="G4711">
        <v>2.5245333333333302</v>
      </c>
    </row>
    <row r="4712" spans="1:7" x14ac:dyDescent="0.35">
      <c r="A4712" t="s">
        <v>847</v>
      </c>
      <c r="B4712" t="s">
        <v>680</v>
      </c>
      <c r="C4712" s="83">
        <v>46174</v>
      </c>
      <c r="D4712" t="s">
        <v>688</v>
      </c>
      <c r="E4712" t="s">
        <v>338</v>
      </c>
      <c r="F4712">
        <v>10</v>
      </c>
      <c r="G4712">
        <v>4.1897333333333302</v>
      </c>
    </row>
    <row r="4713" spans="1:7" x14ac:dyDescent="0.35">
      <c r="A4713" t="s">
        <v>847</v>
      </c>
      <c r="B4713" t="s">
        <v>680</v>
      </c>
      <c r="C4713" s="83">
        <v>46174</v>
      </c>
      <c r="D4713" t="s">
        <v>688</v>
      </c>
      <c r="E4713" t="s">
        <v>751</v>
      </c>
      <c r="F4713">
        <v>4</v>
      </c>
      <c r="G4713">
        <v>9.4913833333333297</v>
      </c>
    </row>
    <row r="4714" spans="1:7" x14ac:dyDescent="0.35">
      <c r="A4714" t="s">
        <v>847</v>
      </c>
      <c r="B4714" t="s">
        <v>680</v>
      </c>
      <c r="C4714" s="83">
        <v>46174</v>
      </c>
      <c r="D4714" t="s">
        <v>688</v>
      </c>
      <c r="E4714" t="s">
        <v>312</v>
      </c>
      <c r="F4714">
        <v>4</v>
      </c>
      <c r="G4714">
        <v>7.8424833333333304</v>
      </c>
    </row>
    <row r="4715" spans="1:7" x14ac:dyDescent="0.35">
      <c r="A4715" t="s">
        <v>847</v>
      </c>
      <c r="B4715" t="s">
        <v>680</v>
      </c>
      <c r="C4715" s="83">
        <v>46174</v>
      </c>
      <c r="D4715" t="s">
        <v>690</v>
      </c>
      <c r="E4715" t="s">
        <v>321</v>
      </c>
      <c r="F4715">
        <v>15</v>
      </c>
      <c r="G4715">
        <v>33.877833333333299</v>
      </c>
    </row>
    <row r="4716" spans="1:7" x14ac:dyDescent="0.35">
      <c r="A4716" t="s">
        <v>847</v>
      </c>
      <c r="B4716" t="s">
        <v>680</v>
      </c>
      <c r="C4716" s="83">
        <v>46174</v>
      </c>
      <c r="D4716" t="s">
        <v>690</v>
      </c>
      <c r="E4716" t="s">
        <v>311</v>
      </c>
      <c r="F4716">
        <v>11</v>
      </c>
      <c r="G4716">
        <v>18.378699999999998</v>
      </c>
    </row>
    <row r="4717" spans="1:7" x14ac:dyDescent="0.35">
      <c r="A4717" t="s">
        <v>847</v>
      </c>
      <c r="B4717" t="s">
        <v>680</v>
      </c>
      <c r="C4717" s="83">
        <v>46174</v>
      </c>
      <c r="D4717" t="s">
        <v>690</v>
      </c>
      <c r="E4717" t="s">
        <v>338</v>
      </c>
      <c r="F4717">
        <v>6</v>
      </c>
      <c r="G4717">
        <v>6.4466333333333301</v>
      </c>
    </row>
    <row r="4718" spans="1:7" x14ac:dyDescent="0.35">
      <c r="A4718" t="s">
        <v>847</v>
      </c>
      <c r="B4718" t="s">
        <v>680</v>
      </c>
      <c r="C4718" s="83">
        <v>46174</v>
      </c>
      <c r="D4718" t="s">
        <v>685</v>
      </c>
      <c r="E4718" t="s">
        <v>126</v>
      </c>
      <c r="F4718">
        <v>4</v>
      </c>
      <c r="G4718">
        <v>2.7077</v>
      </c>
    </row>
    <row r="4719" spans="1:7" x14ac:dyDescent="0.35">
      <c r="A4719" t="s">
        <v>847</v>
      </c>
      <c r="B4719" t="s">
        <v>680</v>
      </c>
      <c r="C4719" s="83">
        <v>46174</v>
      </c>
      <c r="D4719" t="s">
        <v>685</v>
      </c>
      <c r="E4719" t="s">
        <v>720</v>
      </c>
      <c r="F4719">
        <v>4</v>
      </c>
      <c r="G4719">
        <v>1.3530833333333301</v>
      </c>
    </row>
    <row r="4720" spans="1:7" x14ac:dyDescent="0.35">
      <c r="A4720" t="s">
        <v>847</v>
      </c>
      <c r="B4720" t="s">
        <v>680</v>
      </c>
      <c r="C4720" s="83">
        <v>46174</v>
      </c>
      <c r="D4720" t="s">
        <v>685</v>
      </c>
      <c r="E4720" t="s">
        <v>311</v>
      </c>
      <c r="F4720">
        <v>3</v>
      </c>
      <c r="G4720">
        <v>1.1766333333333301</v>
      </c>
    </row>
    <row r="4721" spans="1:7" x14ac:dyDescent="0.35">
      <c r="A4721" t="s">
        <v>847</v>
      </c>
      <c r="B4721" t="s">
        <v>680</v>
      </c>
      <c r="C4721" s="83">
        <v>46175</v>
      </c>
      <c r="D4721" t="s">
        <v>681</v>
      </c>
      <c r="E4721" t="s">
        <v>296</v>
      </c>
      <c r="F4721">
        <v>55</v>
      </c>
      <c r="G4721">
        <v>19.762049999999999</v>
      </c>
    </row>
    <row r="4722" spans="1:7" x14ac:dyDescent="0.35">
      <c r="A4722" t="s">
        <v>847</v>
      </c>
      <c r="B4722" t="s">
        <v>680</v>
      </c>
      <c r="C4722" s="83">
        <v>46175</v>
      </c>
      <c r="D4722" t="s">
        <v>681</v>
      </c>
      <c r="E4722" t="s">
        <v>297</v>
      </c>
      <c r="F4722">
        <v>14</v>
      </c>
      <c r="G4722">
        <v>5.0301166666666699</v>
      </c>
    </row>
    <row r="4723" spans="1:7" x14ac:dyDescent="0.35">
      <c r="A4723" t="s">
        <v>847</v>
      </c>
      <c r="B4723" t="s">
        <v>680</v>
      </c>
      <c r="C4723" s="83">
        <v>46175</v>
      </c>
      <c r="D4723" t="s">
        <v>681</v>
      </c>
      <c r="E4723" t="s">
        <v>298</v>
      </c>
      <c r="F4723">
        <v>12</v>
      </c>
      <c r="G4723">
        <v>14.5141833333333</v>
      </c>
    </row>
    <row r="4724" spans="1:7" x14ac:dyDescent="0.35">
      <c r="A4724" t="s">
        <v>847</v>
      </c>
      <c r="B4724" t="s">
        <v>680</v>
      </c>
      <c r="C4724" s="83">
        <v>46175</v>
      </c>
      <c r="D4724" t="s">
        <v>683</v>
      </c>
      <c r="E4724" t="s">
        <v>298</v>
      </c>
      <c r="F4724">
        <v>17</v>
      </c>
      <c r="G4724">
        <v>17.025500000000001</v>
      </c>
    </row>
    <row r="4725" spans="1:7" x14ac:dyDescent="0.35">
      <c r="A4725" t="s">
        <v>847</v>
      </c>
      <c r="B4725" t="s">
        <v>680</v>
      </c>
      <c r="C4725" s="83">
        <v>46175</v>
      </c>
      <c r="D4725" t="s">
        <v>683</v>
      </c>
      <c r="E4725" t="s">
        <v>297</v>
      </c>
      <c r="F4725">
        <v>15</v>
      </c>
      <c r="G4725">
        <v>12.246866666666699</v>
      </c>
    </row>
    <row r="4726" spans="1:7" x14ac:dyDescent="0.35">
      <c r="A4726" t="s">
        <v>847</v>
      </c>
      <c r="B4726" t="s">
        <v>680</v>
      </c>
      <c r="C4726" s="83">
        <v>46175</v>
      </c>
      <c r="D4726" t="s">
        <v>683</v>
      </c>
      <c r="E4726" t="s">
        <v>334</v>
      </c>
      <c r="F4726">
        <v>6</v>
      </c>
      <c r="G4726">
        <v>2.7031166666666699</v>
      </c>
    </row>
    <row r="4727" spans="1:7" x14ac:dyDescent="0.35">
      <c r="A4727" t="s">
        <v>847</v>
      </c>
      <c r="B4727" t="s">
        <v>680</v>
      </c>
      <c r="C4727" s="83">
        <v>46175</v>
      </c>
      <c r="D4727" t="s">
        <v>689</v>
      </c>
      <c r="E4727" t="s">
        <v>297</v>
      </c>
      <c r="F4727">
        <v>21</v>
      </c>
      <c r="G4727">
        <v>8.9323999999999995</v>
      </c>
    </row>
    <row r="4728" spans="1:7" x14ac:dyDescent="0.35">
      <c r="A4728" t="s">
        <v>847</v>
      </c>
      <c r="B4728" t="s">
        <v>680</v>
      </c>
      <c r="C4728" s="83">
        <v>46175</v>
      </c>
      <c r="D4728" t="s">
        <v>689</v>
      </c>
      <c r="E4728" t="s">
        <v>296</v>
      </c>
      <c r="F4728">
        <v>17</v>
      </c>
      <c r="G4728">
        <v>10.844666666666701</v>
      </c>
    </row>
    <row r="4729" spans="1:7" x14ac:dyDescent="0.35">
      <c r="A4729" t="s">
        <v>847</v>
      </c>
      <c r="B4729" t="s">
        <v>680</v>
      </c>
      <c r="C4729" s="83">
        <v>46175</v>
      </c>
      <c r="D4729" t="s">
        <v>689</v>
      </c>
      <c r="E4729" t="s">
        <v>298</v>
      </c>
      <c r="F4729">
        <v>16</v>
      </c>
      <c r="G4729">
        <v>9.2406833333333296</v>
      </c>
    </row>
    <row r="4730" spans="1:7" x14ac:dyDescent="0.35">
      <c r="A4730" t="s">
        <v>847</v>
      </c>
      <c r="B4730" t="s">
        <v>680</v>
      </c>
      <c r="C4730" s="83">
        <v>46175</v>
      </c>
      <c r="D4730" t="s">
        <v>684</v>
      </c>
      <c r="E4730" t="s">
        <v>296</v>
      </c>
      <c r="F4730">
        <v>5</v>
      </c>
      <c r="G4730">
        <v>2.1788500000000002</v>
      </c>
    </row>
    <row r="4731" spans="1:7" x14ac:dyDescent="0.35">
      <c r="A4731" t="s">
        <v>847</v>
      </c>
      <c r="B4731" t="s">
        <v>680</v>
      </c>
      <c r="C4731" s="83">
        <v>46175</v>
      </c>
      <c r="D4731" t="s">
        <v>684</v>
      </c>
      <c r="E4731" t="s">
        <v>300</v>
      </c>
      <c r="F4731">
        <v>4</v>
      </c>
      <c r="G4731">
        <v>1.7892999999999999</v>
      </c>
    </row>
    <row r="4732" spans="1:7" x14ac:dyDescent="0.35">
      <c r="A4732" t="s">
        <v>847</v>
      </c>
      <c r="B4732" t="s">
        <v>680</v>
      </c>
      <c r="C4732" s="83">
        <v>46175</v>
      </c>
      <c r="D4732" t="s">
        <v>684</v>
      </c>
      <c r="E4732" t="s">
        <v>297</v>
      </c>
      <c r="F4732">
        <v>3</v>
      </c>
      <c r="G4732">
        <v>1.5112666666666701</v>
      </c>
    </row>
    <row r="4733" spans="1:7" x14ac:dyDescent="0.35">
      <c r="A4733" t="s">
        <v>847</v>
      </c>
      <c r="B4733" t="s">
        <v>680</v>
      </c>
      <c r="C4733" s="83">
        <v>46175</v>
      </c>
      <c r="D4733" t="s">
        <v>687</v>
      </c>
      <c r="E4733" t="s">
        <v>745</v>
      </c>
      <c r="F4733">
        <v>13</v>
      </c>
      <c r="G4733">
        <v>15.3487333333333</v>
      </c>
    </row>
    <row r="4734" spans="1:7" x14ac:dyDescent="0.35">
      <c r="A4734" t="s">
        <v>847</v>
      </c>
      <c r="B4734" t="s">
        <v>680</v>
      </c>
      <c r="C4734" s="83">
        <v>46175</v>
      </c>
      <c r="D4734" t="s">
        <v>687</v>
      </c>
      <c r="E4734" t="s">
        <v>729</v>
      </c>
      <c r="F4734">
        <v>12</v>
      </c>
      <c r="G4734">
        <v>45.086033333333297</v>
      </c>
    </row>
    <row r="4735" spans="1:7" x14ac:dyDescent="0.35">
      <c r="A4735" t="s">
        <v>847</v>
      </c>
      <c r="B4735" t="s">
        <v>680</v>
      </c>
      <c r="C4735" s="83">
        <v>46175</v>
      </c>
      <c r="D4735" t="s">
        <v>687</v>
      </c>
      <c r="E4735" t="s">
        <v>719</v>
      </c>
      <c r="F4735">
        <v>7</v>
      </c>
      <c r="G4735">
        <v>1.8522666666666701</v>
      </c>
    </row>
    <row r="4736" spans="1:7" x14ac:dyDescent="0.35">
      <c r="A4736" t="s">
        <v>847</v>
      </c>
      <c r="B4736" t="s">
        <v>680</v>
      </c>
      <c r="C4736" s="83">
        <v>46175</v>
      </c>
      <c r="D4736" t="s">
        <v>688</v>
      </c>
      <c r="E4736" t="s">
        <v>311</v>
      </c>
      <c r="F4736">
        <v>9</v>
      </c>
      <c r="G4736">
        <v>52.156383333333302</v>
      </c>
    </row>
    <row r="4737" spans="1:7" x14ac:dyDescent="0.35">
      <c r="A4737" t="s">
        <v>847</v>
      </c>
      <c r="B4737" t="s">
        <v>680</v>
      </c>
      <c r="C4737" s="83">
        <v>46175</v>
      </c>
      <c r="D4737" t="s">
        <v>688</v>
      </c>
      <c r="E4737" t="s">
        <v>126</v>
      </c>
      <c r="F4737">
        <v>5</v>
      </c>
      <c r="G4737">
        <v>5.5290166666666698</v>
      </c>
    </row>
    <row r="4738" spans="1:7" x14ac:dyDescent="0.35">
      <c r="A4738" t="s">
        <v>847</v>
      </c>
      <c r="B4738" t="s">
        <v>680</v>
      </c>
      <c r="C4738" s="83">
        <v>46175</v>
      </c>
      <c r="D4738" t="s">
        <v>688</v>
      </c>
      <c r="E4738" t="s">
        <v>720</v>
      </c>
      <c r="F4738">
        <v>5</v>
      </c>
      <c r="G4738">
        <v>9.0126666666666697</v>
      </c>
    </row>
    <row r="4739" spans="1:7" x14ac:dyDescent="0.35">
      <c r="A4739" t="s">
        <v>847</v>
      </c>
      <c r="B4739" t="s">
        <v>680</v>
      </c>
      <c r="C4739" s="83">
        <v>46175</v>
      </c>
      <c r="D4739" t="s">
        <v>690</v>
      </c>
      <c r="E4739" t="s">
        <v>321</v>
      </c>
      <c r="F4739">
        <v>16</v>
      </c>
      <c r="G4739">
        <v>7.7767666666666697</v>
      </c>
    </row>
    <row r="4740" spans="1:7" x14ac:dyDescent="0.35">
      <c r="A4740" t="s">
        <v>847</v>
      </c>
      <c r="B4740" t="s">
        <v>680</v>
      </c>
      <c r="C4740" s="83">
        <v>46175</v>
      </c>
      <c r="D4740" t="s">
        <v>690</v>
      </c>
      <c r="E4740" t="s">
        <v>311</v>
      </c>
      <c r="F4740">
        <v>10</v>
      </c>
      <c r="G4740">
        <v>10.0326166666667</v>
      </c>
    </row>
    <row r="4741" spans="1:7" x14ac:dyDescent="0.35">
      <c r="A4741" t="s">
        <v>847</v>
      </c>
      <c r="B4741" t="s">
        <v>680</v>
      </c>
      <c r="C4741" s="83">
        <v>46175</v>
      </c>
      <c r="D4741" t="s">
        <v>690</v>
      </c>
      <c r="E4741" t="s">
        <v>723</v>
      </c>
      <c r="F4741">
        <v>4</v>
      </c>
      <c r="G4741">
        <v>6.89103333333333</v>
      </c>
    </row>
    <row r="4742" spans="1:7" x14ac:dyDescent="0.35">
      <c r="A4742" t="s">
        <v>847</v>
      </c>
      <c r="B4742" t="s">
        <v>680</v>
      </c>
      <c r="C4742" s="83">
        <v>46175</v>
      </c>
      <c r="D4742" t="s">
        <v>685</v>
      </c>
      <c r="E4742" t="s">
        <v>720</v>
      </c>
      <c r="F4742">
        <v>6</v>
      </c>
      <c r="G4742">
        <v>3.7205666666666701</v>
      </c>
    </row>
    <row r="4743" spans="1:7" x14ac:dyDescent="0.35">
      <c r="A4743" t="s">
        <v>847</v>
      </c>
      <c r="B4743" t="s">
        <v>680</v>
      </c>
      <c r="C4743" s="83">
        <v>46175</v>
      </c>
      <c r="D4743" t="s">
        <v>685</v>
      </c>
      <c r="E4743" t="s">
        <v>338</v>
      </c>
      <c r="F4743">
        <v>5</v>
      </c>
      <c r="G4743">
        <v>16.497966666666699</v>
      </c>
    </row>
    <row r="4744" spans="1:7" x14ac:dyDescent="0.35">
      <c r="A4744" t="s">
        <v>847</v>
      </c>
      <c r="B4744" t="s">
        <v>680</v>
      </c>
      <c r="C4744" s="83">
        <v>46175</v>
      </c>
      <c r="D4744" t="s">
        <v>685</v>
      </c>
      <c r="E4744" t="s">
        <v>311</v>
      </c>
      <c r="F4744">
        <v>4</v>
      </c>
      <c r="G4744">
        <v>3.2459833333333301</v>
      </c>
    </row>
    <row r="4745" spans="1:7" x14ac:dyDescent="0.35">
      <c r="A4745" t="s">
        <v>847</v>
      </c>
      <c r="B4745" t="s">
        <v>680</v>
      </c>
      <c r="C4745" s="83">
        <v>46176</v>
      </c>
      <c r="D4745" t="s">
        <v>681</v>
      </c>
      <c r="E4745" t="s">
        <v>298</v>
      </c>
      <c r="F4745">
        <v>8</v>
      </c>
      <c r="G4745">
        <v>9.2733333333333299</v>
      </c>
    </row>
    <row r="4746" spans="1:7" x14ac:dyDescent="0.35">
      <c r="A4746" t="s">
        <v>847</v>
      </c>
      <c r="B4746" t="s">
        <v>680</v>
      </c>
      <c r="C4746" s="83">
        <v>46176</v>
      </c>
      <c r="D4746" t="s">
        <v>681</v>
      </c>
      <c r="E4746" t="s">
        <v>300</v>
      </c>
      <c r="F4746">
        <v>7</v>
      </c>
      <c r="G4746">
        <v>4.6271500000000003</v>
      </c>
    </row>
    <row r="4747" spans="1:7" x14ac:dyDescent="0.35">
      <c r="A4747" t="s">
        <v>847</v>
      </c>
      <c r="B4747" t="s">
        <v>680</v>
      </c>
      <c r="C4747" s="83">
        <v>46176</v>
      </c>
      <c r="D4747" t="s">
        <v>681</v>
      </c>
      <c r="E4747" t="s">
        <v>296</v>
      </c>
      <c r="F4747">
        <v>4</v>
      </c>
      <c r="G4747">
        <v>5.3838166666666698</v>
      </c>
    </row>
    <row r="4748" spans="1:7" x14ac:dyDescent="0.35">
      <c r="A4748" t="s">
        <v>847</v>
      </c>
      <c r="B4748" t="s">
        <v>680</v>
      </c>
      <c r="C4748" s="83">
        <v>46176</v>
      </c>
      <c r="D4748" t="s">
        <v>683</v>
      </c>
      <c r="E4748" t="s">
        <v>730</v>
      </c>
      <c r="F4748">
        <v>16</v>
      </c>
      <c r="G4748">
        <v>6.9077333333333302</v>
      </c>
    </row>
    <row r="4749" spans="1:7" x14ac:dyDescent="0.35">
      <c r="A4749" t="s">
        <v>847</v>
      </c>
      <c r="B4749" t="s">
        <v>680</v>
      </c>
      <c r="C4749" s="83">
        <v>46176</v>
      </c>
      <c r="D4749" t="s">
        <v>683</v>
      </c>
      <c r="E4749" t="s">
        <v>298</v>
      </c>
      <c r="F4749">
        <v>15</v>
      </c>
      <c r="G4749">
        <v>8.8994333333333309</v>
      </c>
    </row>
    <row r="4750" spans="1:7" x14ac:dyDescent="0.35">
      <c r="A4750" t="s">
        <v>847</v>
      </c>
      <c r="B4750" t="s">
        <v>680</v>
      </c>
      <c r="C4750" s="83">
        <v>46176</v>
      </c>
      <c r="D4750" t="s">
        <v>683</v>
      </c>
      <c r="E4750" t="s">
        <v>334</v>
      </c>
      <c r="F4750">
        <v>5</v>
      </c>
      <c r="G4750">
        <v>1.66943333333333</v>
      </c>
    </row>
    <row r="4751" spans="1:7" x14ac:dyDescent="0.35">
      <c r="A4751" t="s">
        <v>847</v>
      </c>
      <c r="B4751" t="s">
        <v>680</v>
      </c>
      <c r="C4751" s="83">
        <v>46176</v>
      </c>
      <c r="D4751" t="s">
        <v>689</v>
      </c>
      <c r="E4751" t="s">
        <v>298</v>
      </c>
      <c r="F4751">
        <v>14</v>
      </c>
      <c r="G4751">
        <v>3.69645</v>
      </c>
    </row>
    <row r="4752" spans="1:7" x14ac:dyDescent="0.35">
      <c r="A4752" t="s">
        <v>847</v>
      </c>
      <c r="B4752" t="s">
        <v>680</v>
      </c>
      <c r="C4752" s="83">
        <v>46176</v>
      </c>
      <c r="D4752" t="s">
        <v>689</v>
      </c>
      <c r="E4752" t="s">
        <v>300</v>
      </c>
      <c r="F4752">
        <v>7</v>
      </c>
      <c r="G4752">
        <v>8.0519666666666705</v>
      </c>
    </row>
    <row r="4753" spans="1:7" x14ac:dyDescent="0.35">
      <c r="A4753" t="s">
        <v>847</v>
      </c>
      <c r="B4753" t="s">
        <v>680</v>
      </c>
      <c r="C4753" s="83">
        <v>46176</v>
      </c>
      <c r="D4753" t="s">
        <v>689</v>
      </c>
      <c r="E4753" t="s">
        <v>297</v>
      </c>
      <c r="F4753">
        <v>4</v>
      </c>
      <c r="G4753">
        <v>1.3422166666666699</v>
      </c>
    </row>
    <row r="4754" spans="1:7" x14ac:dyDescent="0.35">
      <c r="A4754" t="s">
        <v>847</v>
      </c>
      <c r="B4754" t="s">
        <v>680</v>
      </c>
      <c r="C4754" s="83">
        <v>46176</v>
      </c>
      <c r="D4754" t="s">
        <v>684</v>
      </c>
      <c r="E4754" t="s">
        <v>298</v>
      </c>
      <c r="F4754">
        <v>5</v>
      </c>
      <c r="G4754">
        <v>1.50233333333333</v>
      </c>
    </row>
    <row r="4755" spans="1:7" x14ac:dyDescent="0.35">
      <c r="A4755" t="s">
        <v>847</v>
      </c>
      <c r="B4755" t="s">
        <v>680</v>
      </c>
      <c r="C4755" s="83">
        <v>46176</v>
      </c>
      <c r="D4755" t="s">
        <v>684</v>
      </c>
      <c r="E4755" t="s">
        <v>343</v>
      </c>
      <c r="F4755">
        <v>3</v>
      </c>
      <c r="G4755">
        <v>0.84363333333333301</v>
      </c>
    </row>
    <row r="4756" spans="1:7" x14ac:dyDescent="0.35">
      <c r="A4756" t="s">
        <v>847</v>
      </c>
      <c r="B4756" t="s">
        <v>680</v>
      </c>
      <c r="C4756" s="83">
        <v>46176</v>
      </c>
      <c r="D4756" t="s">
        <v>684</v>
      </c>
      <c r="E4756" t="s">
        <v>334</v>
      </c>
      <c r="F4756">
        <v>2</v>
      </c>
      <c r="G4756">
        <v>1.00068333333333</v>
      </c>
    </row>
    <row r="4757" spans="1:7" x14ac:dyDescent="0.35">
      <c r="A4757" t="s">
        <v>847</v>
      </c>
      <c r="B4757" t="s">
        <v>680</v>
      </c>
      <c r="C4757" s="83">
        <v>46176</v>
      </c>
      <c r="D4757" t="s">
        <v>687</v>
      </c>
      <c r="E4757" t="s">
        <v>742</v>
      </c>
      <c r="F4757">
        <v>6</v>
      </c>
      <c r="G4757">
        <v>36.136683333333302</v>
      </c>
    </row>
    <row r="4758" spans="1:7" x14ac:dyDescent="0.35">
      <c r="A4758" t="s">
        <v>847</v>
      </c>
      <c r="B4758" t="s">
        <v>680</v>
      </c>
      <c r="C4758" s="83">
        <v>46176</v>
      </c>
      <c r="D4758" t="s">
        <v>687</v>
      </c>
      <c r="E4758" t="s">
        <v>717</v>
      </c>
      <c r="F4758">
        <v>4</v>
      </c>
      <c r="G4758">
        <v>0.77039999999999997</v>
      </c>
    </row>
    <row r="4759" spans="1:7" x14ac:dyDescent="0.35">
      <c r="A4759" t="s">
        <v>847</v>
      </c>
      <c r="B4759" t="s">
        <v>680</v>
      </c>
      <c r="C4759" s="83">
        <v>46176</v>
      </c>
      <c r="D4759" t="s">
        <v>687</v>
      </c>
      <c r="E4759" t="s">
        <v>745</v>
      </c>
      <c r="F4759">
        <v>3</v>
      </c>
      <c r="G4759">
        <v>2.2412666666666698</v>
      </c>
    </row>
    <row r="4760" spans="1:7" x14ac:dyDescent="0.35">
      <c r="A4760" t="s">
        <v>847</v>
      </c>
      <c r="B4760" t="s">
        <v>680</v>
      </c>
      <c r="C4760" s="83">
        <v>46176</v>
      </c>
      <c r="D4760" t="s">
        <v>688</v>
      </c>
      <c r="E4760" t="s">
        <v>126</v>
      </c>
      <c r="F4760">
        <v>6</v>
      </c>
      <c r="G4760">
        <v>8.7351666666666592</v>
      </c>
    </row>
    <row r="4761" spans="1:7" x14ac:dyDescent="0.35">
      <c r="A4761" t="s">
        <v>847</v>
      </c>
      <c r="B4761" t="s">
        <v>680</v>
      </c>
      <c r="C4761" s="83">
        <v>46176</v>
      </c>
      <c r="D4761" t="s">
        <v>688</v>
      </c>
      <c r="E4761" t="s">
        <v>311</v>
      </c>
      <c r="F4761">
        <v>5</v>
      </c>
      <c r="G4761">
        <v>2.3007833333333298</v>
      </c>
    </row>
    <row r="4762" spans="1:7" x14ac:dyDescent="0.35">
      <c r="A4762" t="s">
        <v>847</v>
      </c>
      <c r="B4762" t="s">
        <v>680</v>
      </c>
      <c r="C4762" s="83">
        <v>46176</v>
      </c>
      <c r="D4762" t="s">
        <v>688</v>
      </c>
      <c r="E4762" t="s">
        <v>316</v>
      </c>
      <c r="F4762">
        <v>5</v>
      </c>
      <c r="G4762">
        <v>1.2654666666666701</v>
      </c>
    </row>
    <row r="4763" spans="1:7" x14ac:dyDescent="0.35">
      <c r="A4763" t="s">
        <v>847</v>
      </c>
      <c r="B4763" t="s">
        <v>680</v>
      </c>
      <c r="C4763" s="83">
        <v>46176</v>
      </c>
      <c r="D4763" t="s">
        <v>690</v>
      </c>
      <c r="E4763" t="s">
        <v>311</v>
      </c>
      <c r="F4763">
        <v>17</v>
      </c>
      <c r="G4763">
        <v>15.85055</v>
      </c>
    </row>
    <row r="4764" spans="1:7" x14ac:dyDescent="0.35">
      <c r="A4764" t="s">
        <v>847</v>
      </c>
      <c r="B4764" t="s">
        <v>680</v>
      </c>
      <c r="C4764" s="83">
        <v>46176</v>
      </c>
      <c r="D4764" t="s">
        <v>690</v>
      </c>
      <c r="E4764" t="s">
        <v>321</v>
      </c>
      <c r="F4764">
        <v>8</v>
      </c>
      <c r="G4764">
        <v>4.8277000000000001</v>
      </c>
    </row>
    <row r="4765" spans="1:7" x14ac:dyDescent="0.35">
      <c r="A4765" t="s">
        <v>847</v>
      </c>
      <c r="B4765" t="s">
        <v>680</v>
      </c>
      <c r="C4765" s="83">
        <v>46176</v>
      </c>
      <c r="D4765" t="s">
        <v>690</v>
      </c>
      <c r="E4765" t="s">
        <v>720</v>
      </c>
      <c r="F4765">
        <v>4</v>
      </c>
      <c r="G4765">
        <v>1.3433333333333299</v>
      </c>
    </row>
    <row r="4766" spans="1:7" x14ac:dyDescent="0.35">
      <c r="A4766" t="s">
        <v>847</v>
      </c>
      <c r="B4766" t="s">
        <v>680</v>
      </c>
      <c r="C4766" s="83">
        <v>46176</v>
      </c>
      <c r="D4766" t="s">
        <v>685</v>
      </c>
      <c r="E4766" t="s">
        <v>720</v>
      </c>
      <c r="F4766">
        <v>18</v>
      </c>
      <c r="G4766">
        <v>9.2121166666666703</v>
      </c>
    </row>
    <row r="4767" spans="1:7" x14ac:dyDescent="0.35">
      <c r="A4767" t="s">
        <v>847</v>
      </c>
      <c r="B4767" t="s">
        <v>680</v>
      </c>
      <c r="C4767" s="83">
        <v>46176</v>
      </c>
      <c r="D4767" t="s">
        <v>685</v>
      </c>
      <c r="E4767" t="s">
        <v>316</v>
      </c>
      <c r="F4767">
        <v>10</v>
      </c>
      <c r="G4767">
        <v>5.9583166666666703</v>
      </c>
    </row>
    <row r="4768" spans="1:7" x14ac:dyDescent="0.35">
      <c r="A4768" t="s">
        <v>847</v>
      </c>
      <c r="B4768" t="s">
        <v>680</v>
      </c>
      <c r="C4768" s="83">
        <v>46176</v>
      </c>
      <c r="D4768" t="s">
        <v>685</v>
      </c>
      <c r="E4768" t="s">
        <v>321</v>
      </c>
      <c r="F4768">
        <v>10</v>
      </c>
      <c r="G4768">
        <v>7.0533666666666699</v>
      </c>
    </row>
    <row r="4769" spans="1:7" x14ac:dyDescent="0.35">
      <c r="A4769" t="s">
        <v>847</v>
      </c>
      <c r="B4769" t="s">
        <v>680</v>
      </c>
      <c r="C4769" s="83">
        <v>46177</v>
      </c>
      <c r="D4769" t="s">
        <v>681</v>
      </c>
      <c r="E4769" t="s">
        <v>298</v>
      </c>
      <c r="F4769">
        <v>10</v>
      </c>
      <c r="G4769">
        <v>10.857466666666699</v>
      </c>
    </row>
    <row r="4770" spans="1:7" x14ac:dyDescent="0.35">
      <c r="A4770" t="s">
        <v>847</v>
      </c>
      <c r="B4770" t="s">
        <v>680</v>
      </c>
      <c r="C4770" s="83">
        <v>46177</v>
      </c>
      <c r="D4770" t="s">
        <v>681</v>
      </c>
      <c r="E4770" t="s">
        <v>300</v>
      </c>
      <c r="F4770">
        <v>6</v>
      </c>
      <c r="G4770">
        <v>10.169033333333299</v>
      </c>
    </row>
    <row r="4771" spans="1:7" x14ac:dyDescent="0.35">
      <c r="A4771" t="s">
        <v>847</v>
      </c>
      <c r="B4771" t="s">
        <v>680</v>
      </c>
      <c r="C4771" s="83">
        <v>46177</v>
      </c>
      <c r="D4771" t="s">
        <v>681</v>
      </c>
      <c r="E4771" t="s">
        <v>334</v>
      </c>
      <c r="F4771">
        <v>5</v>
      </c>
      <c r="G4771">
        <v>16.374916666666699</v>
      </c>
    </row>
    <row r="4772" spans="1:7" x14ac:dyDescent="0.35">
      <c r="A4772" t="s">
        <v>847</v>
      </c>
      <c r="B4772" t="s">
        <v>680</v>
      </c>
      <c r="C4772" s="83">
        <v>46177</v>
      </c>
      <c r="D4772" t="s">
        <v>683</v>
      </c>
      <c r="E4772" t="s">
        <v>298</v>
      </c>
      <c r="F4772">
        <v>17</v>
      </c>
      <c r="G4772">
        <v>13.09465</v>
      </c>
    </row>
    <row r="4773" spans="1:7" x14ac:dyDescent="0.35">
      <c r="A4773" t="s">
        <v>847</v>
      </c>
      <c r="B4773" t="s">
        <v>680</v>
      </c>
      <c r="C4773" s="83">
        <v>46177</v>
      </c>
      <c r="D4773" t="s">
        <v>683</v>
      </c>
      <c r="E4773" t="s">
        <v>730</v>
      </c>
      <c r="F4773">
        <v>13</v>
      </c>
      <c r="G4773">
        <v>10.837016666666701</v>
      </c>
    </row>
    <row r="4774" spans="1:7" x14ac:dyDescent="0.35">
      <c r="A4774" t="s">
        <v>847</v>
      </c>
      <c r="B4774" t="s">
        <v>680</v>
      </c>
      <c r="C4774" s="83">
        <v>46177</v>
      </c>
      <c r="D4774" t="s">
        <v>683</v>
      </c>
      <c r="E4774" t="s">
        <v>334</v>
      </c>
      <c r="F4774">
        <v>4</v>
      </c>
      <c r="G4774">
        <v>0.53938333333333299</v>
      </c>
    </row>
    <row r="4775" spans="1:7" x14ac:dyDescent="0.35">
      <c r="A4775" t="s">
        <v>847</v>
      </c>
      <c r="B4775" t="s">
        <v>680</v>
      </c>
      <c r="C4775" s="83">
        <v>46177</v>
      </c>
      <c r="D4775" t="s">
        <v>689</v>
      </c>
      <c r="E4775" t="s">
        <v>298</v>
      </c>
      <c r="F4775">
        <v>18</v>
      </c>
      <c r="G4775">
        <v>7.5877666666666697</v>
      </c>
    </row>
    <row r="4776" spans="1:7" x14ac:dyDescent="0.35">
      <c r="A4776" t="s">
        <v>847</v>
      </c>
      <c r="B4776" t="s">
        <v>680</v>
      </c>
      <c r="C4776" s="83">
        <v>46177</v>
      </c>
      <c r="D4776" t="s">
        <v>689</v>
      </c>
      <c r="E4776" t="s">
        <v>297</v>
      </c>
      <c r="F4776">
        <v>8</v>
      </c>
      <c r="G4776">
        <v>2.2726833333333301</v>
      </c>
    </row>
    <row r="4777" spans="1:7" x14ac:dyDescent="0.35">
      <c r="A4777" t="s">
        <v>847</v>
      </c>
      <c r="B4777" t="s">
        <v>680</v>
      </c>
      <c r="C4777" s="83">
        <v>46177</v>
      </c>
      <c r="D4777" t="s">
        <v>689</v>
      </c>
      <c r="E4777" t="s">
        <v>300</v>
      </c>
      <c r="F4777">
        <v>7</v>
      </c>
      <c r="G4777">
        <v>5.2263666666666699</v>
      </c>
    </row>
    <row r="4778" spans="1:7" x14ac:dyDescent="0.35">
      <c r="A4778" t="s">
        <v>847</v>
      </c>
      <c r="B4778" t="s">
        <v>680</v>
      </c>
      <c r="C4778" s="83">
        <v>46177</v>
      </c>
      <c r="D4778" t="s">
        <v>684</v>
      </c>
      <c r="E4778" t="s">
        <v>334</v>
      </c>
      <c r="F4778">
        <v>3</v>
      </c>
      <c r="G4778">
        <v>5.6895666666666704</v>
      </c>
    </row>
    <row r="4779" spans="1:7" x14ac:dyDescent="0.35">
      <c r="A4779" t="s">
        <v>847</v>
      </c>
      <c r="B4779" t="s">
        <v>680</v>
      </c>
      <c r="C4779" s="83">
        <v>46177</v>
      </c>
      <c r="D4779" t="s">
        <v>684</v>
      </c>
      <c r="E4779" t="s">
        <v>298</v>
      </c>
      <c r="F4779">
        <v>3</v>
      </c>
      <c r="G4779">
        <v>0.45906666666666701</v>
      </c>
    </row>
    <row r="4780" spans="1:7" x14ac:dyDescent="0.35">
      <c r="A4780" t="s">
        <v>847</v>
      </c>
      <c r="B4780" t="s">
        <v>680</v>
      </c>
      <c r="C4780" s="83">
        <v>46177</v>
      </c>
      <c r="D4780" t="s">
        <v>684</v>
      </c>
      <c r="E4780" t="s">
        <v>727</v>
      </c>
      <c r="F4780">
        <v>2</v>
      </c>
      <c r="G4780">
        <v>0.16651666666666701</v>
      </c>
    </row>
    <row r="4781" spans="1:7" x14ac:dyDescent="0.35">
      <c r="A4781" t="s">
        <v>847</v>
      </c>
      <c r="B4781" t="s">
        <v>680</v>
      </c>
      <c r="C4781" s="83">
        <v>46177</v>
      </c>
      <c r="D4781" t="s">
        <v>687</v>
      </c>
      <c r="E4781" t="s">
        <v>746</v>
      </c>
      <c r="F4781">
        <v>6</v>
      </c>
      <c r="G4781">
        <v>10.9081833333333</v>
      </c>
    </row>
    <row r="4782" spans="1:7" x14ac:dyDescent="0.35">
      <c r="A4782" t="s">
        <v>847</v>
      </c>
      <c r="B4782" t="s">
        <v>680</v>
      </c>
      <c r="C4782" s="83">
        <v>46177</v>
      </c>
      <c r="D4782" t="s">
        <v>687</v>
      </c>
      <c r="E4782" t="s">
        <v>717</v>
      </c>
      <c r="F4782">
        <v>4</v>
      </c>
      <c r="G4782">
        <v>1.4175</v>
      </c>
    </row>
    <row r="4783" spans="1:7" x14ac:dyDescent="0.35">
      <c r="A4783" t="s">
        <v>847</v>
      </c>
      <c r="B4783" t="s">
        <v>680</v>
      </c>
      <c r="C4783" s="83">
        <v>46177</v>
      </c>
      <c r="D4783" t="s">
        <v>687</v>
      </c>
      <c r="E4783" t="s">
        <v>722</v>
      </c>
      <c r="F4783">
        <v>3</v>
      </c>
      <c r="G4783">
        <v>0.33201666666666702</v>
      </c>
    </row>
    <row r="4784" spans="1:7" x14ac:dyDescent="0.35">
      <c r="A4784" t="s">
        <v>847</v>
      </c>
      <c r="B4784" t="s">
        <v>680</v>
      </c>
      <c r="C4784" s="83">
        <v>46177</v>
      </c>
      <c r="D4784" t="s">
        <v>688</v>
      </c>
      <c r="E4784" t="s">
        <v>316</v>
      </c>
      <c r="F4784">
        <v>5</v>
      </c>
      <c r="G4784">
        <v>2.55581666666667</v>
      </c>
    </row>
    <row r="4785" spans="1:7" x14ac:dyDescent="0.35">
      <c r="A4785" t="s">
        <v>847</v>
      </c>
      <c r="B4785" t="s">
        <v>680</v>
      </c>
      <c r="C4785" s="83">
        <v>46177</v>
      </c>
      <c r="D4785" t="s">
        <v>688</v>
      </c>
      <c r="E4785" t="s">
        <v>311</v>
      </c>
      <c r="F4785">
        <v>5</v>
      </c>
      <c r="G4785">
        <v>6.1530333333333296</v>
      </c>
    </row>
    <row r="4786" spans="1:7" x14ac:dyDescent="0.35">
      <c r="A4786" t="s">
        <v>847</v>
      </c>
      <c r="B4786" t="s">
        <v>680</v>
      </c>
      <c r="C4786" s="83">
        <v>46177</v>
      </c>
      <c r="D4786" t="s">
        <v>688</v>
      </c>
      <c r="E4786" t="s">
        <v>126</v>
      </c>
      <c r="F4786">
        <v>3</v>
      </c>
      <c r="G4786">
        <v>9.7380166666666703</v>
      </c>
    </row>
    <row r="4787" spans="1:7" x14ac:dyDescent="0.35">
      <c r="A4787" t="s">
        <v>847</v>
      </c>
      <c r="B4787" t="s">
        <v>680</v>
      </c>
      <c r="C4787" s="83">
        <v>46177</v>
      </c>
      <c r="D4787" t="s">
        <v>690</v>
      </c>
      <c r="E4787" t="s">
        <v>311</v>
      </c>
      <c r="F4787">
        <v>28</v>
      </c>
      <c r="G4787">
        <v>15.309616666666701</v>
      </c>
    </row>
    <row r="4788" spans="1:7" x14ac:dyDescent="0.35">
      <c r="A4788" t="s">
        <v>847</v>
      </c>
      <c r="B4788" t="s">
        <v>680</v>
      </c>
      <c r="C4788" s="83">
        <v>46177</v>
      </c>
      <c r="D4788" t="s">
        <v>690</v>
      </c>
      <c r="E4788" t="s">
        <v>338</v>
      </c>
      <c r="F4788">
        <v>7</v>
      </c>
      <c r="G4788">
        <v>7.8876833333333298</v>
      </c>
    </row>
    <row r="4789" spans="1:7" x14ac:dyDescent="0.35">
      <c r="A4789" t="s">
        <v>847</v>
      </c>
      <c r="B4789" t="s">
        <v>680</v>
      </c>
      <c r="C4789" s="83">
        <v>46177</v>
      </c>
      <c r="D4789" t="s">
        <v>690</v>
      </c>
      <c r="E4789" t="s">
        <v>657</v>
      </c>
      <c r="F4789">
        <v>3</v>
      </c>
      <c r="G4789">
        <v>2.5135000000000001</v>
      </c>
    </row>
    <row r="4790" spans="1:7" x14ac:dyDescent="0.35">
      <c r="A4790" t="s">
        <v>847</v>
      </c>
      <c r="B4790" t="s">
        <v>680</v>
      </c>
      <c r="C4790" s="83">
        <v>46177</v>
      </c>
      <c r="D4790" t="s">
        <v>685</v>
      </c>
      <c r="E4790" t="s">
        <v>316</v>
      </c>
      <c r="F4790">
        <v>11</v>
      </c>
      <c r="G4790">
        <v>4.1073000000000004</v>
      </c>
    </row>
    <row r="4791" spans="1:7" x14ac:dyDescent="0.35">
      <c r="A4791" t="s">
        <v>847</v>
      </c>
      <c r="B4791" t="s">
        <v>680</v>
      </c>
      <c r="C4791" s="83">
        <v>46177</v>
      </c>
      <c r="D4791" t="s">
        <v>685</v>
      </c>
      <c r="E4791" t="s">
        <v>720</v>
      </c>
      <c r="F4791">
        <v>11</v>
      </c>
      <c r="G4791">
        <v>7.3940666666666699</v>
      </c>
    </row>
    <row r="4792" spans="1:7" x14ac:dyDescent="0.35">
      <c r="A4792" t="s">
        <v>847</v>
      </c>
      <c r="B4792" t="s">
        <v>680</v>
      </c>
      <c r="C4792" s="83">
        <v>46177</v>
      </c>
      <c r="D4792" t="s">
        <v>685</v>
      </c>
      <c r="E4792" t="s">
        <v>311</v>
      </c>
      <c r="F4792">
        <v>7</v>
      </c>
      <c r="G4792">
        <v>4.3473499999999996</v>
      </c>
    </row>
    <row r="4793" spans="1:7" x14ac:dyDescent="0.35">
      <c r="A4793" t="s">
        <v>847</v>
      </c>
      <c r="B4793" t="s">
        <v>680</v>
      </c>
      <c r="C4793" s="83">
        <v>46178</v>
      </c>
      <c r="D4793" t="s">
        <v>681</v>
      </c>
      <c r="E4793" t="s">
        <v>730</v>
      </c>
      <c r="F4793">
        <v>29</v>
      </c>
      <c r="G4793">
        <v>11.0003333333333</v>
      </c>
    </row>
    <row r="4794" spans="1:7" x14ac:dyDescent="0.35">
      <c r="A4794" t="s">
        <v>847</v>
      </c>
      <c r="B4794" t="s">
        <v>680</v>
      </c>
      <c r="C4794" s="83">
        <v>46178</v>
      </c>
      <c r="D4794" t="s">
        <v>681</v>
      </c>
      <c r="E4794" t="s">
        <v>297</v>
      </c>
      <c r="F4794">
        <v>16</v>
      </c>
      <c r="G4794">
        <v>8.4831333333333294</v>
      </c>
    </row>
    <row r="4795" spans="1:7" x14ac:dyDescent="0.35">
      <c r="A4795" t="s">
        <v>847</v>
      </c>
      <c r="B4795" t="s">
        <v>680</v>
      </c>
      <c r="C4795" s="83">
        <v>46178</v>
      </c>
      <c r="D4795" t="s">
        <v>681</v>
      </c>
      <c r="E4795" t="s">
        <v>296</v>
      </c>
      <c r="F4795">
        <v>15</v>
      </c>
      <c r="G4795">
        <v>19.838049999999999</v>
      </c>
    </row>
    <row r="4796" spans="1:7" x14ac:dyDescent="0.35">
      <c r="A4796" t="s">
        <v>847</v>
      </c>
      <c r="B4796" t="s">
        <v>680</v>
      </c>
      <c r="C4796" s="83">
        <v>46178</v>
      </c>
      <c r="D4796" t="s">
        <v>683</v>
      </c>
      <c r="E4796" t="s">
        <v>298</v>
      </c>
      <c r="F4796">
        <v>11</v>
      </c>
      <c r="G4796">
        <v>10.842416666666701</v>
      </c>
    </row>
    <row r="4797" spans="1:7" x14ac:dyDescent="0.35">
      <c r="A4797" t="s">
        <v>847</v>
      </c>
      <c r="B4797" t="s">
        <v>680</v>
      </c>
      <c r="C4797" s="83">
        <v>46178</v>
      </c>
      <c r="D4797" t="s">
        <v>683</v>
      </c>
      <c r="E4797" t="s">
        <v>334</v>
      </c>
      <c r="F4797">
        <v>7</v>
      </c>
      <c r="G4797">
        <v>10.350250000000001</v>
      </c>
    </row>
    <row r="4798" spans="1:7" x14ac:dyDescent="0.35">
      <c r="A4798" t="s">
        <v>847</v>
      </c>
      <c r="B4798" t="s">
        <v>680</v>
      </c>
      <c r="C4798" s="83">
        <v>46178</v>
      </c>
      <c r="D4798" t="s">
        <v>683</v>
      </c>
      <c r="E4798" t="s">
        <v>736</v>
      </c>
      <c r="F4798">
        <v>7</v>
      </c>
      <c r="G4798">
        <v>6.3249666666666702</v>
      </c>
    </row>
    <row r="4799" spans="1:7" x14ac:dyDescent="0.35">
      <c r="A4799" t="s">
        <v>847</v>
      </c>
      <c r="B4799" t="s">
        <v>680</v>
      </c>
      <c r="C4799" s="83">
        <v>46178</v>
      </c>
      <c r="D4799" t="s">
        <v>689</v>
      </c>
      <c r="E4799" t="s">
        <v>298</v>
      </c>
      <c r="F4799">
        <v>23</v>
      </c>
      <c r="G4799">
        <v>21.812899999999999</v>
      </c>
    </row>
    <row r="4800" spans="1:7" x14ac:dyDescent="0.35">
      <c r="A4800" t="s">
        <v>847</v>
      </c>
      <c r="B4800" t="s">
        <v>680</v>
      </c>
      <c r="C4800" s="83">
        <v>46178</v>
      </c>
      <c r="D4800" t="s">
        <v>689</v>
      </c>
      <c r="E4800" t="s">
        <v>296</v>
      </c>
      <c r="F4800">
        <v>16</v>
      </c>
      <c r="G4800">
        <v>14.1591166666667</v>
      </c>
    </row>
    <row r="4801" spans="1:7" x14ac:dyDescent="0.35">
      <c r="A4801" t="s">
        <v>847</v>
      </c>
      <c r="B4801" t="s">
        <v>680</v>
      </c>
      <c r="C4801" s="83">
        <v>46178</v>
      </c>
      <c r="D4801" t="s">
        <v>689</v>
      </c>
      <c r="E4801" t="s">
        <v>297</v>
      </c>
      <c r="F4801">
        <v>16</v>
      </c>
      <c r="G4801">
        <v>13.1131666666667</v>
      </c>
    </row>
    <row r="4802" spans="1:7" x14ac:dyDescent="0.35">
      <c r="A4802" t="s">
        <v>847</v>
      </c>
      <c r="B4802" t="s">
        <v>680</v>
      </c>
      <c r="C4802" s="83">
        <v>46178</v>
      </c>
      <c r="D4802" t="s">
        <v>684</v>
      </c>
      <c r="E4802" t="s">
        <v>296</v>
      </c>
      <c r="F4802">
        <v>6</v>
      </c>
      <c r="G4802">
        <v>10.6826833333333</v>
      </c>
    </row>
    <row r="4803" spans="1:7" x14ac:dyDescent="0.35">
      <c r="A4803" t="s">
        <v>847</v>
      </c>
      <c r="B4803" t="s">
        <v>680</v>
      </c>
      <c r="C4803" s="83">
        <v>46178</v>
      </c>
      <c r="D4803" t="s">
        <v>684</v>
      </c>
      <c r="E4803" t="s">
        <v>304</v>
      </c>
      <c r="F4803">
        <v>4</v>
      </c>
      <c r="G4803">
        <v>7.3419833333333298</v>
      </c>
    </row>
    <row r="4804" spans="1:7" x14ac:dyDescent="0.35">
      <c r="A4804" t="s">
        <v>847</v>
      </c>
      <c r="B4804" t="s">
        <v>680</v>
      </c>
      <c r="C4804" s="83">
        <v>46178</v>
      </c>
      <c r="D4804" t="s">
        <v>684</v>
      </c>
      <c r="E4804" t="s">
        <v>298</v>
      </c>
      <c r="F4804">
        <v>4</v>
      </c>
      <c r="G4804">
        <v>5.3257833333333302</v>
      </c>
    </row>
    <row r="4805" spans="1:7" x14ac:dyDescent="0.35">
      <c r="A4805" t="s">
        <v>847</v>
      </c>
      <c r="B4805" t="s">
        <v>680</v>
      </c>
      <c r="C4805" s="83">
        <v>46178</v>
      </c>
      <c r="D4805" t="s">
        <v>687</v>
      </c>
      <c r="E4805" t="s">
        <v>752</v>
      </c>
      <c r="F4805">
        <v>2</v>
      </c>
      <c r="G4805">
        <v>0.33989999999999998</v>
      </c>
    </row>
    <row r="4806" spans="1:7" x14ac:dyDescent="0.35">
      <c r="A4806" t="s">
        <v>847</v>
      </c>
      <c r="B4806" t="s">
        <v>680</v>
      </c>
      <c r="C4806" s="83">
        <v>46178</v>
      </c>
      <c r="D4806" t="s">
        <v>687</v>
      </c>
      <c r="E4806" t="s">
        <v>755</v>
      </c>
      <c r="F4806">
        <v>2</v>
      </c>
      <c r="G4806">
        <v>0.49993333333333301</v>
      </c>
    </row>
    <row r="4807" spans="1:7" x14ac:dyDescent="0.35">
      <c r="A4807" t="s">
        <v>847</v>
      </c>
      <c r="B4807" t="s">
        <v>680</v>
      </c>
      <c r="C4807" s="83">
        <v>46178</v>
      </c>
      <c r="D4807" t="s">
        <v>687</v>
      </c>
      <c r="E4807" t="s">
        <v>729</v>
      </c>
      <c r="F4807">
        <v>2</v>
      </c>
      <c r="G4807">
        <v>0.50014999999999998</v>
      </c>
    </row>
    <row r="4808" spans="1:7" x14ac:dyDescent="0.35">
      <c r="A4808" t="s">
        <v>847</v>
      </c>
      <c r="B4808" t="s">
        <v>680</v>
      </c>
      <c r="C4808" s="83">
        <v>46178</v>
      </c>
      <c r="D4808" t="s">
        <v>688</v>
      </c>
      <c r="E4808" t="s">
        <v>316</v>
      </c>
      <c r="F4808">
        <v>7</v>
      </c>
      <c r="G4808">
        <v>2.6675166666666699</v>
      </c>
    </row>
    <row r="4809" spans="1:7" x14ac:dyDescent="0.35">
      <c r="A4809" t="s">
        <v>847</v>
      </c>
      <c r="B4809" t="s">
        <v>680</v>
      </c>
      <c r="C4809" s="83">
        <v>46178</v>
      </c>
      <c r="D4809" t="s">
        <v>688</v>
      </c>
      <c r="E4809" t="s">
        <v>720</v>
      </c>
      <c r="F4809">
        <v>6</v>
      </c>
      <c r="G4809">
        <v>4.0012166666666698</v>
      </c>
    </row>
    <row r="4810" spans="1:7" x14ac:dyDescent="0.35">
      <c r="A4810" t="s">
        <v>847</v>
      </c>
      <c r="B4810" t="s">
        <v>680</v>
      </c>
      <c r="C4810" s="83">
        <v>46178</v>
      </c>
      <c r="D4810" t="s">
        <v>688</v>
      </c>
      <c r="E4810" t="s">
        <v>732</v>
      </c>
      <c r="F4810">
        <v>3</v>
      </c>
      <c r="G4810">
        <v>3.5069499999999998</v>
      </c>
    </row>
    <row r="4811" spans="1:7" x14ac:dyDescent="0.35">
      <c r="A4811" t="s">
        <v>847</v>
      </c>
      <c r="B4811" t="s">
        <v>680</v>
      </c>
      <c r="C4811" s="83">
        <v>46178</v>
      </c>
      <c r="D4811" t="s">
        <v>690</v>
      </c>
      <c r="E4811" t="s">
        <v>720</v>
      </c>
      <c r="F4811">
        <v>25</v>
      </c>
      <c r="G4811">
        <v>24.641300000000001</v>
      </c>
    </row>
    <row r="4812" spans="1:7" x14ac:dyDescent="0.35">
      <c r="A4812" t="s">
        <v>847</v>
      </c>
      <c r="B4812" t="s">
        <v>680</v>
      </c>
      <c r="C4812" s="83">
        <v>46178</v>
      </c>
      <c r="D4812" t="s">
        <v>690</v>
      </c>
      <c r="E4812" t="s">
        <v>312</v>
      </c>
      <c r="F4812">
        <v>19</v>
      </c>
      <c r="G4812">
        <v>11.8469333333333</v>
      </c>
    </row>
    <row r="4813" spans="1:7" x14ac:dyDescent="0.35">
      <c r="A4813" t="s">
        <v>847</v>
      </c>
      <c r="B4813" t="s">
        <v>680</v>
      </c>
      <c r="C4813" s="83">
        <v>46178</v>
      </c>
      <c r="D4813" t="s">
        <v>690</v>
      </c>
      <c r="E4813" t="s">
        <v>316</v>
      </c>
      <c r="F4813">
        <v>11</v>
      </c>
      <c r="G4813">
        <v>20.667000000000002</v>
      </c>
    </row>
    <row r="4814" spans="1:7" x14ac:dyDescent="0.35">
      <c r="A4814" t="s">
        <v>847</v>
      </c>
      <c r="B4814" t="s">
        <v>680</v>
      </c>
      <c r="C4814" s="83">
        <v>46178</v>
      </c>
      <c r="D4814" t="s">
        <v>685</v>
      </c>
      <c r="E4814" t="s">
        <v>316</v>
      </c>
      <c r="F4814">
        <v>8</v>
      </c>
      <c r="G4814">
        <v>5.49271666666667</v>
      </c>
    </row>
    <row r="4815" spans="1:7" x14ac:dyDescent="0.35">
      <c r="A4815" t="s">
        <v>847</v>
      </c>
      <c r="B4815" t="s">
        <v>680</v>
      </c>
      <c r="C4815" s="83">
        <v>46178</v>
      </c>
      <c r="D4815" t="s">
        <v>685</v>
      </c>
      <c r="E4815" t="s">
        <v>311</v>
      </c>
      <c r="F4815">
        <v>7</v>
      </c>
      <c r="G4815">
        <v>4.8423833333333297</v>
      </c>
    </row>
    <row r="4816" spans="1:7" x14ac:dyDescent="0.35">
      <c r="A4816" t="s">
        <v>847</v>
      </c>
      <c r="B4816" t="s">
        <v>680</v>
      </c>
      <c r="C4816" s="83">
        <v>46178</v>
      </c>
      <c r="D4816" t="s">
        <v>685</v>
      </c>
      <c r="E4816" t="s">
        <v>126</v>
      </c>
      <c r="F4816">
        <v>5</v>
      </c>
      <c r="G4816">
        <v>7.0078166666666704</v>
      </c>
    </row>
    <row r="4817" spans="1:7" x14ac:dyDescent="0.35">
      <c r="A4817" t="s">
        <v>847</v>
      </c>
      <c r="B4817" t="s">
        <v>680</v>
      </c>
      <c r="C4817" s="83">
        <v>46179</v>
      </c>
      <c r="D4817" t="s">
        <v>681</v>
      </c>
      <c r="E4817" t="s">
        <v>296</v>
      </c>
      <c r="F4817">
        <v>13</v>
      </c>
      <c r="G4817">
        <v>8.4933166666666704</v>
      </c>
    </row>
    <row r="4818" spans="1:7" x14ac:dyDescent="0.35">
      <c r="A4818" t="s">
        <v>847</v>
      </c>
      <c r="B4818" t="s">
        <v>680</v>
      </c>
      <c r="C4818" s="83">
        <v>46179</v>
      </c>
      <c r="D4818" t="s">
        <v>681</v>
      </c>
      <c r="E4818" t="s">
        <v>297</v>
      </c>
      <c r="F4818">
        <v>7</v>
      </c>
      <c r="G4818">
        <v>1.68428333333333</v>
      </c>
    </row>
    <row r="4819" spans="1:7" x14ac:dyDescent="0.35">
      <c r="A4819" t="s">
        <v>847</v>
      </c>
      <c r="B4819" t="s">
        <v>680</v>
      </c>
      <c r="C4819" s="83">
        <v>46179</v>
      </c>
      <c r="D4819" t="s">
        <v>681</v>
      </c>
      <c r="E4819" t="s">
        <v>298</v>
      </c>
      <c r="F4819">
        <v>5</v>
      </c>
      <c r="G4819">
        <v>3.49881666666667</v>
      </c>
    </row>
    <row r="4820" spans="1:7" x14ac:dyDescent="0.35">
      <c r="A4820" t="s">
        <v>847</v>
      </c>
      <c r="B4820" t="s">
        <v>680</v>
      </c>
      <c r="C4820" s="83">
        <v>46179</v>
      </c>
      <c r="D4820" t="s">
        <v>683</v>
      </c>
      <c r="E4820" t="s">
        <v>298</v>
      </c>
      <c r="F4820">
        <v>16</v>
      </c>
      <c r="G4820">
        <v>14.4833833333333</v>
      </c>
    </row>
    <row r="4821" spans="1:7" x14ac:dyDescent="0.35">
      <c r="A4821" t="s">
        <v>847</v>
      </c>
      <c r="B4821" t="s">
        <v>680</v>
      </c>
      <c r="C4821" s="83">
        <v>46179</v>
      </c>
      <c r="D4821" t="s">
        <v>683</v>
      </c>
      <c r="E4821" t="s">
        <v>334</v>
      </c>
      <c r="F4821">
        <v>11</v>
      </c>
      <c r="G4821">
        <v>6.6748000000000003</v>
      </c>
    </row>
    <row r="4822" spans="1:7" x14ac:dyDescent="0.35">
      <c r="A4822" t="s">
        <v>847</v>
      </c>
      <c r="B4822" t="s">
        <v>680</v>
      </c>
      <c r="C4822" s="83">
        <v>46179</v>
      </c>
      <c r="D4822" t="s">
        <v>683</v>
      </c>
      <c r="E4822" t="s">
        <v>300</v>
      </c>
      <c r="F4822">
        <v>7</v>
      </c>
      <c r="G4822">
        <v>2.6728999999999998</v>
      </c>
    </row>
    <row r="4823" spans="1:7" x14ac:dyDescent="0.35">
      <c r="A4823" t="s">
        <v>847</v>
      </c>
      <c r="B4823" t="s">
        <v>680</v>
      </c>
      <c r="C4823" s="83">
        <v>46179</v>
      </c>
      <c r="D4823" t="s">
        <v>689</v>
      </c>
      <c r="E4823" t="s">
        <v>298</v>
      </c>
      <c r="F4823">
        <v>16</v>
      </c>
      <c r="G4823">
        <v>11.833866666666699</v>
      </c>
    </row>
    <row r="4824" spans="1:7" x14ac:dyDescent="0.35">
      <c r="A4824" t="s">
        <v>847</v>
      </c>
      <c r="B4824" t="s">
        <v>680</v>
      </c>
      <c r="C4824" s="83">
        <v>46179</v>
      </c>
      <c r="D4824" t="s">
        <v>689</v>
      </c>
      <c r="E4824" t="s">
        <v>297</v>
      </c>
      <c r="F4824">
        <v>5</v>
      </c>
      <c r="G4824">
        <v>6.5101833333333303</v>
      </c>
    </row>
    <row r="4825" spans="1:7" x14ac:dyDescent="0.35">
      <c r="A4825" t="s">
        <v>847</v>
      </c>
      <c r="B4825" t="s">
        <v>680</v>
      </c>
      <c r="C4825" s="83">
        <v>46179</v>
      </c>
      <c r="D4825" t="s">
        <v>689</v>
      </c>
      <c r="E4825" t="s">
        <v>728</v>
      </c>
      <c r="F4825">
        <v>4</v>
      </c>
      <c r="G4825">
        <v>3.1686666666666699</v>
      </c>
    </row>
    <row r="4826" spans="1:7" x14ac:dyDescent="0.35">
      <c r="A4826" t="s">
        <v>847</v>
      </c>
      <c r="B4826" t="s">
        <v>680</v>
      </c>
      <c r="C4826" s="83">
        <v>46179</v>
      </c>
      <c r="D4826" t="s">
        <v>684</v>
      </c>
      <c r="E4826" t="s">
        <v>300</v>
      </c>
      <c r="F4826">
        <v>3</v>
      </c>
      <c r="G4826">
        <v>1.5076166666666699</v>
      </c>
    </row>
    <row r="4827" spans="1:7" x14ac:dyDescent="0.35">
      <c r="A4827" t="s">
        <v>847</v>
      </c>
      <c r="B4827" t="s">
        <v>680</v>
      </c>
      <c r="C4827" s="83">
        <v>46179</v>
      </c>
      <c r="D4827" t="s">
        <v>687</v>
      </c>
      <c r="E4827" t="s">
        <v>717</v>
      </c>
      <c r="F4827">
        <v>3</v>
      </c>
      <c r="G4827">
        <v>1.0080166666666699</v>
      </c>
    </row>
    <row r="4828" spans="1:7" x14ac:dyDescent="0.35">
      <c r="A4828" t="s">
        <v>847</v>
      </c>
      <c r="B4828" t="s">
        <v>680</v>
      </c>
      <c r="C4828" s="83">
        <v>46179</v>
      </c>
      <c r="D4828" t="s">
        <v>687</v>
      </c>
      <c r="E4828" t="s">
        <v>771</v>
      </c>
      <c r="F4828">
        <v>2</v>
      </c>
      <c r="G4828">
        <v>2.1675</v>
      </c>
    </row>
    <row r="4829" spans="1:7" x14ac:dyDescent="0.35">
      <c r="A4829" t="s">
        <v>847</v>
      </c>
      <c r="B4829" t="s">
        <v>680</v>
      </c>
      <c r="C4829" s="83">
        <v>46179</v>
      </c>
      <c r="D4829" t="s">
        <v>687</v>
      </c>
      <c r="E4829" t="s">
        <v>735</v>
      </c>
      <c r="F4829">
        <v>2</v>
      </c>
      <c r="G4829">
        <v>0.50038333333333296</v>
      </c>
    </row>
    <row r="4830" spans="1:7" x14ac:dyDescent="0.35">
      <c r="A4830" t="s">
        <v>847</v>
      </c>
      <c r="B4830" t="s">
        <v>680</v>
      </c>
      <c r="C4830" s="83">
        <v>46179</v>
      </c>
      <c r="D4830" t="s">
        <v>688</v>
      </c>
      <c r="E4830" t="s">
        <v>720</v>
      </c>
      <c r="F4830">
        <v>27</v>
      </c>
      <c r="G4830">
        <v>28.853866666666701</v>
      </c>
    </row>
    <row r="4831" spans="1:7" x14ac:dyDescent="0.35">
      <c r="A4831" t="s">
        <v>847</v>
      </c>
      <c r="B4831" t="s">
        <v>680</v>
      </c>
      <c r="C4831" s="83">
        <v>46179</v>
      </c>
      <c r="D4831" t="s">
        <v>688</v>
      </c>
      <c r="E4831" t="s">
        <v>312</v>
      </c>
      <c r="F4831">
        <v>5</v>
      </c>
      <c r="G4831">
        <v>3.6823666666666699</v>
      </c>
    </row>
    <row r="4832" spans="1:7" x14ac:dyDescent="0.35">
      <c r="A4832" t="s">
        <v>847</v>
      </c>
      <c r="B4832" t="s">
        <v>680</v>
      </c>
      <c r="C4832" s="83">
        <v>46179</v>
      </c>
      <c r="D4832" t="s">
        <v>688</v>
      </c>
      <c r="E4832" t="s">
        <v>316</v>
      </c>
      <c r="F4832">
        <v>5</v>
      </c>
      <c r="G4832">
        <v>1.34771666666667</v>
      </c>
    </row>
    <row r="4833" spans="1:7" x14ac:dyDescent="0.35">
      <c r="A4833" t="s">
        <v>847</v>
      </c>
      <c r="B4833" t="s">
        <v>680</v>
      </c>
      <c r="C4833" s="83">
        <v>46179</v>
      </c>
      <c r="D4833" t="s">
        <v>690</v>
      </c>
      <c r="E4833" t="s">
        <v>321</v>
      </c>
      <c r="F4833">
        <v>6</v>
      </c>
      <c r="G4833">
        <v>2.33195</v>
      </c>
    </row>
    <row r="4834" spans="1:7" x14ac:dyDescent="0.35">
      <c r="A4834" t="s">
        <v>847</v>
      </c>
      <c r="B4834" t="s">
        <v>680</v>
      </c>
      <c r="C4834" s="83">
        <v>46179</v>
      </c>
      <c r="D4834" t="s">
        <v>690</v>
      </c>
      <c r="E4834" t="s">
        <v>311</v>
      </c>
      <c r="F4834">
        <v>6</v>
      </c>
      <c r="G4834">
        <v>2.84181666666667</v>
      </c>
    </row>
    <row r="4835" spans="1:7" x14ac:dyDescent="0.35">
      <c r="A4835" t="s">
        <v>847</v>
      </c>
      <c r="B4835" t="s">
        <v>680</v>
      </c>
      <c r="C4835" s="83">
        <v>46179</v>
      </c>
      <c r="D4835" t="s">
        <v>690</v>
      </c>
      <c r="E4835" t="s">
        <v>316</v>
      </c>
      <c r="F4835">
        <v>4</v>
      </c>
      <c r="G4835">
        <v>1.1746666666666701</v>
      </c>
    </row>
    <row r="4836" spans="1:7" x14ac:dyDescent="0.35">
      <c r="A4836" t="s">
        <v>847</v>
      </c>
      <c r="B4836" t="s">
        <v>680</v>
      </c>
      <c r="C4836" s="83">
        <v>46179</v>
      </c>
      <c r="D4836" t="s">
        <v>685</v>
      </c>
      <c r="E4836" t="s">
        <v>126</v>
      </c>
      <c r="F4836">
        <v>12</v>
      </c>
      <c r="G4836">
        <v>12.8509166666667</v>
      </c>
    </row>
    <row r="4837" spans="1:7" x14ac:dyDescent="0.35">
      <c r="A4837" t="s">
        <v>847</v>
      </c>
      <c r="B4837" t="s">
        <v>680</v>
      </c>
      <c r="C4837" s="83">
        <v>46179</v>
      </c>
      <c r="D4837" t="s">
        <v>685</v>
      </c>
      <c r="E4837" t="s">
        <v>316</v>
      </c>
      <c r="F4837">
        <v>8</v>
      </c>
      <c r="G4837">
        <v>2.8389500000000001</v>
      </c>
    </row>
    <row r="4838" spans="1:7" x14ac:dyDescent="0.35">
      <c r="A4838" t="s">
        <v>847</v>
      </c>
      <c r="B4838" t="s">
        <v>680</v>
      </c>
      <c r="C4838" s="83">
        <v>46179</v>
      </c>
      <c r="D4838" t="s">
        <v>685</v>
      </c>
      <c r="E4838" t="s">
        <v>338</v>
      </c>
      <c r="F4838">
        <v>6</v>
      </c>
      <c r="G4838">
        <v>5.1834833333333297</v>
      </c>
    </row>
    <row r="4839" spans="1:7" x14ac:dyDescent="0.35">
      <c r="A4839" t="s">
        <v>847</v>
      </c>
      <c r="B4839" t="s">
        <v>680</v>
      </c>
      <c r="C4839" s="83">
        <v>46180</v>
      </c>
      <c r="D4839" t="s">
        <v>681</v>
      </c>
      <c r="E4839" t="s">
        <v>296</v>
      </c>
      <c r="F4839">
        <v>13</v>
      </c>
      <c r="G4839">
        <v>3.5303</v>
      </c>
    </row>
    <row r="4840" spans="1:7" x14ac:dyDescent="0.35">
      <c r="A4840" t="s">
        <v>847</v>
      </c>
      <c r="B4840" t="s">
        <v>680</v>
      </c>
      <c r="C4840" s="83">
        <v>46180</v>
      </c>
      <c r="D4840" t="s">
        <v>681</v>
      </c>
      <c r="E4840" t="s">
        <v>297</v>
      </c>
      <c r="F4840">
        <v>11</v>
      </c>
      <c r="G4840">
        <v>9.5175999999999998</v>
      </c>
    </row>
    <row r="4841" spans="1:7" x14ac:dyDescent="0.35">
      <c r="A4841" t="s">
        <v>847</v>
      </c>
      <c r="B4841" t="s">
        <v>680</v>
      </c>
      <c r="C4841" s="83">
        <v>46180</v>
      </c>
      <c r="D4841" t="s">
        <v>681</v>
      </c>
      <c r="E4841" t="s">
        <v>298</v>
      </c>
      <c r="F4841">
        <v>5</v>
      </c>
      <c r="G4841">
        <v>5.8406500000000001</v>
      </c>
    </row>
    <row r="4842" spans="1:7" x14ac:dyDescent="0.35">
      <c r="A4842" t="s">
        <v>847</v>
      </c>
      <c r="B4842" t="s">
        <v>680</v>
      </c>
      <c r="C4842" s="83">
        <v>46180</v>
      </c>
      <c r="D4842" t="s">
        <v>683</v>
      </c>
      <c r="E4842" t="s">
        <v>730</v>
      </c>
      <c r="F4842">
        <v>9</v>
      </c>
      <c r="G4842">
        <v>8.6672999999999991</v>
      </c>
    </row>
    <row r="4843" spans="1:7" x14ac:dyDescent="0.35">
      <c r="A4843" t="s">
        <v>847</v>
      </c>
      <c r="B4843" t="s">
        <v>680</v>
      </c>
      <c r="C4843" s="83">
        <v>46180</v>
      </c>
      <c r="D4843" t="s">
        <v>683</v>
      </c>
      <c r="E4843" t="s">
        <v>298</v>
      </c>
      <c r="F4843">
        <v>9</v>
      </c>
      <c r="G4843">
        <v>20.491199999999999</v>
      </c>
    </row>
    <row r="4844" spans="1:7" x14ac:dyDescent="0.35">
      <c r="A4844" t="s">
        <v>847</v>
      </c>
      <c r="B4844" t="s">
        <v>680</v>
      </c>
      <c r="C4844" s="83">
        <v>46180</v>
      </c>
      <c r="D4844" t="s">
        <v>683</v>
      </c>
      <c r="E4844" t="s">
        <v>736</v>
      </c>
      <c r="F4844">
        <v>5</v>
      </c>
      <c r="G4844">
        <v>4.4994333333333296</v>
      </c>
    </row>
    <row r="4845" spans="1:7" x14ac:dyDescent="0.35">
      <c r="A4845" t="s">
        <v>847</v>
      </c>
      <c r="B4845" t="s">
        <v>680</v>
      </c>
      <c r="C4845" s="83">
        <v>46180</v>
      </c>
      <c r="D4845" t="s">
        <v>689</v>
      </c>
      <c r="E4845" t="s">
        <v>298</v>
      </c>
      <c r="F4845">
        <v>6</v>
      </c>
      <c r="G4845">
        <v>6.8267833333333297</v>
      </c>
    </row>
    <row r="4846" spans="1:7" x14ac:dyDescent="0.35">
      <c r="A4846" t="s">
        <v>847</v>
      </c>
      <c r="B4846" t="s">
        <v>680</v>
      </c>
      <c r="C4846" s="83">
        <v>46180</v>
      </c>
      <c r="D4846" t="s">
        <v>689</v>
      </c>
      <c r="E4846" t="s">
        <v>300</v>
      </c>
      <c r="F4846">
        <v>5</v>
      </c>
      <c r="G4846">
        <v>6.1659499999999996</v>
      </c>
    </row>
    <row r="4847" spans="1:7" x14ac:dyDescent="0.35">
      <c r="A4847" t="s">
        <v>847</v>
      </c>
      <c r="B4847" t="s">
        <v>680</v>
      </c>
      <c r="C4847" s="83">
        <v>46180</v>
      </c>
      <c r="D4847" t="s">
        <v>689</v>
      </c>
      <c r="E4847" t="s">
        <v>297</v>
      </c>
      <c r="F4847">
        <v>3</v>
      </c>
      <c r="G4847">
        <v>2.8271166666666701</v>
      </c>
    </row>
    <row r="4848" spans="1:7" x14ac:dyDescent="0.35">
      <c r="A4848" t="s">
        <v>847</v>
      </c>
      <c r="B4848" t="s">
        <v>680</v>
      </c>
      <c r="C4848" s="83">
        <v>46180</v>
      </c>
      <c r="D4848" t="s">
        <v>684</v>
      </c>
      <c r="E4848" t="s">
        <v>300</v>
      </c>
      <c r="F4848">
        <v>4</v>
      </c>
      <c r="G4848">
        <v>7.3354999999999997</v>
      </c>
    </row>
    <row r="4849" spans="1:7" x14ac:dyDescent="0.35">
      <c r="A4849" t="s">
        <v>847</v>
      </c>
      <c r="B4849" t="s">
        <v>680</v>
      </c>
      <c r="C4849" s="83">
        <v>46180</v>
      </c>
      <c r="D4849" t="s">
        <v>684</v>
      </c>
      <c r="E4849" t="s">
        <v>304</v>
      </c>
      <c r="F4849">
        <v>2</v>
      </c>
      <c r="G4849">
        <v>0.16655</v>
      </c>
    </row>
    <row r="4850" spans="1:7" x14ac:dyDescent="0.35">
      <c r="A4850" t="s">
        <v>847</v>
      </c>
      <c r="B4850" t="s">
        <v>680</v>
      </c>
      <c r="C4850" s="83">
        <v>46180</v>
      </c>
      <c r="D4850" t="s">
        <v>684</v>
      </c>
      <c r="E4850" t="s">
        <v>298</v>
      </c>
      <c r="F4850">
        <v>2</v>
      </c>
      <c r="G4850">
        <v>0.99981666666666702</v>
      </c>
    </row>
    <row r="4851" spans="1:7" x14ac:dyDescent="0.35">
      <c r="A4851" t="s">
        <v>847</v>
      </c>
      <c r="B4851" t="s">
        <v>680</v>
      </c>
      <c r="C4851" s="83">
        <v>46180</v>
      </c>
      <c r="D4851" t="s">
        <v>687</v>
      </c>
      <c r="E4851" t="s">
        <v>718</v>
      </c>
      <c r="F4851">
        <v>3</v>
      </c>
      <c r="G4851">
        <v>2.3402500000000002</v>
      </c>
    </row>
    <row r="4852" spans="1:7" x14ac:dyDescent="0.35">
      <c r="A4852" t="s">
        <v>847</v>
      </c>
      <c r="B4852" t="s">
        <v>680</v>
      </c>
      <c r="C4852" s="83">
        <v>46180</v>
      </c>
      <c r="D4852" t="s">
        <v>687</v>
      </c>
      <c r="E4852" t="s">
        <v>717</v>
      </c>
      <c r="F4852">
        <v>2</v>
      </c>
      <c r="G4852">
        <v>0.173116666666667</v>
      </c>
    </row>
    <row r="4853" spans="1:7" x14ac:dyDescent="0.35">
      <c r="A4853" t="s">
        <v>847</v>
      </c>
      <c r="B4853" t="s">
        <v>680</v>
      </c>
      <c r="C4853" s="83">
        <v>46180</v>
      </c>
      <c r="D4853" t="s">
        <v>688</v>
      </c>
      <c r="E4853" t="s">
        <v>720</v>
      </c>
      <c r="F4853">
        <v>11</v>
      </c>
      <c r="G4853">
        <v>14.18295</v>
      </c>
    </row>
    <row r="4854" spans="1:7" x14ac:dyDescent="0.35">
      <c r="A4854" t="s">
        <v>847</v>
      </c>
      <c r="B4854" t="s">
        <v>680</v>
      </c>
      <c r="C4854" s="83">
        <v>46180</v>
      </c>
      <c r="D4854" t="s">
        <v>688</v>
      </c>
      <c r="E4854" t="s">
        <v>316</v>
      </c>
      <c r="F4854">
        <v>2</v>
      </c>
      <c r="G4854">
        <v>0.166833333333333</v>
      </c>
    </row>
    <row r="4855" spans="1:7" x14ac:dyDescent="0.35">
      <c r="A4855" t="s">
        <v>847</v>
      </c>
      <c r="B4855" t="s">
        <v>680</v>
      </c>
      <c r="C4855" s="83">
        <v>46180</v>
      </c>
      <c r="D4855" t="s">
        <v>688</v>
      </c>
      <c r="E4855" t="s">
        <v>337</v>
      </c>
      <c r="F4855">
        <v>2</v>
      </c>
      <c r="G4855">
        <v>4.0001333333333298</v>
      </c>
    </row>
    <row r="4856" spans="1:7" x14ac:dyDescent="0.35">
      <c r="A4856" t="s">
        <v>847</v>
      </c>
      <c r="B4856" t="s">
        <v>680</v>
      </c>
      <c r="C4856" s="83">
        <v>46180</v>
      </c>
      <c r="D4856" t="s">
        <v>690</v>
      </c>
      <c r="E4856" t="s">
        <v>725</v>
      </c>
      <c r="F4856">
        <v>4</v>
      </c>
      <c r="G4856">
        <v>1.6757166666666701</v>
      </c>
    </row>
    <row r="4857" spans="1:7" x14ac:dyDescent="0.35">
      <c r="A4857" t="s">
        <v>847</v>
      </c>
      <c r="B4857" t="s">
        <v>680</v>
      </c>
      <c r="C4857" s="83">
        <v>46180</v>
      </c>
      <c r="D4857" t="s">
        <v>690</v>
      </c>
      <c r="E4857" t="s">
        <v>311</v>
      </c>
      <c r="F4857">
        <v>4</v>
      </c>
      <c r="G4857">
        <v>4.1584833333333302</v>
      </c>
    </row>
    <row r="4858" spans="1:7" x14ac:dyDescent="0.35">
      <c r="A4858" t="s">
        <v>847</v>
      </c>
      <c r="B4858" t="s">
        <v>680</v>
      </c>
      <c r="C4858" s="83">
        <v>46180</v>
      </c>
      <c r="D4858" t="s">
        <v>690</v>
      </c>
      <c r="E4858" t="s">
        <v>321</v>
      </c>
      <c r="F4858">
        <v>2</v>
      </c>
      <c r="G4858">
        <v>0.508083333333333</v>
      </c>
    </row>
    <row r="4859" spans="1:7" x14ac:dyDescent="0.35">
      <c r="A4859" t="s">
        <v>847</v>
      </c>
      <c r="B4859" t="s">
        <v>680</v>
      </c>
      <c r="C4859" s="83">
        <v>46180</v>
      </c>
      <c r="D4859" t="s">
        <v>685</v>
      </c>
      <c r="E4859" t="s">
        <v>126</v>
      </c>
      <c r="F4859">
        <v>5</v>
      </c>
      <c r="G4859">
        <v>2.5055999999999998</v>
      </c>
    </row>
    <row r="4860" spans="1:7" x14ac:dyDescent="0.35">
      <c r="A4860" t="s">
        <v>847</v>
      </c>
      <c r="B4860" t="s">
        <v>680</v>
      </c>
      <c r="C4860" s="83">
        <v>46180</v>
      </c>
      <c r="D4860" t="s">
        <v>685</v>
      </c>
      <c r="E4860" t="s">
        <v>311</v>
      </c>
      <c r="F4860">
        <v>3</v>
      </c>
      <c r="G4860">
        <v>3.3394499999999998</v>
      </c>
    </row>
    <row r="4861" spans="1:7" x14ac:dyDescent="0.35">
      <c r="A4861" t="s">
        <v>847</v>
      </c>
      <c r="B4861" t="s">
        <v>680</v>
      </c>
      <c r="C4861" s="83">
        <v>46180</v>
      </c>
      <c r="D4861" t="s">
        <v>685</v>
      </c>
      <c r="E4861" t="s">
        <v>720</v>
      </c>
      <c r="F4861">
        <v>3</v>
      </c>
      <c r="G4861">
        <v>1.8284</v>
      </c>
    </row>
    <row r="4862" spans="1:7" x14ac:dyDescent="0.35">
      <c r="A4862" t="s">
        <v>847</v>
      </c>
      <c r="B4862" t="s">
        <v>680</v>
      </c>
      <c r="C4862" s="83">
        <v>46183</v>
      </c>
      <c r="D4862" t="s">
        <v>681</v>
      </c>
      <c r="E4862" t="s">
        <v>304</v>
      </c>
      <c r="F4862">
        <v>2</v>
      </c>
      <c r="G4862">
        <v>652.61865</v>
      </c>
    </row>
    <row r="4863" spans="1:7" x14ac:dyDescent="0.35">
      <c r="A4863" t="s">
        <v>847</v>
      </c>
      <c r="B4863" t="s">
        <v>680</v>
      </c>
      <c r="C4863" s="83">
        <v>46183</v>
      </c>
      <c r="D4863" t="s">
        <v>683</v>
      </c>
      <c r="E4863" t="s">
        <v>334</v>
      </c>
      <c r="F4863">
        <v>2</v>
      </c>
      <c r="G4863">
        <v>652.61890000000005</v>
      </c>
    </row>
    <row r="4864" spans="1:7" x14ac:dyDescent="0.35">
      <c r="A4864" t="s">
        <v>847</v>
      </c>
      <c r="B4864" t="s">
        <v>680</v>
      </c>
      <c r="C4864" s="83">
        <v>46184</v>
      </c>
      <c r="D4864" t="s">
        <v>681</v>
      </c>
      <c r="E4864" t="s">
        <v>304</v>
      </c>
      <c r="F4864">
        <v>1</v>
      </c>
      <c r="G4864">
        <v>682.66653333333295</v>
      </c>
    </row>
    <row r="4865" spans="1:7" x14ac:dyDescent="0.35">
      <c r="A4865" t="s">
        <v>847</v>
      </c>
      <c r="B4865" t="s">
        <v>680</v>
      </c>
      <c r="C4865" s="83">
        <v>46184</v>
      </c>
      <c r="D4865" t="s">
        <v>683</v>
      </c>
      <c r="E4865" t="s">
        <v>334</v>
      </c>
      <c r="F4865">
        <v>1</v>
      </c>
      <c r="G4865">
        <v>543.98749999999995</v>
      </c>
    </row>
    <row r="4866" spans="1:7" x14ac:dyDescent="0.35">
      <c r="A4866" t="s">
        <v>847</v>
      </c>
      <c r="B4866" t="s">
        <v>680</v>
      </c>
      <c r="C4866" s="83">
        <v>46186</v>
      </c>
      <c r="D4866" t="s">
        <v>681</v>
      </c>
      <c r="E4866" t="s">
        <v>304</v>
      </c>
      <c r="F4866">
        <v>1</v>
      </c>
      <c r="G4866">
        <v>6.16655</v>
      </c>
    </row>
    <row r="4867" spans="1:7" x14ac:dyDescent="0.35">
      <c r="A4867" t="s">
        <v>847</v>
      </c>
      <c r="B4867" t="s">
        <v>680</v>
      </c>
      <c r="C4867" s="83">
        <v>46188</v>
      </c>
      <c r="D4867" t="s">
        <v>681</v>
      </c>
      <c r="E4867" t="s">
        <v>304</v>
      </c>
      <c r="F4867">
        <v>1</v>
      </c>
      <c r="G4867">
        <v>88.093199999999996</v>
      </c>
    </row>
    <row r="4868" spans="1:7" x14ac:dyDescent="0.35">
      <c r="A4868" t="s">
        <v>847</v>
      </c>
      <c r="B4868" t="s">
        <v>680</v>
      </c>
      <c r="C4868" s="83">
        <v>46188</v>
      </c>
      <c r="D4868" t="s">
        <v>683</v>
      </c>
      <c r="E4868" t="s">
        <v>334</v>
      </c>
      <c r="F4868">
        <v>1</v>
      </c>
      <c r="G4868">
        <v>87.092433333333304</v>
      </c>
    </row>
    <row r="4869" spans="1:7" x14ac:dyDescent="0.35">
      <c r="A4869" t="s">
        <v>847</v>
      </c>
      <c r="B4869" t="s">
        <v>680</v>
      </c>
      <c r="C4869" s="83">
        <v>46189</v>
      </c>
      <c r="D4869" t="s">
        <v>681</v>
      </c>
      <c r="E4869" t="s">
        <v>304</v>
      </c>
      <c r="F4869">
        <v>1</v>
      </c>
      <c r="G4869">
        <v>658.63996666666696</v>
      </c>
    </row>
    <row r="4870" spans="1:7" x14ac:dyDescent="0.35">
      <c r="A4870" t="s">
        <v>847</v>
      </c>
      <c r="B4870" t="s">
        <v>680</v>
      </c>
      <c r="C4870" s="83">
        <v>46189</v>
      </c>
      <c r="D4870" t="s">
        <v>683</v>
      </c>
      <c r="E4870" t="s">
        <v>334</v>
      </c>
      <c r="F4870">
        <v>1</v>
      </c>
      <c r="G4870">
        <v>658.63996666666696</v>
      </c>
    </row>
    <row r="4871" spans="1:7" x14ac:dyDescent="0.35">
      <c r="A4871" t="s">
        <v>847</v>
      </c>
      <c r="B4871" t="s">
        <v>680</v>
      </c>
      <c r="C4871" s="83">
        <v>46190</v>
      </c>
      <c r="D4871" t="s">
        <v>681</v>
      </c>
      <c r="E4871" t="s">
        <v>296</v>
      </c>
      <c r="F4871">
        <v>8</v>
      </c>
      <c r="G4871">
        <v>13.843</v>
      </c>
    </row>
    <row r="4872" spans="1:7" x14ac:dyDescent="0.35">
      <c r="A4872" t="s">
        <v>847</v>
      </c>
      <c r="B4872" t="s">
        <v>680</v>
      </c>
      <c r="C4872" s="83">
        <v>46190</v>
      </c>
      <c r="D4872" t="s">
        <v>681</v>
      </c>
      <c r="E4872" t="s">
        <v>332</v>
      </c>
      <c r="F4872">
        <v>7</v>
      </c>
      <c r="G4872">
        <v>3.3081833333333299</v>
      </c>
    </row>
    <row r="4873" spans="1:7" x14ac:dyDescent="0.35">
      <c r="A4873" t="s">
        <v>847</v>
      </c>
      <c r="B4873" t="s">
        <v>680</v>
      </c>
      <c r="C4873" s="83">
        <v>46190</v>
      </c>
      <c r="D4873" t="s">
        <v>681</v>
      </c>
      <c r="E4873" t="s">
        <v>334</v>
      </c>
      <c r="F4873">
        <v>4</v>
      </c>
      <c r="G4873">
        <v>2.1592500000000001</v>
      </c>
    </row>
    <row r="4874" spans="1:7" x14ac:dyDescent="0.35">
      <c r="A4874" t="s">
        <v>847</v>
      </c>
      <c r="B4874" t="s">
        <v>680</v>
      </c>
      <c r="C4874" s="83">
        <v>46190</v>
      </c>
      <c r="D4874" t="s">
        <v>683</v>
      </c>
      <c r="E4874" t="s">
        <v>730</v>
      </c>
      <c r="F4874">
        <v>32</v>
      </c>
      <c r="G4874">
        <v>38.140966666666699</v>
      </c>
    </row>
    <row r="4875" spans="1:7" x14ac:dyDescent="0.35">
      <c r="A4875" t="s">
        <v>847</v>
      </c>
      <c r="B4875" t="s">
        <v>680</v>
      </c>
      <c r="C4875" s="83">
        <v>46190</v>
      </c>
      <c r="D4875" t="s">
        <v>683</v>
      </c>
      <c r="E4875" t="s">
        <v>756</v>
      </c>
      <c r="F4875">
        <v>6</v>
      </c>
      <c r="G4875">
        <v>1.4994333333333301</v>
      </c>
    </row>
    <row r="4876" spans="1:7" x14ac:dyDescent="0.35">
      <c r="A4876" t="s">
        <v>847</v>
      </c>
      <c r="B4876" t="s">
        <v>680</v>
      </c>
      <c r="C4876" s="83">
        <v>46190</v>
      </c>
      <c r="D4876" t="s">
        <v>683</v>
      </c>
      <c r="E4876" t="s">
        <v>296</v>
      </c>
      <c r="F4876">
        <v>5</v>
      </c>
      <c r="G4876">
        <v>2.4980000000000002</v>
      </c>
    </row>
    <row r="4877" spans="1:7" x14ac:dyDescent="0.35">
      <c r="A4877" t="s">
        <v>847</v>
      </c>
      <c r="B4877" t="s">
        <v>680</v>
      </c>
      <c r="C4877" s="83">
        <v>46190</v>
      </c>
      <c r="D4877" t="s">
        <v>689</v>
      </c>
      <c r="E4877" t="s">
        <v>297</v>
      </c>
      <c r="F4877">
        <v>16</v>
      </c>
      <c r="G4877">
        <v>11.0400166666667</v>
      </c>
    </row>
    <row r="4878" spans="1:7" x14ac:dyDescent="0.35">
      <c r="A4878" t="s">
        <v>847</v>
      </c>
      <c r="B4878" t="s">
        <v>680</v>
      </c>
      <c r="C4878" s="83">
        <v>46190</v>
      </c>
      <c r="D4878" t="s">
        <v>689</v>
      </c>
      <c r="E4878" t="s">
        <v>296</v>
      </c>
      <c r="F4878">
        <v>6</v>
      </c>
      <c r="G4878">
        <v>1.8436999999999999</v>
      </c>
    </row>
    <row r="4879" spans="1:7" x14ac:dyDescent="0.35">
      <c r="A4879" t="s">
        <v>847</v>
      </c>
      <c r="B4879" t="s">
        <v>680</v>
      </c>
      <c r="C4879" s="83">
        <v>46190</v>
      </c>
      <c r="D4879" t="s">
        <v>689</v>
      </c>
      <c r="E4879" t="s">
        <v>298</v>
      </c>
      <c r="F4879">
        <v>4</v>
      </c>
      <c r="G4879">
        <v>0.65964999999999996</v>
      </c>
    </row>
    <row r="4880" spans="1:7" x14ac:dyDescent="0.35">
      <c r="A4880" t="s">
        <v>847</v>
      </c>
      <c r="B4880" t="s">
        <v>680</v>
      </c>
      <c r="C4880" s="83">
        <v>46190</v>
      </c>
      <c r="D4880" t="s">
        <v>684</v>
      </c>
      <c r="E4880" t="s">
        <v>334</v>
      </c>
      <c r="F4880">
        <v>2</v>
      </c>
      <c r="G4880">
        <v>32.840666666666699</v>
      </c>
    </row>
    <row r="4881" spans="1:7" x14ac:dyDescent="0.35">
      <c r="A4881" t="s">
        <v>847</v>
      </c>
      <c r="B4881" t="s">
        <v>680</v>
      </c>
      <c r="C4881" s="83">
        <v>46190</v>
      </c>
      <c r="D4881" t="s">
        <v>684</v>
      </c>
      <c r="E4881" t="s">
        <v>296</v>
      </c>
      <c r="F4881">
        <v>2</v>
      </c>
      <c r="G4881">
        <v>24.161999999999999</v>
      </c>
    </row>
    <row r="4882" spans="1:7" x14ac:dyDescent="0.35">
      <c r="A4882" t="s">
        <v>847</v>
      </c>
      <c r="B4882" t="s">
        <v>680</v>
      </c>
      <c r="C4882" s="83">
        <v>46190</v>
      </c>
      <c r="D4882" t="s">
        <v>684</v>
      </c>
      <c r="E4882" t="s">
        <v>298</v>
      </c>
      <c r="F4882">
        <v>2</v>
      </c>
      <c r="G4882">
        <v>0.67403333333333304</v>
      </c>
    </row>
    <row r="4883" spans="1:7" x14ac:dyDescent="0.35">
      <c r="A4883" t="s">
        <v>847</v>
      </c>
      <c r="B4883" t="s">
        <v>680</v>
      </c>
      <c r="C4883" s="83">
        <v>46190</v>
      </c>
      <c r="D4883" t="s">
        <v>687</v>
      </c>
      <c r="E4883" t="s">
        <v>746</v>
      </c>
      <c r="F4883">
        <v>5</v>
      </c>
      <c r="G4883">
        <v>6.6718833333333301</v>
      </c>
    </row>
    <row r="4884" spans="1:7" x14ac:dyDescent="0.35">
      <c r="A4884" t="s">
        <v>847</v>
      </c>
      <c r="B4884" t="s">
        <v>680</v>
      </c>
      <c r="C4884" s="83">
        <v>46190</v>
      </c>
      <c r="D4884" t="s">
        <v>687</v>
      </c>
      <c r="E4884" t="s">
        <v>718</v>
      </c>
      <c r="F4884">
        <v>2</v>
      </c>
      <c r="G4884">
        <v>0.333133333333333</v>
      </c>
    </row>
    <row r="4885" spans="1:7" x14ac:dyDescent="0.35">
      <c r="A4885" t="s">
        <v>847</v>
      </c>
      <c r="B4885" t="s">
        <v>680</v>
      </c>
      <c r="C4885" s="83">
        <v>46190</v>
      </c>
      <c r="D4885" t="s">
        <v>687</v>
      </c>
      <c r="E4885" t="s">
        <v>729</v>
      </c>
      <c r="F4885">
        <v>2</v>
      </c>
      <c r="G4885">
        <v>0.50033333333333296</v>
      </c>
    </row>
    <row r="4886" spans="1:7" x14ac:dyDescent="0.35">
      <c r="A4886" t="s">
        <v>847</v>
      </c>
      <c r="B4886" t="s">
        <v>680</v>
      </c>
      <c r="C4886" s="83">
        <v>46190</v>
      </c>
      <c r="D4886" t="s">
        <v>688</v>
      </c>
      <c r="E4886" t="s">
        <v>316</v>
      </c>
      <c r="F4886">
        <v>3</v>
      </c>
      <c r="G4886">
        <v>929.08503333333294</v>
      </c>
    </row>
    <row r="4887" spans="1:7" x14ac:dyDescent="0.35">
      <c r="A4887" t="s">
        <v>847</v>
      </c>
      <c r="B4887" t="s">
        <v>680</v>
      </c>
      <c r="C4887" s="83">
        <v>46190</v>
      </c>
      <c r="D4887" t="s">
        <v>688</v>
      </c>
      <c r="E4887" t="s">
        <v>311</v>
      </c>
      <c r="F4887">
        <v>2</v>
      </c>
      <c r="G4887">
        <v>0.49786666666666701</v>
      </c>
    </row>
    <row r="4888" spans="1:7" x14ac:dyDescent="0.35">
      <c r="A4888" t="s">
        <v>847</v>
      </c>
      <c r="B4888" t="s">
        <v>680</v>
      </c>
      <c r="C4888" s="83">
        <v>46190</v>
      </c>
      <c r="D4888" t="s">
        <v>688</v>
      </c>
      <c r="E4888" t="s">
        <v>321</v>
      </c>
      <c r="F4888">
        <v>2</v>
      </c>
      <c r="G4888">
        <v>0.16648333333333301</v>
      </c>
    </row>
    <row r="4889" spans="1:7" x14ac:dyDescent="0.35">
      <c r="A4889" t="s">
        <v>847</v>
      </c>
      <c r="B4889" t="s">
        <v>680</v>
      </c>
      <c r="C4889" s="83">
        <v>46190</v>
      </c>
      <c r="D4889" t="s">
        <v>690</v>
      </c>
      <c r="E4889" t="s">
        <v>721</v>
      </c>
      <c r="F4889">
        <v>15</v>
      </c>
      <c r="G4889">
        <v>975.757383333333</v>
      </c>
    </row>
    <row r="4890" spans="1:7" x14ac:dyDescent="0.35">
      <c r="A4890" t="s">
        <v>847</v>
      </c>
      <c r="B4890" t="s">
        <v>680</v>
      </c>
      <c r="C4890" s="83">
        <v>46190</v>
      </c>
      <c r="D4890" t="s">
        <v>690</v>
      </c>
      <c r="E4890" t="s">
        <v>311</v>
      </c>
      <c r="F4890">
        <v>4</v>
      </c>
      <c r="G4890">
        <v>3.1674333333333302</v>
      </c>
    </row>
    <row r="4891" spans="1:7" x14ac:dyDescent="0.35">
      <c r="A4891" t="s">
        <v>847</v>
      </c>
      <c r="B4891" t="s">
        <v>680</v>
      </c>
      <c r="C4891" s="83">
        <v>46190</v>
      </c>
      <c r="D4891" t="s">
        <v>690</v>
      </c>
      <c r="E4891" t="s">
        <v>321</v>
      </c>
      <c r="F4891">
        <v>2</v>
      </c>
      <c r="G4891">
        <v>0.50844999999999996</v>
      </c>
    </row>
    <row r="4892" spans="1:7" x14ac:dyDescent="0.35">
      <c r="A4892" t="s">
        <v>847</v>
      </c>
      <c r="B4892" t="s">
        <v>680</v>
      </c>
      <c r="C4892" s="83">
        <v>46190</v>
      </c>
      <c r="D4892" t="s">
        <v>685</v>
      </c>
      <c r="E4892" t="s">
        <v>311</v>
      </c>
      <c r="F4892">
        <v>3</v>
      </c>
      <c r="G4892">
        <v>0.83284999999999998</v>
      </c>
    </row>
    <row r="4893" spans="1:7" x14ac:dyDescent="0.35">
      <c r="A4893" t="s">
        <v>847</v>
      </c>
      <c r="B4893" t="s">
        <v>680</v>
      </c>
      <c r="C4893" s="83">
        <v>46190</v>
      </c>
      <c r="D4893" t="s">
        <v>685</v>
      </c>
      <c r="E4893" t="s">
        <v>338</v>
      </c>
      <c r="F4893">
        <v>2</v>
      </c>
      <c r="G4893">
        <v>0.6603</v>
      </c>
    </row>
    <row r="4894" spans="1:7" x14ac:dyDescent="0.35">
      <c r="A4894" t="s">
        <v>847</v>
      </c>
      <c r="B4894" t="s">
        <v>680</v>
      </c>
      <c r="C4894" s="83">
        <v>46190</v>
      </c>
      <c r="D4894" t="s">
        <v>685</v>
      </c>
      <c r="E4894" t="s">
        <v>720</v>
      </c>
      <c r="F4894">
        <v>2</v>
      </c>
      <c r="G4894">
        <v>0.33389999999999997</v>
      </c>
    </row>
    <row r="4895" spans="1:7" x14ac:dyDescent="0.35">
      <c r="A4895" t="s">
        <v>847</v>
      </c>
      <c r="B4895" t="s">
        <v>680</v>
      </c>
      <c r="C4895" s="83">
        <v>46191</v>
      </c>
      <c r="D4895" t="s">
        <v>681</v>
      </c>
      <c r="E4895" t="s">
        <v>297</v>
      </c>
      <c r="F4895">
        <v>24</v>
      </c>
      <c r="G4895">
        <v>8.3307166666666692</v>
      </c>
    </row>
    <row r="4896" spans="1:7" x14ac:dyDescent="0.35">
      <c r="A4896" t="s">
        <v>847</v>
      </c>
      <c r="B4896" t="s">
        <v>680</v>
      </c>
      <c r="C4896" s="83">
        <v>46191</v>
      </c>
      <c r="D4896" t="s">
        <v>681</v>
      </c>
      <c r="E4896" t="s">
        <v>332</v>
      </c>
      <c r="F4896">
        <v>24</v>
      </c>
      <c r="G4896">
        <v>69.998400000000004</v>
      </c>
    </row>
    <row r="4897" spans="1:7" x14ac:dyDescent="0.35">
      <c r="A4897" t="s">
        <v>847</v>
      </c>
      <c r="B4897" t="s">
        <v>680</v>
      </c>
      <c r="C4897" s="83">
        <v>46191</v>
      </c>
      <c r="D4897" t="s">
        <v>681</v>
      </c>
      <c r="E4897" t="s">
        <v>298</v>
      </c>
      <c r="F4897">
        <v>24</v>
      </c>
      <c r="G4897">
        <v>29.808150000000001</v>
      </c>
    </row>
    <row r="4898" spans="1:7" x14ac:dyDescent="0.35">
      <c r="A4898" t="s">
        <v>847</v>
      </c>
      <c r="B4898" t="s">
        <v>680</v>
      </c>
      <c r="C4898" s="83">
        <v>46191</v>
      </c>
      <c r="D4898" t="s">
        <v>683</v>
      </c>
      <c r="E4898" t="s">
        <v>730</v>
      </c>
      <c r="F4898">
        <v>27</v>
      </c>
      <c r="G4898">
        <v>9.0127833333333296</v>
      </c>
    </row>
    <row r="4899" spans="1:7" x14ac:dyDescent="0.35">
      <c r="A4899" t="s">
        <v>847</v>
      </c>
      <c r="B4899" t="s">
        <v>680</v>
      </c>
      <c r="C4899" s="83">
        <v>46191</v>
      </c>
      <c r="D4899" t="s">
        <v>683</v>
      </c>
      <c r="E4899" t="s">
        <v>727</v>
      </c>
      <c r="F4899">
        <v>20</v>
      </c>
      <c r="G4899">
        <v>21.0284333333333</v>
      </c>
    </row>
    <row r="4900" spans="1:7" x14ac:dyDescent="0.35">
      <c r="A4900" t="s">
        <v>847</v>
      </c>
      <c r="B4900" t="s">
        <v>680</v>
      </c>
      <c r="C4900" s="83">
        <v>46191</v>
      </c>
      <c r="D4900" t="s">
        <v>683</v>
      </c>
      <c r="E4900" t="s">
        <v>334</v>
      </c>
      <c r="F4900">
        <v>20</v>
      </c>
      <c r="G4900">
        <v>21.8410333333333</v>
      </c>
    </row>
    <row r="4901" spans="1:7" x14ac:dyDescent="0.35">
      <c r="A4901" t="s">
        <v>847</v>
      </c>
      <c r="B4901" t="s">
        <v>680</v>
      </c>
      <c r="C4901" s="83">
        <v>46191</v>
      </c>
      <c r="D4901" t="s">
        <v>689</v>
      </c>
      <c r="E4901" t="s">
        <v>297</v>
      </c>
      <c r="F4901">
        <v>56</v>
      </c>
      <c r="G4901">
        <v>29.302499999999998</v>
      </c>
    </row>
    <row r="4902" spans="1:7" x14ac:dyDescent="0.35">
      <c r="A4902" t="s">
        <v>847</v>
      </c>
      <c r="B4902" t="s">
        <v>680</v>
      </c>
      <c r="C4902" s="83">
        <v>46191</v>
      </c>
      <c r="D4902" t="s">
        <v>689</v>
      </c>
      <c r="E4902" t="s">
        <v>298</v>
      </c>
      <c r="F4902">
        <v>23</v>
      </c>
      <c r="G4902">
        <v>16.971116666666699</v>
      </c>
    </row>
    <row r="4903" spans="1:7" x14ac:dyDescent="0.35">
      <c r="A4903" t="s">
        <v>847</v>
      </c>
      <c r="B4903" t="s">
        <v>680</v>
      </c>
      <c r="C4903" s="83">
        <v>46191</v>
      </c>
      <c r="D4903" t="s">
        <v>689</v>
      </c>
      <c r="E4903" t="s">
        <v>296</v>
      </c>
      <c r="F4903">
        <v>11</v>
      </c>
      <c r="G4903">
        <v>6.0093500000000004</v>
      </c>
    </row>
    <row r="4904" spans="1:7" x14ac:dyDescent="0.35">
      <c r="A4904" t="s">
        <v>847</v>
      </c>
      <c r="B4904" t="s">
        <v>680</v>
      </c>
      <c r="C4904" s="83">
        <v>46191</v>
      </c>
      <c r="D4904" t="s">
        <v>684</v>
      </c>
      <c r="E4904" t="s">
        <v>298</v>
      </c>
      <c r="F4904">
        <v>9</v>
      </c>
      <c r="G4904">
        <v>8.1746666666666705</v>
      </c>
    </row>
    <row r="4905" spans="1:7" x14ac:dyDescent="0.35">
      <c r="A4905" t="s">
        <v>847</v>
      </c>
      <c r="B4905" t="s">
        <v>680</v>
      </c>
      <c r="C4905" s="83">
        <v>46191</v>
      </c>
      <c r="D4905" t="s">
        <v>684</v>
      </c>
      <c r="E4905" t="s">
        <v>728</v>
      </c>
      <c r="F4905">
        <v>2</v>
      </c>
      <c r="G4905">
        <v>0.167133333333333</v>
      </c>
    </row>
    <row r="4906" spans="1:7" x14ac:dyDescent="0.35">
      <c r="A4906" t="s">
        <v>847</v>
      </c>
      <c r="B4906" t="s">
        <v>680</v>
      </c>
      <c r="C4906" s="83">
        <v>46191</v>
      </c>
      <c r="D4906" t="s">
        <v>684</v>
      </c>
      <c r="E4906" t="s">
        <v>334</v>
      </c>
      <c r="F4906">
        <v>2</v>
      </c>
      <c r="G4906">
        <v>1.1677500000000001</v>
      </c>
    </row>
    <row r="4907" spans="1:7" x14ac:dyDescent="0.35">
      <c r="A4907" t="s">
        <v>847</v>
      </c>
      <c r="B4907" t="s">
        <v>680</v>
      </c>
      <c r="C4907" s="83">
        <v>46191</v>
      </c>
      <c r="D4907" t="s">
        <v>687</v>
      </c>
      <c r="E4907" t="s">
        <v>733</v>
      </c>
      <c r="F4907">
        <v>5</v>
      </c>
      <c r="G4907">
        <v>1.33226666666667</v>
      </c>
    </row>
    <row r="4908" spans="1:7" x14ac:dyDescent="0.35">
      <c r="A4908" t="s">
        <v>847</v>
      </c>
      <c r="B4908" t="s">
        <v>680</v>
      </c>
      <c r="C4908" s="83">
        <v>46191</v>
      </c>
      <c r="D4908" t="s">
        <v>687</v>
      </c>
      <c r="E4908" t="s">
        <v>776</v>
      </c>
      <c r="F4908">
        <v>3</v>
      </c>
      <c r="G4908">
        <v>2.4938333333333298</v>
      </c>
    </row>
    <row r="4909" spans="1:7" x14ac:dyDescent="0.35">
      <c r="A4909" t="s">
        <v>847</v>
      </c>
      <c r="B4909" t="s">
        <v>680</v>
      </c>
      <c r="C4909" s="83">
        <v>46191</v>
      </c>
      <c r="D4909" t="s">
        <v>687</v>
      </c>
      <c r="E4909" t="s">
        <v>717</v>
      </c>
      <c r="F4909">
        <v>2</v>
      </c>
      <c r="G4909">
        <v>0.50629999999999997</v>
      </c>
    </row>
    <row r="4910" spans="1:7" x14ac:dyDescent="0.35">
      <c r="A4910" t="s">
        <v>847</v>
      </c>
      <c r="B4910" t="s">
        <v>680</v>
      </c>
      <c r="C4910" s="83">
        <v>46191</v>
      </c>
      <c r="D4910" t="s">
        <v>688</v>
      </c>
      <c r="E4910" t="s">
        <v>311</v>
      </c>
      <c r="F4910">
        <v>5</v>
      </c>
      <c r="G4910">
        <v>45.497766666666699</v>
      </c>
    </row>
    <row r="4911" spans="1:7" x14ac:dyDescent="0.35">
      <c r="A4911" t="s">
        <v>847</v>
      </c>
      <c r="B4911" t="s">
        <v>680</v>
      </c>
      <c r="C4911" s="83">
        <v>46191</v>
      </c>
      <c r="D4911" t="s">
        <v>688</v>
      </c>
      <c r="E4911" t="s">
        <v>720</v>
      </c>
      <c r="F4911">
        <v>3</v>
      </c>
      <c r="G4911">
        <v>3.6590833333333301</v>
      </c>
    </row>
    <row r="4912" spans="1:7" x14ac:dyDescent="0.35">
      <c r="A4912" t="s">
        <v>847</v>
      </c>
      <c r="B4912" t="s">
        <v>680</v>
      </c>
      <c r="C4912" s="83">
        <v>46191</v>
      </c>
      <c r="D4912" t="s">
        <v>688</v>
      </c>
      <c r="E4912" t="s">
        <v>786</v>
      </c>
      <c r="F4912">
        <v>2</v>
      </c>
      <c r="G4912">
        <v>0.34058333333333302</v>
      </c>
    </row>
    <row r="4913" spans="1:7" x14ac:dyDescent="0.35">
      <c r="A4913" t="s">
        <v>847</v>
      </c>
      <c r="B4913" t="s">
        <v>680</v>
      </c>
      <c r="C4913" s="83">
        <v>46191</v>
      </c>
      <c r="D4913" t="s">
        <v>690</v>
      </c>
      <c r="E4913" t="s">
        <v>338</v>
      </c>
      <c r="F4913">
        <v>5</v>
      </c>
      <c r="G4913">
        <v>7.8284500000000001</v>
      </c>
    </row>
    <row r="4914" spans="1:7" x14ac:dyDescent="0.35">
      <c r="A4914" t="s">
        <v>847</v>
      </c>
      <c r="B4914" t="s">
        <v>680</v>
      </c>
      <c r="C4914" s="83">
        <v>46191</v>
      </c>
      <c r="D4914" t="s">
        <v>690</v>
      </c>
      <c r="E4914" t="s">
        <v>321</v>
      </c>
      <c r="F4914">
        <v>4</v>
      </c>
      <c r="G4914">
        <v>2.50836666666667</v>
      </c>
    </row>
    <row r="4915" spans="1:7" x14ac:dyDescent="0.35">
      <c r="A4915" t="s">
        <v>847</v>
      </c>
      <c r="B4915" t="s">
        <v>680</v>
      </c>
      <c r="C4915" s="83">
        <v>46191</v>
      </c>
      <c r="D4915" t="s">
        <v>690</v>
      </c>
      <c r="E4915" t="s">
        <v>311</v>
      </c>
      <c r="F4915">
        <v>3</v>
      </c>
      <c r="G4915">
        <v>5.0011999999999999</v>
      </c>
    </row>
    <row r="4916" spans="1:7" x14ac:dyDescent="0.35">
      <c r="A4916" t="s">
        <v>847</v>
      </c>
      <c r="B4916" t="s">
        <v>680</v>
      </c>
      <c r="C4916" s="83">
        <v>46191</v>
      </c>
      <c r="D4916" t="s">
        <v>685</v>
      </c>
      <c r="E4916" t="s">
        <v>311</v>
      </c>
      <c r="F4916">
        <v>11</v>
      </c>
      <c r="G4916">
        <v>6.3212333333333302</v>
      </c>
    </row>
    <row r="4917" spans="1:7" x14ac:dyDescent="0.35">
      <c r="A4917" t="s">
        <v>847</v>
      </c>
      <c r="B4917" t="s">
        <v>680</v>
      </c>
      <c r="C4917" s="83">
        <v>46191</v>
      </c>
      <c r="D4917" t="s">
        <v>685</v>
      </c>
      <c r="E4917" t="s">
        <v>321</v>
      </c>
      <c r="F4917">
        <v>10</v>
      </c>
      <c r="G4917">
        <v>10.985416666666699</v>
      </c>
    </row>
    <row r="4918" spans="1:7" x14ac:dyDescent="0.35">
      <c r="A4918" t="s">
        <v>847</v>
      </c>
      <c r="B4918" t="s">
        <v>680</v>
      </c>
      <c r="C4918" s="83">
        <v>46191</v>
      </c>
      <c r="D4918" t="s">
        <v>685</v>
      </c>
      <c r="E4918" t="s">
        <v>720</v>
      </c>
      <c r="F4918">
        <v>6</v>
      </c>
      <c r="G4918">
        <v>9.5024999999999995</v>
      </c>
    </row>
    <row r="4919" spans="1:7" x14ac:dyDescent="0.35">
      <c r="A4919" t="s">
        <v>847</v>
      </c>
      <c r="B4919" t="s">
        <v>680</v>
      </c>
      <c r="C4919" s="83">
        <v>46192</v>
      </c>
      <c r="D4919" t="s">
        <v>681</v>
      </c>
      <c r="E4919" t="s">
        <v>296</v>
      </c>
      <c r="F4919">
        <v>16</v>
      </c>
      <c r="G4919">
        <v>6.5025833333333303</v>
      </c>
    </row>
    <row r="4920" spans="1:7" x14ac:dyDescent="0.35">
      <c r="A4920" t="s">
        <v>847</v>
      </c>
      <c r="B4920" t="s">
        <v>680</v>
      </c>
      <c r="C4920" s="83">
        <v>46192</v>
      </c>
      <c r="D4920" t="s">
        <v>681</v>
      </c>
      <c r="E4920" t="s">
        <v>298</v>
      </c>
      <c r="F4920">
        <v>13</v>
      </c>
      <c r="G4920">
        <v>18.0262666666667</v>
      </c>
    </row>
    <row r="4921" spans="1:7" x14ac:dyDescent="0.35">
      <c r="A4921" t="s">
        <v>847</v>
      </c>
      <c r="B4921" t="s">
        <v>680</v>
      </c>
      <c r="C4921" s="83">
        <v>46192</v>
      </c>
      <c r="D4921" t="s">
        <v>681</v>
      </c>
      <c r="E4921" t="s">
        <v>297</v>
      </c>
      <c r="F4921">
        <v>11</v>
      </c>
      <c r="G4921">
        <v>3.6739999999999999</v>
      </c>
    </row>
    <row r="4922" spans="1:7" x14ac:dyDescent="0.35">
      <c r="A4922" t="s">
        <v>847</v>
      </c>
      <c r="B4922" t="s">
        <v>680</v>
      </c>
      <c r="C4922" s="83">
        <v>46192</v>
      </c>
      <c r="D4922" t="s">
        <v>683</v>
      </c>
      <c r="E4922" t="s">
        <v>730</v>
      </c>
      <c r="F4922">
        <v>41</v>
      </c>
      <c r="G4922">
        <v>34.699566666666698</v>
      </c>
    </row>
    <row r="4923" spans="1:7" x14ac:dyDescent="0.35">
      <c r="A4923" t="s">
        <v>847</v>
      </c>
      <c r="B4923" t="s">
        <v>680</v>
      </c>
      <c r="C4923" s="83">
        <v>46192</v>
      </c>
      <c r="D4923" t="s">
        <v>683</v>
      </c>
      <c r="E4923" t="s">
        <v>298</v>
      </c>
      <c r="F4923">
        <v>15</v>
      </c>
      <c r="G4923">
        <v>13.820266666666701</v>
      </c>
    </row>
    <row r="4924" spans="1:7" x14ac:dyDescent="0.35">
      <c r="A4924" t="s">
        <v>847</v>
      </c>
      <c r="B4924" t="s">
        <v>680</v>
      </c>
      <c r="C4924" s="83">
        <v>46192</v>
      </c>
      <c r="D4924" t="s">
        <v>683</v>
      </c>
      <c r="E4924" t="s">
        <v>297</v>
      </c>
      <c r="F4924">
        <v>6</v>
      </c>
      <c r="G4924">
        <v>4.9835500000000001</v>
      </c>
    </row>
    <row r="4925" spans="1:7" x14ac:dyDescent="0.35">
      <c r="A4925" t="s">
        <v>847</v>
      </c>
      <c r="B4925" t="s">
        <v>680</v>
      </c>
      <c r="C4925" s="83">
        <v>46192</v>
      </c>
      <c r="D4925" t="s">
        <v>689</v>
      </c>
      <c r="E4925" t="s">
        <v>298</v>
      </c>
      <c r="F4925">
        <v>30</v>
      </c>
      <c r="G4925">
        <v>13.348283333333301</v>
      </c>
    </row>
    <row r="4926" spans="1:7" x14ac:dyDescent="0.35">
      <c r="A4926" t="s">
        <v>847</v>
      </c>
      <c r="B4926" t="s">
        <v>680</v>
      </c>
      <c r="C4926" s="83">
        <v>46192</v>
      </c>
      <c r="D4926" t="s">
        <v>689</v>
      </c>
      <c r="E4926" t="s">
        <v>297</v>
      </c>
      <c r="F4926">
        <v>7</v>
      </c>
      <c r="G4926">
        <v>6.53</v>
      </c>
    </row>
    <row r="4927" spans="1:7" x14ac:dyDescent="0.35">
      <c r="A4927" t="s">
        <v>847</v>
      </c>
      <c r="B4927" t="s">
        <v>680</v>
      </c>
      <c r="C4927" s="83">
        <v>46192</v>
      </c>
      <c r="D4927" t="s">
        <v>689</v>
      </c>
      <c r="E4927" t="s">
        <v>296</v>
      </c>
      <c r="F4927">
        <v>6</v>
      </c>
      <c r="G4927">
        <v>1.6735500000000001</v>
      </c>
    </row>
    <row r="4928" spans="1:7" x14ac:dyDescent="0.35">
      <c r="A4928" t="s">
        <v>847</v>
      </c>
      <c r="B4928" t="s">
        <v>680</v>
      </c>
      <c r="C4928" s="83">
        <v>46192</v>
      </c>
      <c r="D4928" t="s">
        <v>684</v>
      </c>
      <c r="E4928" t="s">
        <v>298</v>
      </c>
      <c r="F4928">
        <v>9</v>
      </c>
      <c r="G4928">
        <v>9.1657499999999992</v>
      </c>
    </row>
    <row r="4929" spans="1:7" x14ac:dyDescent="0.35">
      <c r="A4929" t="s">
        <v>847</v>
      </c>
      <c r="B4929" t="s">
        <v>680</v>
      </c>
      <c r="C4929" s="83">
        <v>46192</v>
      </c>
      <c r="D4929" t="s">
        <v>684</v>
      </c>
      <c r="E4929" t="s">
        <v>300</v>
      </c>
      <c r="F4929">
        <v>4</v>
      </c>
      <c r="G4929">
        <v>2.1664666666666701</v>
      </c>
    </row>
    <row r="4930" spans="1:7" x14ac:dyDescent="0.35">
      <c r="A4930" t="s">
        <v>847</v>
      </c>
      <c r="B4930" t="s">
        <v>680</v>
      </c>
      <c r="C4930" s="83">
        <v>46192</v>
      </c>
      <c r="D4930" t="s">
        <v>684</v>
      </c>
      <c r="E4930" t="s">
        <v>297</v>
      </c>
      <c r="F4930">
        <v>4</v>
      </c>
      <c r="G4930">
        <v>2.3252000000000002</v>
      </c>
    </row>
    <row r="4931" spans="1:7" x14ac:dyDescent="0.35">
      <c r="A4931" t="s">
        <v>847</v>
      </c>
      <c r="B4931" t="s">
        <v>680</v>
      </c>
      <c r="C4931" s="83">
        <v>46192</v>
      </c>
      <c r="D4931" t="s">
        <v>687</v>
      </c>
      <c r="E4931" t="s">
        <v>717</v>
      </c>
      <c r="F4931">
        <v>4</v>
      </c>
      <c r="G4931">
        <v>2.6685666666666701</v>
      </c>
    </row>
    <row r="4932" spans="1:7" x14ac:dyDescent="0.35">
      <c r="A4932" t="s">
        <v>847</v>
      </c>
      <c r="B4932" t="s">
        <v>680</v>
      </c>
      <c r="C4932" s="83">
        <v>46192</v>
      </c>
      <c r="D4932" t="s">
        <v>687</v>
      </c>
      <c r="E4932" t="s">
        <v>718</v>
      </c>
      <c r="F4932">
        <v>2</v>
      </c>
      <c r="G4932">
        <v>1.00095</v>
      </c>
    </row>
    <row r="4933" spans="1:7" x14ac:dyDescent="0.35">
      <c r="A4933" t="s">
        <v>847</v>
      </c>
      <c r="B4933" t="s">
        <v>680</v>
      </c>
      <c r="C4933" s="83">
        <v>46192</v>
      </c>
      <c r="D4933" t="s">
        <v>687</v>
      </c>
      <c r="E4933" t="s">
        <v>745</v>
      </c>
      <c r="F4933">
        <v>2</v>
      </c>
      <c r="G4933">
        <v>1.9997</v>
      </c>
    </row>
    <row r="4934" spans="1:7" x14ac:dyDescent="0.35">
      <c r="A4934" t="s">
        <v>847</v>
      </c>
      <c r="B4934" t="s">
        <v>680</v>
      </c>
      <c r="C4934" s="83">
        <v>46192</v>
      </c>
      <c r="D4934" t="s">
        <v>688</v>
      </c>
      <c r="E4934" t="s">
        <v>311</v>
      </c>
      <c r="F4934">
        <v>5</v>
      </c>
      <c r="G4934">
        <v>1.34148333333333</v>
      </c>
    </row>
    <row r="4935" spans="1:7" x14ac:dyDescent="0.35">
      <c r="A4935" t="s">
        <v>847</v>
      </c>
      <c r="B4935" t="s">
        <v>680</v>
      </c>
      <c r="C4935" s="83">
        <v>46192</v>
      </c>
      <c r="D4935" t="s">
        <v>688</v>
      </c>
      <c r="E4935" t="s">
        <v>316</v>
      </c>
      <c r="F4935">
        <v>4</v>
      </c>
      <c r="G4935">
        <v>0.84165000000000001</v>
      </c>
    </row>
    <row r="4936" spans="1:7" x14ac:dyDescent="0.35">
      <c r="A4936" t="s">
        <v>847</v>
      </c>
      <c r="B4936" t="s">
        <v>680</v>
      </c>
      <c r="C4936" s="83">
        <v>46192</v>
      </c>
      <c r="D4936" t="s">
        <v>688</v>
      </c>
      <c r="E4936" t="s">
        <v>720</v>
      </c>
      <c r="F4936">
        <v>3</v>
      </c>
      <c r="G4936">
        <v>1.1682999999999999</v>
      </c>
    </row>
    <row r="4937" spans="1:7" x14ac:dyDescent="0.35">
      <c r="A4937" t="s">
        <v>847</v>
      </c>
      <c r="B4937" t="s">
        <v>680</v>
      </c>
      <c r="C4937" s="83">
        <v>46192</v>
      </c>
      <c r="D4937" t="s">
        <v>690</v>
      </c>
      <c r="E4937" t="s">
        <v>311</v>
      </c>
      <c r="F4937">
        <v>31</v>
      </c>
      <c r="G4937">
        <v>28.1185333333333</v>
      </c>
    </row>
    <row r="4938" spans="1:7" x14ac:dyDescent="0.35">
      <c r="A4938" t="s">
        <v>847</v>
      </c>
      <c r="B4938" t="s">
        <v>680</v>
      </c>
      <c r="C4938" s="83">
        <v>46192</v>
      </c>
      <c r="D4938" t="s">
        <v>690</v>
      </c>
      <c r="E4938" t="s">
        <v>720</v>
      </c>
      <c r="F4938">
        <v>4</v>
      </c>
      <c r="G4938">
        <v>1.50793333333333</v>
      </c>
    </row>
    <row r="4939" spans="1:7" x14ac:dyDescent="0.35">
      <c r="A4939" t="s">
        <v>847</v>
      </c>
      <c r="B4939" t="s">
        <v>680</v>
      </c>
      <c r="C4939" s="83">
        <v>46192</v>
      </c>
      <c r="D4939" t="s">
        <v>690</v>
      </c>
      <c r="E4939" t="s">
        <v>316</v>
      </c>
      <c r="F4939">
        <v>2</v>
      </c>
      <c r="G4939">
        <v>0.83386666666666698</v>
      </c>
    </row>
    <row r="4940" spans="1:7" x14ac:dyDescent="0.35">
      <c r="A4940" t="s">
        <v>847</v>
      </c>
      <c r="B4940" t="s">
        <v>680</v>
      </c>
      <c r="C4940" s="83">
        <v>46192</v>
      </c>
      <c r="D4940" t="s">
        <v>685</v>
      </c>
      <c r="E4940" t="s">
        <v>311</v>
      </c>
      <c r="F4940">
        <v>20</v>
      </c>
      <c r="G4940">
        <v>7.6926333333333297</v>
      </c>
    </row>
    <row r="4941" spans="1:7" x14ac:dyDescent="0.35">
      <c r="A4941" t="s">
        <v>847</v>
      </c>
      <c r="B4941" t="s">
        <v>680</v>
      </c>
      <c r="C4941" s="83">
        <v>46192</v>
      </c>
      <c r="D4941" t="s">
        <v>685</v>
      </c>
      <c r="E4941" t="s">
        <v>338</v>
      </c>
      <c r="F4941">
        <v>2</v>
      </c>
      <c r="G4941">
        <v>1.1664333333333301</v>
      </c>
    </row>
    <row r="4942" spans="1:7" x14ac:dyDescent="0.35">
      <c r="A4942" t="s">
        <v>847</v>
      </c>
      <c r="B4942" t="s">
        <v>680</v>
      </c>
      <c r="C4942" s="83">
        <v>46192</v>
      </c>
      <c r="D4942" t="s">
        <v>685</v>
      </c>
      <c r="E4942" t="s">
        <v>720</v>
      </c>
      <c r="F4942">
        <v>2</v>
      </c>
      <c r="G4942">
        <v>1.1674833333333301</v>
      </c>
    </row>
    <row r="4943" spans="1:7" x14ac:dyDescent="0.35">
      <c r="A4943" t="s">
        <v>847</v>
      </c>
      <c r="B4943" t="s">
        <v>680</v>
      </c>
      <c r="C4943" s="83">
        <v>46193</v>
      </c>
      <c r="D4943" t="s">
        <v>681</v>
      </c>
      <c r="E4943" t="s">
        <v>298</v>
      </c>
      <c r="F4943">
        <v>20</v>
      </c>
      <c r="G4943">
        <v>24.5148166666667</v>
      </c>
    </row>
    <row r="4944" spans="1:7" x14ac:dyDescent="0.35">
      <c r="A4944" t="s">
        <v>847</v>
      </c>
      <c r="B4944" t="s">
        <v>680</v>
      </c>
      <c r="C4944" s="83">
        <v>46193</v>
      </c>
      <c r="D4944" t="s">
        <v>681</v>
      </c>
      <c r="E4944" t="s">
        <v>296</v>
      </c>
      <c r="F4944">
        <v>10</v>
      </c>
      <c r="G4944">
        <v>2.8842833333333302</v>
      </c>
    </row>
    <row r="4945" spans="1:7" x14ac:dyDescent="0.35">
      <c r="A4945" t="s">
        <v>847</v>
      </c>
      <c r="B4945" t="s">
        <v>680</v>
      </c>
      <c r="C4945" s="83">
        <v>46193</v>
      </c>
      <c r="D4945" t="s">
        <v>681</v>
      </c>
      <c r="E4945" t="s">
        <v>297</v>
      </c>
      <c r="F4945">
        <v>9</v>
      </c>
      <c r="G4945">
        <v>4.32046666666667</v>
      </c>
    </row>
    <row r="4946" spans="1:7" x14ac:dyDescent="0.35">
      <c r="A4946" t="s">
        <v>847</v>
      </c>
      <c r="B4946" t="s">
        <v>680</v>
      </c>
      <c r="C4946" s="83">
        <v>46193</v>
      </c>
      <c r="D4946" t="s">
        <v>683</v>
      </c>
      <c r="E4946" t="s">
        <v>730</v>
      </c>
      <c r="F4946">
        <v>34</v>
      </c>
      <c r="G4946">
        <v>16.656283333333299</v>
      </c>
    </row>
    <row r="4947" spans="1:7" x14ac:dyDescent="0.35">
      <c r="A4947" t="s">
        <v>847</v>
      </c>
      <c r="B4947" t="s">
        <v>680</v>
      </c>
      <c r="C4947" s="83">
        <v>46193</v>
      </c>
      <c r="D4947" t="s">
        <v>683</v>
      </c>
      <c r="E4947" t="s">
        <v>298</v>
      </c>
      <c r="F4947">
        <v>11</v>
      </c>
      <c r="G4947">
        <v>11.0331166666667</v>
      </c>
    </row>
    <row r="4948" spans="1:7" x14ac:dyDescent="0.35">
      <c r="A4948" t="s">
        <v>847</v>
      </c>
      <c r="B4948" t="s">
        <v>680</v>
      </c>
      <c r="C4948" s="83">
        <v>46193</v>
      </c>
      <c r="D4948" t="s">
        <v>683</v>
      </c>
      <c r="E4948" t="s">
        <v>334</v>
      </c>
      <c r="F4948">
        <v>5</v>
      </c>
      <c r="G4948">
        <v>1.17431666666667</v>
      </c>
    </row>
    <row r="4949" spans="1:7" x14ac:dyDescent="0.35">
      <c r="A4949" t="s">
        <v>847</v>
      </c>
      <c r="B4949" t="s">
        <v>680</v>
      </c>
      <c r="C4949" s="83">
        <v>46193</v>
      </c>
      <c r="D4949" t="s">
        <v>689</v>
      </c>
      <c r="E4949" t="s">
        <v>298</v>
      </c>
      <c r="F4949">
        <v>26</v>
      </c>
      <c r="G4949">
        <v>16.076183333333301</v>
      </c>
    </row>
    <row r="4950" spans="1:7" x14ac:dyDescent="0.35">
      <c r="A4950" t="s">
        <v>847</v>
      </c>
      <c r="B4950" t="s">
        <v>680</v>
      </c>
      <c r="C4950" s="83">
        <v>46193</v>
      </c>
      <c r="D4950" t="s">
        <v>689</v>
      </c>
      <c r="E4950" t="s">
        <v>297</v>
      </c>
      <c r="F4950">
        <v>7</v>
      </c>
      <c r="G4950">
        <v>3.9857</v>
      </c>
    </row>
    <row r="4951" spans="1:7" x14ac:dyDescent="0.35">
      <c r="A4951" t="s">
        <v>847</v>
      </c>
      <c r="B4951" t="s">
        <v>680</v>
      </c>
      <c r="C4951" s="83">
        <v>46193</v>
      </c>
      <c r="D4951" t="s">
        <v>689</v>
      </c>
      <c r="E4951" t="s">
        <v>296</v>
      </c>
      <c r="F4951">
        <v>4</v>
      </c>
      <c r="G4951">
        <v>0.83423333333333305</v>
      </c>
    </row>
    <row r="4952" spans="1:7" x14ac:dyDescent="0.35">
      <c r="A4952" t="s">
        <v>847</v>
      </c>
      <c r="B4952" t="s">
        <v>680</v>
      </c>
      <c r="C4952" s="83">
        <v>46193</v>
      </c>
      <c r="D4952" t="s">
        <v>684</v>
      </c>
      <c r="E4952" t="s">
        <v>298</v>
      </c>
      <c r="F4952">
        <v>5</v>
      </c>
      <c r="G4952">
        <v>9.6795500000000008</v>
      </c>
    </row>
    <row r="4953" spans="1:7" x14ac:dyDescent="0.35">
      <c r="A4953" t="s">
        <v>847</v>
      </c>
      <c r="B4953" t="s">
        <v>680</v>
      </c>
      <c r="C4953" s="83">
        <v>46193</v>
      </c>
      <c r="D4953" t="s">
        <v>684</v>
      </c>
      <c r="E4953" t="s">
        <v>300</v>
      </c>
      <c r="F4953">
        <v>3</v>
      </c>
      <c r="G4953">
        <v>1.8282</v>
      </c>
    </row>
    <row r="4954" spans="1:7" x14ac:dyDescent="0.35">
      <c r="A4954" t="s">
        <v>847</v>
      </c>
      <c r="B4954" t="s">
        <v>680</v>
      </c>
      <c r="C4954" s="83">
        <v>46193</v>
      </c>
      <c r="D4954" t="s">
        <v>684</v>
      </c>
      <c r="E4954" t="s">
        <v>737</v>
      </c>
      <c r="F4954">
        <v>3</v>
      </c>
      <c r="G4954">
        <v>1.34653333333333</v>
      </c>
    </row>
    <row r="4955" spans="1:7" x14ac:dyDescent="0.35">
      <c r="A4955" t="s">
        <v>847</v>
      </c>
      <c r="B4955" t="s">
        <v>680</v>
      </c>
      <c r="C4955" s="83">
        <v>46193</v>
      </c>
      <c r="D4955" t="s">
        <v>687</v>
      </c>
      <c r="E4955" t="s">
        <v>747</v>
      </c>
      <c r="F4955">
        <v>2</v>
      </c>
      <c r="G4955">
        <v>0.50021666666666698</v>
      </c>
    </row>
    <row r="4956" spans="1:7" x14ac:dyDescent="0.35">
      <c r="A4956" t="s">
        <v>847</v>
      </c>
      <c r="B4956" t="s">
        <v>680</v>
      </c>
      <c r="C4956" s="83">
        <v>46193</v>
      </c>
      <c r="D4956" t="s">
        <v>687</v>
      </c>
      <c r="E4956" t="s">
        <v>745</v>
      </c>
      <c r="F4956">
        <v>2</v>
      </c>
      <c r="G4956">
        <v>0.84008333333333296</v>
      </c>
    </row>
    <row r="4957" spans="1:7" x14ac:dyDescent="0.35">
      <c r="A4957" t="s">
        <v>847</v>
      </c>
      <c r="B4957" t="s">
        <v>680</v>
      </c>
      <c r="C4957" s="83">
        <v>46193</v>
      </c>
      <c r="D4957" t="s">
        <v>687</v>
      </c>
      <c r="E4957" t="s">
        <v>717</v>
      </c>
      <c r="F4957">
        <v>2</v>
      </c>
      <c r="G4957">
        <v>0.331666666666667</v>
      </c>
    </row>
    <row r="4958" spans="1:7" x14ac:dyDescent="0.35">
      <c r="A4958" t="s">
        <v>847</v>
      </c>
      <c r="B4958" t="s">
        <v>680</v>
      </c>
      <c r="C4958" s="83">
        <v>46193</v>
      </c>
      <c r="D4958" t="s">
        <v>688</v>
      </c>
      <c r="E4958" t="s">
        <v>311</v>
      </c>
      <c r="F4958">
        <v>3</v>
      </c>
      <c r="G4958">
        <v>2.20295</v>
      </c>
    </row>
    <row r="4959" spans="1:7" x14ac:dyDescent="0.35">
      <c r="A4959" t="s">
        <v>847</v>
      </c>
      <c r="B4959" t="s">
        <v>680</v>
      </c>
      <c r="C4959" s="83">
        <v>46193</v>
      </c>
      <c r="D4959" t="s">
        <v>688</v>
      </c>
      <c r="E4959" t="s">
        <v>316</v>
      </c>
      <c r="F4959">
        <v>2</v>
      </c>
      <c r="G4959">
        <v>0.16689999999999999</v>
      </c>
    </row>
    <row r="4960" spans="1:7" x14ac:dyDescent="0.35">
      <c r="A4960" t="s">
        <v>847</v>
      </c>
      <c r="B4960" t="s">
        <v>680</v>
      </c>
      <c r="C4960" s="83">
        <v>46193</v>
      </c>
      <c r="D4960" t="s">
        <v>688</v>
      </c>
      <c r="E4960" t="s">
        <v>720</v>
      </c>
      <c r="F4960">
        <v>2</v>
      </c>
      <c r="G4960">
        <v>0.32723333333333299</v>
      </c>
    </row>
    <row r="4961" spans="1:7" x14ac:dyDescent="0.35">
      <c r="A4961" t="s">
        <v>847</v>
      </c>
      <c r="B4961" t="s">
        <v>680</v>
      </c>
      <c r="C4961" s="83">
        <v>46193</v>
      </c>
      <c r="D4961" t="s">
        <v>690</v>
      </c>
      <c r="E4961" t="s">
        <v>316</v>
      </c>
      <c r="F4961">
        <v>4</v>
      </c>
      <c r="G4961">
        <v>0.67471666666666696</v>
      </c>
    </row>
    <row r="4962" spans="1:7" x14ac:dyDescent="0.35">
      <c r="A4962" t="s">
        <v>847</v>
      </c>
      <c r="B4962" t="s">
        <v>680</v>
      </c>
      <c r="C4962" s="83">
        <v>46193</v>
      </c>
      <c r="D4962" t="s">
        <v>690</v>
      </c>
      <c r="E4962" t="s">
        <v>311</v>
      </c>
      <c r="F4962">
        <v>4</v>
      </c>
      <c r="G4962">
        <v>1.7611666666666701</v>
      </c>
    </row>
    <row r="4963" spans="1:7" x14ac:dyDescent="0.35">
      <c r="A4963" t="s">
        <v>847</v>
      </c>
      <c r="B4963" t="s">
        <v>680</v>
      </c>
      <c r="C4963" s="83">
        <v>46193</v>
      </c>
      <c r="D4963" t="s">
        <v>690</v>
      </c>
      <c r="E4963" t="s">
        <v>126</v>
      </c>
      <c r="F4963">
        <v>2</v>
      </c>
      <c r="G4963">
        <v>0.69946666666666701</v>
      </c>
    </row>
    <row r="4964" spans="1:7" x14ac:dyDescent="0.35">
      <c r="A4964" t="s">
        <v>847</v>
      </c>
      <c r="B4964" t="s">
        <v>680</v>
      </c>
      <c r="C4964" s="83">
        <v>46193</v>
      </c>
      <c r="D4964" t="s">
        <v>685</v>
      </c>
      <c r="E4964" t="s">
        <v>311</v>
      </c>
      <c r="F4964">
        <v>13</v>
      </c>
      <c r="G4964">
        <v>12.33685</v>
      </c>
    </row>
    <row r="4965" spans="1:7" x14ac:dyDescent="0.35">
      <c r="A4965" t="s">
        <v>847</v>
      </c>
      <c r="B4965" t="s">
        <v>680</v>
      </c>
      <c r="C4965" s="83">
        <v>46193</v>
      </c>
      <c r="D4965" t="s">
        <v>685</v>
      </c>
      <c r="E4965" t="s">
        <v>720</v>
      </c>
      <c r="F4965">
        <v>4</v>
      </c>
      <c r="G4965">
        <v>2.3333333333333299</v>
      </c>
    </row>
    <row r="4966" spans="1:7" x14ac:dyDescent="0.35">
      <c r="A4966" t="s">
        <v>847</v>
      </c>
      <c r="B4966" t="s">
        <v>680</v>
      </c>
      <c r="C4966" s="83">
        <v>46193</v>
      </c>
      <c r="D4966" t="s">
        <v>685</v>
      </c>
      <c r="E4966" t="s">
        <v>657</v>
      </c>
      <c r="F4966">
        <v>2</v>
      </c>
      <c r="G4966">
        <v>0.50061666666666704</v>
      </c>
    </row>
    <row r="4967" spans="1:7" x14ac:dyDescent="0.35">
      <c r="A4967" t="s">
        <v>847</v>
      </c>
      <c r="B4967" t="s">
        <v>680</v>
      </c>
      <c r="C4967" s="83">
        <v>46194</v>
      </c>
      <c r="D4967" t="s">
        <v>681</v>
      </c>
      <c r="E4967" t="s">
        <v>298</v>
      </c>
      <c r="F4967">
        <v>34</v>
      </c>
      <c r="G4967">
        <v>57.0276833333333</v>
      </c>
    </row>
    <row r="4968" spans="1:7" x14ac:dyDescent="0.35">
      <c r="A4968" t="s">
        <v>847</v>
      </c>
      <c r="B4968" t="s">
        <v>680</v>
      </c>
      <c r="C4968" s="83">
        <v>46194</v>
      </c>
      <c r="D4968" t="s">
        <v>681</v>
      </c>
      <c r="E4968" t="s">
        <v>297</v>
      </c>
      <c r="F4968">
        <v>20</v>
      </c>
      <c r="G4968">
        <v>14.3625833333333</v>
      </c>
    </row>
    <row r="4969" spans="1:7" x14ac:dyDescent="0.35">
      <c r="A4969" t="s">
        <v>847</v>
      </c>
      <c r="B4969" t="s">
        <v>680</v>
      </c>
      <c r="C4969" s="83">
        <v>46194</v>
      </c>
      <c r="D4969" t="s">
        <v>681</v>
      </c>
      <c r="E4969" t="s">
        <v>296</v>
      </c>
      <c r="F4969">
        <v>14</v>
      </c>
      <c r="G4969">
        <v>16.657216666666699</v>
      </c>
    </row>
    <row r="4970" spans="1:7" x14ac:dyDescent="0.35">
      <c r="A4970" t="s">
        <v>847</v>
      </c>
      <c r="B4970" t="s">
        <v>680</v>
      </c>
      <c r="C4970" s="83">
        <v>46194</v>
      </c>
      <c r="D4970" t="s">
        <v>683</v>
      </c>
      <c r="E4970" t="s">
        <v>730</v>
      </c>
      <c r="F4970">
        <v>17</v>
      </c>
      <c r="G4970">
        <v>15.499833333333299</v>
      </c>
    </row>
    <row r="4971" spans="1:7" x14ac:dyDescent="0.35">
      <c r="A4971" t="s">
        <v>847</v>
      </c>
      <c r="B4971" t="s">
        <v>680</v>
      </c>
      <c r="C4971" s="83">
        <v>46194</v>
      </c>
      <c r="D4971" t="s">
        <v>683</v>
      </c>
      <c r="E4971" t="s">
        <v>298</v>
      </c>
      <c r="F4971">
        <v>10</v>
      </c>
      <c r="G4971">
        <v>23.4922</v>
      </c>
    </row>
    <row r="4972" spans="1:7" x14ac:dyDescent="0.35">
      <c r="A4972" t="s">
        <v>847</v>
      </c>
      <c r="B4972" t="s">
        <v>680</v>
      </c>
      <c r="C4972" s="83">
        <v>46194</v>
      </c>
      <c r="D4972" t="s">
        <v>683</v>
      </c>
      <c r="E4972" t="s">
        <v>727</v>
      </c>
      <c r="F4972">
        <v>8</v>
      </c>
      <c r="G4972">
        <v>2.6659333333333302</v>
      </c>
    </row>
    <row r="4973" spans="1:7" x14ac:dyDescent="0.35">
      <c r="A4973" t="s">
        <v>847</v>
      </c>
      <c r="B4973" t="s">
        <v>680</v>
      </c>
      <c r="C4973" s="83">
        <v>46194</v>
      </c>
      <c r="D4973" t="s">
        <v>689</v>
      </c>
      <c r="E4973" t="s">
        <v>298</v>
      </c>
      <c r="F4973">
        <v>25</v>
      </c>
      <c r="G4973">
        <v>17.9896833333333</v>
      </c>
    </row>
    <row r="4974" spans="1:7" x14ac:dyDescent="0.35">
      <c r="A4974" t="s">
        <v>847</v>
      </c>
      <c r="B4974" t="s">
        <v>680</v>
      </c>
      <c r="C4974" s="83">
        <v>46194</v>
      </c>
      <c r="D4974" t="s">
        <v>689</v>
      </c>
      <c r="E4974" t="s">
        <v>297</v>
      </c>
      <c r="F4974">
        <v>21</v>
      </c>
      <c r="G4974">
        <v>8.7022166666666703</v>
      </c>
    </row>
    <row r="4975" spans="1:7" x14ac:dyDescent="0.35">
      <c r="A4975" t="s">
        <v>847</v>
      </c>
      <c r="B4975" t="s">
        <v>680</v>
      </c>
      <c r="C4975" s="83">
        <v>46194</v>
      </c>
      <c r="D4975" t="s">
        <v>689</v>
      </c>
      <c r="E4975" t="s">
        <v>296</v>
      </c>
      <c r="F4975">
        <v>6</v>
      </c>
      <c r="G4975">
        <v>3.1739166666666701</v>
      </c>
    </row>
    <row r="4976" spans="1:7" x14ac:dyDescent="0.35">
      <c r="A4976" t="s">
        <v>847</v>
      </c>
      <c r="B4976" t="s">
        <v>680</v>
      </c>
      <c r="C4976" s="83">
        <v>46194</v>
      </c>
      <c r="D4976" t="s">
        <v>684</v>
      </c>
      <c r="E4976" t="s">
        <v>297</v>
      </c>
      <c r="F4976">
        <v>3</v>
      </c>
      <c r="G4976">
        <v>1.33351666666667</v>
      </c>
    </row>
    <row r="4977" spans="1:7" x14ac:dyDescent="0.35">
      <c r="A4977" t="s">
        <v>847</v>
      </c>
      <c r="B4977" t="s">
        <v>680</v>
      </c>
      <c r="C4977" s="83">
        <v>46194</v>
      </c>
      <c r="D4977" t="s">
        <v>684</v>
      </c>
      <c r="E4977" t="s">
        <v>304</v>
      </c>
      <c r="F4977">
        <v>2</v>
      </c>
      <c r="G4977">
        <v>0.15890000000000001</v>
      </c>
    </row>
    <row r="4978" spans="1:7" x14ac:dyDescent="0.35">
      <c r="A4978" t="s">
        <v>847</v>
      </c>
      <c r="B4978" t="s">
        <v>680</v>
      </c>
      <c r="C4978" s="83">
        <v>46194</v>
      </c>
      <c r="D4978" t="s">
        <v>684</v>
      </c>
      <c r="E4978" t="s">
        <v>343</v>
      </c>
      <c r="F4978">
        <v>2</v>
      </c>
      <c r="G4978">
        <v>0.167133333333333</v>
      </c>
    </row>
    <row r="4979" spans="1:7" x14ac:dyDescent="0.35">
      <c r="A4979" t="s">
        <v>847</v>
      </c>
      <c r="B4979" t="s">
        <v>680</v>
      </c>
      <c r="C4979" s="83">
        <v>46194</v>
      </c>
      <c r="D4979" t="s">
        <v>687</v>
      </c>
      <c r="E4979" t="s">
        <v>717</v>
      </c>
      <c r="F4979">
        <v>3</v>
      </c>
      <c r="G4979">
        <v>2.5019166666666699</v>
      </c>
    </row>
    <row r="4980" spans="1:7" x14ac:dyDescent="0.35">
      <c r="A4980" t="s">
        <v>847</v>
      </c>
      <c r="B4980" t="s">
        <v>680</v>
      </c>
      <c r="C4980" s="83">
        <v>46194</v>
      </c>
      <c r="D4980" t="s">
        <v>687</v>
      </c>
      <c r="E4980" t="s">
        <v>718</v>
      </c>
      <c r="F4980">
        <v>2</v>
      </c>
      <c r="G4980">
        <v>0.16688333333333299</v>
      </c>
    </row>
    <row r="4981" spans="1:7" x14ac:dyDescent="0.35">
      <c r="A4981" t="s">
        <v>847</v>
      </c>
      <c r="B4981" t="s">
        <v>680</v>
      </c>
      <c r="C4981" s="83">
        <v>46194</v>
      </c>
      <c r="D4981" t="s">
        <v>687</v>
      </c>
      <c r="E4981" t="s">
        <v>746</v>
      </c>
      <c r="F4981">
        <v>2</v>
      </c>
      <c r="G4981">
        <v>4.3339499999999997</v>
      </c>
    </row>
    <row r="4982" spans="1:7" x14ac:dyDescent="0.35">
      <c r="A4982" t="s">
        <v>847</v>
      </c>
      <c r="B4982" t="s">
        <v>680</v>
      </c>
      <c r="C4982" s="83">
        <v>46194</v>
      </c>
      <c r="D4982" t="s">
        <v>688</v>
      </c>
      <c r="E4982" t="s">
        <v>316</v>
      </c>
      <c r="F4982">
        <v>5</v>
      </c>
      <c r="G4982">
        <v>4.8270833333333298</v>
      </c>
    </row>
    <row r="4983" spans="1:7" x14ac:dyDescent="0.35">
      <c r="A4983" t="s">
        <v>847</v>
      </c>
      <c r="B4983" t="s">
        <v>680</v>
      </c>
      <c r="C4983" s="83">
        <v>46194</v>
      </c>
      <c r="D4983" t="s">
        <v>688</v>
      </c>
      <c r="E4983" t="s">
        <v>337</v>
      </c>
      <c r="F4983">
        <v>3</v>
      </c>
      <c r="G4983">
        <v>13.82695</v>
      </c>
    </row>
    <row r="4984" spans="1:7" x14ac:dyDescent="0.35">
      <c r="A4984" t="s">
        <v>847</v>
      </c>
      <c r="B4984" t="s">
        <v>680</v>
      </c>
      <c r="C4984" s="83">
        <v>46194</v>
      </c>
      <c r="D4984" t="s">
        <v>688</v>
      </c>
      <c r="E4984" t="s">
        <v>311</v>
      </c>
      <c r="F4984">
        <v>2</v>
      </c>
      <c r="G4984">
        <v>1.0005333333333299</v>
      </c>
    </row>
    <row r="4985" spans="1:7" x14ac:dyDescent="0.35">
      <c r="A4985" t="s">
        <v>847</v>
      </c>
      <c r="B4985" t="s">
        <v>680</v>
      </c>
      <c r="C4985" s="83">
        <v>46194</v>
      </c>
      <c r="D4985" t="s">
        <v>690</v>
      </c>
      <c r="E4985" t="s">
        <v>321</v>
      </c>
      <c r="F4985">
        <v>3</v>
      </c>
      <c r="G4985">
        <v>20.002183333333299</v>
      </c>
    </row>
    <row r="4986" spans="1:7" x14ac:dyDescent="0.35">
      <c r="A4986" t="s">
        <v>847</v>
      </c>
      <c r="B4986" t="s">
        <v>680</v>
      </c>
      <c r="C4986" s="83">
        <v>46194</v>
      </c>
      <c r="D4986" t="s">
        <v>690</v>
      </c>
      <c r="E4986" t="s">
        <v>338</v>
      </c>
      <c r="F4986">
        <v>3</v>
      </c>
      <c r="G4986">
        <v>20.333166666666699</v>
      </c>
    </row>
    <row r="4987" spans="1:7" x14ac:dyDescent="0.35">
      <c r="A4987" t="s">
        <v>847</v>
      </c>
      <c r="B4987" t="s">
        <v>680</v>
      </c>
      <c r="C4987" s="83">
        <v>46194</v>
      </c>
      <c r="D4987" t="s">
        <v>690</v>
      </c>
      <c r="E4987" t="s">
        <v>347</v>
      </c>
      <c r="F4987">
        <v>2</v>
      </c>
      <c r="G4987">
        <v>3.3267500000000001</v>
      </c>
    </row>
    <row r="4988" spans="1:7" x14ac:dyDescent="0.35">
      <c r="A4988" t="s">
        <v>847</v>
      </c>
      <c r="B4988" t="s">
        <v>680</v>
      </c>
      <c r="C4988" s="83">
        <v>46194</v>
      </c>
      <c r="D4988" t="s">
        <v>685</v>
      </c>
      <c r="E4988" t="s">
        <v>311</v>
      </c>
      <c r="F4988">
        <v>7</v>
      </c>
      <c r="G4988">
        <v>4.5059666666666702</v>
      </c>
    </row>
    <row r="4989" spans="1:7" x14ac:dyDescent="0.35">
      <c r="A4989" t="s">
        <v>847</v>
      </c>
      <c r="B4989" t="s">
        <v>680</v>
      </c>
      <c r="C4989" s="83">
        <v>46194</v>
      </c>
      <c r="D4989" t="s">
        <v>685</v>
      </c>
      <c r="E4989" t="s">
        <v>321</v>
      </c>
      <c r="F4989">
        <v>4</v>
      </c>
      <c r="G4989">
        <v>2.15188333333333</v>
      </c>
    </row>
    <row r="4990" spans="1:7" x14ac:dyDescent="0.35">
      <c r="A4990" t="s">
        <v>847</v>
      </c>
      <c r="B4990" t="s">
        <v>680</v>
      </c>
      <c r="C4990" s="83">
        <v>46194</v>
      </c>
      <c r="D4990" t="s">
        <v>685</v>
      </c>
      <c r="E4990" t="s">
        <v>126</v>
      </c>
      <c r="F4990">
        <v>4</v>
      </c>
      <c r="G4990">
        <v>3.8274499999999998</v>
      </c>
    </row>
    <row r="4991" spans="1:7" x14ac:dyDescent="0.35">
      <c r="A4991" t="s">
        <v>847</v>
      </c>
      <c r="B4991" t="s">
        <v>680</v>
      </c>
      <c r="C4991" s="83">
        <v>46195</v>
      </c>
      <c r="D4991" t="s">
        <v>681</v>
      </c>
      <c r="E4991" t="s">
        <v>297</v>
      </c>
      <c r="F4991">
        <v>35</v>
      </c>
      <c r="G4991">
        <v>10.639049999999999</v>
      </c>
    </row>
    <row r="4992" spans="1:7" x14ac:dyDescent="0.35">
      <c r="A4992" t="s">
        <v>847</v>
      </c>
      <c r="B4992" t="s">
        <v>680</v>
      </c>
      <c r="C4992" s="83">
        <v>46195</v>
      </c>
      <c r="D4992" t="s">
        <v>681</v>
      </c>
      <c r="E4992" t="s">
        <v>296</v>
      </c>
      <c r="F4992">
        <v>22</v>
      </c>
      <c r="G4992">
        <v>6.6430499999999997</v>
      </c>
    </row>
    <row r="4993" spans="1:7" x14ac:dyDescent="0.35">
      <c r="A4993" t="s">
        <v>847</v>
      </c>
      <c r="B4993" t="s">
        <v>680</v>
      </c>
      <c r="C4993" s="83">
        <v>46195</v>
      </c>
      <c r="D4993" t="s">
        <v>681</v>
      </c>
      <c r="E4993" t="s">
        <v>298</v>
      </c>
      <c r="F4993">
        <v>16</v>
      </c>
      <c r="G4993">
        <v>15.3472333333333</v>
      </c>
    </row>
    <row r="4994" spans="1:7" x14ac:dyDescent="0.35">
      <c r="A4994" t="s">
        <v>847</v>
      </c>
      <c r="B4994" t="s">
        <v>680</v>
      </c>
      <c r="C4994" s="83">
        <v>46195</v>
      </c>
      <c r="D4994" t="s">
        <v>683</v>
      </c>
      <c r="E4994" t="s">
        <v>728</v>
      </c>
      <c r="F4994">
        <v>24</v>
      </c>
      <c r="G4994">
        <v>14.00455</v>
      </c>
    </row>
    <row r="4995" spans="1:7" x14ac:dyDescent="0.35">
      <c r="A4995" t="s">
        <v>847</v>
      </c>
      <c r="B4995" t="s">
        <v>680</v>
      </c>
      <c r="C4995" s="83">
        <v>46195</v>
      </c>
      <c r="D4995" t="s">
        <v>683</v>
      </c>
      <c r="E4995" t="s">
        <v>298</v>
      </c>
      <c r="F4995">
        <v>16</v>
      </c>
      <c r="G4995">
        <v>32.343499999999999</v>
      </c>
    </row>
    <row r="4996" spans="1:7" x14ac:dyDescent="0.35">
      <c r="A4996" t="s">
        <v>847</v>
      </c>
      <c r="B4996" t="s">
        <v>680</v>
      </c>
      <c r="C4996" s="83">
        <v>46195</v>
      </c>
      <c r="D4996" t="s">
        <v>683</v>
      </c>
      <c r="E4996" t="s">
        <v>304</v>
      </c>
      <c r="F4996">
        <v>10</v>
      </c>
      <c r="G4996">
        <v>7.5182166666666701</v>
      </c>
    </row>
    <row r="4997" spans="1:7" x14ac:dyDescent="0.35">
      <c r="A4997" t="s">
        <v>847</v>
      </c>
      <c r="B4997" t="s">
        <v>680</v>
      </c>
      <c r="C4997" s="83">
        <v>46195</v>
      </c>
      <c r="D4997" t="s">
        <v>689</v>
      </c>
      <c r="E4997" t="s">
        <v>298</v>
      </c>
      <c r="F4997">
        <v>23</v>
      </c>
      <c r="G4997">
        <v>13.6838</v>
      </c>
    </row>
    <row r="4998" spans="1:7" x14ac:dyDescent="0.35">
      <c r="A4998" t="s">
        <v>847</v>
      </c>
      <c r="B4998" t="s">
        <v>680</v>
      </c>
      <c r="C4998" s="83">
        <v>46195</v>
      </c>
      <c r="D4998" t="s">
        <v>689</v>
      </c>
      <c r="E4998" t="s">
        <v>297</v>
      </c>
      <c r="F4998">
        <v>8</v>
      </c>
      <c r="G4998">
        <v>2.3403833333333299</v>
      </c>
    </row>
    <row r="4999" spans="1:7" x14ac:dyDescent="0.35">
      <c r="A4999" t="s">
        <v>847</v>
      </c>
      <c r="B4999" t="s">
        <v>680</v>
      </c>
      <c r="C4999" s="83">
        <v>46195</v>
      </c>
      <c r="D4999" t="s">
        <v>689</v>
      </c>
      <c r="E4999" t="s">
        <v>296</v>
      </c>
      <c r="F4999">
        <v>7</v>
      </c>
      <c r="G4999">
        <v>2.33971666666667</v>
      </c>
    </row>
    <row r="5000" spans="1:7" x14ac:dyDescent="0.35">
      <c r="A5000" t="s">
        <v>847</v>
      </c>
      <c r="B5000" t="s">
        <v>680</v>
      </c>
      <c r="C5000" s="83">
        <v>46195</v>
      </c>
      <c r="D5000" t="s">
        <v>684</v>
      </c>
      <c r="E5000" t="s">
        <v>297</v>
      </c>
      <c r="F5000">
        <v>4</v>
      </c>
      <c r="G5000">
        <v>0.67353333333333298</v>
      </c>
    </row>
    <row r="5001" spans="1:7" x14ac:dyDescent="0.35">
      <c r="A5001" t="s">
        <v>847</v>
      </c>
      <c r="B5001" t="s">
        <v>680</v>
      </c>
      <c r="C5001" s="83">
        <v>46195</v>
      </c>
      <c r="D5001" t="s">
        <v>684</v>
      </c>
      <c r="E5001" t="s">
        <v>304</v>
      </c>
      <c r="F5001">
        <v>3</v>
      </c>
      <c r="G5001">
        <v>1.33476666666667</v>
      </c>
    </row>
    <row r="5002" spans="1:7" x14ac:dyDescent="0.35">
      <c r="A5002" t="s">
        <v>847</v>
      </c>
      <c r="B5002" t="s">
        <v>680</v>
      </c>
      <c r="C5002" s="83">
        <v>46195</v>
      </c>
      <c r="D5002" t="s">
        <v>684</v>
      </c>
      <c r="E5002" t="s">
        <v>334</v>
      </c>
      <c r="F5002">
        <v>3</v>
      </c>
      <c r="G5002">
        <v>2.8342000000000001</v>
      </c>
    </row>
    <row r="5003" spans="1:7" x14ac:dyDescent="0.35">
      <c r="A5003" t="s">
        <v>847</v>
      </c>
      <c r="B5003" t="s">
        <v>680</v>
      </c>
      <c r="C5003" s="83">
        <v>46195</v>
      </c>
      <c r="D5003" t="s">
        <v>687</v>
      </c>
      <c r="E5003" t="s">
        <v>718</v>
      </c>
      <c r="F5003">
        <v>10</v>
      </c>
      <c r="G5003">
        <v>7.51413333333333</v>
      </c>
    </row>
    <row r="5004" spans="1:7" x14ac:dyDescent="0.35">
      <c r="A5004" t="s">
        <v>847</v>
      </c>
      <c r="B5004" t="s">
        <v>680</v>
      </c>
      <c r="C5004" s="83">
        <v>46195</v>
      </c>
      <c r="D5004" t="s">
        <v>687</v>
      </c>
      <c r="E5004" t="s">
        <v>717</v>
      </c>
      <c r="F5004">
        <v>7</v>
      </c>
      <c r="G5004">
        <v>8.8378499999999995</v>
      </c>
    </row>
    <row r="5005" spans="1:7" x14ac:dyDescent="0.35">
      <c r="A5005" t="s">
        <v>847</v>
      </c>
      <c r="B5005" t="s">
        <v>680</v>
      </c>
      <c r="C5005" s="83">
        <v>46195</v>
      </c>
      <c r="D5005" t="s">
        <v>687</v>
      </c>
      <c r="E5005" t="s">
        <v>729</v>
      </c>
      <c r="F5005">
        <v>3</v>
      </c>
      <c r="G5005">
        <v>4.4955666666666696</v>
      </c>
    </row>
    <row r="5006" spans="1:7" x14ac:dyDescent="0.35">
      <c r="A5006" t="s">
        <v>847</v>
      </c>
      <c r="B5006" t="s">
        <v>680</v>
      </c>
      <c r="C5006" s="83">
        <v>46195</v>
      </c>
      <c r="D5006" t="s">
        <v>688</v>
      </c>
      <c r="E5006" t="s">
        <v>316</v>
      </c>
      <c r="F5006">
        <v>5</v>
      </c>
      <c r="G5006">
        <v>1.34185</v>
      </c>
    </row>
    <row r="5007" spans="1:7" x14ac:dyDescent="0.35">
      <c r="A5007" t="s">
        <v>847</v>
      </c>
      <c r="B5007" t="s">
        <v>680</v>
      </c>
      <c r="C5007" s="83">
        <v>46195</v>
      </c>
      <c r="D5007" t="s">
        <v>688</v>
      </c>
      <c r="E5007" t="s">
        <v>311</v>
      </c>
      <c r="F5007">
        <v>2</v>
      </c>
      <c r="G5007">
        <v>0.83379999999999999</v>
      </c>
    </row>
    <row r="5008" spans="1:7" x14ac:dyDescent="0.35">
      <c r="A5008" t="s">
        <v>847</v>
      </c>
      <c r="B5008" t="s">
        <v>680</v>
      </c>
      <c r="C5008" s="83">
        <v>46195</v>
      </c>
      <c r="D5008" t="s">
        <v>688</v>
      </c>
      <c r="E5008" t="s">
        <v>312</v>
      </c>
      <c r="F5008">
        <v>2</v>
      </c>
      <c r="G5008">
        <v>0.16685</v>
      </c>
    </row>
    <row r="5009" spans="1:7" x14ac:dyDescent="0.35">
      <c r="A5009" t="s">
        <v>847</v>
      </c>
      <c r="B5009" t="s">
        <v>680</v>
      </c>
      <c r="C5009" s="83">
        <v>46195</v>
      </c>
      <c r="D5009" t="s">
        <v>690</v>
      </c>
      <c r="E5009" t="s">
        <v>311</v>
      </c>
      <c r="F5009">
        <v>7</v>
      </c>
      <c r="G5009">
        <v>4.8287166666666703</v>
      </c>
    </row>
    <row r="5010" spans="1:7" x14ac:dyDescent="0.35">
      <c r="A5010" t="s">
        <v>847</v>
      </c>
      <c r="B5010" t="s">
        <v>693</v>
      </c>
      <c r="C5010" s="83"/>
      <c r="F5010">
        <v>52464</v>
      </c>
      <c r="G5010">
        <v>97795.437083333003</v>
      </c>
    </row>
    <row r="5011" spans="1:7" x14ac:dyDescent="0.35">
      <c r="A5011" t="s">
        <v>847</v>
      </c>
      <c r="B5011" t="s">
        <v>680</v>
      </c>
      <c r="C5011" s="83">
        <v>46195</v>
      </c>
      <c r="D5011" t="s">
        <v>690</v>
      </c>
      <c r="E5011" t="s">
        <v>321</v>
      </c>
      <c r="F5011">
        <v>7</v>
      </c>
      <c r="G5011">
        <v>60.1949166666667</v>
      </c>
    </row>
    <row r="5012" spans="1:7" x14ac:dyDescent="0.35">
      <c r="A5012" t="s">
        <v>847</v>
      </c>
      <c r="B5012" t="s">
        <v>680</v>
      </c>
      <c r="C5012" s="83">
        <v>46195</v>
      </c>
      <c r="D5012" t="s">
        <v>690</v>
      </c>
      <c r="E5012" t="s">
        <v>315</v>
      </c>
      <c r="F5012">
        <v>2</v>
      </c>
      <c r="G5012">
        <v>1.1660999999999999</v>
      </c>
    </row>
    <row r="5013" spans="1:7" x14ac:dyDescent="0.35">
      <c r="A5013" t="s">
        <v>847</v>
      </c>
      <c r="B5013" t="s">
        <v>680</v>
      </c>
      <c r="C5013" s="83">
        <v>46195</v>
      </c>
      <c r="D5013" t="s">
        <v>685</v>
      </c>
      <c r="E5013" t="s">
        <v>311</v>
      </c>
      <c r="F5013">
        <v>6</v>
      </c>
      <c r="G5013">
        <v>3.9874499999999999</v>
      </c>
    </row>
    <row r="5014" spans="1:7" x14ac:dyDescent="0.35">
      <c r="A5014" t="s">
        <v>847</v>
      </c>
      <c r="B5014" t="s">
        <v>680</v>
      </c>
      <c r="C5014" s="83">
        <v>46195</v>
      </c>
      <c r="D5014" t="s">
        <v>685</v>
      </c>
      <c r="E5014" t="s">
        <v>321</v>
      </c>
      <c r="F5014">
        <v>2</v>
      </c>
      <c r="G5014">
        <v>2.3274166666666698</v>
      </c>
    </row>
    <row r="5015" spans="1:7" x14ac:dyDescent="0.35">
      <c r="A5015" t="s">
        <v>847</v>
      </c>
      <c r="B5015" t="s">
        <v>680</v>
      </c>
      <c r="C5015" s="83">
        <v>46195</v>
      </c>
      <c r="D5015" t="s">
        <v>685</v>
      </c>
      <c r="E5015" t="s">
        <v>338</v>
      </c>
      <c r="F5015">
        <v>2</v>
      </c>
      <c r="G5015">
        <v>0.16701666666666701</v>
      </c>
    </row>
    <row r="5016" spans="1:7" x14ac:dyDescent="0.35">
      <c r="A5016" t="s">
        <v>847</v>
      </c>
      <c r="B5016" t="s">
        <v>680</v>
      </c>
      <c r="C5016" s="83">
        <v>46196</v>
      </c>
      <c r="D5016" t="s">
        <v>681</v>
      </c>
      <c r="E5016" t="s">
        <v>296</v>
      </c>
      <c r="F5016">
        <v>22</v>
      </c>
      <c r="G5016">
        <v>13.826983333333301</v>
      </c>
    </row>
    <row r="5017" spans="1:7" x14ac:dyDescent="0.35">
      <c r="A5017" t="s">
        <v>847</v>
      </c>
      <c r="B5017" t="s">
        <v>680</v>
      </c>
      <c r="C5017" s="83">
        <v>46196</v>
      </c>
      <c r="D5017" t="s">
        <v>681</v>
      </c>
      <c r="E5017" t="s">
        <v>297</v>
      </c>
      <c r="F5017">
        <v>19</v>
      </c>
      <c r="G5017">
        <v>11.345549999999999</v>
      </c>
    </row>
    <row r="5018" spans="1:7" x14ac:dyDescent="0.35">
      <c r="A5018" t="s">
        <v>847</v>
      </c>
      <c r="B5018" t="s">
        <v>680</v>
      </c>
      <c r="C5018" s="83">
        <v>46196</v>
      </c>
      <c r="D5018" t="s">
        <v>681</v>
      </c>
      <c r="E5018" t="s">
        <v>298</v>
      </c>
      <c r="F5018">
        <v>16</v>
      </c>
      <c r="G5018">
        <v>20.169216666666699</v>
      </c>
    </row>
    <row r="5019" spans="1:7" x14ac:dyDescent="0.35">
      <c r="A5019" t="s">
        <v>847</v>
      </c>
      <c r="B5019" t="s">
        <v>680</v>
      </c>
      <c r="C5019" s="83">
        <v>46196</v>
      </c>
      <c r="D5019" t="s">
        <v>683</v>
      </c>
      <c r="E5019" t="s">
        <v>730</v>
      </c>
      <c r="F5019">
        <v>21</v>
      </c>
      <c r="G5019">
        <v>17.320049999999998</v>
      </c>
    </row>
    <row r="5020" spans="1:7" x14ac:dyDescent="0.35">
      <c r="A5020" t="s">
        <v>847</v>
      </c>
      <c r="B5020" t="s">
        <v>680</v>
      </c>
      <c r="C5020" s="83">
        <v>46196</v>
      </c>
      <c r="D5020" t="s">
        <v>683</v>
      </c>
      <c r="E5020" t="s">
        <v>300</v>
      </c>
      <c r="F5020">
        <v>11</v>
      </c>
      <c r="G5020">
        <v>11.043233333333299</v>
      </c>
    </row>
    <row r="5021" spans="1:7" x14ac:dyDescent="0.35">
      <c r="A5021" t="s">
        <v>847</v>
      </c>
      <c r="B5021" t="s">
        <v>680</v>
      </c>
      <c r="C5021" s="83">
        <v>46196</v>
      </c>
      <c r="D5021" t="s">
        <v>683</v>
      </c>
      <c r="E5021" t="s">
        <v>297</v>
      </c>
      <c r="F5021">
        <v>8</v>
      </c>
      <c r="G5021">
        <v>2.6617999999999999</v>
      </c>
    </row>
    <row r="5022" spans="1:7" x14ac:dyDescent="0.35">
      <c r="A5022" t="s">
        <v>847</v>
      </c>
      <c r="B5022" t="s">
        <v>680</v>
      </c>
      <c r="C5022" s="83">
        <v>46196</v>
      </c>
      <c r="D5022" t="s">
        <v>689</v>
      </c>
      <c r="E5022" t="s">
        <v>298</v>
      </c>
      <c r="F5022">
        <v>23</v>
      </c>
      <c r="G5022">
        <v>16.361233333333299</v>
      </c>
    </row>
    <row r="5023" spans="1:7" x14ac:dyDescent="0.35">
      <c r="A5023" t="s">
        <v>847</v>
      </c>
      <c r="B5023" t="s">
        <v>680</v>
      </c>
      <c r="C5023" s="83">
        <v>46196</v>
      </c>
      <c r="D5023" t="s">
        <v>689</v>
      </c>
      <c r="E5023" t="s">
        <v>727</v>
      </c>
      <c r="F5023">
        <v>8</v>
      </c>
      <c r="G5023">
        <v>4.1662499999999998</v>
      </c>
    </row>
    <row r="5024" spans="1:7" x14ac:dyDescent="0.35">
      <c r="A5024" t="s">
        <v>847</v>
      </c>
      <c r="B5024" t="s">
        <v>680</v>
      </c>
      <c r="C5024" s="83">
        <v>46196</v>
      </c>
      <c r="D5024" t="s">
        <v>689</v>
      </c>
      <c r="E5024" t="s">
        <v>297</v>
      </c>
      <c r="F5024">
        <v>8</v>
      </c>
      <c r="G5024">
        <v>2.1681499999999998</v>
      </c>
    </row>
    <row r="5025" spans="1:7" x14ac:dyDescent="0.35">
      <c r="A5025" t="s">
        <v>847</v>
      </c>
      <c r="B5025" t="s">
        <v>680</v>
      </c>
      <c r="C5025" s="83">
        <v>46196</v>
      </c>
      <c r="D5025" t="s">
        <v>684</v>
      </c>
      <c r="E5025" t="s">
        <v>300</v>
      </c>
      <c r="F5025">
        <v>4</v>
      </c>
      <c r="G5025">
        <v>1.508</v>
      </c>
    </row>
    <row r="5026" spans="1:7" x14ac:dyDescent="0.35">
      <c r="A5026" t="s">
        <v>847</v>
      </c>
      <c r="B5026" t="s">
        <v>680</v>
      </c>
      <c r="C5026" s="83">
        <v>46196</v>
      </c>
      <c r="D5026" t="s">
        <v>684</v>
      </c>
      <c r="E5026" t="s">
        <v>296</v>
      </c>
      <c r="F5026">
        <v>4</v>
      </c>
      <c r="G5026">
        <v>1.1794500000000001</v>
      </c>
    </row>
    <row r="5027" spans="1:7" x14ac:dyDescent="0.35">
      <c r="A5027" t="s">
        <v>847</v>
      </c>
      <c r="B5027" t="s">
        <v>680</v>
      </c>
      <c r="C5027" s="83">
        <v>46196</v>
      </c>
      <c r="D5027" t="s">
        <v>684</v>
      </c>
      <c r="E5027" t="s">
        <v>728</v>
      </c>
      <c r="F5027">
        <v>3</v>
      </c>
      <c r="G5027">
        <v>0.34698333333333298</v>
      </c>
    </row>
    <row r="5028" spans="1:7" x14ac:dyDescent="0.35">
      <c r="A5028" t="s">
        <v>847</v>
      </c>
      <c r="B5028" t="s">
        <v>680</v>
      </c>
      <c r="C5028" s="83">
        <v>46196</v>
      </c>
      <c r="D5028" t="s">
        <v>687</v>
      </c>
      <c r="E5028" t="s">
        <v>717</v>
      </c>
      <c r="F5028">
        <v>3</v>
      </c>
      <c r="G5028">
        <v>0.50591666666666701</v>
      </c>
    </row>
    <row r="5029" spans="1:7" x14ac:dyDescent="0.35">
      <c r="A5029" t="s">
        <v>847</v>
      </c>
      <c r="B5029" t="s">
        <v>680</v>
      </c>
      <c r="C5029" s="83">
        <v>46196</v>
      </c>
      <c r="D5029" t="s">
        <v>687</v>
      </c>
      <c r="E5029" t="s">
        <v>755</v>
      </c>
      <c r="F5029">
        <v>2</v>
      </c>
      <c r="G5029">
        <v>1.5011000000000001</v>
      </c>
    </row>
    <row r="5030" spans="1:7" x14ac:dyDescent="0.35">
      <c r="A5030" t="s">
        <v>847</v>
      </c>
      <c r="B5030" t="s">
        <v>680</v>
      </c>
      <c r="C5030" s="83">
        <v>46196</v>
      </c>
      <c r="D5030" t="s">
        <v>687</v>
      </c>
      <c r="E5030" t="s">
        <v>718</v>
      </c>
      <c r="F5030">
        <v>2</v>
      </c>
      <c r="G5030">
        <v>0.82789999999999997</v>
      </c>
    </row>
    <row r="5031" spans="1:7" x14ac:dyDescent="0.35">
      <c r="A5031" t="s">
        <v>847</v>
      </c>
      <c r="B5031" t="s">
        <v>680</v>
      </c>
      <c r="C5031" s="83">
        <v>46196</v>
      </c>
      <c r="D5031" t="s">
        <v>688</v>
      </c>
      <c r="E5031" t="s">
        <v>316</v>
      </c>
      <c r="F5031">
        <v>5</v>
      </c>
      <c r="G5031">
        <v>1.1746666666666701</v>
      </c>
    </row>
    <row r="5032" spans="1:7" x14ac:dyDescent="0.35">
      <c r="A5032" t="s">
        <v>847</v>
      </c>
      <c r="B5032" t="s">
        <v>680</v>
      </c>
      <c r="C5032" s="83">
        <v>46196</v>
      </c>
      <c r="D5032" t="s">
        <v>688</v>
      </c>
      <c r="E5032" t="s">
        <v>311</v>
      </c>
      <c r="F5032">
        <v>5</v>
      </c>
      <c r="G5032">
        <v>2.50071666666667</v>
      </c>
    </row>
    <row r="5033" spans="1:7" x14ac:dyDescent="0.35">
      <c r="A5033" t="s">
        <v>847</v>
      </c>
      <c r="B5033" t="s">
        <v>680</v>
      </c>
      <c r="C5033" s="83">
        <v>46196</v>
      </c>
      <c r="D5033" t="s">
        <v>688</v>
      </c>
      <c r="E5033" t="s">
        <v>724</v>
      </c>
      <c r="F5033">
        <v>3</v>
      </c>
      <c r="G5033">
        <v>3.3326166666666701</v>
      </c>
    </row>
    <row r="5034" spans="1:7" x14ac:dyDescent="0.35">
      <c r="A5034" t="s">
        <v>847</v>
      </c>
      <c r="B5034" t="s">
        <v>680</v>
      </c>
      <c r="C5034" s="83">
        <v>46196</v>
      </c>
      <c r="D5034" t="s">
        <v>690</v>
      </c>
      <c r="E5034" t="s">
        <v>321</v>
      </c>
      <c r="F5034">
        <v>17</v>
      </c>
      <c r="G5034">
        <v>13.3448666666667</v>
      </c>
    </row>
    <row r="5035" spans="1:7" x14ac:dyDescent="0.35">
      <c r="A5035" t="s">
        <v>847</v>
      </c>
      <c r="B5035" t="s">
        <v>680</v>
      </c>
      <c r="C5035" s="83">
        <v>46196</v>
      </c>
      <c r="D5035" t="s">
        <v>690</v>
      </c>
      <c r="E5035" t="s">
        <v>311</v>
      </c>
      <c r="F5035">
        <v>3</v>
      </c>
      <c r="G5035">
        <v>3.8261833333333302</v>
      </c>
    </row>
    <row r="5036" spans="1:7" x14ac:dyDescent="0.35">
      <c r="A5036" t="s">
        <v>847</v>
      </c>
      <c r="B5036" t="s">
        <v>680</v>
      </c>
      <c r="C5036" s="83">
        <v>46196</v>
      </c>
      <c r="D5036" t="s">
        <v>690</v>
      </c>
      <c r="E5036" t="s">
        <v>657</v>
      </c>
      <c r="F5036">
        <v>2</v>
      </c>
      <c r="G5036">
        <v>6.1681499999999998</v>
      </c>
    </row>
    <row r="5037" spans="1:7" x14ac:dyDescent="0.35">
      <c r="A5037" t="s">
        <v>847</v>
      </c>
      <c r="B5037" t="s">
        <v>680</v>
      </c>
      <c r="C5037" s="83">
        <v>46196</v>
      </c>
      <c r="D5037" t="s">
        <v>685</v>
      </c>
      <c r="E5037" t="s">
        <v>126</v>
      </c>
      <c r="F5037">
        <v>5</v>
      </c>
      <c r="G5037">
        <v>3.1728333333333301</v>
      </c>
    </row>
    <row r="5038" spans="1:7" x14ac:dyDescent="0.35">
      <c r="A5038" t="s">
        <v>847</v>
      </c>
      <c r="B5038" t="s">
        <v>680</v>
      </c>
      <c r="C5038" s="83">
        <v>46196</v>
      </c>
      <c r="D5038" t="s">
        <v>685</v>
      </c>
      <c r="E5038" t="s">
        <v>657</v>
      </c>
      <c r="F5038">
        <v>3</v>
      </c>
      <c r="G5038">
        <v>9.5089666666666695</v>
      </c>
    </row>
    <row r="5039" spans="1:7" x14ac:dyDescent="0.35">
      <c r="A5039" t="s">
        <v>847</v>
      </c>
      <c r="B5039" t="s">
        <v>680</v>
      </c>
      <c r="C5039" s="83">
        <v>46196</v>
      </c>
      <c r="D5039" t="s">
        <v>685</v>
      </c>
      <c r="E5039" t="s">
        <v>311</v>
      </c>
      <c r="F5039">
        <v>3</v>
      </c>
      <c r="G5039">
        <v>1.00075</v>
      </c>
    </row>
    <row r="5040" spans="1:7" x14ac:dyDescent="0.35">
      <c r="A5040" t="s">
        <v>847</v>
      </c>
      <c r="B5040" t="s">
        <v>680</v>
      </c>
      <c r="C5040" s="83">
        <v>46197</v>
      </c>
      <c r="D5040" t="s">
        <v>681</v>
      </c>
      <c r="E5040" t="s">
        <v>296</v>
      </c>
      <c r="F5040">
        <v>35</v>
      </c>
      <c r="G5040">
        <v>15.993883333333301</v>
      </c>
    </row>
    <row r="5041" spans="1:7" x14ac:dyDescent="0.35">
      <c r="A5041" t="s">
        <v>847</v>
      </c>
      <c r="B5041" t="s">
        <v>680</v>
      </c>
      <c r="C5041" s="83">
        <v>46197</v>
      </c>
      <c r="D5041" t="s">
        <v>681</v>
      </c>
      <c r="E5041" t="s">
        <v>297</v>
      </c>
      <c r="F5041">
        <v>9</v>
      </c>
      <c r="G5041">
        <v>3.31918333333333</v>
      </c>
    </row>
    <row r="5042" spans="1:7" x14ac:dyDescent="0.35">
      <c r="A5042" t="s">
        <v>847</v>
      </c>
      <c r="B5042" t="s">
        <v>680</v>
      </c>
      <c r="C5042" s="83">
        <v>46197</v>
      </c>
      <c r="D5042" t="s">
        <v>681</v>
      </c>
      <c r="E5042" t="s">
        <v>298</v>
      </c>
      <c r="F5042">
        <v>5</v>
      </c>
      <c r="G5042">
        <v>5.6682499999999996</v>
      </c>
    </row>
    <row r="5043" spans="1:7" x14ac:dyDescent="0.35">
      <c r="A5043" t="s">
        <v>847</v>
      </c>
      <c r="B5043" t="s">
        <v>680</v>
      </c>
      <c r="C5043" s="83">
        <v>46197</v>
      </c>
      <c r="D5043" t="s">
        <v>683</v>
      </c>
      <c r="E5043" t="s">
        <v>730</v>
      </c>
      <c r="F5043">
        <v>52</v>
      </c>
      <c r="G5043">
        <v>41.014899999999997</v>
      </c>
    </row>
    <row r="5044" spans="1:7" x14ac:dyDescent="0.35">
      <c r="A5044" t="s">
        <v>847</v>
      </c>
      <c r="B5044" t="s">
        <v>680</v>
      </c>
      <c r="C5044" s="83">
        <v>46197</v>
      </c>
      <c r="D5044" t="s">
        <v>683</v>
      </c>
      <c r="E5044" t="s">
        <v>332</v>
      </c>
      <c r="F5044">
        <v>28</v>
      </c>
      <c r="G5044">
        <v>19.676066666666699</v>
      </c>
    </row>
    <row r="5045" spans="1:7" x14ac:dyDescent="0.35">
      <c r="A5045" t="s">
        <v>847</v>
      </c>
      <c r="B5045" t="s">
        <v>680</v>
      </c>
      <c r="C5045" s="83">
        <v>46197</v>
      </c>
      <c r="D5045" t="s">
        <v>683</v>
      </c>
      <c r="E5045" t="s">
        <v>727</v>
      </c>
      <c r="F5045">
        <v>12</v>
      </c>
      <c r="G5045">
        <v>8.6643166666666698</v>
      </c>
    </row>
    <row r="5046" spans="1:7" x14ac:dyDescent="0.35">
      <c r="A5046" t="s">
        <v>847</v>
      </c>
      <c r="B5046" t="s">
        <v>680</v>
      </c>
      <c r="C5046" s="83">
        <v>46197</v>
      </c>
      <c r="D5046" t="s">
        <v>689</v>
      </c>
      <c r="E5046" t="s">
        <v>298</v>
      </c>
      <c r="F5046">
        <v>25</v>
      </c>
      <c r="G5046">
        <v>16.506450000000001</v>
      </c>
    </row>
    <row r="5047" spans="1:7" x14ac:dyDescent="0.35">
      <c r="A5047" t="s">
        <v>847</v>
      </c>
      <c r="B5047" t="s">
        <v>680</v>
      </c>
      <c r="C5047" s="83">
        <v>46197</v>
      </c>
      <c r="D5047" t="s">
        <v>689</v>
      </c>
      <c r="E5047" t="s">
        <v>297</v>
      </c>
      <c r="F5047">
        <v>4</v>
      </c>
      <c r="G5047">
        <v>2.3311166666666701</v>
      </c>
    </row>
    <row r="5048" spans="1:7" x14ac:dyDescent="0.35">
      <c r="A5048" t="s">
        <v>847</v>
      </c>
      <c r="B5048" t="s">
        <v>680</v>
      </c>
      <c r="C5048" s="83">
        <v>46197</v>
      </c>
      <c r="D5048" t="s">
        <v>689</v>
      </c>
      <c r="E5048" t="s">
        <v>296</v>
      </c>
      <c r="F5048">
        <v>4</v>
      </c>
      <c r="G5048">
        <v>1.34175</v>
      </c>
    </row>
    <row r="5049" spans="1:7" x14ac:dyDescent="0.35">
      <c r="A5049" t="s">
        <v>847</v>
      </c>
      <c r="B5049" t="s">
        <v>680</v>
      </c>
      <c r="C5049" s="83">
        <v>46197</v>
      </c>
      <c r="D5049" t="s">
        <v>684</v>
      </c>
      <c r="E5049" t="s">
        <v>300</v>
      </c>
      <c r="F5049">
        <v>3</v>
      </c>
      <c r="G5049">
        <v>0.83789999999999998</v>
      </c>
    </row>
    <row r="5050" spans="1:7" x14ac:dyDescent="0.35">
      <c r="A5050" t="s">
        <v>847</v>
      </c>
      <c r="B5050" t="s">
        <v>680</v>
      </c>
      <c r="C5050" s="83">
        <v>46197</v>
      </c>
      <c r="D5050" t="s">
        <v>684</v>
      </c>
      <c r="E5050" t="s">
        <v>298</v>
      </c>
      <c r="F5050">
        <v>3</v>
      </c>
      <c r="G5050">
        <v>2.3342499999999999</v>
      </c>
    </row>
    <row r="5051" spans="1:7" x14ac:dyDescent="0.35">
      <c r="A5051" t="s">
        <v>847</v>
      </c>
      <c r="B5051" t="s">
        <v>680</v>
      </c>
      <c r="C5051" s="83">
        <v>46197</v>
      </c>
      <c r="D5051" t="s">
        <v>684</v>
      </c>
      <c r="E5051" t="s">
        <v>297</v>
      </c>
      <c r="F5051">
        <v>2</v>
      </c>
      <c r="G5051">
        <v>0.327616666666667</v>
      </c>
    </row>
    <row r="5052" spans="1:7" x14ac:dyDescent="0.35">
      <c r="A5052" t="s">
        <v>847</v>
      </c>
      <c r="B5052" t="s">
        <v>680</v>
      </c>
      <c r="C5052" s="83">
        <v>46197</v>
      </c>
      <c r="D5052" t="s">
        <v>687</v>
      </c>
      <c r="E5052" t="s">
        <v>718</v>
      </c>
      <c r="F5052">
        <v>6</v>
      </c>
      <c r="G5052">
        <v>3.8348833333333299</v>
      </c>
    </row>
    <row r="5053" spans="1:7" x14ac:dyDescent="0.35">
      <c r="A5053" t="s">
        <v>847</v>
      </c>
      <c r="B5053" t="s">
        <v>680</v>
      </c>
      <c r="C5053" s="83">
        <v>46197</v>
      </c>
      <c r="D5053" t="s">
        <v>687</v>
      </c>
      <c r="E5053" t="s">
        <v>717</v>
      </c>
      <c r="F5053">
        <v>5</v>
      </c>
      <c r="G5053">
        <v>5.8270833333333298</v>
      </c>
    </row>
    <row r="5054" spans="1:7" x14ac:dyDescent="0.35">
      <c r="A5054" t="s">
        <v>847</v>
      </c>
      <c r="B5054" t="s">
        <v>680</v>
      </c>
      <c r="C5054" s="83">
        <v>46197</v>
      </c>
      <c r="D5054" t="s">
        <v>687</v>
      </c>
      <c r="E5054" t="s">
        <v>742</v>
      </c>
      <c r="F5054">
        <v>2</v>
      </c>
      <c r="G5054">
        <v>6.6659166666666696</v>
      </c>
    </row>
    <row r="5055" spans="1:7" x14ac:dyDescent="0.35">
      <c r="A5055" t="s">
        <v>847</v>
      </c>
      <c r="B5055" t="s">
        <v>680</v>
      </c>
      <c r="C5055" s="83">
        <v>46197</v>
      </c>
      <c r="D5055" t="s">
        <v>688</v>
      </c>
      <c r="E5055" t="s">
        <v>316</v>
      </c>
      <c r="F5055">
        <v>6</v>
      </c>
      <c r="G5055">
        <v>3.1757666666666702</v>
      </c>
    </row>
    <row r="5056" spans="1:7" x14ac:dyDescent="0.35">
      <c r="A5056" t="s">
        <v>847</v>
      </c>
      <c r="B5056" t="s">
        <v>680</v>
      </c>
      <c r="C5056" s="83">
        <v>46197</v>
      </c>
      <c r="D5056" t="s">
        <v>688</v>
      </c>
      <c r="E5056" t="s">
        <v>311</v>
      </c>
      <c r="F5056">
        <v>4</v>
      </c>
      <c r="G5056">
        <v>2.16028333333333</v>
      </c>
    </row>
    <row r="5057" spans="1:7" x14ac:dyDescent="0.35">
      <c r="A5057" t="s">
        <v>847</v>
      </c>
      <c r="B5057" t="s">
        <v>680</v>
      </c>
      <c r="C5057" s="83">
        <v>46197</v>
      </c>
      <c r="D5057" t="s">
        <v>688</v>
      </c>
      <c r="E5057" t="s">
        <v>126</v>
      </c>
      <c r="F5057">
        <v>4</v>
      </c>
      <c r="G5057">
        <v>2.99925</v>
      </c>
    </row>
    <row r="5058" spans="1:7" x14ac:dyDescent="0.35">
      <c r="A5058" t="s">
        <v>847</v>
      </c>
      <c r="B5058" t="s">
        <v>680</v>
      </c>
      <c r="C5058" s="83">
        <v>46197</v>
      </c>
      <c r="D5058" t="s">
        <v>690</v>
      </c>
      <c r="E5058" t="s">
        <v>311</v>
      </c>
      <c r="F5058">
        <v>5</v>
      </c>
      <c r="G5058">
        <v>5.1597833333333298</v>
      </c>
    </row>
    <row r="5059" spans="1:7" x14ac:dyDescent="0.35">
      <c r="A5059" t="s">
        <v>847</v>
      </c>
      <c r="B5059" t="s">
        <v>680</v>
      </c>
      <c r="C5059" s="83">
        <v>46197</v>
      </c>
      <c r="D5059" t="s">
        <v>690</v>
      </c>
      <c r="E5059" t="s">
        <v>720</v>
      </c>
      <c r="F5059">
        <v>3</v>
      </c>
      <c r="G5059">
        <v>1.50193333333333</v>
      </c>
    </row>
    <row r="5060" spans="1:7" x14ac:dyDescent="0.35">
      <c r="A5060" t="s">
        <v>847</v>
      </c>
      <c r="B5060" t="s">
        <v>680</v>
      </c>
      <c r="C5060" s="83">
        <v>46197</v>
      </c>
      <c r="D5060" t="s">
        <v>685</v>
      </c>
      <c r="E5060" t="s">
        <v>311</v>
      </c>
      <c r="F5060">
        <v>9</v>
      </c>
      <c r="G5060">
        <v>8.9886499999999998</v>
      </c>
    </row>
    <row r="5061" spans="1:7" x14ac:dyDescent="0.35">
      <c r="A5061" t="s">
        <v>847</v>
      </c>
      <c r="B5061" t="s">
        <v>680</v>
      </c>
      <c r="C5061" s="83">
        <v>46197</v>
      </c>
      <c r="D5061" t="s">
        <v>685</v>
      </c>
      <c r="E5061" t="s">
        <v>338</v>
      </c>
      <c r="F5061">
        <v>2</v>
      </c>
      <c r="G5061">
        <v>0.32703333333333301</v>
      </c>
    </row>
    <row r="5062" spans="1:7" x14ac:dyDescent="0.35">
      <c r="A5062" t="s">
        <v>847</v>
      </c>
      <c r="B5062" t="s">
        <v>680</v>
      </c>
      <c r="C5062" s="83">
        <v>46197</v>
      </c>
      <c r="D5062" t="s">
        <v>685</v>
      </c>
      <c r="E5062" t="s">
        <v>732</v>
      </c>
      <c r="F5062">
        <v>2</v>
      </c>
      <c r="G5062">
        <v>2.16021666666667</v>
      </c>
    </row>
    <row r="5063" spans="1:7" x14ac:dyDescent="0.35">
      <c r="A5063" t="s">
        <v>847</v>
      </c>
      <c r="B5063" t="s">
        <v>680</v>
      </c>
      <c r="C5063" s="83">
        <v>46198</v>
      </c>
      <c r="D5063" t="s">
        <v>681</v>
      </c>
      <c r="E5063" t="s">
        <v>296</v>
      </c>
      <c r="F5063">
        <v>33</v>
      </c>
      <c r="G5063">
        <v>12.18225</v>
      </c>
    </row>
    <row r="5064" spans="1:7" x14ac:dyDescent="0.35">
      <c r="A5064" t="s">
        <v>847</v>
      </c>
      <c r="B5064" t="s">
        <v>680</v>
      </c>
      <c r="C5064" s="83">
        <v>46198</v>
      </c>
      <c r="D5064" t="s">
        <v>681</v>
      </c>
      <c r="E5064" t="s">
        <v>297</v>
      </c>
      <c r="F5064">
        <v>27</v>
      </c>
      <c r="G5064">
        <v>11.835000000000001</v>
      </c>
    </row>
    <row r="5065" spans="1:7" x14ac:dyDescent="0.35">
      <c r="A5065" t="s">
        <v>847</v>
      </c>
      <c r="B5065" t="s">
        <v>680</v>
      </c>
      <c r="C5065" s="83">
        <v>46198</v>
      </c>
      <c r="D5065" t="s">
        <v>681</v>
      </c>
      <c r="E5065" t="s">
        <v>298</v>
      </c>
      <c r="F5065">
        <v>16</v>
      </c>
      <c r="G5065">
        <v>27.332350000000002</v>
      </c>
    </row>
    <row r="5066" spans="1:7" x14ac:dyDescent="0.35">
      <c r="A5066" t="s">
        <v>847</v>
      </c>
      <c r="B5066" t="s">
        <v>680</v>
      </c>
      <c r="C5066" s="83">
        <v>46198</v>
      </c>
      <c r="D5066" t="s">
        <v>683</v>
      </c>
      <c r="E5066" t="s">
        <v>296</v>
      </c>
      <c r="F5066">
        <v>12</v>
      </c>
      <c r="G5066">
        <v>5.68861666666667</v>
      </c>
    </row>
    <row r="5067" spans="1:7" x14ac:dyDescent="0.35">
      <c r="A5067" t="s">
        <v>847</v>
      </c>
      <c r="B5067" t="s">
        <v>680</v>
      </c>
      <c r="C5067" s="83">
        <v>46198</v>
      </c>
      <c r="D5067" t="s">
        <v>683</v>
      </c>
      <c r="E5067" t="s">
        <v>298</v>
      </c>
      <c r="F5067">
        <v>11</v>
      </c>
      <c r="G5067">
        <v>14.354283333333299</v>
      </c>
    </row>
    <row r="5068" spans="1:7" x14ac:dyDescent="0.35">
      <c r="A5068" t="s">
        <v>847</v>
      </c>
      <c r="B5068" t="s">
        <v>680</v>
      </c>
      <c r="C5068" s="83">
        <v>46198</v>
      </c>
      <c r="D5068" t="s">
        <v>683</v>
      </c>
      <c r="E5068" t="s">
        <v>332</v>
      </c>
      <c r="F5068">
        <v>11</v>
      </c>
      <c r="G5068">
        <v>9.1650666666666698</v>
      </c>
    </row>
    <row r="5069" spans="1:7" x14ac:dyDescent="0.35">
      <c r="A5069" t="s">
        <v>847</v>
      </c>
      <c r="B5069" t="s">
        <v>680</v>
      </c>
      <c r="C5069" s="83">
        <v>46198</v>
      </c>
      <c r="D5069" t="s">
        <v>689</v>
      </c>
      <c r="E5069" t="s">
        <v>300</v>
      </c>
      <c r="F5069">
        <v>22</v>
      </c>
      <c r="G5069">
        <v>25.006499999999999</v>
      </c>
    </row>
    <row r="5070" spans="1:7" x14ac:dyDescent="0.35">
      <c r="A5070" t="s">
        <v>847</v>
      </c>
      <c r="B5070" t="s">
        <v>680</v>
      </c>
      <c r="C5070" s="83">
        <v>46198</v>
      </c>
      <c r="D5070" t="s">
        <v>689</v>
      </c>
      <c r="E5070" t="s">
        <v>296</v>
      </c>
      <c r="F5070">
        <v>14</v>
      </c>
      <c r="G5070">
        <v>7.4997499999999997</v>
      </c>
    </row>
    <row r="5071" spans="1:7" x14ac:dyDescent="0.35">
      <c r="A5071" t="s">
        <v>847</v>
      </c>
      <c r="B5071" t="s">
        <v>680</v>
      </c>
      <c r="C5071" s="83">
        <v>46198</v>
      </c>
      <c r="D5071" t="s">
        <v>689</v>
      </c>
      <c r="E5071" t="s">
        <v>297</v>
      </c>
      <c r="F5071">
        <v>13</v>
      </c>
      <c r="G5071">
        <v>6.6468499999999997</v>
      </c>
    </row>
    <row r="5072" spans="1:7" x14ac:dyDescent="0.35">
      <c r="A5072" t="s">
        <v>847</v>
      </c>
      <c r="B5072" t="s">
        <v>680</v>
      </c>
      <c r="C5072" s="83">
        <v>46198</v>
      </c>
      <c r="D5072" t="s">
        <v>684</v>
      </c>
      <c r="E5072" t="s">
        <v>297</v>
      </c>
      <c r="F5072">
        <v>15</v>
      </c>
      <c r="G5072">
        <v>7.0208166666666703</v>
      </c>
    </row>
    <row r="5073" spans="1:7" x14ac:dyDescent="0.35">
      <c r="A5073" t="s">
        <v>847</v>
      </c>
      <c r="B5073" t="s">
        <v>680</v>
      </c>
      <c r="C5073" s="83">
        <v>46198</v>
      </c>
      <c r="D5073" t="s">
        <v>684</v>
      </c>
      <c r="E5073" t="s">
        <v>728</v>
      </c>
      <c r="F5073">
        <v>4</v>
      </c>
      <c r="G5073">
        <v>1.16848333333333</v>
      </c>
    </row>
    <row r="5074" spans="1:7" x14ac:dyDescent="0.35">
      <c r="A5074" t="s">
        <v>847</v>
      </c>
      <c r="B5074" t="s">
        <v>680</v>
      </c>
      <c r="C5074" s="83">
        <v>46198</v>
      </c>
      <c r="D5074" t="s">
        <v>684</v>
      </c>
      <c r="E5074" t="s">
        <v>296</v>
      </c>
      <c r="F5074">
        <v>4</v>
      </c>
      <c r="G5074">
        <v>0.67891666666666695</v>
      </c>
    </row>
    <row r="5075" spans="1:7" x14ac:dyDescent="0.35">
      <c r="A5075" t="s">
        <v>847</v>
      </c>
      <c r="B5075" t="s">
        <v>680</v>
      </c>
      <c r="C5075" s="83">
        <v>46198</v>
      </c>
      <c r="D5075" t="s">
        <v>687</v>
      </c>
      <c r="E5075" t="s">
        <v>717</v>
      </c>
      <c r="F5075">
        <v>8</v>
      </c>
      <c r="G5075">
        <v>16.499300000000002</v>
      </c>
    </row>
    <row r="5076" spans="1:7" x14ac:dyDescent="0.35">
      <c r="A5076" t="s">
        <v>847</v>
      </c>
      <c r="B5076" t="s">
        <v>680</v>
      </c>
      <c r="C5076" s="83">
        <v>46198</v>
      </c>
      <c r="D5076" t="s">
        <v>687</v>
      </c>
      <c r="E5076" t="s">
        <v>746</v>
      </c>
      <c r="F5076">
        <v>4</v>
      </c>
      <c r="G5076">
        <v>8.3328500000000005</v>
      </c>
    </row>
    <row r="5077" spans="1:7" x14ac:dyDescent="0.35">
      <c r="A5077" t="s">
        <v>847</v>
      </c>
      <c r="B5077" t="s">
        <v>680</v>
      </c>
      <c r="C5077" s="83">
        <v>46198</v>
      </c>
      <c r="D5077" t="s">
        <v>687</v>
      </c>
      <c r="E5077" t="s">
        <v>718</v>
      </c>
      <c r="F5077">
        <v>3</v>
      </c>
      <c r="G5077">
        <v>2.0011666666666699</v>
      </c>
    </row>
    <row r="5078" spans="1:7" x14ac:dyDescent="0.35">
      <c r="A5078" t="s">
        <v>847</v>
      </c>
      <c r="B5078" t="s">
        <v>680</v>
      </c>
      <c r="C5078" s="83">
        <v>46198</v>
      </c>
      <c r="D5078" t="s">
        <v>688</v>
      </c>
      <c r="E5078" t="s">
        <v>316</v>
      </c>
      <c r="F5078">
        <v>10</v>
      </c>
      <c r="G5078">
        <v>17.6658166666667</v>
      </c>
    </row>
    <row r="5079" spans="1:7" x14ac:dyDescent="0.35">
      <c r="A5079" t="s">
        <v>847</v>
      </c>
      <c r="B5079" t="s">
        <v>680</v>
      </c>
      <c r="C5079" s="83">
        <v>46198</v>
      </c>
      <c r="D5079" t="s">
        <v>688</v>
      </c>
      <c r="E5079" t="s">
        <v>311</v>
      </c>
      <c r="F5079">
        <v>7</v>
      </c>
      <c r="G5079">
        <v>4.6520666666666699</v>
      </c>
    </row>
    <row r="5080" spans="1:7" x14ac:dyDescent="0.35">
      <c r="A5080" t="s">
        <v>847</v>
      </c>
      <c r="B5080" t="s">
        <v>680</v>
      </c>
      <c r="C5080" s="83">
        <v>46198</v>
      </c>
      <c r="D5080" t="s">
        <v>688</v>
      </c>
      <c r="E5080" t="s">
        <v>732</v>
      </c>
      <c r="F5080">
        <v>3</v>
      </c>
      <c r="G5080">
        <v>2.49338333333333</v>
      </c>
    </row>
    <row r="5081" spans="1:7" x14ac:dyDescent="0.35">
      <c r="A5081" t="s">
        <v>847</v>
      </c>
      <c r="B5081" t="s">
        <v>680</v>
      </c>
      <c r="C5081" s="83">
        <v>46198</v>
      </c>
      <c r="D5081" t="s">
        <v>690</v>
      </c>
      <c r="E5081" t="s">
        <v>311</v>
      </c>
      <c r="F5081">
        <v>13</v>
      </c>
      <c r="G5081">
        <v>6.0102166666666701</v>
      </c>
    </row>
    <row r="5082" spans="1:7" x14ac:dyDescent="0.35">
      <c r="A5082" t="s">
        <v>847</v>
      </c>
      <c r="B5082" t="s">
        <v>680</v>
      </c>
      <c r="C5082" s="83">
        <v>46198</v>
      </c>
      <c r="D5082" t="s">
        <v>690</v>
      </c>
      <c r="E5082" t="s">
        <v>725</v>
      </c>
      <c r="F5082">
        <v>4</v>
      </c>
      <c r="G5082">
        <v>2.0083000000000002</v>
      </c>
    </row>
    <row r="5083" spans="1:7" x14ac:dyDescent="0.35">
      <c r="A5083" t="s">
        <v>847</v>
      </c>
      <c r="B5083" t="s">
        <v>680</v>
      </c>
      <c r="C5083" s="83">
        <v>46198</v>
      </c>
      <c r="D5083" t="s">
        <v>690</v>
      </c>
      <c r="E5083" t="s">
        <v>321</v>
      </c>
      <c r="F5083">
        <v>4</v>
      </c>
      <c r="G5083">
        <v>3.3166333333333302</v>
      </c>
    </row>
    <row r="5084" spans="1:7" x14ac:dyDescent="0.35">
      <c r="A5084" t="s">
        <v>847</v>
      </c>
      <c r="B5084" t="s">
        <v>680</v>
      </c>
      <c r="C5084" s="83">
        <v>46198</v>
      </c>
      <c r="D5084" t="s">
        <v>685</v>
      </c>
      <c r="E5084" t="s">
        <v>311</v>
      </c>
      <c r="F5084">
        <v>9</v>
      </c>
      <c r="G5084">
        <v>24.34695</v>
      </c>
    </row>
    <row r="5085" spans="1:7" x14ac:dyDescent="0.35">
      <c r="A5085" t="s">
        <v>847</v>
      </c>
      <c r="B5085" t="s">
        <v>680</v>
      </c>
      <c r="C5085" s="83">
        <v>46198</v>
      </c>
      <c r="D5085" t="s">
        <v>685</v>
      </c>
      <c r="E5085" t="s">
        <v>316</v>
      </c>
      <c r="F5085">
        <v>5</v>
      </c>
      <c r="G5085">
        <v>2.3349333333333302</v>
      </c>
    </row>
    <row r="5086" spans="1:7" x14ac:dyDescent="0.35">
      <c r="A5086" t="s">
        <v>847</v>
      </c>
      <c r="B5086" t="s">
        <v>680</v>
      </c>
      <c r="C5086" s="83">
        <v>46198</v>
      </c>
      <c r="D5086" t="s">
        <v>685</v>
      </c>
      <c r="E5086" t="s">
        <v>321</v>
      </c>
      <c r="F5086">
        <v>4</v>
      </c>
      <c r="G5086">
        <v>1.8322000000000001</v>
      </c>
    </row>
    <row r="5087" spans="1:7" x14ac:dyDescent="0.35">
      <c r="A5087" t="s">
        <v>847</v>
      </c>
      <c r="B5087" t="s">
        <v>680</v>
      </c>
      <c r="C5087" s="83">
        <v>46199</v>
      </c>
      <c r="D5087" t="s">
        <v>681</v>
      </c>
      <c r="E5087" t="s">
        <v>296</v>
      </c>
      <c r="F5087">
        <v>23</v>
      </c>
      <c r="G5087">
        <v>7.6686833333333304</v>
      </c>
    </row>
    <row r="5088" spans="1:7" x14ac:dyDescent="0.35">
      <c r="A5088" t="s">
        <v>847</v>
      </c>
      <c r="B5088" t="s">
        <v>680</v>
      </c>
      <c r="C5088" s="83">
        <v>46199</v>
      </c>
      <c r="D5088" t="s">
        <v>681</v>
      </c>
      <c r="E5088" t="s">
        <v>334</v>
      </c>
      <c r="F5088">
        <v>10</v>
      </c>
      <c r="G5088">
        <v>3.8327166666666699</v>
      </c>
    </row>
    <row r="5089" spans="1:7" x14ac:dyDescent="0.35">
      <c r="A5089" t="s">
        <v>847</v>
      </c>
      <c r="B5089" t="s">
        <v>680</v>
      </c>
      <c r="C5089" s="83">
        <v>46199</v>
      </c>
      <c r="D5089" t="s">
        <v>681</v>
      </c>
      <c r="E5089" t="s">
        <v>297</v>
      </c>
      <c r="F5089">
        <v>10</v>
      </c>
      <c r="G5089">
        <v>5.1735833333333296</v>
      </c>
    </row>
    <row r="5090" spans="1:7" x14ac:dyDescent="0.35">
      <c r="A5090" t="s">
        <v>847</v>
      </c>
      <c r="B5090" t="s">
        <v>680</v>
      </c>
      <c r="C5090" s="83">
        <v>46199</v>
      </c>
      <c r="D5090" t="s">
        <v>683</v>
      </c>
      <c r="E5090" t="s">
        <v>296</v>
      </c>
      <c r="F5090">
        <v>15</v>
      </c>
      <c r="G5090">
        <v>4.1667166666666704</v>
      </c>
    </row>
    <row r="5091" spans="1:7" x14ac:dyDescent="0.35">
      <c r="A5091" t="s">
        <v>847</v>
      </c>
      <c r="B5091" t="s">
        <v>680</v>
      </c>
      <c r="C5091" s="83">
        <v>46199</v>
      </c>
      <c r="D5091" t="s">
        <v>683</v>
      </c>
      <c r="E5091" t="s">
        <v>332</v>
      </c>
      <c r="F5091">
        <v>10</v>
      </c>
      <c r="G5091">
        <v>6.3510833333333299</v>
      </c>
    </row>
    <row r="5092" spans="1:7" x14ac:dyDescent="0.35">
      <c r="A5092" t="s">
        <v>847</v>
      </c>
      <c r="B5092" t="s">
        <v>680</v>
      </c>
      <c r="C5092" s="83">
        <v>46199</v>
      </c>
      <c r="D5092" t="s">
        <v>683</v>
      </c>
      <c r="E5092" t="s">
        <v>298</v>
      </c>
      <c r="F5092">
        <v>10</v>
      </c>
      <c r="G5092">
        <v>11.9836666666667</v>
      </c>
    </row>
    <row r="5093" spans="1:7" x14ac:dyDescent="0.35">
      <c r="A5093" t="s">
        <v>847</v>
      </c>
      <c r="B5093" t="s">
        <v>680</v>
      </c>
      <c r="C5093" s="83">
        <v>46199</v>
      </c>
      <c r="D5093" t="s">
        <v>689</v>
      </c>
      <c r="E5093" t="s">
        <v>300</v>
      </c>
      <c r="F5093">
        <v>18</v>
      </c>
      <c r="G5093">
        <v>6.5029666666666701</v>
      </c>
    </row>
    <row r="5094" spans="1:7" x14ac:dyDescent="0.35">
      <c r="A5094" t="s">
        <v>847</v>
      </c>
      <c r="B5094" t="s">
        <v>680</v>
      </c>
      <c r="C5094" s="83">
        <v>46199</v>
      </c>
      <c r="D5094" t="s">
        <v>689</v>
      </c>
      <c r="E5094" t="s">
        <v>296</v>
      </c>
      <c r="F5094">
        <v>11</v>
      </c>
      <c r="G5094">
        <v>8.1638833333333292</v>
      </c>
    </row>
    <row r="5095" spans="1:7" x14ac:dyDescent="0.35">
      <c r="A5095" t="s">
        <v>847</v>
      </c>
      <c r="B5095" t="s">
        <v>680</v>
      </c>
      <c r="C5095" s="83">
        <v>46199</v>
      </c>
      <c r="D5095" t="s">
        <v>689</v>
      </c>
      <c r="E5095" t="s">
        <v>334</v>
      </c>
      <c r="F5095">
        <v>3</v>
      </c>
      <c r="G5095">
        <v>1.6605000000000001</v>
      </c>
    </row>
    <row r="5096" spans="1:7" x14ac:dyDescent="0.35">
      <c r="A5096" t="s">
        <v>847</v>
      </c>
      <c r="B5096" t="s">
        <v>680</v>
      </c>
      <c r="C5096" s="83">
        <v>46199</v>
      </c>
      <c r="D5096" t="s">
        <v>684</v>
      </c>
      <c r="E5096" t="s">
        <v>297</v>
      </c>
      <c r="F5096">
        <v>23</v>
      </c>
      <c r="G5096">
        <v>10.6727333333333</v>
      </c>
    </row>
    <row r="5097" spans="1:7" x14ac:dyDescent="0.35">
      <c r="A5097" t="s">
        <v>847</v>
      </c>
      <c r="B5097" t="s">
        <v>680</v>
      </c>
      <c r="C5097" s="83">
        <v>46199</v>
      </c>
      <c r="D5097" t="s">
        <v>684</v>
      </c>
      <c r="E5097" t="s">
        <v>298</v>
      </c>
      <c r="F5097">
        <v>5</v>
      </c>
      <c r="G5097">
        <v>3.83408333333333</v>
      </c>
    </row>
    <row r="5098" spans="1:7" x14ac:dyDescent="0.35">
      <c r="A5098" t="s">
        <v>847</v>
      </c>
      <c r="B5098" t="s">
        <v>680</v>
      </c>
      <c r="C5098" s="83">
        <v>46199</v>
      </c>
      <c r="D5098" t="s">
        <v>684</v>
      </c>
      <c r="E5098" t="s">
        <v>728</v>
      </c>
      <c r="F5098">
        <v>4</v>
      </c>
      <c r="G5098">
        <v>0.82650000000000001</v>
      </c>
    </row>
    <row r="5099" spans="1:7" x14ac:dyDescent="0.35">
      <c r="A5099" t="s">
        <v>847</v>
      </c>
      <c r="B5099" t="s">
        <v>680</v>
      </c>
      <c r="C5099" s="83">
        <v>46199</v>
      </c>
      <c r="D5099" t="s">
        <v>687</v>
      </c>
      <c r="E5099" t="s">
        <v>717</v>
      </c>
      <c r="F5099">
        <v>3</v>
      </c>
      <c r="G5099">
        <v>1.16746666666667</v>
      </c>
    </row>
    <row r="5100" spans="1:7" x14ac:dyDescent="0.35">
      <c r="A5100" t="s">
        <v>847</v>
      </c>
      <c r="B5100" t="s">
        <v>680</v>
      </c>
      <c r="C5100" s="83">
        <v>46199</v>
      </c>
      <c r="D5100" t="s">
        <v>687</v>
      </c>
      <c r="E5100" t="s">
        <v>746</v>
      </c>
      <c r="F5100">
        <v>2</v>
      </c>
      <c r="G5100">
        <v>4.1665333333333301</v>
      </c>
    </row>
    <row r="5101" spans="1:7" x14ac:dyDescent="0.35">
      <c r="A5101" t="s">
        <v>847</v>
      </c>
      <c r="B5101" t="s">
        <v>680</v>
      </c>
      <c r="C5101" s="83">
        <v>46199</v>
      </c>
      <c r="D5101" t="s">
        <v>687</v>
      </c>
      <c r="E5101" t="s">
        <v>787</v>
      </c>
      <c r="F5101">
        <v>2</v>
      </c>
      <c r="G5101">
        <v>16.836349999999999</v>
      </c>
    </row>
    <row r="5102" spans="1:7" x14ac:dyDescent="0.35">
      <c r="A5102" t="s">
        <v>847</v>
      </c>
      <c r="B5102" t="s">
        <v>680</v>
      </c>
      <c r="C5102" s="83">
        <v>46199</v>
      </c>
      <c r="D5102" t="s">
        <v>688</v>
      </c>
      <c r="E5102" t="s">
        <v>311</v>
      </c>
      <c r="F5102">
        <v>19</v>
      </c>
      <c r="G5102">
        <v>15.0255666666667</v>
      </c>
    </row>
    <row r="5103" spans="1:7" x14ac:dyDescent="0.35">
      <c r="A5103" t="s">
        <v>847</v>
      </c>
      <c r="B5103" t="s">
        <v>680</v>
      </c>
      <c r="C5103" s="83">
        <v>46199</v>
      </c>
      <c r="D5103" t="s">
        <v>688</v>
      </c>
      <c r="E5103" t="s">
        <v>720</v>
      </c>
      <c r="F5103">
        <v>9</v>
      </c>
      <c r="G5103">
        <v>7.66733333333333</v>
      </c>
    </row>
    <row r="5104" spans="1:7" x14ac:dyDescent="0.35">
      <c r="A5104" t="s">
        <v>847</v>
      </c>
      <c r="B5104" t="s">
        <v>680</v>
      </c>
      <c r="C5104" s="83">
        <v>46199</v>
      </c>
      <c r="D5104" t="s">
        <v>688</v>
      </c>
      <c r="E5104" t="s">
        <v>316</v>
      </c>
      <c r="F5104">
        <v>5</v>
      </c>
      <c r="G5104">
        <v>2.6657833333333301</v>
      </c>
    </row>
    <row r="5105" spans="1:7" x14ac:dyDescent="0.35">
      <c r="A5105" t="s">
        <v>847</v>
      </c>
      <c r="B5105" t="s">
        <v>680</v>
      </c>
      <c r="C5105" s="83">
        <v>46199</v>
      </c>
      <c r="D5105" t="s">
        <v>690</v>
      </c>
      <c r="E5105" t="s">
        <v>311</v>
      </c>
      <c r="F5105">
        <v>15</v>
      </c>
      <c r="G5105">
        <v>11.169416666666701</v>
      </c>
    </row>
    <row r="5106" spans="1:7" x14ac:dyDescent="0.35">
      <c r="A5106" t="s">
        <v>847</v>
      </c>
      <c r="B5106" t="s">
        <v>680</v>
      </c>
      <c r="C5106" s="83">
        <v>46199</v>
      </c>
      <c r="D5106" t="s">
        <v>690</v>
      </c>
      <c r="E5106" t="s">
        <v>312</v>
      </c>
      <c r="F5106">
        <v>13</v>
      </c>
      <c r="G5106">
        <v>8.1542333333333303</v>
      </c>
    </row>
    <row r="5107" spans="1:7" x14ac:dyDescent="0.35">
      <c r="A5107" t="s">
        <v>847</v>
      </c>
      <c r="B5107" t="s">
        <v>680</v>
      </c>
      <c r="C5107" s="83">
        <v>46199</v>
      </c>
      <c r="D5107" t="s">
        <v>690</v>
      </c>
      <c r="E5107" t="s">
        <v>338</v>
      </c>
      <c r="F5107">
        <v>9</v>
      </c>
      <c r="G5107">
        <v>5.6534666666666702</v>
      </c>
    </row>
    <row r="5108" spans="1:7" x14ac:dyDescent="0.35">
      <c r="A5108" t="s">
        <v>847</v>
      </c>
      <c r="B5108" t="s">
        <v>680</v>
      </c>
      <c r="C5108" s="83">
        <v>46199</v>
      </c>
      <c r="D5108" t="s">
        <v>685</v>
      </c>
      <c r="E5108" t="s">
        <v>311</v>
      </c>
      <c r="F5108">
        <v>9</v>
      </c>
      <c r="G5108">
        <v>4.9943</v>
      </c>
    </row>
    <row r="5109" spans="1:7" x14ac:dyDescent="0.35">
      <c r="A5109" t="s">
        <v>847</v>
      </c>
      <c r="B5109" t="s">
        <v>680</v>
      </c>
      <c r="C5109" s="83">
        <v>46199</v>
      </c>
      <c r="D5109" t="s">
        <v>685</v>
      </c>
      <c r="E5109" t="s">
        <v>723</v>
      </c>
      <c r="F5109">
        <v>7</v>
      </c>
      <c r="G5109">
        <v>6.5067666666666701</v>
      </c>
    </row>
    <row r="5110" spans="1:7" x14ac:dyDescent="0.35">
      <c r="A5110" t="s">
        <v>847</v>
      </c>
      <c r="B5110" t="s">
        <v>680</v>
      </c>
      <c r="C5110" s="83">
        <v>46199</v>
      </c>
      <c r="D5110" t="s">
        <v>685</v>
      </c>
      <c r="E5110" t="s">
        <v>316</v>
      </c>
      <c r="F5110">
        <v>6</v>
      </c>
      <c r="G5110">
        <v>3.1659333333333302</v>
      </c>
    </row>
    <row r="5111" spans="1:7" x14ac:dyDescent="0.35">
      <c r="A5111" t="s">
        <v>847</v>
      </c>
      <c r="B5111" t="s">
        <v>680</v>
      </c>
      <c r="C5111" s="83">
        <v>46200</v>
      </c>
      <c r="D5111" t="s">
        <v>681</v>
      </c>
      <c r="E5111" t="s">
        <v>300</v>
      </c>
      <c r="F5111">
        <v>10</v>
      </c>
      <c r="G5111">
        <v>6.50993333333333</v>
      </c>
    </row>
    <row r="5112" spans="1:7" x14ac:dyDescent="0.35">
      <c r="A5112" t="s">
        <v>847</v>
      </c>
      <c r="B5112" t="s">
        <v>680</v>
      </c>
      <c r="C5112" s="83">
        <v>46200</v>
      </c>
      <c r="D5112" t="s">
        <v>681</v>
      </c>
      <c r="E5112" t="s">
        <v>296</v>
      </c>
      <c r="F5112">
        <v>7</v>
      </c>
      <c r="G5112">
        <v>2.5140833333333301</v>
      </c>
    </row>
    <row r="5113" spans="1:7" x14ac:dyDescent="0.35">
      <c r="A5113" t="s">
        <v>847</v>
      </c>
      <c r="B5113" t="s">
        <v>680</v>
      </c>
      <c r="C5113" s="83">
        <v>46200</v>
      </c>
      <c r="D5113" t="s">
        <v>681</v>
      </c>
      <c r="E5113" t="s">
        <v>298</v>
      </c>
      <c r="F5113">
        <v>7</v>
      </c>
      <c r="G5113">
        <v>8.5008499999999998</v>
      </c>
    </row>
    <row r="5114" spans="1:7" x14ac:dyDescent="0.35">
      <c r="A5114" t="s">
        <v>847</v>
      </c>
      <c r="B5114" t="s">
        <v>680</v>
      </c>
      <c r="C5114" s="83">
        <v>46200</v>
      </c>
      <c r="D5114" t="s">
        <v>683</v>
      </c>
      <c r="E5114" t="s">
        <v>730</v>
      </c>
      <c r="F5114">
        <v>9</v>
      </c>
      <c r="G5114">
        <v>4.8492499999999996</v>
      </c>
    </row>
    <row r="5115" spans="1:7" x14ac:dyDescent="0.35">
      <c r="A5115" t="s">
        <v>847</v>
      </c>
      <c r="B5115" t="s">
        <v>680</v>
      </c>
      <c r="C5115" s="83">
        <v>46200</v>
      </c>
      <c r="D5115" t="s">
        <v>683</v>
      </c>
      <c r="E5115" t="s">
        <v>332</v>
      </c>
      <c r="F5115">
        <v>9</v>
      </c>
      <c r="G5115">
        <v>2.3103500000000001</v>
      </c>
    </row>
    <row r="5116" spans="1:7" x14ac:dyDescent="0.35">
      <c r="A5116" t="s">
        <v>847</v>
      </c>
      <c r="B5116" t="s">
        <v>680</v>
      </c>
      <c r="C5116" s="83">
        <v>46200</v>
      </c>
      <c r="D5116" t="s">
        <v>683</v>
      </c>
      <c r="E5116" t="s">
        <v>334</v>
      </c>
      <c r="F5116">
        <v>8</v>
      </c>
      <c r="G5116">
        <v>3.1810499999999999</v>
      </c>
    </row>
    <row r="5117" spans="1:7" x14ac:dyDescent="0.35">
      <c r="A5117" t="s">
        <v>847</v>
      </c>
      <c r="B5117" t="s">
        <v>680</v>
      </c>
      <c r="C5117" s="83">
        <v>46200</v>
      </c>
      <c r="D5117" t="s">
        <v>689</v>
      </c>
      <c r="E5117" t="s">
        <v>300</v>
      </c>
      <c r="F5117">
        <v>17</v>
      </c>
      <c r="G5117">
        <v>8.0007833333333291</v>
      </c>
    </row>
    <row r="5118" spans="1:7" x14ac:dyDescent="0.35">
      <c r="A5118" t="s">
        <v>847</v>
      </c>
      <c r="B5118" t="s">
        <v>680</v>
      </c>
      <c r="C5118" s="83">
        <v>46200</v>
      </c>
      <c r="D5118" t="s">
        <v>689</v>
      </c>
      <c r="E5118" t="s">
        <v>296</v>
      </c>
      <c r="F5118">
        <v>13</v>
      </c>
      <c r="G5118">
        <v>7.6893833333333301</v>
      </c>
    </row>
    <row r="5119" spans="1:7" x14ac:dyDescent="0.35">
      <c r="A5119" t="s">
        <v>847</v>
      </c>
      <c r="B5119" t="s">
        <v>680</v>
      </c>
      <c r="C5119" s="83">
        <v>46200</v>
      </c>
      <c r="D5119" t="s">
        <v>689</v>
      </c>
      <c r="E5119" t="s">
        <v>297</v>
      </c>
      <c r="F5119">
        <v>6</v>
      </c>
      <c r="G5119">
        <v>0.82641666666666702</v>
      </c>
    </row>
    <row r="5120" spans="1:7" x14ac:dyDescent="0.35">
      <c r="A5120" t="s">
        <v>847</v>
      </c>
      <c r="B5120" t="s">
        <v>680</v>
      </c>
      <c r="C5120" s="83">
        <v>46200</v>
      </c>
      <c r="D5120" t="s">
        <v>684</v>
      </c>
      <c r="E5120" t="s">
        <v>298</v>
      </c>
      <c r="F5120">
        <v>6</v>
      </c>
      <c r="G5120">
        <v>10.544449999999999</v>
      </c>
    </row>
    <row r="5121" spans="1:7" x14ac:dyDescent="0.35">
      <c r="A5121" t="s">
        <v>847</v>
      </c>
      <c r="B5121" t="s">
        <v>680</v>
      </c>
      <c r="C5121" s="83">
        <v>46200</v>
      </c>
      <c r="D5121" t="s">
        <v>684</v>
      </c>
      <c r="E5121" t="s">
        <v>297</v>
      </c>
      <c r="F5121">
        <v>5</v>
      </c>
      <c r="G5121">
        <v>9.3468333333333309</v>
      </c>
    </row>
    <row r="5122" spans="1:7" x14ac:dyDescent="0.35">
      <c r="A5122" t="s">
        <v>847</v>
      </c>
      <c r="B5122" t="s">
        <v>680</v>
      </c>
      <c r="C5122" s="83">
        <v>46200</v>
      </c>
      <c r="D5122" t="s">
        <v>684</v>
      </c>
      <c r="E5122" t="s">
        <v>730</v>
      </c>
      <c r="F5122">
        <v>3</v>
      </c>
      <c r="G5122">
        <v>1.0064166666666701</v>
      </c>
    </row>
    <row r="5123" spans="1:7" x14ac:dyDescent="0.35">
      <c r="A5123" t="s">
        <v>847</v>
      </c>
      <c r="B5123" t="s">
        <v>680</v>
      </c>
      <c r="C5123" s="83">
        <v>46200</v>
      </c>
      <c r="D5123" t="s">
        <v>687</v>
      </c>
      <c r="E5123" t="s">
        <v>717</v>
      </c>
      <c r="F5123">
        <v>4</v>
      </c>
      <c r="G5123">
        <v>1.00043333333333</v>
      </c>
    </row>
    <row r="5124" spans="1:7" x14ac:dyDescent="0.35">
      <c r="A5124" t="s">
        <v>847</v>
      </c>
      <c r="B5124" t="s">
        <v>680</v>
      </c>
      <c r="C5124" s="83">
        <v>46200</v>
      </c>
      <c r="D5124" t="s">
        <v>687</v>
      </c>
      <c r="E5124" t="s">
        <v>787</v>
      </c>
      <c r="F5124">
        <v>2</v>
      </c>
      <c r="G5124">
        <v>0.832633333333333</v>
      </c>
    </row>
    <row r="5125" spans="1:7" x14ac:dyDescent="0.35">
      <c r="A5125" t="s">
        <v>847</v>
      </c>
      <c r="B5125" t="s">
        <v>680</v>
      </c>
      <c r="C5125" s="83">
        <v>46200</v>
      </c>
      <c r="D5125" t="s">
        <v>687</v>
      </c>
      <c r="E5125" t="s">
        <v>729</v>
      </c>
      <c r="F5125">
        <v>2</v>
      </c>
      <c r="G5125">
        <v>0.16021666666666701</v>
      </c>
    </row>
    <row r="5126" spans="1:7" x14ac:dyDescent="0.35">
      <c r="A5126" t="s">
        <v>847</v>
      </c>
      <c r="B5126" t="s">
        <v>680</v>
      </c>
      <c r="C5126" s="83">
        <v>46200</v>
      </c>
      <c r="D5126" t="s">
        <v>688</v>
      </c>
      <c r="E5126" t="s">
        <v>720</v>
      </c>
      <c r="F5126">
        <v>17</v>
      </c>
      <c r="G5126">
        <v>8.8503500000000006</v>
      </c>
    </row>
    <row r="5127" spans="1:7" x14ac:dyDescent="0.35">
      <c r="A5127" t="s">
        <v>847</v>
      </c>
      <c r="B5127" t="s">
        <v>680</v>
      </c>
      <c r="C5127" s="83">
        <v>46200</v>
      </c>
      <c r="D5127" t="s">
        <v>688</v>
      </c>
      <c r="E5127" t="s">
        <v>311</v>
      </c>
      <c r="F5127">
        <v>16</v>
      </c>
      <c r="G5127">
        <v>13.9971333333333</v>
      </c>
    </row>
    <row r="5128" spans="1:7" x14ac:dyDescent="0.35">
      <c r="A5128" t="s">
        <v>847</v>
      </c>
      <c r="B5128" t="s">
        <v>680</v>
      </c>
      <c r="C5128" s="83">
        <v>46200</v>
      </c>
      <c r="D5128" t="s">
        <v>688</v>
      </c>
      <c r="E5128" t="s">
        <v>316</v>
      </c>
      <c r="F5128">
        <v>5</v>
      </c>
      <c r="G5128">
        <v>2.0040833333333299</v>
      </c>
    </row>
    <row r="5129" spans="1:7" x14ac:dyDescent="0.35">
      <c r="A5129" t="s">
        <v>847</v>
      </c>
      <c r="B5129" t="s">
        <v>680</v>
      </c>
      <c r="C5129" s="83">
        <v>46200</v>
      </c>
      <c r="D5129" t="s">
        <v>690</v>
      </c>
      <c r="E5129" t="s">
        <v>338</v>
      </c>
      <c r="F5129">
        <v>10</v>
      </c>
      <c r="G5129">
        <v>7.3534166666666696</v>
      </c>
    </row>
    <row r="5130" spans="1:7" x14ac:dyDescent="0.35">
      <c r="A5130" t="s">
        <v>847</v>
      </c>
      <c r="B5130" t="s">
        <v>680</v>
      </c>
      <c r="C5130" s="83">
        <v>46200</v>
      </c>
      <c r="D5130" t="s">
        <v>690</v>
      </c>
      <c r="E5130" t="s">
        <v>311</v>
      </c>
      <c r="F5130">
        <v>10</v>
      </c>
      <c r="G5130">
        <v>8.9940166666666705</v>
      </c>
    </row>
    <row r="5131" spans="1:7" x14ac:dyDescent="0.35">
      <c r="A5131" t="s">
        <v>847</v>
      </c>
      <c r="B5131" t="s">
        <v>680</v>
      </c>
      <c r="C5131" s="83">
        <v>46200</v>
      </c>
      <c r="D5131" t="s">
        <v>690</v>
      </c>
      <c r="E5131" t="s">
        <v>720</v>
      </c>
      <c r="F5131">
        <v>9</v>
      </c>
      <c r="G5131">
        <v>6.1850833333333304</v>
      </c>
    </row>
    <row r="5132" spans="1:7" x14ac:dyDescent="0.35">
      <c r="A5132" t="s">
        <v>847</v>
      </c>
      <c r="B5132" t="s">
        <v>680</v>
      </c>
      <c r="C5132" s="83">
        <v>46200</v>
      </c>
      <c r="D5132" t="s">
        <v>685</v>
      </c>
      <c r="E5132" t="s">
        <v>316</v>
      </c>
      <c r="F5132">
        <v>4</v>
      </c>
      <c r="G5132">
        <v>1.50108333333333</v>
      </c>
    </row>
    <row r="5133" spans="1:7" x14ac:dyDescent="0.35">
      <c r="A5133" t="s">
        <v>847</v>
      </c>
      <c r="B5133" t="s">
        <v>680</v>
      </c>
      <c r="C5133" s="83">
        <v>46200</v>
      </c>
      <c r="D5133" t="s">
        <v>685</v>
      </c>
      <c r="E5133" t="s">
        <v>311</v>
      </c>
      <c r="F5133">
        <v>3</v>
      </c>
      <c r="G5133">
        <v>1.8249166666666701</v>
      </c>
    </row>
    <row r="5134" spans="1:7" x14ac:dyDescent="0.35">
      <c r="A5134" t="s">
        <v>847</v>
      </c>
      <c r="B5134" t="s">
        <v>680</v>
      </c>
      <c r="C5134" s="83">
        <v>46200</v>
      </c>
      <c r="D5134" t="s">
        <v>685</v>
      </c>
      <c r="E5134" t="s">
        <v>720</v>
      </c>
      <c r="F5134">
        <v>3</v>
      </c>
      <c r="G5134">
        <v>2.1667000000000001</v>
      </c>
    </row>
    <row r="5135" spans="1:7" x14ac:dyDescent="0.35">
      <c r="A5135" t="s">
        <v>847</v>
      </c>
      <c r="B5135" t="s">
        <v>680</v>
      </c>
      <c r="C5135" s="83">
        <v>46201</v>
      </c>
      <c r="D5135" t="s">
        <v>681</v>
      </c>
      <c r="E5135" t="s">
        <v>296</v>
      </c>
      <c r="F5135">
        <v>23</v>
      </c>
      <c r="G5135">
        <v>7.5004666666666697</v>
      </c>
    </row>
    <row r="5136" spans="1:7" x14ac:dyDescent="0.35">
      <c r="A5136" t="s">
        <v>847</v>
      </c>
      <c r="B5136" t="s">
        <v>680</v>
      </c>
      <c r="C5136" s="83">
        <v>46201</v>
      </c>
      <c r="D5136" t="s">
        <v>681</v>
      </c>
      <c r="E5136" t="s">
        <v>298</v>
      </c>
      <c r="F5136">
        <v>17</v>
      </c>
      <c r="G5136">
        <v>17.156700000000001</v>
      </c>
    </row>
    <row r="5137" spans="1:7" x14ac:dyDescent="0.35">
      <c r="A5137" t="s">
        <v>847</v>
      </c>
      <c r="B5137" t="s">
        <v>680</v>
      </c>
      <c r="C5137" s="83">
        <v>46201</v>
      </c>
      <c r="D5137" t="s">
        <v>681</v>
      </c>
      <c r="E5137" t="s">
        <v>334</v>
      </c>
      <c r="F5137">
        <v>10</v>
      </c>
      <c r="G5137">
        <v>4.6396333333333297</v>
      </c>
    </row>
    <row r="5138" spans="1:7" x14ac:dyDescent="0.35">
      <c r="A5138" t="s">
        <v>847</v>
      </c>
      <c r="B5138" t="s">
        <v>680</v>
      </c>
      <c r="C5138" s="83">
        <v>46201</v>
      </c>
      <c r="D5138" t="s">
        <v>683</v>
      </c>
      <c r="E5138" t="s">
        <v>730</v>
      </c>
      <c r="F5138">
        <v>50</v>
      </c>
      <c r="G5138">
        <v>21.534883333333301</v>
      </c>
    </row>
    <row r="5139" spans="1:7" x14ac:dyDescent="0.35">
      <c r="A5139" t="s">
        <v>847</v>
      </c>
      <c r="B5139" t="s">
        <v>680</v>
      </c>
      <c r="C5139" s="83">
        <v>46201</v>
      </c>
      <c r="D5139" t="s">
        <v>683</v>
      </c>
      <c r="E5139" t="s">
        <v>298</v>
      </c>
      <c r="F5139">
        <v>17</v>
      </c>
      <c r="G5139">
        <v>23.4648166666667</v>
      </c>
    </row>
    <row r="5140" spans="1:7" x14ac:dyDescent="0.35">
      <c r="A5140" t="s">
        <v>847</v>
      </c>
      <c r="B5140" t="s">
        <v>680</v>
      </c>
      <c r="C5140" s="83">
        <v>46201</v>
      </c>
      <c r="D5140" t="s">
        <v>683</v>
      </c>
      <c r="E5140" t="s">
        <v>297</v>
      </c>
      <c r="F5140">
        <v>10</v>
      </c>
      <c r="G5140">
        <v>1.83351666666667</v>
      </c>
    </row>
    <row r="5141" spans="1:7" x14ac:dyDescent="0.35">
      <c r="A5141" t="s">
        <v>847</v>
      </c>
      <c r="B5141" t="s">
        <v>680</v>
      </c>
      <c r="C5141" s="83">
        <v>46201</v>
      </c>
      <c r="D5141" t="s">
        <v>689</v>
      </c>
      <c r="E5141" t="s">
        <v>300</v>
      </c>
      <c r="F5141">
        <v>25</v>
      </c>
      <c r="G5141">
        <v>12.8386333333333</v>
      </c>
    </row>
    <row r="5142" spans="1:7" x14ac:dyDescent="0.35">
      <c r="A5142" t="s">
        <v>847</v>
      </c>
      <c r="B5142" t="s">
        <v>680</v>
      </c>
      <c r="C5142" s="83">
        <v>46201</v>
      </c>
      <c r="D5142" t="s">
        <v>689</v>
      </c>
      <c r="E5142" t="s">
        <v>296</v>
      </c>
      <c r="F5142">
        <v>7</v>
      </c>
      <c r="G5142">
        <v>2.00111666666667</v>
      </c>
    </row>
    <row r="5143" spans="1:7" x14ac:dyDescent="0.35">
      <c r="A5143" t="s">
        <v>847</v>
      </c>
      <c r="B5143" t="s">
        <v>680</v>
      </c>
      <c r="C5143" s="83">
        <v>46201</v>
      </c>
      <c r="D5143" t="s">
        <v>689</v>
      </c>
      <c r="E5143" t="s">
        <v>297</v>
      </c>
      <c r="F5143">
        <v>4</v>
      </c>
      <c r="G5143">
        <v>1.1681666666666699</v>
      </c>
    </row>
    <row r="5144" spans="1:7" x14ac:dyDescent="0.35">
      <c r="A5144" t="s">
        <v>847</v>
      </c>
      <c r="B5144" t="s">
        <v>680</v>
      </c>
      <c r="C5144" s="83">
        <v>46201</v>
      </c>
      <c r="D5144" t="s">
        <v>684</v>
      </c>
      <c r="E5144" t="s">
        <v>300</v>
      </c>
      <c r="F5144">
        <v>3</v>
      </c>
      <c r="G5144">
        <v>2.3413666666666701</v>
      </c>
    </row>
    <row r="5145" spans="1:7" x14ac:dyDescent="0.35">
      <c r="A5145" t="s">
        <v>847</v>
      </c>
      <c r="B5145" t="s">
        <v>680</v>
      </c>
      <c r="C5145" s="83">
        <v>46201</v>
      </c>
      <c r="D5145" t="s">
        <v>684</v>
      </c>
      <c r="E5145" t="s">
        <v>298</v>
      </c>
      <c r="F5145">
        <v>3</v>
      </c>
      <c r="G5145">
        <v>2.81233333333333</v>
      </c>
    </row>
    <row r="5146" spans="1:7" x14ac:dyDescent="0.35">
      <c r="A5146" t="s">
        <v>847</v>
      </c>
      <c r="B5146" t="s">
        <v>680</v>
      </c>
      <c r="C5146" s="83">
        <v>46201</v>
      </c>
      <c r="D5146" t="s">
        <v>684</v>
      </c>
      <c r="E5146" t="s">
        <v>343</v>
      </c>
      <c r="F5146">
        <v>3</v>
      </c>
      <c r="G5146">
        <v>1.17306666666667</v>
      </c>
    </row>
    <row r="5147" spans="1:7" x14ac:dyDescent="0.35">
      <c r="A5147" t="s">
        <v>847</v>
      </c>
      <c r="B5147" t="s">
        <v>680</v>
      </c>
      <c r="C5147" s="83">
        <v>46201</v>
      </c>
      <c r="D5147" t="s">
        <v>687</v>
      </c>
      <c r="E5147" t="s">
        <v>746</v>
      </c>
      <c r="F5147">
        <v>7</v>
      </c>
      <c r="G5147">
        <v>15.0036666666667</v>
      </c>
    </row>
    <row r="5148" spans="1:7" x14ac:dyDescent="0.35">
      <c r="A5148" t="s">
        <v>847</v>
      </c>
      <c r="B5148" t="s">
        <v>680</v>
      </c>
      <c r="C5148" s="83">
        <v>46201</v>
      </c>
      <c r="D5148" t="s">
        <v>687</v>
      </c>
      <c r="E5148" t="s">
        <v>717</v>
      </c>
      <c r="F5148">
        <v>3</v>
      </c>
      <c r="G5148">
        <v>1.66743333333333</v>
      </c>
    </row>
    <row r="5149" spans="1:7" x14ac:dyDescent="0.35">
      <c r="A5149" t="s">
        <v>847</v>
      </c>
      <c r="B5149" t="s">
        <v>680</v>
      </c>
      <c r="C5149" s="83">
        <v>46201</v>
      </c>
      <c r="D5149" t="s">
        <v>687</v>
      </c>
      <c r="E5149" t="s">
        <v>726</v>
      </c>
      <c r="F5149">
        <v>3</v>
      </c>
      <c r="G5149">
        <v>6.4925499999999996</v>
      </c>
    </row>
    <row r="5150" spans="1:7" x14ac:dyDescent="0.35">
      <c r="A5150" t="s">
        <v>847</v>
      </c>
      <c r="B5150" t="s">
        <v>680</v>
      </c>
      <c r="C5150" s="83">
        <v>46201</v>
      </c>
      <c r="D5150" t="s">
        <v>688</v>
      </c>
      <c r="E5150" t="s">
        <v>316</v>
      </c>
      <c r="F5150">
        <v>13</v>
      </c>
      <c r="G5150">
        <v>8.6513833333333299</v>
      </c>
    </row>
    <row r="5151" spans="1:7" x14ac:dyDescent="0.35">
      <c r="A5151" t="s">
        <v>847</v>
      </c>
      <c r="B5151" t="s">
        <v>680</v>
      </c>
      <c r="C5151" s="83">
        <v>46201</v>
      </c>
      <c r="D5151" t="s">
        <v>688</v>
      </c>
      <c r="E5151" t="s">
        <v>311</v>
      </c>
      <c r="F5151">
        <v>9</v>
      </c>
      <c r="G5151">
        <v>15.6769833333333</v>
      </c>
    </row>
    <row r="5152" spans="1:7" x14ac:dyDescent="0.35">
      <c r="A5152" t="s">
        <v>847</v>
      </c>
      <c r="B5152" t="s">
        <v>680</v>
      </c>
      <c r="C5152" s="83">
        <v>46201</v>
      </c>
      <c r="D5152" t="s">
        <v>688</v>
      </c>
      <c r="E5152" t="s">
        <v>321</v>
      </c>
      <c r="F5152">
        <v>7</v>
      </c>
      <c r="G5152">
        <v>8.6775333333333293</v>
      </c>
    </row>
    <row r="5153" spans="1:7" x14ac:dyDescent="0.35">
      <c r="A5153" t="s">
        <v>847</v>
      </c>
      <c r="B5153" t="s">
        <v>680</v>
      </c>
      <c r="C5153" s="83">
        <v>46201</v>
      </c>
      <c r="D5153" t="s">
        <v>690</v>
      </c>
      <c r="E5153" t="s">
        <v>311</v>
      </c>
      <c r="F5153">
        <v>14</v>
      </c>
      <c r="G5153">
        <v>9.9759499999999992</v>
      </c>
    </row>
    <row r="5154" spans="1:7" x14ac:dyDescent="0.35">
      <c r="A5154" t="s">
        <v>847</v>
      </c>
      <c r="B5154" t="s">
        <v>680</v>
      </c>
      <c r="C5154" s="83">
        <v>46201</v>
      </c>
      <c r="D5154" t="s">
        <v>690</v>
      </c>
      <c r="E5154" t="s">
        <v>316</v>
      </c>
      <c r="F5154">
        <v>7</v>
      </c>
      <c r="G5154">
        <v>4.3371000000000004</v>
      </c>
    </row>
    <row r="5155" spans="1:7" x14ac:dyDescent="0.35">
      <c r="A5155" t="s">
        <v>847</v>
      </c>
      <c r="B5155" t="s">
        <v>680</v>
      </c>
      <c r="C5155" s="83">
        <v>46201</v>
      </c>
      <c r="D5155" t="s">
        <v>690</v>
      </c>
      <c r="E5155" t="s">
        <v>338</v>
      </c>
      <c r="F5155">
        <v>4</v>
      </c>
      <c r="G5155">
        <v>2.8285499999999999</v>
      </c>
    </row>
    <row r="5156" spans="1:7" x14ac:dyDescent="0.35">
      <c r="A5156" t="s">
        <v>847</v>
      </c>
      <c r="B5156" t="s">
        <v>680</v>
      </c>
      <c r="C5156" s="83">
        <v>46201</v>
      </c>
      <c r="D5156" t="s">
        <v>685</v>
      </c>
      <c r="E5156" t="s">
        <v>720</v>
      </c>
      <c r="F5156">
        <v>6</v>
      </c>
      <c r="G5156">
        <v>3.4972500000000002</v>
      </c>
    </row>
    <row r="5157" spans="1:7" x14ac:dyDescent="0.35">
      <c r="A5157" t="s">
        <v>847</v>
      </c>
      <c r="B5157" t="s">
        <v>680</v>
      </c>
      <c r="C5157" s="83">
        <v>46201</v>
      </c>
      <c r="D5157" t="s">
        <v>685</v>
      </c>
      <c r="E5157" t="s">
        <v>311</v>
      </c>
      <c r="F5157">
        <v>5</v>
      </c>
      <c r="G5157">
        <v>3.8392166666666698</v>
      </c>
    </row>
    <row r="5158" spans="1:7" x14ac:dyDescent="0.35">
      <c r="A5158" t="s">
        <v>847</v>
      </c>
      <c r="B5158" t="s">
        <v>680</v>
      </c>
      <c r="C5158" s="83">
        <v>46201</v>
      </c>
      <c r="D5158" t="s">
        <v>685</v>
      </c>
      <c r="E5158" t="s">
        <v>657</v>
      </c>
      <c r="F5158">
        <v>3</v>
      </c>
      <c r="G5158">
        <v>1.33348333333333</v>
      </c>
    </row>
    <row r="5159" spans="1:7" x14ac:dyDescent="0.35">
      <c r="A5159" t="s">
        <v>847</v>
      </c>
      <c r="B5159" t="s">
        <v>680</v>
      </c>
      <c r="C5159" s="83">
        <v>46202</v>
      </c>
      <c r="D5159" t="s">
        <v>681</v>
      </c>
      <c r="E5159" t="s">
        <v>296</v>
      </c>
      <c r="F5159">
        <v>58</v>
      </c>
      <c r="G5159">
        <v>149.78706666666699</v>
      </c>
    </row>
    <row r="5160" spans="1:7" x14ac:dyDescent="0.35">
      <c r="A5160" t="s">
        <v>847</v>
      </c>
      <c r="B5160" t="s">
        <v>680</v>
      </c>
      <c r="C5160" s="83">
        <v>46202</v>
      </c>
      <c r="D5160" t="s">
        <v>681</v>
      </c>
      <c r="E5160" t="s">
        <v>332</v>
      </c>
      <c r="F5160">
        <v>15</v>
      </c>
      <c r="G5160">
        <v>21.153183333333299</v>
      </c>
    </row>
    <row r="5161" spans="1:7" x14ac:dyDescent="0.35">
      <c r="A5161" t="s">
        <v>847</v>
      </c>
      <c r="B5161" t="s">
        <v>680</v>
      </c>
      <c r="C5161" s="83">
        <v>46202</v>
      </c>
      <c r="D5161" t="s">
        <v>681</v>
      </c>
      <c r="E5161" t="s">
        <v>298</v>
      </c>
      <c r="F5161">
        <v>13</v>
      </c>
      <c r="G5161">
        <v>16.493849999999998</v>
      </c>
    </row>
    <row r="5162" spans="1:7" x14ac:dyDescent="0.35">
      <c r="A5162" t="s">
        <v>847</v>
      </c>
      <c r="B5162" t="s">
        <v>680</v>
      </c>
      <c r="C5162" s="83">
        <v>46202</v>
      </c>
      <c r="D5162" t="s">
        <v>683</v>
      </c>
      <c r="E5162" t="s">
        <v>730</v>
      </c>
      <c r="F5162">
        <v>14</v>
      </c>
      <c r="G5162">
        <v>6.8483666666666698</v>
      </c>
    </row>
    <row r="5163" spans="1:7" x14ac:dyDescent="0.35">
      <c r="A5163" t="s">
        <v>847</v>
      </c>
      <c r="B5163" t="s">
        <v>680</v>
      </c>
      <c r="C5163" s="83">
        <v>46202</v>
      </c>
      <c r="D5163" t="s">
        <v>683</v>
      </c>
      <c r="E5163" t="s">
        <v>334</v>
      </c>
      <c r="F5163">
        <v>12</v>
      </c>
      <c r="G5163">
        <v>9.1695333333333302</v>
      </c>
    </row>
    <row r="5164" spans="1:7" x14ac:dyDescent="0.35">
      <c r="A5164" t="s">
        <v>847</v>
      </c>
      <c r="B5164" t="s">
        <v>680</v>
      </c>
      <c r="C5164" s="83">
        <v>46202</v>
      </c>
      <c r="D5164" t="s">
        <v>683</v>
      </c>
      <c r="E5164" t="s">
        <v>298</v>
      </c>
      <c r="F5164">
        <v>12</v>
      </c>
      <c r="G5164">
        <v>19.002133333333301</v>
      </c>
    </row>
    <row r="5165" spans="1:7" x14ac:dyDescent="0.35">
      <c r="A5165" t="s">
        <v>847</v>
      </c>
      <c r="B5165" t="s">
        <v>680</v>
      </c>
      <c r="C5165" s="83">
        <v>46202</v>
      </c>
      <c r="D5165" t="s">
        <v>689</v>
      </c>
      <c r="E5165" t="s">
        <v>296</v>
      </c>
      <c r="F5165">
        <v>13</v>
      </c>
      <c r="G5165">
        <v>7.17411666666667</v>
      </c>
    </row>
    <row r="5166" spans="1:7" x14ac:dyDescent="0.35">
      <c r="A5166" t="s">
        <v>847</v>
      </c>
      <c r="B5166" t="s">
        <v>680</v>
      </c>
      <c r="C5166" s="83">
        <v>46202</v>
      </c>
      <c r="D5166" t="s">
        <v>689</v>
      </c>
      <c r="E5166" t="s">
        <v>300</v>
      </c>
      <c r="F5166">
        <v>5</v>
      </c>
      <c r="G5166">
        <v>1.1731499999999999</v>
      </c>
    </row>
    <row r="5167" spans="1:7" x14ac:dyDescent="0.35">
      <c r="A5167" t="s">
        <v>847</v>
      </c>
      <c r="B5167" t="s">
        <v>680</v>
      </c>
      <c r="C5167" s="83">
        <v>46202</v>
      </c>
      <c r="D5167" t="s">
        <v>689</v>
      </c>
      <c r="E5167" t="s">
        <v>334</v>
      </c>
      <c r="F5167">
        <v>5</v>
      </c>
      <c r="G5167">
        <v>6.9948333333333297</v>
      </c>
    </row>
    <row r="5168" spans="1:7" x14ac:dyDescent="0.35">
      <c r="A5168" t="s">
        <v>847</v>
      </c>
      <c r="B5168" t="s">
        <v>680</v>
      </c>
      <c r="C5168" s="83">
        <v>46202</v>
      </c>
      <c r="D5168" t="s">
        <v>684</v>
      </c>
      <c r="E5168" t="s">
        <v>296</v>
      </c>
      <c r="F5168">
        <v>5</v>
      </c>
      <c r="G5168">
        <v>2.3328166666666701</v>
      </c>
    </row>
    <row r="5169" spans="1:7" x14ac:dyDescent="0.35">
      <c r="A5169" t="s">
        <v>847</v>
      </c>
      <c r="B5169" t="s">
        <v>680</v>
      </c>
      <c r="C5169" s="83">
        <v>46202</v>
      </c>
      <c r="D5169" t="s">
        <v>684</v>
      </c>
      <c r="E5169" t="s">
        <v>334</v>
      </c>
      <c r="F5169">
        <v>3</v>
      </c>
      <c r="G5169">
        <v>2.8322333333333298</v>
      </c>
    </row>
    <row r="5170" spans="1:7" x14ac:dyDescent="0.35">
      <c r="A5170" t="s">
        <v>847</v>
      </c>
      <c r="B5170" t="s">
        <v>680</v>
      </c>
      <c r="C5170" s="83">
        <v>46202</v>
      </c>
      <c r="D5170" t="s">
        <v>684</v>
      </c>
      <c r="E5170" t="s">
        <v>730</v>
      </c>
      <c r="F5170">
        <v>3</v>
      </c>
      <c r="G5170">
        <v>2.6791833333333299</v>
      </c>
    </row>
    <row r="5171" spans="1:7" x14ac:dyDescent="0.35">
      <c r="A5171" t="s">
        <v>847</v>
      </c>
      <c r="B5171" t="s">
        <v>680</v>
      </c>
      <c r="C5171" s="83">
        <v>46202</v>
      </c>
      <c r="D5171" t="s">
        <v>687</v>
      </c>
      <c r="E5171" t="s">
        <v>717</v>
      </c>
      <c r="F5171">
        <v>7</v>
      </c>
      <c r="G5171">
        <v>3.0151500000000002</v>
      </c>
    </row>
    <row r="5172" spans="1:7" x14ac:dyDescent="0.35">
      <c r="A5172" t="s">
        <v>847</v>
      </c>
      <c r="B5172" t="s">
        <v>680</v>
      </c>
      <c r="C5172" s="83">
        <v>46202</v>
      </c>
      <c r="D5172" t="s">
        <v>687</v>
      </c>
      <c r="E5172" t="s">
        <v>719</v>
      </c>
      <c r="F5172">
        <v>7</v>
      </c>
      <c r="G5172">
        <v>3.32676666666667</v>
      </c>
    </row>
    <row r="5173" spans="1:7" x14ac:dyDescent="0.35">
      <c r="A5173" t="s">
        <v>847</v>
      </c>
      <c r="B5173" t="s">
        <v>680</v>
      </c>
      <c r="C5173" s="83">
        <v>46202</v>
      </c>
      <c r="D5173" t="s">
        <v>687</v>
      </c>
      <c r="E5173" t="s">
        <v>752</v>
      </c>
      <c r="F5173">
        <v>3</v>
      </c>
      <c r="G5173">
        <v>0.66741666666666699</v>
      </c>
    </row>
    <row r="5174" spans="1:7" x14ac:dyDescent="0.35">
      <c r="A5174" t="s">
        <v>847</v>
      </c>
      <c r="B5174" t="s">
        <v>680</v>
      </c>
      <c r="C5174" s="83">
        <v>46202</v>
      </c>
      <c r="D5174" t="s">
        <v>688</v>
      </c>
      <c r="E5174" t="s">
        <v>311</v>
      </c>
      <c r="F5174">
        <v>6</v>
      </c>
      <c r="G5174">
        <v>4.0028666666666703</v>
      </c>
    </row>
    <row r="5175" spans="1:7" x14ac:dyDescent="0.35">
      <c r="A5175" t="s">
        <v>847</v>
      </c>
      <c r="B5175" t="s">
        <v>680</v>
      </c>
      <c r="C5175" s="83">
        <v>46202</v>
      </c>
      <c r="D5175" t="s">
        <v>690</v>
      </c>
      <c r="E5175" t="s">
        <v>311</v>
      </c>
      <c r="F5175">
        <v>7</v>
      </c>
      <c r="G5175">
        <v>3.8207</v>
      </c>
    </row>
    <row r="5176" spans="1:7" x14ac:dyDescent="0.35">
      <c r="A5176" t="s">
        <v>847</v>
      </c>
      <c r="B5176" t="s">
        <v>680</v>
      </c>
      <c r="C5176" s="83">
        <v>46202</v>
      </c>
      <c r="D5176" t="s">
        <v>690</v>
      </c>
      <c r="E5176" t="s">
        <v>338</v>
      </c>
      <c r="F5176">
        <v>3</v>
      </c>
      <c r="G5176">
        <v>2.1657000000000002</v>
      </c>
    </row>
    <row r="5177" spans="1:7" x14ac:dyDescent="0.35">
      <c r="A5177" t="s">
        <v>847</v>
      </c>
      <c r="B5177" t="s">
        <v>680</v>
      </c>
      <c r="C5177" s="83">
        <v>46202</v>
      </c>
      <c r="D5177" t="s">
        <v>690</v>
      </c>
      <c r="E5177" t="s">
        <v>126</v>
      </c>
      <c r="F5177">
        <v>2</v>
      </c>
      <c r="G5177">
        <v>1.0007333333333299</v>
      </c>
    </row>
    <row r="5178" spans="1:7" x14ac:dyDescent="0.35">
      <c r="A5178" t="s">
        <v>847</v>
      </c>
      <c r="B5178" t="s">
        <v>680</v>
      </c>
      <c r="C5178" s="83">
        <v>46202</v>
      </c>
      <c r="D5178" t="s">
        <v>685</v>
      </c>
      <c r="E5178" t="s">
        <v>311</v>
      </c>
      <c r="F5178">
        <v>2</v>
      </c>
      <c r="G5178">
        <v>0.66001666666666703</v>
      </c>
    </row>
    <row r="5179" spans="1:7" x14ac:dyDescent="0.35">
      <c r="A5179" t="s">
        <v>847</v>
      </c>
      <c r="B5179" t="s">
        <v>680</v>
      </c>
      <c r="C5179" s="83">
        <v>46203</v>
      </c>
      <c r="D5179" t="s">
        <v>681</v>
      </c>
      <c r="E5179" t="s">
        <v>296</v>
      </c>
      <c r="F5179">
        <v>33</v>
      </c>
      <c r="G5179">
        <v>260.56461666666701</v>
      </c>
    </row>
    <row r="5180" spans="1:7" x14ac:dyDescent="0.35">
      <c r="A5180" t="s">
        <v>847</v>
      </c>
      <c r="B5180" t="s">
        <v>680</v>
      </c>
      <c r="C5180" s="83">
        <v>46203</v>
      </c>
      <c r="D5180" t="s">
        <v>681</v>
      </c>
      <c r="E5180" t="s">
        <v>298</v>
      </c>
      <c r="F5180">
        <v>11</v>
      </c>
      <c r="G5180">
        <v>12.65165</v>
      </c>
    </row>
    <row r="5181" spans="1:7" x14ac:dyDescent="0.35">
      <c r="A5181" t="s">
        <v>847</v>
      </c>
      <c r="B5181" t="s">
        <v>680</v>
      </c>
      <c r="C5181" s="83">
        <v>46203</v>
      </c>
      <c r="D5181" t="s">
        <v>681</v>
      </c>
      <c r="E5181" t="s">
        <v>297</v>
      </c>
      <c r="F5181">
        <v>10</v>
      </c>
      <c r="G5181">
        <v>3.4821499999999999</v>
      </c>
    </row>
    <row r="5182" spans="1:7" x14ac:dyDescent="0.35">
      <c r="A5182" t="s">
        <v>847</v>
      </c>
      <c r="B5182" t="s">
        <v>680</v>
      </c>
      <c r="C5182" s="83">
        <v>46203</v>
      </c>
      <c r="D5182" t="s">
        <v>683</v>
      </c>
      <c r="E5182" t="s">
        <v>730</v>
      </c>
      <c r="F5182">
        <v>19</v>
      </c>
      <c r="G5182">
        <v>10.4852333333333</v>
      </c>
    </row>
    <row r="5183" spans="1:7" x14ac:dyDescent="0.35">
      <c r="A5183" t="s">
        <v>847</v>
      </c>
      <c r="B5183" t="s">
        <v>680</v>
      </c>
      <c r="C5183" s="83">
        <v>46203</v>
      </c>
      <c r="D5183" t="s">
        <v>683</v>
      </c>
      <c r="E5183" t="s">
        <v>300</v>
      </c>
      <c r="F5183">
        <v>9</v>
      </c>
      <c r="G5183">
        <v>7.6679166666666703</v>
      </c>
    </row>
    <row r="5184" spans="1:7" x14ac:dyDescent="0.35">
      <c r="A5184" t="s">
        <v>847</v>
      </c>
      <c r="B5184" t="s">
        <v>680</v>
      </c>
      <c r="C5184" s="83">
        <v>46203</v>
      </c>
      <c r="D5184" t="s">
        <v>683</v>
      </c>
      <c r="E5184" t="s">
        <v>298</v>
      </c>
      <c r="F5184">
        <v>9</v>
      </c>
      <c r="G5184">
        <v>11.834816666666701</v>
      </c>
    </row>
    <row r="5185" spans="1:7" x14ac:dyDescent="0.35">
      <c r="A5185" t="s">
        <v>847</v>
      </c>
      <c r="B5185" t="s">
        <v>680</v>
      </c>
      <c r="C5185" s="83">
        <v>46203</v>
      </c>
      <c r="D5185" t="s">
        <v>689</v>
      </c>
      <c r="E5185" t="s">
        <v>728</v>
      </c>
      <c r="F5185">
        <v>23</v>
      </c>
      <c r="G5185">
        <v>24.846350000000001</v>
      </c>
    </row>
    <row r="5186" spans="1:7" x14ac:dyDescent="0.35">
      <c r="A5186" t="s">
        <v>847</v>
      </c>
      <c r="B5186" t="s">
        <v>680</v>
      </c>
      <c r="C5186" s="83">
        <v>46203</v>
      </c>
      <c r="D5186" t="s">
        <v>689</v>
      </c>
      <c r="E5186" t="s">
        <v>297</v>
      </c>
      <c r="F5186">
        <v>10</v>
      </c>
      <c r="G5186">
        <v>4.98321666666667</v>
      </c>
    </row>
    <row r="5187" spans="1:7" x14ac:dyDescent="0.35">
      <c r="A5187" t="s">
        <v>847</v>
      </c>
      <c r="B5187" t="s">
        <v>680</v>
      </c>
      <c r="C5187" s="83">
        <v>46203</v>
      </c>
      <c r="D5187" t="s">
        <v>689</v>
      </c>
      <c r="E5187" t="s">
        <v>296</v>
      </c>
      <c r="F5187">
        <v>10</v>
      </c>
      <c r="G5187">
        <v>2.8352666666666702</v>
      </c>
    </row>
    <row r="5188" spans="1:7" x14ac:dyDescent="0.35">
      <c r="A5188" t="s">
        <v>847</v>
      </c>
      <c r="B5188" t="s">
        <v>680</v>
      </c>
      <c r="C5188" s="83">
        <v>46203</v>
      </c>
      <c r="D5188" t="s">
        <v>684</v>
      </c>
      <c r="E5188" t="s">
        <v>297</v>
      </c>
      <c r="F5188">
        <v>21</v>
      </c>
      <c r="G5188">
        <v>14.5171333333333</v>
      </c>
    </row>
    <row r="5189" spans="1:7" x14ac:dyDescent="0.35">
      <c r="A5189" t="s">
        <v>847</v>
      </c>
      <c r="B5189" t="s">
        <v>680</v>
      </c>
      <c r="C5189" s="83">
        <v>46203</v>
      </c>
      <c r="D5189" t="s">
        <v>684</v>
      </c>
      <c r="E5189" t="s">
        <v>296</v>
      </c>
      <c r="F5189">
        <v>6</v>
      </c>
      <c r="G5189">
        <v>2.0091999999999999</v>
      </c>
    </row>
    <row r="5190" spans="1:7" x14ac:dyDescent="0.35">
      <c r="A5190" t="s">
        <v>847</v>
      </c>
      <c r="B5190" t="s">
        <v>680</v>
      </c>
      <c r="C5190" s="83">
        <v>46203</v>
      </c>
      <c r="D5190" t="s">
        <v>684</v>
      </c>
      <c r="E5190" t="s">
        <v>298</v>
      </c>
      <c r="F5190">
        <v>4</v>
      </c>
      <c r="G5190">
        <v>5.4988666666666699</v>
      </c>
    </row>
    <row r="5191" spans="1:7" x14ac:dyDescent="0.35">
      <c r="A5191" t="s">
        <v>847</v>
      </c>
      <c r="B5191" t="s">
        <v>680</v>
      </c>
      <c r="C5191" s="83">
        <v>46203</v>
      </c>
      <c r="D5191" t="s">
        <v>687</v>
      </c>
      <c r="E5191" t="s">
        <v>717</v>
      </c>
      <c r="F5191">
        <v>6</v>
      </c>
      <c r="G5191">
        <v>5.8343666666666696</v>
      </c>
    </row>
    <row r="5192" spans="1:7" x14ac:dyDescent="0.35">
      <c r="A5192" t="s">
        <v>847</v>
      </c>
      <c r="B5192" t="s">
        <v>680</v>
      </c>
      <c r="C5192" s="83">
        <v>46203</v>
      </c>
      <c r="D5192" t="s">
        <v>687</v>
      </c>
      <c r="E5192" t="s">
        <v>740</v>
      </c>
      <c r="F5192">
        <v>4</v>
      </c>
      <c r="G5192">
        <v>6.0081499999999997</v>
      </c>
    </row>
    <row r="5193" spans="1:7" x14ac:dyDescent="0.35">
      <c r="A5193" t="s">
        <v>847</v>
      </c>
      <c r="B5193" t="s">
        <v>680</v>
      </c>
      <c r="C5193" s="83">
        <v>46203</v>
      </c>
      <c r="D5193" t="s">
        <v>687</v>
      </c>
      <c r="E5193" t="s">
        <v>752</v>
      </c>
      <c r="F5193">
        <v>4</v>
      </c>
      <c r="G5193">
        <v>1.6656</v>
      </c>
    </row>
    <row r="5194" spans="1:7" x14ac:dyDescent="0.35">
      <c r="A5194" t="s">
        <v>847</v>
      </c>
      <c r="B5194" t="s">
        <v>680</v>
      </c>
      <c r="C5194" s="83">
        <v>46203</v>
      </c>
      <c r="D5194" t="s">
        <v>688</v>
      </c>
      <c r="E5194" t="s">
        <v>311</v>
      </c>
      <c r="F5194">
        <v>4</v>
      </c>
      <c r="G5194">
        <v>2.1635666666666702</v>
      </c>
    </row>
    <row r="5195" spans="1:7" x14ac:dyDescent="0.35">
      <c r="A5195" t="s">
        <v>847</v>
      </c>
      <c r="B5195" t="s">
        <v>680</v>
      </c>
      <c r="C5195" s="83">
        <v>46203</v>
      </c>
      <c r="D5195" t="s">
        <v>688</v>
      </c>
      <c r="E5195" t="s">
        <v>316</v>
      </c>
      <c r="F5195">
        <v>2</v>
      </c>
      <c r="G5195">
        <v>0.50013333333333299</v>
      </c>
    </row>
    <row r="5196" spans="1:7" x14ac:dyDescent="0.35">
      <c r="A5196" t="s">
        <v>847</v>
      </c>
      <c r="B5196" t="s">
        <v>680</v>
      </c>
      <c r="C5196" s="83">
        <v>46203</v>
      </c>
      <c r="D5196" t="s">
        <v>688</v>
      </c>
      <c r="E5196" t="s">
        <v>312</v>
      </c>
      <c r="F5196">
        <v>2</v>
      </c>
      <c r="G5196">
        <v>0.16669999999999999</v>
      </c>
    </row>
    <row r="5197" spans="1:7" x14ac:dyDescent="0.35">
      <c r="A5197" t="s">
        <v>847</v>
      </c>
      <c r="B5197" t="s">
        <v>680</v>
      </c>
      <c r="C5197" s="83">
        <v>46203</v>
      </c>
      <c r="D5197" t="s">
        <v>690</v>
      </c>
      <c r="E5197" t="s">
        <v>312</v>
      </c>
      <c r="F5197">
        <v>6</v>
      </c>
      <c r="G5197">
        <v>2.33286666666667</v>
      </c>
    </row>
    <row r="5198" spans="1:7" x14ac:dyDescent="0.35">
      <c r="A5198" t="s">
        <v>847</v>
      </c>
      <c r="B5198" t="s">
        <v>680</v>
      </c>
      <c r="C5198" s="83">
        <v>46203</v>
      </c>
      <c r="D5198" t="s">
        <v>690</v>
      </c>
      <c r="E5198" t="s">
        <v>316</v>
      </c>
      <c r="F5198">
        <v>4</v>
      </c>
      <c r="G5198">
        <v>1.5004</v>
      </c>
    </row>
    <row r="5199" spans="1:7" x14ac:dyDescent="0.35">
      <c r="A5199" t="s">
        <v>847</v>
      </c>
      <c r="B5199" t="s">
        <v>680</v>
      </c>
      <c r="C5199" s="83">
        <v>46203</v>
      </c>
      <c r="D5199" t="s">
        <v>690</v>
      </c>
      <c r="E5199" t="s">
        <v>311</v>
      </c>
      <c r="F5199">
        <v>3</v>
      </c>
      <c r="G5199">
        <v>0.83456666666666701</v>
      </c>
    </row>
    <row r="5200" spans="1:7" x14ac:dyDescent="0.35">
      <c r="A5200" t="s">
        <v>847</v>
      </c>
      <c r="B5200" t="s">
        <v>680</v>
      </c>
      <c r="C5200" s="83">
        <v>46203</v>
      </c>
      <c r="D5200" t="s">
        <v>685</v>
      </c>
      <c r="E5200" t="s">
        <v>316</v>
      </c>
      <c r="F5200">
        <v>6</v>
      </c>
      <c r="G5200">
        <v>5.8278666666666696</v>
      </c>
    </row>
    <row r="5201" spans="1:7" x14ac:dyDescent="0.35">
      <c r="A5201" t="s">
        <v>847</v>
      </c>
      <c r="B5201" t="s">
        <v>680</v>
      </c>
      <c r="C5201" s="83">
        <v>46203</v>
      </c>
      <c r="D5201" t="s">
        <v>685</v>
      </c>
      <c r="E5201" t="s">
        <v>720</v>
      </c>
      <c r="F5201">
        <v>4</v>
      </c>
      <c r="G5201">
        <v>1.9979166666666699</v>
      </c>
    </row>
    <row r="5202" spans="1:7" x14ac:dyDescent="0.35">
      <c r="A5202" t="s">
        <v>847</v>
      </c>
      <c r="B5202" t="s">
        <v>680</v>
      </c>
      <c r="C5202" s="83">
        <v>46203</v>
      </c>
      <c r="D5202" t="s">
        <v>685</v>
      </c>
      <c r="E5202" t="s">
        <v>312</v>
      </c>
      <c r="F5202">
        <v>4</v>
      </c>
      <c r="G5202">
        <v>12.1530166666667</v>
      </c>
    </row>
    <row r="5203" spans="1:7" x14ac:dyDescent="0.35">
      <c r="A5203" t="s">
        <v>847</v>
      </c>
      <c r="B5203" t="s">
        <v>680</v>
      </c>
      <c r="C5203" s="83">
        <v>46204</v>
      </c>
      <c r="D5203" t="s">
        <v>681</v>
      </c>
      <c r="E5203" t="s">
        <v>296</v>
      </c>
      <c r="F5203">
        <v>22</v>
      </c>
      <c r="G5203">
        <v>9.6365833333333306</v>
      </c>
    </row>
    <row r="5204" spans="1:7" x14ac:dyDescent="0.35">
      <c r="A5204" t="s">
        <v>847</v>
      </c>
      <c r="B5204" t="s">
        <v>680</v>
      </c>
      <c r="C5204" s="83">
        <v>46204</v>
      </c>
      <c r="D5204" t="s">
        <v>681</v>
      </c>
      <c r="E5204" t="s">
        <v>298</v>
      </c>
      <c r="F5204">
        <v>19</v>
      </c>
      <c r="G5204">
        <v>12.9903833333333</v>
      </c>
    </row>
    <row r="5205" spans="1:7" x14ac:dyDescent="0.35">
      <c r="A5205" t="s">
        <v>847</v>
      </c>
      <c r="B5205" t="s">
        <v>680</v>
      </c>
      <c r="C5205" s="83">
        <v>46204</v>
      </c>
      <c r="D5205" t="s">
        <v>681</v>
      </c>
      <c r="E5205" t="s">
        <v>334</v>
      </c>
      <c r="F5205">
        <v>5</v>
      </c>
      <c r="G5205">
        <v>3.4970166666666702</v>
      </c>
    </row>
    <row r="5206" spans="1:7" x14ac:dyDescent="0.35">
      <c r="A5206" t="s">
        <v>847</v>
      </c>
      <c r="B5206" t="s">
        <v>680</v>
      </c>
      <c r="C5206" s="83">
        <v>46204</v>
      </c>
      <c r="D5206" t="s">
        <v>683</v>
      </c>
      <c r="E5206" t="s">
        <v>332</v>
      </c>
      <c r="F5206">
        <v>25</v>
      </c>
      <c r="G5206">
        <v>13.5118666666667</v>
      </c>
    </row>
    <row r="5207" spans="1:7" x14ac:dyDescent="0.35">
      <c r="A5207" t="s">
        <v>847</v>
      </c>
      <c r="B5207" t="s">
        <v>680</v>
      </c>
      <c r="C5207" s="83">
        <v>46204</v>
      </c>
      <c r="D5207" t="s">
        <v>683</v>
      </c>
      <c r="E5207" t="s">
        <v>730</v>
      </c>
      <c r="F5207">
        <v>16</v>
      </c>
      <c r="G5207">
        <v>6.1824166666666702</v>
      </c>
    </row>
    <row r="5208" spans="1:7" x14ac:dyDescent="0.35">
      <c r="A5208" t="s">
        <v>847</v>
      </c>
      <c r="B5208" t="s">
        <v>680</v>
      </c>
      <c r="C5208" s="83">
        <v>46204</v>
      </c>
      <c r="D5208" t="s">
        <v>683</v>
      </c>
      <c r="E5208" t="s">
        <v>300</v>
      </c>
      <c r="F5208">
        <v>12</v>
      </c>
      <c r="G5208">
        <v>7.6725666666666701</v>
      </c>
    </row>
    <row r="5209" spans="1:7" x14ac:dyDescent="0.35">
      <c r="A5209" t="s">
        <v>847</v>
      </c>
      <c r="B5209" t="s">
        <v>680</v>
      </c>
      <c r="C5209" s="83">
        <v>46204</v>
      </c>
      <c r="D5209" t="s">
        <v>689</v>
      </c>
      <c r="E5209" t="s">
        <v>298</v>
      </c>
      <c r="F5209">
        <v>17</v>
      </c>
      <c r="G5209">
        <v>15.977866666666699</v>
      </c>
    </row>
    <row r="5210" spans="1:7" x14ac:dyDescent="0.35">
      <c r="A5210" t="s">
        <v>847</v>
      </c>
      <c r="B5210" t="s">
        <v>680</v>
      </c>
      <c r="C5210" s="83">
        <v>46204</v>
      </c>
      <c r="D5210" t="s">
        <v>689</v>
      </c>
      <c r="E5210" t="s">
        <v>300</v>
      </c>
      <c r="F5210">
        <v>10</v>
      </c>
      <c r="G5210">
        <v>3.31273333333333</v>
      </c>
    </row>
    <row r="5211" spans="1:7" x14ac:dyDescent="0.35">
      <c r="A5211" t="s">
        <v>847</v>
      </c>
      <c r="B5211" t="s">
        <v>680</v>
      </c>
      <c r="C5211" s="83">
        <v>46204</v>
      </c>
      <c r="D5211" t="s">
        <v>689</v>
      </c>
      <c r="E5211" t="s">
        <v>334</v>
      </c>
      <c r="F5211">
        <v>9</v>
      </c>
      <c r="G5211">
        <v>5.4654999999999996</v>
      </c>
    </row>
    <row r="5212" spans="1:7" x14ac:dyDescent="0.35">
      <c r="A5212" t="s">
        <v>847</v>
      </c>
      <c r="B5212" t="s">
        <v>680</v>
      </c>
      <c r="C5212" s="83">
        <v>46204</v>
      </c>
      <c r="D5212" t="s">
        <v>684</v>
      </c>
      <c r="E5212" t="s">
        <v>297</v>
      </c>
      <c r="F5212">
        <v>7</v>
      </c>
      <c r="G5212">
        <v>2.6553</v>
      </c>
    </row>
    <row r="5213" spans="1:7" x14ac:dyDescent="0.35">
      <c r="A5213" t="s">
        <v>847</v>
      </c>
      <c r="B5213" t="s">
        <v>680</v>
      </c>
      <c r="C5213" s="83">
        <v>46204</v>
      </c>
      <c r="D5213" t="s">
        <v>684</v>
      </c>
      <c r="E5213" t="s">
        <v>298</v>
      </c>
      <c r="F5213">
        <v>6</v>
      </c>
      <c r="G5213">
        <v>1.3280333333333301</v>
      </c>
    </row>
    <row r="5214" spans="1:7" x14ac:dyDescent="0.35">
      <c r="A5214" t="s">
        <v>847</v>
      </c>
      <c r="B5214" t="s">
        <v>680</v>
      </c>
      <c r="C5214" s="83">
        <v>46204</v>
      </c>
      <c r="D5214" t="s">
        <v>684</v>
      </c>
      <c r="E5214" t="s">
        <v>334</v>
      </c>
      <c r="F5214">
        <v>4</v>
      </c>
      <c r="G5214">
        <v>8.6733166666666701</v>
      </c>
    </row>
    <row r="5215" spans="1:7" x14ac:dyDescent="0.35">
      <c r="A5215" t="s">
        <v>847</v>
      </c>
      <c r="B5215" t="s">
        <v>680</v>
      </c>
      <c r="C5215" s="83">
        <v>46204</v>
      </c>
      <c r="D5215" t="s">
        <v>687</v>
      </c>
      <c r="E5215" t="s">
        <v>754</v>
      </c>
      <c r="F5215">
        <v>2</v>
      </c>
      <c r="G5215">
        <v>0.16676666666666701</v>
      </c>
    </row>
    <row r="5216" spans="1:7" x14ac:dyDescent="0.35">
      <c r="A5216" t="s">
        <v>847</v>
      </c>
      <c r="B5216" t="s">
        <v>680</v>
      </c>
      <c r="C5216" s="83">
        <v>46204</v>
      </c>
      <c r="D5216" t="s">
        <v>687</v>
      </c>
      <c r="E5216" t="s">
        <v>717</v>
      </c>
      <c r="F5216">
        <v>2</v>
      </c>
      <c r="G5216">
        <v>0.66566666666666696</v>
      </c>
    </row>
    <row r="5217" spans="1:7" x14ac:dyDescent="0.35">
      <c r="A5217" t="s">
        <v>847</v>
      </c>
      <c r="B5217" t="s">
        <v>680</v>
      </c>
      <c r="C5217" s="83">
        <v>46204</v>
      </c>
      <c r="D5217" t="s">
        <v>687</v>
      </c>
      <c r="E5217" t="s">
        <v>726</v>
      </c>
      <c r="F5217">
        <v>2</v>
      </c>
      <c r="G5217">
        <v>0.50085000000000002</v>
      </c>
    </row>
    <row r="5218" spans="1:7" x14ac:dyDescent="0.35">
      <c r="A5218" t="s">
        <v>847</v>
      </c>
      <c r="B5218" t="s">
        <v>680</v>
      </c>
      <c r="C5218" s="83">
        <v>46204</v>
      </c>
      <c r="D5218" t="s">
        <v>688</v>
      </c>
      <c r="E5218" t="s">
        <v>311</v>
      </c>
      <c r="F5218">
        <v>9</v>
      </c>
      <c r="G5218">
        <v>5.99393333333333</v>
      </c>
    </row>
    <row r="5219" spans="1:7" x14ac:dyDescent="0.35">
      <c r="A5219" t="s">
        <v>847</v>
      </c>
      <c r="B5219" t="s">
        <v>680</v>
      </c>
      <c r="C5219" s="83">
        <v>46204</v>
      </c>
      <c r="D5219" t="s">
        <v>688</v>
      </c>
      <c r="E5219" t="s">
        <v>720</v>
      </c>
      <c r="F5219">
        <v>3</v>
      </c>
      <c r="G5219">
        <v>1.66661666666667</v>
      </c>
    </row>
    <row r="5220" spans="1:7" x14ac:dyDescent="0.35">
      <c r="A5220" t="s">
        <v>847</v>
      </c>
      <c r="B5220" t="s">
        <v>680</v>
      </c>
      <c r="C5220" s="83">
        <v>46204</v>
      </c>
      <c r="D5220" t="s">
        <v>688</v>
      </c>
      <c r="E5220" t="s">
        <v>316</v>
      </c>
      <c r="F5220">
        <v>3</v>
      </c>
      <c r="G5220">
        <v>2.3402333333333298</v>
      </c>
    </row>
    <row r="5221" spans="1:7" x14ac:dyDescent="0.35">
      <c r="A5221" t="s">
        <v>847</v>
      </c>
      <c r="B5221" t="s">
        <v>680</v>
      </c>
      <c r="C5221" s="83">
        <v>46204</v>
      </c>
      <c r="D5221" t="s">
        <v>690</v>
      </c>
      <c r="E5221" t="s">
        <v>312</v>
      </c>
      <c r="F5221">
        <v>13</v>
      </c>
      <c r="G5221">
        <v>7.8244999999999996</v>
      </c>
    </row>
    <row r="5222" spans="1:7" x14ac:dyDescent="0.35">
      <c r="A5222" t="s">
        <v>847</v>
      </c>
      <c r="B5222" t="s">
        <v>680</v>
      </c>
      <c r="C5222" s="83">
        <v>46204</v>
      </c>
      <c r="D5222" t="s">
        <v>690</v>
      </c>
      <c r="E5222" t="s">
        <v>316</v>
      </c>
      <c r="F5222">
        <v>8</v>
      </c>
      <c r="G5222">
        <v>2.6688666666666698</v>
      </c>
    </row>
    <row r="5223" spans="1:7" x14ac:dyDescent="0.35">
      <c r="A5223" t="s">
        <v>847</v>
      </c>
      <c r="B5223" t="s">
        <v>680</v>
      </c>
      <c r="C5223" s="83">
        <v>46204</v>
      </c>
      <c r="D5223" t="s">
        <v>690</v>
      </c>
      <c r="E5223" t="s">
        <v>311</v>
      </c>
      <c r="F5223">
        <v>7</v>
      </c>
      <c r="G5223">
        <v>6.4934666666666701</v>
      </c>
    </row>
    <row r="5224" spans="1:7" x14ac:dyDescent="0.35">
      <c r="A5224" t="s">
        <v>847</v>
      </c>
      <c r="B5224" t="s">
        <v>680</v>
      </c>
      <c r="C5224" s="83">
        <v>46204</v>
      </c>
      <c r="D5224" t="s">
        <v>685</v>
      </c>
      <c r="E5224" t="s">
        <v>338</v>
      </c>
      <c r="F5224">
        <v>8</v>
      </c>
      <c r="G5224">
        <v>8.5142333333333298</v>
      </c>
    </row>
    <row r="5225" spans="1:7" x14ac:dyDescent="0.35">
      <c r="A5225" t="s">
        <v>847</v>
      </c>
      <c r="B5225" t="s">
        <v>680</v>
      </c>
      <c r="C5225" s="83">
        <v>46204</v>
      </c>
      <c r="D5225" t="s">
        <v>685</v>
      </c>
      <c r="E5225" t="s">
        <v>311</v>
      </c>
      <c r="F5225">
        <v>6</v>
      </c>
      <c r="G5225">
        <v>3.8238833333333302</v>
      </c>
    </row>
    <row r="5226" spans="1:7" x14ac:dyDescent="0.35">
      <c r="A5226" t="s">
        <v>847</v>
      </c>
      <c r="B5226" t="s">
        <v>680</v>
      </c>
      <c r="C5226" s="83">
        <v>46204</v>
      </c>
      <c r="D5226" t="s">
        <v>685</v>
      </c>
      <c r="E5226" t="s">
        <v>316</v>
      </c>
      <c r="F5226">
        <v>5</v>
      </c>
      <c r="G5226">
        <v>4.4957333333333303</v>
      </c>
    </row>
    <row r="5227" spans="1:7" x14ac:dyDescent="0.35">
      <c r="A5227" t="s">
        <v>847</v>
      </c>
      <c r="B5227" t="s">
        <v>680</v>
      </c>
      <c r="C5227" s="83">
        <v>46205</v>
      </c>
      <c r="D5227" t="s">
        <v>681</v>
      </c>
      <c r="E5227" t="s">
        <v>298</v>
      </c>
      <c r="F5227">
        <v>17</v>
      </c>
      <c r="G5227">
        <v>16.5185666666667</v>
      </c>
    </row>
    <row r="5228" spans="1:7" x14ac:dyDescent="0.35">
      <c r="A5228" t="s">
        <v>847</v>
      </c>
      <c r="B5228" t="s">
        <v>680</v>
      </c>
      <c r="C5228" s="83">
        <v>46205</v>
      </c>
      <c r="D5228" t="s">
        <v>681</v>
      </c>
      <c r="E5228" t="s">
        <v>296</v>
      </c>
      <c r="F5228">
        <v>13</v>
      </c>
      <c r="G5228">
        <v>3.6358999999999999</v>
      </c>
    </row>
    <row r="5229" spans="1:7" x14ac:dyDescent="0.35">
      <c r="A5229" t="s">
        <v>847</v>
      </c>
      <c r="B5229" t="s">
        <v>680</v>
      </c>
      <c r="C5229" s="83">
        <v>46205</v>
      </c>
      <c r="D5229" t="s">
        <v>681</v>
      </c>
      <c r="E5229" t="s">
        <v>334</v>
      </c>
      <c r="F5229">
        <v>3</v>
      </c>
      <c r="G5229">
        <v>1.65231666666667</v>
      </c>
    </row>
    <row r="5230" spans="1:7" x14ac:dyDescent="0.35">
      <c r="A5230" t="s">
        <v>847</v>
      </c>
      <c r="B5230" t="s">
        <v>680</v>
      </c>
      <c r="C5230" s="83">
        <v>46205</v>
      </c>
      <c r="D5230" t="s">
        <v>683</v>
      </c>
      <c r="E5230" t="s">
        <v>332</v>
      </c>
      <c r="F5230">
        <v>26</v>
      </c>
      <c r="G5230">
        <v>16.5079833333333</v>
      </c>
    </row>
    <row r="5231" spans="1:7" x14ac:dyDescent="0.35">
      <c r="A5231" t="s">
        <v>847</v>
      </c>
      <c r="B5231" t="s">
        <v>680</v>
      </c>
      <c r="C5231" s="83">
        <v>46205</v>
      </c>
      <c r="D5231" t="s">
        <v>683</v>
      </c>
      <c r="E5231" t="s">
        <v>334</v>
      </c>
      <c r="F5231">
        <v>21</v>
      </c>
      <c r="G5231">
        <v>10.1335333333333</v>
      </c>
    </row>
    <row r="5232" spans="1:7" x14ac:dyDescent="0.35">
      <c r="A5232" t="s">
        <v>847</v>
      </c>
      <c r="B5232" t="s">
        <v>680</v>
      </c>
      <c r="C5232" s="83">
        <v>46205</v>
      </c>
      <c r="D5232" t="s">
        <v>683</v>
      </c>
      <c r="E5232" t="s">
        <v>298</v>
      </c>
      <c r="F5232">
        <v>13</v>
      </c>
      <c r="G5232">
        <v>16.333183333333299</v>
      </c>
    </row>
    <row r="5233" spans="1:7" x14ac:dyDescent="0.35">
      <c r="A5233" t="s">
        <v>847</v>
      </c>
      <c r="B5233" t="s">
        <v>680</v>
      </c>
      <c r="C5233" s="83">
        <v>46205</v>
      </c>
      <c r="D5233" t="s">
        <v>689</v>
      </c>
      <c r="E5233" t="s">
        <v>298</v>
      </c>
      <c r="F5233">
        <v>13</v>
      </c>
      <c r="G5233">
        <v>9.4810499999999998</v>
      </c>
    </row>
    <row r="5234" spans="1:7" x14ac:dyDescent="0.35">
      <c r="A5234" t="s">
        <v>847</v>
      </c>
      <c r="B5234" t="s">
        <v>680</v>
      </c>
      <c r="C5234" s="83">
        <v>46205</v>
      </c>
      <c r="D5234" t="s">
        <v>689</v>
      </c>
      <c r="E5234" t="s">
        <v>296</v>
      </c>
      <c r="F5234">
        <v>11</v>
      </c>
      <c r="G5234">
        <v>4.1758166666666696</v>
      </c>
    </row>
    <row r="5235" spans="1:7" x14ac:dyDescent="0.35">
      <c r="A5235" t="s">
        <v>847</v>
      </c>
      <c r="B5235" t="s">
        <v>680</v>
      </c>
      <c r="C5235" s="83">
        <v>46205</v>
      </c>
      <c r="D5235" t="s">
        <v>689</v>
      </c>
      <c r="E5235" t="s">
        <v>300</v>
      </c>
      <c r="F5235">
        <v>8</v>
      </c>
      <c r="G5235">
        <v>2.1681833333333298</v>
      </c>
    </row>
    <row r="5236" spans="1:7" x14ac:dyDescent="0.35">
      <c r="A5236" t="s">
        <v>847</v>
      </c>
      <c r="B5236" t="s">
        <v>680</v>
      </c>
      <c r="C5236" s="83">
        <v>46205</v>
      </c>
      <c r="D5236" t="s">
        <v>684</v>
      </c>
      <c r="E5236" t="s">
        <v>297</v>
      </c>
      <c r="F5236">
        <v>10</v>
      </c>
      <c r="G5236">
        <v>4.1792333333333298</v>
      </c>
    </row>
    <row r="5237" spans="1:7" x14ac:dyDescent="0.35">
      <c r="A5237" t="s">
        <v>847</v>
      </c>
      <c r="B5237" t="s">
        <v>680</v>
      </c>
      <c r="C5237" s="83">
        <v>46205</v>
      </c>
      <c r="D5237" t="s">
        <v>684</v>
      </c>
      <c r="E5237" t="s">
        <v>728</v>
      </c>
      <c r="F5237">
        <v>2</v>
      </c>
      <c r="G5237">
        <v>0.33398333333333302</v>
      </c>
    </row>
    <row r="5238" spans="1:7" x14ac:dyDescent="0.35">
      <c r="A5238" t="s">
        <v>847</v>
      </c>
      <c r="B5238" t="s">
        <v>680</v>
      </c>
      <c r="C5238" s="83">
        <v>46205</v>
      </c>
      <c r="D5238" t="s">
        <v>684</v>
      </c>
      <c r="E5238" t="s">
        <v>737</v>
      </c>
      <c r="F5238">
        <v>2</v>
      </c>
      <c r="G5238">
        <v>1.00671666666667</v>
      </c>
    </row>
    <row r="5239" spans="1:7" x14ac:dyDescent="0.35">
      <c r="A5239" t="s">
        <v>847</v>
      </c>
      <c r="B5239" t="s">
        <v>680</v>
      </c>
      <c r="C5239" s="83">
        <v>46205</v>
      </c>
      <c r="D5239" t="s">
        <v>687</v>
      </c>
      <c r="E5239" t="s">
        <v>717</v>
      </c>
      <c r="F5239">
        <v>3</v>
      </c>
      <c r="G5239">
        <v>26.163933333333301</v>
      </c>
    </row>
    <row r="5240" spans="1:7" x14ac:dyDescent="0.35">
      <c r="A5240" t="s">
        <v>847</v>
      </c>
      <c r="B5240" t="s">
        <v>680</v>
      </c>
      <c r="C5240" s="83">
        <v>46205</v>
      </c>
      <c r="D5240" t="s">
        <v>687</v>
      </c>
      <c r="E5240" t="s">
        <v>754</v>
      </c>
      <c r="F5240">
        <v>2</v>
      </c>
      <c r="G5240">
        <v>0.16673333333333301</v>
      </c>
    </row>
    <row r="5241" spans="1:7" x14ac:dyDescent="0.35">
      <c r="A5241" t="s">
        <v>847</v>
      </c>
      <c r="B5241" t="s">
        <v>680</v>
      </c>
      <c r="C5241" s="83">
        <v>46205</v>
      </c>
      <c r="D5241" t="s">
        <v>687</v>
      </c>
      <c r="E5241" t="s">
        <v>718</v>
      </c>
      <c r="F5241">
        <v>2</v>
      </c>
      <c r="G5241">
        <v>0.333633333333333</v>
      </c>
    </row>
    <row r="5242" spans="1:7" x14ac:dyDescent="0.35">
      <c r="A5242" t="s">
        <v>847</v>
      </c>
      <c r="B5242" t="s">
        <v>680</v>
      </c>
      <c r="C5242" s="83">
        <v>46205</v>
      </c>
      <c r="D5242" t="s">
        <v>688</v>
      </c>
      <c r="E5242" t="s">
        <v>311</v>
      </c>
      <c r="F5242">
        <v>6</v>
      </c>
      <c r="G5242">
        <v>5.4956500000000004</v>
      </c>
    </row>
    <row r="5243" spans="1:7" x14ac:dyDescent="0.35">
      <c r="A5243" t="s">
        <v>847</v>
      </c>
      <c r="B5243" t="s">
        <v>680</v>
      </c>
      <c r="C5243" s="83">
        <v>46205</v>
      </c>
      <c r="D5243" t="s">
        <v>688</v>
      </c>
      <c r="E5243" t="s">
        <v>720</v>
      </c>
      <c r="F5243">
        <v>5</v>
      </c>
      <c r="G5243">
        <v>3.5008333333333299</v>
      </c>
    </row>
    <row r="5244" spans="1:7" x14ac:dyDescent="0.35">
      <c r="A5244" t="s">
        <v>847</v>
      </c>
      <c r="B5244" t="s">
        <v>680</v>
      </c>
      <c r="C5244" s="83">
        <v>46205</v>
      </c>
      <c r="D5244" t="s">
        <v>688</v>
      </c>
      <c r="E5244" t="s">
        <v>316</v>
      </c>
      <c r="F5244">
        <v>3</v>
      </c>
      <c r="G5244">
        <v>5.6608499999999999</v>
      </c>
    </row>
    <row r="5245" spans="1:7" x14ac:dyDescent="0.35">
      <c r="A5245" t="s">
        <v>847</v>
      </c>
      <c r="B5245" t="s">
        <v>680</v>
      </c>
      <c r="C5245" s="83">
        <v>46205</v>
      </c>
      <c r="D5245" t="s">
        <v>690</v>
      </c>
      <c r="E5245" t="s">
        <v>312</v>
      </c>
      <c r="F5245">
        <v>16</v>
      </c>
      <c r="G5245">
        <v>12.9887</v>
      </c>
    </row>
    <row r="5246" spans="1:7" x14ac:dyDescent="0.35">
      <c r="A5246" t="s">
        <v>847</v>
      </c>
      <c r="B5246" t="s">
        <v>680</v>
      </c>
      <c r="C5246" s="83">
        <v>46205</v>
      </c>
      <c r="D5246" t="s">
        <v>690</v>
      </c>
      <c r="E5246" t="s">
        <v>311</v>
      </c>
      <c r="F5246">
        <v>13</v>
      </c>
      <c r="G5246">
        <v>9.1607833333333293</v>
      </c>
    </row>
    <row r="5247" spans="1:7" x14ac:dyDescent="0.35">
      <c r="A5247" t="s">
        <v>847</v>
      </c>
      <c r="B5247" t="s">
        <v>680</v>
      </c>
      <c r="C5247" s="83">
        <v>46205</v>
      </c>
      <c r="D5247" t="s">
        <v>690</v>
      </c>
      <c r="E5247" t="s">
        <v>316</v>
      </c>
      <c r="F5247">
        <v>7</v>
      </c>
      <c r="G5247">
        <v>4.6514166666666696</v>
      </c>
    </row>
    <row r="5248" spans="1:7" x14ac:dyDescent="0.35">
      <c r="A5248" t="s">
        <v>847</v>
      </c>
      <c r="B5248" t="s">
        <v>680</v>
      </c>
      <c r="C5248" s="83">
        <v>46205</v>
      </c>
      <c r="D5248" t="s">
        <v>685</v>
      </c>
      <c r="E5248" t="s">
        <v>311</v>
      </c>
      <c r="F5248">
        <v>6</v>
      </c>
      <c r="G5248">
        <v>2.9979499999999999</v>
      </c>
    </row>
    <row r="5249" spans="1:7" x14ac:dyDescent="0.35">
      <c r="A5249" t="s">
        <v>847</v>
      </c>
      <c r="B5249" t="s">
        <v>680</v>
      </c>
      <c r="C5249" s="83">
        <v>46205</v>
      </c>
      <c r="D5249" t="s">
        <v>685</v>
      </c>
      <c r="E5249" t="s">
        <v>316</v>
      </c>
      <c r="F5249">
        <v>3</v>
      </c>
      <c r="G5249">
        <v>0.66688333333333305</v>
      </c>
    </row>
    <row r="5250" spans="1:7" x14ac:dyDescent="0.35">
      <c r="A5250" t="s">
        <v>847</v>
      </c>
      <c r="B5250" t="s">
        <v>680</v>
      </c>
      <c r="C5250" s="83">
        <v>46205</v>
      </c>
      <c r="D5250" t="s">
        <v>685</v>
      </c>
      <c r="E5250" t="s">
        <v>720</v>
      </c>
      <c r="F5250">
        <v>2</v>
      </c>
      <c r="G5250">
        <v>0.66681666666666695</v>
      </c>
    </row>
    <row r="5251" spans="1:7" x14ac:dyDescent="0.35">
      <c r="A5251" t="s">
        <v>847</v>
      </c>
      <c r="B5251" t="s">
        <v>680</v>
      </c>
      <c r="C5251" s="83">
        <v>46206</v>
      </c>
      <c r="D5251" t="s">
        <v>681</v>
      </c>
      <c r="E5251" t="s">
        <v>332</v>
      </c>
      <c r="F5251">
        <v>39</v>
      </c>
      <c r="G5251">
        <v>41.6693</v>
      </c>
    </row>
    <row r="5252" spans="1:7" x14ac:dyDescent="0.35">
      <c r="A5252" t="s">
        <v>847</v>
      </c>
      <c r="B5252" t="s">
        <v>680</v>
      </c>
      <c r="C5252" s="83">
        <v>46206</v>
      </c>
      <c r="D5252" t="s">
        <v>681</v>
      </c>
      <c r="E5252" t="s">
        <v>296</v>
      </c>
      <c r="F5252">
        <v>20</v>
      </c>
      <c r="G5252">
        <v>5.1237000000000004</v>
      </c>
    </row>
    <row r="5253" spans="1:7" x14ac:dyDescent="0.35">
      <c r="A5253" t="s">
        <v>847</v>
      </c>
      <c r="B5253" t="s">
        <v>680</v>
      </c>
      <c r="C5253" s="83">
        <v>46206</v>
      </c>
      <c r="D5253" t="s">
        <v>681</v>
      </c>
      <c r="E5253" t="s">
        <v>298</v>
      </c>
      <c r="F5253">
        <v>10</v>
      </c>
      <c r="G5253">
        <v>15.740349999999999</v>
      </c>
    </row>
    <row r="5254" spans="1:7" x14ac:dyDescent="0.35">
      <c r="A5254" t="s">
        <v>847</v>
      </c>
      <c r="B5254" t="s">
        <v>680</v>
      </c>
      <c r="C5254" s="83">
        <v>46206</v>
      </c>
      <c r="D5254" t="s">
        <v>683</v>
      </c>
      <c r="E5254" t="s">
        <v>296</v>
      </c>
      <c r="F5254">
        <v>30</v>
      </c>
      <c r="G5254">
        <v>10.8729666666667</v>
      </c>
    </row>
    <row r="5255" spans="1:7" x14ac:dyDescent="0.35">
      <c r="A5255" t="s">
        <v>847</v>
      </c>
      <c r="B5255" t="s">
        <v>680</v>
      </c>
      <c r="C5255" s="83">
        <v>46206</v>
      </c>
      <c r="D5255" t="s">
        <v>683</v>
      </c>
      <c r="E5255" t="s">
        <v>332</v>
      </c>
      <c r="F5255">
        <v>19</v>
      </c>
      <c r="G5255">
        <v>12.9899666666667</v>
      </c>
    </row>
    <row r="5256" spans="1:7" x14ac:dyDescent="0.35">
      <c r="A5256" t="s">
        <v>847</v>
      </c>
      <c r="B5256" t="s">
        <v>680</v>
      </c>
      <c r="C5256" s="83">
        <v>46206</v>
      </c>
      <c r="D5256" t="s">
        <v>683</v>
      </c>
      <c r="E5256" t="s">
        <v>334</v>
      </c>
      <c r="F5256">
        <v>16</v>
      </c>
      <c r="G5256">
        <v>9.5232666666666699</v>
      </c>
    </row>
    <row r="5257" spans="1:7" x14ac:dyDescent="0.35">
      <c r="A5257" t="s">
        <v>847</v>
      </c>
      <c r="B5257" t="s">
        <v>680</v>
      </c>
      <c r="C5257" s="83">
        <v>46206</v>
      </c>
      <c r="D5257" t="s">
        <v>689</v>
      </c>
      <c r="E5257" t="s">
        <v>298</v>
      </c>
      <c r="F5257">
        <v>10</v>
      </c>
      <c r="G5257">
        <v>8.6226833333333293</v>
      </c>
    </row>
    <row r="5258" spans="1:7" x14ac:dyDescent="0.35">
      <c r="A5258" t="s">
        <v>847</v>
      </c>
      <c r="B5258" t="s">
        <v>680</v>
      </c>
      <c r="C5258" s="83">
        <v>46206</v>
      </c>
      <c r="D5258" t="s">
        <v>689</v>
      </c>
      <c r="E5258" t="s">
        <v>300</v>
      </c>
      <c r="F5258">
        <v>7</v>
      </c>
      <c r="G5258">
        <v>4.9504000000000001</v>
      </c>
    </row>
    <row r="5259" spans="1:7" x14ac:dyDescent="0.35">
      <c r="A5259" t="s">
        <v>847</v>
      </c>
      <c r="B5259" t="s">
        <v>680</v>
      </c>
      <c r="C5259" s="83">
        <v>46206</v>
      </c>
      <c r="D5259" t="s">
        <v>689</v>
      </c>
      <c r="E5259" t="s">
        <v>334</v>
      </c>
      <c r="F5259">
        <v>6</v>
      </c>
      <c r="G5259">
        <v>1.99363333333333</v>
      </c>
    </row>
    <row r="5260" spans="1:7" x14ac:dyDescent="0.35">
      <c r="A5260" t="s">
        <v>847</v>
      </c>
      <c r="B5260" t="s">
        <v>680</v>
      </c>
      <c r="C5260" s="83">
        <v>46206</v>
      </c>
      <c r="D5260" t="s">
        <v>684</v>
      </c>
      <c r="E5260" t="s">
        <v>300</v>
      </c>
      <c r="F5260">
        <v>4</v>
      </c>
      <c r="G5260">
        <v>5.8423333333333298</v>
      </c>
    </row>
    <row r="5261" spans="1:7" x14ac:dyDescent="0.35">
      <c r="A5261" t="s">
        <v>847</v>
      </c>
      <c r="B5261" t="s">
        <v>680</v>
      </c>
      <c r="C5261" s="83">
        <v>46206</v>
      </c>
      <c r="D5261" t="s">
        <v>684</v>
      </c>
      <c r="E5261" t="s">
        <v>298</v>
      </c>
      <c r="F5261">
        <v>4</v>
      </c>
      <c r="G5261">
        <v>1.3884333333333301</v>
      </c>
    </row>
    <row r="5262" spans="1:7" x14ac:dyDescent="0.35">
      <c r="A5262" t="s">
        <v>847</v>
      </c>
      <c r="B5262" t="s">
        <v>680</v>
      </c>
      <c r="C5262" s="83">
        <v>46206</v>
      </c>
      <c r="D5262" t="s">
        <v>684</v>
      </c>
      <c r="E5262" t="s">
        <v>334</v>
      </c>
      <c r="F5262">
        <v>3</v>
      </c>
      <c r="G5262">
        <v>3.0036666666666698</v>
      </c>
    </row>
    <row r="5263" spans="1:7" x14ac:dyDescent="0.35">
      <c r="A5263" t="s">
        <v>847</v>
      </c>
      <c r="B5263" t="s">
        <v>680</v>
      </c>
      <c r="C5263" s="83">
        <v>46206</v>
      </c>
      <c r="D5263" t="s">
        <v>687</v>
      </c>
      <c r="E5263" t="s">
        <v>746</v>
      </c>
      <c r="F5263">
        <v>3</v>
      </c>
      <c r="G5263">
        <v>2.8832</v>
      </c>
    </row>
    <row r="5264" spans="1:7" x14ac:dyDescent="0.35">
      <c r="A5264" t="s">
        <v>847</v>
      </c>
      <c r="B5264" t="s">
        <v>680</v>
      </c>
      <c r="C5264" s="83">
        <v>46206</v>
      </c>
      <c r="D5264" t="s">
        <v>687</v>
      </c>
      <c r="E5264" t="s">
        <v>717</v>
      </c>
      <c r="F5264">
        <v>3</v>
      </c>
      <c r="G5264">
        <v>2.87611666666667</v>
      </c>
    </row>
    <row r="5265" spans="1:7" x14ac:dyDescent="0.35">
      <c r="A5265" t="s">
        <v>847</v>
      </c>
      <c r="B5265" t="s">
        <v>680</v>
      </c>
      <c r="C5265" s="83">
        <v>46206</v>
      </c>
      <c r="D5265" t="s">
        <v>687</v>
      </c>
      <c r="E5265" t="s">
        <v>747</v>
      </c>
      <c r="F5265">
        <v>2</v>
      </c>
      <c r="G5265">
        <v>0.175116666666667</v>
      </c>
    </row>
    <row r="5266" spans="1:7" x14ac:dyDescent="0.35">
      <c r="A5266" t="s">
        <v>847</v>
      </c>
      <c r="B5266" t="s">
        <v>680</v>
      </c>
      <c r="C5266" s="83">
        <v>46206</v>
      </c>
      <c r="D5266" t="s">
        <v>688</v>
      </c>
      <c r="E5266" t="s">
        <v>311</v>
      </c>
      <c r="F5266">
        <v>31</v>
      </c>
      <c r="G5266">
        <v>24.522933333333299</v>
      </c>
    </row>
    <row r="5267" spans="1:7" x14ac:dyDescent="0.35">
      <c r="A5267" t="s">
        <v>847</v>
      </c>
      <c r="B5267" t="s">
        <v>680</v>
      </c>
      <c r="C5267" s="83">
        <v>46206</v>
      </c>
      <c r="D5267" t="s">
        <v>688</v>
      </c>
      <c r="E5267" t="s">
        <v>316</v>
      </c>
      <c r="F5267">
        <v>7</v>
      </c>
      <c r="G5267">
        <v>5.33005</v>
      </c>
    </row>
    <row r="5268" spans="1:7" x14ac:dyDescent="0.35">
      <c r="A5268" t="s">
        <v>847</v>
      </c>
      <c r="B5268" t="s">
        <v>680</v>
      </c>
      <c r="C5268" s="83">
        <v>46206</v>
      </c>
      <c r="D5268" t="s">
        <v>688</v>
      </c>
      <c r="E5268" t="s">
        <v>321</v>
      </c>
      <c r="F5268">
        <v>3</v>
      </c>
      <c r="G5268">
        <v>0.67461666666666698</v>
      </c>
    </row>
    <row r="5269" spans="1:7" x14ac:dyDescent="0.35">
      <c r="A5269" t="s">
        <v>847</v>
      </c>
      <c r="B5269" t="s">
        <v>680</v>
      </c>
      <c r="C5269" s="83">
        <v>46206</v>
      </c>
      <c r="D5269" t="s">
        <v>690</v>
      </c>
      <c r="E5269" t="s">
        <v>311</v>
      </c>
      <c r="F5269">
        <v>17</v>
      </c>
      <c r="G5269">
        <v>12.7061833333333</v>
      </c>
    </row>
    <row r="5270" spans="1:7" x14ac:dyDescent="0.35">
      <c r="A5270" t="s">
        <v>847</v>
      </c>
      <c r="B5270" t="s">
        <v>680</v>
      </c>
      <c r="C5270" s="83">
        <v>46206</v>
      </c>
      <c r="D5270" t="s">
        <v>690</v>
      </c>
      <c r="E5270" t="s">
        <v>321</v>
      </c>
      <c r="F5270">
        <v>12</v>
      </c>
      <c r="G5270">
        <v>6.6638833333333301</v>
      </c>
    </row>
    <row r="5271" spans="1:7" x14ac:dyDescent="0.35">
      <c r="A5271" t="s">
        <v>847</v>
      </c>
      <c r="B5271" t="s">
        <v>680</v>
      </c>
      <c r="C5271" s="83">
        <v>46206</v>
      </c>
      <c r="D5271" t="s">
        <v>690</v>
      </c>
      <c r="E5271" t="s">
        <v>316</v>
      </c>
      <c r="F5271">
        <v>10</v>
      </c>
      <c r="G5271">
        <v>3.6927666666666701</v>
      </c>
    </row>
    <row r="5272" spans="1:7" x14ac:dyDescent="0.35">
      <c r="A5272" t="s">
        <v>847</v>
      </c>
      <c r="B5272" t="s">
        <v>680</v>
      </c>
      <c r="C5272" s="83">
        <v>46206</v>
      </c>
      <c r="D5272" t="s">
        <v>685</v>
      </c>
      <c r="E5272" t="s">
        <v>311</v>
      </c>
      <c r="F5272">
        <v>8</v>
      </c>
      <c r="G5272">
        <v>6.0177500000000004</v>
      </c>
    </row>
    <row r="5273" spans="1:7" x14ac:dyDescent="0.35">
      <c r="A5273" t="s">
        <v>847</v>
      </c>
      <c r="B5273" t="s">
        <v>680</v>
      </c>
      <c r="C5273" s="83">
        <v>46206</v>
      </c>
      <c r="D5273" t="s">
        <v>685</v>
      </c>
      <c r="E5273" t="s">
        <v>316</v>
      </c>
      <c r="F5273">
        <v>6</v>
      </c>
      <c r="G5273">
        <v>3.83856666666667</v>
      </c>
    </row>
    <row r="5274" spans="1:7" x14ac:dyDescent="0.35">
      <c r="A5274" t="s">
        <v>847</v>
      </c>
      <c r="B5274" t="s">
        <v>680</v>
      </c>
      <c r="C5274" s="83">
        <v>46206</v>
      </c>
      <c r="D5274" t="s">
        <v>685</v>
      </c>
      <c r="E5274" t="s">
        <v>734</v>
      </c>
      <c r="F5274">
        <v>3</v>
      </c>
      <c r="G5274">
        <v>1.33486666666667</v>
      </c>
    </row>
    <row r="5275" spans="1:7" x14ac:dyDescent="0.35">
      <c r="A5275" t="s">
        <v>847</v>
      </c>
      <c r="B5275" t="s">
        <v>680</v>
      </c>
      <c r="C5275" s="83">
        <v>46207</v>
      </c>
      <c r="D5275" t="s">
        <v>681</v>
      </c>
      <c r="E5275" t="s">
        <v>296</v>
      </c>
      <c r="F5275">
        <v>25</v>
      </c>
      <c r="G5275">
        <v>10.770533333333301</v>
      </c>
    </row>
    <row r="5276" spans="1:7" x14ac:dyDescent="0.35">
      <c r="A5276" t="s">
        <v>847</v>
      </c>
      <c r="B5276" t="s">
        <v>680</v>
      </c>
      <c r="C5276" s="83">
        <v>46207</v>
      </c>
      <c r="D5276" t="s">
        <v>681</v>
      </c>
      <c r="E5276" t="s">
        <v>298</v>
      </c>
      <c r="F5276">
        <v>19</v>
      </c>
      <c r="G5276">
        <v>14.508599999999999</v>
      </c>
    </row>
    <row r="5277" spans="1:7" x14ac:dyDescent="0.35">
      <c r="A5277" t="s">
        <v>847</v>
      </c>
      <c r="B5277" t="s">
        <v>680</v>
      </c>
      <c r="C5277" s="83">
        <v>46207</v>
      </c>
      <c r="D5277" t="s">
        <v>681</v>
      </c>
      <c r="E5277" t="s">
        <v>297</v>
      </c>
      <c r="F5277">
        <v>6</v>
      </c>
      <c r="G5277">
        <v>1.94241666666667</v>
      </c>
    </row>
    <row r="5278" spans="1:7" x14ac:dyDescent="0.35">
      <c r="A5278" t="s">
        <v>847</v>
      </c>
      <c r="B5278" t="s">
        <v>680</v>
      </c>
      <c r="C5278" s="83">
        <v>46207</v>
      </c>
      <c r="D5278" t="s">
        <v>683</v>
      </c>
      <c r="E5278" t="s">
        <v>296</v>
      </c>
      <c r="F5278">
        <v>48</v>
      </c>
      <c r="G5278">
        <v>14.770566666666699</v>
      </c>
    </row>
    <row r="5279" spans="1:7" x14ac:dyDescent="0.35">
      <c r="A5279" t="s">
        <v>847</v>
      </c>
      <c r="B5279" t="s">
        <v>680</v>
      </c>
      <c r="C5279" s="83">
        <v>46207</v>
      </c>
      <c r="D5279" t="s">
        <v>683</v>
      </c>
      <c r="E5279" t="s">
        <v>298</v>
      </c>
      <c r="F5279">
        <v>23</v>
      </c>
      <c r="G5279">
        <v>18.440666666666701</v>
      </c>
    </row>
    <row r="5280" spans="1:7" x14ac:dyDescent="0.35">
      <c r="A5280" t="s">
        <v>847</v>
      </c>
      <c r="B5280" t="s">
        <v>680</v>
      </c>
      <c r="C5280" s="83">
        <v>46207</v>
      </c>
      <c r="D5280" t="s">
        <v>683</v>
      </c>
      <c r="E5280" t="s">
        <v>334</v>
      </c>
      <c r="F5280">
        <v>16</v>
      </c>
      <c r="G5280">
        <v>5.98356666666667</v>
      </c>
    </row>
    <row r="5281" spans="1:7" x14ac:dyDescent="0.35">
      <c r="A5281" t="s">
        <v>847</v>
      </c>
      <c r="B5281" t="s">
        <v>680</v>
      </c>
      <c r="C5281" s="83">
        <v>46207</v>
      </c>
      <c r="D5281" t="s">
        <v>689</v>
      </c>
      <c r="E5281" t="s">
        <v>296</v>
      </c>
      <c r="F5281">
        <v>12</v>
      </c>
      <c r="G5281">
        <v>5.8500666666666703</v>
      </c>
    </row>
    <row r="5282" spans="1:7" x14ac:dyDescent="0.35">
      <c r="A5282" t="s">
        <v>847</v>
      </c>
      <c r="B5282" t="s">
        <v>680</v>
      </c>
      <c r="C5282" s="83">
        <v>46207</v>
      </c>
      <c r="D5282" t="s">
        <v>689</v>
      </c>
      <c r="E5282" t="s">
        <v>298</v>
      </c>
      <c r="F5282">
        <v>10</v>
      </c>
      <c r="G5282">
        <v>4.0615833333333304</v>
      </c>
    </row>
    <row r="5283" spans="1:7" x14ac:dyDescent="0.35">
      <c r="A5283" t="s">
        <v>847</v>
      </c>
      <c r="B5283" t="s">
        <v>680</v>
      </c>
      <c r="C5283" s="83">
        <v>46207</v>
      </c>
      <c r="D5283" t="s">
        <v>689</v>
      </c>
      <c r="E5283" t="s">
        <v>300</v>
      </c>
      <c r="F5283">
        <v>8</v>
      </c>
      <c r="G5283">
        <v>2.0077500000000001</v>
      </c>
    </row>
    <row r="5284" spans="1:7" x14ac:dyDescent="0.35">
      <c r="A5284" t="s">
        <v>847</v>
      </c>
      <c r="B5284" t="s">
        <v>680</v>
      </c>
      <c r="C5284" s="83">
        <v>46207</v>
      </c>
      <c r="D5284" t="s">
        <v>684</v>
      </c>
      <c r="E5284" t="s">
        <v>297</v>
      </c>
      <c r="F5284">
        <v>3</v>
      </c>
      <c r="G5284">
        <v>0.66459999999999997</v>
      </c>
    </row>
    <row r="5285" spans="1:7" x14ac:dyDescent="0.35">
      <c r="A5285" t="s">
        <v>847</v>
      </c>
      <c r="B5285" t="s">
        <v>680</v>
      </c>
      <c r="C5285" s="83">
        <v>46207</v>
      </c>
      <c r="D5285" t="s">
        <v>684</v>
      </c>
      <c r="E5285" t="s">
        <v>334</v>
      </c>
      <c r="F5285">
        <v>2</v>
      </c>
      <c r="G5285">
        <v>0.83398333333333297</v>
      </c>
    </row>
    <row r="5286" spans="1:7" x14ac:dyDescent="0.35">
      <c r="A5286" t="s">
        <v>847</v>
      </c>
      <c r="B5286" t="s">
        <v>680</v>
      </c>
      <c r="C5286" s="83">
        <v>46207</v>
      </c>
      <c r="D5286" t="s">
        <v>687</v>
      </c>
      <c r="E5286" t="s">
        <v>717</v>
      </c>
      <c r="F5286">
        <v>5</v>
      </c>
      <c r="G5286">
        <v>3.1768333333333301</v>
      </c>
    </row>
    <row r="5287" spans="1:7" x14ac:dyDescent="0.35">
      <c r="A5287" t="s">
        <v>847</v>
      </c>
      <c r="B5287" t="s">
        <v>680</v>
      </c>
      <c r="C5287" s="83">
        <v>46207</v>
      </c>
      <c r="D5287" t="s">
        <v>687</v>
      </c>
      <c r="E5287" t="s">
        <v>746</v>
      </c>
      <c r="F5287">
        <v>3</v>
      </c>
      <c r="G5287">
        <v>4.7477499999999999</v>
      </c>
    </row>
    <row r="5288" spans="1:7" x14ac:dyDescent="0.35">
      <c r="A5288" t="s">
        <v>847</v>
      </c>
      <c r="B5288" t="s">
        <v>680</v>
      </c>
      <c r="C5288" s="83">
        <v>46207</v>
      </c>
      <c r="D5288" t="s">
        <v>687</v>
      </c>
      <c r="E5288" t="s">
        <v>745</v>
      </c>
      <c r="F5288">
        <v>2</v>
      </c>
      <c r="G5288">
        <v>0.49908333333333299</v>
      </c>
    </row>
    <row r="5289" spans="1:7" x14ac:dyDescent="0.35">
      <c r="A5289" t="s">
        <v>847</v>
      </c>
      <c r="B5289" t="s">
        <v>680</v>
      </c>
      <c r="C5289" s="83">
        <v>46207</v>
      </c>
      <c r="D5289" t="s">
        <v>688</v>
      </c>
      <c r="E5289" t="s">
        <v>311</v>
      </c>
      <c r="F5289">
        <v>6</v>
      </c>
      <c r="G5289">
        <v>2.32636666666667</v>
      </c>
    </row>
    <row r="5290" spans="1:7" x14ac:dyDescent="0.35">
      <c r="A5290" t="s">
        <v>847</v>
      </c>
      <c r="B5290" t="s">
        <v>680</v>
      </c>
      <c r="C5290" s="83">
        <v>46207</v>
      </c>
      <c r="D5290" t="s">
        <v>688</v>
      </c>
      <c r="E5290" t="s">
        <v>316</v>
      </c>
      <c r="F5290">
        <v>5</v>
      </c>
      <c r="G5290">
        <v>2.5034999999999998</v>
      </c>
    </row>
    <row r="5291" spans="1:7" x14ac:dyDescent="0.35">
      <c r="A5291" t="s">
        <v>847</v>
      </c>
      <c r="B5291" t="s">
        <v>680</v>
      </c>
      <c r="C5291" s="83">
        <v>46207</v>
      </c>
      <c r="D5291" t="s">
        <v>688</v>
      </c>
      <c r="E5291" t="s">
        <v>720</v>
      </c>
      <c r="F5291">
        <v>3</v>
      </c>
      <c r="G5291">
        <v>2.4990999999999999</v>
      </c>
    </row>
    <row r="5292" spans="1:7" x14ac:dyDescent="0.35">
      <c r="A5292" t="s">
        <v>847</v>
      </c>
      <c r="B5292" t="s">
        <v>680</v>
      </c>
      <c r="C5292" s="83">
        <v>46207</v>
      </c>
      <c r="D5292" t="s">
        <v>690</v>
      </c>
      <c r="E5292" t="s">
        <v>311</v>
      </c>
      <c r="F5292">
        <v>27</v>
      </c>
      <c r="G5292">
        <v>15.77735</v>
      </c>
    </row>
    <row r="5293" spans="1:7" x14ac:dyDescent="0.35">
      <c r="A5293" t="s">
        <v>847</v>
      </c>
      <c r="B5293" t="s">
        <v>680</v>
      </c>
      <c r="C5293" s="83">
        <v>46207</v>
      </c>
      <c r="D5293" t="s">
        <v>690</v>
      </c>
      <c r="E5293" t="s">
        <v>316</v>
      </c>
      <c r="F5293">
        <v>18</v>
      </c>
      <c r="G5293">
        <v>17.372499999999999</v>
      </c>
    </row>
    <row r="5294" spans="1:7" x14ac:dyDescent="0.35">
      <c r="A5294" t="s">
        <v>847</v>
      </c>
      <c r="B5294" t="s">
        <v>680</v>
      </c>
      <c r="C5294" s="83">
        <v>46207</v>
      </c>
      <c r="D5294" t="s">
        <v>690</v>
      </c>
      <c r="E5294" t="s">
        <v>725</v>
      </c>
      <c r="F5294">
        <v>3</v>
      </c>
      <c r="G5294">
        <v>1.1733</v>
      </c>
    </row>
    <row r="5295" spans="1:7" x14ac:dyDescent="0.35">
      <c r="A5295" t="s">
        <v>847</v>
      </c>
      <c r="B5295" t="s">
        <v>680</v>
      </c>
      <c r="C5295" s="83">
        <v>46207</v>
      </c>
      <c r="D5295" t="s">
        <v>685</v>
      </c>
      <c r="E5295" t="s">
        <v>311</v>
      </c>
      <c r="F5295">
        <v>6</v>
      </c>
      <c r="G5295">
        <v>4.6675166666666703</v>
      </c>
    </row>
    <row r="5296" spans="1:7" x14ac:dyDescent="0.35">
      <c r="A5296" t="s">
        <v>847</v>
      </c>
      <c r="B5296" t="s">
        <v>680</v>
      </c>
      <c r="C5296" s="83">
        <v>46207</v>
      </c>
      <c r="D5296" t="s">
        <v>685</v>
      </c>
      <c r="E5296" t="s">
        <v>316</v>
      </c>
      <c r="F5296">
        <v>5</v>
      </c>
      <c r="G5296">
        <v>4.8344333333333296</v>
      </c>
    </row>
    <row r="5297" spans="1:7" x14ac:dyDescent="0.35">
      <c r="A5297" t="s">
        <v>847</v>
      </c>
      <c r="B5297" t="s">
        <v>680</v>
      </c>
      <c r="C5297" s="83">
        <v>46207</v>
      </c>
      <c r="D5297" t="s">
        <v>685</v>
      </c>
      <c r="E5297" t="s">
        <v>720</v>
      </c>
      <c r="F5297">
        <v>4</v>
      </c>
      <c r="G5297">
        <v>5.21265</v>
      </c>
    </row>
    <row r="5298" spans="1:7" x14ac:dyDescent="0.35">
      <c r="A5298" t="s">
        <v>847</v>
      </c>
      <c r="B5298" t="s">
        <v>680</v>
      </c>
      <c r="C5298" s="83">
        <v>46208</v>
      </c>
      <c r="D5298" t="s">
        <v>681</v>
      </c>
      <c r="E5298" t="s">
        <v>296</v>
      </c>
      <c r="F5298">
        <v>21</v>
      </c>
      <c r="G5298">
        <v>6.0236999999999998</v>
      </c>
    </row>
    <row r="5299" spans="1:7" x14ac:dyDescent="0.35">
      <c r="A5299" t="s">
        <v>847</v>
      </c>
      <c r="B5299" t="s">
        <v>680</v>
      </c>
      <c r="C5299" s="83">
        <v>46208</v>
      </c>
      <c r="D5299" t="s">
        <v>681</v>
      </c>
      <c r="E5299" t="s">
        <v>298</v>
      </c>
      <c r="F5299">
        <v>20</v>
      </c>
      <c r="G5299">
        <v>14.184666666666701</v>
      </c>
    </row>
    <row r="5300" spans="1:7" x14ac:dyDescent="0.35">
      <c r="A5300" t="s">
        <v>847</v>
      </c>
      <c r="B5300" t="s">
        <v>680</v>
      </c>
      <c r="C5300" s="83">
        <v>46208</v>
      </c>
      <c r="D5300" t="s">
        <v>681</v>
      </c>
      <c r="E5300" t="s">
        <v>297</v>
      </c>
      <c r="F5300">
        <v>4</v>
      </c>
      <c r="G5300">
        <v>1.175</v>
      </c>
    </row>
    <row r="5301" spans="1:7" x14ac:dyDescent="0.35">
      <c r="A5301" t="s">
        <v>847</v>
      </c>
      <c r="B5301" t="s">
        <v>680</v>
      </c>
      <c r="C5301" s="83">
        <v>46208</v>
      </c>
      <c r="D5301" t="s">
        <v>683</v>
      </c>
      <c r="E5301" t="s">
        <v>296</v>
      </c>
      <c r="F5301">
        <v>50</v>
      </c>
      <c r="G5301">
        <v>21.962599999999998</v>
      </c>
    </row>
    <row r="5302" spans="1:7" x14ac:dyDescent="0.35">
      <c r="A5302" t="s">
        <v>847</v>
      </c>
      <c r="B5302" t="s">
        <v>680</v>
      </c>
      <c r="C5302" s="83">
        <v>46208</v>
      </c>
      <c r="D5302" t="s">
        <v>683</v>
      </c>
      <c r="E5302" t="s">
        <v>298</v>
      </c>
      <c r="F5302">
        <v>19</v>
      </c>
      <c r="G5302">
        <v>15.0171166666667</v>
      </c>
    </row>
    <row r="5303" spans="1:7" x14ac:dyDescent="0.35">
      <c r="A5303" t="s">
        <v>847</v>
      </c>
      <c r="B5303" t="s">
        <v>680</v>
      </c>
      <c r="C5303" s="83">
        <v>46208</v>
      </c>
      <c r="D5303" t="s">
        <v>683</v>
      </c>
      <c r="E5303" t="s">
        <v>332</v>
      </c>
      <c r="F5303">
        <v>16</v>
      </c>
      <c r="G5303">
        <v>8.9782333333333302</v>
      </c>
    </row>
    <row r="5304" spans="1:7" x14ac:dyDescent="0.35">
      <c r="A5304" t="s">
        <v>847</v>
      </c>
      <c r="B5304" t="s">
        <v>680</v>
      </c>
      <c r="C5304" s="83">
        <v>46208</v>
      </c>
      <c r="D5304" t="s">
        <v>689</v>
      </c>
      <c r="E5304" t="s">
        <v>298</v>
      </c>
      <c r="F5304">
        <v>18</v>
      </c>
      <c r="G5304">
        <v>13.0071333333333</v>
      </c>
    </row>
    <row r="5305" spans="1:7" x14ac:dyDescent="0.35">
      <c r="A5305" t="s">
        <v>847</v>
      </c>
      <c r="B5305" t="s">
        <v>680</v>
      </c>
      <c r="C5305" s="83">
        <v>46208</v>
      </c>
      <c r="D5305" t="s">
        <v>689</v>
      </c>
      <c r="E5305" t="s">
        <v>296</v>
      </c>
      <c r="F5305">
        <v>12</v>
      </c>
      <c r="G5305">
        <v>13.6777333333333</v>
      </c>
    </row>
    <row r="5306" spans="1:7" x14ac:dyDescent="0.35">
      <c r="A5306" t="s">
        <v>847</v>
      </c>
      <c r="B5306" t="s">
        <v>680</v>
      </c>
      <c r="C5306" s="83">
        <v>46208</v>
      </c>
      <c r="D5306" t="s">
        <v>689</v>
      </c>
      <c r="E5306" t="s">
        <v>300</v>
      </c>
      <c r="F5306">
        <v>6</v>
      </c>
      <c r="G5306">
        <v>1.1145</v>
      </c>
    </row>
    <row r="5307" spans="1:7" x14ac:dyDescent="0.35">
      <c r="A5307" t="s">
        <v>847</v>
      </c>
      <c r="B5307" t="s">
        <v>680</v>
      </c>
      <c r="C5307" s="83">
        <v>46208</v>
      </c>
      <c r="D5307" t="s">
        <v>684</v>
      </c>
      <c r="E5307" t="s">
        <v>296</v>
      </c>
      <c r="F5307">
        <v>4</v>
      </c>
      <c r="G5307">
        <v>1.3272666666666699</v>
      </c>
    </row>
    <row r="5308" spans="1:7" x14ac:dyDescent="0.35">
      <c r="A5308" t="s">
        <v>847</v>
      </c>
      <c r="B5308" t="s">
        <v>680</v>
      </c>
      <c r="C5308" s="83">
        <v>46208</v>
      </c>
      <c r="D5308" t="s">
        <v>684</v>
      </c>
      <c r="E5308" t="s">
        <v>298</v>
      </c>
      <c r="F5308">
        <v>4</v>
      </c>
      <c r="G5308">
        <v>2.83896666666667</v>
      </c>
    </row>
    <row r="5309" spans="1:7" x14ac:dyDescent="0.35">
      <c r="A5309" t="s">
        <v>847</v>
      </c>
      <c r="B5309" t="s">
        <v>680</v>
      </c>
      <c r="C5309" s="83">
        <v>46208</v>
      </c>
      <c r="D5309" t="s">
        <v>684</v>
      </c>
      <c r="E5309" t="s">
        <v>297</v>
      </c>
      <c r="F5309">
        <v>3</v>
      </c>
      <c r="G5309">
        <v>0.82713333333333305</v>
      </c>
    </row>
    <row r="5310" spans="1:7" x14ac:dyDescent="0.35">
      <c r="A5310" t="s">
        <v>847</v>
      </c>
      <c r="B5310" t="s">
        <v>680</v>
      </c>
      <c r="C5310" s="83">
        <v>46208</v>
      </c>
      <c r="D5310" t="s">
        <v>687</v>
      </c>
      <c r="E5310" t="s">
        <v>746</v>
      </c>
      <c r="F5310">
        <v>6</v>
      </c>
      <c r="G5310">
        <v>8.9969333333333292</v>
      </c>
    </row>
    <row r="5311" spans="1:7" x14ac:dyDescent="0.35">
      <c r="A5311" t="s">
        <v>847</v>
      </c>
      <c r="B5311" t="s">
        <v>680</v>
      </c>
      <c r="C5311" s="83">
        <v>46208</v>
      </c>
      <c r="D5311" t="s">
        <v>687</v>
      </c>
      <c r="E5311" t="s">
        <v>726</v>
      </c>
      <c r="F5311">
        <v>3</v>
      </c>
      <c r="G5311">
        <v>0.99199999999999999</v>
      </c>
    </row>
    <row r="5312" spans="1:7" x14ac:dyDescent="0.35">
      <c r="A5312" t="s">
        <v>847</v>
      </c>
      <c r="B5312" t="s">
        <v>680</v>
      </c>
      <c r="C5312" s="83">
        <v>46208</v>
      </c>
      <c r="D5312" t="s">
        <v>687</v>
      </c>
      <c r="E5312" t="s">
        <v>717</v>
      </c>
      <c r="F5312">
        <v>2</v>
      </c>
      <c r="G5312">
        <v>1.6675833333333301</v>
      </c>
    </row>
    <row r="5313" spans="1:7" x14ac:dyDescent="0.35">
      <c r="A5313" t="s">
        <v>847</v>
      </c>
      <c r="B5313" t="s">
        <v>680</v>
      </c>
      <c r="C5313" s="83">
        <v>46208</v>
      </c>
      <c r="D5313" t="s">
        <v>688</v>
      </c>
      <c r="E5313" t="s">
        <v>311</v>
      </c>
      <c r="F5313">
        <v>14</v>
      </c>
      <c r="G5313">
        <v>7.1709500000000004</v>
      </c>
    </row>
    <row r="5314" spans="1:7" x14ac:dyDescent="0.35">
      <c r="A5314" t="s">
        <v>847</v>
      </c>
      <c r="B5314" t="s">
        <v>680</v>
      </c>
      <c r="C5314" s="83">
        <v>46208</v>
      </c>
      <c r="D5314" t="s">
        <v>688</v>
      </c>
      <c r="E5314" t="s">
        <v>316</v>
      </c>
      <c r="F5314">
        <v>6</v>
      </c>
      <c r="G5314">
        <v>1.84001666666667</v>
      </c>
    </row>
    <row r="5315" spans="1:7" x14ac:dyDescent="0.35">
      <c r="A5315" t="s">
        <v>847</v>
      </c>
      <c r="B5315" t="s">
        <v>680</v>
      </c>
      <c r="C5315" s="83">
        <v>46208</v>
      </c>
      <c r="D5315" t="s">
        <v>688</v>
      </c>
      <c r="E5315" t="s">
        <v>720</v>
      </c>
      <c r="F5315">
        <v>6</v>
      </c>
      <c r="G5315">
        <v>1.3324499999999999</v>
      </c>
    </row>
    <row r="5316" spans="1:7" x14ac:dyDescent="0.35">
      <c r="A5316" t="s">
        <v>847</v>
      </c>
      <c r="B5316" t="s">
        <v>680</v>
      </c>
      <c r="C5316" s="83">
        <v>46208</v>
      </c>
      <c r="D5316" t="s">
        <v>690</v>
      </c>
      <c r="E5316" t="s">
        <v>311</v>
      </c>
      <c r="F5316">
        <v>15</v>
      </c>
      <c r="G5316">
        <v>12.1518</v>
      </c>
    </row>
    <row r="5317" spans="1:7" x14ac:dyDescent="0.35">
      <c r="A5317" t="s">
        <v>847</v>
      </c>
      <c r="B5317" t="s">
        <v>680</v>
      </c>
      <c r="C5317" s="83">
        <v>46208</v>
      </c>
      <c r="D5317" t="s">
        <v>690</v>
      </c>
      <c r="E5317" t="s">
        <v>720</v>
      </c>
      <c r="F5317">
        <v>4</v>
      </c>
      <c r="G5317">
        <v>1.66726666666667</v>
      </c>
    </row>
    <row r="5318" spans="1:7" x14ac:dyDescent="0.35">
      <c r="A5318" t="s">
        <v>847</v>
      </c>
      <c r="B5318" t="s">
        <v>680</v>
      </c>
      <c r="C5318" s="83">
        <v>46208</v>
      </c>
      <c r="D5318" t="s">
        <v>690</v>
      </c>
      <c r="E5318" t="s">
        <v>316</v>
      </c>
      <c r="F5318">
        <v>3</v>
      </c>
      <c r="G5318">
        <v>1.1597</v>
      </c>
    </row>
    <row r="5319" spans="1:7" x14ac:dyDescent="0.35">
      <c r="A5319" t="s">
        <v>847</v>
      </c>
      <c r="B5319" t="s">
        <v>680</v>
      </c>
      <c r="C5319" s="83">
        <v>46208</v>
      </c>
      <c r="D5319" t="s">
        <v>685</v>
      </c>
      <c r="E5319" t="s">
        <v>720</v>
      </c>
      <c r="F5319">
        <v>9</v>
      </c>
      <c r="G5319">
        <v>7.8577000000000004</v>
      </c>
    </row>
    <row r="5320" spans="1:7" x14ac:dyDescent="0.35">
      <c r="A5320" t="s">
        <v>847</v>
      </c>
      <c r="B5320" t="s">
        <v>680</v>
      </c>
      <c r="C5320" s="83">
        <v>46208</v>
      </c>
      <c r="D5320" t="s">
        <v>685</v>
      </c>
      <c r="E5320" t="s">
        <v>316</v>
      </c>
      <c r="F5320">
        <v>4</v>
      </c>
      <c r="G5320">
        <v>0.66786666666666705</v>
      </c>
    </row>
    <row r="5321" spans="1:7" x14ac:dyDescent="0.35">
      <c r="A5321" t="s">
        <v>847</v>
      </c>
      <c r="B5321" t="s">
        <v>680</v>
      </c>
      <c r="C5321" s="83">
        <v>46208</v>
      </c>
      <c r="D5321" t="s">
        <v>685</v>
      </c>
      <c r="E5321" t="s">
        <v>311</v>
      </c>
      <c r="F5321">
        <v>4</v>
      </c>
      <c r="G5321">
        <v>3.1668833333333302</v>
      </c>
    </row>
    <row r="5322" spans="1:7" x14ac:dyDescent="0.35">
      <c r="A5322" t="s">
        <v>847</v>
      </c>
      <c r="B5322" t="s">
        <v>680</v>
      </c>
      <c r="C5322" s="83">
        <v>46209</v>
      </c>
      <c r="D5322" t="s">
        <v>681</v>
      </c>
      <c r="E5322" t="s">
        <v>296</v>
      </c>
      <c r="F5322">
        <v>24</v>
      </c>
      <c r="G5322">
        <v>22.322849999999999</v>
      </c>
    </row>
    <row r="5323" spans="1:7" x14ac:dyDescent="0.35">
      <c r="A5323" t="s">
        <v>847</v>
      </c>
      <c r="B5323" t="s">
        <v>680</v>
      </c>
      <c r="C5323" s="83">
        <v>46209</v>
      </c>
      <c r="D5323" t="s">
        <v>681</v>
      </c>
      <c r="E5323" t="s">
        <v>298</v>
      </c>
      <c r="F5323">
        <v>15</v>
      </c>
      <c r="G5323">
        <v>10.811349999999999</v>
      </c>
    </row>
    <row r="5324" spans="1:7" x14ac:dyDescent="0.35">
      <c r="A5324" t="s">
        <v>847</v>
      </c>
      <c r="B5324" t="s">
        <v>680</v>
      </c>
      <c r="C5324" s="83">
        <v>46209</v>
      </c>
      <c r="D5324" t="s">
        <v>681</v>
      </c>
      <c r="E5324" t="s">
        <v>297</v>
      </c>
      <c r="F5324">
        <v>13</v>
      </c>
      <c r="G5324">
        <v>7.1736333333333304</v>
      </c>
    </row>
    <row r="5325" spans="1:7" x14ac:dyDescent="0.35">
      <c r="A5325" t="s">
        <v>847</v>
      </c>
      <c r="B5325" t="s">
        <v>680</v>
      </c>
      <c r="C5325" s="83">
        <v>46209</v>
      </c>
      <c r="D5325" t="s">
        <v>683</v>
      </c>
      <c r="E5325" t="s">
        <v>332</v>
      </c>
      <c r="F5325">
        <v>28</v>
      </c>
      <c r="G5325">
        <v>12.831516666666699</v>
      </c>
    </row>
    <row r="5326" spans="1:7" x14ac:dyDescent="0.35">
      <c r="A5326" t="s">
        <v>847</v>
      </c>
      <c r="B5326" t="s">
        <v>680</v>
      </c>
      <c r="C5326" s="83">
        <v>46209</v>
      </c>
      <c r="D5326" t="s">
        <v>683</v>
      </c>
      <c r="E5326" t="s">
        <v>334</v>
      </c>
      <c r="F5326">
        <v>22</v>
      </c>
      <c r="G5326">
        <v>21.4787</v>
      </c>
    </row>
    <row r="5327" spans="1:7" x14ac:dyDescent="0.35">
      <c r="A5327" t="s">
        <v>847</v>
      </c>
      <c r="B5327" t="s">
        <v>680</v>
      </c>
      <c r="C5327" s="83">
        <v>46209</v>
      </c>
      <c r="D5327" t="s">
        <v>683</v>
      </c>
      <c r="E5327" t="s">
        <v>296</v>
      </c>
      <c r="F5327">
        <v>16</v>
      </c>
      <c r="G5327">
        <v>5.9698166666666701</v>
      </c>
    </row>
    <row r="5328" spans="1:7" x14ac:dyDescent="0.35">
      <c r="A5328" t="s">
        <v>847</v>
      </c>
      <c r="B5328" t="s">
        <v>680</v>
      </c>
      <c r="C5328" s="83">
        <v>46209</v>
      </c>
      <c r="D5328" t="s">
        <v>689</v>
      </c>
      <c r="E5328" t="s">
        <v>296</v>
      </c>
      <c r="F5328">
        <v>32</v>
      </c>
      <c r="G5328">
        <v>13.8335666666667</v>
      </c>
    </row>
    <row r="5329" spans="1:7" x14ac:dyDescent="0.35">
      <c r="A5329" t="s">
        <v>847</v>
      </c>
      <c r="B5329" t="s">
        <v>680</v>
      </c>
      <c r="C5329" s="83">
        <v>46209</v>
      </c>
      <c r="D5329" t="s">
        <v>689</v>
      </c>
      <c r="E5329" t="s">
        <v>297</v>
      </c>
      <c r="F5329">
        <v>13</v>
      </c>
      <c r="G5329">
        <v>5.5196666666666703</v>
      </c>
    </row>
    <row r="5330" spans="1:7" x14ac:dyDescent="0.35">
      <c r="A5330" t="s">
        <v>847</v>
      </c>
      <c r="B5330" t="s">
        <v>680</v>
      </c>
      <c r="C5330" s="83">
        <v>46209</v>
      </c>
      <c r="D5330" t="s">
        <v>689</v>
      </c>
      <c r="E5330" t="s">
        <v>298</v>
      </c>
      <c r="F5330">
        <v>13</v>
      </c>
      <c r="G5330">
        <v>14.680149999999999</v>
      </c>
    </row>
    <row r="5331" spans="1:7" x14ac:dyDescent="0.35">
      <c r="A5331" t="s">
        <v>847</v>
      </c>
      <c r="B5331" t="s">
        <v>680</v>
      </c>
      <c r="C5331" s="83">
        <v>46209</v>
      </c>
      <c r="D5331" t="s">
        <v>684</v>
      </c>
      <c r="E5331" t="s">
        <v>298</v>
      </c>
      <c r="F5331">
        <v>5</v>
      </c>
      <c r="G5331">
        <v>5.4919000000000002</v>
      </c>
    </row>
    <row r="5332" spans="1:7" x14ac:dyDescent="0.35">
      <c r="A5332" t="s">
        <v>847</v>
      </c>
      <c r="B5332" t="s">
        <v>680</v>
      </c>
      <c r="C5332" s="83">
        <v>46209</v>
      </c>
      <c r="D5332" t="s">
        <v>684</v>
      </c>
      <c r="E5332" t="s">
        <v>728</v>
      </c>
      <c r="F5332">
        <v>4</v>
      </c>
      <c r="G5332">
        <v>2.0060833333333301</v>
      </c>
    </row>
    <row r="5333" spans="1:7" x14ac:dyDescent="0.35">
      <c r="A5333" t="s">
        <v>847</v>
      </c>
      <c r="B5333" t="s">
        <v>680</v>
      </c>
      <c r="C5333" s="83">
        <v>46209</v>
      </c>
      <c r="D5333" t="s">
        <v>684</v>
      </c>
      <c r="E5333" t="s">
        <v>334</v>
      </c>
      <c r="F5333">
        <v>4</v>
      </c>
      <c r="G5333">
        <v>55.834283333333303</v>
      </c>
    </row>
    <row r="5334" spans="1:7" x14ac:dyDescent="0.35">
      <c r="A5334" t="s">
        <v>847</v>
      </c>
      <c r="B5334" t="s">
        <v>680</v>
      </c>
      <c r="C5334" s="83">
        <v>46209</v>
      </c>
      <c r="D5334" t="s">
        <v>687</v>
      </c>
      <c r="E5334" t="s">
        <v>729</v>
      </c>
      <c r="F5334">
        <v>4</v>
      </c>
      <c r="G5334">
        <v>5.8297499999999998</v>
      </c>
    </row>
    <row r="5335" spans="1:7" x14ac:dyDescent="0.35">
      <c r="A5335" t="s">
        <v>847</v>
      </c>
      <c r="B5335" t="s">
        <v>680</v>
      </c>
      <c r="C5335" s="83">
        <v>46209</v>
      </c>
      <c r="D5335" t="s">
        <v>687</v>
      </c>
      <c r="E5335" t="s">
        <v>719</v>
      </c>
      <c r="F5335">
        <v>4</v>
      </c>
      <c r="G5335">
        <v>1.5142166666666701</v>
      </c>
    </row>
    <row r="5336" spans="1:7" x14ac:dyDescent="0.35">
      <c r="A5336" t="s">
        <v>847</v>
      </c>
      <c r="B5336" t="s">
        <v>680</v>
      </c>
      <c r="C5336" s="83">
        <v>46209</v>
      </c>
      <c r="D5336" t="s">
        <v>687</v>
      </c>
      <c r="E5336" t="s">
        <v>717</v>
      </c>
      <c r="F5336">
        <v>3</v>
      </c>
      <c r="G5336">
        <v>1.8392166666666701</v>
      </c>
    </row>
    <row r="5337" spans="1:7" x14ac:dyDescent="0.35">
      <c r="A5337" t="s">
        <v>847</v>
      </c>
      <c r="B5337" t="s">
        <v>680</v>
      </c>
      <c r="C5337" s="83">
        <v>46209</v>
      </c>
      <c r="D5337" t="s">
        <v>688</v>
      </c>
      <c r="E5337" t="s">
        <v>720</v>
      </c>
      <c r="F5337">
        <v>12</v>
      </c>
      <c r="G5337">
        <v>12.319933333333299</v>
      </c>
    </row>
    <row r="5338" spans="1:7" x14ac:dyDescent="0.35">
      <c r="A5338" t="s">
        <v>847</v>
      </c>
      <c r="B5338" t="s">
        <v>680</v>
      </c>
      <c r="C5338" s="83">
        <v>46209</v>
      </c>
      <c r="D5338" t="s">
        <v>688</v>
      </c>
      <c r="E5338" t="s">
        <v>311</v>
      </c>
      <c r="F5338">
        <v>5</v>
      </c>
      <c r="G5338">
        <v>1.50853333333333</v>
      </c>
    </row>
    <row r="5339" spans="1:7" x14ac:dyDescent="0.35">
      <c r="A5339" t="s">
        <v>847</v>
      </c>
      <c r="B5339" t="s">
        <v>680</v>
      </c>
      <c r="C5339" s="83">
        <v>46209</v>
      </c>
      <c r="D5339" t="s">
        <v>688</v>
      </c>
      <c r="E5339" t="s">
        <v>739</v>
      </c>
      <c r="F5339">
        <v>5</v>
      </c>
      <c r="G5339">
        <v>11.3363666666667</v>
      </c>
    </row>
    <row r="5340" spans="1:7" x14ac:dyDescent="0.35">
      <c r="A5340" t="s">
        <v>847</v>
      </c>
      <c r="B5340" t="s">
        <v>680</v>
      </c>
      <c r="C5340" s="83">
        <v>46209</v>
      </c>
      <c r="D5340" t="s">
        <v>690</v>
      </c>
      <c r="E5340" t="s">
        <v>311</v>
      </c>
      <c r="F5340">
        <v>11</v>
      </c>
      <c r="G5340">
        <v>6.8361499999999999</v>
      </c>
    </row>
    <row r="5341" spans="1:7" x14ac:dyDescent="0.35">
      <c r="A5341" t="s">
        <v>847</v>
      </c>
      <c r="B5341" t="s">
        <v>680</v>
      </c>
      <c r="C5341" s="83">
        <v>46209</v>
      </c>
      <c r="D5341" t="s">
        <v>690</v>
      </c>
      <c r="E5341" t="s">
        <v>338</v>
      </c>
      <c r="F5341">
        <v>6</v>
      </c>
      <c r="G5341">
        <v>5.5140333333333302</v>
      </c>
    </row>
    <row r="5342" spans="1:7" x14ac:dyDescent="0.35">
      <c r="A5342" t="s">
        <v>847</v>
      </c>
      <c r="B5342" t="s">
        <v>680</v>
      </c>
      <c r="C5342" s="83">
        <v>46209</v>
      </c>
      <c r="D5342" t="s">
        <v>690</v>
      </c>
      <c r="E5342" t="s">
        <v>316</v>
      </c>
      <c r="F5342">
        <v>4</v>
      </c>
      <c r="G5342">
        <v>3.33503333333333</v>
      </c>
    </row>
    <row r="5343" spans="1:7" x14ac:dyDescent="0.35">
      <c r="A5343" t="s">
        <v>847</v>
      </c>
      <c r="B5343" t="s">
        <v>680</v>
      </c>
      <c r="C5343" s="83">
        <v>46209</v>
      </c>
      <c r="D5343" t="s">
        <v>685</v>
      </c>
      <c r="E5343" t="s">
        <v>311</v>
      </c>
      <c r="F5343">
        <v>8</v>
      </c>
      <c r="G5343">
        <v>5.0054666666666696</v>
      </c>
    </row>
    <row r="5344" spans="1:7" x14ac:dyDescent="0.35">
      <c r="A5344" t="s">
        <v>847</v>
      </c>
      <c r="B5344" t="s">
        <v>680</v>
      </c>
      <c r="C5344" s="83">
        <v>46209</v>
      </c>
      <c r="D5344" t="s">
        <v>685</v>
      </c>
      <c r="E5344" t="s">
        <v>720</v>
      </c>
      <c r="F5344">
        <v>6</v>
      </c>
      <c r="G5344">
        <v>2.8393333333333302</v>
      </c>
    </row>
    <row r="5345" spans="1:7" x14ac:dyDescent="0.35">
      <c r="A5345" t="s">
        <v>847</v>
      </c>
      <c r="B5345" t="s">
        <v>680</v>
      </c>
      <c r="C5345" s="83">
        <v>46209</v>
      </c>
      <c r="D5345" t="s">
        <v>685</v>
      </c>
      <c r="E5345" t="s">
        <v>321</v>
      </c>
      <c r="F5345">
        <v>3</v>
      </c>
      <c r="G5345">
        <v>25.081766666666699</v>
      </c>
    </row>
    <row r="5346" spans="1:7" x14ac:dyDescent="0.35">
      <c r="A5346" t="s">
        <v>847</v>
      </c>
      <c r="B5346" t="s">
        <v>680</v>
      </c>
      <c r="C5346" s="83">
        <v>46210</v>
      </c>
      <c r="D5346" t="s">
        <v>681</v>
      </c>
      <c r="E5346" t="s">
        <v>297</v>
      </c>
      <c r="F5346">
        <v>18</v>
      </c>
      <c r="G5346">
        <v>6.3180333333333296</v>
      </c>
    </row>
    <row r="5347" spans="1:7" x14ac:dyDescent="0.35">
      <c r="A5347" t="s">
        <v>847</v>
      </c>
      <c r="B5347" t="s">
        <v>680</v>
      </c>
      <c r="C5347" s="83">
        <v>46210</v>
      </c>
      <c r="D5347" t="s">
        <v>681</v>
      </c>
      <c r="E5347" t="s">
        <v>298</v>
      </c>
      <c r="F5347">
        <v>10</v>
      </c>
      <c r="G5347">
        <v>20.653449999999999</v>
      </c>
    </row>
    <row r="5348" spans="1:7" x14ac:dyDescent="0.35">
      <c r="A5348" t="s">
        <v>847</v>
      </c>
      <c r="B5348" t="s">
        <v>680</v>
      </c>
      <c r="C5348" s="83">
        <v>46210</v>
      </c>
      <c r="D5348" t="s">
        <v>681</v>
      </c>
      <c r="E5348" t="s">
        <v>300</v>
      </c>
      <c r="F5348">
        <v>5</v>
      </c>
      <c r="G5348">
        <v>2.00708333333333</v>
      </c>
    </row>
    <row r="5349" spans="1:7" x14ac:dyDescent="0.35">
      <c r="A5349" t="s">
        <v>847</v>
      </c>
      <c r="B5349" t="s">
        <v>680</v>
      </c>
      <c r="C5349" s="83">
        <v>46210</v>
      </c>
      <c r="D5349" t="s">
        <v>683</v>
      </c>
      <c r="E5349" t="s">
        <v>332</v>
      </c>
      <c r="F5349">
        <v>22</v>
      </c>
      <c r="G5349">
        <v>14.151666666666699</v>
      </c>
    </row>
    <row r="5350" spans="1:7" x14ac:dyDescent="0.35">
      <c r="A5350" t="s">
        <v>847</v>
      </c>
      <c r="B5350" t="s">
        <v>680</v>
      </c>
      <c r="C5350" s="83">
        <v>46210</v>
      </c>
      <c r="D5350" t="s">
        <v>683</v>
      </c>
      <c r="E5350" t="s">
        <v>300</v>
      </c>
      <c r="F5350">
        <v>5</v>
      </c>
      <c r="G5350">
        <v>6.6663833333333304</v>
      </c>
    </row>
    <row r="5351" spans="1:7" x14ac:dyDescent="0.35">
      <c r="A5351" t="s">
        <v>847</v>
      </c>
      <c r="B5351" t="s">
        <v>680</v>
      </c>
      <c r="C5351" s="83">
        <v>46210</v>
      </c>
      <c r="D5351" t="s">
        <v>683</v>
      </c>
      <c r="E5351" t="s">
        <v>728</v>
      </c>
      <c r="F5351">
        <v>5</v>
      </c>
      <c r="G5351">
        <v>1.6664333333333301</v>
      </c>
    </row>
    <row r="5352" spans="1:7" x14ac:dyDescent="0.35">
      <c r="A5352" t="s">
        <v>847</v>
      </c>
      <c r="B5352" t="s">
        <v>680</v>
      </c>
      <c r="C5352" s="83">
        <v>46210</v>
      </c>
      <c r="D5352" t="s">
        <v>689</v>
      </c>
      <c r="E5352" t="s">
        <v>296</v>
      </c>
      <c r="F5352">
        <v>24</v>
      </c>
      <c r="G5352">
        <v>18.681633333333298</v>
      </c>
    </row>
    <row r="5353" spans="1:7" x14ac:dyDescent="0.35">
      <c r="A5353" t="s">
        <v>847</v>
      </c>
      <c r="B5353" t="s">
        <v>680</v>
      </c>
      <c r="C5353" s="83">
        <v>46210</v>
      </c>
      <c r="D5353" t="s">
        <v>689</v>
      </c>
      <c r="E5353" t="s">
        <v>298</v>
      </c>
      <c r="F5353">
        <v>14</v>
      </c>
      <c r="G5353">
        <v>16.679033333333301</v>
      </c>
    </row>
    <row r="5354" spans="1:7" x14ac:dyDescent="0.35">
      <c r="A5354" t="s">
        <v>847</v>
      </c>
      <c r="B5354" t="s">
        <v>680</v>
      </c>
      <c r="C5354" s="83">
        <v>46210</v>
      </c>
      <c r="D5354" t="s">
        <v>689</v>
      </c>
      <c r="E5354" t="s">
        <v>300</v>
      </c>
      <c r="F5354">
        <v>10</v>
      </c>
      <c r="G5354">
        <v>4.01636666666667</v>
      </c>
    </row>
    <row r="5355" spans="1:7" x14ac:dyDescent="0.35">
      <c r="A5355" t="s">
        <v>847</v>
      </c>
      <c r="B5355" t="s">
        <v>680</v>
      </c>
      <c r="C5355" s="83">
        <v>46210</v>
      </c>
      <c r="D5355" t="s">
        <v>684</v>
      </c>
      <c r="E5355" t="s">
        <v>298</v>
      </c>
      <c r="F5355">
        <v>6</v>
      </c>
      <c r="G5355">
        <v>9.0219000000000005</v>
      </c>
    </row>
    <row r="5356" spans="1:7" x14ac:dyDescent="0.35">
      <c r="A5356" t="s">
        <v>847</v>
      </c>
      <c r="B5356" t="s">
        <v>680</v>
      </c>
      <c r="C5356" s="83">
        <v>46210</v>
      </c>
      <c r="D5356" t="s">
        <v>684</v>
      </c>
      <c r="E5356" t="s">
        <v>300</v>
      </c>
      <c r="F5356">
        <v>3</v>
      </c>
      <c r="G5356">
        <v>0.66571666666666696</v>
      </c>
    </row>
    <row r="5357" spans="1:7" x14ac:dyDescent="0.35">
      <c r="A5357" t="s">
        <v>847</v>
      </c>
      <c r="B5357" t="s">
        <v>680</v>
      </c>
      <c r="C5357" s="83">
        <v>46210</v>
      </c>
      <c r="D5357" t="s">
        <v>684</v>
      </c>
      <c r="E5357" t="s">
        <v>728</v>
      </c>
      <c r="F5357">
        <v>3</v>
      </c>
      <c r="G5357">
        <v>1.82843333333333</v>
      </c>
    </row>
    <row r="5358" spans="1:7" x14ac:dyDescent="0.35">
      <c r="A5358" t="s">
        <v>847</v>
      </c>
      <c r="B5358" t="s">
        <v>680</v>
      </c>
      <c r="C5358" s="83">
        <v>46210</v>
      </c>
      <c r="D5358" t="s">
        <v>687</v>
      </c>
      <c r="E5358" t="s">
        <v>746</v>
      </c>
      <c r="F5358">
        <v>4</v>
      </c>
      <c r="G5358">
        <v>3.8271166666666701</v>
      </c>
    </row>
    <row r="5359" spans="1:7" x14ac:dyDescent="0.35">
      <c r="A5359" t="s">
        <v>847</v>
      </c>
      <c r="B5359" t="s">
        <v>680</v>
      </c>
      <c r="C5359" s="83">
        <v>46210</v>
      </c>
      <c r="D5359" t="s">
        <v>687</v>
      </c>
      <c r="E5359" t="s">
        <v>726</v>
      </c>
      <c r="F5359">
        <v>3</v>
      </c>
      <c r="G5359">
        <v>1.8324</v>
      </c>
    </row>
    <row r="5360" spans="1:7" x14ac:dyDescent="0.35">
      <c r="A5360" t="s">
        <v>847</v>
      </c>
      <c r="B5360" t="s">
        <v>680</v>
      </c>
      <c r="C5360" s="83">
        <v>46210</v>
      </c>
      <c r="D5360" t="s">
        <v>687</v>
      </c>
      <c r="E5360" t="s">
        <v>788</v>
      </c>
      <c r="F5360">
        <v>2</v>
      </c>
      <c r="G5360">
        <v>0.50019999999999998</v>
      </c>
    </row>
    <row r="5361" spans="1:7" x14ac:dyDescent="0.35">
      <c r="A5361" t="s">
        <v>847</v>
      </c>
      <c r="B5361" t="s">
        <v>680</v>
      </c>
      <c r="C5361" s="83">
        <v>46210</v>
      </c>
      <c r="D5361" t="s">
        <v>688</v>
      </c>
      <c r="E5361" t="s">
        <v>311</v>
      </c>
      <c r="F5361">
        <v>9</v>
      </c>
      <c r="G5361">
        <v>9.0083333333333293</v>
      </c>
    </row>
    <row r="5362" spans="1:7" x14ac:dyDescent="0.35">
      <c r="A5362" t="s">
        <v>847</v>
      </c>
      <c r="B5362" t="s">
        <v>680</v>
      </c>
      <c r="C5362" s="83">
        <v>46210</v>
      </c>
      <c r="D5362" t="s">
        <v>688</v>
      </c>
      <c r="E5362" t="s">
        <v>316</v>
      </c>
      <c r="F5362">
        <v>7</v>
      </c>
      <c r="G5362">
        <v>3.1639833333333298</v>
      </c>
    </row>
    <row r="5363" spans="1:7" x14ac:dyDescent="0.35">
      <c r="A5363" t="s">
        <v>847</v>
      </c>
      <c r="B5363" t="s">
        <v>680</v>
      </c>
      <c r="C5363" s="83">
        <v>46210</v>
      </c>
      <c r="D5363" t="s">
        <v>688</v>
      </c>
      <c r="E5363" t="s">
        <v>720</v>
      </c>
      <c r="F5363">
        <v>7</v>
      </c>
      <c r="G5363">
        <v>8.5012833333333298</v>
      </c>
    </row>
    <row r="5364" spans="1:7" x14ac:dyDescent="0.35">
      <c r="A5364" t="s">
        <v>847</v>
      </c>
      <c r="B5364" t="s">
        <v>680</v>
      </c>
      <c r="C5364" s="83">
        <v>46210</v>
      </c>
      <c r="D5364" t="s">
        <v>690</v>
      </c>
      <c r="E5364" t="s">
        <v>311</v>
      </c>
      <c r="F5364">
        <v>12</v>
      </c>
      <c r="G5364">
        <v>7.1621833333333296</v>
      </c>
    </row>
    <row r="5365" spans="1:7" x14ac:dyDescent="0.35">
      <c r="A5365" t="s">
        <v>847</v>
      </c>
      <c r="B5365" t="s">
        <v>680</v>
      </c>
      <c r="C5365" s="83">
        <v>46210</v>
      </c>
      <c r="D5365" t="s">
        <v>690</v>
      </c>
      <c r="E5365" t="s">
        <v>720</v>
      </c>
      <c r="F5365">
        <v>11</v>
      </c>
      <c r="G5365">
        <v>8.3421000000000003</v>
      </c>
    </row>
    <row r="5366" spans="1:7" x14ac:dyDescent="0.35">
      <c r="A5366" t="s">
        <v>847</v>
      </c>
      <c r="B5366" t="s">
        <v>680</v>
      </c>
      <c r="C5366" s="83">
        <v>46210</v>
      </c>
      <c r="D5366" t="s">
        <v>690</v>
      </c>
      <c r="E5366" t="s">
        <v>312</v>
      </c>
      <c r="F5366">
        <v>10</v>
      </c>
      <c r="G5366">
        <v>5.6533333333333298</v>
      </c>
    </row>
    <row r="5367" spans="1:7" x14ac:dyDescent="0.35">
      <c r="A5367" t="s">
        <v>847</v>
      </c>
      <c r="B5367" t="s">
        <v>680</v>
      </c>
      <c r="C5367" s="83">
        <v>46210</v>
      </c>
      <c r="D5367" t="s">
        <v>685</v>
      </c>
      <c r="E5367" t="s">
        <v>311</v>
      </c>
      <c r="F5367">
        <v>12</v>
      </c>
      <c r="G5367">
        <v>14.8434166666667</v>
      </c>
    </row>
    <row r="5368" spans="1:7" x14ac:dyDescent="0.35">
      <c r="A5368" t="s">
        <v>847</v>
      </c>
      <c r="B5368" t="s">
        <v>680</v>
      </c>
      <c r="C5368" s="83">
        <v>46210</v>
      </c>
      <c r="D5368" t="s">
        <v>685</v>
      </c>
      <c r="E5368" t="s">
        <v>739</v>
      </c>
      <c r="F5368">
        <v>5</v>
      </c>
      <c r="G5368">
        <v>4.6687333333333303</v>
      </c>
    </row>
    <row r="5369" spans="1:7" x14ac:dyDescent="0.35">
      <c r="A5369" t="s">
        <v>847</v>
      </c>
      <c r="B5369" t="s">
        <v>680</v>
      </c>
      <c r="C5369" s="83">
        <v>46210</v>
      </c>
      <c r="D5369" t="s">
        <v>685</v>
      </c>
      <c r="E5369" t="s">
        <v>126</v>
      </c>
      <c r="F5369">
        <v>4</v>
      </c>
      <c r="G5369">
        <v>1.50646666666667</v>
      </c>
    </row>
    <row r="5370" spans="1:7" x14ac:dyDescent="0.35">
      <c r="A5370" t="s">
        <v>847</v>
      </c>
      <c r="B5370" t="s">
        <v>680</v>
      </c>
      <c r="C5370" s="83">
        <v>46211</v>
      </c>
      <c r="D5370" t="s">
        <v>681</v>
      </c>
      <c r="E5370" t="s">
        <v>298</v>
      </c>
      <c r="F5370">
        <v>12</v>
      </c>
      <c r="G5370">
        <v>21.0263833333333</v>
      </c>
    </row>
    <row r="5371" spans="1:7" x14ac:dyDescent="0.35">
      <c r="A5371" t="s">
        <v>847</v>
      </c>
      <c r="B5371" t="s">
        <v>680</v>
      </c>
      <c r="C5371" s="83">
        <v>46211</v>
      </c>
      <c r="D5371" t="s">
        <v>681</v>
      </c>
      <c r="E5371" t="s">
        <v>300</v>
      </c>
      <c r="F5371">
        <v>6</v>
      </c>
      <c r="G5371">
        <v>5.50688333333333</v>
      </c>
    </row>
    <row r="5372" spans="1:7" x14ac:dyDescent="0.35">
      <c r="A5372" t="s">
        <v>847</v>
      </c>
      <c r="B5372" t="s">
        <v>680</v>
      </c>
      <c r="C5372" s="83">
        <v>46211</v>
      </c>
      <c r="D5372" t="s">
        <v>681</v>
      </c>
      <c r="E5372" t="s">
        <v>297</v>
      </c>
      <c r="F5372">
        <v>5</v>
      </c>
      <c r="G5372">
        <v>3.99315</v>
      </c>
    </row>
    <row r="5373" spans="1:7" x14ac:dyDescent="0.35">
      <c r="A5373" t="s">
        <v>847</v>
      </c>
      <c r="B5373" t="s">
        <v>680</v>
      </c>
      <c r="C5373" s="83">
        <v>46211</v>
      </c>
      <c r="D5373" t="s">
        <v>683</v>
      </c>
      <c r="E5373" t="s">
        <v>332</v>
      </c>
      <c r="F5373">
        <v>24</v>
      </c>
      <c r="G5373">
        <v>24.8760166666667</v>
      </c>
    </row>
    <row r="5374" spans="1:7" x14ac:dyDescent="0.35">
      <c r="A5374" t="s">
        <v>847</v>
      </c>
      <c r="B5374" t="s">
        <v>680</v>
      </c>
      <c r="C5374" s="83">
        <v>46211</v>
      </c>
      <c r="D5374" t="s">
        <v>683</v>
      </c>
      <c r="E5374" t="s">
        <v>300</v>
      </c>
      <c r="F5374">
        <v>14</v>
      </c>
      <c r="G5374">
        <v>13.178233333333299</v>
      </c>
    </row>
    <row r="5375" spans="1:7" x14ac:dyDescent="0.35">
      <c r="A5375" t="s">
        <v>847</v>
      </c>
      <c r="B5375" t="s">
        <v>680</v>
      </c>
      <c r="C5375" s="83">
        <v>46211</v>
      </c>
      <c r="D5375" t="s">
        <v>683</v>
      </c>
      <c r="E5375" t="s">
        <v>298</v>
      </c>
      <c r="F5375">
        <v>9</v>
      </c>
      <c r="G5375">
        <v>17.1681666666667</v>
      </c>
    </row>
    <row r="5376" spans="1:7" x14ac:dyDescent="0.35">
      <c r="A5376" t="s">
        <v>847</v>
      </c>
      <c r="B5376" t="s">
        <v>680</v>
      </c>
      <c r="C5376" s="83">
        <v>46211</v>
      </c>
      <c r="D5376" t="s">
        <v>689</v>
      </c>
      <c r="E5376" t="s">
        <v>300</v>
      </c>
      <c r="F5376">
        <v>14</v>
      </c>
      <c r="G5376">
        <v>8.4903499999999994</v>
      </c>
    </row>
    <row r="5377" spans="1:7" x14ac:dyDescent="0.35">
      <c r="A5377" t="s">
        <v>847</v>
      </c>
      <c r="B5377" t="s">
        <v>680</v>
      </c>
      <c r="C5377" s="83">
        <v>46211</v>
      </c>
      <c r="D5377" t="s">
        <v>689</v>
      </c>
      <c r="E5377" t="s">
        <v>296</v>
      </c>
      <c r="F5377">
        <v>12</v>
      </c>
      <c r="G5377">
        <v>7.5060000000000002</v>
      </c>
    </row>
    <row r="5378" spans="1:7" x14ac:dyDescent="0.35">
      <c r="A5378" t="s">
        <v>847</v>
      </c>
      <c r="B5378" t="s">
        <v>680</v>
      </c>
      <c r="C5378" s="83">
        <v>46211</v>
      </c>
      <c r="D5378" t="s">
        <v>689</v>
      </c>
      <c r="E5378" t="s">
        <v>298</v>
      </c>
      <c r="F5378">
        <v>11</v>
      </c>
      <c r="G5378">
        <v>5.9998166666666704</v>
      </c>
    </row>
    <row r="5379" spans="1:7" x14ac:dyDescent="0.35">
      <c r="A5379" t="s">
        <v>847</v>
      </c>
      <c r="B5379" t="s">
        <v>680</v>
      </c>
      <c r="C5379" s="83">
        <v>46211</v>
      </c>
      <c r="D5379" t="s">
        <v>684</v>
      </c>
      <c r="E5379" t="s">
        <v>300</v>
      </c>
      <c r="F5379">
        <v>4</v>
      </c>
      <c r="G5379">
        <v>1.00685</v>
      </c>
    </row>
    <row r="5380" spans="1:7" x14ac:dyDescent="0.35">
      <c r="A5380" t="s">
        <v>847</v>
      </c>
      <c r="B5380" t="s">
        <v>680</v>
      </c>
      <c r="C5380" s="83">
        <v>46211</v>
      </c>
      <c r="D5380" t="s">
        <v>684</v>
      </c>
      <c r="E5380" t="s">
        <v>298</v>
      </c>
      <c r="F5380">
        <v>4</v>
      </c>
      <c r="G5380">
        <v>4.4935</v>
      </c>
    </row>
    <row r="5381" spans="1:7" x14ac:dyDescent="0.35">
      <c r="A5381" t="s">
        <v>847</v>
      </c>
      <c r="B5381" t="s">
        <v>680</v>
      </c>
      <c r="C5381" s="83">
        <v>46211</v>
      </c>
      <c r="D5381" t="s">
        <v>684</v>
      </c>
      <c r="E5381" t="s">
        <v>297</v>
      </c>
      <c r="F5381">
        <v>2</v>
      </c>
      <c r="G5381">
        <v>0.16694999999999999</v>
      </c>
    </row>
    <row r="5382" spans="1:7" x14ac:dyDescent="0.35">
      <c r="A5382" t="s">
        <v>847</v>
      </c>
      <c r="B5382" t="s">
        <v>680</v>
      </c>
      <c r="C5382" s="83">
        <v>46211</v>
      </c>
      <c r="D5382" t="s">
        <v>687</v>
      </c>
      <c r="E5382" t="s">
        <v>717</v>
      </c>
      <c r="F5382">
        <v>3</v>
      </c>
      <c r="G5382">
        <v>0.66146666666666698</v>
      </c>
    </row>
    <row r="5383" spans="1:7" x14ac:dyDescent="0.35">
      <c r="A5383" t="s">
        <v>847</v>
      </c>
      <c r="B5383" t="s">
        <v>680</v>
      </c>
      <c r="C5383" s="83">
        <v>46211</v>
      </c>
      <c r="D5383" t="s">
        <v>687</v>
      </c>
      <c r="E5383" t="s">
        <v>755</v>
      </c>
      <c r="F5383">
        <v>2</v>
      </c>
      <c r="G5383">
        <v>1.32676666666667</v>
      </c>
    </row>
    <row r="5384" spans="1:7" x14ac:dyDescent="0.35">
      <c r="A5384" t="s">
        <v>847</v>
      </c>
      <c r="B5384" t="s">
        <v>680</v>
      </c>
      <c r="C5384" s="83">
        <v>46211</v>
      </c>
      <c r="D5384" t="s">
        <v>687</v>
      </c>
      <c r="E5384" t="s">
        <v>718</v>
      </c>
      <c r="F5384">
        <v>2</v>
      </c>
      <c r="G5384">
        <v>1.4991333333333301</v>
      </c>
    </row>
    <row r="5385" spans="1:7" x14ac:dyDescent="0.35">
      <c r="A5385" t="s">
        <v>847</v>
      </c>
      <c r="B5385" t="s">
        <v>680</v>
      </c>
      <c r="C5385" s="83">
        <v>46211</v>
      </c>
      <c r="D5385" t="s">
        <v>688</v>
      </c>
      <c r="E5385" t="s">
        <v>311</v>
      </c>
      <c r="F5385">
        <v>18</v>
      </c>
      <c r="G5385">
        <v>12.5018166666667</v>
      </c>
    </row>
    <row r="5386" spans="1:7" x14ac:dyDescent="0.35">
      <c r="A5386" t="s">
        <v>847</v>
      </c>
      <c r="B5386" t="s">
        <v>680</v>
      </c>
      <c r="C5386" s="83">
        <v>46211</v>
      </c>
      <c r="D5386" t="s">
        <v>688</v>
      </c>
      <c r="E5386" t="s">
        <v>739</v>
      </c>
      <c r="F5386">
        <v>14</v>
      </c>
      <c r="G5386">
        <v>16.021149999999999</v>
      </c>
    </row>
    <row r="5387" spans="1:7" x14ac:dyDescent="0.35">
      <c r="A5387" t="s">
        <v>847</v>
      </c>
      <c r="B5387" t="s">
        <v>680</v>
      </c>
      <c r="C5387" s="83">
        <v>46211</v>
      </c>
      <c r="D5387" t="s">
        <v>688</v>
      </c>
      <c r="E5387" t="s">
        <v>316</v>
      </c>
      <c r="F5387">
        <v>4</v>
      </c>
      <c r="G5387">
        <v>1.33463333333333</v>
      </c>
    </row>
    <row r="5388" spans="1:7" x14ac:dyDescent="0.35">
      <c r="A5388" t="s">
        <v>847</v>
      </c>
      <c r="B5388" t="s">
        <v>680</v>
      </c>
      <c r="C5388" s="83">
        <v>46211</v>
      </c>
      <c r="D5388" t="s">
        <v>690</v>
      </c>
      <c r="E5388" t="s">
        <v>311</v>
      </c>
      <c r="F5388">
        <v>15</v>
      </c>
      <c r="G5388">
        <v>9.5144833333333292</v>
      </c>
    </row>
    <row r="5389" spans="1:7" x14ac:dyDescent="0.35">
      <c r="A5389" t="s">
        <v>847</v>
      </c>
      <c r="B5389" t="s">
        <v>680</v>
      </c>
      <c r="C5389" s="83">
        <v>46211</v>
      </c>
      <c r="D5389" t="s">
        <v>690</v>
      </c>
      <c r="E5389" t="s">
        <v>312</v>
      </c>
      <c r="F5389">
        <v>7</v>
      </c>
      <c r="G5389">
        <v>2.3325499999999999</v>
      </c>
    </row>
    <row r="5390" spans="1:7" x14ac:dyDescent="0.35">
      <c r="A5390" t="s">
        <v>847</v>
      </c>
      <c r="B5390" t="s">
        <v>680</v>
      </c>
      <c r="C5390" s="83">
        <v>46211</v>
      </c>
      <c r="D5390" t="s">
        <v>690</v>
      </c>
      <c r="E5390" t="s">
        <v>734</v>
      </c>
      <c r="F5390">
        <v>3</v>
      </c>
      <c r="G5390">
        <v>1.18248333333333</v>
      </c>
    </row>
    <row r="5391" spans="1:7" x14ac:dyDescent="0.35">
      <c r="A5391" t="s">
        <v>847</v>
      </c>
      <c r="B5391" t="s">
        <v>680</v>
      </c>
      <c r="C5391" s="83">
        <v>46211</v>
      </c>
      <c r="D5391" t="s">
        <v>685</v>
      </c>
      <c r="E5391" t="s">
        <v>311</v>
      </c>
      <c r="F5391">
        <v>17</v>
      </c>
      <c r="G5391">
        <v>10.1710166666667</v>
      </c>
    </row>
    <row r="5392" spans="1:7" x14ac:dyDescent="0.35">
      <c r="A5392" t="s">
        <v>847</v>
      </c>
      <c r="B5392" t="s">
        <v>680</v>
      </c>
      <c r="C5392" s="83">
        <v>46211</v>
      </c>
      <c r="D5392" t="s">
        <v>685</v>
      </c>
      <c r="E5392" t="s">
        <v>739</v>
      </c>
      <c r="F5392">
        <v>7</v>
      </c>
      <c r="G5392">
        <v>13.168566666666701</v>
      </c>
    </row>
    <row r="5393" spans="1:7" x14ac:dyDescent="0.35">
      <c r="A5393" t="s">
        <v>847</v>
      </c>
      <c r="B5393" t="s">
        <v>680</v>
      </c>
      <c r="C5393" s="83">
        <v>46211</v>
      </c>
      <c r="D5393" t="s">
        <v>685</v>
      </c>
      <c r="E5393" t="s">
        <v>312</v>
      </c>
      <c r="F5393">
        <v>4</v>
      </c>
      <c r="G5393">
        <v>3.3345833333333301</v>
      </c>
    </row>
    <row r="5394" spans="1:7" x14ac:dyDescent="0.35">
      <c r="A5394" t="s">
        <v>847</v>
      </c>
      <c r="B5394" t="s">
        <v>680</v>
      </c>
      <c r="C5394" s="83">
        <v>46211</v>
      </c>
      <c r="D5394" t="s">
        <v>682</v>
      </c>
      <c r="E5394" t="s">
        <v>311</v>
      </c>
      <c r="F5394">
        <v>10</v>
      </c>
      <c r="G5394">
        <v>6.3420833333333304</v>
      </c>
    </row>
    <row r="5395" spans="1:7" x14ac:dyDescent="0.35">
      <c r="A5395" t="s">
        <v>847</v>
      </c>
      <c r="B5395" t="s">
        <v>680</v>
      </c>
      <c r="C5395" s="83">
        <v>46211</v>
      </c>
      <c r="D5395" t="s">
        <v>682</v>
      </c>
      <c r="E5395" t="s">
        <v>720</v>
      </c>
      <c r="F5395">
        <v>3</v>
      </c>
      <c r="G5395">
        <v>0.826633333333333</v>
      </c>
    </row>
    <row r="5396" spans="1:7" x14ac:dyDescent="0.35">
      <c r="A5396" t="s">
        <v>847</v>
      </c>
      <c r="B5396" t="s">
        <v>680</v>
      </c>
      <c r="C5396" s="83">
        <v>46211</v>
      </c>
      <c r="D5396" t="s">
        <v>682</v>
      </c>
      <c r="E5396" t="s">
        <v>772</v>
      </c>
      <c r="F5396">
        <v>2</v>
      </c>
      <c r="G5396">
        <v>0.17196666666666699</v>
      </c>
    </row>
    <row r="5397" spans="1:7" x14ac:dyDescent="0.35">
      <c r="A5397" t="s">
        <v>847</v>
      </c>
      <c r="B5397" t="s">
        <v>680</v>
      </c>
      <c r="C5397" s="83">
        <v>46211</v>
      </c>
      <c r="D5397" t="s">
        <v>686</v>
      </c>
      <c r="E5397" t="s">
        <v>789</v>
      </c>
      <c r="F5397">
        <v>3</v>
      </c>
      <c r="G5397">
        <v>1.6623666666666701</v>
      </c>
    </row>
    <row r="5398" spans="1:7" x14ac:dyDescent="0.35">
      <c r="A5398" t="s">
        <v>847</v>
      </c>
      <c r="B5398" t="s">
        <v>680</v>
      </c>
      <c r="C5398" s="83">
        <v>46211</v>
      </c>
      <c r="D5398" t="s">
        <v>686</v>
      </c>
      <c r="E5398" t="s">
        <v>554</v>
      </c>
      <c r="F5398">
        <v>3</v>
      </c>
      <c r="G5398">
        <v>1.8273999999999999</v>
      </c>
    </row>
    <row r="5399" spans="1:7" x14ac:dyDescent="0.35">
      <c r="A5399" t="s">
        <v>847</v>
      </c>
      <c r="B5399" t="s">
        <v>680</v>
      </c>
      <c r="C5399" s="83">
        <v>46211</v>
      </c>
      <c r="D5399" t="s">
        <v>686</v>
      </c>
      <c r="E5399" t="s">
        <v>790</v>
      </c>
      <c r="F5399">
        <v>3</v>
      </c>
      <c r="G5399">
        <v>6.0113166666666702</v>
      </c>
    </row>
    <row r="5400" spans="1:7" x14ac:dyDescent="0.35">
      <c r="A5400" t="s">
        <v>847</v>
      </c>
      <c r="B5400" t="s">
        <v>680</v>
      </c>
      <c r="C5400" s="83">
        <v>46212</v>
      </c>
      <c r="D5400" t="s">
        <v>681</v>
      </c>
      <c r="E5400" t="s">
        <v>298</v>
      </c>
      <c r="F5400">
        <v>16</v>
      </c>
      <c r="G5400">
        <v>17.674983333333302</v>
      </c>
    </row>
    <row r="5401" spans="1:7" x14ac:dyDescent="0.35">
      <c r="A5401" t="s">
        <v>847</v>
      </c>
      <c r="B5401" t="s">
        <v>680</v>
      </c>
      <c r="C5401" s="83">
        <v>46212</v>
      </c>
      <c r="D5401" t="s">
        <v>681</v>
      </c>
      <c r="E5401" t="s">
        <v>297</v>
      </c>
      <c r="F5401">
        <v>16</v>
      </c>
      <c r="G5401">
        <v>9.51718333333333</v>
      </c>
    </row>
    <row r="5402" spans="1:7" x14ac:dyDescent="0.35">
      <c r="A5402" t="s">
        <v>847</v>
      </c>
      <c r="B5402" t="s">
        <v>680</v>
      </c>
      <c r="C5402" s="83">
        <v>46212</v>
      </c>
      <c r="D5402" t="s">
        <v>681</v>
      </c>
      <c r="E5402" t="s">
        <v>296</v>
      </c>
      <c r="F5402">
        <v>12</v>
      </c>
      <c r="G5402">
        <v>6.1597999999999997</v>
      </c>
    </row>
    <row r="5403" spans="1:7" x14ac:dyDescent="0.35">
      <c r="A5403" t="s">
        <v>847</v>
      </c>
      <c r="B5403" t="s">
        <v>680</v>
      </c>
      <c r="C5403" s="83">
        <v>46212</v>
      </c>
      <c r="D5403" t="s">
        <v>683</v>
      </c>
      <c r="E5403" t="s">
        <v>334</v>
      </c>
      <c r="F5403">
        <v>19</v>
      </c>
      <c r="G5403">
        <v>9.3174666666666699</v>
      </c>
    </row>
    <row r="5404" spans="1:7" x14ac:dyDescent="0.35">
      <c r="A5404" t="s">
        <v>847</v>
      </c>
      <c r="B5404" t="s">
        <v>680</v>
      </c>
      <c r="C5404" s="83">
        <v>46212</v>
      </c>
      <c r="D5404" t="s">
        <v>683</v>
      </c>
      <c r="E5404" t="s">
        <v>728</v>
      </c>
      <c r="F5404">
        <v>13</v>
      </c>
      <c r="G5404">
        <v>8.1849666666666696</v>
      </c>
    </row>
    <row r="5405" spans="1:7" x14ac:dyDescent="0.35">
      <c r="A5405" t="s">
        <v>847</v>
      </c>
      <c r="B5405" t="s">
        <v>680</v>
      </c>
      <c r="C5405" s="83">
        <v>46212</v>
      </c>
      <c r="D5405" t="s">
        <v>683</v>
      </c>
      <c r="E5405" t="s">
        <v>727</v>
      </c>
      <c r="F5405">
        <v>10</v>
      </c>
      <c r="G5405">
        <v>9.4867166666666698</v>
      </c>
    </row>
    <row r="5406" spans="1:7" x14ac:dyDescent="0.35">
      <c r="A5406" t="s">
        <v>847</v>
      </c>
      <c r="B5406" t="s">
        <v>680</v>
      </c>
      <c r="C5406" s="83">
        <v>46212</v>
      </c>
      <c r="D5406" t="s">
        <v>689</v>
      </c>
      <c r="E5406" t="s">
        <v>296</v>
      </c>
      <c r="F5406">
        <v>23</v>
      </c>
      <c r="G5406">
        <v>7.1307666666666698</v>
      </c>
    </row>
    <row r="5407" spans="1:7" x14ac:dyDescent="0.35">
      <c r="A5407" t="s">
        <v>847</v>
      </c>
      <c r="B5407" t="s">
        <v>680</v>
      </c>
      <c r="C5407" s="83">
        <v>46212</v>
      </c>
      <c r="D5407" t="s">
        <v>689</v>
      </c>
      <c r="E5407" t="s">
        <v>298</v>
      </c>
      <c r="F5407">
        <v>18</v>
      </c>
      <c r="G5407">
        <v>12.6749833333333</v>
      </c>
    </row>
    <row r="5408" spans="1:7" x14ac:dyDescent="0.35">
      <c r="A5408" t="s">
        <v>847</v>
      </c>
      <c r="B5408" t="s">
        <v>680</v>
      </c>
      <c r="C5408" s="83">
        <v>46212</v>
      </c>
      <c r="D5408" t="s">
        <v>689</v>
      </c>
      <c r="E5408" t="s">
        <v>300</v>
      </c>
      <c r="F5408">
        <v>9</v>
      </c>
      <c r="G5408">
        <v>5.9974166666666697</v>
      </c>
    </row>
    <row r="5409" spans="1:7" x14ac:dyDescent="0.35">
      <c r="A5409" t="s">
        <v>847</v>
      </c>
      <c r="B5409" t="s">
        <v>680</v>
      </c>
      <c r="C5409" s="83">
        <v>46212</v>
      </c>
      <c r="D5409" t="s">
        <v>684</v>
      </c>
      <c r="E5409" t="s">
        <v>728</v>
      </c>
      <c r="F5409">
        <v>11</v>
      </c>
      <c r="G5409">
        <v>6.3390666666666702</v>
      </c>
    </row>
    <row r="5410" spans="1:7" x14ac:dyDescent="0.35">
      <c r="A5410" t="s">
        <v>847</v>
      </c>
      <c r="B5410" t="s">
        <v>680</v>
      </c>
      <c r="C5410" s="83">
        <v>46212</v>
      </c>
      <c r="D5410" t="s">
        <v>684</v>
      </c>
      <c r="E5410" t="s">
        <v>297</v>
      </c>
      <c r="F5410">
        <v>6</v>
      </c>
      <c r="G5410">
        <v>4.6778500000000003</v>
      </c>
    </row>
    <row r="5411" spans="1:7" x14ac:dyDescent="0.35">
      <c r="A5411" t="s">
        <v>847</v>
      </c>
      <c r="B5411" t="s">
        <v>680</v>
      </c>
      <c r="C5411" s="83">
        <v>46212</v>
      </c>
      <c r="D5411" t="s">
        <v>684</v>
      </c>
      <c r="E5411" t="s">
        <v>298</v>
      </c>
      <c r="F5411">
        <v>6</v>
      </c>
      <c r="G5411">
        <v>7.32125</v>
      </c>
    </row>
    <row r="5412" spans="1:7" x14ac:dyDescent="0.35">
      <c r="A5412" t="s">
        <v>847</v>
      </c>
      <c r="B5412" t="s">
        <v>680</v>
      </c>
      <c r="C5412" s="83">
        <v>46212</v>
      </c>
      <c r="D5412" t="s">
        <v>687</v>
      </c>
      <c r="E5412" t="s">
        <v>718</v>
      </c>
      <c r="F5412">
        <v>7</v>
      </c>
      <c r="G5412">
        <v>6.3441000000000001</v>
      </c>
    </row>
    <row r="5413" spans="1:7" x14ac:dyDescent="0.35">
      <c r="A5413" t="s">
        <v>847</v>
      </c>
      <c r="B5413" t="s">
        <v>680</v>
      </c>
      <c r="C5413" s="83">
        <v>46212</v>
      </c>
      <c r="D5413" t="s">
        <v>687</v>
      </c>
      <c r="E5413" t="s">
        <v>717</v>
      </c>
      <c r="F5413">
        <v>5</v>
      </c>
      <c r="G5413">
        <v>5.1669666666666698</v>
      </c>
    </row>
    <row r="5414" spans="1:7" x14ac:dyDescent="0.35">
      <c r="A5414" t="s">
        <v>847</v>
      </c>
      <c r="B5414" t="s">
        <v>680</v>
      </c>
      <c r="C5414" s="83">
        <v>46212</v>
      </c>
      <c r="D5414" t="s">
        <v>687</v>
      </c>
      <c r="E5414" t="s">
        <v>733</v>
      </c>
      <c r="F5414">
        <v>3</v>
      </c>
      <c r="G5414">
        <v>2.6656833333333299</v>
      </c>
    </row>
    <row r="5415" spans="1:7" x14ac:dyDescent="0.35">
      <c r="A5415" t="s">
        <v>847</v>
      </c>
      <c r="B5415" t="s">
        <v>680</v>
      </c>
      <c r="C5415" s="83">
        <v>46212</v>
      </c>
      <c r="D5415" t="s">
        <v>688</v>
      </c>
      <c r="E5415" t="s">
        <v>311</v>
      </c>
      <c r="F5415">
        <v>14</v>
      </c>
      <c r="G5415">
        <v>48.333933333333299</v>
      </c>
    </row>
    <row r="5416" spans="1:7" x14ac:dyDescent="0.35">
      <c r="A5416" t="s">
        <v>847</v>
      </c>
      <c r="B5416" t="s">
        <v>680</v>
      </c>
      <c r="C5416" s="83">
        <v>46212</v>
      </c>
      <c r="D5416" t="s">
        <v>688</v>
      </c>
      <c r="E5416" t="s">
        <v>720</v>
      </c>
      <c r="F5416">
        <v>8</v>
      </c>
      <c r="G5416">
        <v>4.8250500000000001</v>
      </c>
    </row>
    <row r="5417" spans="1:7" x14ac:dyDescent="0.35">
      <c r="A5417" t="s">
        <v>847</v>
      </c>
      <c r="B5417" t="s">
        <v>680</v>
      </c>
      <c r="C5417" s="83">
        <v>46212</v>
      </c>
      <c r="D5417" t="s">
        <v>688</v>
      </c>
      <c r="E5417" t="s">
        <v>316</v>
      </c>
      <c r="F5417">
        <v>2</v>
      </c>
      <c r="G5417">
        <v>2.4989499999999998</v>
      </c>
    </row>
    <row r="5418" spans="1:7" x14ac:dyDescent="0.35">
      <c r="A5418" t="s">
        <v>847</v>
      </c>
      <c r="B5418" t="s">
        <v>680</v>
      </c>
      <c r="C5418" s="83">
        <v>46212</v>
      </c>
      <c r="D5418" t="s">
        <v>690</v>
      </c>
      <c r="E5418" t="s">
        <v>312</v>
      </c>
      <c r="F5418">
        <v>11</v>
      </c>
      <c r="G5418">
        <v>8.1430333333333405</v>
      </c>
    </row>
    <row r="5419" spans="1:7" x14ac:dyDescent="0.35">
      <c r="A5419" t="s">
        <v>847</v>
      </c>
      <c r="B5419" t="s">
        <v>680</v>
      </c>
      <c r="C5419" s="83">
        <v>46212</v>
      </c>
      <c r="D5419" t="s">
        <v>690</v>
      </c>
      <c r="E5419" t="s">
        <v>311</v>
      </c>
      <c r="F5419">
        <v>4</v>
      </c>
      <c r="G5419">
        <v>2.0094333333333299</v>
      </c>
    </row>
    <row r="5420" spans="1:7" x14ac:dyDescent="0.35">
      <c r="A5420" t="s">
        <v>847</v>
      </c>
      <c r="B5420" t="s">
        <v>680</v>
      </c>
      <c r="C5420" s="83">
        <v>46212</v>
      </c>
      <c r="D5420" t="s">
        <v>690</v>
      </c>
      <c r="E5420" t="s">
        <v>720</v>
      </c>
      <c r="F5420">
        <v>4</v>
      </c>
      <c r="G5420">
        <v>5.3344500000000004</v>
      </c>
    </row>
    <row r="5421" spans="1:7" x14ac:dyDescent="0.35">
      <c r="A5421" t="s">
        <v>847</v>
      </c>
      <c r="B5421" t="s">
        <v>680</v>
      </c>
      <c r="C5421" s="83">
        <v>46212</v>
      </c>
      <c r="D5421" t="s">
        <v>685</v>
      </c>
      <c r="E5421" t="s">
        <v>640</v>
      </c>
      <c r="F5421">
        <v>7</v>
      </c>
      <c r="G5421">
        <v>10.502700000000001</v>
      </c>
    </row>
    <row r="5422" spans="1:7" x14ac:dyDescent="0.35">
      <c r="A5422" t="s">
        <v>847</v>
      </c>
      <c r="B5422" t="s">
        <v>680</v>
      </c>
      <c r="C5422" s="83">
        <v>46212</v>
      </c>
      <c r="D5422" t="s">
        <v>685</v>
      </c>
      <c r="E5422" t="s">
        <v>720</v>
      </c>
      <c r="F5422">
        <v>7</v>
      </c>
      <c r="G5422">
        <v>4.8452999999999999</v>
      </c>
    </row>
    <row r="5423" spans="1:7" x14ac:dyDescent="0.35">
      <c r="A5423" t="s">
        <v>847</v>
      </c>
      <c r="B5423" t="s">
        <v>680</v>
      </c>
      <c r="C5423" s="83">
        <v>46212</v>
      </c>
      <c r="D5423" t="s">
        <v>685</v>
      </c>
      <c r="E5423" t="s">
        <v>126</v>
      </c>
      <c r="F5423">
        <v>7</v>
      </c>
      <c r="G5423">
        <v>8.4915000000000003</v>
      </c>
    </row>
    <row r="5424" spans="1:7" x14ac:dyDescent="0.35">
      <c r="A5424" t="s">
        <v>847</v>
      </c>
      <c r="B5424" t="s">
        <v>680</v>
      </c>
      <c r="C5424" s="83">
        <v>46212</v>
      </c>
      <c r="D5424" t="s">
        <v>682</v>
      </c>
      <c r="E5424" t="s">
        <v>311</v>
      </c>
      <c r="F5424">
        <v>5</v>
      </c>
      <c r="G5424">
        <v>4.5002333333333304</v>
      </c>
    </row>
    <row r="5425" spans="1:7" x14ac:dyDescent="0.35">
      <c r="A5425" t="s">
        <v>847</v>
      </c>
      <c r="B5425" t="s">
        <v>680</v>
      </c>
      <c r="C5425" s="83">
        <v>46212</v>
      </c>
      <c r="D5425" t="s">
        <v>682</v>
      </c>
      <c r="E5425" t="s">
        <v>321</v>
      </c>
      <c r="F5425">
        <v>2</v>
      </c>
      <c r="G5425">
        <v>0.82704999999999995</v>
      </c>
    </row>
    <row r="5426" spans="1:7" x14ac:dyDescent="0.35">
      <c r="A5426" t="s">
        <v>847</v>
      </c>
      <c r="B5426" t="s">
        <v>680</v>
      </c>
      <c r="C5426" s="83">
        <v>46212</v>
      </c>
      <c r="D5426" t="s">
        <v>686</v>
      </c>
      <c r="E5426" t="s">
        <v>791</v>
      </c>
      <c r="F5426">
        <v>10</v>
      </c>
      <c r="G5426">
        <v>11.660399999999999</v>
      </c>
    </row>
    <row r="5427" spans="1:7" x14ac:dyDescent="0.35">
      <c r="A5427" t="s">
        <v>847</v>
      </c>
      <c r="B5427" t="s">
        <v>680</v>
      </c>
      <c r="C5427" s="83">
        <v>46212</v>
      </c>
      <c r="D5427" t="s">
        <v>686</v>
      </c>
      <c r="E5427" t="s">
        <v>789</v>
      </c>
      <c r="F5427">
        <v>7</v>
      </c>
      <c r="G5427">
        <v>5.5078666666666702</v>
      </c>
    </row>
    <row r="5428" spans="1:7" x14ac:dyDescent="0.35">
      <c r="A5428" t="s">
        <v>847</v>
      </c>
      <c r="B5428" t="s">
        <v>680</v>
      </c>
      <c r="C5428" s="83">
        <v>46212</v>
      </c>
      <c r="D5428" t="s">
        <v>686</v>
      </c>
      <c r="E5428" t="s">
        <v>554</v>
      </c>
      <c r="F5428">
        <v>4</v>
      </c>
      <c r="G5428">
        <v>3.49468333333333</v>
      </c>
    </row>
    <row r="5429" spans="1:7" x14ac:dyDescent="0.35">
      <c r="A5429" t="s">
        <v>847</v>
      </c>
      <c r="B5429" t="s">
        <v>680</v>
      </c>
      <c r="C5429" s="83">
        <v>46213</v>
      </c>
      <c r="D5429" t="s">
        <v>681</v>
      </c>
      <c r="E5429" t="s">
        <v>298</v>
      </c>
      <c r="F5429">
        <v>22</v>
      </c>
      <c r="G5429">
        <v>38.024933333333301</v>
      </c>
    </row>
    <row r="5430" spans="1:7" x14ac:dyDescent="0.35">
      <c r="A5430" t="s">
        <v>847</v>
      </c>
      <c r="B5430" t="s">
        <v>680</v>
      </c>
      <c r="C5430" s="83">
        <v>46213</v>
      </c>
      <c r="D5430" t="s">
        <v>681</v>
      </c>
      <c r="E5430" t="s">
        <v>297</v>
      </c>
      <c r="F5430">
        <v>11</v>
      </c>
      <c r="G5430">
        <v>3.9975666666666698</v>
      </c>
    </row>
    <row r="5431" spans="1:7" x14ac:dyDescent="0.35">
      <c r="A5431" t="s">
        <v>847</v>
      </c>
      <c r="B5431" t="s">
        <v>680</v>
      </c>
      <c r="C5431" s="83">
        <v>46213</v>
      </c>
      <c r="D5431" t="s">
        <v>681</v>
      </c>
      <c r="E5431" t="s">
        <v>296</v>
      </c>
      <c r="F5431">
        <v>7</v>
      </c>
      <c r="G5431">
        <v>3.00095</v>
      </c>
    </row>
    <row r="5432" spans="1:7" x14ac:dyDescent="0.35">
      <c r="A5432" t="s">
        <v>847</v>
      </c>
      <c r="B5432" t="s">
        <v>680</v>
      </c>
      <c r="C5432" s="83">
        <v>46213</v>
      </c>
      <c r="D5432" t="s">
        <v>683</v>
      </c>
      <c r="E5432" t="s">
        <v>727</v>
      </c>
      <c r="F5432">
        <v>27</v>
      </c>
      <c r="G5432">
        <v>25.6010666666667</v>
      </c>
    </row>
    <row r="5433" spans="1:7" x14ac:dyDescent="0.35">
      <c r="A5433" t="s">
        <v>847</v>
      </c>
      <c r="B5433" t="s">
        <v>680</v>
      </c>
      <c r="C5433" s="83">
        <v>46213</v>
      </c>
      <c r="D5433" t="s">
        <v>683</v>
      </c>
      <c r="E5433" t="s">
        <v>334</v>
      </c>
      <c r="F5433">
        <v>12</v>
      </c>
      <c r="G5433">
        <v>5.9826833333333296</v>
      </c>
    </row>
    <row r="5434" spans="1:7" x14ac:dyDescent="0.35">
      <c r="A5434" t="s">
        <v>847</v>
      </c>
      <c r="B5434" t="s">
        <v>680</v>
      </c>
      <c r="C5434" s="83">
        <v>46213</v>
      </c>
      <c r="D5434" t="s">
        <v>683</v>
      </c>
      <c r="E5434" t="s">
        <v>298</v>
      </c>
      <c r="F5434">
        <v>11</v>
      </c>
      <c r="G5434">
        <v>10.481783333333301</v>
      </c>
    </row>
    <row r="5435" spans="1:7" x14ac:dyDescent="0.35">
      <c r="A5435" t="s">
        <v>847</v>
      </c>
      <c r="B5435" t="s">
        <v>680</v>
      </c>
      <c r="C5435" s="83">
        <v>46213</v>
      </c>
      <c r="D5435" t="s">
        <v>689</v>
      </c>
      <c r="E5435" t="s">
        <v>296</v>
      </c>
      <c r="F5435">
        <v>34</v>
      </c>
      <c r="G5435">
        <v>17.35595</v>
      </c>
    </row>
    <row r="5436" spans="1:7" x14ac:dyDescent="0.35">
      <c r="A5436" t="s">
        <v>847</v>
      </c>
      <c r="B5436" t="s">
        <v>680</v>
      </c>
      <c r="C5436" s="83">
        <v>46213</v>
      </c>
      <c r="D5436" t="s">
        <v>689</v>
      </c>
      <c r="E5436" t="s">
        <v>298</v>
      </c>
      <c r="F5436">
        <v>30</v>
      </c>
      <c r="G5436">
        <v>30.674716666666701</v>
      </c>
    </row>
    <row r="5437" spans="1:7" x14ac:dyDescent="0.35">
      <c r="A5437" t="s">
        <v>847</v>
      </c>
      <c r="B5437" t="s">
        <v>680</v>
      </c>
      <c r="C5437" s="83">
        <v>46213</v>
      </c>
      <c r="D5437" t="s">
        <v>689</v>
      </c>
      <c r="E5437" t="s">
        <v>297</v>
      </c>
      <c r="F5437">
        <v>10</v>
      </c>
      <c r="G5437">
        <v>8.8458333333333297</v>
      </c>
    </row>
    <row r="5438" spans="1:7" x14ac:dyDescent="0.35">
      <c r="A5438" t="s">
        <v>847</v>
      </c>
      <c r="B5438" t="s">
        <v>680</v>
      </c>
      <c r="C5438" s="83">
        <v>46213</v>
      </c>
      <c r="D5438" t="s">
        <v>684</v>
      </c>
      <c r="E5438" t="s">
        <v>298</v>
      </c>
      <c r="F5438">
        <v>10</v>
      </c>
      <c r="G5438">
        <v>9.3672000000000004</v>
      </c>
    </row>
    <row r="5439" spans="1:7" x14ac:dyDescent="0.35">
      <c r="A5439" t="s">
        <v>847</v>
      </c>
      <c r="B5439" t="s">
        <v>680</v>
      </c>
      <c r="C5439" s="83">
        <v>46213</v>
      </c>
      <c r="D5439" t="s">
        <v>684</v>
      </c>
      <c r="E5439" t="s">
        <v>728</v>
      </c>
      <c r="F5439">
        <v>5</v>
      </c>
      <c r="G5439">
        <v>2.8401666666666698</v>
      </c>
    </row>
    <row r="5440" spans="1:7" x14ac:dyDescent="0.35">
      <c r="A5440" t="s">
        <v>847</v>
      </c>
      <c r="B5440" t="s">
        <v>680</v>
      </c>
      <c r="C5440" s="83">
        <v>46213</v>
      </c>
      <c r="D5440" t="s">
        <v>684</v>
      </c>
      <c r="E5440" t="s">
        <v>737</v>
      </c>
      <c r="F5440">
        <v>3</v>
      </c>
      <c r="G5440">
        <v>1.4925999999999999</v>
      </c>
    </row>
    <row r="5441" spans="1:7" x14ac:dyDescent="0.35">
      <c r="A5441" t="s">
        <v>847</v>
      </c>
      <c r="B5441" t="s">
        <v>680</v>
      </c>
      <c r="C5441" s="83">
        <v>46213</v>
      </c>
      <c r="D5441" t="s">
        <v>687</v>
      </c>
      <c r="E5441" t="s">
        <v>717</v>
      </c>
      <c r="F5441">
        <v>5</v>
      </c>
      <c r="G5441">
        <v>1.6623666666666701</v>
      </c>
    </row>
    <row r="5442" spans="1:7" x14ac:dyDescent="0.35">
      <c r="A5442" t="s">
        <v>847</v>
      </c>
      <c r="B5442" t="s">
        <v>680</v>
      </c>
      <c r="C5442" s="83">
        <v>46213</v>
      </c>
      <c r="D5442" t="s">
        <v>687</v>
      </c>
      <c r="E5442" t="s">
        <v>752</v>
      </c>
      <c r="F5442">
        <v>3</v>
      </c>
      <c r="G5442">
        <v>1.66671666666667</v>
      </c>
    </row>
    <row r="5443" spans="1:7" x14ac:dyDescent="0.35">
      <c r="A5443" t="s">
        <v>847</v>
      </c>
      <c r="B5443" t="s">
        <v>680</v>
      </c>
      <c r="C5443" s="83">
        <v>46213</v>
      </c>
      <c r="D5443" t="s">
        <v>687</v>
      </c>
      <c r="E5443" t="s">
        <v>718</v>
      </c>
      <c r="F5443">
        <v>3</v>
      </c>
      <c r="G5443">
        <v>0.99873333333333303</v>
      </c>
    </row>
    <row r="5444" spans="1:7" x14ac:dyDescent="0.35">
      <c r="A5444" t="s">
        <v>847</v>
      </c>
      <c r="B5444" t="s">
        <v>680</v>
      </c>
      <c r="C5444" s="83">
        <v>46213</v>
      </c>
      <c r="D5444" t="s">
        <v>688</v>
      </c>
      <c r="E5444" t="s">
        <v>640</v>
      </c>
      <c r="F5444">
        <v>5</v>
      </c>
      <c r="G5444">
        <v>4.3365666666666698</v>
      </c>
    </row>
    <row r="5445" spans="1:7" x14ac:dyDescent="0.35">
      <c r="A5445" t="s">
        <v>847</v>
      </c>
      <c r="B5445" t="s">
        <v>680</v>
      </c>
      <c r="C5445" s="83">
        <v>46213</v>
      </c>
      <c r="D5445" t="s">
        <v>688</v>
      </c>
      <c r="E5445" t="s">
        <v>316</v>
      </c>
      <c r="F5445">
        <v>3</v>
      </c>
      <c r="G5445">
        <v>0.83438333333333303</v>
      </c>
    </row>
    <row r="5446" spans="1:7" x14ac:dyDescent="0.35">
      <c r="A5446" t="s">
        <v>847</v>
      </c>
      <c r="B5446" t="s">
        <v>680</v>
      </c>
      <c r="C5446" s="83">
        <v>46213</v>
      </c>
      <c r="D5446" t="s">
        <v>688</v>
      </c>
      <c r="E5446" t="s">
        <v>311</v>
      </c>
      <c r="F5446">
        <v>3</v>
      </c>
      <c r="G5446">
        <v>1.33368333333333</v>
      </c>
    </row>
    <row r="5447" spans="1:7" x14ac:dyDescent="0.35">
      <c r="A5447" t="s">
        <v>847</v>
      </c>
      <c r="B5447" t="s">
        <v>680</v>
      </c>
      <c r="C5447" s="83">
        <v>46213</v>
      </c>
      <c r="D5447" t="s">
        <v>690</v>
      </c>
      <c r="E5447" t="s">
        <v>316</v>
      </c>
      <c r="F5447">
        <v>10</v>
      </c>
      <c r="G5447">
        <v>5.3063166666666701</v>
      </c>
    </row>
    <row r="5448" spans="1:7" x14ac:dyDescent="0.35">
      <c r="A5448" t="s">
        <v>847</v>
      </c>
      <c r="B5448" t="s">
        <v>680</v>
      </c>
      <c r="C5448" s="83">
        <v>46213</v>
      </c>
      <c r="D5448" t="s">
        <v>690</v>
      </c>
      <c r="E5448" t="s">
        <v>321</v>
      </c>
      <c r="F5448">
        <v>7</v>
      </c>
      <c r="G5448">
        <v>4.34411666666667</v>
      </c>
    </row>
    <row r="5449" spans="1:7" x14ac:dyDescent="0.35">
      <c r="A5449" t="s">
        <v>847</v>
      </c>
      <c r="B5449" t="s">
        <v>680</v>
      </c>
      <c r="C5449" s="83">
        <v>46213</v>
      </c>
      <c r="D5449" t="s">
        <v>690</v>
      </c>
      <c r="E5449" t="s">
        <v>720</v>
      </c>
      <c r="F5449">
        <v>4</v>
      </c>
      <c r="G5449">
        <v>1.76253333333333</v>
      </c>
    </row>
    <row r="5450" spans="1:7" x14ac:dyDescent="0.35">
      <c r="A5450" t="s">
        <v>847</v>
      </c>
      <c r="B5450" t="s">
        <v>680</v>
      </c>
      <c r="C5450" s="83">
        <v>46213</v>
      </c>
      <c r="D5450" t="s">
        <v>685</v>
      </c>
      <c r="E5450" t="s">
        <v>311</v>
      </c>
      <c r="F5450">
        <v>12</v>
      </c>
      <c r="G5450">
        <v>14.014250000000001</v>
      </c>
    </row>
    <row r="5451" spans="1:7" x14ac:dyDescent="0.35">
      <c r="A5451" t="s">
        <v>847</v>
      </c>
      <c r="B5451" t="s">
        <v>680</v>
      </c>
      <c r="C5451" s="83">
        <v>46213</v>
      </c>
      <c r="D5451" t="s">
        <v>685</v>
      </c>
      <c r="E5451" t="s">
        <v>732</v>
      </c>
      <c r="F5451">
        <v>4</v>
      </c>
      <c r="G5451">
        <v>2.5064833333333301</v>
      </c>
    </row>
    <row r="5452" spans="1:7" x14ac:dyDescent="0.35">
      <c r="A5452" t="s">
        <v>847</v>
      </c>
      <c r="B5452" t="s">
        <v>680</v>
      </c>
      <c r="C5452" s="83">
        <v>46213</v>
      </c>
      <c r="D5452" t="s">
        <v>685</v>
      </c>
      <c r="E5452" t="s">
        <v>792</v>
      </c>
      <c r="F5452">
        <v>2</v>
      </c>
      <c r="G5452">
        <v>0.16673333333333301</v>
      </c>
    </row>
    <row r="5453" spans="1:7" x14ac:dyDescent="0.35">
      <c r="A5453" t="s">
        <v>847</v>
      </c>
      <c r="B5453" t="s">
        <v>680</v>
      </c>
      <c r="C5453" s="83">
        <v>46213</v>
      </c>
      <c r="D5453" t="s">
        <v>682</v>
      </c>
      <c r="E5453" t="s">
        <v>793</v>
      </c>
      <c r="F5453">
        <v>4</v>
      </c>
      <c r="G5453">
        <v>2.1694666666666702</v>
      </c>
    </row>
    <row r="5454" spans="1:7" x14ac:dyDescent="0.35">
      <c r="A5454" t="s">
        <v>847</v>
      </c>
      <c r="B5454" t="s">
        <v>680</v>
      </c>
      <c r="C5454" s="83">
        <v>46213</v>
      </c>
      <c r="D5454" t="s">
        <v>682</v>
      </c>
      <c r="E5454" t="s">
        <v>311</v>
      </c>
      <c r="F5454">
        <v>3</v>
      </c>
      <c r="G5454">
        <v>1.66641666666667</v>
      </c>
    </row>
    <row r="5455" spans="1:7" x14ac:dyDescent="0.35">
      <c r="A5455" t="s">
        <v>847</v>
      </c>
      <c r="B5455" t="s">
        <v>680</v>
      </c>
      <c r="C5455" s="83">
        <v>46213</v>
      </c>
      <c r="D5455" t="s">
        <v>682</v>
      </c>
      <c r="E5455" t="s">
        <v>734</v>
      </c>
      <c r="F5455">
        <v>2</v>
      </c>
      <c r="G5455">
        <v>0.17218333333333299</v>
      </c>
    </row>
    <row r="5456" spans="1:7" x14ac:dyDescent="0.35">
      <c r="A5456" t="s">
        <v>847</v>
      </c>
      <c r="B5456" t="s">
        <v>680</v>
      </c>
      <c r="C5456" s="83">
        <v>46213</v>
      </c>
      <c r="D5456" t="s">
        <v>686</v>
      </c>
      <c r="E5456" t="s">
        <v>554</v>
      </c>
      <c r="F5456">
        <v>9</v>
      </c>
      <c r="G5456">
        <v>7.84</v>
      </c>
    </row>
    <row r="5457" spans="1:7" x14ac:dyDescent="0.35">
      <c r="A5457" t="s">
        <v>847</v>
      </c>
      <c r="B5457" t="s">
        <v>680</v>
      </c>
      <c r="C5457" s="83">
        <v>46213</v>
      </c>
      <c r="D5457" t="s">
        <v>686</v>
      </c>
      <c r="E5457" t="s">
        <v>794</v>
      </c>
      <c r="F5457">
        <v>4</v>
      </c>
      <c r="G5457">
        <v>2.8323833333333299</v>
      </c>
    </row>
    <row r="5458" spans="1:7" x14ac:dyDescent="0.35">
      <c r="A5458" t="s">
        <v>847</v>
      </c>
      <c r="B5458" t="s">
        <v>680</v>
      </c>
      <c r="C5458" s="83">
        <v>46213</v>
      </c>
      <c r="D5458" t="s">
        <v>686</v>
      </c>
      <c r="E5458" t="s">
        <v>795</v>
      </c>
      <c r="F5458">
        <v>4</v>
      </c>
      <c r="G5458">
        <v>2.6738</v>
      </c>
    </row>
    <row r="5459" spans="1:7" x14ac:dyDescent="0.35">
      <c r="A5459" t="s">
        <v>847</v>
      </c>
      <c r="B5459" t="s">
        <v>680</v>
      </c>
      <c r="C5459" s="83">
        <v>46214</v>
      </c>
      <c r="D5459" t="s">
        <v>681</v>
      </c>
      <c r="E5459" t="s">
        <v>298</v>
      </c>
      <c r="F5459">
        <v>13</v>
      </c>
      <c r="G5459">
        <v>12.36955</v>
      </c>
    </row>
    <row r="5460" spans="1:7" x14ac:dyDescent="0.35">
      <c r="A5460" t="s">
        <v>847</v>
      </c>
      <c r="B5460" t="s">
        <v>680</v>
      </c>
      <c r="C5460" s="83">
        <v>46214</v>
      </c>
      <c r="D5460" t="s">
        <v>681</v>
      </c>
      <c r="E5460" t="s">
        <v>728</v>
      </c>
      <c r="F5460">
        <v>6</v>
      </c>
      <c r="G5460">
        <v>1.5082</v>
      </c>
    </row>
    <row r="5461" spans="1:7" x14ac:dyDescent="0.35">
      <c r="A5461" t="s">
        <v>847</v>
      </c>
      <c r="B5461" t="s">
        <v>680</v>
      </c>
      <c r="C5461" s="83">
        <v>46214</v>
      </c>
      <c r="D5461" t="s">
        <v>681</v>
      </c>
      <c r="E5461" t="s">
        <v>297</v>
      </c>
      <c r="F5461">
        <v>6</v>
      </c>
      <c r="G5461">
        <v>1.33293333333333</v>
      </c>
    </row>
    <row r="5462" spans="1:7" x14ac:dyDescent="0.35">
      <c r="A5462" t="s">
        <v>847</v>
      </c>
      <c r="B5462" t="s">
        <v>680</v>
      </c>
      <c r="C5462" s="83">
        <v>46214</v>
      </c>
      <c r="D5462" t="s">
        <v>683</v>
      </c>
      <c r="E5462" t="s">
        <v>727</v>
      </c>
      <c r="F5462">
        <v>32</v>
      </c>
      <c r="G5462">
        <v>22.231300000000001</v>
      </c>
    </row>
    <row r="5463" spans="1:7" x14ac:dyDescent="0.35">
      <c r="A5463" t="s">
        <v>847</v>
      </c>
      <c r="B5463" t="s">
        <v>680</v>
      </c>
      <c r="C5463" s="83">
        <v>46214</v>
      </c>
      <c r="D5463" t="s">
        <v>683</v>
      </c>
      <c r="E5463" t="s">
        <v>730</v>
      </c>
      <c r="F5463">
        <v>11</v>
      </c>
      <c r="G5463">
        <v>9.4914000000000005</v>
      </c>
    </row>
    <row r="5464" spans="1:7" x14ac:dyDescent="0.35">
      <c r="A5464" t="s">
        <v>847</v>
      </c>
      <c r="B5464" t="s">
        <v>680</v>
      </c>
      <c r="C5464" s="83">
        <v>46214</v>
      </c>
      <c r="D5464" t="s">
        <v>683</v>
      </c>
      <c r="E5464" t="s">
        <v>334</v>
      </c>
      <c r="F5464">
        <v>9</v>
      </c>
      <c r="G5464">
        <v>4.2774000000000001</v>
      </c>
    </row>
    <row r="5465" spans="1:7" x14ac:dyDescent="0.35">
      <c r="A5465" t="s">
        <v>847</v>
      </c>
      <c r="B5465" t="s">
        <v>680</v>
      </c>
      <c r="C5465" s="83">
        <v>46214</v>
      </c>
      <c r="D5465" t="s">
        <v>689</v>
      </c>
      <c r="E5465" t="s">
        <v>298</v>
      </c>
      <c r="F5465">
        <v>27</v>
      </c>
      <c r="G5465">
        <v>10.76455</v>
      </c>
    </row>
    <row r="5466" spans="1:7" x14ac:dyDescent="0.35">
      <c r="A5466" t="s">
        <v>847</v>
      </c>
      <c r="B5466" t="s">
        <v>680</v>
      </c>
      <c r="C5466" s="83">
        <v>46214</v>
      </c>
      <c r="D5466" t="s">
        <v>689</v>
      </c>
      <c r="E5466" t="s">
        <v>296</v>
      </c>
      <c r="F5466">
        <v>10</v>
      </c>
      <c r="G5466">
        <v>12.675516666666701</v>
      </c>
    </row>
    <row r="5467" spans="1:7" x14ac:dyDescent="0.35">
      <c r="A5467" t="s">
        <v>847</v>
      </c>
      <c r="B5467" t="s">
        <v>680</v>
      </c>
      <c r="C5467" s="83">
        <v>46214</v>
      </c>
      <c r="D5467" t="s">
        <v>689</v>
      </c>
      <c r="E5467" t="s">
        <v>727</v>
      </c>
      <c r="F5467">
        <v>5</v>
      </c>
      <c r="G5467">
        <v>1.5003500000000001</v>
      </c>
    </row>
    <row r="5468" spans="1:7" x14ac:dyDescent="0.35">
      <c r="A5468" t="s">
        <v>847</v>
      </c>
      <c r="B5468" t="s">
        <v>680</v>
      </c>
      <c r="C5468" s="83">
        <v>46214</v>
      </c>
      <c r="D5468" t="s">
        <v>684</v>
      </c>
      <c r="E5468" t="s">
        <v>298</v>
      </c>
      <c r="F5468">
        <v>5</v>
      </c>
      <c r="G5468">
        <v>1.0074333333333301</v>
      </c>
    </row>
    <row r="5469" spans="1:7" x14ac:dyDescent="0.35">
      <c r="A5469" t="s">
        <v>847</v>
      </c>
      <c r="B5469" t="s">
        <v>680</v>
      </c>
      <c r="C5469" s="83">
        <v>46214</v>
      </c>
      <c r="D5469" t="s">
        <v>684</v>
      </c>
      <c r="E5469" t="s">
        <v>296</v>
      </c>
      <c r="F5469">
        <v>3</v>
      </c>
      <c r="G5469">
        <v>0.66721666666666701</v>
      </c>
    </row>
    <row r="5470" spans="1:7" x14ac:dyDescent="0.35">
      <c r="A5470" t="s">
        <v>847</v>
      </c>
      <c r="B5470" t="s">
        <v>680</v>
      </c>
      <c r="C5470" s="83">
        <v>46214</v>
      </c>
      <c r="D5470" t="s">
        <v>684</v>
      </c>
      <c r="E5470" t="s">
        <v>334</v>
      </c>
      <c r="F5470">
        <v>2</v>
      </c>
      <c r="G5470">
        <v>1.16686666666667</v>
      </c>
    </row>
    <row r="5471" spans="1:7" x14ac:dyDescent="0.35">
      <c r="A5471" t="s">
        <v>847</v>
      </c>
      <c r="B5471" t="s">
        <v>680</v>
      </c>
      <c r="C5471" s="83">
        <v>46214</v>
      </c>
      <c r="D5471" t="s">
        <v>687</v>
      </c>
      <c r="E5471" t="s">
        <v>717</v>
      </c>
      <c r="F5471">
        <v>4</v>
      </c>
      <c r="G5471">
        <v>4.83463333333333</v>
      </c>
    </row>
    <row r="5472" spans="1:7" x14ac:dyDescent="0.35">
      <c r="A5472" t="s">
        <v>847</v>
      </c>
      <c r="B5472" t="s">
        <v>680</v>
      </c>
      <c r="C5472" s="83">
        <v>46214</v>
      </c>
      <c r="D5472" t="s">
        <v>687</v>
      </c>
      <c r="E5472" t="s">
        <v>726</v>
      </c>
      <c r="F5472">
        <v>3</v>
      </c>
      <c r="G5472">
        <v>3.3540333333333301</v>
      </c>
    </row>
    <row r="5473" spans="1:7" x14ac:dyDescent="0.35">
      <c r="A5473" t="s">
        <v>847</v>
      </c>
      <c r="B5473" t="s">
        <v>680</v>
      </c>
      <c r="C5473" s="83">
        <v>46214</v>
      </c>
      <c r="D5473" t="s">
        <v>687</v>
      </c>
      <c r="E5473" t="s">
        <v>767</v>
      </c>
      <c r="F5473">
        <v>3</v>
      </c>
      <c r="G5473">
        <v>1.6630833333333299</v>
      </c>
    </row>
    <row r="5474" spans="1:7" x14ac:dyDescent="0.35">
      <c r="A5474" t="s">
        <v>847</v>
      </c>
      <c r="B5474" t="s">
        <v>680</v>
      </c>
      <c r="C5474" s="83">
        <v>46214</v>
      </c>
      <c r="D5474" t="s">
        <v>688</v>
      </c>
      <c r="E5474" t="s">
        <v>311</v>
      </c>
      <c r="F5474">
        <v>12</v>
      </c>
      <c r="G5474">
        <v>9.8427666666666696</v>
      </c>
    </row>
    <row r="5475" spans="1:7" x14ac:dyDescent="0.35">
      <c r="A5475" t="s">
        <v>847</v>
      </c>
      <c r="B5475" t="s">
        <v>680</v>
      </c>
      <c r="C5475" s="83">
        <v>46214</v>
      </c>
      <c r="D5475" t="s">
        <v>688</v>
      </c>
      <c r="E5475" t="s">
        <v>316</v>
      </c>
      <c r="F5475">
        <v>5</v>
      </c>
      <c r="G5475">
        <v>1.1761666666666699</v>
      </c>
    </row>
    <row r="5476" spans="1:7" x14ac:dyDescent="0.35">
      <c r="A5476" t="s">
        <v>847</v>
      </c>
      <c r="B5476" t="s">
        <v>680</v>
      </c>
      <c r="C5476" s="83">
        <v>46214</v>
      </c>
      <c r="D5476" t="s">
        <v>688</v>
      </c>
      <c r="E5476" t="s">
        <v>739</v>
      </c>
      <c r="F5476">
        <v>2</v>
      </c>
      <c r="G5476">
        <v>3.00036666666667</v>
      </c>
    </row>
    <row r="5477" spans="1:7" x14ac:dyDescent="0.35">
      <c r="A5477" t="s">
        <v>847</v>
      </c>
      <c r="B5477" t="s">
        <v>680</v>
      </c>
      <c r="C5477" s="83">
        <v>46214</v>
      </c>
      <c r="D5477" t="s">
        <v>690</v>
      </c>
      <c r="E5477" t="s">
        <v>311</v>
      </c>
      <c r="F5477">
        <v>12</v>
      </c>
      <c r="G5477">
        <v>7.3360166666666702</v>
      </c>
    </row>
    <row r="5478" spans="1:7" x14ac:dyDescent="0.35">
      <c r="A5478" t="s">
        <v>847</v>
      </c>
      <c r="B5478" t="s">
        <v>680</v>
      </c>
      <c r="C5478" s="83">
        <v>46214</v>
      </c>
      <c r="D5478" t="s">
        <v>690</v>
      </c>
      <c r="E5478" t="s">
        <v>312</v>
      </c>
      <c r="F5478">
        <v>10</v>
      </c>
      <c r="G5478">
        <v>4.5073166666666697</v>
      </c>
    </row>
    <row r="5479" spans="1:7" x14ac:dyDescent="0.35">
      <c r="A5479" t="s">
        <v>847</v>
      </c>
      <c r="B5479" t="s">
        <v>680</v>
      </c>
      <c r="C5479" s="83">
        <v>46214</v>
      </c>
      <c r="D5479" t="s">
        <v>690</v>
      </c>
      <c r="E5479" t="s">
        <v>720</v>
      </c>
      <c r="F5479">
        <v>9</v>
      </c>
      <c r="G5479">
        <v>5.5257500000000004</v>
      </c>
    </row>
    <row r="5480" spans="1:7" x14ac:dyDescent="0.35">
      <c r="A5480" t="s">
        <v>847</v>
      </c>
      <c r="B5480" t="s">
        <v>680</v>
      </c>
      <c r="C5480" s="83">
        <v>46214</v>
      </c>
      <c r="D5480" t="s">
        <v>685</v>
      </c>
      <c r="E5480" t="s">
        <v>311</v>
      </c>
      <c r="F5480">
        <v>11</v>
      </c>
      <c r="G5480">
        <v>6.0112500000000004</v>
      </c>
    </row>
    <row r="5481" spans="1:7" x14ac:dyDescent="0.35">
      <c r="A5481" t="s">
        <v>847</v>
      </c>
      <c r="B5481" t="s">
        <v>680</v>
      </c>
      <c r="C5481" s="83">
        <v>46214</v>
      </c>
      <c r="D5481" t="s">
        <v>685</v>
      </c>
      <c r="E5481" t="s">
        <v>657</v>
      </c>
      <c r="F5481">
        <v>4</v>
      </c>
      <c r="G5481">
        <v>3.4994999999999998</v>
      </c>
    </row>
    <row r="5482" spans="1:7" x14ac:dyDescent="0.35">
      <c r="A5482" t="s">
        <v>847</v>
      </c>
      <c r="B5482" t="s">
        <v>680</v>
      </c>
      <c r="C5482" s="83">
        <v>46214</v>
      </c>
      <c r="D5482" t="s">
        <v>685</v>
      </c>
      <c r="E5482" t="s">
        <v>741</v>
      </c>
      <c r="F5482">
        <v>3</v>
      </c>
      <c r="G5482">
        <v>1.3328166666666701</v>
      </c>
    </row>
    <row r="5483" spans="1:7" x14ac:dyDescent="0.35">
      <c r="A5483" t="s">
        <v>847</v>
      </c>
      <c r="B5483" t="s">
        <v>680</v>
      </c>
      <c r="C5483" s="83">
        <v>46214</v>
      </c>
      <c r="D5483" t="s">
        <v>682</v>
      </c>
      <c r="E5483" t="s">
        <v>311</v>
      </c>
      <c r="F5483">
        <v>4</v>
      </c>
      <c r="G5483">
        <v>1.60368333333333</v>
      </c>
    </row>
    <row r="5484" spans="1:7" x14ac:dyDescent="0.35">
      <c r="A5484" t="s">
        <v>847</v>
      </c>
      <c r="B5484" t="s">
        <v>680</v>
      </c>
      <c r="C5484" s="83">
        <v>46214</v>
      </c>
      <c r="D5484" t="s">
        <v>682</v>
      </c>
      <c r="E5484" t="s">
        <v>720</v>
      </c>
      <c r="F5484">
        <v>4</v>
      </c>
      <c r="G5484">
        <v>1.50566666666667</v>
      </c>
    </row>
    <row r="5485" spans="1:7" x14ac:dyDescent="0.35">
      <c r="A5485" t="s">
        <v>847</v>
      </c>
      <c r="B5485" t="s">
        <v>680</v>
      </c>
      <c r="C5485" s="83">
        <v>46214</v>
      </c>
      <c r="D5485" t="s">
        <v>682</v>
      </c>
      <c r="E5485" t="s">
        <v>312</v>
      </c>
      <c r="F5485">
        <v>2</v>
      </c>
      <c r="G5485">
        <v>0.50065000000000004</v>
      </c>
    </row>
    <row r="5486" spans="1:7" x14ac:dyDescent="0.35">
      <c r="A5486" t="s">
        <v>847</v>
      </c>
      <c r="B5486" t="s">
        <v>680</v>
      </c>
      <c r="C5486" s="83">
        <v>46214</v>
      </c>
      <c r="D5486" t="s">
        <v>686</v>
      </c>
      <c r="E5486" t="s">
        <v>554</v>
      </c>
      <c r="F5486">
        <v>7</v>
      </c>
      <c r="G5486">
        <v>5.3354166666666698</v>
      </c>
    </row>
    <row r="5487" spans="1:7" x14ac:dyDescent="0.35">
      <c r="A5487" t="s">
        <v>847</v>
      </c>
      <c r="B5487" t="s">
        <v>680</v>
      </c>
      <c r="C5487" s="83">
        <v>46214</v>
      </c>
      <c r="D5487" t="s">
        <v>686</v>
      </c>
      <c r="E5487" t="s">
        <v>789</v>
      </c>
      <c r="F5487">
        <v>2</v>
      </c>
      <c r="G5487">
        <v>1.1785666666666701</v>
      </c>
    </row>
    <row r="5488" spans="1:7" x14ac:dyDescent="0.35">
      <c r="A5488" t="s">
        <v>847</v>
      </c>
      <c r="B5488" t="s">
        <v>680</v>
      </c>
      <c r="C5488" s="83">
        <v>46214</v>
      </c>
      <c r="D5488" t="s">
        <v>686</v>
      </c>
      <c r="E5488" t="s">
        <v>796</v>
      </c>
      <c r="F5488">
        <v>2</v>
      </c>
      <c r="G5488">
        <v>0.33365</v>
      </c>
    </row>
    <row r="5489" spans="1:7" x14ac:dyDescent="0.35">
      <c r="A5489" t="s">
        <v>847</v>
      </c>
      <c r="B5489" t="s">
        <v>680</v>
      </c>
      <c r="C5489" s="83">
        <v>46215</v>
      </c>
      <c r="D5489" t="s">
        <v>681</v>
      </c>
      <c r="E5489" t="s">
        <v>296</v>
      </c>
      <c r="F5489">
        <v>14</v>
      </c>
      <c r="G5489">
        <v>6.1521999999999997</v>
      </c>
    </row>
    <row r="5490" spans="1:7" x14ac:dyDescent="0.35">
      <c r="A5490" t="s">
        <v>847</v>
      </c>
      <c r="B5490" t="s">
        <v>680</v>
      </c>
      <c r="C5490" s="83">
        <v>46215</v>
      </c>
      <c r="D5490" t="s">
        <v>681</v>
      </c>
      <c r="E5490" t="s">
        <v>297</v>
      </c>
      <c r="F5490">
        <v>12</v>
      </c>
      <c r="G5490">
        <v>6.1733333333333302</v>
      </c>
    </row>
    <row r="5491" spans="1:7" x14ac:dyDescent="0.35">
      <c r="A5491" t="s">
        <v>847</v>
      </c>
      <c r="B5491" t="s">
        <v>680</v>
      </c>
      <c r="C5491" s="83">
        <v>46215</v>
      </c>
      <c r="D5491" t="s">
        <v>681</v>
      </c>
      <c r="E5491" t="s">
        <v>298</v>
      </c>
      <c r="F5491">
        <v>10</v>
      </c>
      <c r="G5491">
        <v>6.9941666666666702</v>
      </c>
    </row>
    <row r="5492" spans="1:7" x14ac:dyDescent="0.35">
      <c r="A5492" t="s">
        <v>847</v>
      </c>
      <c r="B5492" t="s">
        <v>680</v>
      </c>
      <c r="C5492" s="83">
        <v>46215</v>
      </c>
      <c r="D5492" t="s">
        <v>683</v>
      </c>
      <c r="E5492" t="s">
        <v>730</v>
      </c>
      <c r="F5492">
        <v>9</v>
      </c>
      <c r="G5492">
        <v>6.9944833333333296</v>
      </c>
    </row>
    <row r="5493" spans="1:7" x14ac:dyDescent="0.35">
      <c r="A5493" t="s">
        <v>847</v>
      </c>
      <c r="B5493" t="s">
        <v>680</v>
      </c>
      <c r="C5493" s="83">
        <v>46215</v>
      </c>
      <c r="D5493" t="s">
        <v>683</v>
      </c>
      <c r="E5493" t="s">
        <v>727</v>
      </c>
      <c r="F5493">
        <v>7</v>
      </c>
      <c r="G5493">
        <v>3.8421166666666702</v>
      </c>
    </row>
    <row r="5494" spans="1:7" x14ac:dyDescent="0.35">
      <c r="A5494" t="s">
        <v>847</v>
      </c>
      <c r="B5494" t="s">
        <v>680</v>
      </c>
      <c r="C5494" s="83">
        <v>46215</v>
      </c>
      <c r="D5494" t="s">
        <v>683</v>
      </c>
      <c r="E5494" t="s">
        <v>298</v>
      </c>
      <c r="F5494">
        <v>7</v>
      </c>
      <c r="G5494">
        <v>5.66658333333333</v>
      </c>
    </row>
    <row r="5495" spans="1:7" x14ac:dyDescent="0.35">
      <c r="A5495" t="s">
        <v>847</v>
      </c>
      <c r="B5495" t="s">
        <v>680</v>
      </c>
      <c r="C5495" s="83">
        <v>46215</v>
      </c>
      <c r="D5495" t="s">
        <v>689</v>
      </c>
      <c r="E5495" t="s">
        <v>298</v>
      </c>
      <c r="F5495">
        <v>24</v>
      </c>
      <c r="G5495">
        <v>29.1960333333333</v>
      </c>
    </row>
    <row r="5496" spans="1:7" x14ac:dyDescent="0.35">
      <c r="A5496" t="s">
        <v>847</v>
      </c>
      <c r="B5496" t="s">
        <v>680</v>
      </c>
      <c r="C5496" s="83">
        <v>46215</v>
      </c>
      <c r="D5496" t="s">
        <v>689</v>
      </c>
      <c r="E5496" t="s">
        <v>296</v>
      </c>
      <c r="F5496">
        <v>15</v>
      </c>
      <c r="G5496">
        <v>10.1504666666667</v>
      </c>
    </row>
    <row r="5497" spans="1:7" x14ac:dyDescent="0.35">
      <c r="A5497" t="s">
        <v>847</v>
      </c>
      <c r="B5497" t="s">
        <v>680</v>
      </c>
      <c r="C5497" s="83">
        <v>46215</v>
      </c>
      <c r="D5497" t="s">
        <v>689</v>
      </c>
      <c r="E5497" t="s">
        <v>297</v>
      </c>
      <c r="F5497">
        <v>12</v>
      </c>
      <c r="G5497">
        <v>7.8491166666666699</v>
      </c>
    </row>
    <row r="5498" spans="1:7" x14ac:dyDescent="0.35">
      <c r="A5498" t="s">
        <v>847</v>
      </c>
      <c r="B5498" t="s">
        <v>680</v>
      </c>
      <c r="C5498" s="83">
        <v>46215</v>
      </c>
      <c r="D5498" t="s">
        <v>684</v>
      </c>
      <c r="E5498" t="s">
        <v>298</v>
      </c>
      <c r="F5498">
        <v>6</v>
      </c>
      <c r="G5498">
        <v>2.0003166666666701</v>
      </c>
    </row>
    <row r="5499" spans="1:7" x14ac:dyDescent="0.35">
      <c r="A5499" t="s">
        <v>847</v>
      </c>
      <c r="B5499" t="s">
        <v>680</v>
      </c>
      <c r="C5499" s="83">
        <v>46215</v>
      </c>
      <c r="D5499" t="s">
        <v>684</v>
      </c>
      <c r="E5499" t="s">
        <v>300</v>
      </c>
      <c r="F5499">
        <v>3</v>
      </c>
      <c r="G5499">
        <v>0.66735</v>
      </c>
    </row>
    <row r="5500" spans="1:7" x14ac:dyDescent="0.35">
      <c r="A5500" t="s">
        <v>847</v>
      </c>
      <c r="B5500" t="s">
        <v>680</v>
      </c>
      <c r="C5500" s="83">
        <v>46215</v>
      </c>
      <c r="D5500" t="s">
        <v>684</v>
      </c>
      <c r="E5500" t="s">
        <v>296</v>
      </c>
      <c r="F5500">
        <v>3</v>
      </c>
      <c r="G5500">
        <v>4.9923999999999999</v>
      </c>
    </row>
    <row r="5501" spans="1:7" x14ac:dyDescent="0.35">
      <c r="A5501" t="s">
        <v>847</v>
      </c>
      <c r="B5501" t="s">
        <v>680</v>
      </c>
      <c r="C5501" s="83">
        <v>46215</v>
      </c>
      <c r="D5501" t="s">
        <v>687</v>
      </c>
      <c r="E5501" t="s">
        <v>717</v>
      </c>
      <c r="F5501">
        <v>6</v>
      </c>
      <c r="G5501">
        <v>2.1613166666666701</v>
      </c>
    </row>
    <row r="5502" spans="1:7" x14ac:dyDescent="0.35">
      <c r="A5502" t="s">
        <v>847</v>
      </c>
      <c r="B5502" t="s">
        <v>680</v>
      </c>
      <c r="C5502" s="83">
        <v>46215</v>
      </c>
      <c r="D5502" t="s">
        <v>687</v>
      </c>
      <c r="E5502" t="s">
        <v>718</v>
      </c>
      <c r="F5502">
        <v>5</v>
      </c>
      <c r="G5502">
        <v>2.6671666666666698</v>
      </c>
    </row>
    <row r="5503" spans="1:7" x14ac:dyDescent="0.35">
      <c r="A5503" t="s">
        <v>847</v>
      </c>
      <c r="B5503" t="s">
        <v>680</v>
      </c>
      <c r="C5503" s="83">
        <v>46215</v>
      </c>
      <c r="D5503" t="s">
        <v>687</v>
      </c>
      <c r="E5503" t="s">
        <v>752</v>
      </c>
      <c r="F5503">
        <v>3</v>
      </c>
      <c r="G5503">
        <v>1.6597166666666701</v>
      </c>
    </row>
    <row r="5504" spans="1:7" x14ac:dyDescent="0.35">
      <c r="A5504" t="s">
        <v>847</v>
      </c>
      <c r="B5504" t="s">
        <v>680</v>
      </c>
      <c r="C5504" s="83">
        <v>46215</v>
      </c>
      <c r="D5504" t="s">
        <v>688</v>
      </c>
      <c r="E5504" t="s">
        <v>311</v>
      </c>
      <c r="F5504">
        <v>15</v>
      </c>
      <c r="G5504">
        <v>6.6684999999999999</v>
      </c>
    </row>
    <row r="5505" spans="1:7" x14ac:dyDescent="0.35">
      <c r="A5505" t="s">
        <v>847</v>
      </c>
      <c r="B5505" t="s">
        <v>680</v>
      </c>
      <c r="C5505" s="83">
        <v>46215</v>
      </c>
      <c r="D5505" t="s">
        <v>688</v>
      </c>
      <c r="E5505" t="s">
        <v>316</v>
      </c>
      <c r="F5505">
        <v>11</v>
      </c>
      <c r="G5505">
        <v>6.4714833333333299</v>
      </c>
    </row>
    <row r="5506" spans="1:7" x14ac:dyDescent="0.35">
      <c r="A5506" t="s">
        <v>847</v>
      </c>
      <c r="B5506" t="s">
        <v>680</v>
      </c>
      <c r="C5506" s="83">
        <v>46215</v>
      </c>
      <c r="D5506" t="s">
        <v>688</v>
      </c>
      <c r="E5506" t="s">
        <v>126</v>
      </c>
      <c r="F5506">
        <v>3</v>
      </c>
      <c r="G5506">
        <v>1.4995333333333301</v>
      </c>
    </row>
    <row r="5507" spans="1:7" x14ac:dyDescent="0.35">
      <c r="A5507" t="s">
        <v>847</v>
      </c>
      <c r="B5507" t="s">
        <v>680</v>
      </c>
      <c r="C5507" s="83">
        <v>46215</v>
      </c>
      <c r="D5507" t="s">
        <v>690</v>
      </c>
      <c r="E5507" t="s">
        <v>311</v>
      </c>
      <c r="F5507">
        <v>17</v>
      </c>
      <c r="G5507">
        <v>12.9901</v>
      </c>
    </row>
    <row r="5508" spans="1:7" x14ac:dyDescent="0.35">
      <c r="A5508" t="s">
        <v>847</v>
      </c>
      <c r="B5508" t="s">
        <v>680</v>
      </c>
      <c r="C5508" s="83">
        <v>46215</v>
      </c>
      <c r="D5508" t="s">
        <v>690</v>
      </c>
      <c r="E5508" t="s">
        <v>312</v>
      </c>
      <c r="F5508">
        <v>12</v>
      </c>
      <c r="G5508">
        <v>4.6620999999999997</v>
      </c>
    </row>
    <row r="5509" spans="1:7" x14ac:dyDescent="0.35">
      <c r="A5509" t="s">
        <v>847</v>
      </c>
      <c r="B5509" t="s">
        <v>680</v>
      </c>
      <c r="C5509" s="83">
        <v>46215</v>
      </c>
      <c r="D5509" t="s">
        <v>690</v>
      </c>
      <c r="E5509" t="s">
        <v>720</v>
      </c>
      <c r="F5509">
        <v>5</v>
      </c>
      <c r="G5509">
        <v>5.0081333333333298</v>
      </c>
    </row>
    <row r="5510" spans="1:7" x14ac:dyDescent="0.35">
      <c r="A5510" t="s">
        <v>847</v>
      </c>
      <c r="B5510" t="s">
        <v>680</v>
      </c>
      <c r="C5510" s="83">
        <v>46215</v>
      </c>
      <c r="D5510" t="s">
        <v>685</v>
      </c>
      <c r="E5510" t="s">
        <v>311</v>
      </c>
      <c r="F5510">
        <v>16</v>
      </c>
      <c r="G5510">
        <v>7.4868166666666696</v>
      </c>
    </row>
    <row r="5511" spans="1:7" x14ac:dyDescent="0.35">
      <c r="A5511" t="s">
        <v>847</v>
      </c>
      <c r="B5511" t="s">
        <v>693</v>
      </c>
      <c r="C5511" s="83"/>
      <c r="F5511">
        <v>52464</v>
      </c>
      <c r="G5511">
        <v>97795.437083333003</v>
      </c>
    </row>
    <row r="5512" spans="1:7" x14ac:dyDescent="0.35">
      <c r="A5512" t="s">
        <v>847</v>
      </c>
      <c r="B5512" t="s">
        <v>680</v>
      </c>
      <c r="C5512" s="83">
        <v>46215</v>
      </c>
      <c r="D5512" t="s">
        <v>685</v>
      </c>
      <c r="E5512" t="s">
        <v>321</v>
      </c>
      <c r="F5512">
        <v>2</v>
      </c>
      <c r="G5512">
        <v>1.16706666666667</v>
      </c>
    </row>
    <row r="5513" spans="1:7" x14ac:dyDescent="0.35">
      <c r="A5513" t="s">
        <v>847</v>
      </c>
      <c r="B5513" t="s">
        <v>680</v>
      </c>
      <c r="C5513" s="83">
        <v>46215</v>
      </c>
      <c r="D5513" t="s">
        <v>685</v>
      </c>
      <c r="E5513" t="s">
        <v>732</v>
      </c>
      <c r="F5513">
        <v>2</v>
      </c>
      <c r="G5513">
        <v>1.4994666666666701</v>
      </c>
    </row>
    <row r="5514" spans="1:7" x14ac:dyDescent="0.35">
      <c r="A5514" t="s">
        <v>847</v>
      </c>
      <c r="B5514" t="s">
        <v>680</v>
      </c>
      <c r="C5514" s="83">
        <v>46215</v>
      </c>
      <c r="D5514" t="s">
        <v>682</v>
      </c>
      <c r="E5514" t="s">
        <v>316</v>
      </c>
      <c r="F5514">
        <v>3</v>
      </c>
      <c r="G5514">
        <v>0.83473333333333299</v>
      </c>
    </row>
    <row r="5515" spans="1:7" x14ac:dyDescent="0.35">
      <c r="A5515" t="s">
        <v>847</v>
      </c>
      <c r="B5515" t="s">
        <v>680</v>
      </c>
      <c r="C5515" s="83">
        <v>46215</v>
      </c>
      <c r="D5515" t="s">
        <v>682</v>
      </c>
      <c r="E5515" t="s">
        <v>321</v>
      </c>
      <c r="F5515">
        <v>2</v>
      </c>
      <c r="G5515">
        <v>0.33356666666666701</v>
      </c>
    </row>
    <row r="5516" spans="1:7" x14ac:dyDescent="0.35">
      <c r="A5516" t="s">
        <v>847</v>
      </c>
      <c r="B5516" t="s">
        <v>680</v>
      </c>
      <c r="C5516" s="83">
        <v>46215</v>
      </c>
      <c r="D5516" t="s">
        <v>682</v>
      </c>
      <c r="E5516" t="s">
        <v>720</v>
      </c>
      <c r="F5516">
        <v>2</v>
      </c>
      <c r="G5516">
        <v>1.3343166666666699</v>
      </c>
    </row>
    <row r="5517" spans="1:7" x14ac:dyDescent="0.35">
      <c r="A5517" t="s">
        <v>847</v>
      </c>
      <c r="B5517" t="s">
        <v>680</v>
      </c>
      <c r="C5517" s="83">
        <v>46215</v>
      </c>
      <c r="D5517" t="s">
        <v>686</v>
      </c>
      <c r="E5517" t="s">
        <v>554</v>
      </c>
      <c r="F5517">
        <v>6</v>
      </c>
      <c r="G5517">
        <v>6.9978833333333297</v>
      </c>
    </row>
    <row r="5518" spans="1:7" x14ac:dyDescent="0.35">
      <c r="A5518" t="s">
        <v>847</v>
      </c>
      <c r="B5518" t="s">
        <v>680</v>
      </c>
      <c r="C5518" s="83">
        <v>46215</v>
      </c>
      <c r="D5518" t="s">
        <v>686</v>
      </c>
      <c r="E5518" t="s">
        <v>797</v>
      </c>
      <c r="F5518">
        <v>3</v>
      </c>
      <c r="G5518">
        <v>0.66721666666666701</v>
      </c>
    </row>
    <row r="5519" spans="1:7" x14ac:dyDescent="0.35">
      <c r="A5519" t="s">
        <v>847</v>
      </c>
      <c r="B5519" t="s">
        <v>680</v>
      </c>
      <c r="C5519" s="83">
        <v>46215</v>
      </c>
      <c r="D5519" t="s">
        <v>686</v>
      </c>
      <c r="E5519" t="s">
        <v>798</v>
      </c>
      <c r="F5519">
        <v>2</v>
      </c>
      <c r="G5519">
        <v>0.83975</v>
      </c>
    </row>
    <row r="5520" spans="1:7" x14ac:dyDescent="0.35">
      <c r="A5520" t="s">
        <v>847</v>
      </c>
      <c r="B5520" t="s">
        <v>680</v>
      </c>
      <c r="C5520" s="83">
        <v>46216</v>
      </c>
      <c r="D5520" t="s">
        <v>681</v>
      </c>
      <c r="E5520" t="s">
        <v>296</v>
      </c>
      <c r="F5520">
        <v>12</v>
      </c>
      <c r="G5520">
        <v>30.510549999999999</v>
      </c>
    </row>
    <row r="5521" spans="1:7" x14ac:dyDescent="0.35">
      <c r="A5521" t="s">
        <v>847</v>
      </c>
      <c r="B5521" t="s">
        <v>680</v>
      </c>
      <c r="C5521" s="83">
        <v>46216</v>
      </c>
      <c r="D5521" t="s">
        <v>681</v>
      </c>
      <c r="E5521" t="s">
        <v>297</v>
      </c>
      <c r="F5521">
        <v>7</v>
      </c>
      <c r="G5521">
        <v>3.4935499999999999</v>
      </c>
    </row>
    <row r="5522" spans="1:7" x14ac:dyDescent="0.35">
      <c r="A5522" t="s">
        <v>847</v>
      </c>
      <c r="B5522" t="s">
        <v>680</v>
      </c>
      <c r="C5522" s="83">
        <v>46216</v>
      </c>
      <c r="D5522" t="s">
        <v>681</v>
      </c>
      <c r="E5522" t="s">
        <v>334</v>
      </c>
      <c r="F5522">
        <v>7</v>
      </c>
      <c r="G5522">
        <v>2.5071166666666702</v>
      </c>
    </row>
    <row r="5523" spans="1:7" x14ac:dyDescent="0.35">
      <c r="A5523" t="s">
        <v>847</v>
      </c>
      <c r="B5523" t="s">
        <v>680</v>
      </c>
      <c r="C5523" s="83">
        <v>46216</v>
      </c>
      <c r="D5523" t="s">
        <v>683</v>
      </c>
      <c r="E5523" t="s">
        <v>298</v>
      </c>
      <c r="F5523">
        <v>13</v>
      </c>
      <c r="G5523">
        <v>14.5213</v>
      </c>
    </row>
    <row r="5524" spans="1:7" x14ac:dyDescent="0.35">
      <c r="A5524" t="s">
        <v>847</v>
      </c>
      <c r="B5524" t="s">
        <v>680</v>
      </c>
      <c r="C5524" s="83">
        <v>46216</v>
      </c>
      <c r="D5524" t="s">
        <v>683</v>
      </c>
      <c r="E5524" t="s">
        <v>730</v>
      </c>
      <c r="F5524">
        <v>10</v>
      </c>
      <c r="G5524">
        <v>5.1397500000000003</v>
      </c>
    </row>
    <row r="5525" spans="1:7" x14ac:dyDescent="0.35">
      <c r="A5525" t="s">
        <v>847</v>
      </c>
      <c r="B5525" t="s">
        <v>680</v>
      </c>
      <c r="C5525" s="83">
        <v>46216</v>
      </c>
      <c r="D5525" t="s">
        <v>683</v>
      </c>
      <c r="E5525" t="s">
        <v>727</v>
      </c>
      <c r="F5525">
        <v>8</v>
      </c>
      <c r="G5525">
        <v>2.6655333333333302</v>
      </c>
    </row>
    <row r="5526" spans="1:7" x14ac:dyDescent="0.35">
      <c r="A5526" t="s">
        <v>847</v>
      </c>
      <c r="B5526" t="s">
        <v>680</v>
      </c>
      <c r="C5526" s="83">
        <v>46216</v>
      </c>
      <c r="D5526" t="s">
        <v>689</v>
      </c>
      <c r="E5526" t="s">
        <v>298</v>
      </c>
      <c r="F5526">
        <v>29</v>
      </c>
      <c r="G5526">
        <v>12.190583333333301</v>
      </c>
    </row>
    <row r="5527" spans="1:7" x14ac:dyDescent="0.35">
      <c r="A5527" t="s">
        <v>847</v>
      </c>
      <c r="B5527" t="s">
        <v>680</v>
      </c>
      <c r="C5527" s="83">
        <v>46216</v>
      </c>
      <c r="D5527" t="s">
        <v>689</v>
      </c>
      <c r="E5527" t="s">
        <v>296</v>
      </c>
      <c r="F5527">
        <v>14</v>
      </c>
      <c r="G5527">
        <v>8.5017833333333304</v>
      </c>
    </row>
    <row r="5528" spans="1:7" x14ac:dyDescent="0.35">
      <c r="A5528" t="s">
        <v>847</v>
      </c>
      <c r="B5528" t="s">
        <v>680</v>
      </c>
      <c r="C5528" s="83">
        <v>46216</v>
      </c>
      <c r="D5528" t="s">
        <v>689</v>
      </c>
      <c r="E5528" t="s">
        <v>728</v>
      </c>
      <c r="F5528">
        <v>8</v>
      </c>
      <c r="G5528">
        <v>14.1706</v>
      </c>
    </row>
    <row r="5529" spans="1:7" x14ac:dyDescent="0.35">
      <c r="A5529" t="s">
        <v>847</v>
      </c>
      <c r="B5529" t="s">
        <v>680</v>
      </c>
      <c r="C5529" s="83">
        <v>46216</v>
      </c>
      <c r="D5529" t="s">
        <v>684</v>
      </c>
      <c r="E5529" t="s">
        <v>298</v>
      </c>
      <c r="F5529">
        <v>10</v>
      </c>
      <c r="G5529">
        <v>4.8195166666666696</v>
      </c>
    </row>
    <row r="5530" spans="1:7" x14ac:dyDescent="0.35">
      <c r="A5530" t="s">
        <v>847</v>
      </c>
      <c r="B5530" t="s">
        <v>680</v>
      </c>
      <c r="C5530" s="83">
        <v>46216</v>
      </c>
      <c r="D5530" t="s">
        <v>684</v>
      </c>
      <c r="E5530" t="s">
        <v>300</v>
      </c>
      <c r="F5530">
        <v>5</v>
      </c>
      <c r="G5530">
        <v>3.17605</v>
      </c>
    </row>
    <row r="5531" spans="1:7" x14ac:dyDescent="0.35">
      <c r="A5531" t="s">
        <v>847</v>
      </c>
      <c r="B5531" t="s">
        <v>680</v>
      </c>
      <c r="C5531" s="83">
        <v>46216</v>
      </c>
      <c r="D5531" t="s">
        <v>684</v>
      </c>
      <c r="E5531" t="s">
        <v>728</v>
      </c>
      <c r="F5531">
        <v>3</v>
      </c>
      <c r="G5531">
        <v>2.6668833333333302</v>
      </c>
    </row>
    <row r="5532" spans="1:7" x14ac:dyDescent="0.35">
      <c r="A5532" t="s">
        <v>847</v>
      </c>
      <c r="B5532" t="s">
        <v>680</v>
      </c>
      <c r="C5532" s="83">
        <v>46216</v>
      </c>
      <c r="D5532" t="s">
        <v>687</v>
      </c>
      <c r="E5532" t="s">
        <v>717</v>
      </c>
      <c r="F5532">
        <v>4</v>
      </c>
      <c r="G5532">
        <v>1.6609833333333299</v>
      </c>
    </row>
    <row r="5533" spans="1:7" x14ac:dyDescent="0.35">
      <c r="A5533" t="s">
        <v>847</v>
      </c>
      <c r="B5533" t="s">
        <v>680</v>
      </c>
      <c r="C5533" s="83">
        <v>46216</v>
      </c>
      <c r="D5533" t="s">
        <v>687</v>
      </c>
      <c r="E5533" t="s">
        <v>718</v>
      </c>
      <c r="F5533">
        <v>3</v>
      </c>
      <c r="G5533">
        <v>4.4989999999999997</v>
      </c>
    </row>
    <row r="5534" spans="1:7" x14ac:dyDescent="0.35">
      <c r="A5534" t="s">
        <v>847</v>
      </c>
      <c r="B5534" t="s">
        <v>680</v>
      </c>
      <c r="C5534" s="83">
        <v>46216</v>
      </c>
      <c r="D5534" t="s">
        <v>687</v>
      </c>
      <c r="E5534" t="s">
        <v>733</v>
      </c>
      <c r="F5534">
        <v>3</v>
      </c>
      <c r="G5534">
        <v>2.3338333333333301</v>
      </c>
    </row>
    <row r="5535" spans="1:7" x14ac:dyDescent="0.35">
      <c r="A5535" t="s">
        <v>847</v>
      </c>
      <c r="B5535" t="s">
        <v>680</v>
      </c>
      <c r="C5535" s="83">
        <v>46216</v>
      </c>
      <c r="D5535" t="s">
        <v>688</v>
      </c>
      <c r="E5535" t="s">
        <v>316</v>
      </c>
      <c r="F5535">
        <v>13</v>
      </c>
      <c r="G5535">
        <v>8.1823333333333306</v>
      </c>
    </row>
    <row r="5536" spans="1:7" x14ac:dyDescent="0.35">
      <c r="A5536" t="s">
        <v>847</v>
      </c>
      <c r="B5536" t="s">
        <v>680</v>
      </c>
      <c r="C5536" s="83">
        <v>46216</v>
      </c>
      <c r="D5536" t="s">
        <v>688</v>
      </c>
      <c r="E5536" t="s">
        <v>311</v>
      </c>
      <c r="F5536">
        <v>10</v>
      </c>
      <c r="G5536">
        <v>8.1571499999999997</v>
      </c>
    </row>
    <row r="5537" spans="1:7" x14ac:dyDescent="0.35">
      <c r="A5537" t="s">
        <v>847</v>
      </c>
      <c r="B5537" t="s">
        <v>680</v>
      </c>
      <c r="C5537" s="83">
        <v>46216</v>
      </c>
      <c r="D5537" t="s">
        <v>688</v>
      </c>
      <c r="E5537" t="s">
        <v>793</v>
      </c>
      <c r="F5537">
        <v>4</v>
      </c>
      <c r="G5537">
        <v>2.1731333333333298</v>
      </c>
    </row>
    <row r="5538" spans="1:7" x14ac:dyDescent="0.35">
      <c r="A5538" t="s">
        <v>847</v>
      </c>
      <c r="B5538" t="s">
        <v>680</v>
      </c>
      <c r="C5538" s="83">
        <v>46216</v>
      </c>
      <c r="D5538" t="s">
        <v>690</v>
      </c>
      <c r="E5538" t="s">
        <v>311</v>
      </c>
      <c r="F5538">
        <v>12</v>
      </c>
      <c r="G5538">
        <v>8.3410499999999992</v>
      </c>
    </row>
    <row r="5539" spans="1:7" x14ac:dyDescent="0.35">
      <c r="A5539" t="s">
        <v>847</v>
      </c>
      <c r="B5539" t="s">
        <v>680</v>
      </c>
      <c r="C5539" s="83">
        <v>46216</v>
      </c>
      <c r="D5539" t="s">
        <v>690</v>
      </c>
      <c r="E5539" t="s">
        <v>720</v>
      </c>
      <c r="F5539">
        <v>9</v>
      </c>
      <c r="G5539">
        <v>6.3542500000000004</v>
      </c>
    </row>
    <row r="5540" spans="1:7" x14ac:dyDescent="0.35">
      <c r="A5540" t="s">
        <v>847</v>
      </c>
      <c r="B5540" t="s">
        <v>680</v>
      </c>
      <c r="C5540" s="83">
        <v>46216</v>
      </c>
      <c r="D5540" t="s">
        <v>690</v>
      </c>
      <c r="E5540" t="s">
        <v>312</v>
      </c>
      <c r="F5540">
        <v>9</v>
      </c>
      <c r="G5540">
        <v>2.8203</v>
      </c>
    </row>
    <row r="5541" spans="1:7" x14ac:dyDescent="0.35">
      <c r="A5541" t="s">
        <v>847</v>
      </c>
      <c r="B5541" t="s">
        <v>680</v>
      </c>
      <c r="C5541" s="83">
        <v>46216</v>
      </c>
      <c r="D5541" t="s">
        <v>685</v>
      </c>
      <c r="E5541" t="s">
        <v>311</v>
      </c>
      <c r="F5541">
        <v>8</v>
      </c>
      <c r="G5541">
        <v>3.82853333333333</v>
      </c>
    </row>
    <row r="5542" spans="1:7" x14ac:dyDescent="0.35">
      <c r="A5542" t="s">
        <v>847</v>
      </c>
      <c r="B5542" t="s">
        <v>680</v>
      </c>
      <c r="C5542" s="83">
        <v>46216</v>
      </c>
      <c r="D5542" t="s">
        <v>685</v>
      </c>
      <c r="E5542" t="s">
        <v>720</v>
      </c>
      <c r="F5542">
        <v>3</v>
      </c>
      <c r="G5542">
        <v>15.1619666666667</v>
      </c>
    </row>
    <row r="5543" spans="1:7" x14ac:dyDescent="0.35">
      <c r="A5543" t="s">
        <v>847</v>
      </c>
      <c r="B5543" t="s">
        <v>680</v>
      </c>
      <c r="C5543" s="83">
        <v>46216</v>
      </c>
      <c r="D5543" t="s">
        <v>685</v>
      </c>
      <c r="E5543" t="s">
        <v>338</v>
      </c>
      <c r="F5543">
        <v>2</v>
      </c>
      <c r="G5543">
        <v>0.50061666666666704</v>
      </c>
    </row>
    <row r="5544" spans="1:7" x14ac:dyDescent="0.35">
      <c r="A5544" t="s">
        <v>847</v>
      </c>
      <c r="B5544" t="s">
        <v>680</v>
      </c>
      <c r="C5544" s="83">
        <v>46216</v>
      </c>
      <c r="D5544" t="s">
        <v>682</v>
      </c>
      <c r="E5544" t="s">
        <v>311</v>
      </c>
      <c r="F5544">
        <v>4</v>
      </c>
      <c r="G5544">
        <v>3.99386666666667</v>
      </c>
    </row>
    <row r="5545" spans="1:7" x14ac:dyDescent="0.35">
      <c r="A5545" t="s">
        <v>847</v>
      </c>
      <c r="B5545" t="s">
        <v>680</v>
      </c>
      <c r="C5545" s="83">
        <v>46216</v>
      </c>
      <c r="D5545" t="s">
        <v>682</v>
      </c>
      <c r="E5545" t="s">
        <v>720</v>
      </c>
      <c r="F5545">
        <v>3</v>
      </c>
      <c r="G5545">
        <v>5.16191666666667</v>
      </c>
    </row>
    <row r="5546" spans="1:7" x14ac:dyDescent="0.35">
      <c r="A5546" t="s">
        <v>847</v>
      </c>
      <c r="B5546" t="s">
        <v>680</v>
      </c>
      <c r="C5546" s="83">
        <v>46216</v>
      </c>
      <c r="D5546" t="s">
        <v>682</v>
      </c>
      <c r="E5546" t="s">
        <v>339</v>
      </c>
      <c r="F5546">
        <v>2</v>
      </c>
      <c r="G5546">
        <v>3.9951333333333299</v>
      </c>
    </row>
    <row r="5547" spans="1:7" x14ac:dyDescent="0.35">
      <c r="A5547" t="s">
        <v>847</v>
      </c>
      <c r="B5547" t="s">
        <v>680</v>
      </c>
      <c r="C5547" s="83">
        <v>46216</v>
      </c>
      <c r="D5547" t="s">
        <v>686</v>
      </c>
      <c r="E5547" t="s">
        <v>554</v>
      </c>
      <c r="F5547">
        <v>10</v>
      </c>
      <c r="G5547">
        <v>9.1576666666666693</v>
      </c>
    </row>
    <row r="5548" spans="1:7" x14ac:dyDescent="0.35">
      <c r="A5548" t="s">
        <v>847</v>
      </c>
      <c r="B5548" t="s">
        <v>680</v>
      </c>
      <c r="C5548" s="83">
        <v>46216</v>
      </c>
      <c r="D5548" t="s">
        <v>686</v>
      </c>
      <c r="E5548" t="s">
        <v>799</v>
      </c>
      <c r="F5548">
        <v>4</v>
      </c>
      <c r="G5548">
        <v>1.6721666666666699</v>
      </c>
    </row>
    <row r="5549" spans="1:7" x14ac:dyDescent="0.35">
      <c r="A5549" t="s">
        <v>847</v>
      </c>
      <c r="B5549" t="s">
        <v>680</v>
      </c>
      <c r="C5549" s="83">
        <v>46216</v>
      </c>
      <c r="D5549" t="s">
        <v>686</v>
      </c>
      <c r="E5549" t="s">
        <v>798</v>
      </c>
      <c r="F5549">
        <v>4</v>
      </c>
      <c r="G5549">
        <v>2.0130166666666698</v>
      </c>
    </row>
    <row r="5550" spans="1:7" x14ac:dyDescent="0.35">
      <c r="A5550" t="s">
        <v>847</v>
      </c>
      <c r="B5550" t="s">
        <v>680</v>
      </c>
      <c r="C5550" s="83">
        <v>46217</v>
      </c>
      <c r="D5550" t="s">
        <v>681</v>
      </c>
      <c r="E5550" t="s">
        <v>296</v>
      </c>
      <c r="F5550">
        <v>49</v>
      </c>
      <c r="G5550">
        <v>26.64425</v>
      </c>
    </row>
    <row r="5551" spans="1:7" x14ac:dyDescent="0.35">
      <c r="A5551" t="s">
        <v>847</v>
      </c>
      <c r="B5551" t="s">
        <v>680</v>
      </c>
      <c r="C5551" s="83">
        <v>46217</v>
      </c>
      <c r="D5551" t="s">
        <v>681</v>
      </c>
      <c r="E5551" t="s">
        <v>298</v>
      </c>
      <c r="F5551">
        <v>7</v>
      </c>
      <c r="G5551">
        <v>6.8325666666666702</v>
      </c>
    </row>
    <row r="5552" spans="1:7" x14ac:dyDescent="0.35">
      <c r="A5552" t="s">
        <v>847</v>
      </c>
      <c r="B5552" t="s">
        <v>680</v>
      </c>
      <c r="C5552" s="83">
        <v>46217</v>
      </c>
      <c r="D5552" t="s">
        <v>681</v>
      </c>
      <c r="E5552" t="s">
        <v>334</v>
      </c>
      <c r="F5552">
        <v>3</v>
      </c>
      <c r="G5552">
        <v>1.1596833333333301</v>
      </c>
    </row>
    <row r="5553" spans="1:7" x14ac:dyDescent="0.35">
      <c r="A5553" t="s">
        <v>847</v>
      </c>
      <c r="B5553" t="s">
        <v>680</v>
      </c>
      <c r="C5553" s="83">
        <v>46217</v>
      </c>
      <c r="D5553" t="s">
        <v>683</v>
      </c>
      <c r="E5553" t="s">
        <v>334</v>
      </c>
      <c r="F5553">
        <v>14</v>
      </c>
      <c r="G5553">
        <v>11.836116666666699</v>
      </c>
    </row>
    <row r="5554" spans="1:7" x14ac:dyDescent="0.35">
      <c r="A5554" t="s">
        <v>847</v>
      </c>
      <c r="B5554" t="s">
        <v>680</v>
      </c>
      <c r="C5554" s="83">
        <v>46217</v>
      </c>
      <c r="D5554" t="s">
        <v>683</v>
      </c>
      <c r="E5554" t="s">
        <v>727</v>
      </c>
      <c r="F5554">
        <v>11</v>
      </c>
      <c r="G5554">
        <v>14.839366666666701</v>
      </c>
    </row>
    <row r="5555" spans="1:7" x14ac:dyDescent="0.35">
      <c r="A5555" t="s">
        <v>847</v>
      </c>
      <c r="B5555" t="s">
        <v>680</v>
      </c>
      <c r="C5555" s="83">
        <v>46217</v>
      </c>
      <c r="D5555" t="s">
        <v>683</v>
      </c>
      <c r="E5555" t="s">
        <v>296</v>
      </c>
      <c r="F5555">
        <v>7</v>
      </c>
      <c r="G5555">
        <v>57.483266666666701</v>
      </c>
    </row>
    <row r="5556" spans="1:7" x14ac:dyDescent="0.35">
      <c r="A5556" t="s">
        <v>847</v>
      </c>
      <c r="B5556" t="s">
        <v>680</v>
      </c>
      <c r="C5556" s="83">
        <v>46217</v>
      </c>
      <c r="D5556" t="s">
        <v>689</v>
      </c>
      <c r="E5556" t="s">
        <v>298</v>
      </c>
      <c r="F5556">
        <v>17</v>
      </c>
      <c r="G5556">
        <v>16.201616666666698</v>
      </c>
    </row>
    <row r="5557" spans="1:7" x14ac:dyDescent="0.35">
      <c r="A5557" t="s">
        <v>847</v>
      </c>
      <c r="B5557" t="s">
        <v>680</v>
      </c>
      <c r="C5557" s="83">
        <v>46217</v>
      </c>
      <c r="D5557" t="s">
        <v>689</v>
      </c>
      <c r="E5557" t="s">
        <v>728</v>
      </c>
      <c r="F5557">
        <v>9</v>
      </c>
      <c r="G5557">
        <v>4.3442999999999996</v>
      </c>
    </row>
    <row r="5558" spans="1:7" x14ac:dyDescent="0.35">
      <c r="A5558" t="s">
        <v>847</v>
      </c>
      <c r="B5558" t="s">
        <v>680</v>
      </c>
      <c r="C5558" s="83">
        <v>46217</v>
      </c>
      <c r="D5558" t="s">
        <v>689</v>
      </c>
      <c r="E5558" t="s">
        <v>296</v>
      </c>
      <c r="F5558">
        <v>6</v>
      </c>
      <c r="G5558">
        <v>18.498349999999999</v>
      </c>
    </row>
    <row r="5559" spans="1:7" x14ac:dyDescent="0.35">
      <c r="A5559" t="s">
        <v>847</v>
      </c>
      <c r="B5559" t="s">
        <v>680</v>
      </c>
      <c r="C5559" s="83">
        <v>46217</v>
      </c>
      <c r="D5559" t="s">
        <v>684</v>
      </c>
      <c r="E5559" t="s">
        <v>297</v>
      </c>
      <c r="F5559">
        <v>8</v>
      </c>
      <c r="G5559">
        <v>5.3255333333333299</v>
      </c>
    </row>
    <row r="5560" spans="1:7" x14ac:dyDescent="0.35">
      <c r="A5560" t="s">
        <v>847</v>
      </c>
      <c r="B5560" t="s">
        <v>680</v>
      </c>
      <c r="C5560" s="83">
        <v>46217</v>
      </c>
      <c r="D5560" t="s">
        <v>684</v>
      </c>
      <c r="E5560" t="s">
        <v>755</v>
      </c>
      <c r="F5560">
        <v>4</v>
      </c>
      <c r="G5560">
        <v>8.8330833333333292</v>
      </c>
    </row>
    <row r="5561" spans="1:7" x14ac:dyDescent="0.35">
      <c r="A5561" t="s">
        <v>847</v>
      </c>
      <c r="B5561" t="s">
        <v>680</v>
      </c>
      <c r="C5561" s="83">
        <v>46217</v>
      </c>
      <c r="D5561" t="s">
        <v>684</v>
      </c>
      <c r="E5561" t="s">
        <v>298</v>
      </c>
      <c r="F5561">
        <v>4</v>
      </c>
      <c r="G5561">
        <v>2.1662666666666701</v>
      </c>
    </row>
    <row r="5562" spans="1:7" x14ac:dyDescent="0.35">
      <c r="A5562" t="s">
        <v>847</v>
      </c>
      <c r="B5562" t="s">
        <v>680</v>
      </c>
      <c r="C5562" s="83">
        <v>46217</v>
      </c>
      <c r="D5562" t="s">
        <v>687</v>
      </c>
      <c r="E5562" t="s">
        <v>718</v>
      </c>
      <c r="F5562">
        <v>4</v>
      </c>
      <c r="G5562">
        <v>1.1680666666666699</v>
      </c>
    </row>
    <row r="5563" spans="1:7" x14ac:dyDescent="0.35">
      <c r="A5563" t="s">
        <v>847</v>
      </c>
      <c r="B5563" t="s">
        <v>680</v>
      </c>
      <c r="C5563" s="83">
        <v>46217</v>
      </c>
      <c r="D5563" t="s">
        <v>687</v>
      </c>
      <c r="E5563" t="s">
        <v>729</v>
      </c>
      <c r="F5563">
        <v>3</v>
      </c>
      <c r="G5563">
        <v>0.65985000000000005</v>
      </c>
    </row>
    <row r="5564" spans="1:7" x14ac:dyDescent="0.35">
      <c r="A5564" t="s">
        <v>847</v>
      </c>
      <c r="B5564" t="s">
        <v>680</v>
      </c>
      <c r="C5564" s="83">
        <v>46217</v>
      </c>
      <c r="D5564" t="s">
        <v>687</v>
      </c>
      <c r="E5564" t="s">
        <v>717</v>
      </c>
      <c r="F5564">
        <v>2</v>
      </c>
      <c r="G5564">
        <v>0.50623333333333298</v>
      </c>
    </row>
    <row r="5565" spans="1:7" x14ac:dyDescent="0.35">
      <c r="A5565" t="s">
        <v>847</v>
      </c>
      <c r="B5565" t="s">
        <v>680</v>
      </c>
      <c r="C5565" s="83">
        <v>46217</v>
      </c>
      <c r="D5565" t="s">
        <v>688</v>
      </c>
      <c r="E5565" t="s">
        <v>311</v>
      </c>
      <c r="F5565">
        <v>7</v>
      </c>
      <c r="G5565">
        <v>3.9910000000000001</v>
      </c>
    </row>
    <row r="5566" spans="1:7" x14ac:dyDescent="0.35">
      <c r="A5566" t="s">
        <v>847</v>
      </c>
      <c r="B5566" t="s">
        <v>680</v>
      </c>
      <c r="C5566" s="83">
        <v>46217</v>
      </c>
      <c r="D5566" t="s">
        <v>690</v>
      </c>
      <c r="E5566" t="s">
        <v>311</v>
      </c>
      <c r="F5566">
        <v>5</v>
      </c>
      <c r="G5566">
        <v>1.3252999999999999</v>
      </c>
    </row>
    <row r="5567" spans="1:7" x14ac:dyDescent="0.35">
      <c r="A5567" t="s">
        <v>847</v>
      </c>
      <c r="B5567" t="s">
        <v>680</v>
      </c>
      <c r="C5567" s="83">
        <v>46217</v>
      </c>
      <c r="D5567" t="s">
        <v>690</v>
      </c>
      <c r="E5567" t="s">
        <v>720</v>
      </c>
      <c r="F5567">
        <v>4</v>
      </c>
      <c r="G5567">
        <v>1.8492999999999999</v>
      </c>
    </row>
    <row r="5568" spans="1:7" x14ac:dyDescent="0.35">
      <c r="A5568" t="s">
        <v>847</v>
      </c>
      <c r="B5568" t="s">
        <v>680</v>
      </c>
      <c r="C5568" s="83">
        <v>46217</v>
      </c>
      <c r="D5568" t="s">
        <v>690</v>
      </c>
      <c r="E5568" t="s">
        <v>316</v>
      </c>
      <c r="F5568">
        <v>2</v>
      </c>
      <c r="G5568">
        <v>0.32448333333333301</v>
      </c>
    </row>
    <row r="5569" spans="1:7" x14ac:dyDescent="0.35">
      <c r="A5569" t="s">
        <v>847</v>
      </c>
      <c r="B5569" t="s">
        <v>680</v>
      </c>
      <c r="C5569" s="83">
        <v>46217</v>
      </c>
      <c r="D5569" t="s">
        <v>685</v>
      </c>
      <c r="E5569" t="s">
        <v>311</v>
      </c>
      <c r="F5569">
        <v>8</v>
      </c>
      <c r="G5569">
        <v>9.1674166666666697</v>
      </c>
    </row>
    <row r="5570" spans="1:7" x14ac:dyDescent="0.35">
      <c r="A5570" t="s">
        <v>847</v>
      </c>
      <c r="B5570" t="s">
        <v>680</v>
      </c>
      <c r="C5570" s="83">
        <v>46217</v>
      </c>
      <c r="D5570" t="s">
        <v>685</v>
      </c>
      <c r="E5570" t="s">
        <v>720</v>
      </c>
      <c r="F5570">
        <v>3</v>
      </c>
      <c r="G5570">
        <v>0.50036666666666696</v>
      </c>
    </row>
    <row r="5571" spans="1:7" x14ac:dyDescent="0.35">
      <c r="A5571" t="s">
        <v>847</v>
      </c>
      <c r="B5571" t="s">
        <v>680</v>
      </c>
      <c r="C5571" s="83">
        <v>46217</v>
      </c>
      <c r="D5571" t="s">
        <v>685</v>
      </c>
      <c r="E5571" t="s">
        <v>800</v>
      </c>
      <c r="F5571">
        <v>2</v>
      </c>
      <c r="G5571">
        <v>0.83991666666666698</v>
      </c>
    </row>
    <row r="5572" spans="1:7" x14ac:dyDescent="0.35">
      <c r="A5572" t="s">
        <v>847</v>
      </c>
      <c r="B5572" t="s">
        <v>680</v>
      </c>
      <c r="C5572" s="83">
        <v>46217</v>
      </c>
      <c r="D5572" t="s">
        <v>682</v>
      </c>
      <c r="E5572" t="s">
        <v>311</v>
      </c>
      <c r="F5572">
        <v>7</v>
      </c>
      <c r="G5572">
        <v>348.38028333333301</v>
      </c>
    </row>
    <row r="5573" spans="1:7" x14ac:dyDescent="0.35">
      <c r="A5573" t="s">
        <v>847</v>
      </c>
      <c r="B5573" t="s">
        <v>680</v>
      </c>
      <c r="C5573" s="83">
        <v>46217</v>
      </c>
      <c r="D5573" t="s">
        <v>682</v>
      </c>
      <c r="E5573" t="s">
        <v>801</v>
      </c>
      <c r="F5573">
        <v>3</v>
      </c>
      <c r="G5573">
        <v>0.67293333333333305</v>
      </c>
    </row>
    <row r="5574" spans="1:7" x14ac:dyDescent="0.35">
      <c r="A5574" t="s">
        <v>847</v>
      </c>
      <c r="B5574" t="s">
        <v>680</v>
      </c>
      <c r="C5574" s="83">
        <v>46217</v>
      </c>
      <c r="D5574" t="s">
        <v>682</v>
      </c>
      <c r="E5574" t="s">
        <v>126</v>
      </c>
      <c r="F5574">
        <v>2</v>
      </c>
      <c r="G5574">
        <v>4.50043333333333</v>
      </c>
    </row>
    <row r="5575" spans="1:7" x14ac:dyDescent="0.35">
      <c r="A5575" t="s">
        <v>847</v>
      </c>
      <c r="B5575" t="s">
        <v>680</v>
      </c>
      <c r="C5575" s="83">
        <v>46217</v>
      </c>
      <c r="D5575" t="s">
        <v>686</v>
      </c>
      <c r="E5575" t="s">
        <v>802</v>
      </c>
      <c r="F5575">
        <v>7</v>
      </c>
      <c r="G5575">
        <v>128.19900000000001</v>
      </c>
    </row>
    <row r="5576" spans="1:7" x14ac:dyDescent="0.35">
      <c r="A5576" t="s">
        <v>847</v>
      </c>
      <c r="B5576" t="s">
        <v>680</v>
      </c>
      <c r="C5576" s="83">
        <v>46217</v>
      </c>
      <c r="D5576" t="s">
        <v>686</v>
      </c>
      <c r="E5576" t="s">
        <v>554</v>
      </c>
      <c r="F5576">
        <v>6</v>
      </c>
      <c r="G5576">
        <v>3.66706666666667</v>
      </c>
    </row>
    <row r="5577" spans="1:7" x14ac:dyDescent="0.35">
      <c r="A5577" t="s">
        <v>847</v>
      </c>
      <c r="B5577" t="s">
        <v>680</v>
      </c>
      <c r="C5577" s="83">
        <v>46217</v>
      </c>
      <c r="D5577" t="s">
        <v>686</v>
      </c>
      <c r="E5577" t="s">
        <v>798</v>
      </c>
      <c r="F5577">
        <v>2</v>
      </c>
      <c r="G5577">
        <v>723.56683333333297</v>
      </c>
    </row>
    <row r="5578" spans="1:7" x14ac:dyDescent="0.35">
      <c r="A5578" t="s">
        <v>847</v>
      </c>
      <c r="B5578" t="s">
        <v>680</v>
      </c>
      <c r="C5578" s="83">
        <v>46218</v>
      </c>
      <c r="D5578" t="s">
        <v>681</v>
      </c>
      <c r="E5578" t="s">
        <v>296</v>
      </c>
      <c r="F5578">
        <v>25</v>
      </c>
      <c r="G5578">
        <v>10.9971833333333</v>
      </c>
    </row>
    <row r="5579" spans="1:7" x14ac:dyDescent="0.35">
      <c r="A5579" t="s">
        <v>847</v>
      </c>
      <c r="B5579" t="s">
        <v>680</v>
      </c>
      <c r="C5579" s="83">
        <v>46218</v>
      </c>
      <c r="D5579" t="s">
        <v>681</v>
      </c>
      <c r="E5579" t="s">
        <v>297</v>
      </c>
      <c r="F5579">
        <v>21</v>
      </c>
      <c r="G5579">
        <v>9.9903666666666702</v>
      </c>
    </row>
    <row r="5580" spans="1:7" x14ac:dyDescent="0.35">
      <c r="A5580" t="s">
        <v>847</v>
      </c>
      <c r="B5580" t="s">
        <v>680</v>
      </c>
      <c r="C5580" s="83">
        <v>46218</v>
      </c>
      <c r="D5580" t="s">
        <v>681</v>
      </c>
      <c r="E5580" t="s">
        <v>728</v>
      </c>
      <c r="F5580">
        <v>17</v>
      </c>
      <c r="G5580">
        <v>6.84296666666667</v>
      </c>
    </row>
    <row r="5581" spans="1:7" x14ac:dyDescent="0.35">
      <c r="A5581" t="s">
        <v>847</v>
      </c>
      <c r="B5581" t="s">
        <v>680</v>
      </c>
      <c r="C5581" s="83">
        <v>46218</v>
      </c>
      <c r="D5581" t="s">
        <v>683</v>
      </c>
      <c r="E5581" t="s">
        <v>334</v>
      </c>
      <c r="F5581">
        <v>10</v>
      </c>
      <c r="G5581">
        <v>3.4905166666666698</v>
      </c>
    </row>
    <row r="5582" spans="1:7" x14ac:dyDescent="0.35">
      <c r="A5582" t="s">
        <v>847</v>
      </c>
      <c r="B5582" t="s">
        <v>680</v>
      </c>
      <c r="C5582" s="83">
        <v>46218</v>
      </c>
      <c r="D5582" t="s">
        <v>683</v>
      </c>
      <c r="E5582" t="s">
        <v>727</v>
      </c>
      <c r="F5582">
        <v>9</v>
      </c>
      <c r="G5582">
        <v>2.97525</v>
      </c>
    </row>
    <row r="5583" spans="1:7" x14ac:dyDescent="0.35">
      <c r="A5583" t="s">
        <v>847</v>
      </c>
      <c r="B5583" t="s">
        <v>680</v>
      </c>
      <c r="C5583" s="83">
        <v>46218</v>
      </c>
      <c r="D5583" t="s">
        <v>683</v>
      </c>
      <c r="E5583" t="s">
        <v>728</v>
      </c>
      <c r="F5583">
        <v>8</v>
      </c>
      <c r="G5583">
        <v>4.4960833333333303</v>
      </c>
    </row>
    <row r="5584" spans="1:7" x14ac:dyDescent="0.35">
      <c r="A5584" t="s">
        <v>847</v>
      </c>
      <c r="B5584" t="s">
        <v>680</v>
      </c>
      <c r="C5584" s="83">
        <v>46218</v>
      </c>
      <c r="D5584" t="s">
        <v>689</v>
      </c>
      <c r="E5584" t="s">
        <v>296</v>
      </c>
      <c r="F5584">
        <v>22</v>
      </c>
      <c r="G5584">
        <v>33.827566666666698</v>
      </c>
    </row>
    <row r="5585" spans="1:7" x14ac:dyDescent="0.35">
      <c r="A5585" t="s">
        <v>847</v>
      </c>
      <c r="B5585" t="s">
        <v>680</v>
      </c>
      <c r="C5585" s="83">
        <v>46218</v>
      </c>
      <c r="D5585" t="s">
        <v>689</v>
      </c>
      <c r="E5585" t="s">
        <v>298</v>
      </c>
      <c r="F5585">
        <v>18</v>
      </c>
      <c r="G5585">
        <v>12.1849166666667</v>
      </c>
    </row>
    <row r="5586" spans="1:7" x14ac:dyDescent="0.35">
      <c r="A5586" t="s">
        <v>847</v>
      </c>
      <c r="B5586" t="s">
        <v>680</v>
      </c>
      <c r="C5586" s="83">
        <v>46218</v>
      </c>
      <c r="D5586" t="s">
        <v>689</v>
      </c>
      <c r="E5586" t="s">
        <v>297</v>
      </c>
      <c r="F5586">
        <v>8</v>
      </c>
      <c r="G5586">
        <v>6.5016333333333298</v>
      </c>
    </row>
    <row r="5587" spans="1:7" x14ac:dyDescent="0.35">
      <c r="A5587" t="s">
        <v>847</v>
      </c>
      <c r="B5587" t="s">
        <v>680</v>
      </c>
      <c r="C5587" s="83">
        <v>46218</v>
      </c>
      <c r="D5587" t="s">
        <v>684</v>
      </c>
      <c r="E5587" t="s">
        <v>728</v>
      </c>
      <c r="F5587">
        <v>8</v>
      </c>
      <c r="G5587">
        <v>6.0025166666666703</v>
      </c>
    </row>
    <row r="5588" spans="1:7" x14ac:dyDescent="0.35">
      <c r="A5588" t="s">
        <v>847</v>
      </c>
      <c r="B5588" t="s">
        <v>680</v>
      </c>
      <c r="C5588" s="83">
        <v>46218</v>
      </c>
      <c r="D5588" t="s">
        <v>684</v>
      </c>
      <c r="E5588" t="s">
        <v>296</v>
      </c>
      <c r="F5588">
        <v>7</v>
      </c>
      <c r="G5588">
        <v>4.1615500000000001</v>
      </c>
    </row>
    <row r="5589" spans="1:7" x14ac:dyDescent="0.35">
      <c r="A5589" t="s">
        <v>847</v>
      </c>
      <c r="B5589" t="s">
        <v>680</v>
      </c>
      <c r="C5589" s="83">
        <v>46218</v>
      </c>
      <c r="D5589" t="s">
        <v>684</v>
      </c>
      <c r="E5589" t="s">
        <v>304</v>
      </c>
      <c r="F5589">
        <v>5</v>
      </c>
      <c r="G5589">
        <v>1.84551666666667</v>
      </c>
    </row>
    <row r="5590" spans="1:7" x14ac:dyDescent="0.35">
      <c r="A5590" t="s">
        <v>847</v>
      </c>
      <c r="B5590" t="s">
        <v>680</v>
      </c>
      <c r="C5590" s="83">
        <v>46218</v>
      </c>
      <c r="D5590" t="s">
        <v>687</v>
      </c>
      <c r="E5590" t="s">
        <v>718</v>
      </c>
      <c r="F5590">
        <v>7</v>
      </c>
      <c r="G5590">
        <v>2.6674000000000002</v>
      </c>
    </row>
    <row r="5591" spans="1:7" x14ac:dyDescent="0.35">
      <c r="A5591" t="s">
        <v>847</v>
      </c>
      <c r="B5591" t="s">
        <v>680</v>
      </c>
      <c r="C5591" s="83">
        <v>46218</v>
      </c>
      <c r="D5591" t="s">
        <v>687</v>
      </c>
      <c r="E5591" t="s">
        <v>752</v>
      </c>
      <c r="F5591">
        <v>4</v>
      </c>
      <c r="G5591">
        <v>1.8185833333333301</v>
      </c>
    </row>
    <row r="5592" spans="1:7" x14ac:dyDescent="0.35">
      <c r="A5592" t="s">
        <v>847</v>
      </c>
      <c r="B5592" t="s">
        <v>680</v>
      </c>
      <c r="C5592" s="83">
        <v>46218</v>
      </c>
      <c r="D5592" t="s">
        <v>687</v>
      </c>
      <c r="E5592" t="s">
        <v>717</v>
      </c>
      <c r="F5592">
        <v>3</v>
      </c>
      <c r="G5592">
        <v>6.6591500000000003</v>
      </c>
    </row>
    <row r="5593" spans="1:7" x14ac:dyDescent="0.35">
      <c r="A5593" t="s">
        <v>847</v>
      </c>
      <c r="B5593" t="s">
        <v>680</v>
      </c>
      <c r="C5593" s="83">
        <v>46218</v>
      </c>
      <c r="D5593" t="s">
        <v>688</v>
      </c>
      <c r="E5593" t="s">
        <v>316</v>
      </c>
      <c r="F5593">
        <v>9</v>
      </c>
      <c r="G5593">
        <v>4.1638166666666701</v>
      </c>
    </row>
    <row r="5594" spans="1:7" x14ac:dyDescent="0.35">
      <c r="A5594" t="s">
        <v>847</v>
      </c>
      <c r="B5594" t="s">
        <v>680</v>
      </c>
      <c r="C5594" s="83">
        <v>46218</v>
      </c>
      <c r="D5594" t="s">
        <v>688</v>
      </c>
      <c r="E5594" t="s">
        <v>311</v>
      </c>
      <c r="F5594">
        <v>9</v>
      </c>
      <c r="G5594">
        <v>7.3178333333333301</v>
      </c>
    </row>
    <row r="5595" spans="1:7" x14ac:dyDescent="0.35">
      <c r="A5595" t="s">
        <v>847</v>
      </c>
      <c r="B5595" t="s">
        <v>680</v>
      </c>
      <c r="C5595" s="83">
        <v>46218</v>
      </c>
      <c r="D5595" t="s">
        <v>688</v>
      </c>
      <c r="E5595" t="s">
        <v>786</v>
      </c>
      <c r="F5595">
        <v>2</v>
      </c>
      <c r="G5595">
        <v>1.1587666666666701</v>
      </c>
    </row>
    <row r="5596" spans="1:7" x14ac:dyDescent="0.35">
      <c r="A5596" t="s">
        <v>847</v>
      </c>
      <c r="B5596" t="s">
        <v>680</v>
      </c>
      <c r="C5596" s="83">
        <v>46218</v>
      </c>
      <c r="D5596" t="s">
        <v>690</v>
      </c>
      <c r="E5596" t="s">
        <v>311</v>
      </c>
      <c r="F5596">
        <v>10</v>
      </c>
      <c r="G5596">
        <v>4.3349166666666701</v>
      </c>
    </row>
    <row r="5597" spans="1:7" x14ac:dyDescent="0.35">
      <c r="A5597" t="s">
        <v>847</v>
      </c>
      <c r="B5597" t="s">
        <v>680</v>
      </c>
      <c r="C5597" s="83">
        <v>46218</v>
      </c>
      <c r="D5597" t="s">
        <v>690</v>
      </c>
      <c r="E5597" t="s">
        <v>316</v>
      </c>
      <c r="F5597">
        <v>6</v>
      </c>
      <c r="G5597">
        <v>3.0000499999999999</v>
      </c>
    </row>
    <row r="5598" spans="1:7" x14ac:dyDescent="0.35">
      <c r="A5598" t="s">
        <v>847</v>
      </c>
      <c r="B5598" t="s">
        <v>680</v>
      </c>
      <c r="C5598" s="83">
        <v>46218</v>
      </c>
      <c r="D5598" t="s">
        <v>690</v>
      </c>
      <c r="E5598" t="s">
        <v>720</v>
      </c>
      <c r="F5598">
        <v>5</v>
      </c>
      <c r="G5598">
        <v>16.835750000000001</v>
      </c>
    </row>
    <row r="5599" spans="1:7" x14ac:dyDescent="0.35">
      <c r="A5599" t="s">
        <v>847</v>
      </c>
      <c r="B5599" t="s">
        <v>680</v>
      </c>
      <c r="C5599" s="83">
        <v>46218</v>
      </c>
      <c r="D5599" t="s">
        <v>685</v>
      </c>
      <c r="E5599" t="s">
        <v>311</v>
      </c>
      <c r="F5599">
        <v>18</v>
      </c>
      <c r="G5599">
        <v>10.19735</v>
      </c>
    </row>
    <row r="5600" spans="1:7" x14ac:dyDescent="0.35">
      <c r="A5600" t="s">
        <v>847</v>
      </c>
      <c r="B5600" t="s">
        <v>680</v>
      </c>
      <c r="C5600" s="83">
        <v>46218</v>
      </c>
      <c r="D5600" t="s">
        <v>685</v>
      </c>
      <c r="E5600" t="s">
        <v>800</v>
      </c>
      <c r="F5600">
        <v>8</v>
      </c>
      <c r="G5600">
        <v>137.52228333333301</v>
      </c>
    </row>
    <row r="5601" spans="1:7" x14ac:dyDescent="0.35">
      <c r="A5601" t="s">
        <v>847</v>
      </c>
      <c r="B5601" t="s">
        <v>680</v>
      </c>
      <c r="C5601" s="83">
        <v>46218</v>
      </c>
      <c r="D5601" t="s">
        <v>685</v>
      </c>
      <c r="E5601" t="s">
        <v>322</v>
      </c>
      <c r="F5601">
        <v>3</v>
      </c>
      <c r="G5601">
        <v>1.3325833333333299</v>
      </c>
    </row>
    <row r="5602" spans="1:7" x14ac:dyDescent="0.35">
      <c r="A5602" t="s">
        <v>847</v>
      </c>
      <c r="B5602" t="s">
        <v>680</v>
      </c>
      <c r="C5602" s="83">
        <v>46218</v>
      </c>
      <c r="D5602" t="s">
        <v>682</v>
      </c>
      <c r="E5602" t="s">
        <v>793</v>
      </c>
      <c r="F5602">
        <v>9</v>
      </c>
      <c r="G5602">
        <v>31.828766666666699</v>
      </c>
    </row>
    <row r="5603" spans="1:7" x14ac:dyDescent="0.35">
      <c r="A5603" t="s">
        <v>847</v>
      </c>
      <c r="B5603" t="s">
        <v>680</v>
      </c>
      <c r="C5603" s="83">
        <v>46218</v>
      </c>
      <c r="D5603" t="s">
        <v>682</v>
      </c>
      <c r="E5603" t="s">
        <v>311</v>
      </c>
      <c r="F5603">
        <v>8</v>
      </c>
      <c r="G5603">
        <v>5.9888666666666701</v>
      </c>
    </row>
    <row r="5604" spans="1:7" x14ac:dyDescent="0.35">
      <c r="A5604" t="s">
        <v>847</v>
      </c>
      <c r="B5604" t="s">
        <v>680</v>
      </c>
      <c r="C5604" s="83">
        <v>46218</v>
      </c>
      <c r="D5604" t="s">
        <v>682</v>
      </c>
      <c r="E5604" t="s">
        <v>720</v>
      </c>
      <c r="F5604">
        <v>3</v>
      </c>
      <c r="G5604">
        <v>1.66946666666667</v>
      </c>
    </row>
    <row r="5605" spans="1:7" x14ac:dyDescent="0.35">
      <c r="A5605" t="s">
        <v>847</v>
      </c>
      <c r="B5605" t="s">
        <v>680</v>
      </c>
      <c r="C5605" s="83">
        <v>46218</v>
      </c>
      <c r="D5605" t="s">
        <v>686</v>
      </c>
      <c r="E5605" t="s">
        <v>554</v>
      </c>
      <c r="F5605">
        <v>8</v>
      </c>
      <c r="G5605">
        <v>6.0067333333333304</v>
      </c>
    </row>
    <row r="5606" spans="1:7" x14ac:dyDescent="0.35">
      <c r="A5606" t="s">
        <v>847</v>
      </c>
      <c r="B5606" t="s">
        <v>680</v>
      </c>
      <c r="C5606" s="83">
        <v>46218</v>
      </c>
      <c r="D5606" t="s">
        <v>686</v>
      </c>
      <c r="E5606" t="s">
        <v>802</v>
      </c>
      <c r="F5606">
        <v>7</v>
      </c>
      <c r="G5606">
        <v>3.1683166666666702</v>
      </c>
    </row>
    <row r="5607" spans="1:7" x14ac:dyDescent="0.35">
      <c r="A5607" t="s">
        <v>847</v>
      </c>
      <c r="B5607" t="s">
        <v>680</v>
      </c>
      <c r="C5607" s="83">
        <v>46218</v>
      </c>
      <c r="D5607" t="s">
        <v>686</v>
      </c>
      <c r="E5607" t="s">
        <v>790</v>
      </c>
      <c r="F5607">
        <v>3</v>
      </c>
      <c r="G5607">
        <v>2.6679833333333298</v>
      </c>
    </row>
    <row r="5608" spans="1:7" x14ac:dyDescent="0.35">
      <c r="A5608" t="s">
        <v>847</v>
      </c>
      <c r="B5608" t="s">
        <v>680</v>
      </c>
      <c r="C5608" s="83">
        <v>46219</v>
      </c>
      <c r="D5608" t="s">
        <v>681</v>
      </c>
      <c r="E5608" t="s">
        <v>297</v>
      </c>
      <c r="F5608">
        <v>17</v>
      </c>
      <c r="G5608">
        <v>4.8309499999999996</v>
      </c>
    </row>
    <row r="5609" spans="1:7" x14ac:dyDescent="0.35">
      <c r="A5609" t="s">
        <v>847</v>
      </c>
      <c r="B5609" t="s">
        <v>680</v>
      </c>
      <c r="C5609" s="83">
        <v>46219</v>
      </c>
      <c r="D5609" t="s">
        <v>681</v>
      </c>
      <c r="E5609" t="s">
        <v>296</v>
      </c>
      <c r="F5609">
        <v>7</v>
      </c>
      <c r="G5609">
        <v>1.85086666666667</v>
      </c>
    </row>
    <row r="5610" spans="1:7" x14ac:dyDescent="0.35">
      <c r="A5610" t="s">
        <v>847</v>
      </c>
      <c r="B5610" t="s">
        <v>680</v>
      </c>
      <c r="C5610" s="83">
        <v>46219</v>
      </c>
      <c r="D5610" t="s">
        <v>681</v>
      </c>
      <c r="E5610" t="s">
        <v>298</v>
      </c>
      <c r="F5610">
        <v>4</v>
      </c>
      <c r="G5610">
        <v>2.6680666666666699</v>
      </c>
    </row>
    <row r="5611" spans="1:7" x14ac:dyDescent="0.35">
      <c r="A5611" t="s">
        <v>847</v>
      </c>
      <c r="B5611" t="s">
        <v>680</v>
      </c>
      <c r="C5611" s="83">
        <v>46219</v>
      </c>
      <c r="D5611" t="s">
        <v>683</v>
      </c>
      <c r="E5611" t="s">
        <v>727</v>
      </c>
      <c r="F5611">
        <v>14</v>
      </c>
      <c r="G5611">
        <v>5.8485500000000004</v>
      </c>
    </row>
    <row r="5612" spans="1:7" x14ac:dyDescent="0.35">
      <c r="A5612" t="s">
        <v>847</v>
      </c>
      <c r="B5612" t="s">
        <v>680</v>
      </c>
      <c r="C5612" s="83">
        <v>46219</v>
      </c>
      <c r="D5612" t="s">
        <v>683</v>
      </c>
      <c r="E5612" t="s">
        <v>300</v>
      </c>
      <c r="F5612">
        <v>10</v>
      </c>
      <c r="G5612">
        <v>8.5547333333333295</v>
      </c>
    </row>
    <row r="5613" spans="1:7" x14ac:dyDescent="0.35">
      <c r="A5613" t="s">
        <v>847</v>
      </c>
      <c r="B5613" t="s">
        <v>680</v>
      </c>
      <c r="C5613" s="83">
        <v>46219</v>
      </c>
      <c r="D5613" t="s">
        <v>683</v>
      </c>
      <c r="E5613" t="s">
        <v>334</v>
      </c>
      <c r="F5613">
        <v>8</v>
      </c>
      <c r="G5613">
        <v>1.6660333333333299</v>
      </c>
    </row>
    <row r="5614" spans="1:7" x14ac:dyDescent="0.35">
      <c r="A5614" t="s">
        <v>847</v>
      </c>
      <c r="B5614" t="s">
        <v>680</v>
      </c>
      <c r="C5614" s="83">
        <v>46219</v>
      </c>
      <c r="D5614" t="s">
        <v>689</v>
      </c>
      <c r="E5614" t="s">
        <v>296</v>
      </c>
      <c r="F5614">
        <v>39</v>
      </c>
      <c r="G5614">
        <v>37.268366666666701</v>
      </c>
    </row>
    <row r="5615" spans="1:7" x14ac:dyDescent="0.35">
      <c r="A5615" t="s">
        <v>847</v>
      </c>
      <c r="B5615" t="s">
        <v>680</v>
      </c>
      <c r="C5615" s="83">
        <v>46219</v>
      </c>
      <c r="D5615" t="s">
        <v>689</v>
      </c>
      <c r="E5615" t="s">
        <v>298</v>
      </c>
      <c r="F5615">
        <v>18</v>
      </c>
      <c r="G5615">
        <v>23.904233333333298</v>
      </c>
    </row>
    <row r="5616" spans="1:7" x14ac:dyDescent="0.35">
      <c r="A5616" t="s">
        <v>847</v>
      </c>
      <c r="B5616" t="s">
        <v>680</v>
      </c>
      <c r="C5616" s="83">
        <v>46219</v>
      </c>
      <c r="D5616" t="s">
        <v>689</v>
      </c>
      <c r="E5616" t="s">
        <v>297</v>
      </c>
      <c r="F5616">
        <v>12</v>
      </c>
      <c r="G5616">
        <v>6.0784166666666701</v>
      </c>
    </row>
    <row r="5617" spans="1:7" x14ac:dyDescent="0.35">
      <c r="A5617" t="s">
        <v>847</v>
      </c>
      <c r="B5617" t="s">
        <v>680</v>
      </c>
      <c r="C5617" s="83">
        <v>46219</v>
      </c>
      <c r="D5617" t="s">
        <v>684</v>
      </c>
      <c r="E5617" t="s">
        <v>343</v>
      </c>
      <c r="F5617">
        <v>4</v>
      </c>
      <c r="G5617">
        <v>3.01853333333333</v>
      </c>
    </row>
    <row r="5618" spans="1:7" x14ac:dyDescent="0.35">
      <c r="A5618" t="s">
        <v>847</v>
      </c>
      <c r="B5618" t="s">
        <v>680</v>
      </c>
      <c r="C5618" s="83">
        <v>46219</v>
      </c>
      <c r="D5618" t="s">
        <v>684</v>
      </c>
      <c r="E5618" t="s">
        <v>728</v>
      </c>
      <c r="F5618">
        <v>3</v>
      </c>
      <c r="G5618">
        <v>2.6660166666666698</v>
      </c>
    </row>
    <row r="5619" spans="1:7" x14ac:dyDescent="0.35">
      <c r="A5619" t="s">
        <v>847</v>
      </c>
      <c r="B5619" t="s">
        <v>680</v>
      </c>
      <c r="C5619" s="83">
        <v>46219</v>
      </c>
      <c r="D5619" t="s">
        <v>684</v>
      </c>
      <c r="E5619" t="s">
        <v>737</v>
      </c>
      <c r="F5619">
        <v>3</v>
      </c>
      <c r="G5619">
        <v>3.69146666666667</v>
      </c>
    </row>
    <row r="5620" spans="1:7" x14ac:dyDescent="0.35">
      <c r="A5620" t="s">
        <v>847</v>
      </c>
      <c r="B5620" t="s">
        <v>680</v>
      </c>
      <c r="C5620" s="83">
        <v>46219</v>
      </c>
      <c r="D5620" t="s">
        <v>687</v>
      </c>
      <c r="E5620" t="s">
        <v>771</v>
      </c>
      <c r="F5620">
        <v>2</v>
      </c>
      <c r="G5620">
        <v>6.4450333333333303</v>
      </c>
    </row>
    <row r="5621" spans="1:7" x14ac:dyDescent="0.35">
      <c r="A5621" t="s">
        <v>847</v>
      </c>
      <c r="B5621" t="s">
        <v>680</v>
      </c>
      <c r="C5621" s="83">
        <v>46219</v>
      </c>
      <c r="D5621" t="s">
        <v>687</v>
      </c>
      <c r="E5621" t="s">
        <v>718</v>
      </c>
      <c r="F5621">
        <v>2</v>
      </c>
      <c r="G5621">
        <v>2.1962999999999999</v>
      </c>
    </row>
    <row r="5622" spans="1:7" x14ac:dyDescent="0.35">
      <c r="A5622" t="s">
        <v>847</v>
      </c>
      <c r="B5622" t="s">
        <v>680</v>
      </c>
      <c r="C5622" s="83">
        <v>46219</v>
      </c>
      <c r="D5622" t="s">
        <v>687</v>
      </c>
      <c r="E5622" t="s">
        <v>717</v>
      </c>
      <c r="F5622">
        <v>2</v>
      </c>
      <c r="G5622">
        <v>0.17248333333333299</v>
      </c>
    </row>
    <row r="5623" spans="1:7" x14ac:dyDescent="0.35">
      <c r="A5623" t="s">
        <v>847</v>
      </c>
      <c r="B5623" t="s">
        <v>680</v>
      </c>
      <c r="C5623" s="83">
        <v>46219</v>
      </c>
      <c r="D5623" t="s">
        <v>688</v>
      </c>
      <c r="E5623" t="s">
        <v>316</v>
      </c>
      <c r="F5623">
        <v>9</v>
      </c>
      <c r="G5623">
        <v>2.6687666666666701</v>
      </c>
    </row>
    <row r="5624" spans="1:7" x14ac:dyDescent="0.35">
      <c r="A5624" t="s">
        <v>847</v>
      </c>
      <c r="B5624" t="s">
        <v>680</v>
      </c>
      <c r="C5624" s="83">
        <v>46219</v>
      </c>
      <c r="D5624" t="s">
        <v>688</v>
      </c>
      <c r="E5624" t="s">
        <v>311</v>
      </c>
      <c r="F5624">
        <v>6</v>
      </c>
      <c r="G5624">
        <v>2.1688000000000001</v>
      </c>
    </row>
    <row r="5625" spans="1:7" x14ac:dyDescent="0.35">
      <c r="A5625" t="s">
        <v>847</v>
      </c>
      <c r="B5625" t="s">
        <v>680</v>
      </c>
      <c r="C5625" s="83">
        <v>46219</v>
      </c>
      <c r="D5625" t="s">
        <v>690</v>
      </c>
      <c r="E5625" t="s">
        <v>126</v>
      </c>
      <c r="F5625">
        <v>5</v>
      </c>
      <c r="G5625">
        <v>7.1980500000000003</v>
      </c>
    </row>
    <row r="5626" spans="1:7" x14ac:dyDescent="0.35">
      <c r="A5626" t="s">
        <v>847</v>
      </c>
      <c r="B5626" t="s">
        <v>680</v>
      </c>
      <c r="C5626" s="83">
        <v>46219</v>
      </c>
      <c r="D5626" t="s">
        <v>690</v>
      </c>
      <c r="E5626" t="s">
        <v>312</v>
      </c>
      <c r="F5626">
        <v>3</v>
      </c>
      <c r="G5626">
        <v>1.4770666666666701</v>
      </c>
    </row>
    <row r="5627" spans="1:7" x14ac:dyDescent="0.35">
      <c r="A5627" t="s">
        <v>847</v>
      </c>
      <c r="B5627" t="s">
        <v>680</v>
      </c>
      <c r="C5627" s="83">
        <v>46219</v>
      </c>
      <c r="D5627" t="s">
        <v>690</v>
      </c>
      <c r="E5627" t="s">
        <v>720</v>
      </c>
      <c r="F5627">
        <v>2</v>
      </c>
      <c r="G5627">
        <v>0.58884999999999998</v>
      </c>
    </row>
    <row r="5628" spans="1:7" x14ac:dyDescent="0.35">
      <c r="A5628" t="s">
        <v>847</v>
      </c>
      <c r="B5628" t="s">
        <v>680</v>
      </c>
      <c r="C5628" s="83">
        <v>46219</v>
      </c>
      <c r="D5628" t="s">
        <v>685</v>
      </c>
      <c r="E5628" t="s">
        <v>311</v>
      </c>
      <c r="F5628">
        <v>10</v>
      </c>
      <c r="G5628">
        <v>7.5960000000000001</v>
      </c>
    </row>
    <row r="5629" spans="1:7" x14ac:dyDescent="0.35">
      <c r="A5629" t="s">
        <v>847</v>
      </c>
      <c r="B5629" t="s">
        <v>680</v>
      </c>
      <c r="C5629" s="83">
        <v>46219</v>
      </c>
      <c r="D5629" t="s">
        <v>685</v>
      </c>
      <c r="E5629" t="s">
        <v>640</v>
      </c>
      <c r="F5629">
        <v>2</v>
      </c>
      <c r="G5629">
        <v>0.15833333333333299</v>
      </c>
    </row>
    <row r="5630" spans="1:7" x14ac:dyDescent="0.35">
      <c r="A5630" t="s">
        <v>847</v>
      </c>
      <c r="B5630" t="s">
        <v>680</v>
      </c>
      <c r="C5630" s="83">
        <v>46219</v>
      </c>
      <c r="D5630" t="s">
        <v>682</v>
      </c>
      <c r="E5630" t="s">
        <v>311</v>
      </c>
      <c r="F5630">
        <v>8</v>
      </c>
      <c r="G5630">
        <v>24.106283333333302</v>
      </c>
    </row>
    <row r="5631" spans="1:7" x14ac:dyDescent="0.35">
      <c r="A5631" t="s">
        <v>847</v>
      </c>
      <c r="B5631" t="s">
        <v>680</v>
      </c>
      <c r="C5631" s="83">
        <v>46219</v>
      </c>
      <c r="D5631" t="s">
        <v>682</v>
      </c>
      <c r="E5631" t="s">
        <v>793</v>
      </c>
      <c r="F5631">
        <v>2</v>
      </c>
      <c r="G5631">
        <v>0.30511666666666698</v>
      </c>
    </row>
    <row r="5632" spans="1:7" x14ac:dyDescent="0.35">
      <c r="A5632" t="s">
        <v>847</v>
      </c>
      <c r="B5632" t="s">
        <v>680</v>
      </c>
      <c r="C5632" s="83">
        <v>46219</v>
      </c>
      <c r="D5632" t="s">
        <v>682</v>
      </c>
      <c r="E5632" t="s">
        <v>770</v>
      </c>
      <c r="F5632">
        <v>2</v>
      </c>
      <c r="G5632">
        <v>17.303266666666701</v>
      </c>
    </row>
    <row r="5633" spans="1:7" x14ac:dyDescent="0.35">
      <c r="A5633" t="s">
        <v>847</v>
      </c>
      <c r="B5633" t="s">
        <v>680</v>
      </c>
      <c r="C5633" s="83">
        <v>46219</v>
      </c>
      <c r="D5633" t="s">
        <v>686</v>
      </c>
      <c r="E5633" t="s">
        <v>554</v>
      </c>
      <c r="F5633">
        <v>8</v>
      </c>
      <c r="G5633">
        <v>21.308033333333299</v>
      </c>
    </row>
    <row r="5634" spans="1:7" x14ac:dyDescent="0.35">
      <c r="A5634" t="s">
        <v>847</v>
      </c>
      <c r="B5634" t="s">
        <v>680</v>
      </c>
      <c r="C5634" s="83">
        <v>46219</v>
      </c>
      <c r="D5634" t="s">
        <v>686</v>
      </c>
      <c r="E5634" t="s">
        <v>802</v>
      </c>
      <c r="F5634">
        <v>6</v>
      </c>
      <c r="G5634">
        <v>4.02701666666667</v>
      </c>
    </row>
    <row r="5635" spans="1:7" x14ac:dyDescent="0.35">
      <c r="A5635" t="s">
        <v>847</v>
      </c>
      <c r="B5635" t="s">
        <v>680</v>
      </c>
      <c r="C5635" s="83">
        <v>46219</v>
      </c>
      <c r="D5635" t="s">
        <v>686</v>
      </c>
      <c r="E5635" t="s">
        <v>798</v>
      </c>
      <c r="F5635">
        <v>4</v>
      </c>
      <c r="G5635">
        <v>1.52393333333333</v>
      </c>
    </row>
    <row r="5636" spans="1:7" x14ac:dyDescent="0.35">
      <c r="A5636" t="s">
        <v>847</v>
      </c>
      <c r="B5636" t="s">
        <v>680</v>
      </c>
      <c r="C5636" s="83">
        <v>46220</v>
      </c>
      <c r="D5636" t="s">
        <v>681</v>
      </c>
      <c r="E5636" t="s">
        <v>297</v>
      </c>
      <c r="F5636">
        <v>8</v>
      </c>
      <c r="G5636">
        <v>2.6675833333333299</v>
      </c>
    </row>
    <row r="5637" spans="1:7" x14ac:dyDescent="0.35">
      <c r="A5637" t="s">
        <v>847</v>
      </c>
      <c r="B5637" t="s">
        <v>680</v>
      </c>
      <c r="C5637" s="83">
        <v>46220</v>
      </c>
      <c r="D5637" t="s">
        <v>681</v>
      </c>
      <c r="E5637" t="s">
        <v>298</v>
      </c>
      <c r="F5637">
        <v>5</v>
      </c>
      <c r="G5637">
        <v>7.6595166666666703</v>
      </c>
    </row>
    <row r="5638" spans="1:7" x14ac:dyDescent="0.35">
      <c r="A5638" t="s">
        <v>847</v>
      </c>
      <c r="B5638" t="s">
        <v>680</v>
      </c>
      <c r="C5638" s="83">
        <v>46220</v>
      </c>
      <c r="D5638" t="s">
        <v>681</v>
      </c>
      <c r="E5638" t="s">
        <v>300</v>
      </c>
      <c r="F5638">
        <v>3</v>
      </c>
      <c r="G5638">
        <v>2.3316499999999998</v>
      </c>
    </row>
    <row r="5639" spans="1:7" x14ac:dyDescent="0.35">
      <c r="A5639" t="s">
        <v>847</v>
      </c>
      <c r="B5639" t="s">
        <v>680</v>
      </c>
      <c r="C5639" s="83">
        <v>46220</v>
      </c>
      <c r="D5639" t="s">
        <v>683</v>
      </c>
      <c r="E5639" t="s">
        <v>298</v>
      </c>
      <c r="F5639">
        <v>14</v>
      </c>
      <c r="G5639">
        <v>23.5</v>
      </c>
    </row>
    <row r="5640" spans="1:7" x14ac:dyDescent="0.35">
      <c r="A5640" t="s">
        <v>847</v>
      </c>
      <c r="B5640" t="s">
        <v>680</v>
      </c>
      <c r="C5640" s="83">
        <v>46220</v>
      </c>
      <c r="D5640" t="s">
        <v>683</v>
      </c>
      <c r="E5640" t="s">
        <v>727</v>
      </c>
      <c r="F5640">
        <v>12</v>
      </c>
      <c r="G5640">
        <v>6.1820833333333303</v>
      </c>
    </row>
    <row r="5641" spans="1:7" x14ac:dyDescent="0.35">
      <c r="A5641" t="s">
        <v>847</v>
      </c>
      <c r="B5641" t="s">
        <v>680</v>
      </c>
      <c r="C5641" s="83">
        <v>46220</v>
      </c>
      <c r="D5641" t="s">
        <v>683</v>
      </c>
      <c r="E5641" t="s">
        <v>300</v>
      </c>
      <c r="F5641">
        <v>7</v>
      </c>
      <c r="G5641">
        <v>4.8494333333333302</v>
      </c>
    </row>
    <row r="5642" spans="1:7" x14ac:dyDescent="0.35">
      <c r="A5642" t="s">
        <v>847</v>
      </c>
      <c r="B5642" t="s">
        <v>680</v>
      </c>
      <c r="C5642" s="83">
        <v>46220</v>
      </c>
      <c r="D5642" t="s">
        <v>689</v>
      </c>
      <c r="E5642" t="s">
        <v>296</v>
      </c>
      <c r="F5642">
        <v>35</v>
      </c>
      <c r="G5642">
        <v>17.679383333333298</v>
      </c>
    </row>
    <row r="5643" spans="1:7" x14ac:dyDescent="0.35">
      <c r="A5643" t="s">
        <v>847</v>
      </c>
      <c r="B5643" t="s">
        <v>680</v>
      </c>
      <c r="C5643" s="83">
        <v>46220</v>
      </c>
      <c r="D5643" t="s">
        <v>689</v>
      </c>
      <c r="E5643" t="s">
        <v>298</v>
      </c>
      <c r="F5643">
        <v>27</v>
      </c>
      <c r="G5643">
        <v>27.8533333333333</v>
      </c>
    </row>
    <row r="5644" spans="1:7" x14ac:dyDescent="0.35">
      <c r="A5644" t="s">
        <v>847</v>
      </c>
      <c r="B5644" t="s">
        <v>680</v>
      </c>
      <c r="C5644" s="83">
        <v>46220</v>
      </c>
      <c r="D5644" t="s">
        <v>689</v>
      </c>
      <c r="E5644" t="s">
        <v>728</v>
      </c>
      <c r="F5644">
        <v>18</v>
      </c>
      <c r="G5644">
        <v>7.6941833333333296</v>
      </c>
    </row>
    <row r="5645" spans="1:7" x14ac:dyDescent="0.35">
      <c r="A5645" t="s">
        <v>847</v>
      </c>
      <c r="B5645" t="s">
        <v>680</v>
      </c>
      <c r="C5645" s="83">
        <v>46220</v>
      </c>
      <c r="D5645" t="s">
        <v>684</v>
      </c>
      <c r="E5645" t="s">
        <v>298</v>
      </c>
      <c r="F5645">
        <v>6</v>
      </c>
      <c r="G5645">
        <v>5.6749000000000001</v>
      </c>
    </row>
    <row r="5646" spans="1:7" x14ac:dyDescent="0.35">
      <c r="A5646" t="s">
        <v>847</v>
      </c>
      <c r="B5646" t="s">
        <v>680</v>
      </c>
      <c r="C5646" s="83">
        <v>46220</v>
      </c>
      <c r="D5646" t="s">
        <v>684</v>
      </c>
      <c r="E5646" t="s">
        <v>728</v>
      </c>
      <c r="F5646">
        <v>4</v>
      </c>
      <c r="G5646">
        <v>0.99793333333333301</v>
      </c>
    </row>
    <row r="5647" spans="1:7" x14ac:dyDescent="0.35">
      <c r="A5647" t="s">
        <v>847</v>
      </c>
      <c r="B5647" t="s">
        <v>680</v>
      </c>
      <c r="C5647" s="83">
        <v>46220</v>
      </c>
      <c r="D5647" t="s">
        <v>684</v>
      </c>
      <c r="E5647" t="s">
        <v>334</v>
      </c>
      <c r="F5647">
        <v>3</v>
      </c>
      <c r="G5647">
        <v>1.1737166666666701</v>
      </c>
    </row>
    <row r="5648" spans="1:7" x14ac:dyDescent="0.35">
      <c r="A5648" t="s">
        <v>847</v>
      </c>
      <c r="B5648" t="s">
        <v>680</v>
      </c>
      <c r="C5648" s="83">
        <v>46220</v>
      </c>
      <c r="D5648" t="s">
        <v>687</v>
      </c>
      <c r="E5648" t="s">
        <v>718</v>
      </c>
      <c r="F5648">
        <v>3</v>
      </c>
      <c r="G5648">
        <v>2.0023666666666702</v>
      </c>
    </row>
    <row r="5649" spans="1:7" x14ac:dyDescent="0.35">
      <c r="A5649" t="s">
        <v>847</v>
      </c>
      <c r="B5649" t="s">
        <v>680</v>
      </c>
      <c r="C5649" s="83">
        <v>46220</v>
      </c>
      <c r="D5649" t="s">
        <v>687</v>
      </c>
      <c r="E5649" t="s">
        <v>717</v>
      </c>
      <c r="F5649">
        <v>3</v>
      </c>
      <c r="G5649">
        <v>1.99301666666667</v>
      </c>
    </row>
    <row r="5650" spans="1:7" x14ac:dyDescent="0.35">
      <c r="A5650" t="s">
        <v>847</v>
      </c>
      <c r="B5650" t="s">
        <v>680</v>
      </c>
      <c r="C5650" s="83">
        <v>46220</v>
      </c>
      <c r="D5650" t="s">
        <v>687</v>
      </c>
      <c r="E5650" t="s">
        <v>740</v>
      </c>
      <c r="F5650">
        <v>2</v>
      </c>
      <c r="G5650">
        <v>4.0009499999999996</v>
      </c>
    </row>
    <row r="5651" spans="1:7" x14ac:dyDescent="0.35">
      <c r="A5651" t="s">
        <v>847</v>
      </c>
      <c r="B5651" t="s">
        <v>680</v>
      </c>
      <c r="C5651" s="83">
        <v>46220</v>
      </c>
      <c r="D5651" t="s">
        <v>688</v>
      </c>
      <c r="E5651" t="s">
        <v>316</v>
      </c>
      <c r="F5651">
        <v>4</v>
      </c>
      <c r="G5651">
        <v>0.66735</v>
      </c>
    </row>
    <row r="5652" spans="1:7" x14ac:dyDescent="0.35">
      <c r="A5652" t="s">
        <v>847</v>
      </c>
      <c r="B5652" t="s">
        <v>680</v>
      </c>
      <c r="C5652" s="83">
        <v>46220</v>
      </c>
      <c r="D5652" t="s">
        <v>688</v>
      </c>
      <c r="E5652" t="s">
        <v>311</v>
      </c>
      <c r="F5652">
        <v>4</v>
      </c>
      <c r="G5652">
        <v>1.84741666666667</v>
      </c>
    </row>
    <row r="5653" spans="1:7" x14ac:dyDescent="0.35">
      <c r="A5653" t="s">
        <v>847</v>
      </c>
      <c r="B5653" t="s">
        <v>680</v>
      </c>
      <c r="C5653" s="83">
        <v>46220</v>
      </c>
      <c r="D5653" t="s">
        <v>688</v>
      </c>
      <c r="E5653" t="s">
        <v>725</v>
      </c>
      <c r="F5653">
        <v>2</v>
      </c>
      <c r="G5653">
        <v>0.1666</v>
      </c>
    </row>
    <row r="5654" spans="1:7" x14ac:dyDescent="0.35">
      <c r="A5654" t="s">
        <v>847</v>
      </c>
      <c r="B5654" t="s">
        <v>680</v>
      </c>
      <c r="C5654" s="83">
        <v>46220</v>
      </c>
      <c r="D5654" t="s">
        <v>690</v>
      </c>
      <c r="E5654" t="s">
        <v>720</v>
      </c>
      <c r="F5654">
        <v>4</v>
      </c>
      <c r="G5654">
        <v>2.1680999999999999</v>
      </c>
    </row>
    <row r="5655" spans="1:7" x14ac:dyDescent="0.35">
      <c r="A5655" t="s">
        <v>847</v>
      </c>
      <c r="B5655" t="s">
        <v>680</v>
      </c>
      <c r="C5655" s="83">
        <v>46220</v>
      </c>
      <c r="D5655" t="s">
        <v>690</v>
      </c>
      <c r="E5655" t="s">
        <v>312</v>
      </c>
      <c r="F5655">
        <v>4</v>
      </c>
      <c r="G5655">
        <v>1.3157666666666701</v>
      </c>
    </row>
    <row r="5656" spans="1:7" x14ac:dyDescent="0.35">
      <c r="A5656" t="s">
        <v>847</v>
      </c>
      <c r="B5656" t="s">
        <v>680</v>
      </c>
      <c r="C5656" s="83">
        <v>46220</v>
      </c>
      <c r="D5656" t="s">
        <v>690</v>
      </c>
      <c r="E5656" t="s">
        <v>724</v>
      </c>
      <c r="F5656">
        <v>2</v>
      </c>
      <c r="G5656">
        <v>3.3406166666666701</v>
      </c>
    </row>
    <row r="5657" spans="1:7" x14ac:dyDescent="0.35">
      <c r="A5657" t="s">
        <v>847</v>
      </c>
      <c r="B5657" t="s">
        <v>680</v>
      </c>
      <c r="C5657" s="83">
        <v>46220</v>
      </c>
      <c r="D5657" t="s">
        <v>685</v>
      </c>
      <c r="E5657" t="s">
        <v>751</v>
      </c>
      <c r="F5657">
        <v>3</v>
      </c>
      <c r="G5657">
        <v>1.3360000000000001</v>
      </c>
    </row>
    <row r="5658" spans="1:7" x14ac:dyDescent="0.35">
      <c r="A5658" t="s">
        <v>847</v>
      </c>
      <c r="B5658" t="s">
        <v>680</v>
      </c>
      <c r="C5658" s="83">
        <v>46220</v>
      </c>
      <c r="D5658" t="s">
        <v>685</v>
      </c>
      <c r="E5658" t="s">
        <v>311</v>
      </c>
      <c r="F5658">
        <v>3</v>
      </c>
      <c r="G5658">
        <v>3.0001166666666701</v>
      </c>
    </row>
    <row r="5659" spans="1:7" x14ac:dyDescent="0.35">
      <c r="A5659" t="s">
        <v>847</v>
      </c>
      <c r="B5659" t="s">
        <v>680</v>
      </c>
      <c r="C5659" s="83">
        <v>46220</v>
      </c>
      <c r="D5659" t="s">
        <v>685</v>
      </c>
      <c r="E5659" t="s">
        <v>316</v>
      </c>
      <c r="F5659">
        <v>2</v>
      </c>
      <c r="G5659">
        <v>1.8245499999999999</v>
      </c>
    </row>
    <row r="5660" spans="1:7" x14ac:dyDescent="0.35">
      <c r="A5660" t="s">
        <v>847</v>
      </c>
      <c r="B5660" t="s">
        <v>680</v>
      </c>
      <c r="C5660" s="83">
        <v>46220</v>
      </c>
      <c r="D5660" t="s">
        <v>682</v>
      </c>
      <c r="E5660" t="s">
        <v>751</v>
      </c>
      <c r="F5660">
        <v>3</v>
      </c>
      <c r="G5660">
        <v>131.84598333333301</v>
      </c>
    </row>
    <row r="5661" spans="1:7" x14ac:dyDescent="0.35">
      <c r="A5661" t="s">
        <v>847</v>
      </c>
      <c r="B5661" t="s">
        <v>680</v>
      </c>
      <c r="C5661" s="83">
        <v>46220</v>
      </c>
      <c r="D5661" t="s">
        <v>682</v>
      </c>
      <c r="E5661" t="s">
        <v>321</v>
      </c>
      <c r="F5661">
        <v>3</v>
      </c>
      <c r="G5661">
        <v>1.6659666666666699</v>
      </c>
    </row>
    <row r="5662" spans="1:7" x14ac:dyDescent="0.35">
      <c r="A5662" t="s">
        <v>847</v>
      </c>
      <c r="B5662" t="s">
        <v>680</v>
      </c>
      <c r="C5662" s="83">
        <v>46220</v>
      </c>
      <c r="D5662" t="s">
        <v>682</v>
      </c>
      <c r="E5662" t="s">
        <v>793</v>
      </c>
      <c r="F5662">
        <v>3</v>
      </c>
      <c r="G5662">
        <v>1.1801333333333299</v>
      </c>
    </row>
    <row r="5663" spans="1:7" x14ac:dyDescent="0.35">
      <c r="A5663" t="s">
        <v>847</v>
      </c>
      <c r="B5663" t="s">
        <v>680</v>
      </c>
      <c r="C5663" s="83">
        <v>46220</v>
      </c>
      <c r="D5663" t="s">
        <v>686</v>
      </c>
      <c r="E5663" t="s">
        <v>803</v>
      </c>
      <c r="F5663">
        <v>4</v>
      </c>
      <c r="G5663">
        <v>4.83388333333333</v>
      </c>
    </row>
    <row r="5664" spans="1:7" x14ac:dyDescent="0.35">
      <c r="A5664" t="s">
        <v>847</v>
      </c>
      <c r="B5664" t="s">
        <v>680</v>
      </c>
      <c r="C5664" s="83">
        <v>46220</v>
      </c>
      <c r="D5664" t="s">
        <v>686</v>
      </c>
      <c r="E5664" t="s">
        <v>802</v>
      </c>
      <c r="F5664">
        <v>4</v>
      </c>
      <c r="G5664">
        <v>1.1674833333333301</v>
      </c>
    </row>
    <row r="5665" spans="1:7" x14ac:dyDescent="0.35">
      <c r="A5665" t="s">
        <v>847</v>
      </c>
      <c r="B5665" t="s">
        <v>680</v>
      </c>
      <c r="C5665" s="83">
        <v>46220</v>
      </c>
      <c r="D5665" t="s">
        <v>686</v>
      </c>
      <c r="E5665" t="s">
        <v>804</v>
      </c>
      <c r="F5665">
        <v>3</v>
      </c>
      <c r="G5665">
        <v>2.1665999999999999</v>
      </c>
    </row>
    <row r="5666" spans="1:7" x14ac:dyDescent="0.35">
      <c r="A5666" t="s">
        <v>847</v>
      </c>
      <c r="B5666" t="s">
        <v>680</v>
      </c>
      <c r="C5666" s="83">
        <v>46221</v>
      </c>
      <c r="D5666" t="s">
        <v>681</v>
      </c>
      <c r="E5666" t="s">
        <v>296</v>
      </c>
      <c r="F5666">
        <v>10</v>
      </c>
      <c r="G5666">
        <v>16.653199999999998</v>
      </c>
    </row>
    <row r="5667" spans="1:7" x14ac:dyDescent="0.35">
      <c r="A5667" t="s">
        <v>847</v>
      </c>
      <c r="B5667" t="s">
        <v>680</v>
      </c>
      <c r="C5667" s="83">
        <v>46221</v>
      </c>
      <c r="D5667" t="s">
        <v>681</v>
      </c>
      <c r="E5667" t="s">
        <v>297</v>
      </c>
      <c r="F5667">
        <v>9</v>
      </c>
      <c r="G5667">
        <v>6.6440000000000001</v>
      </c>
    </row>
    <row r="5668" spans="1:7" x14ac:dyDescent="0.35">
      <c r="A5668" t="s">
        <v>847</v>
      </c>
      <c r="B5668" t="s">
        <v>680</v>
      </c>
      <c r="C5668" s="83">
        <v>46221</v>
      </c>
      <c r="D5668" t="s">
        <v>681</v>
      </c>
      <c r="E5668" t="s">
        <v>298</v>
      </c>
      <c r="F5668">
        <v>7</v>
      </c>
      <c r="G5668">
        <v>8.8268500000000003</v>
      </c>
    </row>
    <row r="5669" spans="1:7" x14ac:dyDescent="0.35">
      <c r="A5669" t="s">
        <v>847</v>
      </c>
      <c r="B5669" t="s">
        <v>680</v>
      </c>
      <c r="C5669" s="83">
        <v>46221</v>
      </c>
      <c r="D5669" t="s">
        <v>683</v>
      </c>
      <c r="E5669" t="s">
        <v>298</v>
      </c>
      <c r="F5669">
        <v>15</v>
      </c>
      <c r="G5669">
        <v>23.3204833333333</v>
      </c>
    </row>
    <row r="5670" spans="1:7" x14ac:dyDescent="0.35">
      <c r="A5670" t="s">
        <v>847</v>
      </c>
      <c r="B5670" t="s">
        <v>680</v>
      </c>
      <c r="C5670" s="83">
        <v>46221</v>
      </c>
      <c r="D5670" t="s">
        <v>683</v>
      </c>
      <c r="E5670" t="s">
        <v>727</v>
      </c>
      <c r="F5670">
        <v>10</v>
      </c>
      <c r="G5670">
        <v>4.83995</v>
      </c>
    </row>
    <row r="5671" spans="1:7" x14ac:dyDescent="0.35">
      <c r="A5671" t="s">
        <v>847</v>
      </c>
      <c r="B5671" t="s">
        <v>680</v>
      </c>
      <c r="C5671" s="83">
        <v>46221</v>
      </c>
      <c r="D5671" t="s">
        <v>683</v>
      </c>
      <c r="E5671" t="s">
        <v>296</v>
      </c>
      <c r="F5671">
        <v>9</v>
      </c>
      <c r="G5671">
        <v>12.835333333333301</v>
      </c>
    </row>
    <row r="5672" spans="1:7" x14ac:dyDescent="0.35">
      <c r="A5672" t="s">
        <v>847</v>
      </c>
      <c r="B5672" t="s">
        <v>680</v>
      </c>
      <c r="C5672" s="83">
        <v>46221</v>
      </c>
      <c r="D5672" t="s">
        <v>689</v>
      </c>
      <c r="E5672" t="s">
        <v>298</v>
      </c>
      <c r="F5672">
        <v>19</v>
      </c>
      <c r="G5672">
        <v>12.323</v>
      </c>
    </row>
    <row r="5673" spans="1:7" x14ac:dyDescent="0.35">
      <c r="A5673" t="s">
        <v>847</v>
      </c>
      <c r="B5673" t="s">
        <v>680</v>
      </c>
      <c r="C5673" s="83">
        <v>46221</v>
      </c>
      <c r="D5673" t="s">
        <v>689</v>
      </c>
      <c r="E5673" t="s">
        <v>297</v>
      </c>
      <c r="F5673">
        <v>12</v>
      </c>
      <c r="G5673">
        <v>5.3283500000000004</v>
      </c>
    </row>
    <row r="5674" spans="1:7" x14ac:dyDescent="0.35">
      <c r="A5674" t="s">
        <v>847</v>
      </c>
      <c r="B5674" t="s">
        <v>680</v>
      </c>
      <c r="C5674" s="83">
        <v>46221</v>
      </c>
      <c r="D5674" t="s">
        <v>689</v>
      </c>
      <c r="E5674" t="s">
        <v>296</v>
      </c>
      <c r="F5674">
        <v>8</v>
      </c>
      <c r="G5674">
        <v>2.8421333333333298</v>
      </c>
    </row>
    <row r="5675" spans="1:7" x14ac:dyDescent="0.35">
      <c r="A5675" t="s">
        <v>847</v>
      </c>
      <c r="B5675" t="s">
        <v>680</v>
      </c>
      <c r="C5675" s="83">
        <v>46221</v>
      </c>
      <c r="D5675" t="s">
        <v>684</v>
      </c>
      <c r="E5675" t="s">
        <v>296</v>
      </c>
      <c r="F5675">
        <v>4</v>
      </c>
      <c r="G5675">
        <v>1.50115</v>
      </c>
    </row>
    <row r="5676" spans="1:7" x14ac:dyDescent="0.35">
      <c r="A5676" t="s">
        <v>847</v>
      </c>
      <c r="B5676" t="s">
        <v>680</v>
      </c>
      <c r="C5676" s="83">
        <v>46221</v>
      </c>
      <c r="D5676" t="s">
        <v>684</v>
      </c>
      <c r="E5676" t="s">
        <v>298</v>
      </c>
      <c r="F5676">
        <v>4</v>
      </c>
      <c r="G5676">
        <v>3.8318166666666702</v>
      </c>
    </row>
    <row r="5677" spans="1:7" x14ac:dyDescent="0.35">
      <c r="A5677" t="s">
        <v>847</v>
      </c>
      <c r="B5677" t="s">
        <v>680</v>
      </c>
      <c r="C5677" s="83">
        <v>46221</v>
      </c>
      <c r="D5677" t="s">
        <v>684</v>
      </c>
      <c r="E5677" t="s">
        <v>728</v>
      </c>
      <c r="F5677">
        <v>3</v>
      </c>
      <c r="G5677">
        <v>1.1674166666666701</v>
      </c>
    </row>
    <row r="5678" spans="1:7" x14ac:dyDescent="0.35">
      <c r="A5678" t="s">
        <v>847</v>
      </c>
      <c r="B5678" t="s">
        <v>680</v>
      </c>
      <c r="C5678" s="83">
        <v>46221</v>
      </c>
      <c r="D5678" t="s">
        <v>687</v>
      </c>
      <c r="E5678" t="s">
        <v>746</v>
      </c>
      <c r="F5678">
        <v>3</v>
      </c>
      <c r="G5678">
        <v>7.0016666666666696</v>
      </c>
    </row>
    <row r="5679" spans="1:7" x14ac:dyDescent="0.35">
      <c r="A5679" t="s">
        <v>847</v>
      </c>
      <c r="B5679" t="s">
        <v>680</v>
      </c>
      <c r="C5679" s="83">
        <v>46221</v>
      </c>
      <c r="D5679" t="s">
        <v>687</v>
      </c>
      <c r="E5679" t="s">
        <v>717</v>
      </c>
      <c r="F5679">
        <v>3</v>
      </c>
      <c r="G5679">
        <v>4.1736000000000004</v>
      </c>
    </row>
    <row r="5680" spans="1:7" x14ac:dyDescent="0.35">
      <c r="A5680" t="s">
        <v>847</v>
      </c>
      <c r="B5680" t="s">
        <v>680</v>
      </c>
      <c r="C5680" s="83">
        <v>46221</v>
      </c>
      <c r="D5680" t="s">
        <v>687</v>
      </c>
      <c r="E5680" t="s">
        <v>718</v>
      </c>
      <c r="F5680">
        <v>3</v>
      </c>
      <c r="G5680">
        <v>1.4998166666666699</v>
      </c>
    </row>
    <row r="5681" spans="1:7" x14ac:dyDescent="0.35">
      <c r="A5681" t="s">
        <v>847</v>
      </c>
      <c r="B5681" t="s">
        <v>680</v>
      </c>
      <c r="C5681" s="83">
        <v>46221</v>
      </c>
      <c r="D5681" t="s">
        <v>688</v>
      </c>
      <c r="E5681" t="s">
        <v>311</v>
      </c>
      <c r="F5681">
        <v>4</v>
      </c>
      <c r="G5681">
        <v>2.0079500000000001</v>
      </c>
    </row>
    <row r="5682" spans="1:7" x14ac:dyDescent="0.35">
      <c r="A5682" t="s">
        <v>847</v>
      </c>
      <c r="B5682" t="s">
        <v>680</v>
      </c>
      <c r="C5682" s="83">
        <v>46221</v>
      </c>
      <c r="D5682" t="s">
        <v>688</v>
      </c>
      <c r="E5682" t="s">
        <v>720</v>
      </c>
      <c r="F5682">
        <v>3</v>
      </c>
      <c r="G5682">
        <v>0.49125000000000002</v>
      </c>
    </row>
    <row r="5683" spans="1:7" x14ac:dyDescent="0.35">
      <c r="A5683" t="s">
        <v>847</v>
      </c>
      <c r="B5683" t="s">
        <v>680</v>
      </c>
      <c r="C5683" s="83">
        <v>46221</v>
      </c>
      <c r="D5683" t="s">
        <v>688</v>
      </c>
      <c r="E5683" t="s">
        <v>774</v>
      </c>
      <c r="F5683">
        <v>2</v>
      </c>
      <c r="G5683">
        <v>0.99763333333333304</v>
      </c>
    </row>
    <row r="5684" spans="1:7" x14ac:dyDescent="0.35">
      <c r="A5684" t="s">
        <v>847</v>
      </c>
      <c r="B5684" t="s">
        <v>680</v>
      </c>
      <c r="C5684" s="83">
        <v>46221</v>
      </c>
      <c r="D5684" t="s">
        <v>690</v>
      </c>
      <c r="E5684" t="s">
        <v>312</v>
      </c>
      <c r="F5684">
        <v>14</v>
      </c>
      <c r="G5684">
        <v>7.32703333333333</v>
      </c>
    </row>
    <row r="5685" spans="1:7" x14ac:dyDescent="0.35">
      <c r="A5685" t="s">
        <v>847</v>
      </c>
      <c r="B5685" t="s">
        <v>680</v>
      </c>
      <c r="C5685" s="83">
        <v>46221</v>
      </c>
      <c r="D5685" t="s">
        <v>690</v>
      </c>
      <c r="E5685" t="s">
        <v>311</v>
      </c>
      <c r="F5685">
        <v>11</v>
      </c>
      <c r="G5685">
        <v>6.0091999999999999</v>
      </c>
    </row>
    <row r="5686" spans="1:7" x14ac:dyDescent="0.35">
      <c r="A5686" t="s">
        <v>847</v>
      </c>
      <c r="B5686" t="s">
        <v>680</v>
      </c>
      <c r="C5686" s="83">
        <v>46221</v>
      </c>
      <c r="D5686" t="s">
        <v>690</v>
      </c>
      <c r="E5686" t="s">
        <v>723</v>
      </c>
      <c r="F5686">
        <v>4</v>
      </c>
      <c r="G5686">
        <v>29.852266666666701</v>
      </c>
    </row>
    <row r="5687" spans="1:7" x14ac:dyDescent="0.35">
      <c r="A5687" t="s">
        <v>847</v>
      </c>
      <c r="B5687" t="s">
        <v>680</v>
      </c>
      <c r="C5687" s="83">
        <v>46221</v>
      </c>
      <c r="D5687" t="s">
        <v>685</v>
      </c>
      <c r="E5687" t="s">
        <v>311</v>
      </c>
      <c r="F5687">
        <v>8</v>
      </c>
      <c r="G5687">
        <v>6.8262833333333299</v>
      </c>
    </row>
    <row r="5688" spans="1:7" x14ac:dyDescent="0.35">
      <c r="A5688" t="s">
        <v>847</v>
      </c>
      <c r="B5688" t="s">
        <v>680</v>
      </c>
      <c r="C5688" s="83">
        <v>46221</v>
      </c>
      <c r="D5688" t="s">
        <v>685</v>
      </c>
      <c r="E5688" t="s">
        <v>316</v>
      </c>
      <c r="F5688">
        <v>3</v>
      </c>
      <c r="G5688">
        <v>7.0092999999999996</v>
      </c>
    </row>
    <row r="5689" spans="1:7" x14ac:dyDescent="0.35">
      <c r="A5689" t="s">
        <v>847</v>
      </c>
      <c r="B5689" t="s">
        <v>680</v>
      </c>
      <c r="C5689" s="83">
        <v>46221</v>
      </c>
      <c r="D5689" t="s">
        <v>685</v>
      </c>
      <c r="E5689" t="s">
        <v>774</v>
      </c>
      <c r="F5689">
        <v>3</v>
      </c>
      <c r="G5689">
        <v>0.840716666666667</v>
      </c>
    </row>
    <row r="5690" spans="1:7" x14ac:dyDescent="0.35">
      <c r="A5690" t="s">
        <v>847</v>
      </c>
      <c r="B5690" t="s">
        <v>680</v>
      </c>
      <c r="C5690" s="83">
        <v>46221</v>
      </c>
      <c r="D5690" t="s">
        <v>682</v>
      </c>
      <c r="E5690" t="s">
        <v>793</v>
      </c>
      <c r="F5690">
        <v>4</v>
      </c>
      <c r="G5690">
        <v>2.9954499999999999</v>
      </c>
    </row>
    <row r="5691" spans="1:7" x14ac:dyDescent="0.35">
      <c r="A5691" t="s">
        <v>847</v>
      </c>
      <c r="B5691" t="s">
        <v>680</v>
      </c>
      <c r="C5691" s="83">
        <v>46221</v>
      </c>
      <c r="D5691" t="s">
        <v>682</v>
      </c>
      <c r="E5691" t="s">
        <v>805</v>
      </c>
      <c r="F5691">
        <v>2</v>
      </c>
      <c r="G5691">
        <v>1.00728333333333</v>
      </c>
    </row>
    <row r="5692" spans="1:7" x14ac:dyDescent="0.35">
      <c r="A5692" t="s">
        <v>847</v>
      </c>
      <c r="B5692" t="s">
        <v>680</v>
      </c>
      <c r="C5692" s="83">
        <v>46221</v>
      </c>
      <c r="D5692" t="s">
        <v>682</v>
      </c>
      <c r="E5692" t="s">
        <v>126</v>
      </c>
      <c r="F5692">
        <v>2</v>
      </c>
      <c r="G5692">
        <v>1.1616833333333301</v>
      </c>
    </row>
    <row r="5693" spans="1:7" x14ac:dyDescent="0.35">
      <c r="A5693" t="s">
        <v>847</v>
      </c>
      <c r="B5693" t="s">
        <v>680</v>
      </c>
      <c r="C5693" s="83">
        <v>46221</v>
      </c>
      <c r="D5693" t="s">
        <v>686</v>
      </c>
      <c r="E5693" t="s">
        <v>802</v>
      </c>
      <c r="F5693">
        <v>7</v>
      </c>
      <c r="G5693">
        <v>25.503533333333301</v>
      </c>
    </row>
    <row r="5694" spans="1:7" x14ac:dyDescent="0.35">
      <c r="A5694" t="s">
        <v>847</v>
      </c>
      <c r="B5694" t="s">
        <v>680</v>
      </c>
      <c r="C5694" s="83">
        <v>46221</v>
      </c>
      <c r="D5694" t="s">
        <v>686</v>
      </c>
      <c r="E5694" t="s">
        <v>806</v>
      </c>
      <c r="F5694">
        <v>6</v>
      </c>
      <c r="G5694">
        <v>19.493183333333299</v>
      </c>
    </row>
    <row r="5695" spans="1:7" x14ac:dyDescent="0.35">
      <c r="A5695" t="s">
        <v>847</v>
      </c>
      <c r="B5695" t="s">
        <v>680</v>
      </c>
      <c r="C5695" s="83">
        <v>46221</v>
      </c>
      <c r="D5695" t="s">
        <v>686</v>
      </c>
      <c r="E5695" t="s">
        <v>554</v>
      </c>
      <c r="F5695">
        <v>6</v>
      </c>
      <c r="G5695">
        <v>4.4923000000000002</v>
      </c>
    </row>
    <row r="5696" spans="1:7" x14ac:dyDescent="0.35">
      <c r="A5696" t="s">
        <v>847</v>
      </c>
      <c r="B5696" t="s">
        <v>680</v>
      </c>
      <c r="C5696" s="83">
        <v>46222</v>
      </c>
      <c r="D5696" t="s">
        <v>681</v>
      </c>
      <c r="E5696" t="s">
        <v>298</v>
      </c>
      <c r="F5696">
        <v>6</v>
      </c>
      <c r="G5696">
        <v>7.4906499999999996</v>
      </c>
    </row>
    <row r="5697" spans="1:7" x14ac:dyDescent="0.35">
      <c r="A5697" t="s">
        <v>847</v>
      </c>
      <c r="B5697" t="s">
        <v>680</v>
      </c>
      <c r="C5697" s="83">
        <v>46222</v>
      </c>
      <c r="D5697" t="s">
        <v>681</v>
      </c>
      <c r="E5697" t="s">
        <v>300</v>
      </c>
      <c r="F5697">
        <v>4</v>
      </c>
      <c r="G5697">
        <v>4.3337333333333303</v>
      </c>
    </row>
    <row r="5698" spans="1:7" x14ac:dyDescent="0.35">
      <c r="A5698" t="s">
        <v>847</v>
      </c>
      <c r="B5698" t="s">
        <v>680</v>
      </c>
      <c r="C5698" s="83">
        <v>46222</v>
      </c>
      <c r="D5698" t="s">
        <v>681</v>
      </c>
      <c r="E5698" t="s">
        <v>297</v>
      </c>
      <c r="F5698">
        <v>4</v>
      </c>
      <c r="G5698">
        <v>1.15815</v>
      </c>
    </row>
    <row r="5699" spans="1:7" x14ac:dyDescent="0.35">
      <c r="A5699" t="s">
        <v>847</v>
      </c>
      <c r="B5699" t="s">
        <v>680</v>
      </c>
      <c r="C5699" s="83">
        <v>46222</v>
      </c>
      <c r="D5699" t="s">
        <v>683</v>
      </c>
      <c r="E5699" t="s">
        <v>300</v>
      </c>
      <c r="F5699">
        <v>11</v>
      </c>
      <c r="G5699">
        <v>5.1700166666666698</v>
      </c>
    </row>
    <row r="5700" spans="1:7" x14ac:dyDescent="0.35">
      <c r="A5700" t="s">
        <v>847</v>
      </c>
      <c r="B5700" t="s">
        <v>680</v>
      </c>
      <c r="C5700" s="83">
        <v>46222</v>
      </c>
      <c r="D5700" t="s">
        <v>683</v>
      </c>
      <c r="E5700" t="s">
        <v>727</v>
      </c>
      <c r="F5700">
        <v>9</v>
      </c>
      <c r="G5700">
        <v>12.6811833333333</v>
      </c>
    </row>
    <row r="5701" spans="1:7" x14ac:dyDescent="0.35">
      <c r="A5701" t="s">
        <v>847</v>
      </c>
      <c r="B5701" t="s">
        <v>680</v>
      </c>
      <c r="C5701" s="83">
        <v>46222</v>
      </c>
      <c r="D5701" t="s">
        <v>683</v>
      </c>
      <c r="E5701" t="s">
        <v>334</v>
      </c>
      <c r="F5701">
        <v>6</v>
      </c>
      <c r="G5701">
        <v>2.1617999999999999</v>
      </c>
    </row>
    <row r="5702" spans="1:7" x14ac:dyDescent="0.35">
      <c r="A5702" t="s">
        <v>847</v>
      </c>
      <c r="B5702" t="s">
        <v>680</v>
      </c>
      <c r="C5702" s="83">
        <v>46222</v>
      </c>
      <c r="D5702" t="s">
        <v>689</v>
      </c>
      <c r="E5702" t="s">
        <v>298</v>
      </c>
      <c r="F5702">
        <v>12</v>
      </c>
      <c r="G5702">
        <v>13.6764166666667</v>
      </c>
    </row>
    <row r="5703" spans="1:7" x14ac:dyDescent="0.35">
      <c r="A5703" t="s">
        <v>847</v>
      </c>
      <c r="B5703" t="s">
        <v>680</v>
      </c>
      <c r="C5703" s="83">
        <v>46222</v>
      </c>
      <c r="D5703" t="s">
        <v>689</v>
      </c>
      <c r="E5703" t="s">
        <v>645</v>
      </c>
      <c r="F5703">
        <v>11</v>
      </c>
      <c r="G5703">
        <v>6.8304833333333299</v>
      </c>
    </row>
    <row r="5704" spans="1:7" x14ac:dyDescent="0.35">
      <c r="A5704" t="s">
        <v>847</v>
      </c>
      <c r="B5704" t="s">
        <v>680</v>
      </c>
      <c r="C5704" s="83">
        <v>46222</v>
      </c>
      <c r="D5704" t="s">
        <v>689</v>
      </c>
      <c r="E5704" t="s">
        <v>300</v>
      </c>
      <c r="F5704">
        <v>6</v>
      </c>
      <c r="G5704">
        <v>1.3252333333333299</v>
      </c>
    </row>
    <row r="5705" spans="1:7" x14ac:dyDescent="0.35">
      <c r="A5705" t="s">
        <v>847</v>
      </c>
      <c r="B5705" t="s">
        <v>680</v>
      </c>
      <c r="C5705" s="83">
        <v>46222</v>
      </c>
      <c r="D5705" t="s">
        <v>684</v>
      </c>
      <c r="E5705" t="s">
        <v>343</v>
      </c>
      <c r="F5705">
        <v>3</v>
      </c>
      <c r="G5705">
        <v>0.33361666666666701</v>
      </c>
    </row>
    <row r="5706" spans="1:7" x14ac:dyDescent="0.35">
      <c r="A5706" t="s">
        <v>847</v>
      </c>
      <c r="B5706" t="s">
        <v>680</v>
      </c>
      <c r="C5706" s="83">
        <v>46222</v>
      </c>
      <c r="D5706" t="s">
        <v>684</v>
      </c>
      <c r="E5706" t="s">
        <v>737</v>
      </c>
      <c r="F5706">
        <v>2</v>
      </c>
      <c r="G5706">
        <v>1.33205</v>
      </c>
    </row>
    <row r="5707" spans="1:7" x14ac:dyDescent="0.35">
      <c r="A5707" t="s">
        <v>847</v>
      </c>
      <c r="B5707" t="s">
        <v>680</v>
      </c>
      <c r="C5707" s="83">
        <v>46222</v>
      </c>
      <c r="D5707" t="s">
        <v>684</v>
      </c>
      <c r="E5707" t="s">
        <v>334</v>
      </c>
      <c r="F5707">
        <v>2</v>
      </c>
      <c r="G5707">
        <v>0.84151666666666702</v>
      </c>
    </row>
    <row r="5708" spans="1:7" x14ac:dyDescent="0.35">
      <c r="A5708" t="s">
        <v>847</v>
      </c>
      <c r="B5708" t="s">
        <v>680</v>
      </c>
      <c r="C5708" s="83">
        <v>46222</v>
      </c>
      <c r="D5708" t="s">
        <v>687</v>
      </c>
      <c r="E5708" t="s">
        <v>717</v>
      </c>
      <c r="F5708">
        <v>5</v>
      </c>
      <c r="G5708">
        <v>0.48644999999999999</v>
      </c>
    </row>
    <row r="5709" spans="1:7" x14ac:dyDescent="0.35">
      <c r="A5709" t="s">
        <v>847</v>
      </c>
      <c r="B5709" t="s">
        <v>680</v>
      </c>
      <c r="C5709" s="83">
        <v>46222</v>
      </c>
      <c r="D5709" t="s">
        <v>687</v>
      </c>
      <c r="E5709" t="s">
        <v>745</v>
      </c>
      <c r="F5709">
        <v>4</v>
      </c>
      <c r="G5709">
        <v>10.5017833333333</v>
      </c>
    </row>
    <row r="5710" spans="1:7" x14ac:dyDescent="0.35">
      <c r="A5710" t="s">
        <v>847</v>
      </c>
      <c r="B5710" t="s">
        <v>680</v>
      </c>
      <c r="C5710" s="83">
        <v>46222</v>
      </c>
      <c r="D5710" t="s">
        <v>687</v>
      </c>
      <c r="E5710" t="s">
        <v>729</v>
      </c>
      <c r="F5710">
        <v>3</v>
      </c>
      <c r="G5710">
        <v>2.3259333333333299</v>
      </c>
    </row>
    <row r="5711" spans="1:7" x14ac:dyDescent="0.35">
      <c r="A5711" t="s">
        <v>847</v>
      </c>
      <c r="B5711" t="s">
        <v>680</v>
      </c>
      <c r="C5711" s="83">
        <v>46222</v>
      </c>
      <c r="D5711" t="s">
        <v>688</v>
      </c>
      <c r="E5711" t="s">
        <v>311</v>
      </c>
      <c r="F5711">
        <v>5</v>
      </c>
      <c r="G5711">
        <v>1.51281666666667</v>
      </c>
    </row>
    <row r="5712" spans="1:7" x14ac:dyDescent="0.35">
      <c r="A5712" t="s">
        <v>847</v>
      </c>
      <c r="B5712" t="s">
        <v>680</v>
      </c>
      <c r="C5712" s="83">
        <v>46222</v>
      </c>
      <c r="D5712" t="s">
        <v>688</v>
      </c>
      <c r="E5712" t="s">
        <v>739</v>
      </c>
      <c r="F5712">
        <v>2</v>
      </c>
      <c r="G5712">
        <v>2.165</v>
      </c>
    </row>
    <row r="5713" spans="1:7" x14ac:dyDescent="0.35">
      <c r="A5713" t="s">
        <v>847</v>
      </c>
      <c r="B5713" t="s">
        <v>680</v>
      </c>
      <c r="C5713" s="83">
        <v>46222</v>
      </c>
      <c r="D5713" t="s">
        <v>688</v>
      </c>
      <c r="E5713" t="s">
        <v>720</v>
      </c>
      <c r="F5713">
        <v>2</v>
      </c>
      <c r="G5713">
        <v>0.332666666666667</v>
      </c>
    </row>
    <row r="5714" spans="1:7" x14ac:dyDescent="0.35">
      <c r="A5714" t="s">
        <v>847</v>
      </c>
      <c r="B5714" t="s">
        <v>680</v>
      </c>
      <c r="C5714" s="83">
        <v>46222</v>
      </c>
      <c r="D5714" t="s">
        <v>690</v>
      </c>
      <c r="E5714" t="s">
        <v>721</v>
      </c>
      <c r="F5714">
        <v>2</v>
      </c>
      <c r="G5714">
        <v>1.1654</v>
      </c>
    </row>
    <row r="5715" spans="1:7" x14ac:dyDescent="0.35">
      <c r="A5715" t="s">
        <v>847</v>
      </c>
      <c r="B5715" t="s">
        <v>680</v>
      </c>
      <c r="C5715" s="83">
        <v>46222</v>
      </c>
      <c r="D5715" t="s">
        <v>690</v>
      </c>
      <c r="E5715" t="s">
        <v>792</v>
      </c>
      <c r="F5715">
        <v>2</v>
      </c>
      <c r="G5715">
        <v>0.1668</v>
      </c>
    </row>
    <row r="5716" spans="1:7" x14ac:dyDescent="0.35">
      <c r="A5716" t="s">
        <v>847</v>
      </c>
      <c r="B5716" t="s">
        <v>680</v>
      </c>
      <c r="C5716" s="83">
        <v>46222</v>
      </c>
      <c r="D5716" t="s">
        <v>690</v>
      </c>
      <c r="E5716" t="s">
        <v>770</v>
      </c>
      <c r="F5716">
        <v>2</v>
      </c>
      <c r="G5716">
        <v>0.15890000000000001</v>
      </c>
    </row>
    <row r="5717" spans="1:7" x14ac:dyDescent="0.35">
      <c r="A5717" t="s">
        <v>847</v>
      </c>
      <c r="B5717" t="s">
        <v>680</v>
      </c>
      <c r="C5717" s="83">
        <v>46222</v>
      </c>
      <c r="D5717" t="s">
        <v>685</v>
      </c>
      <c r="E5717" t="s">
        <v>321</v>
      </c>
      <c r="F5717">
        <v>8</v>
      </c>
      <c r="G5717">
        <v>5.6676500000000001</v>
      </c>
    </row>
    <row r="5718" spans="1:7" x14ac:dyDescent="0.35">
      <c r="A5718" t="s">
        <v>847</v>
      </c>
      <c r="B5718" t="s">
        <v>680</v>
      </c>
      <c r="C5718" s="83">
        <v>46222</v>
      </c>
      <c r="D5718" t="s">
        <v>685</v>
      </c>
      <c r="E5718" t="s">
        <v>311</v>
      </c>
      <c r="F5718">
        <v>4</v>
      </c>
      <c r="G5718">
        <v>1.1674500000000001</v>
      </c>
    </row>
    <row r="5719" spans="1:7" x14ac:dyDescent="0.35">
      <c r="A5719" t="s">
        <v>847</v>
      </c>
      <c r="B5719" t="s">
        <v>680</v>
      </c>
      <c r="C5719" s="83">
        <v>46222</v>
      </c>
      <c r="D5719" t="s">
        <v>685</v>
      </c>
      <c r="E5719" t="s">
        <v>657</v>
      </c>
      <c r="F5719">
        <v>3</v>
      </c>
      <c r="G5719">
        <v>7.8261000000000003</v>
      </c>
    </row>
    <row r="5720" spans="1:7" x14ac:dyDescent="0.35">
      <c r="A5720" t="s">
        <v>847</v>
      </c>
      <c r="B5720" t="s">
        <v>680</v>
      </c>
      <c r="C5720" s="83">
        <v>46222</v>
      </c>
      <c r="D5720" t="s">
        <v>682</v>
      </c>
      <c r="E5720" t="s">
        <v>793</v>
      </c>
      <c r="F5720">
        <v>3</v>
      </c>
      <c r="G5720">
        <v>1.15946666666667</v>
      </c>
    </row>
    <row r="5721" spans="1:7" x14ac:dyDescent="0.35">
      <c r="A5721" t="s">
        <v>847</v>
      </c>
      <c r="B5721" t="s">
        <v>680</v>
      </c>
      <c r="C5721" s="83">
        <v>46222</v>
      </c>
      <c r="D5721" t="s">
        <v>682</v>
      </c>
      <c r="E5721" t="s">
        <v>311</v>
      </c>
      <c r="F5721">
        <v>2</v>
      </c>
      <c r="G5721">
        <v>0.16698333333333301</v>
      </c>
    </row>
    <row r="5722" spans="1:7" x14ac:dyDescent="0.35">
      <c r="A5722" t="s">
        <v>847</v>
      </c>
      <c r="B5722" t="s">
        <v>680</v>
      </c>
      <c r="C5722" s="83">
        <v>46222</v>
      </c>
      <c r="D5722" t="s">
        <v>686</v>
      </c>
      <c r="E5722" t="s">
        <v>554</v>
      </c>
      <c r="F5722">
        <v>16</v>
      </c>
      <c r="G5722">
        <v>18.1941666666667</v>
      </c>
    </row>
    <row r="5723" spans="1:7" x14ac:dyDescent="0.35">
      <c r="A5723" t="s">
        <v>847</v>
      </c>
      <c r="B5723" t="s">
        <v>680</v>
      </c>
      <c r="C5723" s="83">
        <v>46222</v>
      </c>
      <c r="D5723" t="s">
        <v>686</v>
      </c>
      <c r="E5723" t="s">
        <v>789</v>
      </c>
      <c r="F5723">
        <v>11</v>
      </c>
      <c r="G5723">
        <v>17.168033333333302</v>
      </c>
    </row>
    <row r="5724" spans="1:7" x14ac:dyDescent="0.35">
      <c r="A5724" t="s">
        <v>847</v>
      </c>
      <c r="B5724" t="s">
        <v>680</v>
      </c>
      <c r="C5724" s="83">
        <v>46222</v>
      </c>
      <c r="D5724" t="s">
        <v>686</v>
      </c>
      <c r="E5724" t="s">
        <v>802</v>
      </c>
      <c r="F5724">
        <v>6</v>
      </c>
      <c r="G5724">
        <v>2.50111666666667</v>
      </c>
    </row>
    <row r="5725" spans="1:7" x14ac:dyDescent="0.35">
      <c r="A5725" t="s">
        <v>847</v>
      </c>
      <c r="B5725" t="s">
        <v>680</v>
      </c>
      <c r="C5725" s="83">
        <v>46223</v>
      </c>
      <c r="D5725" t="s">
        <v>681</v>
      </c>
      <c r="E5725" t="s">
        <v>298</v>
      </c>
      <c r="F5725">
        <v>9</v>
      </c>
      <c r="G5725">
        <v>10.000666666666699</v>
      </c>
    </row>
    <row r="5726" spans="1:7" x14ac:dyDescent="0.35">
      <c r="A5726" t="s">
        <v>847</v>
      </c>
      <c r="B5726" t="s">
        <v>680</v>
      </c>
      <c r="C5726" s="83">
        <v>46223</v>
      </c>
      <c r="D5726" t="s">
        <v>681</v>
      </c>
      <c r="E5726" t="s">
        <v>727</v>
      </c>
      <c r="F5726">
        <v>3</v>
      </c>
      <c r="G5726">
        <v>0.33326666666666699</v>
      </c>
    </row>
    <row r="5727" spans="1:7" x14ac:dyDescent="0.35">
      <c r="A5727" t="s">
        <v>847</v>
      </c>
      <c r="B5727" t="s">
        <v>680</v>
      </c>
      <c r="C5727" s="83">
        <v>46223</v>
      </c>
      <c r="D5727" t="s">
        <v>681</v>
      </c>
      <c r="E5727" t="s">
        <v>737</v>
      </c>
      <c r="F5727">
        <v>3</v>
      </c>
      <c r="G5727">
        <v>1.83178333333333</v>
      </c>
    </row>
    <row r="5728" spans="1:7" x14ac:dyDescent="0.35">
      <c r="A5728" t="s">
        <v>847</v>
      </c>
      <c r="B5728" t="s">
        <v>680</v>
      </c>
      <c r="C5728" s="83">
        <v>46223</v>
      </c>
      <c r="D5728" t="s">
        <v>683</v>
      </c>
      <c r="E5728" t="s">
        <v>298</v>
      </c>
      <c r="F5728">
        <v>8</v>
      </c>
      <c r="G5728">
        <v>6.3362333333333298</v>
      </c>
    </row>
    <row r="5729" spans="1:7" x14ac:dyDescent="0.35">
      <c r="A5729" t="s">
        <v>847</v>
      </c>
      <c r="B5729" t="s">
        <v>680</v>
      </c>
      <c r="C5729" s="83">
        <v>46223</v>
      </c>
      <c r="D5729" t="s">
        <v>683</v>
      </c>
      <c r="E5729" t="s">
        <v>300</v>
      </c>
      <c r="F5729">
        <v>6</v>
      </c>
      <c r="G5729">
        <v>2.0064333333333302</v>
      </c>
    </row>
    <row r="5730" spans="1:7" x14ac:dyDescent="0.35">
      <c r="A5730" t="s">
        <v>847</v>
      </c>
      <c r="B5730" t="s">
        <v>680</v>
      </c>
      <c r="C5730" s="83">
        <v>46223</v>
      </c>
      <c r="D5730" t="s">
        <v>683</v>
      </c>
      <c r="E5730" t="s">
        <v>334</v>
      </c>
      <c r="F5730">
        <v>6</v>
      </c>
      <c r="G5730">
        <v>11.4856</v>
      </c>
    </row>
    <row r="5731" spans="1:7" x14ac:dyDescent="0.35">
      <c r="A5731" t="s">
        <v>847</v>
      </c>
      <c r="B5731" t="s">
        <v>680</v>
      </c>
      <c r="C5731" s="83">
        <v>46223</v>
      </c>
      <c r="D5731" t="s">
        <v>689</v>
      </c>
      <c r="E5731" t="s">
        <v>298</v>
      </c>
      <c r="F5731">
        <v>14</v>
      </c>
      <c r="G5731">
        <v>15.5057833333333</v>
      </c>
    </row>
    <row r="5732" spans="1:7" x14ac:dyDescent="0.35">
      <c r="A5732" t="s">
        <v>847</v>
      </c>
      <c r="B5732" t="s">
        <v>680</v>
      </c>
      <c r="C5732" s="83">
        <v>46223</v>
      </c>
      <c r="D5732" t="s">
        <v>689</v>
      </c>
      <c r="E5732" t="s">
        <v>300</v>
      </c>
      <c r="F5732">
        <v>9</v>
      </c>
      <c r="G5732">
        <v>5.9935999999999998</v>
      </c>
    </row>
    <row r="5733" spans="1:7" x14ac:dyDescent="0.35">
      <c r="A5733" t="s">
        <v>847</v>
      </c>
      <c r="B5733" t="s">
        <v>680</v>
      </c>
      <c r="C5733" s="83">
        <v>46223</v>
      </c>
      <c r="D5733" t="s">
        <v>689</v>
      </c>
      <c r="E5733" t="s">
        <v>297</v>
      </c>
      <c r="F5733">
        <v>4</v>
      </c>
      <c r="G5733">
        <v>4.3325666666666702</v>
      </c>
    </row>
    <row r="5734" spans="1:7" x14ac:dyDescent="0.35">
      <c r="A5734" t="s">
        <v>847</v>
      </c>
      <c r="B5734" t="s">
        <v>680</v>
      </c>
      <c r="C5734" s="83">
        <v>46223</v>
      </c>
      <c r="D5734" t="s">
        <v>684</v>
      </c>
      <c r="E5734" t="s">
        <v>300</v>
      </c>
      <c r="F5734">
        <v>2</v>
      </c>
      <c r="G5734">
        <v>0.32700000000000001</v>
      </c>
    </row>
    <row r="5735" spans="1:7" x14ac:dyDescent="0.35">
      <c r="A5735" t="s">
        <v>847</v>
      </c>
      <c r="B5735" t="s">
        <v>680</v>
      </c>
      <c r="C5735" s="83">
        <v>46223</v>
      </c>
      <c r="D5735" t="s">
        <v>684</v>
      </c>
      <c r="E5735" t="s">
        <v>334</v>
      </c>
      <c r="F5735">
        <v>2</v>
      </c>
      <c r="G5735">
        <v>1.0004</v>
      </c>
    </row>
    <row r="5736" spans="1:7" x14ac:dyDescent="0.35">
      <c r="A5736" t="s">
        <v>847</v>
      </c>
      <c r="B5736" t="s">
        <v>680</v>
      </c>
      <c r="C5736" s="83">
        <v>46223</v>
      </c>
      <c r="D5736" t="s">
        <v>684</v>
      </c>
      <c r="E5736" t="s">
        <v>343</v>
      </c>
      <c r="F5736">
        <v>2</v>
      </c>
      <c r="G5736">
        <v>0.16716666666666699</v>
      </c>
    </row>
    <row r="5737" spans="1:7" x14ac:dyDescent="0.35">
      <c r="A5737" t="s">
        <v>847</v>
      </c>
      <c r="B5737" t="s">
        <v>680</v>
      </c>
      <c r="C5737" s="83">
        <v>46223</v>
      </c>
      <c r="D5737" t="s">
        <v>687</v>
      </c>
      <c r="E5737" t="s">
        <v>717</v>
      </c>
      <c r="F5737">
        <v>6</v>
      </c>
      <c r="G5737">
        <v>9.1670666666666705</v>
      </c>
    </row>
    <row r="5738" spans="1:7" x14ac:dyDescent="0.35">
      <c r="A5738" t="s">
        <v>847</v>
      </c>
      <c r="B5738" t="s">
        <v>680</v>
      </c>
      <c r="C5738" s="83">
        <v>46223</v>
      </c>
      <c r="D5738" t="s">
        <v>687</v>
      </c>
      <c r="E5738" t="s">
        <v>726</v>
      </c>
      <c r="F5738">
        <v>3</v>
      </c>
      <c r="G5738">
        <v>4.992</v>
      </c>
    </row>
    <row r="5739" spans="1:7" x14ac:dyDescent="0.35">
      <c r="A5739" t="s">
        <v>847</v>
      </c>
      <c r="B5739" t="s">
        <v>680</v>
      </c>
      <c r="C5739" s="83">
        <v>46223</v>
      </c>
      <c r="D5739" t="s">
        <v>688</v>
      </c>
      <c r="E5739" t="s">
        <v>311</v>
      </c>
      <c r="F5739">
        <v>10</v>
      </c>
      <c r="G5739">
        <v>4.1759666666666702</v>
      </c>
    </row>
    <row r="5740" spans="1:7" x14ac:dyDescent="0.35">
      <c r="A5740" t="s">
        <v>847</v>
      </c>
      <c r="B5740" t="s">
        <v>680</v>
      </c>
      <c r="C5740" s="83">
        <v>46223</v>
      </c>
      <c r="D5740" t="s">
        <v>688</v>
      </c>
      <c r="E5740" t="s">
        <v>720</v>
      </c>
      <c r="F5740">
        <v>2</v>
      </c>
      <c r="G5740">
        <v>1.0003833333333301</v>
      </c>
    </row>
    <row r="5741" spans="1:7" x14ac:dyDescent="0.35">
      <c r="A5741" t="s">
        <v>847</v>
      </c>
      <c r="B5741" t="s">
        <v>680</v>
      </c>
      <c r="C5741" s="83">
        <v>46223</v>
      </c>
      <c r="D5741" t="s">
        <v>690</v>
      </c>
      <c r="E5741" t="s">
        <v>321</v>
      </c>
      <c r="F5741">
        <v>3</v>
      </c>
      <c r="G5741">
        <v>0.83378333333333299</v>
      </c>
    </row>
    <row r="5742" spans="1:7" x14ac:dyDescent="0.35">
      <c r="A5742" t="s">
        <v>847</v>
      </c>
      <c r="B5742" t="s">
        <v>680</v>
      </c>
      <c r="C5742" s="83">
        <v>46223</v>
      </c>
      <c r="D5742" t="s">
        <v>690</v>
      </c>
      <c r="E5742" t="s">
        <v>311</v>
      </c>
      <c r="F5742">
        <v>3</v>
      </c>
      <c r="G5742">
        <v>1.16733333333333</v>
      </c>
    </row>
    <row r="5743" spans="1:7" x14ac:dyDescent="0.35">
      <c r="A5743" t="s">
        <v>847</v>
      </c>
      <c r="B5743" t="s">
        <v>680</v>
      </c>
      <c r="C5743" s="83">
        <v>46223</v>
      </c>
      <c r="D5743" t="s">
        <v>690</v>
      </c>
      <c r="E5743" t="s">
        <v>720</v>
      </c>
      <c r="F5743">
        <v>3</v>
      </c>
      <c r="G5743">
        <v>1.1738</v>
      </c>
    </row>
    <row r="5744" spans="1:7" x14ac:dyDescent="0.35">
      <c r="A5744" t="s">
        <v>847</v>
      </c>
      <c r="B5744" t="s">
        <v>680</v>
      </c>
      <c r="C5744" s="83">
        <v>46223</v>
      </c>
      <c r="D5744" t="s">
        <v>685</v>
      </c>
      <c r="E5744" t="s">
        <v>321</v>
      </c>
      <c r="F5744">
        <v>8</v>
      </c>
      <c r="G5744">
        <v>4.6413333333333302</v>
      </c>
    </row>
    <row r="5745" spans="1:7" x14ac:dyDescent="0.35">
      <c r="A5745" t="s">
        <v>847</v>
      </c>
      <c r="B5745" t="s">
        <v>680</v>
      </c>
      <c r="C5745" s="83">
        <v>46223</v>
      </c>
      <c r="D5745" t="s">
        <v>685</v>
      </c>
      <c r="E5745" t="s">
        <v>311</v>
      </c>
      <c r="F5745">
        <v>4</v>
      </c>
      <c r="G5745">
        <v>3.1679166666666698</v>
      </c>
    </row>
    <row r="5746" spans="1:7" x14ac:dyDescent="0.35">
      <c r="A5746" t="s">
        <v>847</v>
      </c>
      <c r="B5746" t="s">
        <v>680</v>
      </c>
      <c r="C5746" s="83">
        <v>46223</v>
      </c>
      <c r="D5746" t="s">
        <v>685</v>
      </c>
      <c r="E5746" t="s">
        <v>126</v>
      </c>
      <c r="F5746">
        <v>3</v>
      </c>
      <c r="G5746">
        <v>1.99783333333333</v>
      </c>
    </row>
    <row r="5747" spans="1:7" x14ac:dyDescent="0.35">
      <c r="A5747" t="s">
        <v>847</v>
      </c>
      <c r="B5747" t="s">
        <v>680</v>
      </c>
      <c r="C5747" s="83">
        <v>46223</v>
      </c>
      <c r="D5747" t="s">
        <v>682</v>
      </c>
      <c r="E5747" t="s">
        <v>793</v>
      </c>
      <c r="F5747">
        <v>3</v>
      </c>
      <c r="G5747">
        <v>5.9884166666666703</v>
      </c>
    </row>
    <row r="5748" spans="1:7" x14ac:dyDescent="0.35">
      <c r="A5748" t="s">
        <v>847</v>
      </c>
      <c r="B5748" t="s">
        <v>680</v>
      </c>
      <c r="C5748" s="83">
        <v>46223</v>
      </c>
      <c r="D5748" t="s">
        <v>686</v>
      </c>
      <c r="E5748" t="s">
        <v>789</v>
      </c>
      <c r="F5748">
        <v>7</v>
      </c>
      <c r="G5748">
        <v>2.6609333333333298</v>
      </c>
    </row>
    <row r="5749" spans="1:7" x14ac:dyDescent="0.35">
      <c r="A5749" t="s">
        <v>847</v>
      </c>
      <c r="B5749" t="s">
        <v>680</v>
      </c>
      <c r="C5749" s="83">
        <v>46223</v>
      </c>
      <c r="D5749" t="s">
        <v>686</v>
      </c>
      <c r="E5749" t="s">
        <v>554</v>
      </c>
      <c r="F5749">
        <v>4</v>
      </c>
      <c r="G5749">
        <v>2.1686999999999999</v>
      </c>
    </row>
    <row r="5750" spans="1:7" x14ac:dyDescent="0.35">
      <c r="A5750" t="s">
        <v>847</v>
      </c>
      <c r="B5750" t="s">
        <v>680</v>
      </c>
      <c r="C5750" s="83">
        <v>46223</v>
      </c>
      <c r="D5750" t="s">
        <v>686</v>
      </c>
      <c r="E5750" t="s">
        <v>807</v>
      </c>
      <c r="F5750">
        <v>2</v>
      </c>
      <c r="G5750">
        <v>0.15986666666666699</v>
      </c>
    </row>
    <row r="5751" spans="1:7" x14ac:dyDescent="0.35">
      <c r="A5751" t="s">
        <v>847</v>
      </c>
      <c r="B5751" t="s">
        <v>680</v>
      </c>
      <c r="C5751" s="83">
        <v>46224</v>
      </c>
      <c r="D5751" t="s">
        <v>681</v>
      </c>
      <c r="E5751" t="s">
        <v>298</v>
      </c>
      <c r="F5751">
        <v>16</v>
      </c>
      <c r="G5751">
        <v>20.5104166666667</v>
      </c>
    </row>
    <row r="5752" spans="1:7" x14ac:dyDescent="0.35">
      <c r="A5752" t="s">
        <v>847</v>
      </c>
      <c r="B5752" t="s">
        <v>680</v>
      </c>
      <c r="C5752" s="83">
        <v>46224</v>
      </c>
      <c r="D5752" t="s">
        <v>681</v>
      </c>
      <c r="E5752" t="s">
        <v>296</v>
      </c>
      <c r="F5752">
        <v>13</v>
      </c>
      <c r="G5752">
        <v>4.9781000000000004</v>
      </c>
    </row>
    <row r="5753" spans="1:7" x14ac:dyDescent="0.35">
      <c r="A5753" t="s">
        <v>847</v>
      </c>
      <c r="B5753" t="s">
        <v>680</v>
      </c>
      <c r="C5753" s="83">
        <v>46224</v>
      </c>
      <c r="D5753" t="s">
        <v>681</v>
      </c>
      <c r="E5753" t="s">
        <v>297</v>
      </c>
      <c r="F5753">
        <v>8</v>
      </c>
      <c r="G5753">
        <v>1.6675833333333301</v>
      </c>
    </row>
    <row r="5754" spans="1:7" x14ac:dyDescent="0.35">
      <c r="A5754" t="s">
        <v>847</v>
      </c>
      <c r="B5754" t="s">
        <v>680</v>
      </c>
      <c r="C5754" s="83">
        <v>46224</v>
      </c>
      <c r="D5754" t="s">
        <v>683</v>
      </c>
      <c r="E5754" t="s">
        <v>297</v>
      </c>
      <c r="F5754">
        <v>18</v>
      </c>
      <c r="G5754">
        <v>9.4755500000000001</v>
      </c>
    </row>
    <row r="5755" spans="1:7" x14ac:dyDescent="0.35">
      <c r="A5755" t="s">
        <v>847</v>
      </c>
      <c r="B5755" t="s">
        <v>680</v>
      </c>
      <c r="C5755" s="83">
        <v>46224</v>
      </c>
      <c r="D5755" t="s">
        <v>683</v>
      </c>
      <c r="E5755" t="s">
        <v>332</v>
      </c>
      <c r="F5755">
        <v>14</v>
      </c>
      <c r="G5755">
        <v>8.4864333333333306</v>
      </c>
    </row>
    <row r="5756" spans="1:7" x14ac:dyDescent="0.35">
      <c r="A5756" t="s">
        <v>847</v>
      </c>
      <c r="B5756" t="s">
        <v>680</v>
      </c>
      <c r="C5756" s="83">
        <v>46224</v>
      </c>
      <c r="D5756" t="s">
        <v>683</v>
      </c>
      <c r="E5756" t="s">
        <v>298</v>
      </c>
      <c r="F5756">
        <v>14</v>
      </c>
      <c r="G5756">
        <v>14.343733333333301</v>
      </c>
    </row>
    <row r="5757" spans="1:7" x14ac:dyDescent="0.35">
      <c r="A5757" t="s">
        <v>847</v>
      </c>
      <c r="B5757" t="s">
        <v>680</v>
      </c>
      <c r="C5757" s="83">
        <v>46224</v>
      </c>
      <c r="D5757" t="s">
        <v>689</v>
      </c>
      <c r="E5757" t="s">
        <v>296</v>
      </c>
      <c r="F5757">
        <v>31</v>
      </c>
      <c r="G5757">
        <v>23.484649999999998</v>
      </c>
    </row>
    <row r="5758" spans="1:7" x14ac:dyDescent="0.35">
      <c r="A5758" t="s">
        <v>847</v>
      </c>
      <c r="B5758" t="s">
        <v>680</v>
      </c>
      <c r="C5758" s="83">
        <v>46224</v>
      </c>
      <c r="D5758" t="s">
        <v>689</v>
      </c>
      <c r="E5758" t="s">
        <v>298</v>
      </c>
      <c r="F5758">
        <v>19</v>
      </c>
      <c r="G5758">
        <v>11.311249999999999</v>
      </c>
    </row>
    <row r="5759" spans="1:7" x14ac:dyDescent="0.35">
      <c r="A5759" t="s">
        <v>847</v>
      </c>
      <c r="B5759" t="s">
        <v>680</v>
      </c>
      <c r="C5759" s="83">
        <v>46224</v>
      </c>
      <c r="D5759" t="s">
        <v>689</v>
      </c>
      <c r="E5759" t="s">
        <v>297</v>
      </c>
      <c r="F5759">
        <v>10</v>
      </c>
      <c r="G5759">
        <v>4.9822666666666704</v>
      </c>
    </row>
    <row r="5760" spans="1:7" x14ac:dyDescent="0.35">
      <c r="A5760" t="s">
        <v>847</v>
      </c>
      <c r="B5760" t="s">
        <v>680</v>
      </c>
      <c r="C5760" s="83">
        <v>46224</v>
      </c>
      <c r="D5760" t="s">
        <v>684</v>
      </c>
      <c r="E5760" t="s">
        <v>296</v>
      </c>
      <c r="F5760">
        <v>7</v>
      </c>
      <c r="G5760">
        <v>4.1604666666666699</v>
      </c>
    </row>
    <row r="5761" spans="1:7" x14ac:dyDescent="0.35">
      <c r="A5761" t="s">
        <v>847</v>
      </c>
      <c r="B5761" t="s">
        <v>680</v>
      </c>
      <c r="C5761" s="83">
        <v>46224</v>
      </c>
      <c r="D5761" t="s">
        <v>684</v>
      </c>
      <c r="E5761" t="s">
        <v>334</v>
      </c>
      <c r="F5761">
        <v>6</v>
      </c>
      <c r="G5761">
        <v>3.5076166666666699</v>
      </c>
    </row>
    <row r="5762" spans="1:7" x14ac:dyDescent="0.35">
      <c r="A5762" t="s">
        <v>847</v>
      </c>
      <c r="B5762" t="s">
        <v>680</v>
      </c>
      <c r="C5762" s="83">
        <v>46224</v>
      </c>
      <c r="D5762" t="s">
        <v>684</v>
      </c>
      <c r="E5762" t="s">
        <v>297</v>
      </c>
      <c r="F5762">
        <v>3</v>
      </c>
      <c r="G5762">
        <v>1.8335333333333299</v>
      </c>
    </row>
    <row r="5763" spans="1:7" x14ac:dyDescent="0.35">
      <c r="A5763" t="s">
        <v>847</v>
      </c>
      <c r="B5763" t="s">
        <v>680</v>
      </c>
      <c r="C5763" s="83">
        <v>46224</v>
      </c>
      <c r="D5763" t="s">
        <v>687</v>
      </c>
      <c r="E5763" t="s">
        <v>717</v>
      </c>
      <c r="F5763">
        <v>14</v>
      </c>
      <c r="G5763">
        <v>4.8341333333333303</v>
      </c>
    </row>
    <row r="5764" spans="1:7" x14ac:dyDescent="0.35">
      <c r="A5764" t="s">
        <v>847</v>
      </c>
      <c r="B5764" t="s">
        <v>680</v>
      </c>
      <c r="C5764" s="83">
        <v>46224</v>
      </c>
      <c r="D5764" t="s">
        <v>687</v>
      </c>
      <c r="E5764" t="s">
        <v>745</v>
      </c>
      <c r="F5764">
        <v>10</v>
      </c>
      <c r="G5764">
        <v>5.0142499999999997</v>
      </c>
    </row>
    <row r="5765" spans="1:7" x14ac:dyDescent="0.35">
      <c r="A5765" t="s">
        <v>847</v>
      </c>
      <c r="B5765" t="s">
        <v>680</v>
      </c>
      <c r="C5765" s="83">
        <v>46224</v>
      </c>
      <c r="D5765" t="s">
        <v>687</v>
      </c>
      <c r="E5765" t="s">
        <v>719</v>
      </c>
      <c r="F5765">
        <v>9</v>
      </c>
      <c r="G5765">
        <v>10.6663833333333</v>
      </c>
    </row>
    <row r="5766" spans="1:7" x14ac:dyDescent="0.35">
      <c r="A5766" t="s">
        <v>847</v>
      </c>
      <c r="B5766" t="s">
        <v>680</v>
      </c>
      <c r="C5766" s="83">
        <v>46224</v>
      </c>
      <c r="D5766" t="s">
        <v>688</v>
      </c>
      <c r="E5766" t="s">
        <v>321</v>
      </c>
      <c r="F5766">
        <v>14</v>
      </c>
      <c r="G5766">
        <v>23.313133333333301</v>
      </c>
    </row>
    <row r="5767" spans="1:7" x14ac:dyDescent="0.35">
      <c r="A5767" t="s">
        <v>847</v>
      </c>
      <c r="B5767" t="s">
        <v>680</v>
      </c>
      <c r="C5767" s="83">
        <v>46224</v>
      </c>
      <c r="D5767" t="s">
        <v>688</v>
      </c>
      <c r="E5767" t="s">
        <v>311</v>
      </c>
      <c r="F5767">
        <v>11</v>
      </c>
      <c r="G5767">
        <v>11.3292</v>
      </c>
    </row>
    <row r="5768" spans="1:7" x14ac:dyDescent="0.35">
      <c r="A5768" t="s">
        <v>847</v>
      </c>
      <c r="B5768" t="s">
        <v>680</v>
      </c>
      <c r="C5768" s="83">
        <v>46224</v>
      </c>
      <c r="D5768" t="s">
        <v>688</v>
      </c>
      <c r="E5768" t="s">
        <v>316</v>
      </c>
      <c r="F5768">
        <v>5</v>
      </c>
      <c r="G5768">
        <v>2.50741666666667</v>
      </c>
    </row>
    <row r="5769" spans="1:7" x14ac:dyDescent="0.35">
      <c r="A5769" t="s">
        <v>847</v>
      </c>
      <c r="B5769" t="s">
        <v>680</v>
      </c>
      <c r="C5769" s="83">
        <v>46224</v>
      </c>
      <c r="D5769" t="s">
        <v>690</v>
      </c>
      <c r="E5769" t="s">
        <v>311</v>
      </c>
      <c r="F5769">
        <v>18</v>
      </c>
      <c r="G5769">
        <v>7.1679166666666703</v>
      </c>
    </row>
    <row r="5770" spans="1:7" x14ac:dyDescent="0.35">
      <c r="A5770" t="s">
        <v>847</v>
      </c>
      <c r="B5770" t="s">
        <v>680</v>
      </c>
      <c r="C5770" s="83">
        <v>46224</v>
      </c>
      <c r="D5770" t="s">
        <v>690</v>
      </c>
      <c r="E5770" t="s">
        <v>316</v>
      </c>
      <c r="F5770">
        <v>10</v>
      </c>
      <c r="G5770">
        <v>5.8219500000000002</v>
      </c>
    </row>
    <row r="5771" spans="1:7" x14ac:dyDescent="0.35">
      <c r="A5771" t="s">
        <v>847</v>
      </c>
      <c r="B5771" t="s">
        <v>680</v>
      </c>
      <c r="C5771" s="83">
        <v>46224</v>
      </c>
      <c r="D5771" t="s">
        <v>690</v>
      </c>
      <c r="E5771" t="s">
        <v>720</v>
      </c>
      <c r="F5771">
        <v>6</v>
      </c>
      <c r="G5771">
        <v>16.675699999999999</v>
      </c>
    </row>
    <row r="5772" spans="1:7" x14ac:dyDescent="0.35">
      <c r="A5772" t="s">
        <v>847</v>
      </c>
      <c r="B5772" t="s">
        <v>680</v>
      </c>
      <c r="C5772" s="83">
        <v>46224</v>
      </c>
      <c r="D5772" t="s">
        <v>685</v>
      </c>
      <c r="E5772" t="s">
        <v>311</v>
      </c>
      <c r="F5772">
        <v>7</v>
      </c>
      <c r="G5772">
        <v>18.17145</v>
      </c>
    </row>
    <row r="5773" spans="1:7" x14ac:dyDescent="0.35">
      <c r="A5773" t="s">
        <v>847</v>
      </c>
      <c r="B5773" t="s">
        <v>680</v>
      </c>
      <c r="C5773" s="83">
        <v>46224</v>
      </c>
      <c r="D5773" t="s">
        <v>685</v>
      </c>
      <c r="E5773" t="s">
        <v>316</v>
      </c>
      <c r="F5773">
        <v>3</v>
      </c>
      <c r="G5773">
        <v>0.50670000000000004</v>
      </c>
    </row>
    <row r="5774" spans="1:7" x14ac:dyDescent="0.35">
      <c r="A5774" t="s">
        <v>847</v>
      </c>
      <c r="B5774" t="s">
        <v>680</v>
      </c>
      <c r="C5774" s="83">
        <v>46224</v>
      </c>
      <c r="D5774" t="s">
        <v>685</v>
      </c>
      <c r="E5774" t="s">
        <v>321</v>
      </c>
      <c r="F5774">
        <v>3</v>
      </c>
      <c r="G5774">
        <v>1.3342000000000001</v>
      </c>
    </row>
    <row r="5775" spans="1:7" x14ac:dyDescent="0.35">
      <c r="A5775" t="s">
        <v>847</v>
      </c>
      <c r="B5775" t="s">
        <v>680</v>
      </c>
      <c r="C5775" s="83">
        <v>46224</v>
      </c>
      <c r="D5775" t="s">
        <v>682</v>
      </c>
      <c r="E5775" t="s">
        <v>734</v>
      </c>
      <c r="F5775">
        <v>11</v>
      </c>
      <c r="G5775">
        <v>7.4924999999999997</v>
      </c>
    </row>
    <row r="5776" spans="1:7" x14ac:dyDescent="0.35">
      <c r="A5776" t="s">
        <v>847</v>
      </c>
      <c r="B5776" t="s">
        <v>680</v>
      </c>
      <c r="C5776" s="83">
        <v>46224</v>
      </c>
      <c r="D5776" t="s">
        <v>682</v>
      </c>
      <c r="E5776" t="s">
        <v>316</v>
      </c>
      <c r="F5776">
        <v>9</v>
      </c>
      <c r="G5776">
        <v>11.1747833333333</v>
      </c>
    </row>
    <row r="5777" spans="1:7" x14ac:dyDescent="0.35">
      <c r="A5777" t="s">
        <v>847</v>
      </c>
      <c r="B5777" t="s">
        <v>680</v>
      </c>
      <c r="C5777" s="83">
        <v>46224</v>
      </c>
      <c r="D5777" t="s">
        <v>682</v>
      </c>
      <c r="E5777" t="s">
        <v>808</v>
      </c>
      <c r="F5777">
        <v>8</v>
      </c>
      <c r="G5777">
        <v>6.5100666666666704</v>
      </c>
    </row>
    <row r="5778" spans="1:7" x14ac:dyDescent="0.35">
      <c r="A5778" t="s">
        <v>847</v>
      </c>
      <c r="B5778" t="s">
        <v>680</v>
      </c>
      <c r="C5778" s="83">
        <v>46224</v>
      </c>
      <c r="D5778" t="s">
        <v>686</v>
      </c>
      <c r="E5778" t="s">
        <v>803</v>
      </c>
      <c r="F5778">
        <v>12</v>
      </c>
      <c r="G5778">
        <v>11.495050000000001</v>
      </c>
    </row>
    <row r="5779" spans="1:7" x14ac:dyDescent="0.35">
      <c r="A5779" t="s">
        <v>847</v>
      </c>
      <c r="B5779" t="s">
        <v>680</v>
      </c>
      <c r="C5779" s="83">
        <v>46224</v>
      </c>
      <c r="D5779" t="s">
        <v>686</v>
      </c>
      <c r="E5779" t="s">
        <v>809</v>
      </c>
      <c r="F5779">
        <v>6</v>
      </c>
      <c r="G5779">
        <v>106.346983333333</v>
      </c>
    </row>
    <row r="5780" spans="1:7" x14ac:dyDescent="0.35">
      <c r="A5780" t="s">
        <v>847</v>
      </c>
      <c r="B5780" t="s">
        <v>680</v>
      </c>
      <c r="C5780" s="83">
        <v>46224</v>
      </c>
      <c r="D5780" t="s">
        <v>686</v>
      </c>
      <c r="E5780" t="s">
        <v>810</v>
      </c>
      <c r="F5780">
        <v>4</v>
      </c>
      <c r="G5780">
        <v>3.6596166666666701</v>
      </c>
    </row>
    <row r="5781" spans="1:7" x14ac:dyDescent="0.35">
      <c r="A5781" t="s">
        <v>847</v>
      </c>
      <c r="B5781" t="s">
        <v>680</v>
      </c>
      <c r="C5781" s="83">
        <v>46225</v>
      </c>
      <c r="D5781" t="s">
        <v>681</v>
      </c>
      <c r="E5781" t="s">
        <v>298</v>
      </c>
      <c r="F5781">
        <v>10</v>
      </c>
      <c r="G5781">
        <v>7.0037166666666701</v>
      </c>
    </row>
    <row r="5782" spans="1:7" x14ac:dyDescent="0.35">
      <c r="A5782" t="s">
        <v>847</v>
      </c>
      <c r="B5782" t="s">
        <v>680</v>
      </c>
      <c r="C5782" s="83">
        <v>46225</v>
      </c>
      <c r="D5782" t="s">
        <v>681</v>
      </c>
      <c r="E5782" t="s">
        <v>296</v>
      </c>
      <c r="F5782">
        <v>9</v>
      </c>
      <c r="G5782">
        <v>2.9995500000000002</v>
      </c>
    </row>
    <row r="5783" spans="1:7" x14ac:dyDescent="0.35">
      <c r="A5783" t="s">
        <v>847</v>
      </c>
      <c r="B5783" t="s">
        <v>680</v>
      </c>
      <c r="C5783" s="83">
        <v>46225</v>
      </c>
      <c r="D5783" t="s">
        <v>681</v>
      </c>
      <c r="E5783" t="s">
        <v>297</v>
      </c>
      <c r="F5783">
        <v>9</v>
      </c>
      <c r="G5783">
        <v>3.9940000000000002</v>
      </c>
    </row>
    <row r="5784" spans="1:7" x14ac:dyDescent="0.35">
      <c r="A5784" t="s">
        <v>847</v>
      </c>
      <c r="B5784" t="s">
        <v>680</v>
      </c>
      <c r="C5784" s="83">
        <v>46225</v>
      </c>
      <c r="D5784" t="s">
        <v>683</v>
      </c>
      <c r="E5784" t="s">
        <v>298</v>
      </c>
      <c r="F5784">
        <v>21</v>
      </c>
      <c r="G5784">
        <v>16.3227166666667</v>
      </c>
    </row>
    <row r="5785" spans="1:7" x14ac:dyDescent="0.35">
      <c r="A5785" t="s">
        <v>847</v>
      </c>
      <c r="B5785" t="s">
        <v>680</v>
      </c>
      <c r="C5785" s="83">
        <v>46225</v>
      </c>
      <c r="D5785" t="s">
        <v>683</v>
      </c>
      <c r="E5785" t="s">
        <v>297</v>
      </c>
      <c r="F5785">
        <v>19</v>
      </c>
      <c r="G5785">
        <v>9.1421333333333408</v>
      </c>
    </row>
    <row r="5786" spans="1:7" x14ac:dyDescent="0.35">
      <c r="A5786" t="s">
        <v>847</v>
      </c>
      <c r="B5786" t="s">
        <v>680</v>
      </c>
      <c r="C5786" s="83">
        <v>46225</v>
      </c>
      <c r="D5786" t="s">
        <v>683</v>
      </c>
      <c r="E5786" t="s">
        <v>296</v>
      </c>
      <c r="F5786">
        <v>11</v>
      </c>
      <c r="G5786">
        <v>8.9810833333333306</v>
      </c>
    </row>
    <row r="5787" spans="1:7" x14ac:dyDescent="0.35">
      <c r="A5787" t="s">
        <v>847</v>
      </c>
      <c r="B5787" t="s">
        <v>680</v>
      </c>
      <c r="C5787" s="83">
        <v>46225</v>
      </c>
      <c r="D5787" t="s">
        <v>689</v>
      </c>
      <c r="E5787" t="s">
        <v>298</v>
      </c>
      <c r="F5787">
        <v>26</v>
      </c>
      <c r="G5787">
        <v>30.690650000000002</v>
      </c>
    </row>
    <row r="5788" spans="1:7" x14ac:dyDescent="0.35">
      <c r="A5788" t="s">
        <v>847</v>
      </c>
      <c r="B5788" t="s">
        <v>680</v>
      </c>
      <c r="C5788" s="83">
        <v>46225</v>
      </c>
      <c r="D5788" t="s">
        <v>689</v>
      </c>
      <c r="E5788" t="s">
        <v>297</v>
      </c>
      <c r="F5788">
        <v>17</v>
      </c>
      <c r="G5788">
        <v>8.3314666666666692</v>
      </c>
    </row>
    <row r="5789" spans="1:7" x14ac:dyDescent="0.35">
      <c r="A5789" t="s">
        <v>847</v>
      </c>
      <c r="B5789" t="s">
        <v>680</v>
      </c>
      <c r="C5789" s="83">
        <v>46225</v>
      </c>
      <c r="D5789" t="s">
        <v>689</v>
      </c>
      <c r="E5789" t="s">
        <v>296</v>
      </c>
      <c r="F5789">
        <v>8</v>
      </c>
      <c r="G5789">
        <v>11.5005166666667</v>
      </c>
    </row>
    <row r="5790" spans="1:7" x14ac:dyDescent="0.35">
      <c r="A5790" t="s">
        <v>847</v>
      </c>
      <c r="B5790" t="s">
        <v>680</v>
      </c>
      <c r="C5790" s="83">
        <v>46225</v>
      </c>
      <c r="D5790" t="s">
        <v>684</v>
      </c>
      <c r="E5790" t="s">
        <v>296</v>
      </c>
      <c r="F5790">
        <v>16</v>
      </c>
      <c r="G5790">
        <v>8.6834000000000007</v>
      </c>
    </row>
    <row r="5791" spans="1:7" x14ac:dyDescent="0.35">
      <c r="A5791" t="s">
        <v>847</v>
      </c>
      <c r="B5791" t="s">
        <v>680</v>
      </c>
      <c r="C5791" s="83">
        <v>46225</v>
      </c>
      <c r="D5791" t="s">
        <v>684</v>
      </c>
      <c r="E5791" t="s">
        <v>298</v>
      </c>
      <c r="F5791">
        <v>9</v>
      </c>
      <c r="G5791">
        <v>6.1672500000000001</v>
      </c>
    </row>
    <row r="5792" spans="1:7" x14ac:dyDescent="0.35">
      <c r="A5792" t="s">
        <v>847</v>
      </c>
      <c r="B5792" t="s">
        <v>680</v>
      </c>
      <c r="C5792" s="83">
        <v>46225</v>
      </c>
      <c r="D5792" t="s">
        <v>684</v>
      </c>
      <c r="E5792" t="s">
        <v>334</v>
      </c>
      <c r="F5792">
        <v>6</v>
      </c>
      <c r="G5792">
        <v>3.1680999999999999</v>
      </c>
    </row>
    <row r="5793" spans="1:7" x14ac:dyDescent="0.35">
      <c r="A5793" t="s">
        <v>847</v>
      </c>
      <c r="B5793" t="s">
        <v>680</v>
      </c>
      <c r="C5793" s="83">
        <v>46225</v>
      </c>
      <c r="D5793" t="s">
        <v>687</v>
      </c>
      <c r="E5793" t="s">
        <v>746</v>
      </c>
      <c r="F5793">
        <v>9</v>
      </c>
      <c r="G5793">
        <v>10.1793333333333</v>
      </c>
    </row>
    <row r="5794" spans="1:7" x14ac:dyDescent="0.35">
      <c r="A5794" t="s">
        <v>847</v>
      </c>
      <c r="B5794" t="s">
        <v>680</v>
      </c>
      <c r="C5794" s="83">
        <v>46225</v>
      </c>
      <c r="D5794" t="s">
        <v>687</v>
      </c>
      <c r="E5794" t="s">
        <v>729</v>
      </c>
      <c r="F5794">
        <v>5</v>
      </c>
      <c r="G5794">
        <v>2.6873499999999999</v>
      </c>
    </row>
    <row r="5795" spans="1:7" x14ac:dyDescent="0.35">
      <c r="A5795" t="s">
        <v>847</v>
      </c>
      <c r="B5795" t="s">
        <v>680</v>
      </c>
      <c r="C5795" s="83">
        <v>46225</v>
      </c>
      <c r="D5795" t="s">
        <v>687</v>
      </c>
      <c r="E5795" t="s">
        <v>717</v>
      </c>
      <c r="F5795">
        <v>3</v>
      </c>
      <c r="G5795">
        <v>1.00566666666667</v>
      </c>
    </row>
    <row r="5796" spans="1:7" x14ac:dyDescent="0.35">
      <c r="A5796" t="s">
        <v>847</v>
      </c>
      <c r="B5796" t="s">
        <v>680</v>
      </c>
      <c r="C5796" s="83">
        <v>46225</v>
      </c>
      <c r="D5796" t="s">
        <v>688</v>
      </c>
      <c r="E5796" t="s">
        <v>311</v>
      </c>
      <c r="F5796">
        <v>12</v>
      </c>
      <c r="G5796">
        <v>7.1595833333333303</v>
      </c>
    </row>
    <row r="5797" spans="1:7" x14ac:dyDescent="0.35">
      <c r="A5797" t="s">
        <v>847</v>
      </c>
      <c r="B5797" t="s">
        <v>680</v>
      </c>
      <c r="C5797" s="83">
        <v>46225</v>
      </c>
      <c r="D5797" t="s">
        <v>688</v>
      </c>
      <c r="E5797" t="s">
        <v>720</v>
      </c>
      <c r="F5797">
        <v>10</v>
      </c>
      <c r="G5797">
        <v>9.0029500000000002</v>
      </c>
    </row>
    <row r="5798" spans="1:7" x14ac:dyDescent="0.35">
      <c r="A5798" t="s">
        <v>847</v>
      </c>
      <c r="B5798" t="s">
        <v>680</v>
      </c>
      <c r="C5798" s="83">
        <v>46225</v>
      </c>
      <c r="D5798" t="s">
        <v>688</v>
      </c>
      <c r="E5798" t="s">
        <v>316</v>
      </c>
      <c r="F5798">
        <v>6</v>
      </c>
      <c r="G5798">
        <v>2.5021</v>
      </c>
    </row>
    <row r="5799" spans="1:7" x14ac:dyDescent="0.35">
      <c r="A5799" t="s">
        <v>847</v>
      </c>
      <c r="B5799" t="s">
        <v>680</v>
      </c>
      <c r="C5799" s="83">
        <v>46225</v>
      </c>
      <c r="D5799" t="s">
        <v>690</v>
      </c>
      <c r="E5799" t="s">
        <v>312</v>
      </c>
      <c r="F5799">
        <v>16</v>
      </c>
      <c r="G5799">
        <v>42.486433333333302</v>
      </c>
    </row>
    <row r="5800" spans="1:7" x14ac:dyDescent="0.35">
      <c r="A5800" t="s">
        <v>847</v>
      </c>
      <c r="B5800" t="s">
        <v>680</v>
      </c>
      <c r="C5800" s="83">
        <v>46225</v>
      </c>
      <c r="D5800" t="s">
        <v>690</v>
      </c>
      <c r="E5800" t="s">
        <v>311</v>
      </c>
      <c r="F5800">
        <v>8</v>
      </c>
      <c r="G5800">
        <v>5.6727999999999996</v>
      </c>
    </row>
    <row r="5801" spans="1:7" x14ac:dyDescent="0.35">
      <c r="A5801" t="s">
        <v>847</v>
      </c>
      <c r="B5801" t="s">
        <v>680</v>
      </c>
      <c r="C5801" s="83">
        <v>46225</v>
      </c>
      <c r="D5801" t="s">
        <v>690</v>
      </c>
      <c r="E5801" t="s">
        <v>338</v>
      </c>
      <c r="F5801">
        <v>8</v>
      </c>
      <c r="G5801">
        <v>4.9844999999999997</v>
      </c>
    </row>
    <row r="5802" spans="1:7" x14ac:dyDescent="0.35">
      <c r="A5802" t="s">
        <v>847</v>
      </c>
      <c r="B5802" t="s">
        <v>680</v>
      </c>
      <c r="C5802" s="83">
        <v>46225</v>
      </c>
      <c r="D5802" t="s">
        <v>685</v>
      </c>
      <c r="E5802" t="s">
        <v>311</v>
      </c>
      <c r="F5802">
        <v>9</v>
      </c>
      <c r="G5802">
        <v>3.50745</v>
      </c>
    </row>
    <row r="5803" spans="1:7" x14ac:dyDescent="0.35">
      <c r="A5803" t="s">
        <v>847</v>
      </c>
      <c r="B5803" t="s">
        <v>680</v>
      </c>
      <c r="C5803" s="83">
        <v>46225</v>
      </c>
      <c r="D5803" t="s">
        <v>685</v>
      </c>
      <c r="E5803" t="s">
        <v>640</v>
      </c>
      <c r="F5803">
        <v>4</v>
      </c>
      <c r="G5803">
        <v>16.843</v>
      </c>
    </row>
    <row r="5804" spans="1:7" x14ac:dyDescent="0.35">
      <c r="A5804" t="s">
        <v>847</v>
      </c>
      <c r="B5804" t="s">
        <v>680</v>
      </c>
      <c r="C5804" s="83">
        <v>46225</v>
      </c>
      <c r="D5804" t="s">
        <v>685</v>
      </c>
      <c r="E5804" t="s">
        <v>316</v>
      </c>
      <c r="F5804">
        <v>3</v>
      </c>
      <c r="G5804">
        <v>1.8333333333333299</v>
      </c>
    </row>
    <row r="5805" spans="1:7" x14ac:dyDescent="0.35">
      <c r="A5805" t="s">
        <v>847</v>
      </c>
      <c r="B5805" t="s">
        <v>680</v>
      </c>
      <c r="C5805" s="83">
        <v>46225</v>
      </c>
      <c r="D5805" t="s">
        <v>682</v>
      </c>
      <c r="E5805" t="s">
        <v>808</v>
      </c>
      <c r="F5805">
        <v>14</v>
      </c>
      <c r="G5805">
        <v>17.968716666666701</v>
      </c>
    </row>
    <row r="5806" spans="1:7" x14ac:dyDescent="0.35">
      <c r="A5806" t="s">
        <v>847</v>
      </c>
      <c r="B5806" t="s">
        <v>680</v>
      </c>
      <c r="C5806" s="83">
        <v>46225</v>
      </c>
      <c r="D5806" t="s">
        <v>682</v>
      </c>
      <c r="E5806" t="s">
        <v>734</v>
      </c>
      <c r="F5806">
        <v>6</v>
      </c>
      <c r="G5806">
        <v>5.34181666666667</v>
      </c>
    </row>
    <row r="5807" spans="1:7" x14ac:dyDescent="0.35">
      <c r="A5807" t="s">
        <v>847</v>
      </c>
      <c r="B5807" t="s">
        <v>680</v>
      </c>
      <c r="C5807" s="83">
        <v>46225</v>
      </c>
      <c r="D5807" t="s">
        <v>682</v>
      </c>
      <c r="E5807" t="s">
        <v>720</v>
      </c>
      <c r="F5807">
        <v>5</v>
      </c>
      <c r="G5807">
        <v>6.3343999999999996</v>
      </c>
    </row>
    <row r="5808" spans="1:7" x14ac:dyDescent="0.35">
      <c r="A5808" t="s">
        <v>847</v>
      </c>
      <c r="B5808" t="s">
        <v>680</v>
      </c>
      <c r="C5808" s="83">
        <v>46225</v>
      </c>
      <c r="D5808" t="s">
        <v>686</v>
      </c>
      <c r="E5808" t="s">
        <v>789</v>
      </c>
      <c r="F5808">
        <v>15</v>
      </c>
      <c r="G5808">
        <v>8.5067666666666693</v>
      </c>
    </row>
    <row r="5809" spans="1:7" x14ac:dyDescent="0.35">
      <c r="A5809" t="s">
        <v>847</v>
      </c>
      <c r="B5809" t="s">
        <v>680</v>
      </c>
      <c r="C5809" s="83">
        <v>46225</v>
      </c>
      <c r="D5809" t="s">
        <v>686</v>
      </c>
      <c r="E5809" t="s">
        <v>811</v>
      </c>
      <c r="F5809">
        <v>4</v>
      </c>
      <c r="G5809">
        <v>4.2896000000000001</v>
      </c>
    </row>
    <row r="5810" spans="1:7" x14ac:dyDescent="0.35">
      <c r="A5810" t="s">
        <v>847</v>
      </c>
      <c r="B5810" t="s">
        <v>680</v>
      </c>
      <c r="C5810" s="83">
        <v>46225</v>
      </c>
      <c r="D5810" t="s">
        <v>686</v>
      </c>
      <c r="E5810" t="s">
        <v>791</v>
      </c>
      <c r="F5810">
        <v>3</v>
      </c>
      <c r="G5810">
        <v>2.8472166666666698</v>
      </c>
    </row>
    <row r="5811" spans="1:7" x14ac:dyDescent="0.35">
      <c r="A5811" t="s">
        <v>847</v>
      </c>
      <c r="B5811" t="s">
        <v>680</v>
      </c>
      <c r="C5811" s="83">
        <v>46226</v>
      </c>
      <c r="D5811" t="s">
        <v>681</v>
      </c>
      <c r="E5811" t="s">
        <v>298</v>
      </c>
      <c r="F5811">
        <v>20</v>
      </c>
      <c r="G5811">
        <v>21.656483333333298</v>
      </c>
    </row>
    <row r="5812" spans="1:7" x14ac:dyDescent="0.35">
      <c r="A5812" t="s">
        <v>847</v>
      </c>
      <c r="B5812" t="s">
        <v>680</v>
      </c>
      <c r="C5812" s="83">
        <v>46226</v>
      </c>
      <c r="D5812" t="s">
        <v>681</v>
      </c>
      <c r="E5812" t="s">
        <v>296</v>
      </c>
      <c r="F5812">
        <v>15</v>
      </c>
      <c r="G5812">
        <v>3.9913833333333302</v>
      </c>
    </row>
    <row r="5813" spans="1:7" x14ac:dyDescent="0.35">
      <c r="A5813" t="s">
        <v>847</v>
      </c>
      <c r="B5813" t="s">
        <v>680</v>
      </c>
      <c r="C5813" s="83">
        <v>46226</v>
      </c>
      <c r="D5813" t="s">
        <v>681</v>
      </c>
      <c r="E5813" t="s">
        <v>334</v>
      </c>
      <c r="F5813">
        <v>9</v>
      </c>
      <c r="G5813">
        <v>4.6711833333333299</v>
      </c>
    </row>
    <row r="5814" spans="1:7" x14ac:dyDescent="0.35">
      <c r="A5814" t="s">
        <v>847</v>
      </c>
      <c r="B5814" t="s">
        <v>680</v>
      </c>
      <c r="C5814" s="83">
        <v>46226</v>
      </c>
      <c r="D5814" t="s">
        <v>683</v>
      </c>
      <c r="E5814" t="s">
        <v>298</v>
      </c>
      <c r="F5814">
        <v>16</v>
      </c>
      <c r="G5814">
        <v>9.8528333333333293</v>
      </c>
    </row>
    <row r="5815" spans="1:7" x14ac:dyDescent="0.35">
      <c r="A5815" t="s">
        <v>847</v>
      </c>
      <c r="B5815" t="s">
        <v>680</v>
      </c>
      <c r="C5815" s="83">
        <v>46226</v>
      </c>
      <c r="D5815" t="s">
        <v>683</v>
      </c>
      <c r="E5815" t="s">
        <v>297</v>
      </c>
      <c r="F5815">
        <v>8</v>
      </c>
      <c r="G5815">
        <v>2.8250500000000001</v>
      </c>
    </row>
    <row r="5816" spans="1:7" x14ac:dyDescent="0.35">
      <c r="A5816" t="s">
        <v>847</v>
      </c>
      <c r="B5816" t="s">
        <v>680</v>
      </c>
      <c r="C5816" s="83">
        <v>46226</v>
      </c>
      <c r="D5816" t="s">
        <v>683</v>
      </c>
      <c r="E5816" t="s">
        <v>332</v>
      </c>
      <c r="F5816">
        <v>7</v>
      </c>
      <c r="G5816">
        <v>2.992</v>
      </c>
    </row>
    <row r="5817" spans="1:7" x14ac:dyDescent="0.35">
      <c r="A5817" t="s">
        <v>847</v>
      </c>
      <c r="B5817" t="s">
        <v>680</v>
      </c>
      <c r="C5817" s="83">
        <v>46226</v>
      </c>
      <c r="D5817" t="s">
        <v>689</v>
      </c>
      <c r="E5817" t="s">
        <v>296</v>
      </c>
      <c r="F5817">
        <v>17</v>
      </c>
      <c r="G5817">
        <v>12.827733333333301</v>
      </c>
    </row>
    <row r="5818" spans="1:7" x14ac:dyDescent="0.35">
      <c r="A5818" t="s">
        <v>847</v>
      </c>
      <c r="B5818" t="s">
        <v>680</v>
      </c>
      <c r="C5818" s="83">
        <v>46226</v>
      </c>
      <c r="D5818" t="s">
        <v>689</v>
      </c>
      <c r="E5818" t="s">
        <v>297</v>
      </c>
      <c r="F5818">
        <v>16</v>
      </c>
      <c r="G5818">
        <v>11.31105</v>
      </c>
    </row>
    <row r="5819" spans="1:7" x14ac:dyDescent="0.35">
      <c r="A5819" t="s">
        <v>847</v>
      </c>
      <c r="B5819" t="s">
        <v>680</v>
      </c>
      <c r="C5819" s="83">
        <v>46226</v>
      </c>
      <c r="D5819" t="s">
        <v>689</v>
      </c>
      <c r="E5819" t="s">
        <v>298</v>
      </c>
      <c r="F5819">
        <v>16</v>
      </c>
      <c r="G5819">
        <v>8.6754333333333307</v>
      </c>
    </row>
    <row r="5820" spans="1:7" x14ac:dyDescent="0.35">
      <c r="A5820" t="s">
        <v>847</v>
      </c>
      <c r="B5820" t="s">
        <v>680</v>
      </c>
      <c r="C5820" s="83">
        <v>46226</v>
      </c>
      <c r="D5820" t="s">
        <v>684</v>
      </c>
      <c r="E5820" t="s">
        <v>298</v>
      </c>
      <c r="F5820">
        <v>6</v>
      </c>
      <c r="G5820">
        <v>9.1664499999999993</v>
      </c>
    </row>
    <row r="5821" spans="1:7" x14ac:dyDescent="0.35">
      <c r="A5821" t="s">
        <v>847</v>
      </c>
      <c r="B5821" t="s">
        <v>680</v>
      </c>
      <c r="C5821" s="83">
        <v>46226</v>
      </c>
      <c r="D5821" t="s">
        <v>684</v>
      </c>
      <c r="E5821" t="s">
        <v>304</v>
      </c>
      <c r="F5821">
        <v>5</v>
      </c>
      <c r="G5821">
        <v>2.1683333333333299</v>
      </c>
    </row>
    <row r="5822" spans="1:7" x14ac:dyDescent="0.35">
      <c r="A5822" t="s">
        <v>847</v>
      </c>
      <c r="B5822" t="s">
        <v>680</v>
      </c>
      <c r="C5822" s="83">
        <v>46226</v>
      </c>
      <c r="D5822" t="s">
        <v>684</v>
      </c>
      <c r="E5822" t="s">
        <v>296</v>
      </c>
      <c r="F5822">
        <v>4</v>
      </c>
      <c r="G5822">
        <v>0.84021666666666694</v>
      </c>
    </row>
    <row r="5823" spans="1:7" x14ac:dyDescent="0.35">
      <c r="A5823" t="s">
        <v>847</v>
      </c>
      <c r="B5823" t="s">
        <v>680</v>
      </c>
      <c r="C5823" s="83">
        <v>46226</v>
      </c>
      <c r="D5823" t="s">
        <v>687</v>
      </c>
      <c r="E5823" t="s">
        <v>733</v>
      </c>
      <c r="F5823">
        <v>2</v>
      </c>
      <c r="G5823">
        <v>0.84036666666666704</v>
      </c>
    </row>
    <row r="5824" spans="1:7" x14ac:dyDescent="0.35">
      <c r="A5824" t="s">
        <v>847</v>
      </c>
      <c r="B5824" t="s">
        <v>680</v>
      </c>
      <c r="C5824" s="83">
        <v>46226</v>
      </c>
      <c r="D5824" t="s">
        <v>687</v>
      </c>
      <c r="E5824" t="s">
        <v>762</v>
      </c>
      <c r="F5824">
        <v>2</v>
      </c>
      <c r="G5824">
        <v>0.50039999999999996</v>
      </c>
    </row>
    <row r="5825" spans="1:7" x14ac:dyDescent="0.35">
      <c r="A5825" t="s">
        <v>847</v>
      </c>
      <c r="B5825" t="s">
        <v>680</v>
      </c>
      <c r="C5825" s="83">
        <v>46226</v>
      </c>
      <c r="D5825" t="s">
        <v>687</v>
      </c>
      <c r="E5825" t="s">
        <v>746</v>
      </c>
      <c r="F5825">
        <v>2</v>
      </c>
      <c r="G5825">
        <v>1.67208333333333</v>
      </c>
    </row>
    <row r="5826" spans="1:7" x14ac:dyDescent="0.35">
      <c r="A5826" t="s">
        <v>847</v>
      </c>
      <c r="B5826" t="s">
        <v>680</v>
      </c>
      <c r="C5826" s="83">
        <v>46226</v>
      </c>
      <c r="D5826" t="s">
        <v>688</v>
      </c>
      <c r="E5826" t="s">
        <v>311</v>
      </c>
      <c r="F5826">
        <v>8</v>
      </c>
      <c r="G5826">
        <v>4.3269833333333301</v>
      </c>
    </row>
    <row r="5827" spans="1:7" x14ac:dyDescent="0.35">
      <c r="A5827" t="s">
        <v>847</v>
      </c>
      <c r="B5827" t="s">
        <v>680</v>
      </c>
      <c r="C5827" s="83">
        <v>46226</v>
      </c>
      <c r="D5827" t="s">
        <v>688</v>
      </c>
      <c r="E5827" t="s">
        <v>720</v>
      </c>
      <c r="F5827">
        <v>5</v>
      </c>
      <c r="G5827">
        <v>4.8422666666666698</v>
      </c>
    </row>
    <row r="5828" spans="1:7" x14ac:dyDescent="0.35">
      <c r="A5828" t="s">
        <v>847</v>
      </c>
      <c r="B5828" t="s">
        <v>680</v>
      </c>
      <c r="C5828" s="83">
        <v>46226</v>
      </c>
      <c r="D5828" t="s">
        <v>688</v>
      </c>
      <c r="E5828" t="s">
        <v>316</v>
      </c>
      <c r="F5828">
        <v>5</v>
      </c>
      <c r="G5828">
        <v>0.99195</v>
      </c>
    </row>
    <row r="5829" spans="1:7" x14ac:dyDescent="0.35">
      <c r="A5829" t="s">
        <v>847</v>
      </c>
      <c r="B5829" t="s">
        <v>680</v>
      </c>
      <c r="C5829" s="83">
        <v>46226</v>
      </c>
      <c r="D5829" t="s">
        <v>690</v>
      </c>
      <c r="E5829" t="s">
        <v>312</v>
      </c>
      <c r="F5829">
        <v>27</v>
      </c>
      <c r="G5829">
        <v>13.314116666666701</v>
      </c>
    </row>
    <row r="5830" spans="1:7" x14ac:dyDescent="0.35">
      <c r="A5830" t="s">
        <v>847</v>
      </c>
      <c r="B5830" t="s">
        <v>680</v>
      </c>
      <c r="C5830" s="83">
        <v>46226</v>
      </c>
      <c r="D5830" t="s">
        <v>690</v>
      </c>
      <c r="E5830" t="s">
        <v>316</v>
      </c>
      <c r="F5830">
        <v>7</v>
      </c>
      <c r="G5830">
        <v>3.00573333333333</v>
      </c>
    </row>
    <row r="5831" spans="1:7" x14ac:dyDescent="0.35">
      <c r="A5831" t="s">
        <v>847</v>
      </c>
      <c r="B5831" t="s">
        <v>680</v>
      </c>
      <c r="C5831" s="83">
        <v>46226</v>
      </c>
      <c r="D5831" t="s">
        <v>690</v>
      </c>
      <c r="E5831" t="s">
        <v>338</v>
      </c>
      <c r="F5831">
        <v>6</v>
      </c>
      <c r="G5831">
        <v>4.5011666666666699</v>
      </c>
    </row>
    <row r="5832" spans="1:7" x14ac:dyDescent="0.35">
      <c r="A5832" t="s">
        <v>847</v>
      </c>
      <c r="B5832" t="s">
        <v>680</v>
      </c>
      <c r="C5832" s="83">
        <v>46226</v>
      </c>
      <c r="D5832" t="s">
        <v>685</v>
      </c>
      <c r="E5832" t="s">
        <v>311</v>
      </c>
      <c r="F5832">
        <v>18</v>
      </c>
      <c r="G5832">
        <v>16.463383333333301</v>
      </c>
    </row>
    <row r="5833" spans="1:7" x14ac:dyDescent="0.35">
      <c r="A5833" t="s">
        <v>847</v>
      </c>
      <c r="B5833" t="s">
        <v>680</v>
      </c>
      <c r="C5833" s="83">
        <v>46226</v>
      </c>
      <c r="D5833" t="s">
        <v>685</v>
      </c>
      <c r="E5833" t="s">
        <v>640</v>
      </c>
      <c r="F5833">
        <v>3</v>
      </c>
      <c r="G5833">
        <v>1.8351</v>
      </c>
    </row>
    <row r="5834" spans="1:7" x14ac:dyDescent="0.35">
      <c r="A5834" t="s">
        <v>847</v>
      </c>
      <c r="B5834" t="s">
        <v>680</v>
      </c>
      <c r="C5834" s="83">
        <v>46226</v>
      </c>
      <c r="D5834" t="s">
        <v>685</v>
      </c>
      <c r="E5834" t="s">
        <v>316</v>
      </c>
      <c r="F5834">
        <v>3</v>
      </c>
      <c r="G5834">
        <v>1.0005500000000001</v>
      </c>
    </row>
    <row r="5835" spans="1:7" x14ac:dyDescent="0.35">
      <c r="A5835" t="s">
        <v>847</v>
      </c>
      <c r="B5835" t="s">
        <v>680</v>
      </c>
      <c r="C5835" s="83">
        <v>46226</v>
      </c>
      <c r="D5835" t="s">
        <v>682</v>
      </c>
      <c r="E5835" t="s">
        <v>311</v>
      </c>
      <c r="F5835">
        <v>8</v>
      </c>
      <c r="G5835">
        <v>6.1885500000000002</v>
      </c>
    </row>
    <row r="5836" spans="1:7" x14ac:dyDescent="0.35">
      <c r="A5836" t="s">
        <v>847</v>
      </c>
      <c r="B5836" t="s">
        <v>680</v>
      </c>
      <c r="C5836" s="83">
        <v>46226</v>
      </c>
      <c r="D5836" t="s">
        <v>682</v>
      </c>
      <c r="E5836" t="s">
        <v>808</v>
      </c>
      <c r="F5836">
        <v>4</v>
      </c>
      <c r="G5836">
        <v>0.84075</v>
      </c>
    </row>
    <row r="5837" spans="1:7" x14ac:dyDescent="0.35">
      <c r="A5837" t="s">
        <v>847</v>
      </c>
      <c r="B5837" t="s">
        <v>680</v>
      </c>
      <c r="C5837" s="83">
        <v>46226</v>
      </c>
      <c r="D5837" t="s">
        <v>682</v>
      </c>
      <c r="E5837" t="s">
        <v>657</v>
      </c>
      <c r="F5837">
        <v>3</v>
      </c>
      <c r="G5837">
        <v>2.6730666666666698</v>
      </c>
    </row>
    <row r="5838" spans="1:7" x14ac:dyDescent="0.35">
      <c r="A5838" t="s">
        <v>847</v>
      </c>
      <c r="B5838" t="s">
        <v>680</v>
      </c>
      <c r="C5838" s="83">
        <v>46226</v>
      </c>
      <c r="D5838" t="s">
        <v>686</v>
      </c>
      <c r="E5838" t="s">
        <v>804</v>
      </c>
      <c r="F5838">
        <v>14</v>
      </c>
      <c r="G5838">
        <v>12.9781</v>
      </c>
    </row>
    <row r="5839" spans="1:7" x14ac:dyDescent="0.35">
      <c r="A5839" t="s">
        <v>847</v>
      </c>
      <c r="B5839" t="s">
        <v>680</v>
      </c>
      <c r="C5839" s="83">
        <v>46226</v>
      </c>
      <c r="D5839" t="s">
        <v>686</v>
      </c>
      <c r="E5839" t="s">
        <v>789</v>
      </c>
      <c r="F5839">
        <v>9</v>
      </c>
      <c r="G5839">
        <v>6.1652500000000003</v>
      </c>
    </row>
    <row r="5840" spans="1:7" x14ac:dyDescent="0.35">
      <c r="A5840" t="s">
        <v>847</v>
      </c>
      <c r="B5840" t="s">
        <v>680</v>
      </c>
      <c r="C5840" s="83">
        <v>46226</v>
      </c>
      <c r="D5840" t="s">
        <v>686</v>
      </c>
      <c r="E5840" t="s">
        <v>803</v>
      </c>
      <c r="F5840">
        <v>6</v>
      </c>
      <c r="G5840">
        <v>3.4932500000000002</v>
      </c>
    </row>
    <row r="5841" spans="1:7" x14ac:dyDescent="0.35">
      <c r="A5841" t="s">
        <v>847</v>
      </c>
      <c r="B5841" t="s">
        <v>680</v>
      </c>
      <c r="C5841" s="83">
        <v>46227</v>
      </c>
      <c r="D5841" t="s">
        <v>681</v>
      </c>
      <c r="E5841" t="s">
        <v>296</v>
      </c>
      <c r="F5841">
        <v>41</v>
      </c>
      <c r="G5841">
        <v>15.3614833333333</v>
      </c>
    </row>
    <row r="5842" spans="1:7" x14ac:dyDescent="0.35">
      <c r="A5842" t="s">
        <v>847</v>
      </c>
      <c r="B5842" t="s">
        <v>680</v>
      </c>
      <c r="C5842" s="83">
        <v>46227</v>
      </c>
      <c r="D5842" t="s">
        <v>681</v>
      </c>
      <c r="E5842" t="s">
        <v>298</v>
      </c>
      <c r="F5842">
        <v>10</v>
      </c>
      <c r="G5842">
        <v>12.5164333333333</v>
      </c>
    </row>
    <row r="5843" spans="1:7" x14ac:dyDescent="0.35">
      <c r="A5843" t="s">
        <v>847</v>
      </c>
      <c r="B5843" t="s">
        <v>680</v>
      </c>
      <c r="C5843" s="83">
        <v>46227</v>
      </c>
      <c r="D5843" t="s">
        <v>681</v>
      </c>
      <c r="E5843" t="s">
        <v>334</v>
      </c>
      <c r="F5843">
        <v>4</v>
      </c>
      <c r="G5843">
        <v>2.4994000000000001</v>
      </c>
    </row>
    <row r="5844" spans="1:7" x14ac:dyDescent="0.35">
      <c r="A5844" t="s">
        <v>847</v>
      </c>
      <c r="B5844" t="s">
        <v>680</v>
      </c>
      <c r="C5844" s="83">
        <v>46227</v>
      </c>
      <c r="D5844" t="s">
        <v>683</v>
      </c>
      <c r="E5844" t="s">
        <v>297</v>
      </c>
      <c r="F5844">
        <v>33</v>
      </c>
      <c r="G5844">
        <v>16.769183333333299</v>
      </c>
    </row>
    <row r="5845" spans="1:7" x14ac:dyDescent="0.35">
      <c r="A5845" t="s">
        <v>847</v>
      </c>
      <c r="B5845" t="s">
        <v>680</v>
      </c>
      <c r="C5845" s="83">
        <v>46227</v>
      </c>
      <c r="D5845" t="s">
        <v>683</v>
      </c>
      <c r="E5845" t="s">
        <v>296</v>
      </c>
      <c r="F5845">
        <v>28</v>
      </c>
      <c r="G5845">
        <v>10.341150000000001</v>
      </c>
    </row>
    <row r="5846" spans="1:7" x14ac:dyDescent="0.35">
      <c r="A5846" t="s">
        <v>847</v>
      </c>
      <c r="B5846" t="s">
        <v>680</v>
      </c>
      <c r="C5846" s="83">
        <v>46227</v>
      </c>
      <c r="D5846" t="s">
        <v>683</v>
      </c>
      <c r="E5846" t="s">
        <v>298</v>
      </c>
      <c r="F5846">
        <v>19</v>
      </c>
      <c r="G5846">
        <v>23.675899999999999</v>
      </c>
    </row>
    <row r="5847" spans="1:7" x14ac:dyDescent="0.35">
      <c r="A5847" t="s">
        <v>847</v>
      </c>
      <c r="B5847" t="s">
        <v>680</v>
      </c>
      <c r="C5847" s="83">
        <v>46227</v>
      </c>
      <c r="D5847" t="s">
        <v>689</v>
      </c>
      <c r="E5847" t="s">
        <v>296</v>
      </c>
      <c r="F5847">
        <v>45</v>
      </c>
      <c r="G5847">
        <v>35.888300000000001</v>
      </c>
    </row>
    <row r="5848" spans="1:7" x14ac:dyDescent="0.35">
      <c r="A5848" t="s">
        <v>847</v>
      </c>
      <c r="B5848" t="s">
        <v>680</v>
      </c>
      <c r="C5848" s="83">
        <v>46227</v>
      </c>
      <c r="D5848" t="s">
        <v>689</v>
      </c>
      <c r="E5848" t="s">
        <v>298</v>
      </c>
      <c r="F5848">
        <v>20</v>
      </c>
      <c r="G5848">
        <v>21.0186666666667</v>
      </c>
    </row>
    <row r="5849" spans="1:7" x14ac:dyDescent="0.35">
      <c r="A5849" t="s">
        <v>847</v>
      </c>
      <c r="B5849" t="s">
        <v>680</v>
      </c>
      <c r="C5849" s="83">
        <v>46227</v>
      </c>
      <c r="D5849" t="s">
        <v>689</v>
      </c>
      <c r="E5849" t="s">
        <v>297</v>
      </c>
      <c r="F5849">
        <v>11</v>
      </c>
      <c r="G5849">
        <v>3.3337833333333302</v>
      </c>
    </row>
    <row r="5850" spans="1:7" x14ac:dyDescent="0.35">
      <c r="A5850" t="s">
        <v>847</v>
      </c>
      <c r="B5850" t="s">
        <v>680</v>
      </c>
      <c r="C5850" s="83">
        <v>46227</v>
      </c>
      <c r="D5850" t="s">
        <v>684</v>
      </c>
      <c r="E5850" t="s">
        <v>296</v>
      </c>
      <c r="F5850">
        <v>13</v>
      </c>
      <c r="G5850">
        <v>6.6480166666666696</v>
      </c>
    </row>
    <row r="5851" spans="1:7" x14ac:dyDescent="0.35">
      <c r="A5851" t="s">
        <v>847</v>
      </c>
      <c r="B5851" t="s">
        <v>680</v>
      </c>
      <c r="C5851" s="83">
        <v>46227</v>
      </c>
      <c r="D5851" t="s">
        <v>684</v>
      </c>
      <c r="E5851" t="s">
        <v>298</v>
      </c>
      <c r="F5851">
        <v>7</v>
      </c>
      <c r="G5851">
        <v>8.5020000000000007</v>
      </c>
    </row>
    <row r="5852" spans="1:7" x14ac:dyDescent="0.35">
      <c r="A5852" t="s">
        <v>847</v>
      </c>
      <c r="B5852" t="s">
        <v>680</v>
      </c>
      <c r="C5852" s="83">
        <v>46227</v>
      </c>
      <c r="D5852" t="s">
        <v>684</v>
      </c>
      <c r="E5852" t="s">
        <v>304</v>
      </c>
      <c r="F5852">
        <v>6</v>
      </c>
      <c r="G5852">
        <v>11.840949999999999</v>
      </c>
    </row>
    <row r="5853" spans="1:7" x14ac:dyDescent="0.35">
      <c r="A5853" t="s">
        <v>847</v>
      </c>
      <c r="B5853" t="s">
        <v>680</v>
      </c>
      <c r="C5853" s="83">
        <v>46227</v>
      </c>
      <c r="D5853" t="s">
        <v>687</v>
      </c>
      <c r="E5853" t="s">
        <v>746</v>
      </c>
      <c r="F5853">
        <v>13</v>
      </c>
      <c r="G5853">
        <v>8.7516666666666705</v>
      </c>
    </row>
    <row r="5854" spans="1:7" x14ac:dyDescent="0.35">
      <c r="A5854" t="s">
        <v>847</v>
      </c>
      <c r="B5854" t="s">
        <v>680</v>
      </c>
      <c r="C5854" s="83">
        <v>46227</v>
      </c>
      <c r="D5854" t="s">
        <v>687</v>
      </c>
      <c r="E5854" t="s">
        <v>717</v>
      </c>
      <c r="F5854">
        <v>5</v>
      </c>
      <c r="G5854">
        <v>4.3311833333333301</v>
      </c>
    </row>
    <row r="5855" spans="1:7" x14ac:dyDescent="0.35">
      <c r="A5855" t="s">
        <v>847</v>
      </c>
      <c r="B5855" t="s">
        <v>680</v>
      </c>
      <c r="C5855" s="83">
        <v>46227</v>
      </c>
      <c r="D5855" t="s">
        <v>687</v>
      </c>
      <c r="E5855" t="s">
        <v>729</v>
      </c>
      <c r="F5855">
        <v>2</v>
      </c>
      <c r="G5855">
        <v>0.34053333333333302</v>
      </c>
    </row>
    <row r="5856" spans="1:7" x14ac:dyDescent="0.35">
      <c r="A5856" t="s">
        <v>847</v>
      </c>
      <c r="B5856" t="s">
        <v>680</v>
      </c>
      <c r="C5856" s="83">
        <v>46227</v>
      </c>
      <c r="D5856" t="s">
        <v>688</v>
      </c>
      <c r="E5856" t="s">
        <v>311</v>
      </c>
      <c r="F5856">
        <v>8</v>
      </c>
      <c r="G5856">
        <v>3.0150666666666699</v>
      </c>
    </row>
    <row r="5857" spans="1:7" x14ac:dyDescent="0.35">
      <c r="A5857" t="s">
        <v>847</v>
      </c>
      <c r="B5857" t="s">
        <v>680</v>
      </c>
      <c r="C5857" s="83">
        <v>46227</v>
      </c>
      <c r="D5857" t="s">
        <v>688</v>
      </c>
      <c r="E5857" t="s">
        <v>321</v>
      </c>
      <c r="F5857">
        <v>5</v>
      </c>
      <c r="G5857">
        <v>60.841799999999999</v>
      </c>
    </row>
    <row r="5858" spans="1:7" x14ac:dyDescent="0.35">
      <c r="A5858" t="s">
        <v>847</v>
      </c>
      <c r="B5858" t="s">
        <v>680</v>
      </c>
      <c r="C5858" s="83">
        <v>46227</v>
      </c>
      <c r="D5858" t="s">
        <v>688</v>
      </c>
      <c r="E5858" t="s">
        <v>720</v>
      </c>
      <c r="F5858">
        <v>3</v>
      </c>
      <c r="G5858">
        <v>0.82516666666666705</v>
      </c>
    </row>
    <row r="5859" spans="1:7" x14ac:dyDescent="0.35">
      <c r="A5859" t="s">
        <v>847</v>
      </c>
      <c r="B5859" t="s">
        <v>680</v>
      </c>
      <c r="C5859" s="83">
        <v>46227</v>
      </c>
      <c r="D5859" t="s">
        <v>690</v>
      </c>
      <c r="E5859" t="s">
        <v>311</v>
      </c>
      <c r="F5859">
        <v>4</v>
      </c>
      <c r="G5859">
        <v>1.5106333333333299</v>
      </c>
    </row>
    <row r="5860" spans="1:7" x14ac:dyDescent="0.35">
      <c r="A5860" t="s">
        <v>847</v>
      </c>
      <c r="B5860" t="s">
        <v>680</v>
      </c>
      <c r="C5860" s="83">
        <v>46227</v>
      </c>
      <c r="D5860" t="s">
        <v>690</v>
      </c>
      <c r="E5860" t="s">
        <v>720</v>
      </c>
      <c r="F5860">
        <v>4</v>
      </c>
      <c r="G5860">
        <v>1.0153333333333301</v>
      </c>
    </row>
    <row r="5861" spans="1:7" x14ac:dyDescent="0.35">
      <c r="A5861" t="s">
        <v>847</v>
      </c>
      <c r="B5861" t="s">
        <v>680</v>
      </c>
      <c r="C5861" s="83">
        <v>46227</v>
      </c>
      <c r="D5861" t="s">
        <v>690</v>
      </c>
      <c r="E5861" t="s">
        <v>316</v>
      </c>
      <c r="F5861">
        <v>3</v>
      </c>
      <c r="G5861">
        <v>1.50905</v>
      </c>
    </row>
    <row r="5862" spans="1:7" x14ac:dyDescent="0.35">
      <c r="A5862" t="s">
        <v>847</v>
      </c>
      <c r="B5862" t="s">
        <v>680</v>
      </c>
      <c r="C5862" s="83">
        <v>46227</v>
      </c>
      <c r="D5862" t="s">
        <v>685</v>
      </c>
      <c r="E5862" t="s">
        <v>311</v>
      </c>
      <c r="F5862">
        <v>13</v>
      </c>
      <c r="G5862">
        <v>9.1996166666666692</v>
      </c>
    </row>
    <row r="5863" spans="1:7" x14ac:dyDescent="0.35">
      <c r="A5863" t="s">
        <v>847</v>
      </c>
      <c r="B5863" t="s">
        <v>680</v>
      </c>
      <c r="C5863" s="83">
        <v>46227</v>
      </c>
      <c r="D5863" t="s">
        <v>685</v>
      </c>
      <c r="E5863" t="s">
        <v>732</v>
      </c>
      <c r="F5863">
        <v>6</v>
      </c>
      <c r="G5863">
        <v>9.8530833333333305</v>
      </c>
    </row>
    <row r="5864" spans="1:7" x14ac:dyDescent="0.35">
      <c r="A5864" t="s">
        <v>847</v>
      </c>
      <c r="B5864" t="s">
        <v>680</v>
      </c>
      <c r="C5864" s="83">
        <v>46227</v>
      </c>
      <c r="D5864" t="s">
        <v>682</v>
      </c>
      <c r="E5864" t="s">
        <v>808</v>
      </c>
      <c r="F5864">
        <v>7</v>
      </c>
      <c r="G5864">
        <v>6.6881833333333303</v>
      </c>
    </row>
    <row r="5865" spans="1:7" x14ac:dyDescent="0.35">
      <c r="A5865" t="s">
        <v>847</v>
      </c>
      <c r="B5865" t="s">
        <v>680</v>
      </c>
      <c r="C5865" s="83">
        <v>46227</v>
      </c>
      <c r="D5865" t="s">
        <v>682</v>
      </c>
      <c r="E5865" t="s">
        <v>720</v>
      </c>
      <c r="F5865">
        <v>7</v>
      </c>
      <c r="G5865">
        <v>3.8568166666666701</v>
      </c>
    </row>
    <row r="5866" spans="1:7" x14ac:dyDescent="0.35">
      <c r="A5866" t="s">
        <v>847</v>
      </c>
      <c r="B5866" t="s">
        <v>680</v>
      </c>
      <c r="C5866" s="83">
        <v>46227</v>
      </c>
      <c r="D5866" t="s">
        <v>682</v>
      </c>
      <c r="E5866" t="s">
        <v>321</v>
      </c>
      <c r="F5866">
        <v>3</v>
      </c>
      <c r="G5866">
        <v>7.9440666666666697</v>
      </c>
    </row>
    <row r="5867" spans="1:7" x14ac:dyDescent="0.35">
      <c r="A5867" t="s">
        <v>847</v>
      </c>
      <c r="B5867" t="s">
        <v>680</v>
      </c>
      <c r="C5867" s="83">
        <v>46227</v>
      </c>
      <c r="D5867" t="s">
        <v>686</v>
      </c>
      <c r="E5867" t="s">
        <v>789</v>
      </c>
      <c r="F5867">
        <v>7</v>
      </c>
      <c r="G5867">
        <v>8.1639499999999998</v>
      </c>
    </row>
    <row r="5868" spans="1:7" x14ac:dyDescent="0.35">
      <c r="A5868" t="s">
        <v>847</v>
      </c>
      <c r="B5868" t="s">
        <v>680</v>
      </c>
      <c r="C5868" s="83">
        <v>46227</v>
      </c>
      <c r="D5868" t="s">
        <v>686</v>
      </c>
      <c r="E5868" t="s">
        <v>554</v>
      </c>
      <c r="F5868">
        <v>3</v>
      </c>
      <c r="G5868">
        <v>4.335</v>
      </c>
    </row>
    <row r="5869" spans="1:7" x14ac:dyDescent="0.35">
      <c r="A5869" t="s">
        <v>847</v>
      </c>
      <c r="B5869" t="s">
        <v>680</v>
      </c>
      <c r="C5869" s="83">
        <v>46227</v>
      </c>
      <c r="D5869" t="s">
        <v>686</v>
      </c>
      <c r="E5869" t="s">
        <v>798</v>
      </c>
      <c r="F5869">
        <v>3</v>
      </c>
      <c r="G5869">
        <v>2.0017</v>
      </c>
    </row>
    <row r="5870" spans="1:7" x14ac:dyDescent="0.35">
      <c r="A5870" t="s">
        <v>847</v>
      </c>
      <c r="B5870" t="s">
        <v>680</v>
      </c>
      <c r="C5870" s="83">
        <v>46228</v>
      </c>
      <c r="D5870" t="s">
        <v>681</v>
      </c>
      <c r="E5870" t="s">
        <v>296</v>
      </c>
      <c r="F5870">
        <v>12</v>
      </c>
      <c r="G5870">
        <v>9.8608833333333301</v>
      </c>
    </row>
    <row r="5871" spans="1:7" x14ac:dyDescent="0.35">
      <c r="A5871" t="s">
        <v>847</v>
      </c>
      <c r="B5871" t="s">
        <v>680</v>
      </c>
      <c r="C5871" s="83">
        <v>46228</v>
      </c>
      <c r="D5871" t="s">
        <v>681</v>
      </c>
      <c r="E5871" t="s">
        <v>297</v>
      </c>
      <c r="F5871">
        <v>6</v>
      </c>
      <c r="G5871">
        <v>1.98448333333333</v>
      </c>
    </row>
    <row r="5872" spans="1:7" x14ac:dyDescent="0.35">
      <c r="A5872" t="s">
        <v>847</v>
      </c>
      <c r="B5872" t="s">
        <v>680</v>
      </c>
      <c r="C5872" s="83">
        <v>46228</v>
      </c>
      <c r="D5872" t="s">
        <v>681</v>
      </c>
      <c r="E5872" t="s">
        <v>298</v>
      </c>
      <c r="F5872">
        <v>5</v>
      </c>
      <c r="G5872">
        <v>10.083166666666701</v>
      </c>
    </row>
    <row r="5873" spans="1:7" x14ac:dyDescent="0.35">
      <c r="A5873" t="s">
        <v>847</v>
      </c>
      <c r="B5873" t="s">
        <v>680</v>
      </c>
      <c r="C5873" s="83">
        <v>46228</v>
      </c>
      <c r="D5873" t="s">
        <v>683</v>
      </c>
      <c r="E5873" t="s">
        <v>296</v>
      </c>
      <c r="F5873">
        <v>34</v>
      </c>
      <c r="G5873">
        <v>28.528583333333302</v>
      </c>
    </row>
    <row r="5874" spans="1:7" x14ac:dyDescent="0.35">
      <c r="A5874" t="s">
        <v>847</v>
      </c>
      <c r="B5874" t="s">
        <v>680</v>
      </c>
      <c r="C5874" s="83">
        <v>46228</v>
      </c>
      <c r="D5874" t="s">
        <v>683</v>
      </c>
      <c r="E5874" t="s">
        <v>334</v>
      </c>
      <c r="F5874">
        <v>20</v>
      </c>
      <c r="G5874">
        <v>11.3449666666667</v>
      </c>
    </row>
    <row r="5875" spans="1:7" x14ac:dyDescent="0.35">
      <c r="A5875" t="s">
        <v>847</v>
      </c>
      <c r="B5875" t="s">
        <v>680</v>
      </c>
      <c r="C5875" s="83">
        <v>46228</v>
      </c>
      <c r="D5875" t="s">
        <v>683</v>
      </c>
      <c r="E5875" t="s">
        <v>297</v>
      </c>
      <c r="F5875">
        <v>7</v>
      </c>
      <c r="G5875">
        <v>2.6002333333333301</v>
      </c>
    </row>
    <row r="5876" spans="1:7" x14ac:dyDescent="0.35">
      <c r="A5876" t="s">
        <v>847</v>
      </c>
      <c r="B5876" t="s">
        <v>680</v>
      </c>
      <c r="C5876" s="83">
        <v>46228</v>
      </c>
      <c r="D5876" t="s">
        <v>689</v>
      </c>
      <c r="E5876" t="s">
        <v>296</v>
      </c>
      <c r="F5876">
        <v>17</v>
      </c>
      <c r="G5876">
        <v>8.0210000000000008</v>
      </c>
    </row>
    <row r="5877" spans="1:7" x14ac:dyDescent="0.35">
      <c r="A5877" t="s">
        <v>847</v>
      </c>
      <c r="B5877" t="s">
        <v>680</v>
      </c>
      <c r="C5877" s="83">
        <v>46228</v>
      </c>
      <c r="D5877" t="s">
        <v>689</v>
      </c>
      <c r="E5877" t="s">
        <v>297</v>
      </c>
      <c r="F5877">
        <v>8</v>
      </c>
      <c r="G5877">
        <v>2.7816000000000001</v>
      </c>
    </row>
    <row r="5878" spans="1:7" x14ac:dyDescent="0.35">
      <c r="A5878" t="s">
        <v>847</v>
      </c>
      <c r="B5878" t="s">
        <v>680</v>
      </c>
      <c r="C5878" s="83">
        <v>46228</v>
      </c>
      <c r="D5878" t="s">
        <v>689</v>
      </c>
      <c r="E5878" t="s">
        <v>298</v>
      </c>
      <c r="F5878">
        <v>6</v>
      </c>
      <c r="G5878">
        <v>10.030466666666699</v>
      </c>
    </row>
    <row r="5879" spans="1:7" x14ac:dyDescent="0.35">
      <c r="A5879" t="s">
        <v>847</v>
      </c>
      <c r="B5879" t="s">
        <v>680</v>
      </c>
      <c r="C5879" s="83">
        <v>46228</v>
      </c>
      <c r="D5879" t="s">
        <v>684</v>
      </c>
      <c r="E5879" t="s">
        <v>727</v>
      </c>
      <c r="F5879">
        <v>5</v>
      </c>
      <c r="G5879">
        <v>3.2171833333333302</v>
      </c>
    </row>
    <row r="5880" spans="1:7" x14ac:dyDescent="0.35">
      <c r="A5880" t="s">
        <v>847</v>
      </c>
      <c r="B5880" t="s">
        <v>680</v>
      </c>
      <c r="C5880" s="83">
        <v>46228</v>
      </c>
      <c r="D5880" t="s">
        <v>684</v>
      </c>
      <c r="E5880" t="s">
        <v>296</v>
      </c>
      <c r="F5880">
        <v>4</v>
      </c>
      <c r="G5880">
        <v>0.90513333333333301</v>
      </c>
    </row>
    <row r="5881" spans="1:7" x14ac:dyDescent="0.35">
      <c r="A5881" t="s">
        <v>847</v>
      </c>
      <c r="B5881" t="s">
        <v>680</v>
      </c>
      <c r="C5881" s="83">
        <v>46228</v>
      </c>
      <c r="D5881" t="s">
        <v>684</v>
      </c>
      <c r="E5881" t="s">
        <v>737</v>
      </c>
      <c r="F5881">
        <v>2</v>
      </c>
      <c r="G5881">
        <v>24.876583333333301</v>
      </c>
    </row>
    <row r="5882" spans="1:7" x14ac:dyDescent="0.35">
      <c r="A5882" t="s">
        <v>847</v>
      </c>
      <c r="B5882" t="s">
        <v>680</v>
      </c>
      <c r="C5882" s="83">
        <v>46228</v>
      </c>
      <c r="D5882" t="s">
        <v>687</v>
      </c>
      <c r="E5882" t="s">
        <v>746</v>
      </c>
      <c r="F5882">
        <v>9</v>
      </c>
      <c r="G5882">
        <v>3.7101166666666701</v>
      </c>
    </row>
    <row r="5883" spans="1:7" x14ac:dyDescent="0.35">
      <c r="A5883" t="s">
        <v>847</v>
      </c>
      <c r="B5883" t="s">
        <v>680</v>
      </c>
      <c r="C5883" s="83">
        <v>46228</v>
      </c>
      <c r="D5883" t="s">
        <v>687</v>
      </c>
      <c r="E5883" t="s">
        <v>717</v>
      </c>
      <c r="F5883">
        <v>4</v>
      </c>
      <c r="G5883">
        <v>2.3270499999999998</v>
      </c>
    </row>
    <row r="5884" spans="1:7" x14ac:dyDescent="0.35">
      <c r="A5884" t="s">
        <v>847</v>
      </c>
      <c r="B5884" t="s">
        <v>680</v>
      </c>
      <c r="C5884" s="83">
        <v>46228</v>
      </c>
      <c r="D5884" t="s">
        <v>687</v>
      </c>
      <c r="E5884" t="s">
        <v>747</v>
      </c>
      <c r="F5884">
        <v>2</v>
      </c>
      <c r="G5884">
        <v>3.3333333333333301E-5</v>
      </c>
    </row>
    <row r="5885" spans="1:7" x14ac:dyDescent="0.35">
      <c r="A5885" t="s">
        <v>847</v>
      </c>
      <c r="B5885" t="s">
        <v>680</v>
      </c>
      <c r="C5885" s="83">
        <v>46228</v>
      </c>
      <c r="D5885" t="s">
        <v>688</v>
      </c>
      <c r="E5885" t="s">
        <v>321</v>
      </c>
      <c r="F5885">
        <v>11</v>
      </c>
      <c r="G5885">
        <v>4.0322166666666703</v>
      </c>
    </row>
    <row r="5886" spans="1:7" x14ac:dyDescent="0.35">
      <c r="A5886" t="s">
        <v>847</v>
      </c>
      <c r="B5886" t="s">
        <v>680</v>
      </c>
      <c r="C5886" s="83">
        <v>46228</v>
      </c>
      <c r="D5886" t="s">
        <v>688</v>
      </c>
      <c r="E5886" t="s">
        <v>311</v>
      </c>
      <c r="F5886">
        <v>8</v>
      </c>
      <c r="G5886">
        <v>1.8147833333333301</v>
      </c>
    </row>
    <row r="5887" spans="1:7" x14ac:dyDescent="0.35">
      <c r="A5887" t="s">
        <v>847</v>
      </c>
      <c r="B5887" t="s">
        <v>680</v>
      </c>
      <c r="C5887" s="83">
        <v>46228</v>
      </c>
      <c r="D5887" t="s">
        <v>688</v>
      </c>
      <c r="E5887" t="s">
        <v>720</v>
      </c>
      <c r="F5887">
        <v>2</v>
      </c>
      <c r="G5887">
        <v>0.33365</v>
      </c>
    </row>
    <row r="5888" spans="1:7" x14ac:dyDescent="0.35">
      <c r="A5888" t="s">
        <v>847</v>
      </c>
      <c r="B5888" t="s">
        <v>680</v>
      </c>
      <c r="C5888" s="83">
        <v>46228</v>
      </c>
      <c r="D5888" t="s">
        <v>690</v>
      </c>
      <c r="E5888" t="s">
        <v>316</v>
      </c>
      <c r="F5888">
        <v>3</v>
      </c>
      <c r="G5888">
        <v>0.383566666666667</v>
      </c>
    </row>
    <row r="5889" spans="1:7" x14ac:dyDescent="0.35">
      <c r="A5889" t="s">
        <v>847</v>
      </c>
      <c r="B5889" t="s">
        <v>680</v>
      </c>
      <c r="C5889" s="83">
        <v>46228</v>
      </c>
      <c r="D5889" t="s">
        <v>690</v>
      </c>
      <c r="E5889" t="s">
        <v>311</v>
      </c>
      <c r="F5889">
        <v>3</v>
      </c>
      <c r="G5889">
        <v>0.65095000000000003</v>
      </c>
    </row>
    <row r="5890" spans="1:7" x14ac:dyDescent="0.35">
      <c r="A5890" t="s">
        <v>847</v>
      </c>
      <c r="B5890" t="s">
        <v>680</v>
      </c>
      <c r="C5890" s="83">
        <v>46228</v>
      </c>
      <c r="D5890" t="s">
        <v>690</v>
      </c>
      <c r="E5890" t="s">
        <v>720</v>
      </c>
      <c r="F5890">
        <v>2</v>
      </c>
      <c r="G5890">
        <v>0.69025000000000003</v>
      </c>
    </row>
    <row r="5891" spans="1:7" x14ac:dyDescent="0.35">
      <c r="A5891" t="s">
        <v>847</v>
      </c>
      <c r="B5891" t="s">
        <v>680</v>
      </c>
      <c r="C5891" s="83">
        <v>46228</v>
      </c>
      <c r="D5891" t="s">
        <v>685</v>
      </c>
      <c r="E5891" t="s">
        <v>311</v>
      </c>
      <c r="F5891">
        <v>4</v>
      </c>
      <c r="G5891">
        <v>2.5111666666666701</v>
      </c>
    </row>
    <row r="5892" spans="1:7" x14ac:dyDescent="0.35">
      <c r="A5892" t="s">
        <v>847</v>
      </c>
      <c r="B5892" t="s">
        <v>680</v>
      </c>
      <c r="C5892" s="83">
        <v>46228</v>
      </c>
      <c r="D5892" t="s">
        <v>685</v>
      </c>
      <c r="E5892" t="s">
        <v>337</v>
      </c>
      <c r="F5892">
        <v>2</v>
      </c>
      <c r="G5892">
        <v>0.50091666666666701</v>
      </c>
    </row>
    <row r="5893" spans="1:7" x14ac:dyDescent="0.35">
      <c r="A5893" t="s">
        <v>847</v>
      </c>
      <c r="B5893" t="s">
        <v>680</v>
      </c>
      <c r="C5893" s="83">
        <v>46228</v>
      </c>
      <c r="D5893" t="s">
        <v>685</v>
      </c>
      <c r="E5893" t="s">
        <v>338</v>
      </c>
      <c r="F5893">
        <v>2</v>
      </c>
      <c r="G5893">
        <v>1.8441666666666701</v>
      </c>
    </row>
    <row r="5894" spans="1:7" x14ac:dyDescent="0.35">
      <c r="A5894" t="s">
        <v>847</v>
      </c>
      <c r="B5894" t="s">
        <v>680</v>
      </c>
      <c r="C5894" s="83">
        <v>46228</v>
      </c>
      <c r="D5894" t="s">
        <v>682</v>
      </c>
      <c r="E5894" t="s">
        <v>311</v>
      </c>
      <c r="F5894">
        <v>2</v>
      </c>
      <c r="G5894">
        <v>0.33361666666666701</v>
      </c>
    </row>
    <row r="5895" spans="1:7" x14ac:dyDescent="0.35">
      <c r="A5895" t="s">
        <v>847</v>
      </c>
      <c r="B5895" t="s">
        <v>680</v>
      </c>
      <c r="C5895" s="83">
        <v>46228</v>
      </c>
      <c r="D5895" t="s">
        <v>686</v>
      </c>
      <c r="E5895" t="s">
        <v>789</v>
      </c>
      <c r="F5895">
        <v>5</v>
      </c>
      <c r="G5895">
        <v>2.4676</v>
      </c>
    </row>
    <row r="5896" spans="1:7" x14ac:dyDescent="0.35">
      <c r="A5896" t="s">
        <v>847</v>
      </c>
      <c r="B5896" t="s">
        <v>680</v>
      </c>
      <c r="C5896" s="83">
        <v>46228</v>
      </c>
      <c r="D5896" t="s">
        <v>686</v>
      </c>
      <c r="E5896" t="s">
        <v>791</v>
      </c>
      <c r="F5896">
        <v>4</v>
      </c>
      <c r="G5896">
        <v>97.419316666666703</v>
      </c>
    </row>
    <row r="5897" spans="1:7" x14ac:dyDescent="0.35">
      <c r="A5897" t="s">
        <v>847</v>
      </c>
      <c r="B5897" t="s">
        <v>680</v>
      </c>
      <c r="C5897" s="83">
        <v>46228</v>
      </c>
      <c r="D5897" t="s">
        <v>686</v>
      </c>
      <c r="E5897" t="s">
        <v>554</v>
      </c>
      <c r="F5897">
        <v>3</v>
      </c>
      <c r="G5897">
        <v>6.81328333333333</v>
      </c>
    </row>
    <row r="5898" spans="1:7" x14ac:dyDescent="0.35">
      <c r="A5898" t="s">
        <v>847</v>
      </c>
      <c r="B5898" t="s">
        <v>680</v>
      </c>
      <c r="C5898" s="83">
        <v>46229</v>
      </c>
      <c r="D5898" t="s">
        <v>681</v>
      </c>
      <c r="E5898" t="s">
        <v>296</v>
      </c>
      <c r="F5898">
        <v>30</v>
      </c>
      <c r="G5898">
        <v>14.445016666666699</v>
      </c>
    </row>
    <row r="5899" spans="1:7" x14ac:dyDescent="0.35">
      <c r="A5899" t="s">
        <v>847</v>
      </c>
      <c r="B5899" t="s">
        <v>680</v>
      </c>
      <c r="C5899" s="83">
        <v>46229</v>
      </c>
      <c r="D5899" t="s">
        <v>681</v>
      </c>
      <c r="E5899" t="s">
        <v>334</v>
      </c>
      <c r="F5899">
        <v>16</v>
      </c>
      <c r="G5899">
        <v>17.417733333333299</v>
      </c>
    </row>
    <row r="5900" spans="1:7" x14ac:dyDescent="0.35">
      <c r="A5900" t="s">
        <v>847</v>
      </c>
      <c r="B5900" t="s">
        <v>680</v>
      </c>
      <c r="C5900" s="83">
        <v>46229</v>
      </c>
      <c r="D5900" t="s">
        <v>681</v>
      </c>
      <c r="E5900" t="s">
        <v>297</v>
      </c>
      <c r="F5900">
        <v>9</v>
      </c>
      <c r="G5900">
        <v>3.1899500000000001</v>
      </c>
    </row>
    <row r="5901" spans="1:7" x14ac:dyDescent="0.35">
      <c r="A5901" t="s">
        <v>847</v>
      </c>
      <c r="B5901" t="s">
        <v>680</v>
      </c>
      <c r="C5901" s="83">
        <v>46229</v>
      </c>
      <c r="D5901" t="s">
        <v>683</v>
      </c>
      <c r="E5901" t="s">
        <v>334</v>
      </c>
      <c r="F5901">
        <v>61</v>
      </c>
      <c r="G5901">
        <v>85.733050000000006</v>
      </c>
    </row>
    <row r="5902" spans="1:7" x14ac:dyDescent="0.35">
      <c r="A5902" t="s">
        <v>847</v>
      </c>
      <c r="B5902" t="s">
        <v>680</v>
      </c>
      <c r="C5902" s="83">
        <v>46229</v>
      </c>
      <c r="D5902" t="s">
        <v>683</v>
      </c>
      <c r="E5902" t="s">
        <v>297</v>
      </c>
      <c r="F5902">
        <v>19</v>
      </c>
      <c r="G5902">
        <v>16.96575</v>
      </c>
    </row>
    <row r="5903" spans="1:7" x14ac:dyDescent="0.35">
      <c r="A5903" t="s">
        <v>847</v>
      </c>
      <c r="B5903" t="s">
        <v>680</v>
      </c>
      <c r="C5903" s="83">
        <v>46229</v>
      </c>
      <c r="D5903" t="s">
        <v>683</v>
      </c>
      <c r="E5903" t="s">
        <v>298</v>
      </c>
      <c r="F5903">
        <v>16</v>
      </c>
      <c r="G5903">
        <v>35.498399999999997</v>
      </c>
    </row>
    <row r="5904" spans="1:7" x14ac:dyDescent="0.35">
      <c r="A5904" t="s">
        <v>847</v>
      </c>
      <c r="B5904" t="s">
        <v>680</v>
      </c>
      <c r="C5904" s="83">
        <v>46229</v>
      </c>
      <c r="D5904" t="s">
        <v>689</v>
      </c>
      <c r="E5904" t="s">
        <v>296</v>
      </c>
      <c r="F5904">
        <v>33</v>
      </c>
      <c r="G5904">
        <v>13.3387333333333</v>
      </c>
    </row>
    <row r="5905" spans="1:7" x14ac:dyDescent="0.35">
      <c r="A5905" t="s">
        <v>847</v>
      </c>
      <c r="B5905" t="s">
        <v>680</v>
      </c>
      <c r="C5905" s="83">
        <v>46229</v>
      </c>
      <c r="D5905" t="s">
        <v>689</v>
      </c>
      <c r="E5905" t="s">
        <v>298</v>
      </c>
      <c r="F5905">
        <v>11</v>
      </c>
      <c r="G5905">
        <v>7.0583666666666698</v>
      </c>
    </row>
    <row r="5906" spans="1:7" x14ac:dyDescent="0.35">
      <c r="A5906" t="s">
        <v>847</v>
      </c>
      <c r="B5906" t="s">
        <v>680</v>
      </c>
      <c r="C5906" s="83">
        <v>46229</v>
      </c>
      <c r="D5906" t="s">
        <v>689</v>
      </c>
      <c r="E5906" t="s">
        <v>343</v>
      </c>
      <c r="F5906">
        <v>8</v>
      </c>
      <c r="G5906">
        <v>6.8221499999999997</v>
      </c>
    </row>
    <row r="5907" spans="1:7" x14ac:dyDescent="0.35">
      <c r="A5907" t="s">
        <v>847</v>
      </c>
      <c r="B5907" t="s">
        <v>680</v>
      </c>
      <c r="C5907" s="83">
        <v>46229</v>
      </c>
      <c r="D5907" t="s">
        <v>684</v>
      </c>
      <c r="E5907" t="s">
        <v>296</v>
      </c>
      <c r="F5907">
        <v>8</v>
      </c>
      <c r="G5907">
        <v>3.1759499999999998</v>
      </c>
    </row>
    <row r="5908" spans="1:7" x14ac:dyDescent="0.35">
      <c r="A5908" t="s">
        <v>847</v>
      </c>
      <c r="B5908" t="s">
        <v>680</v>
      </c>
      <c r="C5908" s="83">
        <v>46229</v>
      </c>
      <c r="D5908" t="s">
        <v>684</v>
      </c>
      <c r="E5908" t="s">
        <v>297</v>
      </c>
      <c r="F5908">
        <v>5</v>
      </c>
      <c r="G5908">
        <v>2.0146166666666701</v>
      </c>
    </row>
    <row r="5909" spans="1:7" x14ac:dyDescent="0.35">
      <c r="A5909" t="s">
        <v>847</v>
      </c>
      <c r="B5909" t="s">
        <v>680</v>
      </c>
      <c r="C5909" s="83">
        <v>46229</v>
      </c>
      <c r="D5909" t="s">
        <v>684</v>
      </c>
      <c r="E5909" t="s">
        <v>334</v>
      </c>
      <c r="F5909">
        <v>4</v>
      </c>
      <c r="G5909">
        <v>8.1227499999999999</v>
      </c>
    </row>
    <row r="5910" spans="1:7" x14ac:dyDescent="0.35">
      <c r="A5910" t="s">
        <v>847</v>
      </c>
      <c r="B5910" t="s">
        <v>680</v>
      </c>
      <c r="C5910" s="83">
        <v>46229</v>
      </c>
      <c r="D5910" t="s">
        <v>687</v>
      </c>
      <c r="E5910" t="s">
        <v>746</v>
      </c>
      <c r="F5910">
        <v>19</v>
      </c>
      <c r="G5910">
        <v>15.5406</v>
      </c>
    </row>
    <row r="5911" spans="1:7" x14ac:dyDescent="0.35">
      <c r="A5911" t="s">
        <v>847</v>
      </c>
      <c r="B5911" t="s">
        <v>680</v>
      </c>
      <c r="C5911" s="83">
        <v>46229</v>
      </c>
      <c r="D5911" t="s">
        <v>687</v>
      </c>
      <c r="E5911" t="s">
        <v>722</v>
      </c>
      <c r="F5911">
        <v>5</v>
      </c>
      <c r="G5911">
        <v>3.0369000000000002</v>
      </c>
    </row>
    <row r="5912" spans="1:7" x14ac:dyDescent="0.35">
      <c r="A5912" t="s">
        <v>847</v>
      </c>
      <c r="B5912" t="s">
        <v>680</v>
      </c>
      <c r="C5912" s="83">
        <v>46229</v>
      </c>
      <c r="D5912" t="s">
        <v>687</v>
      </c>
      <c r="E5912" t="s">
        <v>717</v>
      </c>
      <c r="F5912">
        <v>3</v>
      </c>
      <c r="G5912">
        <v>1.3447166666666699</v>
      </c>
    </row>
    <row r="5913" spans="1:7" x14ac:dyDescent="0.35">
      <c r="A5913" t="s">
        <v>847</v>
      </c>
      <c r="B5913" t="s">
        <v>680</v>
      </c>
      <c r="C5913" s="83">
        <v>46229</v>
      </c>
      <c r="D5913" t="s">
        <v>688</v>
      </c>
      <c r="E5913" t="s">
        <v>311</v>
      </c>
      <c r="F5913">
        <v>43</v>
      </c>
      <c r="G5913">
        <v>47.087033333333302</v>
      </c>
    </row>
    <row r="5914" spans="1:7" x14ac:dyDescent="0.35">
      <c r="A5914" t="s">
        <v>847</v>
      </c>
      <c r="B5914" t="s">
        <v>680</v>
      </c>
      <c r="C5914" s="83">
        <v>46229</v>
      </c>
      <c r="D5914" t="s">
        <v>688</v>
      </c>
      <c r="E5914" t="s">
        <v>316</v>
      </c>
      <c r="F5914">
        <v>5</v>
      </c>
      <c r="G5914">
        <v>4.3840166666666702</v>
      </c>
    </row>
    <row r="5915" spans="1:7" x14ac:dyDescent="0.35">
      <c r="A5915" t="s">
        <v>847</v>
      </c>
      <c r="B5915" t="s">
        <v>680</v>
      </c>
      <c r="C5915" s="83">
        <v>46229</v>
      </c>
      <c r="D5915" t="s">
        <v>688</v>
      </c>
      <c r="E5915" t="s">
        <v>319</v>
      </c>
      <c r="F5915">
        <v>2</v>
      </c>
      <c r="G5915">
        <v>1.5113333333333301</v>
      </c>
    </row>
    <row r="5916" spans="1:7" x14ac:dyDescent="0.35">
      <c r="A5916" t="s">
        <v>847</v>
      </c>
      <c r="B5916" t="s">
        <v>680</v>
      </c>
      <c r="C5916" s="83">
        <v>46229</v>
      </c>
      <c r="D5916" t="s">
        <v>690</v>
      </c>
      <c r="E5916" t="s">
        <v>321</v>
      </c>
      <c r="F5916">
        <v>9</v>
      </c>
      <c r="G5916">
        <v>6.3772166666666701</v>
      </c>
    </row>
    <row r="5917" spans="1:7" x14ac:dyDescent="0.35">
      <c r="A5917" t="s">
        <v>847</v>
      </c>
      <c r="B5917" t="s">
        <v>680</v>
      </c>
      <c r="C5917" s="83">
        <v>46229</v>
      </c>
      <c r="D5917" t="s">
        <v>690</v>
      </c>
      <c r="E5917" t="s">
        <v>316</v>
      </c>
      <c r="F5917">
        <v>7</v>
      </c>
      <c r="G5917">
        <v>10.758983333333299</v>
      </c>
    </row>
    <row r="5918" spans="1:7" x14ac:dyDescent="0.35">
      <c r="A5918" t="s">
        <v>847</v>
      </c>
      <c r="B5918" t="s">
        <v>680</v>
      </c>
      <c r="C5918" s="83">
        <v>46229</v>
      </c>
      <c r="D5918" t="s">
        <v>690</v>
      </c>
      <c r="E5918" t="s">
        <v>725</v>
      </c>
      <c r="F5918">
        <v>7</v>
      </c>
      <c r="G5918">
        <v>17.474033333333299</v>
      </c>
    </row>
    <row r="5919" spans="1:7" x14ac:dyDescent="0.35">
      <c r="A5919" t="s">
        <v>847</v>
      </c>
      <c r="B5919" t="s">
        <v>680</v>
      </c>
      <c r="C5919" s="83">
        <v>46229</v>
      </c>
      <c r="D5919" t="s">
        <v>685</v>
      </c>
      <c r="E5919" t="s">
        <v>766</v>
      </c>
      <c r="F5919">
        <v>6</v>
      </c>
      <c r="G5919">
        <v>2.6176333333333299</v>
      </c>
    </row>
    <row r="5920" spans="1:7" x14ac:dyDescent="0.35">
      <c r="A5920" t="s">
        <v>847</v>
      </c>
      <c r="B5920" t="s">
        <v>680</v>
      </c>
      <c r="C5920" s="83">
        <v>46229</v>
      </c>
      <c r="D5920" t="s">
        <v>685</v>
      </c>
      <c r="E5920" t="s">
        <v>316</v>
      </c>
      <c r="F5920">
        <v>2</v>
      </c>
      <c r="G5920">
        <v>0.67920000000000003</v>
      </c>
    </row>
    <row r="5921" spans="1:7" x14ac:dyDescent="0.35">
      <c r="A5921" t="s">
        <v>847</v>
      </c>
      <c r="B5921" t="s">
        <v>680</v>
      </c>
      <c r="C5921" s="83">
        <v>46229</v>
      </c>
      <c r="D5921" t="s">
        <v>685</v>
      </c>
      <c r="E5921" t="s">
        <v>311</v>
      </c>
      <c r="F5921">
        <v>2</v>
      </c>
      <c r="G5921">
        <v>0.96823333333333295</v>
      </c>
    </row>
    <row r="5922" spans="1:7" x14ac:dyDescent="0.35">
      <c r="A5922" t="s">
        <v>847</v>
      </c>
      <c r="B5922" t="s">
        <v>680</v>
      </c>
      <c r="C5922" s="83">
        <v>46229</v>
      </c>
      <c r="D5922" t="s">
        <v>682</v>
      </c>
      <c r="E5922" t="s">
        <v>720</v>
      </c>
      <c r="F5922">
        <v>5</v>
      </c>
      <c r="G5922">
        <v>4.2500166666666699</v>
      </c>
    </row>
    <row r="5923" spans="1:7" x14ac:dyDescent="0.35">
      <c r="A5923" t="s">
        <v>847</v>
      </c>
      <c r="B5923" t="s">
        <v>680</v>
      </c>
      <c r="C5923" s="83">
        <v>46229</v>
      </c>
      <c r="D5923" t="s">
        <v>682</v>
      </c>
      <c r="E5923" t="s">
        <v>657</v>
      </c>
      <c r="F5923">
        <v>3</v>
      </c>
      <c r="G5923">
        <v>2.01545</v>
      </c>
    </row>
    <row r="5924" spans="1:7" x14ac:dyDescent="0.35">
      <c r="A5924" t="s">
        <v>847</v>
      </c>
      <c r="B5924" t="s">
        <v>680</v>
      </c>
      <c r="C5924" s="83">
        <v>46229</v>
      </c>
      <c r="D5924" t="s">
        <v>682</v>
      </c>
      <c r="E5924" t="s">
        <v>338</v>
      </c>
      <c r="F5924">
        <v>3</v>
      </c>
      <c r="G5924">
        <v>0.77093333333333303</v>
      </c>
    </row>
    <row r="5925" spans="1:7" x14ac:dyDescent="0.35">
      <c r="A5925" t="s">
        <v>847</v>
      </c>
      <c r="B5925" t="s">
        <v>680</v>
      </c>
      <c r="C5925" s="83">
        <v>46229</v>
      </c>
      <c r="D5925" t="s">
        <v>686</v>
      </c>
      <c r="E5925" t="s">
        <v>789</v>
      </c>
      <c r="F5925">
        <v>8</v>
      </c>
      <c r="G5925">
        <v>5.4124499999999998</v>
      </c>
    </row>
    <row r="5926" spans="1:7" x14ac:dyDescent="0.35">
      <c r="A5926" t="s">
        <v>847</v>
      </c>
      <c r="B5926" t="s">
        <v>680</v>
      </c>
      <c r="C5926" s="83">
        <v>46229</v>
      </c>
      <c r="D5926" t="s">
        <v>686</v>
      </c>
      <c r="E5926" t="s">
        <v>554</v>
      </c>
      <c r="F5926">
        <v>6</v>
      </c>
      <c r="G5926">
        <v>4.9365666666666703</v>
      </c>
    </row>
    <row r="5927" spans="1:7" x14ac:dyDescent="0.35">
      <c r="A5927" t="s">
        <v>847</v>
      </c>
      <c r="B5927" t="s">
        <v>680</v>
      </c>
      <c r="C5927" s="83">
        <v>46229</v>
      </c>
      <c r="D5927" t="s">
        <v>686</v>
      </c>
      <c r="E5927" t="s">
        <v>798</v>
      </c>
      <c r="F5927">
        <v>5</v>
      </c>
      <c r="G5927">
        <v>26.753699999999998</v>
      </c>
    </row>
    <row r="5928" spans="1:7" x14ac:dyDescent="0.35">
      <c r="A5928" t="s">
        <v>847</v>
      </c>
      <c r="B5928" t="s">
        <v>680</v>
      </c>
      <c r="C5928" s="83">
        <v>46230</v>
      </c>
      <c r="D5928" t="s">
        <v>681</v>
      </c>
      <c r="E5928" t="s">
        <v>296</v>
      </c>
      <c r="F5928">
        <v>41</v>
      </c>
      <c r="G5928">
        <v>26.875666666666699</v>
      </c>
    </row>
    <row r="5929" spans="1:7" x14ac:dyDescent="0.35">
      <c r="A5929" t="s">
        <v>847</v>
      </c>
      <c r="B5929" t="s">
        <v>680</v>
      </c>
      <c r="C5929" s="83">
        <v>46230</v>
      </c>
      <c r="D5929" t="s">
        <v>681</v>
      </c>
      <c r="E5929" t="s">
        <v>297</v>
      </c>
      <c r="F5929">
        <v>13</v>
      </c>
      <c r="G5929">
        <v>5.2260833333333299</v>
      </c>
    </row>
    <row r="5930" spans="1:7" x14ac:dyDescent="0.35">
      <c r="A5930" t="s">
        <v>847</v>
      </c>
      <c r="B5930" t="s">
        <v>680</v>
      </c>
      <c r="C5930" s="83">
        <v>46230</v>
      </c>
      <c r="D5930" t="s">
        <v>681</v>
      </c>
      <c r="E5930" t="s">
        <v>645</v>
      </c>
      <c r="F5930">
        <v>10</v>
      </c>
      <c r="G5930">
        <v>12.645049999999999</v>
      </c>
    </row>
    <row r="5931" spans="1:7" x14ac:dyDescent="0.35">
      <c r="A5931" t="s">
        <v>847</v>
      </c>
      <c r="B5931" t="s">
        <v>680</v>
      </c>
      <c r="C5931" s="83">
        <v>46230</v>
      </c>
      <c r="D5931" t="s">
        <v>683</v>
      </c>
      <c r="E5931" t="s">
        <v>296</v>
      </c>
      <c r="F5931">
        <v>8</v>
      </c>
      <c r="G5931">
        <v>3.0351499999999998</v>
      </c>
    </row>
    <row r="5932" spans="1:7" x14ac:dyDescent="0.35">
      <c r="A5932" t="s">
        <v>847</v>
      </c>
      <c r="B5932" t="s">
        <v>680</v>
      </c>
      <c r="C5932" s="83">
        <v>46230</v>
      </c>
      <c r="D5932" t="s">
        <v>683</v>
      </c>
      <c r="E5932" t="s">
        <v>334</v>
      </c>
      <c r="F5932">
        <v>7</v>
      </c>
      <c r="G5932">
        <v>2.5717833333333302</v>
      </c>
    </row>
    <row r="5933" spans="1:7" x14ac:dyDescent="0.35">
      <c r="A5933" t="s">
        <v>847</v>
      </c>
      <c r="B5933" t="s">
        <v>680</v>
      </c>
      <c r="C5933" s="83">
        <v>46230</v>
      </c>
      <c r="D5933" t="s">
        <v>683</v>
      </c>
      <c r="E5933" t="s">
        <v>332</v>
      </c>
      <c r="F5933">
        <v>4</v>
      </c>
      <c r="G5933">
        <v>9.6075833333333307</v>
      </c>
    </row>
    <row r="5934" spans="1:7" x14ac:dyDescent="0.35">
      <c r="A5934" t="s">
        <v>847</v>
      </c>
      <c r="B5934" t="s">
        <v>680</v>
      </c>
      <c r="C5934" s="83">
        <v>46230</v>
      </c>
      <c r="D5934" t="s">
        <v>689</v>
      </c>
      <c r="E5934" t="s">
        <v>296</v>
      </c>
      <c r="F5934">
        <v>28</v>
      </c>
      <c r="G5934">
        <v>21.492249999999999</v>
      </c>
    </row>
    <row r="5935" spans="1:7" x14ac:dyDescent="0.35">
      <c r="A5935" t="s">
        <v>847</v>
      </c>
      <c r="B5935" t="s">
        <v>680</v>
      </c>
      <c r="C5935" s="83">
        <v>46230</v>
      </c>
      <c r="D5935" t="s">
        <v>689</v>
      </c>
      <c r="E5935" t="s">
        <v>298</v>
      </c>
      <c r="F5935">
        <v>23</v>
      </c>
      <c r="G5935">
        <v>31.556550000000001</v>
      </c>
    </row>
    <row r="5936" spans="1:7" x14ac:dyDescent="0.35">
      <c r="A5936" t="s">
        <v>847</v>
      </c>
      <c r="B5936" t="s">
        <v>680</v>
      </c>
      <c r="C5936" s="83">
        <v>46230</v>
      </c>
      <c r="D5936" t="s">
        <v>689</v>
      </c>
      <c r="E5936" t="s">
        <v>297</v>
      </c>
      <c r="F5936">
        <v>11</v>
      </c>
      <c r="G5936">
        <v>6.0882333333333296</v>
      </c>
    </row>
    <row r="5937" spans="1:7" x14ac:dyDescent="0.35">
      <c r="A5937" t="s">
        <v>847</v>
      </c>
      <c r="B5937" t="s">
        <v>680</v>
      </c>
      <c r="C5937" s="83">
        <v>46230</v>
      </c>
      <c r="D5937" t="s">
        <v>684</v>
      </c>
      <c r="E5937" t="s">
        <v>296</v>
      </c>
      <c r="F5937">
        <v>4</v>
      </c>
      <c r="G5937">
        <v>14.5239666666667</v>
      </c>
    </row>
    <row r="5938" spans="1:7" x14ac:dyDescent="0.35">
      <c r="A5938" t="s">
        <v>847</v>
      </c>
      <c r="B5938" t="s">
        <v>680</v>
      </c>
      <c r="C5938" s="83">
        <v>46230</v>
      </c>
      <c r="D5938" t="s">
        <v>684</v>
      </c>
      <c r="E5938" t="s">
        <v>300</v>
      </c>
      <c r="F5938">
        <v>3</v>
      </c>
      <c r="G5938">
        <v>0.66766666666666696</v>
      </c>
    </row>
    <row r="5939" spans="1:7" x14ac:dyDescent="0.35">
      <c r="A5939" t="s">
        <v>847</v>
      </c>
      <c r="B5939" t="s">
        <v>680</v>
      </c>
      <c r="C5939" s="83">
        <v>46230</v>
      </c>
      <c r="D5939" t="s">
        <v>684</v>
      </c>
      <c r="E5939" t="s">
        <v>304</v>
      </c>
      <c r="F5939">
        <v>2</v>
      </c>
      <c r="G5939">
        <v>21.102250000000002</v>
      </c>
    </row>
    <row r="5940" spans="1:7" x14ac:dyDescent="0.35">
      <c r="A5940" t="s">
        <v>847</v>
      </c>
      <c r="B5940" t="s">
        <v>680</v>
      </c>
      <c r="C5940" s="83">
        <v>46230</v>
      </c>
      <c r="D5940" t="s">
        <v>687</v>
      </c>
      <c r="E5940" t="s">
        <v>717</v>
      </c>
      <c r="F5940">
        <v>6</v>
      </c>
      <c r="G5940">
        <v>5.7154833333333297</v>
      </c>
    </row>
    <row r="5941" spans="1:7" x14ac:dyDescent="0.35">
      <c r="A5941" t="s">
        <v>847</v>
      </c>
      <c r="B5941" t="s">
        <v>680</v>
      </c>
      <c r="C5941" s="83">
        <v>46230</v>
      </c>
      <c r="D5941" t="s">
        <v>687</v>
      </c>
      <c r="E5941" t="s">
        <v>746</v>
      </c>
      <c r="F5941">
        <v>4</v>
      </c>
      <c r="G5941">
        <v>28.746866666666701</v>
      </c>
    </row>
    <row r="5942" spans="1:7" x14ac:dyDescent="0.35">
      <c r="A5942" t="s">
        <v>847</v>
      </c>
      <c r="B5942" t="s">
        <v>680</v>
      </c>
      <c r="C5942" s="83">
        <v>46230</v>
      </c>
      <c r="D5942" t="s">
        <v>687</v>
      </c>
      <c r="E5942" t="s">
        <v>735</v>
      </c>
      <c r="F5942">
        <v>3</v>
      </c>
      <c r="G5942">
        <v>0.33400000000000002</v>
      </c>
    </row>
    <row r="5943" spans="1:7" x14ac:dyDescent="0.35">
      <c r="A5943" t="s">
        <v>847</v>
      </c>
      <c r="B5943" t="s">
        <v>680</v>
      </c>
      <c r="C5943" s="83">
        <v>46230</v>
      </c>
      <c r="D5943" t="s">
        <v>688</v>
      </c>
      <c r="E5943" t="s">
        <v>311</v>
      </c>
      <c r="F5943">
        <v>15</v>
      </c>
      <c r="G5943">
        <v>9.3010999999999999</v>
      </c>
    </row>
    <row r="5944" spans="1:7" x14ac:dyDescent="0.35">
      <c r="A5944" t="s">
        <v>847</v>
      </c>
      <c r="B5944" t="s">
        <v>680</v>
      </c>
      <c r="C5944" s="83">
        <v>46230</v>
      </c>
      <c r="D5944" t="s">
        <v>688</v>
      </c>
      <c r="E5944" t="s">
        <v>316</v>
      </c>
      <c r="F5944">
        <v>7</v>
      </c>
      <c r="G5944">
        <v>2.1711166666666699</v>
      </c>
    </row>
    <row r="5945" spans="1:7" x14ac:dyDescent="0.35">
      <c r="A5945" t="s">
        <v>847</v>
      </c>
      <c r="B5945" t="s">
        <v>680</v>
      </c>
      <c r="C5945" s="83">
        <v>46230</v>
      </c>
      <c r="D5945" t="s">
        <v>688</v>
      </c>
      <c r="E5945" t="s">
        <v>720</v>
      </c>
      <c r="F5945">
        <v>5</v>
      </c>
      <c r="G5945">
        <v>1.41546666666667</v>
      </c>
    </row>
    <row r="5946" spans="1:7" x14ac:dyDescent="0.35">
      <c r="A5946" t="s">
        <v>847</v>
      </c>
      <c r="B5946" t="s">
        <v>680</v>
      </c>
      <c r="C5946" s="83">
        <v>46230</v>
      </c>
      <c r="D5946" t="s">
        <v>690</v>
      </c>
      <c r="E5946" t="s">
        <v>312</v>
      </c>
      <c r="F5946">
        <v>13</v>
      </c>
      <c r="G5946">
        <v>5.78968333333333</v>
      </c>
    </row>
    <row r="5947" spans="1:7" x14ac:dyDescent="0.35">
      <c r="A5947" t="s">
        <v>847</v>
      </c>
      <c r="B5947" t="s">
        <v>680</v>
      </c>
      <c r="C5947" s="83">
        <v>46230</v>
      </c>
      <c r="D5947" t="s">
        <v>690</v>
      </c>
      <c r="E5947" t="s">
        <v>321</v>
      </c>
      <c r="F5947">
        <v>7</v>
      </c>
      <c r="G5947">
        <v>5.0595833333333298</v>
      </c>
    </row>
    <row r="5948" spans="1:7" x14ac:dyDescent="0.35">
      <c r="A5948" t="s">
        <v>847</v>
      </c>
      <c r="B5948" t="s">
        <v>680</v>
      </c>
      <c r="C5948" s="83">
        <v>46230</v>
      </c>
      <c r="D5948" t="s">
        <v>690</v>
      </c>
      <c r="E5948" t="s">
        <v>316</v>
      </c>
      <c r="F5948">
        <v>6</v>
      </c>
      <c r="G5948">
        <v>4.3043500000000003</v>
      </c>
    </row>
    <row r="5949" spans="1:7" x14ac:dyDescent="0.35">
      <c r="A5949" t="s">
        <v>847</v>
      </c>
      <c r="B5949" t="s">
        <v>680</v>
      </c>
      <c r="C5949" s="83">
        <v>46230</v>
      </c>
      <c r="D5949" t="s">
        <v>685</v>
      </c>
      <c r="E5949" t="s">
        <v>311</v>
      </c>
      <c r="F5949">
        <v>3</v>
      </c>
      <c r="G5949">
        <v>2.0960999999999999</v>
      </c>
    </row>
    <row r="5950" spans="1:7" x14ac:dyDescent="0.35">
      <c r="A5950" t="s">
        <v>847</v>
      </c>
      <c r="B5950" t="s">
        <v>680</v>
      </c>
      <c r="C5950" s="83">
        <v>46230</v>
      </c>
      <c r="D5950" t="s">
        <v>685</v>
      </c>
      <c r="E5950" t="s">
        <v>640</v>
      </c>
      <c r="F5950">
        <v>2</v>
      </c>
      <c r="G5950">
        <v>0.16714999999999999</v>
      </c>
    </row>
    <row r="5951" spans="1:7" x14ac:dyDescent="0.35">
      <c r="A5951" t="s">
        <v>847</v>
      </c>
      <c r="B5951" t="s">
        <v>680</v>
      </c>
      <c r="C5951" s="83">
        <v>46230</v>
      </c>
      <c r="D5951" t="s">
        <v>685</v>
      </c>
      <c r="E5951" t="s">
        <v>321</v>
      </c>
      <c r="F5951">
        <v>2</v>
      </c>
      <c r="G5951">
        <v>0.83374999999999999</v>
      </c>
    </row>
    <row r="5952" spans="1:7" x14ac:dyDescent="0.35">
      <c r="A5952" t="s">
        <v>847</v>
      </c>
      <c r="B5952" t="s">
        <v>680</v>
      </c>
      <c r="C5952" s="83">
        <v>46230</v>
      </c>
      <c r="D5952" t="s">
        <v>682</v>
      </c>
      <c r="E5952" t="s">
        <v>725</v>
      </c>
      <c r="F5952">
        <v>12</v>
      </c>
      <c r="G5952">
        <v>10.937566666666701</v>
      </c>
    </row>
    <row r="5953" spans="1:7" x14ac:dyDescent="0.35">
      <c r="A5953" t="s">
        <v>847</v>
      </c>
      <c r="B5953" t="s">
        <v>680</v>
      </c>
      <c r="C5953" s="83">
        <v>46230</v>
      </c>
      <c r="D5953" t="s">
        <v>682</v>
      </c>
      <c r="E5953" t="s">
        <v>316</v>
      </c>
      <c r="F5953">
        <v>3</v>
      </c>
      <c r="G5953">
        <v>0.814483333333333</v>
      </c>
    </row>
    <row r="5954" spans="1:7" x14ac:dyDescent="0.35">
      <c r="A5954" t="s">
        <v>847</v>
      </c>
      <c r="B5954" t="s">
        <v>680</v>
      </c>
      <c r="C5954" s="83">
        <v>46230</v>
      </c>
      <c r="D5954" t="s">
        <v>682</v>
      </c>
      <c r="E5954" t="s">
        <v>720</v>
      </c>
      <c r="F5954">
        <v>3</v>
      </c>
      <c r="G5954">
        <v>5.2098000000000004</v>
      </c>
    </row>
    <row r="5955" spans="1:7" x14ac:dyDescent="0.35">
      <c r="A5955" t="s">
        <v>847</v>
      </c>
      <c r="B5955" t="s">
        <v>680</v>
      </c>
      <c r="C5955" s="83">
        <v>46230</v>
      </c>
      <c r="D5955" t="s">
        <v>686</v>
      </c>
      <c r="E5955" t="s">
        <v>803</v>
      </c>
      <c r="F5955">
        <v>12</v>
      </c>
      <c r="G5955">
        <v>14.2341333333333</v>
      </c>
    </row>
    <row r="5956" spans="1:7" x14ac:dyDescent="0.35">
      <c r="A5956" t="s">
        <v>847</v>
      </c>
      <c r="B5956" t="s">
        <v>680</v>
      </c>
      <c r="C5956" s="83">
        <v>46230</v>
      </c>
      <c r="D5956" t="s">
        <v>686</v>
      </c>
      <c r="E5956" t="s">
        <v>802</v>
      </c>
      <c r="F5956">
        <v>5</v>
      </c>
      <c r="G5956">
        <v>2.0123500000000001</v>
      </c>
    </row>
    <row r="5957" spans="1:7" x14ac:dyDescent="0.35">
      <c r="A5957" t="s">
        <v>847</v>
      </c>
      <c r="B5957" t="s">
        <v>680</v>
      </c>
      <c r="C5957" s="83">
        <v>46230</v>
      </c>
      <c r="D5957" t="s">
        <v>686</v>
      </c>
      <c r="E5957" t="s">
        <v>789</v>
      </c>
      <c r="F5957">
        <v>3</v>
      </c>
      <c r="G5957">
        <v>1.0011333333333301</v>
      </c>
    </row>
    <row r="5958" spans="1:7" x14ac:dyDescent="0.35">
      <c r="A5958" t="s">
        <v>847</v>
      </c>
      <c r="B5958" t="s">
        <v>680</v>
      </c>
      <c r="C5958" s="83">
        <v>46231</v>
      </c>
      <c r="D5958" t="s">
        <v>681</v>
      </c>
      <c r="E5958" t="s">
        <v>298</v>
      </c>
      <c r="F5958">
        <v>3</v>
      </c>
      <c r="G5958">
        <v>2.8617333333333299</v>
      </c>
    </row>
    <row r="5959" spans="1:7" x14ac:dyDescent="0.35">
      <c r="A5959" t="s">
        <v>847</v>
      </c>
      <c r="B5959" t="s">
        <v>680</v>
      </c>
      <c r="C5959" s="83">
        <v>46231</v>
      </c>
      <c r="D5959" t="s">
        <v>681</v>
      </c>
      <c r="E5959" t="s">
        <v>297</v>
      </c>
      <c r="F5959">
        <v>2</v>
      </c>
      <c r="G5959">
        <v>4.8681000000000001</v>
      </c>
    </row>
    <row r="5960" spans="1:7" x14ac:dyDescent="0.35">
      <c r="A5960" t="s">
        <v>847</v>
      </c>
      <c r="B5960" t="s">
        <v>680</v>
      </c>
      <c r="C5960" s="83">
        <v>46231</v>
      </c>
      <c r="D5960" t="s">
        <v>681</v>
      </c>
      <c r="E5960" t="s">
        <v>296</v>
      </c>
      <c r="F5960">
        <v>2</v>
      </c>
      <c r="G5960">
        <v>0.33371666666666699</v>
      </c>
    </row>
    <row r="5961" spans="1:7" x14ac:dyDescent="0.35">
      <c r="A5961" t="s">
        <v>847</v>
      </c>
      <c r="B5961" t="s">
        <v>680</v>
      </c>
      <c r="C5961" s="83">
        <v>46231</v>
      </c>
      <c r="D5961" t="s">
        <v>683</v>
      </c>
      <c r="E5961" t="s">
        <v>737</v>
      </c>
      <c r="F5961">
        <v>2</v>
      </c>
      <c r="G5961">
        <v>392.44295</v>
      </c>
    </row>
    <row r="5962" spans="1:7" x14ac:dyDescent="0.35">
      <c r="A5962" t="s">
        <v>847</v>
      </c>
      <c r="B5962" t="s">
        <v>680</v>
      </c>
      <c r="C5962" s="83">
        <v>46231</v>
      </c>
      <c r="D5962" t="s">
        <v>689</v>
      </c>
      <c r="E5962" t="s">
        <v>296</v>
      </c>
      <c r="F5962">
        <v>3</v>
      </c>
      <c r="G5962">
        <v>0.33433333333333298</v>
      </c>
    </row>
    <row r="5963" spans="1:7" x14ac:dyDescent="0.35">
      <c r="A5963" t="s">
        <v>847</v>
      </c>
      <c r="B5963" t="s">
        <v>680</v>
      </c>
      <c r="C5963" s="83">
        <v>46231</v>
      </c>
      <c r="D5963" t="s">
        <v>689</v>
      </c>
      <c r="E5963" t="s">
        <v>304</v>
      </c>
      <c r="F5963">
        <v>2</v>
      </c>
      <c r="G5963">
        <v>281.524583333333</v>
      </c>
    </row>
    <row r="5964" spans="1:7" x14ac:dyDescent="0.35">
      <c r="A5964" t="s">
        <v>847</v>
      </c>
      <c r="B5964" t="s">
        <v>680</v>
      </c>
      <c r="C5964" s="83">
        <v>46231</v>
      </c>
      <c r="D5964" t="s">
        <v>689</v>
      </c>
      <c r="E5964" t="s">
        <v>298</v>
      </c>
      <c r="F5964">
        <v>2</v>
      </c>
      <c r="G5964">
        <v>0.83431666666666704</v>
      </c>
    </row>
    <row r="5965" spans="1:7" x14ac:dyDescent="0.35">
      <c r="A5965" t="s">
        <v>847</v>
      </c>
      <c r="B5965" t="s">
        <v>680</v>
      </c>
      <c r="C5965" s="83">
        <v>46231</v>
      </c>
      <c r="D5965" t="s">
        <v>684</v>
      </c>
      <c r="E5965" t="s">
        <v>304</v>
      </c>
      <c r="F5965">
        <v>1</v>
      </c>
      <c r="G5965">
        <v>7.4750333333333296</v>
      </c>
    </row>
    <row r="5966" spans="1:7" x14ac:dyDescent="0.35">
      <c r="A5966" t="s">
        <v>847</v>
      </c>
      <c r="B5966" t="s">
        <v>680</v>
      </c>
      <c r="C5966" s="83">
        <v>46231</v>
      </c>
      <c r="D5966" t="s">
        <v>690</v>
      </c>
      <c r="E5966" t="s">
        <v>316</v>
      </c>
      <c r="F5966">
        <v>6</v>
      </c>
      <c r="G5966">
        <v>1.76678333333333</v>
      </c>
    </row>
    <row r="5967" spans="1:7" x14ac:dyDescent="0.35">
      <c r="A5967" t="s">
        <v>847</v>
      </c>
      <c r="B5967" t="s">
        <v>680</v>
      </c>
      <c r="C5967" s="83">
        <v>46231</v>
      </c>
      <c r="D5967" t="s">
        <v>690</v>
      </c>
      <c r="E5967" t="s">
        <v>312</v>
      </c>
      <c r="F5967">
        <v>3</v>
      </c>
      <c r="G5967">
        <v>0.50049999999999994</v>
      </c>
    </row>
    <row r="5968" spans="1:7" x14ac:dyDescent="0.35">
      <c r="A5968" t="s">
        <v>847</v>
      </c>
      <c r="B5968" t="s">
        <v>680</v>
      </c>
      <c r="C5968" s="83">
        <v>46231</v>
      </c>
      <c r="D5968" t="s">
        <v>690</v>
      </c>
      <c r="E5968" t="s">
        <v>321</v>
      </c>
      <c r="F5968">
        <v>2</v>
      </c>
      <c r="G5968">
        <v>0.34408333333333302</v>
      </c>
    </row>
    <row r="5969" spans="1:7" x14ac:dyDescent="0.35">
      <c r="A5969" t="s">
        <v>847</v>
      </c>
      <c r="B5969" t="s">
        <v>680</v>
      </c>
      <c r="C5969" s="83">
        <v>46231</v>
      </c>
      <c r="D5969" t="s">
        <v>685</v>
      </c>
      <c r="E5969" t="s">
        <v>311</v>
      </c>
      <c r="F5969">
        <v>2</v>
      </c>
      <c r="G5969">
        <v>1.09595</v>
      </c>
    </row>
    <row r="5970" spans="1:7" x14ac:dyDescent="0.35">
      <c r="A5970" t="s">
        <v>847</v>
      </c>
      <c r="B5970" t="s">
        <v>680</v>
      </c>
      <c r="C5970" s="83">
        <v>46231</v>
      </c>
      <c r="D5970" t="s">
        <v>686</v>
      </c>
      <c r="E5970" t="s">
        <v>791</v>
      </c>
      <c r="F5970">
        <v>5</v>
      </c>
      <c r="G5970">
        <v>8.2390500000000007</v>
      </c>
    </row>
    <row r="5971" spans="1:7" x14ac:dyDescent="0.35">
      <c r="A5971" t="s">
        <v>847</v>
      </c>
      <c r="B5971" t="s">
        <v>680</v>
      </c>
      <c r="C5971" s="83">
        <v>46231</v>
      </c>
      <c r="D5971" t="s">
        <v>686</v>
      </c>
      <c r="E5971" t="s">
        <v>812</v>
      </c>
      <c r="F5971">
        <v>2</v>
      </c>
      <c r="G5971">
        <v>298.83575000000002</v>
      </c>
    </row>
    <row r="5972" spans="1:7" x14ac:dyDescent="0.35">
      <c r="A5972" t="s">
        <v>847</v>
      </c>
      <c r="B5972" t="s">
        <v>680</v>
      </c>
      <c r="C5972" s="83">
        <v>46232</v>
      </c>
      <c r="D5972" t="s">
        <v>690</v>
      </c>
      <c r="E5972" t="s">
        <v>813</v>
      </c>
      <c r="F5972">
        <v>1</v>
      </c>
      <c r="G5972">
        <v>1440</v>
      </c>
    </row>
    <row r="5973" spans="1:7" x14ac:dyDescent="0.35">
      <c r="A5973" t="s">
        <v>847</v>
      </c>
      <c r="B5973" t="s">
        <v>680</v>
      </c>
      <c r="C5973" s="83">
        <v>46233</v>
      </c>
      <c r="D5973" t="s">
        <v>690</v>
      </c>
      <c r="E5973" t="s">
        <v>813</v>
      </c>
      <c r="F5973">
        <v>1</v>
      </c>
      <c r="G5973">
        <v>1440</v>
      </c>
    </row>
    <row r="5974" spans="1:7" x14ac:dyDescent="0.35">
      <c r="A5974" t="s">
        <v>847</v>
      </c>
      <c r="B5974" t="s">
        <v>680</v>
      </c>
      <c r="C5974" s="83">
        <v>46234</v>
      </c>
      <c r="D5974" t="s">
        <v>690</v>
      </c>
      <c r="E5974" t="s">
        <v>813</v>
      </c>
      <c r="F5974">
        <v>1</v>
      </c>
      <c r="G5974">
        <v>1440</v>
      </c>
    </row>
    <row r="5975" spans="1:7" x14ac:dyDescent="0.35">
      <c r="A5975" t="s">
        <v>847</v>
      </c>
      <c r="B5975" t="s">
        <v>680</v>
      </c>
      <c r="C5975" s="83">
        <v>46235</v>
      </c>
      <c r="D5975" t="s">
        <v>690</v>
      </c>
      <c r="E5975" t="s">
        <v>813</v>
      </c>
      <c r="F5975">
        <v>1</v>
      </c>
      <c r="G5975">
        <v>1439.66603333333</v>
      </c>
    </row>
    <row r="5976" spans="1:7" x14ac:dyDescent="0.35">
      <c r="A5976" t="s">
        <v>847</v>
      </c>
      <c r="B5976" t="s">
        <v>680</v>
      </c>
      <c r="C5976" s="83">
        <v>46236</v>
      </c>
      <c r="D5976" t="s">
        <v>690</v>
      </c>
      <c r="E5976" t="s">
        <v>813</v>
      </c>
      <c r="F5976">
        <v>1</v>
      </c>
      <c r="G5976">
        <v>1440</v>
      </c>
    </row>
    <row r="5977" spans="1:7" x14ac:dyDescent="0.35">
      <c r="A5977" t="s">
        <v>847</v>
      </c>
      <c r="B5977" t="s">
        <v>680</v>
      </c>
      <c r="C5977" s="83">
        <v>46237</v>
      </c>
      <c r="D5977" t="s">
        <v>690</v>
      </c>
      <c r="E5977" t="s">
        <v>813</v>
      </c>
      <c r="F5977">
        <v>1</v>
      </c>
      <c r="G5977">
        <v>1440</v>
      </c>
    </row>
    <row r="5978" spans="1:7" x14ac:dyDescent="0.35">
      <c r="A5978" t="s">
        <v>847</v>
      </c>
      <c r="B5978" t="s">
        <v>680</v>
      </c>
      <c r="C5978" s="83">
        <v>46238</v>
      </c>
      <c r="D5978" t="s">
        <v>690</v>
      </c>
      <c r="E5978" t="s">
        <v>813</v>
      </c>
      <c r="F5978">
        <v>1</v>
      </c>
      <c r="G5978">
        <v>1439.6659500000001</v>
      </c>
    </row>
    <row r="5979" spans="1:7" x14ac:dyDescent="0.35">
      <c r="A5979" t="s">
        <v>847</v>
      </c>
      <c r="B5979" t="s">
        <v>680</v>
      </c>
      <c r="C5979" s="83">
        <v>46239</v>
      </c>
      <c r="D5979" t="s">
        <v>683</v>
      </c>
      <c r="E5979" t="s">
        <v>737</v>
      </c>
      <c r="F5979">
        <v>1</v>
      </c>
      <c r="G5979">
        <v>0.60719999999999996</v>
      </c>
    </row>
    <row r="5980" spans="1:7" x14ac:dyDescent="0.35">
      <c r="A5980" t="s">
        <v>847</v>
      </c>
      <c r="B5980" t="s">
        <v>680</v>
      </c>
      <c r="C5980" s="83">
        <v>46239</v>
      </c>
      <c r="D5980" t="s">
        <v>689</v>
      </c>
      <c r="E5980" t="s">
        <v>304</v>
      </c>
      <c r="F5980">
        <v>1</v>
      </c>
      <c r="G5980">
        <v>0.50006666666666699</v>
      </c>
    </row>
    <row r="5981" spans="1:7" x14ac:dyDescent="0.35">
      <c r="A5981" t="s">
        <v>847</v>
      </c>
      <c r="B5981" t="s">
        <v>680</v>
      </c>
      <c r="C5981" s="83">
        <v>46239</v>
      </c>
      <c r="D5981" t="s">
        <v>690</v>
      </c>
      <c r="E5981" t="s">
        <v>813</v>
      </c>
      <c r="F5981">
        <v>1</v>
      </c>
      <c r="G5981">
        <v>1440</v>
      </c>
    </row>
    <row r="5982" spans="1:7" x14ac:dyDescent="0.35">
      <c r="A5982" t="s">
        <v>847</v>
      </c>
      <c r="B5982" t="s">
        <v>680</v>
      </c>
      <c r="C5982" s="83">
        <v>46240</v>
      </c>
      <c r="D5982" t="s">
        <v>683</v>
      </c>
      <c r="E5982" t="s">
        <v>737</v>
      </c>
      <c r="F5982">
        <v>1</v>
      </c>
      <c r="G5982">
        <v>115.806633333333</v>
      </c>
    </row>
    <row r="5983" spans="1:7" x14ac:dyDescent="0.35">
      <c r="A5983" t="s">
        <v>847</v>
      </c>
      <c r="B5983" t="s">
        <v>680</v>
      </c>
      <c r="C5983" s="83">
        <v>46240</v>
      </c>
      <c r="D5983" t="s">
        <v>689</v>
      </c>
      <c r="E5983" t="s">
        <v>304</v>
      </c>
      <c r="F5983">
        <v>1</v>
      </c>
      <c r="G5983">
        <v>115.29453333333301</v>
      </c>
    </row>
    <row r="5984" spans="1:7" x14ac:dyDescent="0.35">
      <c r="A5984" t="s">
        <v>847</v>
      </c>
      <c r="B5984" t="s">
        <v>680</v>
      </c>
      <c r="C5984" s="83">
        <v>46240</v>
      </c>
      <c r="D5984" t="s">
        <v>690</v>
      </c>
      <c r="E5984" t="s">
        <v>813</v>
      </c>
      <c r="F5984">
        <v>1</v>
      </c>
      <c r="G5984">
        <v>566.36360000000002</v>
      </c>
    </row>
    <row r="5985" spans="1:7" x14ac:dyDescent="0.35">
      <c r="A5985" t="s">
        <v>847</v>
      </c>
      <c r="B5985" t="s">
        <v>680</v>
      </c>
      <c r="C5985" s="83">
        <v>46240</v>
      </c>
      <c r="D5985" t="s">
        <v>682</v>
      </c>
      <c r="E5985" t="s">
        <v>311</v>
      </c>
      <c r="F5985">
        <v>2</v>
      </c>
      <c r="G5985">
        <v>27.398666666666699</v>
      </c>
    </row>
    <row r="5986" spans="1:7" x14ac:dyDescent="0.35">
      <c r="A5986" t="s">
        <v>847</v>
      </c>
      <c r="B5986" t="s">
        <v>680</v>
      </c>
      <c r="C5986" s="83">
        <v>46240</v>
      </c>
      <c r="D5986" t="s">
        <v>682</v>
      </c>
      <c r="E5986" t="s">
        <v>814</v>
      </c>
      <c r="F5986">
        <v>2</v>
      </c>
      <c r="G5986">
        <v>0.78180000000000005</v>
      </c>
    </row>
    <row r="5987" spans="1:7" x14ac:dyDescent="0.35">
      <c r="A5987" t="s">
        <v>847</v>
      </c>
      <c r="B5987" t="s">
        <v>680</v>
      </c>
      <c r="C5987" s="83">
        <v>46242</v>
      </c>
      <c r="D5987" t="s">
        <v>685</v>
      </c>
      <c r="E5987" t="s">
        <v>311</v>
      </c>
      <c r="F5987">
        <v>2</v>
      </c>
      <c r="G5987">
        <v>583.75748333333297</v>
      </c>
    </row>
    <row r="5988" spans="1:7" x14ac:dyDescent="0.35">
      <c r="A5988" t="s">
        <v>847</v>
      </c>
      <c r="B5988" t="s">
        <v>680</v>
      </c>
      <c r="C5988" s="83">
        <v>46243</v>
      </c>
      <c r="D5988" t="s">
        <v>685</v>
      </c>
      <c r="E5988" t="s">
        <v>311</v>
      </c>
      <c r="F5988">
        <v>1</v>
      </c>
      <c r="G5988">
        <v>1439.67548333333</v>
      </c>
    </row>
    <row r="5989" spans="1:7" x14ac:dyDescent="0.35">
      <c r="A5989" t="s">
        <v>847</v>
      </c>
      <c r="B5989" t="s">
        <v>680</v>
      </c>
      <c r="C5989" s="83">
        <v>46244</v>
      </c>
      <c r="D5989" t="s">
        <v>685</v>
      </c>
      <c r="E5989" t="s">
        <v>311</v>
      </c>
      <c r="F5989">
        <v>1</v>
      </c>
      <c r="G5989">
        <v>1233.2718833333299</v>
      </c>
    </row>
    <row r="5990" spans="1:7" x14ac:dyDescent="0.35">
      <c r="A5990" t="s">
        <v>847</v>
      </c>
      <c r="B5990" t="s">
        <v>680</v>
      </c>
      <c r="C5990" s="83">
        <v>46245</v>
      </c>
      <c r="D5990" t="s">
        <v>688</v>
      </c>
      <c r="E5990" t="s">
        <v>311</v>
      </c>
      <c r="F5990">
        <v>2</v>
      </c>
      <c r="G5990">
        <v>492.93291666666698</v>
      </c>
    </row>
    <row r="5991" spans="1:7" x14ac:dyDescent="0.35">
      <c r="A5991" t="s">
        <v>847</v>
      </c>
      <c r="B5991" t="s">
        <v>680</v>
      </c>
      <c r="C5991" s="83">
        <v>46245</v>
      </c>
      <c r="D5991" t="s">
        <v>688</v>
      </c>
      <c r="E5991" t="s">
        <v>766</v>
      </c>
      <c r="F5991">
        <v>2</v>
      </c>
      <c r="G5991">
        <v>18.991116666666699</v>
      </c>
    </row>
    <row r="5992" spans="1:7" x14ac:dyDescent="0.35">
      <c r="A5992" t="s">
        <v>847</v>
      </c>
      <c r="B5992" t="s">
        <v>680</v>
      </c>
      <c r="C5992" s="83">
        <v>46245</v>
      </c>
      <c r="D5992" t="s">
        <v>690</v>
      </c>
      <c r="E5992" t="s">
        <v>311</v>
      </c>
      <c r="F5992">
        <v>2</v>
      </c>
      <c r="G5992">
        <v>0.51736666666666697</v>
      </c>
    </row>
    <row r="5993" spans="1:7" x14ac:dyDescent="0.35">
      <c r="A5993" t="s">
        <v>847</v>
      </c>
      <c r="B5993" t="s">
        <v>680</v>
      </c>
      <c r="C5993" s="83">
        <v>46245</v>
      </c>
      <c r="D5993" t="s">
        <v>685</v>
      </c>
      <c r="E5993" t="s">
        <v>311</v>
      </c>
      <c r="F5993">
        <v>1</v>
      </c>
      <c r="G5993">
        <v>1.1849666666666701</v>
      </c>
    </row>
    <row r="5994" spans="1:7" x14ac:dyDescent="0.35">
      <c r="A5994" t="s">
        <v>847</v>
      </c>
      <c r="B5994" t="s">
        <v>680</v>
      </c>
      <c r="C5994" s="83">
        <v>46245</v>
      </c>
      <c r="D5994" t="s">
        <v>682</v>
      </c>
      <c r="E5994" t="s">
        <v>312</v>
      </c>
      <c r="F5994">
        <v>2</v>
      </c>
      <c r="G5994">
        <v>1.2413666666666701</v>
      </c>
    </row>
    <row r="5995" spans="1:7" x14ac:dyDescent="0.35">
      <c r="A5995" t="s">
        <v>847</v>
      </c>
      <c r="B5995" t="s">
        <v>680</v>
      </c>
      <c r="C5995" s="83">
        <v>46246</v>
      </c>
      <c r="D5995" t="s">
        <v>688</v>
      </c>
      <c r="E5995" t="s">
        <v>311</v>
      </c>
      <c r="F5995">
        <v>1</v>
      </c>
      <c r="G5995">
        <v>1440</v>
      </c>
    </row>
    <row r="5996" spans="1:7" x14ac:dyDescent="0.35">
      <c r="A5996" t="s">
        <v>847</v>
      </c>
      <c r="B5996" t="s">
        <v>680</v>
      </c>
      <c r="C5996" s="83">
        <v>46246</v>
      </c>
      <c r="D5996" t="s">
        <v>690</v>
      </c>
      <c r="E5996" t="s">
        <v>786</v>
      </c>
      <c r="F5996">
        <v>2</v>
      </c>
      <c r="G5996">
        <v>1.51271666666667</v>
      </c>
    </row>
    <row r="5997" spans="1:7" x14ac:dyDescent="0.35">
      <c r="A5997" t="s">
        <v>847</v>
      </c>
      <c r="B5997" t="s">
        <v>680</v>
      </c>
      <c r="C5997" s="83">
        <v>46246</v>
      </c>
      <c r="D5997" t="s">
        <v>690</v>
      </c>
      <c r="E5997" t="s">
        <v>312</v>
      </c>
      <c r="F5997">
        <v>2</v>
      </c>
      <c r="G5997">
        <v>1.0007333333333299</v>
      </c>
    </row>
    <row r="5998" spans="1:7" x14ac:dyDescent="0.35">
      <c r="A5998" t="s">
        <v>847</v>
      </c>
      <c r="B5998" t="s">
        <v>680</v>
      </c>
      <c r="C5998" s="83">
        <v>46247</v>
      </c>
      <c r="D5998" t="s">
        <v>688</v>
      </c>
      <c r="E5998" t="s">
        <v>311</v>
      </c>
      <c r="F5998">
        <v>1</v>
      </c>
      <c r="G5998">
        <v>1440</v>
      </c>
    </row>
    <row r="5999" spans="1:7" x14ac:dyDescent="0.35">
      <c r="A5999" t="s">
        <v>847</v>
      </c>
      <c r="B5999" t="s">
        <v>680</v>
      </c>
      <c r="C5999" s="83">
        <v>46248</v>
      </c>
      <c r="D5999" t="s">
        <v>688</v>
      </c>
      <c r="E5999" t="s">
        <v>311</v>
      </c>
      <c r="F5999">
        <v>1</v>
      </c>
      <c r="G5999">
        <v>1439.8332</v>
      </c>
    </row>
    <row r="6000" spans="1:7" x14ac:dyDescent="0.35">
      <c r="A6000" t="s">
        <v>847</v>
      </c>
      <c r="B6000" t="s">
        <v>680</v>
      </c>
      <c r="C6000" s="83">
        <v>46249</v>
      </c>
      <c r="D6000" t="s">
        <v>688</v>
      </c>
      <c r="E6000" t="s">
        <v>311</v>
      </c>
      <c r="F6000">
        <v>1</v>
      </c>
      <c r="G6000">
        <v>1440</v>
      </c>
    </row>
    <row r="6001" spans="1:7" x14ac:dyDescent="0.35">
      <c r="A6001" t="s">
        <v>847</v>
      </c>
      <c r="B6001" t="s">
        <v>680</v>
      </c>
      <c r="C6001" s="83">
        <v>46250</v>
      </c>
      <c r="D6001" t="s">
        <v>681</v>
      </c>
      <c r="E6001" t="s">
        <v>296</v>
      </c>
      <c r="F6001">
        <v>45</v>
      </c>
      <c r="G6001">
        <v>30.092649999999999</v>
      </c>
    </row>
    <row r="6002" spans="1:7" x14ac:dyDescent="0.35">
      <c r="A6002" t="s">
        <v>847</v>
      </c>
      <c r="B6002" t="s">
        <v>680</v>
      </c>
      <c r="C6002" s="83">
        <v>46250</v>
      </c>
      <c r="D6002" t="s">
        <v>681</v>
      </c>
      <c r="E6002" t="s">
        <v>298</v>
      </c>
      <c r="F6002">
        <v>10</v>
      </c>
      <c r="G6002">
        <v>12.770616666666699</v>
      </c>
    </row>
    <row r="6003" spans="1:7" x14ac:dyDescent="0.35">
      <c r="A6003" t="s">
        <v>847</v>
      </c>
      <c r="B6003" t="s">
        <v>680</v>
      </c>
      <c r="C6003" s="83">
        <v>46250</v>
      </c>
      <c r="D6003" t="s">
        <v>681</v>
      </c>
      <c r="E6003" t="s">
        <v>727</v>
      </c>
      <c r="F6003">
        <v>7</v>
      </c>
      <c r="G6003">
        <v>9.9959833333333297</v>
      </c>
    </row>
    <row r="6004" spans="1:7" x14ac:dyDescent="0.35">
      <c r="A6004" t="s">
        <v>847</v>
      </c>
      <c r="B6004" t="s">
        <v>680</v>
      </c>
      <c r="C6004" s="83">
        <v>46250</v>
      </c>
      <c r="D6004" t="s">
        <v>683</v>
      </c>
      <c r="E6004" t="s">
        <v>297</v>
      </c>
      <c r="F6004">
        <v>8</v>
      </c>
      <c r="G6004">
        <v>14.7542833333333</v>
      </c>
    </row>
    <row r="6005" spans="1:7" x14ac:dyDescent="0.35">
      <c r="A6005" t="s">
        <v>847</v>
      </c>
      <c r="B6005" t="s">
        <v>680</v>
      </c>
      <c r="C6005" s="83">
        <v>46250</v>
      </c>
      <c r="D6005" t="s">
        <v>683</v>
      </c>
      <c r="E6005" t="s">
        <v>296</v>
      </c>
      <c r="F6005">
        <v>8</v>
      </c>
      <c r="G6005">
        <v>2.3679333333333301</v>
      </c>
    </row>
    <row r="6006" spans="1:7" x14ac:dyDescent="0.35">
      <c r="A6006" t="s">
        <v>847</v>
      </c>
      <c r="B6006" t="s">
        <v>680</v>
      </c>
      <c r="C6006" s="83">
        <v>46250</v>
      </c>
      <c r="D6006" t="s">
        <v>683</v>
      </c>
      <c r="E6006" t="s">
        <v>300</v>
      </c>
      <c r="F6006">
        <v>4</v>
      </c>
      <c r="G6006">
        <v>0.77266666666666695</v>
      </c>
    </row>
    <row r="6007" spans="1:7" x14ac:dyDescent="0.35">
      <c r="A6007" t="s">
        <v>847</v>
      </c>
      <c r="B6007" t="s">
        <v>680</v>
      </c>
      <c r="C6007" s="83">
        <v>46250</v>
      </c>
      <c r="D6007" t="s">
        <v>689</v>
      </c>
      <c r="E6007" t="s">
        <v>296</v>
      </c>
      <c r="F6007">
        <v>22</v>
      </c>
      <c r="G6007">
        <v>13.663349999999999</v>
      </c>
    </row>
    <row r="6008" spans="1:7" x14ac:dyDescent="0.35">
      <c r="A6008" t="s">
        <v>847</v>
      </c>
      <c r="B6008" t="s">
        <v>680</v>
      </c>
      <c r="C6008" s="83">
        <v>46250</v>
      </c>
      <c r="D6008" t="s">
        <v>689</v>
      </c>
      <c r="E6008" t="s">
        <v>297</v>
      </c>
      <c r="F6008">
        <v>10</v>
      </c>
      <c r="G6008">
        <v>3.85825</v>
      </c>
    </row>
    <row r="6009" spans="1:7" x14ac:dyDescent="0.35">
      <c r="A6009" t="s">
        <v>847</v>
      </c>
      <c r="B6009" t="s">
        <v>680</v>
      </c>
      <c r="C6009" s="83">
        <v>46250</v>
      </c>
      <c r="D6009" t="s">
        <v>689</v>
      </c>
      <c r="E6009" t="s">
        <v>736</v>
      </c>
      <c r="F6009">
        <v>5</v>
      </c>
      <c r="G6009">
        <v>1.2385333333333299</v>
      </c>
    </row>
    <row r="6010" spans="1:7" x14ac:dyDescent="0.35">
      <c r="A6010" t="s">
        <v>847</v>
      </c>
      <c r="B6010" t="s">
        <v>680</v>
      </c>
      <c r="C6010" s="83">
        <v>46250</v>
      </c>
      <c r="D6010" t="s">
        <v>684</v>
      </c>
      <c r="E6010" t="s">
        <v>296</v>
      </c>
      <c r="F6010">
        <v>12</v>
      </c>
      <c r="G6010">
        <v>24.34365</v>
      </c>
    </row>
    <row r="6011" spans="1:7" x14ac:dyDescent="0.35">
      <c r="A6011" t="s">
        <v>847</v>
      </c>
      <c r="B6011" t="s">
        <v>680</v>
      </c>
      <c r="C6011" s="83">
        <v>46250</v>
      </c>
      <c r="D6011" t="s">
        <v>684</v>
      </c>
      <c r="E6011" t="s">
        <v>334</v>
      </c>
      <c r="F6011">
        <v>3</v>
      </c>
      <c r="G6011">
        <v>5.0995999999999997</v>
      </c>
    </row>
    <row r="6012" spans="1:7" x14ac:dyDescent="0.35">
      <c r="A6012" t="s">
        <v>847</v>
      </c>
      <c r="B6012" t="s">
        <v>693</v>
      </c>
      <c r="C6012" s="83"/>
      <c r="F6012">
        <v>52464</v>
      </c>
      <c r="G6012">
        <v>97795.437083333003</v>
      </c>
    </row>
    <row r="6013" spans="1:7" x14ac:dyDescent="0.35">
      <c r="A6013" t="s">
        <v>847</v>
      </c>
      <c r="B6013" t="s">
        <v>680</v>
      </c>
      <c r="C6013" s="83">
        <v>46250</v>
      </c>
      <c r="D6013" t="s">
        <v>684</v>
      </c>
      <c r="E6013" t="s">
        <v>740</v>
      </c>
      <c r="F6013">
        <v>2</v>
      </c>
      <c r="G6013">
        <v>3.87368333333333</v>
      </c>
    </row>
    <row r="6014" spans="1:7" x14ac:dyDescent="0.35">
      <c r="A6014" t="s">
        <v>847</v>
      </c>
      <c r="B6014" t="s">
        <v>680</v>
      </c>
      <c r="C6014" s="83">
        <v>46250</v>
      </c>
      <c r="D6014" t="s">
        <v>687</v>
      </c>
      <c r="E6014" t="s">
        <v>746</v>
      </c>
      <c r="F6014">
        <v>7</v>
      </c>
      <c r="G6014">
        <v>4.8687166666666704</v>
      </c>
    </row>
    <row r="6015" spans="1:7" x14ac:dyDescent="0.35">
      <c r="A6015" t="s">
        <v>847</v>
      </c>
      <c r="B6015" t="s">
        <v>680</v>
      </c>
      <c r="C6015" s="83">
        <v>46250</v>
      </c>
      <c r="D6015" t="s">
        <v>687</v>
      </c>
      <c r="E6015" t="s">
        <v>717</v>
      </c>
      <c r="F6015">
        <v>6</v>
      </c>
      <c r="G6015">
        <v>7.3880499999999998</v>
      </c>
    </row>
    <row r="6016" spans="1:7" x14ac:dyDescent="0.35">
      <c r="A6016" t="s">
        <v>847</v>
      </c>
      <c r="B6016" t="s">
        <v>680</v>
      </c>
      <c r="C6016" s="83">
        <v>46250</v>
      </c>
      <c r="D6016" t="s">
        <v>687</v>
      </c>
      <c r="E6016" t="s">
        <v>742</v>
      </c>
      <c r="F6016">
        <v>2</v>
      </c>
      <c r="G6016">
        <v>0.51121666666666699</v>
      </c>
    </row>
    <row r="6017" spans="1:7" x14ac:dyDescent="0.35">
      <c r="A6017" t="s">
        <v>847</v>
      </c>
      <c r="B6017" t="s">
        <v>680</v>
      </c>
      <c r="C6017" s="83">
        <v>46250</v>
      </c>
      <c r="D6017" t="s">
        <v>688</v>
      </c>
      <c r="E6017" t="s">
        <v>321</v>
      </c>
      <c r="F6017">
        <v>8</v>
      </c>
      <c r="G6017">
        <v>5.7406166666666696</v>
      </c>
    </row>
    <row r="6018" spans="1:7" x14ac:dyDescent="0.35">
      <c r="A6018" t="s">
        <v>847</v>
      </c>
      <c r="B6018" t="s">
        <v>680</v>
      </c>
      <c r="C6018" s="83">
        <v>46250</v>
      </c>
      <c r="D6018" t="s">
        <v>688</v>
      </c>
      <c r="E6018" t="s">
        <v>311</v>
      </c>
      <c r="F6018">
        <v>7</v>
      </c>
      <c r="G6018">
        <v>531.84506666666698</v>
      </c>
    </row>
    <row r="6019" spans="1:7" x14ac:dyDescent="0.35">
      <c r="A6019" t="s">
        <v>847</v>
      </c>
      <c r="B6019" t="s">
        <v>680</v>
      </c>
      <c r="C6019" s="83">
        <v>46250</v>
      </c>
      <c r="D6019" t="s">
        <v>688</v>
      </c>
      <c r="E6019" t="s">
        <v>721</v>
      </c>
      <c r="F6019">
        <v>4</v>
      </c>
      <c r="G6019">
        <v>213.210283333333</v>
      </c>
    </row>
    <row r="6020" spans="1:7" x14ac:dyDescent="0.35">
      <c r="A6020" t="s">
        <v>847</v>
      </c>
      <c r="B6020" t="s">
        <v>680</v>
      </c>
      <c r="C6020" s="83">
        <v>46250</v>
      </c>
      <c r="D6020" t="s">
        <v>690</v>
      </c>
      <c r="E6020" t="s">
        <v>311</v>
      </c>
      <c r="F6020">
        <v>9</v>
      </c>
      <c r="G6020">
        <v>3.4309166666666702</v>
      </c>
    </row>
    <row r="6021" spans="1:7" x14ac:dyDescent="0.35">
      <c r="A6021" t="s">
        <v>847</v>
      </c>
      <c r="B6021" t="s">
        <v>680</v>
      </c>
      <c r="C6021" s="83">
        <v>46250</v>
      </c>
      <c r="D6021" t="s">
        <v>690</v>
      </c>
      <c r="E6021" t="s">
        <v>321</v>
      </c>
      <c r="F6021">
        <v>8</v>
      </c>
      <c r="G6021">
        <v>3.9411</v>
      </c>
    </row>
    <row r="6022" spans="1:7" x14ac:dyDescent="0.35">
      <c r="A6022" t="s">
        <v>847</v>
      </c>
      <c r="B6022" t="s">
        <v>680</v>
      </c>
      <c r="C6022" s="83">
        <v>46250</v>
      </c>
      <c r="D6022" t="s">
        <v>690</v>
      </c>
      <c r="E6022" t="s">
        <v>312</v>
      </c>
      <c r="F6022">
        <v>4</v>
      </c>
      <c r="G6022">
        <v>0.71706666666666696</v>
      </c>
    </row>
    <row r="6023" spans="1:7" x14ac:dyDescent="0.35">
      <c r="A6023" t="s">
        <v>847</v>
      </c>
      <c r="B6023" t="s">
        <v>680</v>
      </c>
      <c r="C6023" s="83">
        <v>46250</v>
      </c>
      <c r="D6023" t="s">
        <v>685</v>
      </c>
      <c r="E6023" t="s">
        <v>316</v>
      </c>
      <c r="F6023">
        <v>5</v>
      </c>
      <c r="G6023">
        <v>1.1069166666666701</v>
      </c>
    </row>
    <row r="6024" spans="1:7" x14ac:dyDescent="0.35">
      <c r="A6024" t="s">
        <v>847</v>
      </c>
      <c r="B6024" t="s">
        <v>680</v>
      </c>
      <c r="C6024" s="83">
        <v>46250</v>
      </c>
      <c r="D6024" t="s">
        <v>685</v>
      </c>
      <c r="E6024" t="s">
        <v>311</v>
      </c>
      <c r="F6024">
        <v>4</v>
      </c>
      <c r="G6024">
        <v>1.1783666666666699</v>
      </c>
    </row>
    <row r="6025" spans="1:7" x14ac:dyDescent="0.35">
      <c r="A6025" t="s">
        <v>847</v>
      </c>
      <c r="B6025" t="s">
        <v>680</v>
      </c>
      <c r="C6025" s="83">
        <v>46250</v>
      </c>
      <c r="D6025" t="s">
        <v>685</v>
      </c>
      <c r="E6025" t="s">
        <v>312</v>
      </c>
      <c r="F6025">
        <v>4</v>
      </c>
      <c r="G6025">
        <v>1.0003166666666701</v>
      </c>
    </row>
    <row r="6026" spans="1:7" x14ac:dyDescent="0.35">
      <c r="A6026" t="s">
        <v>847</v>
      </c>
      <c r="B6026" t="s">
        <v>680</v>
      </c>
      <c r="C6026" s="83">
        <v>46250</v>
      </c>
      <c r="D6026" t="s">
        <v>682</v>
      </c>
      <c r="E6026" t="s">
        <v>721</v>
      </c>
      <c r="F6026">
        <v>5</v>
      </c>
      <c r="G6026">
        <v>2.14496666666667</v>
      </c>
    </row>
    <row r="6027" spans="1:7" x14ac:dyDescent="0.35">
      <c r="A6027" t="s">
        <v>847</v>
      </c>
      <c r="B6027" t="s">
        <v>680</v>
      </c>
      <c r="C6027" s="83">
        <v>46250</v>
      </c>
      <c r="D6027" t="s">
        <v>682</v>
      </c>
      <c r="E6027" t="s">
        <v>720</v>
      </c>
      <c r="F6027">
        <v>3</v>
      </c>
      <c r="G6027">
        <v>1.6194</v>
      </c>
    </row>
    <row r="6028" spans="1:7" x14ac:dyDescent="0.35">
      <c r="A6028" t="s">
        <v>847</v>
      </c>
      <c r="B6028" t="s">
        <v>680</v>
      </c>
      <c r="C6028" s="83">
        <v>46250</v>
      </c>
      <c r="D6028" t="s">
        <v>682</v>
      </c>
      <c r="E6028" t="s">
        <v>321</v>
      </c>
      <c r="F6028">
        <v>2</v>
      </c>
      <c r="G6028">
        <v>3.1659999999999999</v>
      </c>
    </row>
    <row r="6029" spans="1:7" x14ac:dyDescent="0.35">
      <c r="A6029" t="s">
        <v>847</v>
      </c>
      <c r="B6029" t="s">
        <v>680</v>
      </c>
      <c r="C6029" s="83">
        <v>46250</v>
      </c>
      <c r="D6029" t="s">
        <v>686</v>
      </c>
      <c r="E6029" t="s">
        <v>803</v>
      </c>
      <c r="F6029">
        <v>4</v>
      </c>
      <c r="G6029">
        <v>1.33446666666667</v>
      </c>
    </row>
    <row r="6030" spans="1:7" x14ac:dyDescent="0.35">
      <c r="A6030" t="s">
        <v>847</v>
      </c>
      <c r="B6030" t="s">
        <v>680</v>
      </c>
      <c r="C6030" s="83">
        <v>46250</v>
      </c>
      <c r="D6030" t="s">
        <v>686</v>
      </c>
      <c r="E6030" t="s">
        <v>789</v>
      </c>
      <c r="F6030">
        <v>2</v>
      </c>
      <c r="G6030">
        <v>0.434966666666667</v>
      </c>
    </row>
    <row r="6031" spans="1:7" x14ac:dyDescent="0.35">
      <c r="A6031" t="s">
        <v>847</v>
      </c>
      <c r="B6031" t="s">
        <v>680</v>
      </c>
      <c r="C6031" s="83">
        <v>46251</v>
      </c>
      <c r="D6031" t="s">
        <v>815</v>
      </c>
      <c r="E6031" t="s">
        <v>74</v>
      </c>
      <c r="F6031">
        <v>1</v>
      </c>
      <c r="G6031">
        <v>0</v>
      </c>
    </row>
    <row r="6032" spans="1:7" x14ac:dyDescent="0.35">
      <c r="A6032" t="s">
        <v>847</v>
      </c>
      <c r="B6032" t="s">
        <v>680</v>
      </c>
      <c r="C6032" s="83">
        <v>46251</v>
      </c>
      <c r="D6032" t="s">
        <v>681</v>
      </c>
      <c r="E6032" t="s">
        <v>296</v>
      </c>
      <c r="F6032">
        <v>62</v>
      </c>
      <c r="G6032">
        <v>22.59845</v>
      </c>
    </row>
    <row r="6033" spans="1:7" x14ac:dyDescent="0.35">
      <c r="A6033" t="s">
        <v>847</v>
      </c>
      <c r="B6033" t="s">
        <v>680</v>
      </c>
      <c r="C6033" s="83">
        <v>46251</v>
      </c>
      <c r="D6033" t="s">
        <v>681</v>
      </c>
      <c r="E6033" t="s">
        <v>298</v>
      </c>
      <c r="F6033">
        <v>24</v>
      </c>
      <c r="G6033">
        <v>34.552149999999997</v>
      </c>
    </row>
    <row r="6034" spans="1:7" x14ac:dyDescent="0.35">
      <c r="A6034" t="s">
        <v>847</v>
      </c>
      <c r="B6034" t="s">
        <v>680</v>
      </c>
      <c r="C6034" s="83">
        <v>46251</v>
      </c>
      <c r="D6034" t="s">
        <v>681</v>
      </c>
      <c r="E6034" t="s">
        <v>334</v>
      </c>
      <c r="F6034">
        <v>5</v>
      </c>
      <c r="G6034">
        <v>6.5208333333333304</v>
      </c>
    </row>
    <row r="6035" spans="1:7" x14ac:dyDescent="0.35">
      <c r="A6035" t="s">
        <v>847</v>
      </c>
      <c r="B6035" t="s">
        <v>680</v>
      </c>
      <c r="C6035" s="83">
        <v>46251</v>
      </c>
      <c r="D6035" t="s">
        <v>683</v>
      </c>
      <c r="E6035" t="s">
        <v>298</v>
      </c>
      <c r="F6035">
        <v>8</v>
      </c>
      <c r="G6035">
        <v>16.763649999999998</v>
      </c>
    </row>
    <row r="6036" spans="1:7" x14ac:dyDescent="0.35">
      <c r="A6036" t="s">
        <v>847</v>
      </c>
      <c r="B6036" t="s">
        <v>680</v>
      </c>
      <c r="C6036" s="83">
        <v>46251</v>
      </c>
      <c r="D6036" t="s">
        <v>683</v>
      </c>
      <c r="E6036" t="s">
        <v>300</v>
      </c>
      <c r="F6036">
        <v>8</v>
      </c>
      <c r="G6036">
        <v>7.423</v>
      </c>
    </row>
    <row r="6037" spans="1:7" x14ac:dyDescent="0.35">
      <c r="A6037" t="s">
        <v>847</v>
      </c>
      <c r="B6037" t="s">
        <v>680</v>
      </c>
      <c r="C6037" s="83">
        <v>46251</v>
      </c>
      <c r="D6037" t="s">
        <v>683</v>
      </c>
      <c r="E6037" t="s">
        <v>297</v>
      </c>
      <c r="F6037">
        <v>6</v>
      </c>
      <c r="G6037">
        <v>5.8976333333333297</v>
      </c>
    </row>
    <row r="6038" spans="1:7" x14ac:dyDescent="0.35">
      <c r="A6038" t="s">
        <v>847</v>
      </c>
      <c r="B6038" t="s">
        <v>680</v>
      </c>
      <c r="C6038" s="83">
        <v>46251</v>
      </c>
      <c r="D6038" t="s">
        <v>689</v>
      </c>
      <c r="E6038" t="s">
        <v>296</v>
      </c>
      <c r="F6038">
        <v>98</v>
      </c>
      <c r="G6038">
        <v>82.871750000000006</v>
      </c>
    </row>
    <row r="6039" spans="1:7" x14ac:dyDescent="0.35">
      <c r="A6039" t="s">
        <v>847</v>
      </c>
      <c r="B6039" t="s">
        <v>680</v>
      </c>
      <c r="C6039" s="83">
        <v>46251</v>
      </c>
      <c r="D6039" t="s">
        <v>689</v>
      </c>
      <c r="E6039" t="s">
        <v>298</v>
      </c>
      <c r="F6039">
        <v>13</v>
      </c>
      <c r="G6039">
        <v>6.8930499999999997</v>
      </c>
    </row>
    <row r="6040" spans="1:7" x14ac:dyDescent="0.35">
      <c r="A6040" t="s">
        <v>847</v>
      </c>
      <c r="B6040" t="s">
        <v>680</v>
      </c>
      <c r="C6040" s="83">
        <v>46251</v>
      </c>
      <c r="D6040" t="s">
        <v>689</v>
      </c>
      <c r="E6040" t="s">
        <v>727</v>
      </c>
      <c r="F6040">
        <v>10</v>
      </c>
      <c r="G6040">
        <v>3.5042</v>
      </c>
    </row>
    <row r="6041" spans="1:7" x14ac:dyDescent="0.35">
      <c r="A6041" t="s">
        <v>847</v>
      </c>
      <c r="B6041" t="s">
        <v>680</v>
      </c>
      <c r="C6041" s="83">
        <v>46251</v>
      </c>
      <c r="D6041" t="s">
        <v>684</v>
      </c>
      <c r="E6041" t="s">
        <v>300</v>
      </c>
      <c r="F6041">
        <v>3</v>
      </c>
      <c r="G6041">
        <v>1.1776500000000001</v>
      </c>
    </row>
    <row r="6042" spans="1:7" x14ac:dyDescent="0.35">
      <c r="A6042" t="s">
        <v>847</v>
      </c>
      <c r="B6042" t="s">
        <v>680</v>
      </c>
      <c r="C6042" s="83">
        <v>46251</v>
      </c>
      <c r="D6042" t="s">
        <v>684</v>
      </c>
      <c r="E6042" t="s">
        <v>296</v>
      </c>
      <c r="F6042">
        <v>3</v>
      </c>
      <c r="G6042">
        <v>4.5390833333333296</v>
      </c>
    </row>
    <row r="6043" spans="1:7" x14ac:dyDescent="0.35">
      <c r="A6043" t="s">
        <v>847</v>
      </c>
      <c r="B6043" t="s">
        <v>680</v>
      </c>
      <c r="C6043" s="83">
        <v>46251</v>
      </c>
      <c r="D6043" t="s">
        <v>684</v>
      </c>
      <c r="E6043" t="s">
        <v>334</v>
      </c>
      <c r="F6043">
        <v>2</v>
      </c>
      <c r="G6043">
        <v>0.460683333333333</v>
      </c>
    </row>
    <row r="6044" spans="1:7" x14ac:dyDescent="0.35">
      <c r="A6044" t="s">
        <v>847</v>
      </c>
      <c r="B6044" t="s">
        <v>680</v>
      </c>
      <c r="C6044" s="83">
        <v>46251</v>
      </c>
      <c r="D6044" t="s">
        <v>687</v>
      </c>
      <c r="E6044" t="s">
        <v>746</v>
      </c>
      <c r="F6044">
        <v>37</v>
      </c>
      <c r="G6044">
        <v>26.1357</v>
      </c>
    </row>
    <row r="6045" spans="1:7" x14ac:dyDescent="0.35">
      <c r="A6045" t="s">
        <v>847</v>
      </c>
      <c r="B6045" t="s">
        <v>680</v>
      </c>
      <c r="C6045" s="83">
        <v>46251</v>
      </c>
      <c r="D6045" t="s">
        <v>687</v>
      </c>
      <c r="E6045" t="s">
        <v>717</v>
      </c>
      <c r="F6045">
        <v>5</v>
      </c>
      <c r="G6045">
        <v>2.0145833333333298</v>
      </c>
    </row>
    <row r="6046" spans="1:7" x14ac:dyDescent="0.35">
      <c r="A6046" t="s">
        <v>847</v>
      </c>
      <c r="B6046" t="s">
        <v>680</v>
      </c>
      <c r="C6046" s="83">
        <v>46251</v>
      </c>
      <c r="D6046" t="s">
        <v>687</v>
      </c>
      <c r="E6046" t="s">
        <v>745</v>
      </c>
      <c r="F6046">
        <v>3</v>
      </c>
      <c r="G6046">
        <v>3.1925833333333302</v>
      </c>
    </row>
    <row r="6047" spans="1:7" x14ac:dyDescent="0.35">
      <c r="A6047" t="s">
        <v>847</v>
      </c>
      <c r="B6047" t="s">
        <v>680</v>
      </c>
      <c r="C6047" s="83">
        <v>46251</v>
      </c>
      <c r="D6047" t="s">
        <v>688</v>
      </c>
      <c r="E6047" t="s">
        <v>311</v>
      </c>
      <c r="F6047">
        <v>33</v>
      </c>
      <c r="G6047">
        <v>19.232866666666698</v>
      </c>
    </row>
    <row r="6048" spans="1:7" x14ac:dyDescent="0.35">
      <c r="A6048" t="s">
        <v>847</v>
      </c>
      <c r="B6048" t="s">
        <v>680</v>
      </c>
      <c r="C6048" s="83">
        <v>46251</v>
      </c>
      <c r="D6048" t="s">
        <v>688</v>
      </c>
      <c r="E6048" t="s">
        <v>316</v>
      </c>
      <c r="F6048">
        <v>5</v>
      </c>
      <c r="G6048">
        <v>2.6812833333333299</v>
      </c>
    </row>
    <row r="6049" spans="1:7" x14ac:dyDescent="0.35">
      <c r="A6049" t="s">
        <v>847</v>
      </c>
      <c r="B6049" t="s">
        <v>680</v>
      </c>
      <c r="C6049" s="83">
        <v>46251</v>
      </c>
      <c r="D6049" t="s">
        <v>688</v>
      </c>
      <c r="E6049" t="s">
        <v>319</v>
      </c>
      <c r="F6049">
        <v>3</v>
      </c>
      <c r="G6049">
        <v>0.66688333333333305</v>
      </c>
    </row>
    <row r="6050" spans="1:7" x14ac:dyDescent="0.35">
      <c r="A6050" t="s">
        <v>847</v>
      </c>
      <c r="B6050" t="s">
        <v>680</v>
      </c>
      <c r="C6050" s="83">
        <v>46251</v>
      </c>
      <c r="D6050" t="s">
        <v>690</v>
      </c>
      <c r="E6050" t="s">
        <v>312</v>
      </c>
      <c r="F6050">
        <v>30</v>
      </c>
      <c r="G6050">
        <v>17.7406166666667</v>
      </c>
    </row>
    <row r="6051" spans="1:7" x14ac:dyDescent="0.35">
      <c r="A6051" t="s">
        <v>847</v>
      </c>
      <c r="B6051" t="s">
        <v>680</v>
      </c>
      <c r="C6051" s="83">
        <v>46251</v>
      </c>
      <c r="D6051" t="s">
        <v>690</v>
      </c>
      <c r="E6051" t="s">
        <v>720</v>
      </c>
      <c r="F6051">
        <v>8</v>
      </c>
      <c r="G6051">
        <v>36.900816666666699</v>
      </c>
    </row>
    <row r="6052" spans="1:7" x14ac:dyDescent="0.35">
      <c r="A6052" t="s">
        <v>847</v>
      </c>
      <c r="B6052" t="s">
        <v>680</v>
      </c>
      <c r="C6052" s="83">
        <v>46251</v>
      </c>
      <c r="D6052" t="s">
        <v>690</v>
      </c>
      <c r="E6052" t="s">
        <v>311</v>
      </c>
      <c r="F6052">
        <v>6</v>
      </c>
      <c r="G6052">
        <v>2.3541833333333302</v>
      </c>
    </row>
    <row r="6053" spans="1:7" x14ac:dyDescent="0.35">
      <c r="A6053" t="s">
        <v>847</v>
      </c>
      <c r="B6053" t="s">
        <v>680</v>
      </c>
      <c r="C6053" s="83">
        <v>46251</v>
      </c>
      <c r="D6053" t="s">
        <v>685</v>
      </c>
      <c r="E6053" t="s">
        <v>316</v>
      </c>
      <c r="F6053">
        <v>5</v>
      </c>
      <c r="G6053">
        <v>2.8315999999999999</v>
      </c>
    </row>
    <row r="6054" spans="1:7" x14ac:dyDescent="0.35">
      <c r="A6054" t="s">
        <v>847</v>
      </c>
      <c r="B6054" t="s">
        <v>680</v>
      </c>
      <c r="C6054" s="83">
        <v>46251</v>
      </c>
      <c r="D6054" t="s">
        <v>685</v>
      </c>
      <c r="E6054" t="s">
        <v>321</v>
      </c>
      <c r="F6054">
        <v>3</v>
      </c>
      <c r="G6054">
        <v>1.18173333333333</v>
      </c>
    </row>
    <row r="6055" spans="1:7" x14ac:dyDescent="0.35">
      <c r="A6055" t="s">
        <v>847</v>
      </c>
      <c r="B6055" t="s">
        <v>680</v>
      </c>
      <c r="C6055" s="83">
        <v>46251</v>
      </c>
      <c r="D6055" t="s">
        <v>685</v>
      </c>
      <c r="E6055" t="s">
        <v>337</v>
      </c>
      <c r="F6055">
        <v>2</v>
      </c>
      <c r="G6055">
        <v>0.83598333333333297</v>
      </c>
    </row>
    <row r="6056" spans="1:7" x14ac:dyDescent="0.35">
      <c r="A6056" t="s">
        <v>847</v>
      </c>
      <c r="B6056" t="s">
        <v>680</v>
      </c>
      <c r="C6056" s="83">
        <v>46251</v>
      </c>
      <c r="D6056" t="s">
        <v>682</v>
      </c>
      <c r="E6056" t="s">
        <v>316</v>
      </c>
      <c r="F6056">
        <v>2</v>
      </c>
      <c r="G6056">
        <v>1.3430833333333301</v>
      </c>
    </row>
    <row r="6057" spans="1:7" x14ac:dyDescent="0.35">
      <c r="A6057" t="s">
        <v>847</v>
      </c>
      <c r="B6057" t="s">
        <v>680</v>
      </c>
      <c r="C6057" s="83">
        <v>46251</v>
      </c>
      <c r="D6057" t="s">
        <v>682</v>
      </c>
      <c r="E6057" t="s">
        <v>321</v>
      </c>
      <c r="F6057">
        <v>2</v>
      </c>
      <c r="G6057">
        <v>2.8281833333333299</v>
      </c>
    </row>
    <row r="6058" spans="1:7" x14ac:dyDescent="0.35">
      <c r="A6058" t="s">
        <v>847</v>
      </c>
      <c r="B6058" t="s">
        <v>680</v>
      </c>
      <c r="C6058" s="83">
        <v>46251</v>
      </c>
      <c r="D6058" t="s">
        <v>682</v>
      </c>
      <c r="E6058" t="s">
        <v>720</v>
      </c>
      <c r="F6058">
        <v>2</v>
      </c>
      <c r="G6058">
        <v>0.66716666666666702</v>
      </c>
    </row>
    <row r="6059" spans="1:7" x14ac:dyDescent="0.35">
      <c r="A6059" t="s">
        <v>847</v>
      </c>
      <c r="B6059" t="s">
        <v>680</v>
      </c>
      <c r="C6059" s="83">
        <v>46251</v>
      </c>
      <c r="D6059" t="s">
        <v>686</v>
      </c>
      <c r="E6059" t="s">
        <v>803</v>
      </c>
      <c r="F6059">
        <v>8</v>
      </c>
      <c r="G6059">
        <v>4.3589833333333301</v>
      </c>
    </row>
    <row r="6060" spans="1:7" x14ac:dyDescent="0.35">
      <c r="A6060" t="s">
        <v>847</v>
      </c>
      <c r="B6060" t="s">
        <v>680</v>
      </c>
      <c r="C6060" s="83">
        <v>46251</v>
      </c>
      <c r="D6060" t="s">
        <v>686</v>
      </c>
      <c r="E6060" t="s">
        <v>789</v>
      </c>
      <c r="F6060">
        <v>7</v>
      </c>
      <c r="G6060">
        <v>5.1526333333333296</v>
      </c>
    </row>
    <row r="6061" spans="1:7" x14ac:dyDescent="0.35">
      <c r="A6061" t="s">
        <v>847</v>
      </c>
      <c r="B6061" t="s">
        <v>680</v>
      </c>
      <c r="C6061" s="83">
        <v>46251</v>
      </c>
      <c r="D6061" t="s">
        <v>686</v>
      </c>
      <c r="E6061" t="s">
        <v>802</v>
      </c>
      <c r="F6061">
        <v>4</v>
      </c>
      <c r="G6061">
        <v>0.63349999999999995</v>
      </c>
    </row>
    <row r="6062" spans="1:7" x14ac:dyDescent="0.35">
      <c r="A6062" t="s">
        <v>847</v>
      </c>
      <c r="B6062" t="s">
        <v>680</v>
      </c>
      <c r="C6062" s="83">
        <v>46252</v>
      </c>
      <c r="D6062" t="s">
        <v>815</v>
      </c>
      <c r="E6062" t="s">
        <v>74</v>
      </c>
      <c r="F6062">
        <v>1</v>
      </c>
      <c r="G6062">
        <v>0</v>
      </c>
    </row>
    <row r="6063" spans="1:7" x14ac:dyDescent="0.35">
      <c r="A6063" t="s">
        <v>847</v>
      </c>
      <c r="B6063" t="s">
        <v>680</v>
      </c>
      <c r="C6063" s="83">
        <v>46252</v>
      </c>
      <c r="D6063" t="s">
        <v>681</v>
      </c>
      <c r="E6063" t="s">
        <v>296</v>
      </c>
      <c r="F6063">
        <v>38</v>
      </c>
      <c r="G6063">
        <v>13.2433</v>
      </c>
    </row>
    <row r="6064" spans="1:7" x14ac:dyDescent="0.35">
      <c r="A6064" t="s">
        <v>847</v>
      </c>
      <c r="B6064" t="s">
        <v>680</v>
      </c>
      <c r="C6064" s="83">
        <v>46252</v>
      </c>
      <c r="D6064" t="s">
        <v>681</v>
      </c>
      <c r="E6064" t="s">
        <v>298</v>
      </c>
      <c r="F6064">
        <v>27</v>
      </c>
      <c r="G6064">
        <v>32.460083333333301</v>
      </c>
    </row>
    <row r="6065" spans="1:7" x14ac:dyDescent="0.35">
      <c r="A6065" t="s">
        <v>847</v>
      </c>
      <c r="B6065" t="s">
        <v>680</v>
      </c>
      <c r="C6065" s="83">
        <v>46252</v>
      </c>
      <c r="D6065" t="s">
        <v>681</v>
      </c>
      <c r="E6065" t="s">
        <v>727</v>
      </c>
      <c r="F6065">
        <v>4</v>
      </c>
      <c r="G6065">
        <v>6.08998333333333</v>
      </c>
    </row>
    <row r="6066" spans="1:7" x14ac:dyDescent="0.35">
      <c r="A6066" t="s">
        <v>847</v>
      </c>
      <c r="B6066" t="s">
        <v>680</v>
      </c>
      <c r="C6066" s="83">
        <v>46252</v>
      </c>
      <c r="D6066" t="s">
        <v>683</v>
      </c>
      <c r="E6066" t="s">
        <v>298</v>
      </c>
      <c r="F6066">
        <v>13</v>
      </c>
      <c r="G6066">
        <v>14.2643</v>
      </c>
    </row>
    <row r="6067" spans="1:7" x14ac:dyDescent="0.35">
      <c r="A6067" t="s">
        <v>847</v>
      </c>
      <c r="B6067" t="s">
        <v>680</v>
      </c>
      <c r="C6067" s="83">
        <v>46252</v>
      </c>
      <c r="D6067" t="s">
        <v>683</v>
      </c>
      <c r="E6067" t="s">
        <v>296</v>
      </c>
      <c r="F6067">
        <v>9</v>
      </c>
      <c r="G6067">
        <v>2.00301666666667</v>
      </c>
    </row>
    <row r="6068" spans="1:7" x14ac:dyDescent="0.35">
      <c r="A6068" t="s">
        <v>847</v>
      </c>
      <c r="B6068" t="s">
        <v>680</v>
      </c>
      <c r="C6068" s="83">
        <v>46252</v>
      </c>
      <c r="D6068" t="s">
        <v>683</v>
      </c>
      <c r="E6068" t="s">
        <v>300</v>
      </c>
      <c r="F6068">
        <v>7</v>
      </c>
      <c r="G6068">
        <v>5.9828666666666699</v>
      </c>
    </row>
    <row r="6069" spans="1:7" x14ac:dyDescent="0.35">
      <c r="A6069" t="s">
        <v>847</v>
      </c>
      <c r="B6069" t="s">
        <v>680</v>
      </c>
      <c r="C6069" s="83">
        <v>46252</v>
      </c>
      <c r="D6069" t="s">
        <v>689</v>
      </c>
      <c r="E6069" t="s">
        <v>296</v>
      </c>
      <c r="F6069">
        <v>27</v>
      </c>
      <c r="G6069">
        <v>15.0135166666667</v>
      </c>
    </row>
    <row r="6070" spans="1:7" x14ac:dyDescent="0.35">
      <c r="A6070" t="s">
        <v>847</v>
      </c>
      <c r="B6070" t="s">
        <v>680</v>
      </c>
      <c r="C6070" s="83">
        <v>46252</v>
      </c>
      <c r="D6070" t="s">
        <v>689</v>
      </c>
      <c r="E6070" t="s">
        <v>298</v>
      </c>
      <c r="F6070">
        <v>12</v>
      </c>
      <c r="G6070">
        <v>11.027483333333301</v>
      </c>
    </row>
    <row r="6071" spans="1:7" x14ac:dyDescent="0.35">
      <c r="A6071" t="s">
        <v>847</v>
      </c>
      <c r="B6071" t="s">
        <v>680</v>
      </c>
      <c r="C6071" s="83">
        <v>46252</v>
      </c>
      <c r="D6071" t="s">
        <v>689</v>
      </c>
      <c r="E6071" t="s">
        <v>297</v>
      </c>
      <c r="F6071">
        <v>5</v>
      </c>
      <c r="G6071">
        <v>2.57181666666667</v>
      </c>
    </row>
    <row r="6072" spans="1:7" x14ac:dyDescent="0.35">
      <c r="A6072" t="s">
        <v>847</v>
      </c>
      <c r="B6072" t="s">
        <v>680</v>
      </c>
      <c r="C6072" s="83">
        <v>46252</v>
      </c>
      <c r="D6072" t="s">
        <v>684</v>
      </c>
      <c r="E6072" t="s">
        <v>298</v>
      </c>
      <c r="F6072">
        <v>4</v>
      </c>
      <c r="G6072">
        <v>4.5696666666666701</v>
      </c>
    </row>
    <row r="6073" spans="1:7" x14ac:dyDescent="0.35">
      <c r="A6073" t="s">
        <v>847</v>
      </c>
      <c r="B6073" t="s">
        <v>680</v>
      </c>
      <c r="C6073" s="83">
        <v>46252</v>
      </c>
      <c r="D6073" t="s">
        <v>684</v>
      </c>
      <c r="E6073" t="s">
        <v>300</v>
      </c>
      <c r="F6073">
        <v>3</v>
      </c>
      <c r="G6073">
        <v>1.16841666666667</v>
      </c>
    </row>
    <row r="6074" spans="1:7" x14ac:dyDescent="0.35">
      <c r="A6074" t="s">
        <v>847</v>
      </c>
      <c r="B6074" t="s">
        <v>680</v>
      </c>
      <c r="C6074" s="83">
        <v>46252</v>
      </c>
      <c r="D6074" t="s">
        <v>684</v>
      </c>
      <c r="E6074" t="s">
        <v>296</v>
      </c>
      <c r="F6074">
        <v>3</v>
      </c>
      <c r="G6074">
        <v>1.0529166666666701</v>
      </c>
    </row>
    <row r="6075" spans="1:7" x14ac:dyDescent="0.35">
      <c r="A6075" t="s">
        <v>847</v>
      </c>
      <c r="B6075" t="s">
        <v>680</v>
      </c>
      <c r="C6075" s="83">
        <v>46252</v>
      </c>
      <c r="D6075" t="s">
        <v>687</v>
      </c>
      <c r="E6075" t="s">
        <v>746</v>
      </c>
      <c r="F6075">
        <v>5</v>
      </c>
      <c r="G6075">
        <v>6.0161333333333298</v>
      </c>
    </row>
    <row r="6076" spans="1:7" x14ac:dyDescent="0.35">
      <c r="A6076" t="s">
        <v>847</v>
      </c>
      <c r="B6076" t="s">
        <v>680</v>
      </c>
      <c r="C6076" s="83">
        <v>46252</v>
      </c>
      <c r="D6076" t="s">
        <v>687</v>
      </c>
      <c r="E6076" t="s">
        <v>717</v>
      </c>
      <c r="F6076">
        <v>3</v>
      </c>
      <c r="G6076">
        <v>3.0269833333333298</v>
      </c>
    </row>
    <row r="6077" spans="1:7" x14ac:dyDescent="0.35">
      <c r="A6077" t="s">
        <v>847</v>
      </c>
      <c r="B6077" t="s">
        <v>680</v>
      </c>
      <c r="C6077" s="83">
        <v>46252</v>
      </c>
      <c r="D6077" t="s">
        <v>687</v>
      </c>
      <c r="E6077" t="s">
        <v>718</v>
      </c>
      <c r="F6077">
        <v>2</v>
      </c>
      <c r="G6077">
        <v>0.166833333333333</v>
      </c>
    </row>
    <row r="6078" spans="1:7" x14ac:dyDescent="0.35">
      <c r="A6078" t="s">
        <v>847</v>
      </c>
      <c r="B6078" t="s">
        <v>680</v>
      </c>
      <c r="C6078" s="83">
        <v>46252</v>
      </c>
      <c r="D6078" t="s">
        <v>688</v>
      </c>
      <c r="E6078" t="s">
        <v>311</v>
      </c>
      <c r="F6078">
        <v>28</v>
      </c>
      <c r="G6078">
        <v>16.082799999999999</v>
      </c>
    </row>
    <row r="6079" spans="1:7" x14ac:dyDescent="0.35">
      <c r="A6079" t="s">
        <v>847</v>
      </c>
      <c r="B6079" t="s">
        <v>680</v>
      </c>
      <c r="C6079" s="83">
        <v>46252</v>
      </c>
      <c r="D6079" t="s">
        <v>688</v>
      </c>
      <c r="E6079" t="s">
        <v>316</v>
      </c>
      <c r="F6079">
        <v>2</v>
      </c>
      <c r="G6079">
        <v>0.33355000000000001</v>
      </c>
    </row>
    <row r="6080" spans="1:7" x14ac:dyDescent="0.35">
      <c r="A6080" t="s">
        <v>847</v>
      </c>
      <c r="B6080" t="s">
        <v>680</v>
      </c>
      <c r="C6080" s="83">
        <v>46252</v>
      </c>
      <c r="D6080" t="s">
        <v>688</v>
      </c>
      <c r="E6080" t="s">
        <v>720</v>
      </c>
      <c r="F6080">
        <v>2</v>
      </c>
      <c r="G6080">
        <v>0.333683333333333</v>
      </c>
    </row>
    <row r="6081" spans="1:7" x14ac:dyDescent="0.35">
      <c r="A6081" t="s">
        <v>847</v>
      </c>
      <c r="B6081" t="s">
        <v>680</v>
      </c>
      <c r="C6081" s="83">
        <v>46252</v>
      </c>
      <c r="D6081" t="s">
        <v>690</v>
      </c>
      <c r="E6081" t="s">
        <v>312</v>
      </c>
      <c r="F6081">
        <v>9</v>
      </c>
      <c r="G6081">
        <v>2.6688999999999998</v>
      </c>
    </row>
    <row r="6082" spans="1:7" x14ac:dyDescent="0.35">
      <c r="A6082" t="s">
        <v>847</v>
      </c>
      <c r="B6082" t="s">
        <v>680</v>
      </c>
      <c r="C6082" s="83">
        <v>46252</v>
      </c>
      <c r="D6082" t="s">
        <v>690</v>
      </c>
      <c r="E6082" t="s">
        <v>321</v>
      </c>
      <c r="F6082">
        <v>7</v>
      </c>
      <c r="G6082">
        <v>5.70238333333333</v>
      </c>
    </row>
    <row r="6083" spans="1:7" x14ac:dyDescent="0.35">
      <c r="A6083" t="s">
        <v>847</v>
      </c>
      <c r="B6083" t="s">
        <v>680</v>
      </c>
      <c r="C6083" s="83">
        <v>46252</v>
      </c>
      <c r="D6083" t="s">
        <v>690</v>
      </c>
      <c r="E6083" t="s">
        <v>316</v>
      </c>
      <c r="F6083">
        <v>6</v>
      </c>
      <c r="G6083">
        <v>3.0217999999999998</v>
      </c>
    </row>
    <row r="6084" spans="1:7" x14ac:dyDescent="0.35">
      <c r="A6084" t="s">
        <v>847</v>
      </c>
      <c r="B6084" t="s">
        <v>680</v>
      </c>
      <c r="C6084" s="83">
        <v>46252</v>
      </c>
      <c r="D6084" t="s">
        <v>685</v>
      </c>
      <c r="E6084" t="s">
        <v>311</v>
      </c>
      <c r="F6084">
        <v>6</v>
      </c>
      <c r="G6084">
        <v>11.594150000000001</v>
      </c>
    </row>
    <row r="6085" spans="1:7" x14ac:dyDescent="0.35">
      <c r="A6085" t="s">
        <v>847</v>
      </c>
      <c r="B6085" t="s">
        <v>680</v>
      </c>
      <c r="C6085" s="83">
        <v>46252</v>
      </c>
      <c r="D6085" t="s">
        <v>685</v>
      </c>
      <c r="E6085" t="s">
        <v>316</v>
      </c>
      <c r="F6085">
        <v>3</v>
      </c>
      <c r="G6085">
        <v>0.833633333333333</v>
      </c>
    </row>
    <row r="6086" spans="1:7" x14ac:dyDescent="0.35">
      <c r="A6086" t="s">
        <v>847</v>
      </c>
      <c r="B6086" t="s">
        <v>680</v>
      </c>
      <c r="C6086" s="83">
        <v>46252</v>
      </c>
      <c r="D6086" t="s">
        <v>685</v>
      </c>
      <c r="E6086" t="s">
        <v>321</v>
      </c>
      <c r="F6086">
        <v>2</v>
      </c>
      <c r="G6086">
        <v>0.66796666666666704</v>
      </c>
    </row>
    <row r="6087" spans="1:7" x14ac:dyDescent="0.35">
      <c r="A6087" t="s">
        <v>847</v>
      </c>
      <c r="B6087" t="s">
        <v>680</v>
      </c>
      <c r="C6087" s="83">
        <v>46252</v>
      </c>
      <c r="D6087" t="s">
        <v>682</v>
      </c>
      <c r="E6087" t="s">
        <v>808</v>
      </c>
      <c r="F6087">
        <v>7</v>
      </c>
      <c r="G6087">
        <v>4.85673333333333</v>
      </c>
    </row>
    <row r="6088" spans="1:7" x14ac:dyDescent="0.35">
      <c r="A6088" t="s">
        <v>847</v>
      </c>
      <c r="B6088" t="s">
        <v>680</v>
      </c>
      <c r="C6088" s="83">
        <v>46252</v>
      </c>
      <c r="D6088" t="s">
        <v>682</v>
      </c>
      <c r="E6088" t="s">
        <v>720</v>
      </c>
      <c r="F6088">
        <v>4</v>
      </c>
      <c r="G6088">
        <v>2.2885</v>
      </c>
    </row>
    <row r="6089" spans="1:7" x14ac:dyDescent="0.35">
      <c r="A6089" t="s">
        <v>847</v>
      </c>
      <c r="B6089" t="s">
        <v>680</v>
      </c>
      <c r="C6089" s="83">
        <v>46252</v>
      </c>
      <c r="D6089" t="s">
        <v>682</v>
      </c>
      <c r="E6089" t="s">
        <v>312</v>
      </c>
      <c r="F6089">
        <v>4</v>
      </c>
      <c r="G6089">
        <v>1.3343499999999999</v>
      </c>
    </row>
    <row r="6090" spans="1:7" x14ac:dyDescent="0.35">
      <c r="A6090" t="s">
        <v>847</v>
      </c>
      <c r="B6090" t="s">
        <v>680</v>
      </c>
      <c r="C6090" s="83">
        <v>46252</v>
      </c>
      <c r="D6090" t="s">
        <v>686</v>
      </c>
      <c r="E6090" t="s">
        <v>789</v>
      </c>
      <c r="F6090">
        <v>9</v>
      </c>
      <c r="G6090">
        <v>4.7760666666666696</v>
      </c>
    </row>
    <row r="6091" spans="1:7" x14ac:dyDescent="0.35">
      <c r="A6091" t="s">
        <v>847</v>
      </c>
      <c r="B6091" t="s">
        <v>680</v>
      </c>
      <c r="C6091" s="83">
        <v>46252</v>
      </c>
      <c r="D6091" t="s">
        <v>686</v>
      </c>
      <c r="E6091" t="s">
        <v>791</v>
      </c>
      <c r="F6091">
        <v>4</v>
      </c>
      <c r="G6091">
        <v>22.492916666666702</v>
      </c>
    </row>
    <row r="6092" spans="1:7" x14ac:dyDescent="0.35">
      <c r="A6092" t="s">
        <v>847</v>
      </c>
      <c r="B6092" t="s">
        <v>680</v>
      </c>
      <c r="C6092" s="83">
        <v>46252</v>
      </c>
      <c r="D6092" t="s">
        <v>686</v>
      </c>
      <c r="E6092" t="s">
        <v>554</v>
      </c>
      <c r="F6092">
        <v>3</v>
      </c>
      <c r="G6092">
        <v>2.5146500000000001</v>
      </c>
    </row>
    <row r="6093" spans="1:7" x14ac:dyDescent="0.35">
      <c r="A6093" t="s">
        <v>847</v>
      </c>
      <c r="B6093" t="s">
        <v>680</v>
      </c>
      <c r="C6093" s="83">
        <v>46253</v>
      </c>
      <c r="D6093" t="s">
        <v>681</v>
      </c>
      <c r="E6093" t="s">
        <v>296</v>
      </c>
      <c r="F6093">
        <v>65</v>
      </c>
      <c r="G6093">
        <v>37.688083333333303</v>
      </c>
    </row>
    <row r="6094" spans="1:7" x14ac:dyDescent="0.35">
      <c r="A6094" t="s">
        <v>847</v>
      </c>
      <c r="B6094" t="s">
        <v>680</v>
      </c>
      <c r="C6094" s="83">
        <v>46253</v>
      </c>
      <c r="D6094" t="s">
        <v>681</v>
      </c>
      <c r="E6094" t="s">
        <v>298</v>
      </c>
      <c r="F6094">
        <v>19</v>
      </c>
      <c r="G6094">
        <v>20.9312</v>
      </c>
    </row>
    <row r="6095" spans="1:7" x14ac:dyDescent="0.35">
      <c r="A6095" t="s">
        <v>847</v>
      </c>
      <c r="B6095" t="s">
        <v>680</v>
      </c>
      <c r="C6095" s="83">
        <v>46253</v>
      </c>
      <c r="D6095" t="s">
        <v>681</v>
      </c>
      <c r="E6095" t="s">
        <v>737</v>
      </c>
      <c r="F6095">
        <v>2</v>
      </c>
      <c r="G6095">
        <v>1.0115000000000001</v>
      </c>
    </row>
    <row r="6096" spans="1:7" x14ac:dyDescent="0.35">
      <c r="A6096" t="s">
        <v>847</v>
      </c>
      <c r="B6096" t="s">
        <v>680</v>
      </c>
      <c r="C6096" s="83">
        <v>46253</v>
      </c>
      <c r="D6096" t="s">
        <v>683</v>
      </c>
      <c r="E6096" t="s">
        <v>298</v>
      </c>
      <c r="F6096">
        <v>17</v>
      </c>
      <c r="G6096">
        <v>19.772266666666699</v>
      </c>
    </row>
    <row r="6097" spans="1:7" x14ac:dyDescent="0.35">
      <c r="A6097" t="s">
        <v>847</v>
      </c>
      <c r="B6097" t="s">
        <v>680</v>
      </c>
      <c r="C6097" s="83">
        <v>46253</v>
      </c>
      <c r="D6097" t="s">
        <v>683</v>
      </c>
      <c r="E6097" t="s">
        <v>296</v>
      </c>
      <c r="F6097">
        <v>10</v>
      </c>
      <c r="G6097">
        <v>13.736983333333299</v>
      </c>
    </row>
    <row r="6098" spans="1:7" x14ac:dyDescent="0.35">
      <c r="A6098" t="s">
        <v>847</v>
      </c>
      <c r="B6098" t="s">
        <v>680</v>
      </c>
      <c r="C6098" s="83">
        <v>46253</v>
      </c>
      <c r="D6098" t="s">
        <v>683</v>
      </c>
      <c r="E6098" t="s">
        <v>728</v>
      </c>
      <c r="F6098">
        <v>6</v>
      </c>
      <c r="G6098">
        <v>3.8266666666666702</v>
      </c>
    </row>
    <row r="6099" spans="1:7" x14ac:dyDescent="0.35">
      <c r="A6099" t="s">
        <v>847</v>
      </c>
      <c r="B6099" t="s">
        <v>680</v>
      </c>
      <c r="C6099" s="83">
        <v>46253</v>
      </c>
      <c r="D6099" t="s">
        <v>689</v>
      </c>
      <c r="E6099" t="s">
        <v>296</v>
      </c>
      <c r="F6099">
        <v>11</v>
      </c>
      <c r="G6099">
        <v>18.462033333333299</v>
      </c>
    </row>
    <row r="6100" spans="1:7" x14ac:dyDescent="0.35">
      <c r="A6100" t="s">
        <v>847</v>
      </c>
      <c r="B6100" t="s">
        <v>680</v>
      </c>
      <c r="C6100" s="83">
        <v>46253</v>
      </c>
      <c r="D6100" t="s">
        <v>689</v>
      </c>
      <c r="E6100" t="s">
        <v>298</v>
      </c>
      <c r="F6100">
        <v>10</v>
      </c>
      <c r="G6100">
        <v>11.0498666666667</v>
      </c>
    </row>
    <row r="6101" spans="1:7" x14ac:dyDescent="0.35">
      <c r="A6101" t="s">
        <v>847</v>
      </c>
      <c r="B6101" t="s">
        <v>680</v>
      </c>
      <c r="C6101" s="83">
        <v>46253</v>
      </c>
      <c r="D6101" t="s">
        <v>689</v>
      </c>
      <c r="E6101" t="s">
        <v>297</v>
      </c>
      <c r="F6101">
        <v>9</v>
      </c>
      <c r="G6101">
        <v>8.1902333333333299</v>
      </c>
    </row>
    <row r="6102" spans="1:7" x14ac:dyDescent="0.35">
      <c r="A6102" t="s">
        <v>847</v>
      </c>
      <c r="B6102" t="s">
        <v>680</v>
      </c>
      <c r="C6102" s="83">
        <v>46253</v>
      </c>
      <c r="D6102" t="s">
        <v>684</v>
      </c>
      <c r="E6102" t="s">
        <v>296</v>
      </c>
      <c r="F6102">
        <v>10</v>
      </c>
      <c r="G6102">
        <v>9.31175</v>
      </c>
    </row>
    <row r="6103" spans="1:7" x14ac:dyDescent="0.35">
      <c r="A6103" t="s">
        <v>847</v>
      </c>
      <c r="B6103" t="s">
        <v>680</v>
      </c>
      <c r="C6103" s="83">
        <v>46253</v>
      </c>
      <c r="D6103" t="s">
        <v>684</v>
      </c>
      <c r="E6103" t="s">
        <v>298</v>
      </c>
      <c r="F6103">
        <v>6</v>
      </c>
      <c r="G6103">
        <v>5.1787000000000001</v>
      </c>
    </row>
    <row r="6104" spans="1:7" x14ac:dyDescent="0.35">
      <c r="A6104" t="s">
        <v>847</v>
      </c>
      <c r="B6104" t="s">
        <v>680</v>
      </c>
      <c r="C6104" s="83">
        <v>46253</v>
      </c>
      <c r="D6104" t="s">
        <v>684</v>
      </c>
      <c r="E6104" t="s">
        <v>304</v>
      </c>
      <c r="F6104">
        <v>2</v>
      </c>
      <c r="G6104">
        <v>267.97126666666702</v>
      </c>
    </row>
    <row r="6105" spans="1:7" x14ac:dyDescent="0.35">
      <c r="A6105" t="s">
        <v>847</v>
      </c>
      <c r="B6105" t="s">
        <v>680</v>
      </c>
      <c r="C6105" s="83">
        <v>46253</v>
      </c>
      <c r="D6105" t="s">
        <v>687</v>
      </c>
      <c r="E6105" t="s">
        <v>717</v>
      </c>
      <c r="F6105">
        <v>10</v>
      </c>
      <c r="G6105">
        <v>4.8327833333333299</v>
      </c>
    </row>
    <row r="6106" spans="1:7" x14ac:dyDescent="0.35">
      <c r="A6106" t="s">
        <v>847</v>
      </c>
      <c r="B6106" t="s">
        <v>680</v>
      </c>
      <c r="C6106" s="83">
        <v>46253</v>
      </c>
      <c r="D6106" t="s">
        <v>687</v>
      </c>
      <c r="E6106" t="s">
        <v>746</v>
      </c>
      <c r="F6106">
        <v>4</v>
      </c>
      <c r="G6106">
        <v>6.8604000000000003</v>
      </c>
    </row>
    <row r="6107" spans="1:7" x14ac:dyDescent="0.35">
      <c r="A6107" t="s">
        <v>847</v>
      </c>
      <c r="B6107" t="s">
        <v>680</v>
      </c>
      <c r="C6107" s="83">
        <v>46253</v>
      </c>
      <c r="D6107" t="s">
        <v>687</v>
      </c>
      <c r="E6107" t="s">
        <v>718</v>
      </c>
      <c r="F6107">
        <v>2</v>
      </c>
      <c r="G6107">
        <v>0.50066666666666704</v>
      </c>
    </row>
    <row r="6108" spans="1:7" x14ac:dyDescent="0.35">
      <c r="A6108" t="s">
        <v>847</v>
      </c>
      <c r="B6108" t="s">
        <v>680</v>
      </c>
      <c r="C6108" s="83">
        <v>46253</v>
      </c>
      <c r="D6108" t="s">
        <v>688</v>
      </c>
      <c r="E6108" t="s">
        <v>311</v>
      </c>
      <c r="F6108">
        <v>13</v>
      </c>
      <c r="G6108">
        <v>5.7395833333333304</v>
      </c>
    </row>
    <row r="6109" spans="1:7" x14ac:dyDescent="0.35">
      <c r="A6109" t="s">
        <v>847</v>
      </c>
      <c r="B6109" t="s">
        <v>680</v>
      </c>
      <c r="C6109" s="83">
        <v>46253</v>
      </c>
      <c r="D6109" t="s">
        <v>688</v>
      </c>
      <c r="E6109" t="s">
        <v>316</v>
      </c>
      <c r="F6109">
        <v>4</v>
      </c>
      <c r="G6109">
        <v>1.6948000000000001</v>
      </c>
    </row>
    <row r="6110" spans="1:7" x14ac:dyDescent="0.35">
      <c r="A6110" t="s">
        <v>847</v>
      </c>
      <c r="B6110" t="s">
        <v>680</v>
      </c>
      <c r="C6110" s="83">
        <v>46253</v>
      </c>
      <c r="D6110" t="s">
        <v>688</v>
      </c>
      <c r="E6110" t="s">
        <v>720</v>
      </c>
      <c r="F6110">
        <v>3</v>
      </c>
      <c r="G6110">
        <v>0.67546666666666699</v>
      </c>
    </row>
    <row r="6111" spans="1:7" x14ac:dyDescent="0.35">
      <c r="A6111" t="s">
        <v>847</v>
      </c>
      <c r="B6111" t="s">
        <v>680</v>
      </c>
      <c r="C6111" s="83">
        <v>46253</v>
      </c>
      <c r="D6111" t="s">
        <v>690</v>
      </c>
      <c r="E6111" t="s">
        <v>311</v>
      </c>
      <c r="F6111">
        <v>5</v>
      </c>
      <c r="G6111">
        <v>1.5748833333333301</v>
      </c>
    </row>
    <row r="6112" spans="1:7" x14ac:dyDescent="0.35">
      <c r="A6112" t="s">
        <v>847</v>
      </c>
      <c r="B6112" t="s">
        <v>680</v>
      </c>
      <c r="C6112" s="83">
        <v>46253</v>
      </c>
      <c r="D6112" t="s">
        <v>690</v>
      </c>
      <c r="E6112" t="s">
        <v>813</v>
      </c>
      <c r="F6112">
        <v>2</v>
      </c>
      <c r="G6112">
        <v>0.34001666666666702</v>
      </c>
    </row>
    <row r="6113" spans="1:7" x14ac:dyDescent="0.35">
      <c r="A6113" t="s">
        <v>847</v>
      </c>
      <c r="B6113" t="s">
        <v>680</v>
      </c>
      <c r="C6113" s="83">
        <v>46253</v>
      </c>
      <c r="D6113" t="s">
        <v>690</v>
      </c>
      <c r="E6113" t="s">
        <v>338</v>
      </c>
      <c r="F6113">
        <v>2</v>
      </c>
      <c r="G6113">
        <v>1.33405</v>
      </c>
    </row>
    <row r="6114" spans="1:7" x14ac:dyDescent="0.35">
      <c r="A6114" t="s">
        <v>847</v>
      </c>
      <c r="B6114" t="s">
        <v>680</v>
      </c>
      <c r="C6114" s="83">
        <v>46253</v>
      </c>
      <c r="D6114" t="s">
        <v>685</v>
      </c>
      <c r="E6114" t="s">
        <v>316</v>
      </c>
      <c r="F6114">
        <v>4</v>
      </c>
      <c r="G6114">
        <v>0.49921666666666697</v>
      </c>
    </row>
    <row r="6115" spans="1:7" x14ac:dyDescent="0.35">
      <c r="A6115" t="s">
        <v>847</v>
      </c>
      <c r="B6115" t="s">
        <v>680</v>
      </c>
      <c r="C6115" s="83">
        <v>46253</v>
      </c>
      <c r="D6115" t="s">
        <v>685</v>
      </c>
      <c r="E6115" t="s">
        <v>321</v>
      </c>
      <c r="F6115">
        <v>2</v>
      </c>
      <c r="G6115">
        <v>0.33358333333333301</v>
      </c>
    </row>
    <row r="6116" spans="1:7" x14ac:dyDescent="0.35">
      <c r="A6116" t="s">
        <v>847</v>
      </c>
      <c r="B6116" t="s">
        <v>680</v>
      </c>
      <c r="C6116" s="83">
        <v>46253</v>
      </c>
      <c r="D6116" t="s">
        <v>682</v>
      </c>
      <c r="E6116" t="s">
        <v>720</v>
      </c>
      <c r="F6116">
        <v>7</v>
      </c>
      <c r="G6116">
        <v>7.6685999999999996</v>
      </c>
    </row>
    <row r="6117" spans="1:7" x14ac:dyDescent="0.35">
      <c r="A6117" t="s">
        <v>847</v>
      </c>
      <c r="B6117" t="s">
        <v>680</v>
      </c>
      <c r="C6117" s="83">
        <v>46253</v>
      </c>
      <c r="D6117" t="s">
        <v>682</v>
      </c>
      <c r="E6117" t="s">
        <v>311</v>
      </c>
      <c r="F6117">
        <v>4</v>
      </c>
      <c r="G6117">
        <v>1.84476666666667</v>
      </c>
    </row>
    <row r="6118" spans="1:7" x14ac:dyDescent="0.35">
      <c r="A6118" t="s">
        <v>847</v>
      </c>
      <c r="B6118" t="s">
        <v>680</v>
      </c>
      <c r="C6118" s="83">
        <v>46253</v>
      </c>
      <c r="D6118" t="s">
        <v>682</v>
      </c>
      <c r="E6118" t="s">
        <v>808</v>
      </c>
      <c r="F6118">
        <v>3</v>
      </c>
      <c r="G6118">
        <v>2.8338000000000001</v>
      </c>
    </row>
    <row r="6119" spans="1:7" x14ac:dyDescent="0.35">
      <c r="A6119" t="s">
        <v>847</v>
      </c>
      <c r="B6119" t="s">
        <v>680</v>
      </c>
      <c r="C6119" s="83">
        <v>46253</v>
      </c>
      <c r="D6119" t="s">
        <v>686</v>
      </c>
      <c r="E6119" t="s">
        <v>789</v>
      </c>
      <c r="F6119">
        <v>21</v>
      </c>
      <c r="G6119">
        <v>11.6881</v>
      </c>
    </row>
    <row r="6120" spans="1:7" x14ac:dyDescent="0.35">
      <c r="A6120" t="s">
        <v>847</v>
      </c>
      <c r="B6120" t="s">
        <v>680</v>
      </c>
      <c r="C6120" s="83">
        <v>46253</v>
      </c>
      <c r="D6120" t="s">
        <v>686</v>
      </c>
      <c r="E6120" t="s">
        <v>791</v>
      </c>
      <c r="F6120">
        <v>6</v>
      </c>
      <c r="G6120">
        <v>8.6978166666666699</v>
      </c>
    </row>
    <row r="6121" spans="1:7" x14ac:dyDescent="0.35">
      <c r="A6121" t="s">
        <v>847</v>
      </c>
      <c r="B6121" t="s">
        <v>680</v>
      </c>
      <c r="C6121" s="83">
        <v>46253</v>
      </c>
      <c r="D6121" t="s">
        <v>686</v>
      </c>
      <c r="E6121" t="s">
        <v>816</v>
      </c>
      <c r="F6121">
        <v>4</v>
      </c>
      <c r="G6121">
        <v>3.3330833333333301</v>
      </c>
    </row>
    <row r="6122" spans="1:7" x14ac:dyDescent="0.35">
      <c r="A6122" t="s">
        <v>847</v>
      </c>
      <c r="B6122" t="s">
        <v>680</v>
      </c>
      <c r="C6122" s="83">
        <v>46254</v>
      </c>
      <c r="D6122" t="s">
        <v>681</v>
      </c>
      <c r="E6122" t="s">
        <v>296</v>
      </c>
      <c r="F6122">
        <v>45</v>
      </c>
      <c r="G6122">
        <v>34.468516666666702</v>
      </c>
    </row>
    <row r="6123" spans="1:7" x14ac:dyDescent="0.35">
      <c r="A6123" t="s">
        <v>847</v>
      </c>
      <c r="B6123" t="s">
        <v>680</v>
      </c>
      <c r="C6123" s="83">
        <v>46254</v>
      </c>
      <c r="D6123" t="s">
        <v>681</v>
      </c>
      <c r="E6123" t="s">
        <v>298</v>
      </c>
      <c r="F6123">
        <v>22</v>
      </c>
      <c r="G6123">
        <v>27.220849999999999</v>
      </c>
    </row>
    <row r="6124" spans="1:7" x14ac:dyDescent="0.35">
      <c r="A6124" t="s">
        <v>847</v>
      </c>
      <c r="B6124" t="s">
        <v>680</v>
      </c>
      <c r="C6124" s="83">
        <v>46254</v>
      </c>
      <c r="D6124" t="s">
        <v>681</v>
      </c>
      <c r="E6124" t="s">
        <v>727</v>
      </c>
      <c r="F6124">
        <v>4</v>
      </c>
      <c r="G6124">
        <v>1.1608000000000001</v>
      </c>
    </row>
    <row r="6125" spans="1:7" x14ac:dyDescent="0.35">
      <c r="A6125" t="s">
        <v>847</v>
      </c>
      <c r="B6125" t="s">
        <v>680</v>
      </c>
      <c r="C6125" s="83">
        <v>46254</v>
      </c>
      <c r="D6125" t="s">
        <v>683</v>
      </c>
      <c r="E6125" t="s">
        <v>296</v>
      </c>
      <c r="F6125">
        <v>16</v>
      </c>
      <c r="G6125">
        <v>7.5051333333333297</v>
      </c>
    </row>
    <row r="6126" spans="1:7" x14ac:dyDescent="0.35">
      <c r="A6126" t="s">
        <v>847</v>
      </c>
      <c r="B6126" t="s">
        <v>680</v>
      </c>
      <c r="C6126" s="83">
        <v>46254</v>
      </c>
      <c r="D6126" t="s">
        <v>683</v>
      </c>
      <c r="E6126" t="s">
        <v>297</v>
      </c>
      <c r="F6126">
        <v>10</v>
      </c>
      <c r="G6126">
        <v>4.53695</v>
      </c>
    </row>
    <row r="6127" spans="1:7" x14ac:dyDescent="0.35">
      <c r="A6127" t="s">
        <v>847</v>
      </c>
      <c r="B6127" t="s">
        <v>680</v>
      </c>
      <c r="C6127" s="83">
        <v>46254</v>
      </c>
      <c r="D6127" t="s">
        <v>683</v>
      </c>
      <c r="E6127" t="s">
        <v>298</v>
      </c>
      <c r="F6127">
        <v>8</v>
      </c>
      <c r="G6127">
        <v>12.7648833333333</v>
      </c>
    </row>
    <row r="6128" spans="1:7" x14ac:dyDescent="0.35">
      <c r="A6128" t="s">
        <v>847</v>
      </c>
      <c r="B6128" t="s">
        <v>680</v>
      </c>
      <c r="C6128" s="83">
        <v>46254</v>
      </c>
      <c r="D6128" t="s">
        <v>689</v>
      </c>
      <c r="E6128" t="s">
        <v>296</v>
      </c>
      <c r="F6128">
        <v>22</v>
      </c>
      <c r="G6128">
        <v>12.349600000000001</v>
      </c>
    </row>
    <row r="6129" spans="1:7" x14ac:dyDescent="0.35">
      <c r="A6129" t="s">
        <v>847</v>
      </c>
      <c r="B6129" t="s">
        <v>680</v>
      </c>
      <c r="C6129" s="83">
        <v>46254</v>
      </c>
      <c r="D6129" t="s">
        <v>689</v>
      </c>
      <c r="E6129" t="s">
        <v>332</v>
      </c>
      <c r="F6129">
        <v>9</v>
      </c>
      <c r="G6129">
        <v>7.5146166666666696</v>
      </c>
    </row>
    <row r="6130" spans="1:7" x14ac:dyDescent="0.35">
      <c r="A6130" t="s">
        <v>847</v>
      </c>
      <c r="B6130" t="s">
        <v>680</v>
      </c>
      <c r="C6130" s="83">
        <v>46254</v>
      </c>
      <c r="D6130" t="s">
        <v>689</v>
      </c>
      <c r="E6130" t="s">
        <v>727</v>
      </c>
      <c r="F6130">
        <v>9</v>
      </c>
      <c r="G6130">
        <v>5.7775999999999996</v>
      </c>
    </row>
    <row r="6131" spans="1:7" x14ac:dyDescent="0.35">
      <c r="A6131" t="s">
        <v>847</v>
      </c>
      <c r="B6131" t="s">
        <v>680</v>
      </c>
      <c r="C6131" s="83">
        <v>46254</v>
      </c>
      <c r="D6131" t="s">
        <v>684</v>
      </c>
      <c r="E6131" t="s">
        <v>296</v>
      </c>
      <c r="F6131">
        <v>18</v>
      </c>
      <c r="G6131">
        <v>6.5903833333333299</v>
      </c>
    </row>
    <row r="6132" spans="1:7" x14ac:dyDescent="0.35">
      <c r="A6132" t="s">
        <v>847</v>
      </c>
      <c r="B6132" t="s">
        <v>680</v>
      </c>
      <c r="C6132" s="83">
        <v>46254</v>
      </c>
      <c r="D6132" t="s">
        <v>684</v>
      </c>
      <c r="E6132" t="s">
        <v>297</v>
      </c>
      <c r="F6132">
        <v>7</v>
      </c>
      <c r="G6132">
        <v>3.99941666666667</v>
      </c>
    </row>
    <row r="6133" spans="1:7" x14ac:dyDescent="0.35">
      <c r="A6133" t="s">
        <v>847</v>
      </c>
      <c r="B6133" t="s">
        <v>680</v>
      </c>
      <c r="C6133" s="83">
        <v>46254</v>
      </c>
      <c r="D6133" t="s">
        <v>684</v>
      </c>
      <c r="E6133" t="s">
        <v>298</v>
      </c>
      <c r="F6133">
        <v>4</v>
      </c>
      <c r="G6133">
        <v>3.9991666666666701</v>
      </c>
    </row>
    <row r="6134" spans="1:7" x14ac:dyDescent="0.35">
      <c r="A6134" t="s">
        <v>847</v>
      </c>
      <c r="B6134" t="s">
        <v>680</v>
      </c>
      <c r="C6134" s="83">
        <v>46254</v>
      </c>
      <c r="D6134" t="s">
        <v>687</v>
      </c>
      <c r="E6134" t="s">
        <v>752</v>
      </c>
      <c r="F6134">
        <v>9</v>
      </c>
      <c r="G6134">
        <v>21.818049999999999</v>
      </c>
    </row>
    <row r="6135" spans="1:7" x14ac:dyDescent="0.35">
      <c r="A6135" t="s">
        <v>847</v>
      </c>
      <c r="B6135" t="s">
        <v>680</v>
      </c>
      <c r="C6135" s="83">
        <v>46254</v>
      </c>
      <c r="D6135" t="s">
        <v>687</v>
      </c>
      <c r="E6135" t="s">
        <v>747</v>
      </c>
      <c r="F6135">
        <v>2</v>
      </c>
      <c r="G6135">
        <v>0.33351666666666702</v>
      </c>
    </row>
    <row r="6136" spans="1:7" x14ac:dyDescent="0.35">
      <c r="A6136" t="s">
        <v>847</v>
      </c>
      <c r="B6136" t="s">
        <v>680</v>
      </c>
      <c r="C6136" s="83">
        <v>46254</v>
      </c>
      <c r="D6136" t="s">
        <v>687</v>
      </c>
      <c r="E6136" t="s">
        <v>729</v>
      </c>
      <c r="F6136">
        <v>2</v>
      </c>
      <c r="G6136">
        <v>0.17385</v>
      </c>
    </row>
    <row r="6137" spans="1:7" x14ac:dyDescent="0.35">
      <c r="A6137" t="s">
        <v>847</v>
      </c>
      <c r="B6137" t="s">
        <v>680</v>
      </c>
      <c r="C6137" s="83">
        <v>46254</v>
      </c>
      <c r="D6137" t="s">
        <v>688</v>
      </c>
      <c r="E6137" t="s">
        <v>311</v>
      </c>
      <c r="F6137">
        <v>17</v>
      </c>
      <c r="G6137">
        <v>10.31855</v>
      </c>
    </row>
    <row r="6138" spans="1:7" x14ac:dyDescent="0.35">
      <c r="A6138" t="s">
        <v>847</v>
      </c>
      <c r="B6138" t="s">
        <v>680</v>
      </c>
      <c r="C6138" s="83">
        <v>46254</v>
      </c>
      <c r="D6138" t="s">
        <v>688</v>
      </c>
      <c r="E6138" t="s">
        <v>720</v>
      </c>
      <c r="F6138">
        <v>5</v>
      </c>
      <c r="G6138">
        <v>4.5655000000000001</v>
      </c>
    </row>
    <row r="6139" spans="1:7" x14ac:dyDescent="0.35">
      <c r="A6139" t="s">
        <v>847</v>
      </c>
      <c r="B6139" t="s">
        <v>680</v>
      </c>
      <c r="C6139" s="83">
        <v>46254</v>
      </c>
      <c r="D6139" t="s">
        <v>688</v>
      </c>
      <c r="E6139" t="s">
        <v>126</v>
      </c>
      <c r="F6139">
        <v>3</v>
      </c>
      <c r="G6139">
        <v>1.25243333333333</v>
      </c>
    </row>
    <row r="6140" spans="1:7" x14ac:dyDescent="0.35">
      <c r="A6140" t="s">
        <v>847</v>
      </c>
      <c r="B6140" t="s">
        <v>680</v>
      </c>
      <c r="C6140" s="83">
        <v>46254</v>
      </c>
      <c r="D6140" t="s">
        <v>690</v>
      </c>
      <c r="E6140" t="s">
        <v>311</v>
      </c>
      <c r="F6140">
        <v>8</v>
      </c>
      <c r="G6140">
        <v>3.6788166666666702</v>
      </c>
    </row>
    <row r="6141" spans="1:7" x14ac:dyDescent="0.35">
      <c r="A6141" t="s">
        <v>847</v>
      </c>
      <c r="B6141" t="s">
        <v>680</v>
      </c>
      <c r="C6141" s="83">
        <v>46254</v>
      </c>
      <c r="D6141" t="s">
        <v>690</v>
      </c>
      <c r="E6141" t="s">
        <v>312</v>
      </c>
      <c r="F6141">
        <v>6</v>
      </c>
      <c r="G6141">
        <v>3.1755833333333299</v>
      </c>
    </row>
    <row r="6142" spans="1:7" x14ac:dyDescent="0.35">
      <c r="A6142" t="s">
        <v>847</v>
      </c>
      <c r="B6142" t="s">
        <v>680</v>
      </c>
      <c r="C6142" s="83">
        <v>46254</v>
      </c>
      <c r="D6142" t="s">
        <v>690</v>
      </c>
      <c r="E6142" t="s">
        <v>316</v>
      </c>
      <c r="F6142">
        <v>5</v>
      </c>
      <c r="G6142">
        <v>3.0003166666666701</v>
      </c>
    </row>
    <row r="6143" spans="1:7" x14ac:dyDescent="0.35">
      <c r="A6143" t="s">
        <v>847</v>
      </c>
      <c r="B6143" t="s">
        <v>680</v>
      </c>
      <c r="C6143" s="83">
        <v>46254</v>
      </c>
      <c r="D6143" t="s">
        <v>685</v>
      </c>
      <c r="E6143" t="s">
        <v>316</v>
      </c>
      <c r="F6143">
        <v>10</v>
      </c>
      <c r="G6143">
        <v>8.8321166666666695</v>
      </c>
    </row>
    <row r="6144" spans="1:7" x14ac:dyDescent="0.35">
      <c r="A6144" t="s">
        <v>847</v>
      </c>
      <c r="B6144" t="s">
        <v>680</v>
      </c>
      <c r="C6144" s="83">
        <v>46254</v>
      </c>
      <c r="D6144" t="s">
        <v>685</v>
      </c>
      <c r="E6144" t="s">
        <v>311</v>
      </c>
      <c r="F6144">
        <v>3</v>
      </c>
      <c r="G6144">
        <v>1.1726000000000001</v>
      </c>
    </row>
    <row r="6145" spans="1:7" x14ac:dyDescent="0.35">
      <c r="A6145" t="s">
        <v>847</v>
      </c>
      <c r="B6145" t="s">
        <v>680</v>
      </c>
      <c r="C6145" s="83">
        <v>46254</v>
      </c>
      <c r="D6145" t="s">
        <v>685</v>
      </c>
      <c r="E6145" t="s">
        <v>734</v>
      </c>
      <c r="F6145">
        <v>2</v>
      </c>
      <c r="G6145">
        <v>0.167066666666667</v>
      </c>
    </row>
    <row r="6146" spans="1:7" x14ac:dyDescent="0.35">
      <c r="A6146" t="s">
        <v>847</v>
      </c>
      <c r="B6146" t="s">
        <v>680</v>
      </c>
      <c r="C6146" s="83">
        <v>46254</v>
      </c>
      <c r="D6146" t="s">
        <v>682</v>
      </c>
      <c r="E6146" t="s">
        <v>808</v>
      </c>
      <c r="F6146">
        <v>10</v>
      </c>
      <c r="G6146">
        <v>43.749099999999999</v>
      </c>
    </row>
    <row r="6147" spans="1:7" x14ac:dyDescent="0.35">
      <c r="A6147" t="s">
        <v>847</v>
      </c>
      <c r="B6147" t="s">
        <v>680</v>
      </c>
      <c r="C6147" s="83">
        <v>46254</v>
      </c>
      <c r="D6147" t="s">
        <v>682</v>
      </c>
      <c r="E6147" t="s">
        <v>801</v>
      </c>
      <c r="F6147">
        <v>3</v>
      </c>
      <c r="G6147">
        <v>4.4560500000000003</v>
      </c>
    </row>
    <row r="6148" spans="1:7" x14ac:dyDescent="0.35">
      <c r="A6148" t="s">
        <v>847</v>
      </c>
      <c r="B6148" t="s">
        <v>680</v>
      </c>
      <c r="C6148" s="83">
        <v>46254</v>
      </c>
      <c r="D6148" t="s">
        <v>682</v>
      </c>
      <c r="E6148" t="s">
        <v>720</v>
      </c>
      <c r="F6148">
        <v>3</v>
      </c>
      <c r="G6148">
        <v>3.34913333333333</v>
      </c>
    </row>
    <row r="6149" spans="1:7" x14ac:dyDescent="0.35">
      <c r="A6149" t="s">
        <v>847</v>
      </c>
      <c r="B6149" t="s">
        <v>680</v>
      </c>
      <c r="C6149" s="83">
        <v>46254</v>
      </c>
      <c r="D6149" t="s">
        <v>686</v>
      </c>
      <c r="E6149" t="s">
        <v>789</v>
      </c>
      <c r="F6149">
        <v>10</v>
      </c>
      <c r="G6149">
        <v>4.1900166666666703</v>
      </c>
    </row>
    <row r="6150" spans="1:7" x14ac:dyDescent="0.35">
      <c r="A6150" t="s">
        <v>847</v>
      </c>
      <c r="B6150" t="s">
        <v>680</v>
      </c>
      <c r="C6150" s="83">
        <v>46254</v>
      </c>
      <c r="D6150" t="s">
        <v>686</v>
      </c>
      <c r="E6150" t="s">
        <v>817</v>
      </c>
      <c r="F6150">
        <v>3</v>
      </c>
      <c r="G6150">
        <v>21.5837166666667</v>
      </c>
    </row>
    <row r="6151" spans="1:7" x14ac:dyDescent="0.35">
      <c r="A6151" t="s">
        <v>847</v>
      </c>
      <c r="B6151" t="s">
        <v>680</v>
      </c>
      <c r="C6151" s="83">
        <v>46254</v>
      </c>
      <c r="D6151" t="s">
        <v>686</v>
      </c>
      <c r="E6151" t="s">
        <v>809</v>
      </c>
      <c r="F6151">
        <v>3</v>
      </c>
      <c r="G6151">
        <v>12.6684</v>
      </c>
    </row>
    <row r="6152" spans="1:7" x14ac:dyDescent="0.35">
      <c r="A6152" t="s">
        <v>847</v>
      </c>
      <c r="B6152" t="s">
        <v>680</v>
      </c>
      <c r="C6152" s="83">
        <v>46255</v>
      </c>
      <c r="D6152" t="s">
        <v>681</v>
      </c>
      <c r="E6152" t="s">
        <v>296</v>
      </c>
      <c r="F6152">
        <v>23</v>
      </c>
      <c r="G6152">
        <v>8.1647499999999997</v>
      </c>
    </row>
    <row r="6153" spans="1:7" x14ac:dyDescent="0.35">
      <c r="A6153" t="s">
        <v>847</v>
      </c>
      <c r="B6153" t="s">
        <v>680</v>
      </c>
      <c r="C6153" s="83">
        <v>46255</v>
      </c>
      <c r="D6153" t="s">
        <v>681</v>
      </c>
      <c r="E6153" t="s">
        <v>298</v>
      </c>
      <c r="F6153">
        <v>21</v>
      </c>
      <c r="G6153">
        <v>31.164283333333302</v>
      </c>
    </row>
    <row r="6154" spans="1:7" x14ac:dyDescent="0.35">
      <c r="A6154" t="s">
        <v>847</v>
      </c>
      <c r="B6154" t="s">
        <v>680</v>
      </c>
      <c r="C6154" s="83">
        <v>46255</v>
      </c>
      <c r="D6154" t="s">
        <v>681</v>
      </c>
      <c r="E6154" t="s">
        <v>334</v>
      </c>
      <c r="F6154">
        <v>5</v>
      </c>
      <c r="G6154">
        <v>5.5083833333333301</v>
      </c>
    </row>
    <row r="6155" spans="1:7" x14ac:dyDescent="0.35">
      <c r="A6155" t="s">
        <v>847</v>
      </c>
      <c r="B6155" t="s">
        <v>680</v>
      </c>
      <c r="C6155" s="83">
        <v>46255</v>
      </c>
      <c r="D6155" t="s">
        <v>683</v>
      </c>
      <c r="E6155" t="s">
        <v>298</v>
      </c>
      <c r="F6155">
        <v>12</v>
      </c>
      <c r="G6155">
        <v>13.1763666666667</v>
      </c>
    </row>
    <row r="6156" spans="1:7" x14ac:dyDescent="0.35">
      <c r="A6156" t="s">
        <v>847</v>
      </c>
      <c r="B6156" t="s">
        <v>680</v>
      </c>
      <c r="C6156" s="83">
        <v>46255</v>
      </c>
      <c r="D6156" t="s">
        <v>683</v>
      </c>
      <c r="E6156" t="s">
        <v>300</v>
      </c>
      <c r="F6156">
        <v>8</v>
      </c>
      <c r="G6156">
        <v>2.4966499999999998</v>
      </c>
    </row>
    <row r="6157" spans="1:7" x14ac:dyDescent="0.35">
      <c r="A6157" t="s">
        <v>847</v>
      </c>
      <c r="B6157" t="s">
        <v>680</v>
      </c>
      <c r="C6157" s="83">
        <v>46255</v>
      </c>
      <c r="D6157" t="s">
        <v>683</v>
      </c>
      <c r="E6157" t="s">
        <v>730</v>
      </c>
      <c r="F6157">
        <v>8</v>
      </c>
      <c r="G6157">
        <v>4.6847333333333303</v>
      </c>
    </row>
    <row r="6158" spans="1:7" x14ac:dyDescent="0.35">
      <c r="A6158" t="s">
        <v>847</v>
      </c>
      <c r="B6158" t="s">
        <v>680</v>
      </c>
      <c r="C6158" s="83">
        <v>46255</v>
      </c>
      <c r="D6158" t="s">
        <v>689</v>
      </c>
      <c r="E6158" t="s">
        <v>296</v>
      </c>
      <c r="F6158">
        <v>22</v>
      </c>
      <c r="G6158">
        <v>22.3410333333333</v>
      </c>
    </row>
    <row r="6159" spans="1:7" x14ac:dyDescent="0.35">
      <c r="A6159" t="s">
        <v>847</v>
      </c>
      <c r="B6159" t="s">
        <v>680</v>
      </c>
      <c r="C6159" s="83">
        <v>46255</v>
      </c>
      <c r="D6159" t="s">
        <v>689</v>
      </c>
      <c r="E6159" t="s">
        <v>298</v>
      </c>
      <c r="F6159">
        <v>17</v>
      </c>
      <c r="G6159">
        <v>16.315383333333301</v>
      </c>
    </row>
    <row r="6160" spans="1:7" x14ac:dyDescent="0.35">
      <c r="A6160" t="s">
        <v>847</v>
      </c>
      <c r="B6160" t="s">
        <v>680</v>
      </c>
      <c r="C6160" s="83">
        <v>46255</v>
      </c>
      <c r="D6160" t="s">
        <v>689</v>
      </c>
      <c r="E6160" t="s">
        <v>297</v>
      </c>
      <c r="F6160">
        <v>5</v>
      </c>
      <c r="G6160">
        <v>1.6740333333333299</v>
      </c>
    </row>
    <row r="6161" spans="1:7" x14ac:dyDescent="0.35">
      <c r="A6161" t="s">
        <v>847</v>
      </c>
      <c r="B6161" t="s">
        <v>680</v>
      </c>
      <c r="C6161" s="83">
        <v>46255</v>
      </c>
      <c r="D6161" t="s">
        <v>684</v>
      </c>
      <c r="E6161" t="s">
        <v>298</v>
      </c>
      <c r="F6161">
        <v>7</v>
      </c>
      <c r="G6161">
        <v>12.5077</v>
      </c>
    </row>
    <row r="6162" spans="1:7" x14ac:dyDescent="0.35">
      <c r="A6162" t="s">
        <v>847</v>
      </c>
      <c r="B6162" t="s">
        <v>680</v>
      </c>
      <c r="C6162" s="83">
        <v>46255</v>
      </c>
      <c r="D6162" t="s">
        <v>684</v>
      </c>
      <c r="E6162" t="s">
        <v>300</v>
      </c>
      <c r="F6162">
        <v>4</v>
      </c>
      <c r="G6162">
        <v>2.3275666666666699</v>
      </c>
    </row>
    <row r="6163" spans="1:7" x14ac:dyDescent="0.35">
      <c r="A6163" t="s">
        <v>847</v>
      </c>
      <c r="B6163" t="s">
        <v>680</v>
      </c>
      <c r="C6163" s="83">
        <v>46255</v>
      </c>
      <c r="D6163" t="s">
        <v>684</v>
      </c>
      <c r="E6163" t="s">
        <v>296</v>
      </c>
      <c r="F6163">
        <v>4</v>
      </c>
      <c r="G6163">
        <v>1.82571666666667</v>
      </c>
    </row>
    <row r="6164" spans="1:7" x14ac:dyDescent="0.35">
      <c r="A6164" t="s">
        <v>847</v>
      </c>
      <c r="B6164" t="s">
        <v>680</v>
      </c>
      <c r="C6164" s="83">
        <v>46255</v>
      </c>
      <c r="D6164" t="s">
        <v>687</v>
      </c>
      <c r="E6164" t="s">
        <v>717</v>
      </c>
      <c r="F6164">
        <v>5</v>
      </c>
      <c r="G6164">
        <v>8.0104500000000005</v>
      </c>
    </row>
    <row r="6165" spans="1:7" x14ac:dyDescent="0.35">
      <c r="A6165" t="s">
        <v>847</v>
      </c>
      <c r="B6165" t="s">
        <v>680</v>
      </c>
      <c r="C6165" s="83">
        <v>46255</v>
      </c>
      <c r="D6165" t="s">
        <v>687</v>
      </c>
      <c r="E6165" t="s">
        <v>733</v>
      </c>
      <c r="F6165">
        <v>2</v>
      </c>
      <c r="G6165">
        <v>0.32833333333333298</v>
      </c>
    </row>
    <row r="6166" spans="1:7" x14ac:dyDescent="0.35">
      <c r="A6166" t="s">
        <v>847</v>
      </c>
      <c r="B6166" t="s">
        <v>680</v>
      </c>
      <c r="C6166" s="83">
        <v>46255</v>
      </c>
      <c r="D6166" t="s">
        <v>687</v>
      </c>
      <c r="E6166" t="s">
        <v>722</v>
      </c>
      <c r="F6166">
        <v>2</v>
      </c>
      <c r="G6166">
        <v>0.83401666666666696</v>
      </c>
    </row>
    <row r="6167" spans="1:7" x14ac:dyDescent="0.35">
      <c r="A6167" t="s">
        <v>847</v>
      </c>
      <c r="B6167" t="s">
        <v>680</v>
      </c>
      <c r="C6167" s="83">
        <v>46255</v>
      </c>
      <c r="D6167" t="s">
        <v>688</v>
      </c>
      <c r="E6167" t="s">
        <v>311</v>
      </c>
      <c r="F6167">
        <v>9</v>
      </c>
      <c r="G6167">
        <v>5.5362166666666699</v>
      </c>
    </row>
    <row r="6168" spans="1:7" x14ac:dyDescent="0.35">
      <c r="A6168" t="s">
        <v>847</v>
      </c>
      <c r="B6168" t="s">
        <v>680</v>
      </c>
      <c r="C6168" s="83">
        <v>46255</v>
      </c>
      <c r="D6168" t="s">
        <v>688</v>
      </c>
      <c r="E6168" t="s">
        <v>316</v>
      </c>
      <c r="F6168">
        <v>4</v>
      </c>
      <c r="G6168">
        <v>2.00538333333333</v>
      </c>
    </row>
    <row r="6169" spans="1:7" x14ac:dyDescent="0.35">
      <c r="A6169" t="s">
        <v>847</v>
      </c>
      <c r="B6169" t="s">
        <v>680</v>
      </c>
      <c r="C6169" s="83">
        <v>46255</v>
      </c>
      <c r="D6169" t="s">
        <v>688</v>
      </c>
      <c r="E6169" t="s">
        <v>312</v>
      </c>
      <c r="F6169">
        <v>2</v>
      </c>
      <c r="G6169">
        <v>0.81941666666666702</v>
      </c>
    </row>
    <row r="6170" spans="1:7" x14ac:dyDescent="0.35">
      <c r="A6170" t="s">
        <v>847</v>
      </c>
      <c r="B6170" t="s">
        <v>680</v>
      </c>
      <c r="C6170" s="83">
        <v>46255</v>
      </c>
      <c r="D6170" t="s">
        <v>690</v>
      </c>
      <c r="E6170" t="s">
        <v>312</v>
      </c>
      <c r="F6170">
        <v>25</v>
      </c>
      <c r="G6170">
        <v>15.843916666666701</v>
      </c>
    </row>
    <row r="6171" spans="1:7" x14ac:dyDescent="0.35">
      <c r="A6171" t="s">
        <v>847</v>
      </c>
      <c r="B6171" t="s">
        <v>680</v>
      </c>
      <c r="C6171" s="83">
        <v>46255</v>
      </c>
      <c r="D6171" t="s">
        <v>690</v>
      </c>
      <c r="E6171" t="s">
        <v>316</v>
      </c>
      <c r="F6171">
        <v>9</v>
      </c>
      <c r="G6171">
        <v>4.6606833333333304</v>
      </c>
    </row>
    <row r="6172" spans="1:7" x14ac:dyDescent="0.35">
      <c r="A6172" t="s">
        <v>847</v>
      </c>
      <c r="B6172" t="s">
        <v>680</v>
      </c>
      <c r="C6172" s="83">
        <v>46255</v>
      </c>
      <c r="D6172" t="s">
        <v>690</v>
      </c>
      <c r="E6172" t="s">
        <v>720</v>
      </c>
      <c r="F6172">
        <v>7</v>
      </c>
      <c r="G6172">
        <v>3.9994499999999999</v>
      </c>
    </row>
    <row r="6173" spans="1:7" x14ac:dyDescent="0.35">
      <c r="A6173" t="s">
        <v>847</v>
      </c>
      <c r="B6173" t="s">
        <v>680</v>
      </c>
      <c r="C6173" s="83">
        <v>46255</v>
      </c>
      <c r="D6173" t="s">
        <v>685</v>
      </c>
      <c r="E6173" t="s">
        <v>316</v>
      </c>
      <c r="F6173">
        <v>9</v>
      </c>
      <c r="G6173">
        <v>7.3449833333333299</v>
      </c>
    </row>
    <row r="6174" spans="1:7" x14ac:dyDescent="0.35">
      <c r="A6174" t="s">
        <v>847</v>
      </c>
      <c r="B6174" t="s">
        <v>680</v>
      </c>
      <c r="C6174" s="83">
        <v>46255</v>
      </c>
      <c r="D6174" t="s">
        <v>685</v>
      </c>
      <c r="E6174" t="s">
        <v>312</v>
      </c>
      <c r="F6174">
        <v>6</v>
      </c>
      <c r="G6174">
        <v>7.1815166666666697</v>
      </c>
    </row>
    <row r="6175" spans="1:7" x14ac:dyDescent="0.35">
      <c r="A6175" t="s">
        <v>847</v>
      </c>
      <c r="B6175" t="s">
        <v>680</v>
      </c>
      <c r="C6175" s="83">
        <v>46255</v>
      </c>
      <c r="D6175" t="s">
        <v>685</v>
      </c>
      <c r="E6175" t="s">
        <v>311</v>
      </c>
      <c r="F6175">
        <v>4</v>
      </c>
      <c r="G6175">
        <v>3.3276833333333302</v>
      </c>
    </row>
    <row r="6176" spans="1:7" x14ac:dyDescent="0.35">
      <c r="A6176" t="s">
        <v>847</v>
      </c>
      <c r="B6176" t="s">
        <v>680</v>
      </c>
      <c r="C6176" s="83">
        <v>46255</v>
      </c>
      <c r="D6176" t="s">
        <v>682</v>
      </c>
      <c r="E6176" t="s">
        <v>311</v>
      </c>
      <c r="F6176">
        <v>7</v>
      </c>
      <c r="G6176">
        <v>4.8349166666666701</v>
      </c>
    </row>
    <row r="6177" spans="1:7" x14ac:dyDescent="0.35">
      <c r="A6177" t="s">
        <v>847</v>
      </c>
      <c r="B6177" t="s">
        <v>680</v>
      </c>
      <c r="C6177" s="83">
        <v>46255</v>
      </c>
      <c r="D6177" t="s">
        <v>682</v>
      </c>
      <c r="E6177" t="s">
        <v>732</v>
      </c>
      <c r="F6177">
        <v>2</v>
      </c>
      <c r="G6177">
        <v>1.51101666666667</v>
      </c>
    </row>
    <row r="6178" spans="1:7" x14ac:dyDescent="0.35">
      <c r="A6178" t="s">
        <v>847</v>
      </c>
      <c r="B6178" t="s">
        <v>680</v>
      </c>
      <c r="C6178" s="83">
        <v>46255</v>
      </c>
      <c r="D6178" t="s">
        <v>682</v>
      </c>
      <c r="E6178" t="s">
        <v>720</v>
      </c>
      <c r="F6178">
        <v>2</v>
      </c>
      <c r="G6178">
        <v>0.66715000000000002</v>
      </c>
    </row>
    <row r="6179" spans="1:7" x14ac:dyDescent="0.35">
      <c r="A6179" t="s">
        <v>847</v>
      </c>
      <c r="B6179" t="s">
        <v>680</v>
      </c>
      <c r="C6179" s="83">
        <v>46255</v>
      </c>
      <c r="D6179" t="s">
        <v>686</v>
      </c>
      <c r="E6179" t="s">
        <v>791</v>
      </c>
      <c r="F6179">
        <v>18</v>
      </c>
      <c r="G6179">
        <v>35.408000000000001</v>
      </c>
    </row>
    <row r="6180" spans="1:7" x14ac:dyDescent="0.35">
      <c r="A6180" t="s">
        <v>847</v>
      </c>
      <c r="B6180" t="s">
        <v>680</v>
      </c>
      <c r="C6180" s="83">
        <v>46255</v>
      </c>
      <c r="D6180" t="s">
        <v>686</v>
      </c>
      <c r="E6180" t="s">
        <v>789</v>
      </c>
      <c r="F6180">
        <v>13</v>
      </c>
      <c r="G6180">
        <v>8.58876666666667</v>
      </c>
    </row>
    <row r="6181" spans="1:7" x14ac:dyDescent="0.35">
      <c r="A6181" t="s">
        <v>847</v>
      </c>
      <c r="B6181" t="s">
        <v>680</v>
      </c>
      <c r="C6181" s="83">
        <v>46255</v>
      </c>
      <c r="D6181" t="s">
        <v>686</v>
      </c>
      <c r="E6181" t="s">
        <v>816</v>
      </c>
      <c r="F6181">
        <v>3</v>
      </c>
      <c r="G6181">
        <v>1.33601666666667</v>
      </c>
    </row>
    <row r="6182" spans="1:7" x14ac:dyDescent="0.35">
      <c r="A6182" t="s">
        <v>847</v>
      </c>
      <c r="B6182" t="s">
        <v>680</v>
      </c>
      <c r="C6182" s="83">
        <v>46256</v>
      </c>
      <c r="D6182" t="s">
        <v>681</v>
      </c>
      <c r="E6182" t="s">
        <v>296</v>
      </c>
      <c r="F6182">
        <v>35</v>
      </c>
      <c r="G6182">
        <v>9.1712500000000006</v>
      </c>
    </row>
    <row r="6183" spans="1:7" x14ac:dyDescent="0.35">
      <c r="A6183" t="s">
        <v>847</v>
      </c>
      <c r="B6183" t="s">
        <v>680</v>
      </c>
      <c r="C6183" s="83">
        <v>46256</v>
      </c>
      <c r="D6183" t="s">
        <v>681</v>
      </c>
      <c r="E6183" t="s">
        <v>298</v>
      </c>
      <c r="F6183">
        <v>12</v>
      </c>
      <c r="G6183">
        <v>17.183633333333301</v>
      </c>
    </row>
    <row r="6184" spans="1:7" x14ac:dyDescent="0.35">
      <c r="A6184" t="s">
        <v>847</v>
      </c>
      <c r="B6184" t="s">
        <v>680</v>
      </c>
      <c r="C6184" s="83">
        <v>46256</v>
      </c>
      <c r="D6184" t="s">
        <v>681</v>
      </c>
      <c r="E6184" t="s">
        <v>300</v>
      </c>
      <c r="F6184">
        <v>4</v>
      </c>
      <c r="G6184">
        <v>1.1662666666666699</v>
      </c>
    </row>
    <row r="6185" spans="1:7" x14ac:dyDescent="0.35">
      <c r="A6185" t="s">
        <v>847</v>
      </c>
      <c r="B6185" t="s">
        <v>680</v>
      </c>
      <c r="C6185" s="83">
        <v>46256</v>
      </c>
      <c r="D6185" t="s">
        <v>683</v>
      </c>
      <c r="E6185" t="s">
        <v>297</v>
      </c>
      <c r="F6185">
        <v>18</v>
      </c>
      <c r="G6185">
        <v>8.5074833333333295</v>
      </c>
    </row>
    <row r="6186" spans="1:7" x14ac:dyDescent="0.35">
      <c r="A6186" t="s">
        <v>847</v>
      </c>
      <c r="B6186" t="s">
        <v>680</v>
      </c>
      <c r="C6186" s="83">
        <v>46256</v>
      </c>
      <c r="D6186" t="s">
        <v>683</v>
      </c>
      <c r="E6186" t="s">
        <v>298</v>
      </c>
      <c r="F6186">
        <v>11</v>
      </c>
      <c r="G6186">
        <v>11.667633333333301</v>
      </c>
    </row>
    <row r="6187" spans="1:7" x14ac:dyDescent="0.35">
      <c r="A6187" t="s">
        <v>847</v>
      </c>
      <c r="B6187" t="s">
        <v>680</v>
      </c>
      <c r="C6187" s="83">
        <v>46256</v>
      </c>
      <c r="D6187" t="s">
        <v>683</v>
      </c>
      <c r="E6187" t="s">
        <v>296</v>
      </c>
      <c r="F6187">
        <v>10</v>
      </c>
      <c r="G6187">
        <v>8.6776666666666706</v>
      </c>
    </row>
    <row r="6188" spans="1:7" x14ac:dyDescent="0.35">
      <c r="A6188" t="s">
        <v>847</v>
      </c>
      <c r="B6188" t="s">
        <v>680</v>
      </c>
      <c r="C6188" s="83">
        <v>46256</v>
      </c>
      <c r="D6188" t="s">
        <v>689</v>
      </c>
      <c r="E6188" t="s">
        <v>297</v>
      </c>
      <c r="F6188">
        <v>20</v>
      </c>
      <c r="G6188">
        <v>11.677533333333299</v>
      </c>
    </row>
    <row r="6189" spans="1:7" x14ac:dyDescent="0.35">
      <c r="A6189" t="s">
        <v>847</v>
      </c>
      <c r="B6189" t="s">
        <v>680</v>
      </c>
      <c r="C6189" s="83">
        <v>46256</v>
      </c>
      <c r="D6189" t="s">
        <v>689</v>
      </c>
      <c r="E6189" t="s">
        <v>298</v>
      </c>
      <c r="F6189">
        <v>12</v>
      </c>
      <c r="G6189">
        <v>22.4789833333333</v>
      </c>
    </row>
    <row r="6190" spans="1:7" x14ac:dyDescent="0.35">
      <c r="A6190" t="s">
        <v>847</v>
      </c>
      <c r="B6190" t="s">
        <v>680</v>
      </c>
      <c r="C6190" s="83">
        <v>46256</v>
      </c>
      <c r="D6190" t="s">
        <v>689</v>
      </c>
      <c r="E6190" t="s">
        <v>296</v>
      </c>
      <c r="F6190">
        <v>10</v>
      </c>
      <c r="G6190">
        <v>3.6627833333333299</v>
      </c>
    </row>
    <row r="6191" spans="1:7" x14ac:dyDescent="0.35">
      <c r="A6191" t="s">
        <v>847</v>
      </c>
      <c r="B6191" t="s">
        <v>680</v>
      </c>
      <c r="C6191" s="83">
        <v>46256</v>
      </c>
      <c r="D6191" t="s">
        <v>684</v>
      </c>
      <c r="E6191" t="s">
        <v>300</v>
      </c>
      <c r="F6191">
        <v>4</v>
      </c>
      <c r="G6191">
        <v>1.83328333333333</v>
      </c>
    </row>
    <row r="6192" spans="1:7" x14ac:dyDescent="0.35">
      <c r="A6192" t="s">
        <v>847</v>
      </c>
      <c r="B6192" t="s">
        <v>680</v>
      </c>
      <c r="C6192" s="83">
        <v>46256</v>
      </c>
      <c r="D6192" t="s">
        <v>684</v>
      </c>
      <c r="E6192" t="s">
        <v>730</v>
      </c>
      <c r="F6192">
        <v>4</v>
      </c>
      <c r="G6192">
        <v>2.83368333333333</v>
      </c>
    </row>
    <row r="6193" spans="1:7" x14ac:dyDescent="0.35">
      <c r="A6193" t="s">
        <v>847</v>
      </c>
      <c r="B6193" t="s">
        <v>680</v>
      </c>
      <c r="C6193" s="83">
        <v>46256</v>
      </c>
      <c r="D6193" t="s">
        <v>684</v>
      </c>
      <c r="E6193" t="s">
        <v>298</v>
      </c>
      <c r="F6193">
        <v>4</v>
      </c>
      <c r="G6193">
        <v>3.9992333333333301</v>
      </c>
    </row>
    <row r="6194" spans="1:7" x14ac:dyDescent="0.35">
      <c r="A6194" t="s">
        <v>847</v>
      </c>
      <c r="B6194" t="s">
        <v>680</v>
      </c>
      <c r="C6194" s="83">
        <v>46256</v>
      </c>
      <c r="D6194" t="s">
        <v>687</v>
      </c>
      <c r="E6194" t="s">
        <v>717</v>
      </c>
      <c r="F6194">
        <v>4</v>
      </c>
      <c r="G6194">
        <v>2.1730166666666699</v>
      </c>
    </row>
    <row r="6195" spans="1:7" x14ac:dyDescent="0.35">
      <c r="A6195" t="s">
        <v>847</v>
      </c>
      <c r="B6195" t="s">
        <v>680</v>
      </c>
      <c r="C6195" s="83">
        <v>46256</v>
      </c>
      <c r="D6195" t="s">
        <v>687</v>
      </c>
      <c r="E6195" t="s">
        <v>746</v>
      </c>
      <c r="F6195">
        <v>3</v>
      </c>
      <c r="G6195">
        <v>8.32433333333333</v>
      </c>
    </row>
    <row r="6196" spans="1:7" x14ac:dyDescent="0.35">
      <c r="A6196" t="s">
        <v>847</v>
      </c>
      <c r="B6196" t="s">
        <v>680</v>
      </c>
      <c r="C6196" s="83">
        <v>46256</v>
      </c>
      <c r="D6196" t="s">
        <v>687</v>
      </c>
      <c r="E6196" t="s">
        <v>735</v>
      </c>
      <c r="F6196">
        <v>2</v>
      </c>
      <c r="G6196">
        <v>23.003766666666699</v>
      </c>
    </row>
    <row r="6197" spans="1:7" x14ac:dyDescent="0.35">
      <c r="A6197" t="s">
        <v>847</v>
      </c>
      <c r="B6197" t="s">
        <v>680</v>
      </c>
      <c r="C6197" s="83">
        <v>46256</v>
      </c>
      <c r="D6197" t="s">
        <v>688</v>
      </c>
      <c r="E6197" t="s">
        <v>311</v>
      </c>
      <c r="F6197">
        <v>11</v>
      </c>
      <c r="G6197">
        <v>8.6491500000000006</v>
      </c>
    </row>
    <row r="6198" spans="1:7" x14ac:dyDescent="0.35">
      <c r="A6198" t="s">
        <v>847</v>
      </c>
      <c r="B6198" t="s">
        <v>680</v>
      </c>
      <c r="C6198" s="83">
        <v>46256</v>
      </c>
      <c r="D6198" t="s">
        <v>688</v>
      </c>
      <c r="E6198" t="s">
        <v>751</v>
      </c>
      <c r="F6198">
        <v>3</v>
      </c>
      <c r="G6198">
        <v>3.3314166666666698</v>
      </c>
    </row>
    <row r="6199" spans="1:7" x14ac:dyDescent="0.35">
      <c r="A6199" t="s">
        <v>847</v>
      </c>
      <c r="B6199" t="s">
        <v>680</v>
      </c>
      <c r="C6199" s="83">
        <v>46256</v>
      </c>
      <c r="D6199" t="s">
        <v>688</v>
      </c>
      <c r="E6199" t="s">
        <v>772</v>
      </c>
      <c r="F6199">
        <v>3</v>
      </c>
      <c r="G6199">
        <v>1.1753</v>
      </c>
    </row>
    <row r="6200" spans="1:7" x14ac:dyDescent="0.35">
      <c r="A6200" t="s">
        <v>847</v>
      </c>
      <c r="B6200" t="s">
        <v>680</v>
      </c>
      <c r="C6200" s="83">
        <v>46256</v>
      </c>
      <c r="D6200" t="s">
        <v>690</v>
      </c>
      <c r="E6200" t="s">
        <v>312</v>
      </c>
      <c r="F6200">
        <v>16</v>
      </c>
      <c r="G6200">
        <v>5.4683000000000002</v>
      </c>
    </row>
    <row r="6201" spans="1:7" x14ac:dyDescent="0.35">
      <c r="A6201" t="s">
        <v>847</v>
      </c>
      <c r="B6201" t="s">
        <v>680</v>
      </c>
      <c r="C6201" s="83">
        <v>46256</v>
      </c>
      <c r="D6201" t="s">
        <v>690</v>
      </c>
      <c r="E6201" t="s">
        <v>316</v>
      </c>
      <c r="F6201">
        <v>6</v>
      </c>
      <c r="G6201">
        <v>4.6752833333333301</v>
      </c>
    </row>
    <row r="6202" spans="1:7" x14ac:dyDescent="0.35">
      <c r="A6202" t="s">
        <v>847</v>
      </c>
      <c r="B6202" t="s">
        <v>680</v>
      </c>
      <c r="C6202" s="83">
        <v>46256</v>
      </c>
      <c r="D6202" t="s">
        <v>690</v>
      </c>
      <c r="E6202" t="s">
        <v>720</v>
      </c>
      <c r="F6202">
        <v>5</v>
      </c>
      <c r="G6202">
        <v>4.8185500000000001</v>
      </c>
    </row>
    <row r="6203" spans="1:7" x14ac:dyDescent="0.35">
      <c r="A6203" t="s">
        <v>847</v>
      </c>
      <c r="B6203" t="s">
        <v>680</v>
      </c>
      <c r="C6203" s="83">
        <v>46256</v>
      </c>
      <c r="D6203" t="s">
        <v>685</v>
      </c>
      <c r="E6203" t="s">
        <v>312</v>
      </c>
      <c r="F6203">
        <v>6</v>
      </c>
      <c r="G6203">
        <v>2.1718500000000001</v>
      </c>
    </row>
    <row r="6204" spans="1:7" x14ac:dyDescent="0.35">
      <c r="A6204" t="s">
        <v>847</v>
      </c>
      <c r="B6204" t="s">
        <v>680</v>
      </c>
      <c r="C6204" s="83">
        <v>46256</v>
      </c>
      <c r="D6204" t="s">
        <v>685</v>
      </c>
      <c r="E6204" t="s">
        <v>311</v>
      </c>
      <c r="F6204">
        <v>3</v>
      </c>
      <c r="G6204">
        <v>0.99365000000000003</v>
      </c>
    </row>
    <row r="6205" spans="1:7" x14ac:dyDescent="0.35">
      <c r="A6205" t="s">
        <v>847</v>
      </c>
      <c r="B6205" t="s">
        <v>680</v>
      </c>
      <c r="C6205" s="83">
        <v>46256</v>
      </c>
      <c r="D6205" t="s">
        <v>685</v>
      </c>
      <c r="E6205" t="s">
        <v>316</v>
      </c>
      <c r="F6205">
        <v>2</v>
      </c>
      <c r="G6205">
        <v>0.83993333333333298</v>
      </c>
    </row>
    <row r="6206" spans="1:7" x14ac:dyDescent="0.35">
      <c r="A6206" t="s">
        <v>847</v>
      </c>
      <c r="B6206" t="s">
        <v>680</v>
      </c>
      <c r="C6206" s="83">
        <v>46256</v>
      </c>
      <c r="D6206" t="s">
        <v>682</v>
      </c>
      <c r="E6206" t="s">
        <v>311</v>
      </c>
      <c r="F6206">
        <v>3</v>
      </c>
      <c r="G6206">
        <v>2.00058333333333</v>
      </c>
    </row>
    <row r="6207" spans="1:7" x14ac:dyDescent="0.35">
      <c r="A6207" t="s">
        <v>847</v>
      </c>
      <c r="B6207" t="s">
        <v>680</v>
      </c>
      <c r="C6207" s="83">
        <v>46256</v>
      </c>
      <c r="D6207" t="s">
        <v>682</v>
      </c>
      <c r="E6207" t="s">
        <v>808</v>
      </c>
      <c r="F6207">
        <v>2</v>
      </c>
      <c r="G6207">
        <v>2.1696166666666699</v>
      </c>
    </row>
    <row r="6208" spans="1:7" x14ac:dyDescent="0.35">
      <c r="A6208" t="s">
        <v>847</v>
      </c>
      <c r="B6208" t="s">
        <v>680</v>
      </c>
      <c r="C6208" s="83">
        <v>46256</v>
      </c>
      <c r="D6208" t="s">
        <v>682</v>
      </c>
      <c r="E6208" t="s">
        <v>720</v>
      </c>
      <c r="F6208">
        <v>2</v>
      </c>
      <c r="G6208">
        <v>0.99368333333333303</v>
      </c>
    </row>
    <row r="6209" spans="1:7" x14ac:dyDescent="0.35">
      <c r="A6209" t="s">
        <v>847</v>
      </c>
      <c r="B6209" t="s">
        <v>680</v>
      </c>
      <c r="C6209" s="83">
        <v>46256</v>
      </c>
      <c r="D6209" t="s">
        <v>686</v>
      </c>
      <c r="E6209" t="s">
        <v>789</v>
      </c>
      <c r="F6209">
        <v>6</v>
      </c>
      <c r="G6209">
        <v>1.83253333333333</v>
      </c>
    </row>
    <row r="6210" spans="1:7" x14ac:dyDescent="0.35">
      <c r="A6210" t="s">
        <v>847</v>
      </c>
      <c r="B6210" t="s">
        <v>680</v>
      </c>
      <c r="C6210" s="83">
        <v>46256</v>
      </c>
      <c r="D6210" t="s">
        <v>686</v>
      </c>
      <c r="E6210" t="s">
        <v>791</v>
      </c>
      <c r="F6210">
        <v>6</v>
      </c>
      <c r="G6210">
        <v>7.3238666666666701</v>
      </c>
    </row>
    <row r="6211" spans="1:7" x14ac:dyDescent="0.35">
      <c r="A6211" t="s">
        <v>847</v>
      </c>
      <c r="B6211" t="s">
        <v>680</v>
      </c>
      <c r="C6211" s="83">
        <v>46256</v>
      </c>
      <c r="D6211" t="s">
        <v>686</v>
      </c>
      <c r="E6211" t="s">
        <v>790</v>
      </c>
      <c r="F6211">
        <v>3</v>
      </c>
      <c r="G6211">
        <v>2.1685833333333302</v>
      </c>
    </row>
    <row r="6212" spans="1:7" x14ac:dyDescent="0.35">
      <c r="A6212" t="s">
        <v>847</v>
      </c>
      <c r="B6212" t="s">
        <v>680</v>
      </c>
      <c r="C6212" s="83">
        <v>46257</v>
      </c>
      <c r="D6212" t="s">
        <v>681</v>
      </c>
      <c r="E6212" t="s">
        <v>296</v>
      </c>
      <c r="F6212">
        <v>44</v>
      </c>
      <c r="G6212">
        <v>20.1726833333333</v>
      </c>
    </row>
    <row r="6213" spans="1:7" x14ac:dyDescent="0.35">
      <c r="A6213" t="s">
        <v>847</v>
      </c>
      <c r="B6213" t="s">
        <v>680</v>
      </c>
      <c r="C6213" s="83">
        <v>46257</v>
      </c>
      <c r="D6213" t="s">
        <v>681</v>
      </c>
      <c r="E6213" t="s">
        <v>298</v>
      </c>
      <c r="F6213">
        <v>7</v>
      </c>
      <c r="G6213">
        <v>6.8324333333333298</v>
      </c>
    </row>
    <row r="6214" spans="1:7" x14ac:dyDescent="0.35">
      <c r="A6214" t="s">
        <v>847</v>
      </c>
      <c r="B6214" t="s">
        <v>680</v>
      </c>
      <c r="C6214" s="83">
        <v>46257</v>
      </c>
      <c r="D6214" t="s">
        <v>681</v>
      </c>
      <c r="E6214" t="s">
        <v>334</v>
      </c>
      <c r="F6214">
        <v>3</v>
      </c>
      <c r="G6214">
        <v>3.6591666666666698</v>
      </c>
    </row>
    <row r="6215" spans="1:7" x14ac:dyDescent="0.35">
      <c r="A6215" t="s">
        <v>847</v>
      </c>
      <c r="B6215" t="s">
        <v>680</v>
      </c>
      <c r="C6215" s="83">
        <v>46257</v>
      </c>
      <c r="D6215" t="s">
        <v>683</v>
      </c>
      <c r="E6215" t="s">
        <v>298</v>
      </c>
      <c r="F6215">
        <v>11</v>
      </c>
      <c r="G6215">
        <v>16.5125666666667</v>
      </c>
    </row>
    <row r="6216" spans="1:7" x14ac:dyDescent="0.35">
      <c r="A6216" t="s">
        <v>847</v>
      </c>
      <c r="B6216" t="s">
        <v>680</v>
      </c>
      <c r="C6216" s="83">
        <v>46257</v>
      </c>
      <c r="D6216" t="s">
        <v>683</v>
      </c>
      <c r="E6216" t="s">
        <v>728</v>
      </c>
      <c r="F6216">
        <v>8</v>
      </c>
      <c r="G6216">
        <v>19.002766666666702</v>
      </c>
    </row>
    <row r="6217" spans="1:7" x14ac:dyDescent="0.35">
      <c r="A6217" t="s">
        <v>847</v>
      </c>
      <c r="B6217" t="s">
        <v>680</v>
      </c>
      <c r="C6217" s="83">
        <v>46257</v>
      </c>
      <c r="D6217" t="s">
        <v>683</v>
      </c>
      <c r="E6217" t="s">
        <v>296</v>
      </c>
      <c r="F6217">
        <v>7</v>
      </c>
      <c r="G6217">
        <v>1.65963333333333</v>
      </c>
    </row>
    <row r="6218" spans="1:7" x14ac:dyDescent="0.35">
      <c r="A6218" t="s">
        <v>847</v>
      </c>
      <c r="B6218" t="s">
        <v>680</v>
      </c>
      <c r="C6218" s="83">
        <v>46257</v>
      </c>
      <c r="D6218" t="s">
        <v>689</v>
      </c>
      <c r="E6218" t="s">
        <v>296</v>
      </c>
      <c r="F6218">
        <v>10</v>
      </c>
      <c r="G6218">
        <v>6.3262833333333299</v>
      </c>
    </row>
    <row r="6219" spans="1:7" x14ac:dyDescent="0.35">
      <c r="A6219" t="s">
        <v>847</v>
      </c>
      <c r="B6219" t="s">
        <v>680</v>
      </c>
      <c r="C6219" s="83">
        <v>46257</v>
      </c>
      <c r="D6219" t="s">
        <v>689</v>
      </c>
      <c r="E6219" t="s">
        <v>298</v>
      </c>
      <c r="F6219">
        <v>9</v>
      </c>
      <c r="G6219">
        <v>17.8281666666667</v>
      </c>
    </row>
    <row r="6220" spans="1:7" x14ac:dyDescent="0.35">
      <c r="A6220" t="s">
        <v>847</v>
      </c>
      <c r="B6220" t="s">
        <v>680</v>
      </c>
      <c r="C6220" s="83">
        <v>46257</v>
      </c>
      <c r="D6220" t="s">
        <v>689</v>
      </c>
      <c r="E6220" t="s">
        <v>728</v>
      </c>
      <c r="F6220">
        <v>8</v>
      </c>
      <c r="G6220">
        <v>5.9986666666666704</v>
      </c>
    </row>
    <row r="6221" spans="1:7" x14ac:dyDescent="0.35">
      <c r="A6221" t="s">
        <v>847</v>
      </c>
      <c r="B6221" t="s">
        <v>680</v>
      </c>
      <c r="C6221" s="83">
        <v>46257</v>
      </c>
      <c r="D6221" t="s">
        <v>684</v>
      </c>
      <c r="E6221" t="s">
        <v>300</v>
      </c>
      <c r="F6221">
        <v>3</v>
      </c>
      <c r="G6221">
        <v>2.0003500000000001</v>
      </c>
    </row>
    <row r="6222" spans="1:7" x14ac:dyDescent="0.35">
      <c r="A6222" t="s">
        <v>847</v>
      </c>
      <c r="B6222" t="s">
        <v>680</v>
      </c>
      <c r="C6222" s="83">
        <v>46257</v>
      </c>
      <c r="D6222" t="s">
        <v>684</v>
      </c>
      <c r="E6222" t="s">
        <v>297</v>
      </c>
      <c r="F6222">
        <v>3</v>
      </c>
      <c r="G6222">
        <v>5.8284333333333302</v>
      </c>
    </row>
    <row r="6223" spans="1:7" x14ac:dyDescent="0.35">
      <c r="A6223" t="s">
        <v>847</v>
      </c>
      <c r="B6223" t="s">
        <v>680</v>
      </c>
      <c r="C6223" s="83">
        <v>46257</v>
      </c>
      <c r="D6223" t="s">
        <v>684</v>
      </c>
      <c r="E6223" t="s">
        <v>334</v>
      </c>
      <c r="F6223">
        <v>3</v>
      </c>
      <c r="G6223">
        <v>1.6673500000000001</v>
      </c>
    </row>
    <row r="6224" spans="1:7" x14ac:dyDescent="0.35">
      <c r="A6224" t="s">
        <v>847</v>
      </c>
      <c r="B6224" t="s">
        <v>680</v>
      </c>
      <c r="C6224" s="83">
        <v>46257</v>
      </c>
      <c r="D6224" t="s">
        <v>687</v>
      </c>
      <c r="E6224" t="s">
        <v>746</v>
      </c>
      <c r="F6224">
        <v>6</v>
      </c>
      <c r="G6224">
        <v>4.6517166666666698</v>
      </c>
    </row>
    <row r="6225" spans="1:7" x14ac:dyDescent="0.35">
      <c r="A6225" t="s">
        <v>847</v>
      </c>
      <c r="B6225" t="s">
        <v>680</v>
      </c>
      <c r="C6225" s="83">
        <v>46257</v>
      </c>
      <c r="D6225" t="s">
        <v>687</v>
      </c>
      <c r="E6225" t="s">
        <v>733</v>
      </c>
      <c r="F6225">
        <v>5</v>
      </c>
      <c r="G6225">
        <v>2.17946666666667</v>
      </c>
    </row>
    <row r="6226" spans="1:7" x14ac:dyDescent="0.35">
      <c r="A6226" t="s">
        <v>847</v>
      </c>
      <c r="B6226" t="s">
        <v>680</v>
      </c>
      <c r="C6226" s="83">
        <v>46257</v>
      </c>
      <c r="D6226" t="s">
        <v>687</v>
      </c>
      <c r="E6226" t="s">
        <v>719</v>
      </c>
      <c r="F6226">
        <v>4</v>
      </c>
      <c r="G6226">
        <v>1.1662999999999999</v>
      </c>
    </row>
    <row r="6227" spans="1:7" x14ac:dyDescent="0.35">
      <c r="A6227" t="s">
        <v>847</v>
      </c>
      <c r="B6227" t="s">
        <v>680</v>
      </c>
      <c r="C6227" s="83">
        <v>46257</v>
      </c>
      <c r="D6227" t="s">
        <v>688</v>
      </c>
      <c r="E6227" t="s">
        <v>312</v>
      </c>
      <c r="F6227">
        <v>12</v>
      </c>
      <c r="G6227">
        <v>46.331899999999997</v>
      </c>
    </row>
    <row r="6228" spans="1:7" x14ac:dyDescent="0.35">
      <c r="A6228" t="s">
        <v>847</v>
      </c>
      <c r="B6228" t="s">
        <v>680</v>
      </c>
      <c r="C6228" s="83">
        <v>46257</v>
      </c>
      <c r="D6228" t="s">
        <v>688</v>
      </c>
      <c r="E6228" t="s">
        <v>311</v>
      </c>
      <c r="F6228">
        <v>5</v>
      </c>
      <c r="G6228">
        <v>2.6751666666666698</v>
      </c>
    </row>
    <row r="6229" spans="1:7" x14ac:dyDescent="0.35">
      <c r="A6229" t="s">
        <v>847</v>
      </c>
      <c r="B6229" t="s">
        <v>680</v>
      </c>
      <c r="C6229" s="83">
        <v>46257</v>
      </c>
      <c r="D6229" t="s">
        <v>688</v>
      </c>
      <c r="E6229" t="s">
        <v>720</v>
      </c>
      <c r="F6229">
        <v>4</v>
      </c>
      <c r="G6229">
        <v>2.8254666666666699</v>
      </c>
    </row>
    <row r="6230" spans="1:7" x14ac:dyDescent="0.35">
      <c r="A6230" t="s">
        <v>847</v>
      </c>
      <c r="B6230" t="s">
        <v>680</v>
      </c>
      <c r="C6230" s="83">
        <v>46257</v>
      </c>
      <c r="D6230" t="s">
        <v>690</v>
      </c>
      <c r="E6230" t="s">
        <v>312</v>
      </c>
      <c r="F6230">
        <v>10</v>
      </c>
      <c r="G6230">
        <v>2.8484333333333298</v>
      </c>
    </row>
    <row r="6231" spans="1:7" x14ac:dyDescent="0.35">
      <c r="A6231" t="s">
        <v>847</v>
      </c>
      <c r="B6231" t="s">
        <v>680</v>
      </c>
      <c r="C6231" s="83">
        <v>46257</v>
      </c>
      <c r="D6231" t="s">
        <v>690</v>
      </c>
      <c r="E6231" t="s">
        <v>311</v>
      </c>
      <c r="F6231">
        <v>6</v>
      </c>
      <c r="G6231">
        <v>4.6641166666666702</v>
      </c>
    </row>
    <row r="6232" spans="1:7" x14ac:dyDescent="0.35">
      <c r="A6232" t="s">
        <v>847</v>
      </c>
      <c r="B6232" t="s">
        <v>680</v>
      </c>
      <c r="C6232" s="83">
        <v>46257</v>
      </c>
      <c r="D6232" t="s">
        <v>690</v>
      </c>
      <c r="E6232" t="s">
        <v>720</v>
      </c>
      <c r="F6232">
        <v>5</v>
      </c>
      <c r="G6232">
        <v>2.8317999999999999</v>
      </c>
    </row>
    <row r="6233" spans="1:7" x14ac:dyDescent="0.35">
      <c r="A6233" t="s">
        <v>847</v>
      </c>
      <c r="B6233" t="s">
        <v>680</v>
      </c>
      <c r="C6233" s="83">
        <v>46257</v>
      </c>
      <c r="D6233" t="s">
        <v>685</v>
      </c>
      <c r="E6233" t="s">
        <v>311</v>
      </c>
      <c r="F6233">
        <v>7</v>
      </c>
      <c r="G6233">
        <v>5.6628499999999997</v>
      </c>
    </row>
    <row r="6234" spans="1:7" x14ac:dyDescent="0.35">
      <c r="A6234" t="s">
        <v>847</v>
      </c>
      <c r="B6234" t="s">
        <v>680</v>
      </c>
      <c r="C6234" s="83">
        <v>46257</v>
      </c>
      <c r="D6234" t="s">
        <v>685</v>
      </c>
      <c r="E6234" t="s">
        <v>316</v>
      </c>
      <c r="F6234">
        <v>4</v>
      </c>
      <c r="G6234">
        <v>5.99125</v>
      </c>
    </row>
    <row r="6235" spans="1:7" x14ac:dyDescent="0.35">
      <c r="A6235" t="s">
        <v>847</v>
      </c>
      <c r="B6235" t="s">
        <v>680</v>
      </c>
      <c r="C6235" s="83">
        <v>46257</v>
      </c>
      <c r="D6235" t="s">
        <v>685</v>
      </c>
      <c r="E6235" t="s">
        <v>322</v>
      </c>
      <c r="F6235">
        <v>2</v>
      </c>
      <c r="G6235">
        <v>0.332666666666667</v>
      </c>
    </row>
    <row r="6236" spans="1:7" x14ac:dyDescent="0.35">
      <c r="A6236" t="s">
        <v>847</v>
      </c>
      <c r="B6236" t="s">
        <v>680</v>
      </c>
      <c r="C6236" s="83">
        <v>46257</v>
      </c>
      <c r="D6236" t="s">
        <v>682</v>
      </c>
      <c r="E6236" t="s">
        <v>808</v>
      </c>
      <c r="F6236">
        <v>4</v>
      </c>
      <c r="G6236">
        <v>1.8404</v>
      </c>
    </row>
    <row r="6237" spans="1:7" x14ac:dyDescent="0.35">
      <c r="A6237" t="s">
        <v>847</v>
      </c>
      <c r="B6237" t="s">
        <v>680</v>
      </c>
      <c r="C6237" s="83">
        <v>46257</v>
      </c>
      <c r="D6237" t="s">
        <v>682</v>
      </c>
      <c r="E6237" t="s">
        <v>311</v>
      </c>
      <c r="F6237">
        <v>3</v>
      </c>
      <c r="G6237">
        <v>2.8330166666666701</v>
      </c>
    </row>
    <row r="6238" spans="1:7" x14ac:dyDescent="0.35">
      <c r="A6238" t="s">
        <v>847</v>
      </c>
      <c r="B6238" t="s">
        <v>680</v>
      </c>
      <c r="C6238" s="83">
        <v>46257</v>
      </c>
      <c r="D6238" t="s">
        <v>682</v>
      </c>
      <c r="E6238" t="s">
        <v>316</v>
      </c>
      <c r="F6238">
        <v>2</v>
      </c>
      <c r="G6238">
        <v>2.8337833333333302</v>
      </c>
    </row>
    <row r="6239" spans="1:7" x14ac:dyDescent="0.35">
      <c r="A6239" t="s">
        <v>847</v>
      </c>
      <c r="B6239" t="s">
        <v>680</v>
      </c>
      <c r="C6239" s="83">
        <v>46257</v>
      </c>
      <c r="D6239" t="s">
        <v>686</v>
      </c>
      <c r="E6239" t="s">
        <v>789</v>
      </c>
      <c r="F6239">
        <v>11</v>
      </c>
      <c r="G6239">
        <v>17.808783333333299</v>
      </c>
    </row>
    <row r="6240" spans="1:7" x14ac:dyDescent="0.35">
      <c r="A6240" t="s">
        <v>847</v>
      </c>
      <c r="B6240" t="s">
        <v>680</v>
      </c>
      <c r="C6240" s="83">
        <v>46257</v>
      </c>
      <c r="D6240" t="s">
        <v>686</v>
      </c>
      <c r="E6240" t="s">
        <v>803</v>
      </c>
      <c r="F6240">
        <v>5</v>
      </c>
      <c r="G6240">
        <v>4.8256833333333304</v>
      </c>
    </row>
    <row r="6241" spans="1:7" x14ac:dyDescent="0.35">
      <c r="A6241" t="s">
        <v>847</v>
      </c>
      <c r="B6241" t="s">
        <v>680</v>
      </c>
      <c r="C6241" s="83">
        <v>46257</v>
      </c>
      <c r="D6241" t="s">
        <v>686</v>
      </c>
      <c r="E6241" t="s">
        <v>791</v>
      </c>
      <c r="F6241">
        <v>5</v>
      </c>
      <c r="G6241">
        <v>8.8379166666666702</v>
      </c>
    </row>
    <row r="6242" spans="1:7" x14ac:dyDescent="0.35">
      <c r="A6242" t="s">
        <v>847</v>
      </c>
      <c r="B6242" t="s">
        <v>680</v>
      </c>
      <c r="C6242" s="83">
        <v>46258</v>
      </c>
      <c r="D6242" t="s">
        <v>681</v>
      </c>
      <c r="E6242" t="s">
        <v>296</v>
      </c>
      <c r="F6242">
        <v>47</v>
      </c>
      <c r="G6242">
        <v>53.963983333333303</v>
      </c>
    </row>
    <row r="6243" spans="1:7" x14ac:dyDescent="0.35">
      <c r="A6243" t="s">
        <v>847</v>
      </c>
      <c r="B6243" t="s">
        <v>680</v>
      </c>
      <c r="C6243" s="83">
        <v>46258</v>
      </c>
      <c r="D6243" t="s">
        <v>681</v>
      </c>
      <c r="E6243" t="s">
        <v>298</v>
      </c>
      <c r="F6243">
        <v>12</v>
      </c>
      <c r="G6243">
        <v>19.16995</v>
      </c>
    </row>
    <row r="6244" spans="1:7" x14ac:dyDescent="0.35">
      <c r="A6244" t="s">
        <v>847</v>
      </c>
      <c r="B6244" t="s">
        <v>680</v>
      </c>
      <c r="C6244" s="83">
        <v>46258</v>
      </c>
      <c r="D6244" t="s">
        <v>681</v>
      </c>
      <c r="E6244" t="s">
        <v>728</v>
      </c>
      <c r="F6244">
        <v>4</v>
      </c>
      <c r="G6244">
        <v>4.6683166666666702</v>
      </c>
    </row>
    <row r="6245" spans="1:7" x14ac:dyDescent="0.35">
      <c r="A6245" t="s">
        <v>847</v>
      </c>
      <c r="B6245" t="s">
        <v>680</v>
      </c>
      <c r="C6245" s="83">
        <v>46258</v>
      </c>
      <c r="D6245" t="s">
        <v>683</v>
      </c>
      <c r="E6245" t="s">
        <v>298</v>
      </c>
      <c r="F6245">
        <v>14</v>
      </c>
      <c r="G6245">
        <v>28.4956</v>
      </c>
    </row>
    <row r="6246" spans="1:7" x14ac:dyDescent="0.35">
      <c r="A6246" t="s">
        <v>847</v>
      </c>
      <c r="B6246" t="s">
        <v>680</v>
      </c>
      <c r="C6246" s="83">
        <v>46258</v>
      </c>
      <c r="D6246" t="s">
        <v>683</v>
      </c>
      <c r="E6246" t="s">
        <v>728</v>
      </c>
      <c r="F6246">
        <v>10</v>
      </c>
      <c r="G6246">
        <v>9.3361166666666708</v>
      </c>
    </row>
    <row r="6247" spans="1:7" x14ac:dyDescent="0.35">
      <c r="A6247" t="s">
        <v>847</v>
      </c>
      <c r="B6247" t="s">
        <v>680</v>
      </c>
      <c r="C6247" s="83">
        <v>46258</v>
      </c>
      <c r="D6247" t="s">
        <v>683</v>
      </c>
      <c r="E6247" t="s">
        <v>334</v>
      </c>
      <c r="F6247">
        <v>7</v>
      </c>
      <c r="G6247">
        <v>16.167116666666701</v>
      </c>
    </row>
    <row r="6248" spans="1:7" x14ac:dyDescent="0.35">
      <c r="A6248" t="s">
        <v>847</v>
      </c>
      <c r="B6248" t="s">
        <v>680</v>
      </c>
      <c r="C6248" s="83">
        <v>46258</v>
      </c>
      <c r="D6248" t="s">
        <v>689</v>
      </c>
      <c r="E6248" t="s">
        <v>296</v>
      </c>
      <c r="F6248">
        <v>29</v>
      </c>
      <c r="G6248">
        <v>28.490133333333301</v>
      </c>
    </row>
    <row r="6249" spans="1:7" x14ac:dyDescent="0.35">
      <c r="A6249" t="s">
        <v>847</v>
      </c>
      <c r="B6249" t="s">
        <v>680</v>
      </c>
      <c r="C6249" s="83">
        <v>46258</v>
      </c>
      <c r="D6249" t="s">
        <v>689</v>
      </c>
      <c r="E6249" t="s">
        <v>300</v>
      </c>
      <c r="F6249">
        <v>6</v>
      </c>
      <c r="G6249">
        <v>3.4991166666666702</v>
      </c>
    </row>
    <row r="6250" spans="1:7" x14ac:dyDescent="0.35">
      <c r="A6250" t="s">
        <v>847</v>
      </c>
      <c r="B6250" t="s">
        <v>680</v>
      </c>
      <c r="C6250" s="83">
        <v>46258</v>
      </c>
      <c r="D6250" t="s">
        <v>689</v>
      </c>
      <c r="E6250" t="s">
        <v>298</v>
      </c>
      <c r="F6250">
        <v>6</v>
      </c>
      <c r="G6250">
        <v>5.0016833333333297</v>
      </c>
    </row>
    <row r="6251" spans="1:7" x14ac:dyDescent="0.35">
      <c r="A6251" t="s">
        <v>847</v>
      </c>
      <c r="B6251" t="s">
        <v>680</v>
      </c>
      <c r="C6251" s="83">
        <v>46258</v>
      </c>
      <c r="D6251" t="s">
        <v>684</v>
      </c>
      <c r="E6251" t="s">
        <v>296</v>
      </c>
      <c r="F6251">
        <v>10</v>
      </c>
      <c r="G6251">
        <v>39.336199999999998</v>
      </c>
    </row>
    <row r="6252" spans="1:7" x14ac:dyDescent="0.35">
      <c r="A6252" t="s">
        <v>847</v>
      </c>
      <c r="B6252" t="s">
        <v>680</v>
      </c>
      <c r="C6252" s="83">
        <v>46258</v>
      </c>
      <c r="D6252" t="s">
        <v>684</v>
      </c>
      <c r="E6252" t="s">
        <v>298</v>
      </c>
      <c r="F6252">
        <v>7</v>
      </c>
      <c r="G6252">
        <v>6.3423166666666697</v>
      </c>
    </row>
    <row r="6253" spans="1:7" x14ac:dyDescent="0.35">
      <c r="A6253" t="s">
        <v>847</v>
      </c>
      <c r="B6253" t="s">
        <v>680</v>
      </c>
      <c r="C6253" s="83">
        <v>46258</v>
      </c>
      <c r="D6253" t="s">
        <v>684</v>
      </c>
      <c r="E6253" t="s">
        <v>334</v>
      </c>
      <c r="F6253">
        <v>5</v>
      </c>
      <c r="G6253">
        <v>3.8356833333333298</v>
      </c>
    </row>
    <row r="6254" spans="1:7" x14ac:dyDescent="0.35">
      <c r="A6254" t="s">
        <v>847</v>
      </c>
      <c r="B6254" t="s">
        <v>680</v>
      </c>
      <c r="C6254" s="83">
        <v>46258</v>
      </c>
      <c r="D6254" t="s">
        <v>687</v>
      </c>
      <c r="E6254" t="s">
        <v>746</v>
      </c>
      <c r="F6254">
        <v>6</v>
      </c>
      <c r="G6254">
        <v>9.3349833333333301</v>
      </c>
    </row>
    <row r="6255" spans="1:7" x14ac:dyDescent="0.35">
      <c r="A6255" t="s">
        <v>847</v>
      </c>
      <c r="B6255" t="s">
        <v>680</v>
      </c>
      <c r="C6255" s="83">
        <v>46258</v>
      </c>
      <c r="D6255" t="s">
        <v>687</v>
      </c>
      <c r="E6255" t="s">
        <v>717</v>
      </c>
      <c r="F6255">
        <v>4</v>
      </c>
      <c r="G6255">
        <v>1.6603666666666701</v>
      </c>
    </row>
    <row r="6256" spans="1:7" x14ac:dyDescent="0.35">
      <c r="A6256" t="s">
        <v>847</v>
      </c>
      <c r="B6256" t="s">
        <v>680</v>
      </c>
      <c r="C6256" s="83">
        <v>46258</v>
      </c>
      <c r="D6256" t="s">
        <v>687</v>
      </c>
      <c r="E6256" t="s">
        <v>738</v>
      </c>
      <c r="F6256">
        <v>2</v>
      </c>
      <c r="G6256">
        <v>4.1681833333333298</v>
      </c>
    </row>
    <row r="6257" spans="1:7" x14ac:dyDescent="0.35">
      <c r="A6257" t="s">
        <v>847</v>
      </c>
      <c r="B6257" t="s">
        <v>680</v>
      </c>
      <c r="C6257" s="83">
        <v>46258</v>
      </c>
      <c r="D6257" t="s">
        <v>688</v>
      </c>
      <c r="E6257" t="s">
        <v>311</v>
      </c>
      <c r="F6257">
        <v>4</v>
      </c>
      <c r="G6257">
        <v>2.33348333333333</v>
      </c>
    </row>
    <row r="6258" spans="1:7" x14ac:dyDescent="0.35">
      <c r="A6258" t="s">
        <v>847</v>
      </c>
      <c r="B6258" t="s">
        <v>680</v>
      </c>
      <c r="C6258" s="83">
        <v>46258</v>
      </c>
      <c r="D6258" t="s">
        <v>688</v>
      </c>
      <c r="E6258" t="s">
        <v>126</v>
      </c>
      <c r="F6258">
        <v>3</v>
      </c>
      <c r="G6258">
        <v>0.6673</v>
      </c>
    </row>
    <row r="6259" spans="1:7" x14ac:dyDescent="0.35">
      <c r="A6259" t="s">
        <v>847</v>
      </c>
      <c r="B6259" t="s">
        <v>680</v>
      </c>
      <c r="C6259" s="83">
        <v>46258</v>
      </c>
      <c r="D6259" t="s">
        <v>688</v>
      </c>
      <c r="E6259" t="s">
        <v>338</v>
      </c>
      <c r="F6259">
        <v>3</v>
      </c>
      <c r="G6259">
        <v>3.0024666666666699</v>
      </c>
    </row>
    <row r="6260" spans="1:7" x14ac:dyDescent="0.35">
      <c r="A6260" t="s">
        <v>847</v>
      </c>
      <c r="B6260" t="s">
        <v>680</v>
      </c>
      <c r="C6260" s="83">
        <v>46258</v>
      </c>
      <c r="D6260" t="s">
        <v>690</v>
      </c>
      <c r="E6260" t="s">
        <v>311</v>
      </c>
      <c r="F6260">
        <v>6</v>
      </c>
      <c r="G6260">
        <v>3.8368333333333302</v>
      </c>
    </row>
    <row r="6261" spans="1:7" x14ac:dyDescent="0.35">
      <c r="A6261" t="s">
        <v>847</v>
      </c>
      <c r="B6261" t="s">
        <v>680</v>
      </c>
      <c r="C6261" s="83">
        <v>46258</v>
      </c>
      <c r="D6261" t="s">
        <v>690</v>
      </c>
      <c r="E6261" t="s">
        <v>312</v>
      </c>
      <c r="F6261">
        <v>4</v>
      </c>
      <c r="G6261">
        <v>3.1679833333333298</v>
      </c>
    </row>
    <row r="6262" spans="1:7" x14ac:dyDescent="0.35">
      <c r="A6262" t="s">
        <v>847</v>
      </c>
      <c r="B6262" t="s">
        <v>680</v>
      </c>
      <c r="C6262" s="83">
        <v>46258</v>
      </c>
      <c r="D6262" t="s">
        <v>690</v>
      </c>
      <c r="E6262" t="s">
        <v>720</v>
      </c>
      <c r="F6262">
        <v>3</v>
      </c>
      <c r="G6262">
        <v>1.5008999999999999</v>
      </c>
    </row>
    <row r="6263" spans="1:7" x14ac:dyDescent="0.35">
      <c r="A6263" t="s">
        <v>847</v>
      </c>
      <c r="B6263" t="s">
        <v>680</v>
      </c>
      <c r="C6263" s="83">
        <v>46258</v>
      </c>
      <c r="D6263" t="s">
        <v>685</v>
      </c>
      <c r="E6263" t="s">
        <v>316</v>
      </c>
      <c r="F6263">
        <v>5</v>
      </c>
      <c r="G6263">
        <v>0.84640000000000004</v>
      </c>
    </row>
    <row r="6264" spans="1:7" x14ac:dyDescent="0.35">
      <c r="A6264" t="s">
        <v>847</v>
      </c>
      <c r="B6264" t="s">
        <v>680</v>
      </c>
      <c r="C6264" s="83">
        <v>46258</v>
      </c>
      <c r="D6264" t="s">
        <v>685</v>
      </c>
      <c r="E6264" t="s">
        <v>311</v>
      </c>
      <c r="F6264">
        <v>5</v>
      </c>
      <c r="G6264">
        <v>4.1587833333333304</v>
      </c>
    </row>
    <row r="6265" spans="1:7" x14ac:dyDescent="0.35">
      <c r="A6265" t="s">
        <v>847</v>
      </c>
      <c r="B6265" t="s">
        <v>680</v>
      </c>
      <c r="C6265" s="83">
        <v>46258</v>
      </c>
      <c r="D6265" t="s">
        <v>685</v>
      </c>
      <c r="E6265" t="s">
        <v>724</v>
      </c>
      <c r="F6265">
        <v>3</v>
      </c>
      <c r="G6265">
        <v>4.6592500000000001</v>
      </c>
    </row>
    <row r="6266" spans="1:7" x14ac:dyDescent="0.35">
      <c r="A6266" t="s">
        <v>847</v>
      </c>
      <c r="B6266" t="s">
        <v>680</v>
      </c>
      <c r="C6266" s="83">
        <v>46258</v>
      </c>
      <c r="D6266" t="s">
        <v>682</v>
      </c>
      <c r="E6266" t="s">
        <v>311</v>
      </c>
      <c r="F6266">
        <v>3</v>
      </c>
      <c r="G6266">
        <v>0.67383333333333295</v>
      </c>
    </row>
    <row r="6267" spans="1:7" x14ac:dyDescent="0.35">
      <c r="A6267" t="s">
        <v>847</v>
      </c>
      <c r="B6267" t="s">
        <v>680</v>
      </c>
      <c r="C6267" s="83">
        <v>46258</v>
      </c>
      <c r="D6267" t="s">
        <v>682</v>
      </c>
      <c r="E6267" t="s">
        <v>808</v>
      </c>
      <c r="F6267">
        <v>3</v>
      </c>
      <c r="G6267">
        <v>1.49363333333333</v>
      </c>
    </row>
    <row r="6268" spans="1:7" x14ac:dyDescent="0.35">
      <c r="A6268" t="s">
        <v>847</v>
      </c>
      <c r="B6268" t="s">
        <v>680</v>
      </c>
      <c r="C6268" s="83">
        <v>46258</v>
      </c>
      <c r="D6268" t="s">
        <v>682</v>
      </c>
      <c r="E6268" t="s">
        <v>321</v>
      </c>
      <c r="F6268">
        <v>2</v>
      </c>
      <c r="G6268">
        <v>2.4997833333333301</v>
      </c>
    </row>
    <row r="6269" spans="1:7" x14ac:dyDescent="0.35">
      <c r="A6269" t="s">
        <v>847</v>
      </c>
      <c r="B6269" t="s">
        <v>680</v>
      </c>
      <c r="C6269" s="83">
        <v>46258</v>
      </c>
      <c r="D6269" t="s">
        <v>686</v>
      </c>
      <c r="E6269" t="s">
        <v>789</v>
      </c>
      <c r="F6269">
        <v>5</v>
      </c>
      <c r="G6269">
        <v>2.0067499999999998</v>
      </c>
    </row>
    <row r="6270" spans="1:7" x14ac:dyDescent="0.35">
      <c r="A6270" t="s">
        <v>847</v>
      </c>
      <c r="B6270" t="s">
        <v>680</v>
      </c>
      <c r="C6270" s="83">
        <v>46258</v>
      </c>
      <c r="D6270" t="s">
        <v>686</v>
      </c>
      <c r="E6270" t="s">
        <v>791</v>
      </c>
      <c r="F6270">
        <v>4</v>
      </c>
      <c r="G6270">
        <v>3.5071166666666702</v>
      </c>
    </row>
    <row r="6271" spans="1:7" x14ac:dyDescent="0.35">
      <c r="A6271" t="s">
        <v>847</v>
      </c>
      <c r="B6271" t="s">
        <v>680</v>
      </c>
      <c r="C6271" s="83">
        <v>46258</v>
      </c>
      <c r="D6271" t="s">
        <v>686</v>
      </c>
      <c r="E6271" t="s">
        <v>554</v>
      </c>
      <c r="F6271">
        <v>2</v>
      </c>
      <c r="G6271">
        <v>0.16700000000000001</v>
      </c>
    </row>
    <row r="6272" spans="1:7" x14ac:dyDescent="0.35">
      <c r="A6272" t="s">
        <v>847</v>
      </c>
      <c r="B6272" t="s">
        <v>680</v>
      </c>
      <c r="C6272" s="83">
        <v>46259</v>
      </c>
      <c r="D6272" t="s">
        <v>681</v>
      </c>
      <c r="E6272" t="s">
        <v>298</v>
      </c>
      <c r="F6272">
        <v>32</v>
      </c>
      <c r="G6272">
        <v>73.823316666666699</v>
      </c>
    </row>
    <row r="6273" spans="1:7" x14ac:dyDescent="0.35">
      <c r="A6273" t="s">
        <v>847</v>
      </c>
      <c r="B6273" t="s">
        <v>680</v>
      </c>
      <c r="C6273" s="83">
        <v>46259</v>
      </c>
      <c r="D6273" t="s">
        <v>681</v>
      </c>
      <c r="E6273" t="s">
        <v>296</v>
      </c>
      <c r="F6273">
        <v>30</v>
      </c>
      <c r="G6273">
        <v>12.1536666666667</v>
      </c>
    </row>
    <row r="6274" spans="1:7" x14ac:dyDescent="0.35">
      <c r="A6274" t="s">
        <v>847</v>
      </c>
      <c r="B6274" t="s">
        <v>680</v>
      </c>
      <c r="C6274" s="83">
        <v>46259</v>
      </c>
      <c r="D6274" t="s">
        <v>681</v>
      </c>
      <c r="E6274" t="s">
        <v>334</v>
      </c>
      <c r="F6274">
        <v>8</v>
      </c>
      <c r="G6274">
        <v>9.33646666666667</v>
      </c>
    </row>
    <row r="6275" spans="1:7" x14ac:dyDescent="0.35">
      <c r="A6275" t="s">
        <v>847</v>
      </c>
      <c r="B6275" t="s">
        <v>680</v>
      </c>
      <c r="C6275" s="83">
        <v>46259</v>
      </c>
      <c r="D6275" t="s">
        <v>683</v>
      </c>
      <c r="E6275" t="s">
        <v>298</v>
      </c>
      <c r="F6275">
        <v>12</v>
      </c>
      <c r="G6275">
        <v>20.162566666666699</v>
      </c>
    </row>
    <row r="6276" spans="1:7" x14ac:dyDescent="0.35">
      <c r="A6276" t="s">
        <v>847</v>
      </c>
      <c r="B6276" t="s">
        <v>680</v>
      </c>
      <c r="C6276" s="83">
        <v>46259</v>
      </c>
      <c r="D6276" t="s">
        <v>683</v>
      </c>
      <c r="E6276" t="s">
        <v>296</v>
      </c>
      <c r="F6276">
        <v>10</v>
      </c>
      <c r="G6276">
        <v>4.0123333333333298</v>
      </c>
    </row>
    <row r="6277" spans="1:7" x14ac:dyDescent="0.35">
      <c r="A6277" t="s">
        <v>847</v>
      </c>
      <c r="B6277" t="s">
        <v>680</v>
      </c>
      <c r="C6277" s="83">
        <v>46259</v>
      </c>
      <c r="D6277" t="s">
        <v>683</v>
      </c>
      <c r="E6277" t="s">
        <v>728</v>
      </c>
      <c r="F6277">
        <v>6</v>
      </c>
      <c r="G6277">
        <v>3.3417500000000002</v>
      </c>
    </row>
    <row r="6278" spans="1:7" x14ac:dyDescent="0.35">
      <c r="A6278" t="s">
        <v>847</v>
      </c>
      <c r="B6278" t="s">
        <v>680</v>
      </c>
      <c r="C6278" s="83">
        <v>46259</v>
      </c>
      <c r="D6278" t="s">
        <v>689</v>
      </c>
      <c r="E6278" t="s">
        <v>298</v>
      </c>
      <c r="F6278">
        <v>13</v>
      </c>
      <c r="G6278">
        <v>13.3228833333333</v>
      </c>
    </row>
    <row r="6279" spans="1:7" x14ac:dyDescent="0.35">
      <c r="A6279" t="s">
        <v>847</v>
      </c>
      <c r="B6279" t="s">
        <v>680</v>
      </c>
      <c r="C6279" s="83">
        <v>46259</v>
      </c>
      <c r="D6279" t="s">
        <v>689</v>
      </c>
      <c r="E6279" t="s">
        <v>300</v>
      </c>
      <c r="F6279">
        <v>9</v>
      </c>
      <c r="G6279">
        <v>3.83286666666667</v>
      </c>
    </row>
    <row r="6280" spans="1:7" x14ac:dyDescent="0.35">
      <c r="A6280" t="s">
        <v>847</v>
      </c>
      <c r="B6280" t="s">
        <v>680</v>
      </c>
      <c r="C6280" s="83">
        <v>46259</v>
      </c>
      <c r="D6280" t="s">
        <v>689</v>
      </c>
      <c r="E6280" t="s">
        <v>296</v>
      </c>
      <c r="F6280">
        <v>8</v>
      </c>
      <c r="G6280">
        <v>3.3352499999999998</v>
      </c>
    </row>
    <row r="6281" spans="1:7" x14ac:dyDescent="0.35">
      <c r="A6281" t="s">
        <v>847</v>
      </c>
      <c r="B6281" t="s">
        <v>680</v>
      </c>
      <c r="C6281" s="83">
        <v>46259</v>
      </c>
      <c r="D6281" t="s">
        <v>684</v>
      </c>
      <c r="E6281" t="s">
        <v>296</v>
      </c>
      <c r="F6281">
        <v>21</v>
      </c>
      <c r="G6281">
        <v>75.505683333333295</v>
      </c>
    </row>
    <row r="6282" spans="1:7" x14ac:dyDescent="0.35">
      <c r="A6282" t="s">
        <v>847</v>
      </c>
      <c r="B6282" t="s">
        <v>680</v>
      </c>
      <c r="C6282" s="83">
        <v>46259</v>
      </c>
      <c r="D6282" t="s">
        <v>684</v>
      </c>
      <c r="E6282" t="s">
        <v>298</v>
      </c>
      <c r="F6282">
        <v>12</v>
      </c>
      <c r="G6282">
        <v>17.506266666666701</v>
      </c>
    </row>
    <row r="6283" spans="1:7" x14ac:dyDescent="0.35">
      <c r="A6283" t="s">
        <v>847</v>
      </c>
      <c r="B6283" t="s">
        <v>680</v>
      </c>
      <c r="C6283" s="83">
        <v>46259</v>
      </c>
      <c r="D6283" t="s">
        <v>684</v>
      </c>
      <c r="E6283" t="s">
        <v>300</v>
      </c>
      <c r="F6283">
        <v>4</v>
      </c>
      <c r="G6283">
        <v>5.82703333333333</v>
      </c>
    </row>
    <row r="6284" spans="1:7" x14ac:dyDescent="0.35">
      <c r="A6284" t="s">
        <v>847</v>
      </c>
      <c r="B6284" t="s">
        <v>680</v>
      </c>
      <c r="C6284" s="83">
        <v>46259</v>
      </c>
      <c r="D6284" t="s">
        <v>687</v>
      </c>
      <c r="E6284" t="s">
        <v>746</v>
      </c>
      <c r="F6284">
        <v>13</v>
      </c>
      <c r="G6284">
        <v>10.329966666666699</v>
      </c>
    </row>
    <row r="6285" spans="1:7" x14ac:dyDescent="0.35">
      <c r="A6285" t="s">
        <v>847</v>
      </c>
      <c r="B6285" t="s">
        <v>680</v>
      </c>
      <c r="C6285" s="83">
        <v>46259</v>
      </c>
      <c r="D6285" t="s">
        <v>687</v>
      </c>
      <c r="E6285" t="s">
        <v>717</v>
      </c>
      <c r="F6285">
        <v>9</v>
      </c>
      <c r="G6285">
        <v>35.337899999999998</v>
      </c>
    </row>
    <row r="6286" spans="1:7" x14ac:dyDescent="0.35">
      <c r="A6286" t="s">
        <v>847</v>
      </c>
      <c r="B6286" t="s">
        <v>680</v>
      </c>
      <c r="C6286" s="83">
        <v>46259</v>
      </c>
      <c r="D6286" t="s">
        <v>687</v>
      </c>
      <c r="E6286" t="s">
        <v>718</v>
      </c>
      <c r="F6286">
        <v>3</v>
      </c>
      <c r="G6286">
        <v>1.1678999999999999</v>
      </c>
    </row>
    <row r="6287" spans="1:7" x14ac:dyDescent="0.35">
      <c r="A6287" t="s">
        <v>847</v>
      </c>
      <c r="B6287" t="s">
        <v>680</v>
      </c>
      <c r="C6287" s="83">
        <v>46259</v>
      </c>
      <c r="D6287" t="s">
        <v>688</v>
      </c>
      <c r="E6287" t="s">
        <v>311</v>
      </c>
      <c r="F6287">
        <v>26</v>
      </c>
      <c r="G6287">
        <v>21.325383333333299</v>
      </c>
    </row>
    <row r="6288" spans="1:7" x14ac:dyDescent="0.35">
      <c r="A6288" t="s">
        <v>847</v>
      </c>
      <c r="B6288" t="s">
        <v>680</v>
      </c>
      <c r="C6288" s="83">
        <v>46259</v>
      </c>
      <c r="D6288" t="s">
        <v>688</v>
      </c>
      <c r="E6288" t="s">
        <v>126</v>
      </c>
      <c r="F6288">
        <v>5</v>
      </c>
      <c r="G6288">
        <v>2.4997833333333301</v>
      </c>
    </row>
    <row r="6289" spans="1:7" x14ac:dyDescent="0.35">
      <c r="A6289" t="s">
        <v>847</v>
      </c>
      <c r="B6289" t="s">
        <v>680</v>
      </c>
      <c r="C6289" s="83">
        <v>46259</v>
      </c>
      <c r="D6289" t="s">
        <v>688</v>
      </c>
      <c r="E6289" t="s">
        <v>316</v>
      </c>
      <c r="F6289">
        <v>4</v>
      </c>
      <c r="G6289">
        <v>1.84073333333333</v>
      </c>
    </row>
    <row r="6290" spans="1:7" x14ac:dyDescent="0.35">
      <c r="A6290" t="s">
        <v>847</v>
      </c>
      <c r="B6290" t="s">
        <v>680</v>
      </c>
      <c r="C6290" s="83">
        <v>46259</v>
      </c>
      <c r="D6290" t="s">
        <v>690</v>
      </c>
      <c r="E6290" t="s">
        <v>311</v>
      </c>
      <c r="F6290">
        <v>16</v>
      </c>
      <c r="G6290">
        <v>10.342166666666699</v>
      </c>
    </row>
    <row r="6291" spans="1:7" x14ac:dyDescent="0.35">
      <c r="A6291" t="s">
        <v>847</v>
      </c>
      <c r="B6291" t="s">
        <v>680</v>
      </c>
      <c r="C6291" s="83">
        <v>46259</v>
      </c>
      <c r="D6291" t="s">
        <v>690</v>
      </c>
      <c r="E6291" t="s">
        <v>720</v>
      </c>
      <c r="F6291">
        <v>5</v>
      </c>
      <c r="G6291">
        <v>3.8334666666666699</v>
      </c>
    </row>
    <row r="6292" spans="1:7" x14ac:dyDescent="0.35">
      <c r="A6292" t="s">
        <v>847</v>
      </c>
      <c r="B6292" t="s">
        <v>680</v>
      </c>
      <c r="C6292" s="83">
        <v>46259</v>
      </c>
      <c r="D6292" t="s">
        <v>690</v>
      </c>
      <c r="E6292" t="s">
        <v>316</v>
      </c>
      <c r="F6292">
        <v>2</v>
      </c>
      <c r="G6292">
        <v>0.66654999999999998</v>
      </c>
    </row>
    <row r="6293" spans="1:7" x14ac:dyDescent="0.35">
      <c r="A6293" t="s">
        <v>847</v>
      </c>
      <c r="B6293" t="s">
        <v>680</v>
      </c>
      <c r="C6293" s="83">
        <v>46259</v>
      </c>
      <c r="D6293" t="s">
        <v>685</v>
      </c>
      <c r="E6293" t="s">
        <v>316</v>
      </c>
      <c r="F6293">
        <v>4</v>
      </c>
      <c r="G6293">
        <v>1.67313333333333</v>
      </c>
    </row>
    <row r="6294" spans="1:7" x14ac:dyDescent="0.35">
      <c r="A6294" t="s">
        <v>847</v>
      </c>
      <c r="B6294" t="s">
        <v>680</v>
      </c>
      <c r="C6294" s="83">
        <v>46259</v>
      </c>
      <c r="D6294" t="s">
        <v>685</v>
      </c>
      <c r="E6294" t="s">
        <v>311</v>
      </c>
      <c r="F6294">
        <v>4</v>
      </c>
      <c r="G6294">
        <v>3.8400333333333299</v>
      </c>
    </row>
    <row r="6295" spans="1:7" x14ac:dyDescent="0.35">
      <c r="A6295" t="s">
        <v>847</v>
      </c>
      <c r="B6295" t="s">
        <v>680</v>
      </c>
      <c r="C6295" s="83">
        <v>46259</v>
      </c>
      <c r="D6295" t="s">
        <v>685</v>
      </c>
      <c r="E6295" t="s">
        <v>312</v>
      </c>
      <c r="F6295">
        <v>3</v>
      </c>
      <c r="G6295">
        <v>0.50111666666666699</v>
      </c>
    </row>
    <row r="6296" spans="1:7" x14ac:dyDescent="0.35">
      <c r="A6296" t="s">
        <v>847</v>
      </c>
      <c r="B6296" t="s">
        <v>680</v>
      </c>
      <c r="C6296" s="83">
        <v>46259</v>
      </c>
      <c r="D6296" t="s">
        <v>682</v>
      </c>
      <c r="E6296" t="s">
        <v>808</v>
      </c>
      <c r="F6296">
        <v>4</v>
      </c>
      <c r="G6296">
        <v>93.514866666666705</v>
      </c>
    </row>
    <row r="6297" spans="1:7" x14ac:dyDescent="0.35">
      <c r="A6297" t="s">
        <v>847</v>
      </c>
      <c r="B6297" t="s">
        <v>680</v>
      </c>
      <c r="C6297" s="83">
        <v>46259</v>
      </c>
      <c r="D6297" t="s">
        <v>682</v>
      </c>
      <c r="E6297" t="s">
        <v>725</v>
      </c>
      <c r="F6297">
        <v>2</v>
      </c>
      <c r="G6297">
        <v>0.50043333333333295</v>
      </c>
    </row>
    <row r="6298" spans="1:7" x14ac:dyDescent="0.35">
      <c r="A6298" t="s">
        <v>847</v>
      </c>
      <c r="B6298" t="s">
        <v>680</v>
      </c>
      <c r="C6298" s="83">
        <v>46259</v>
      </c>
      <c r="D6298" t="s">
        <v>686</v>
      </c>
      <c r="E6298" t="s">
        <v>803</v>
      </c>
      <c r="F6298">
        <v>6</v>
      </c>
      <c r="G6298">
        <v>2.9992999999999999</v>
      </c>
    </row>
    <row r="6299" spans="1:7" x14ac:dyDescent="0.35">
      <c r="A6299" t="s">
        <v>847</v>
      </c>
      <c r="B6299" t="s">
        <v>680</v>
      </c>
      <c r="C6299" s="83">
        <v>46259</v>
      </c>
      <c r="D6299" t="s">
        <v>686</v>
      </c>
      <c r="E6299" t="s">
        <v>789</v>
      </c>
      <c r="F6299">
        <v>4</v>
      </c>
      <c r="G6299">
        <v>2.6680666666666699</v>
      </c>
    </row>
    <row r="6300" spans="1:7" x14ac:dyDescent="0.35">
      <c r="A6300" t="s">
        <v>847</v>
      </c>
      <c r="B6300" t="s">
        <v>680</v>
      </c>
      <c r="C6300" s="83">
        <v>46259</v>
      </c>
      <c r="D6300" t="s">
        <v>686</v>
      </c>
      <c r="E6300" t="s">
        <v>790</v>
      </c>
      <c r="F6300">
        <v>3</v>
      </c>
      <c r="G6300">
        <v>4.3356833333333302</v>
      </c>
    </row>
    <row r="6301" spans="1:7" x14ac:dyDescent="0.35">
      <c r="A6301" t="s">
        <v>847</v>
      </c>
      <c r="B6301" t="s">
        <v>680</v>
      </c>
      <c r="C6301" s="83">
        <v>46260</v>
      </c>
      <c r="D6301" t="s">
        <v>681</v>
      </c>
      <c r="E6301" t="s">
        <v>298</v>
      </c>
      <c r="F6301">
        <v>46</v>
      </c>
      <c r="G6301">
        <v>96.511983333333305</v>
      </c>
    </row>
    <row r="6302" spans="1:7" x14ac:dyDescent="0.35">
      <c r="A6302" t="s">
        <v>847</v>
      </c>
      <c r="B6302" t="s">
        <v>680</v>
      </c>
      <c r="C6302" s="83">
        <v>46260</v>
      </c>
      <c r="D6302" t="s">
        <v>681</v>
      </c>
      <c r="E6302" t="s">
        <v>296</v>
      </c>
      <c r="F6302">
        <v>22</v>
      </c>
      <c r="G6302">
        <v>28.168416666666701</v>
      </c>
    </row>
    <row r="6303" spans="1:7" x14ac:dyDescent="0.35">
      <c r="A6303" t="s">
        <v>847</v>
      </c>
      <c r="B6303" t="s">
        <v>680</v>
      </c>
      <c r="C6303" s="83">
        <v>46260</v>
      </c>
      <c r="D6303" t="s">
        <v>681</v>
      </c>
      <c r="E6303" t="s">
        <v>645</v>
      </c>
      <c r="F6303">
        <v>14</v>
      </c>
      <c r="G6303">
        <v>18.014516666666701</v>
      </c>
    </row>
    <row r="6304" spans="1:7" x14ac:dyDescent="0.35">
      <c r="A6304" t="s">
        <v>847</v>
      </c>
      <c r="B6304" t="s">
        <v>680</v>
      </c>
      <c r="C6304" s="83">
        <v>46260</v>
      </c>
      <c r="D6304" t="s">
        <v>683</v>
      </c>
      <c r="E6304" t="s">
        <v>296</v>
      </c>
      <c r="F6304">
        <v>10</v>
      </c>
      <c r="G6304">
        <v>3.1796166666666701</v>
      </c>
    </row>
    <row r="6305" spans="1:7" x14ac:dyDescent="0.35">
      <c r="A6305" t="s">
        <v>847</v>
      </c>
      <c r="B6305" t="s">
        <v>680</v>
      </c>
      <c r="C6305" s="83">
        <v>46260</v>
      </c>
      <c r="D6305" t="s">
        <v>683</v>
      </c>
      <c r="E6305" t="s">
        <v>332</v>
      </c>
      <c r="F6305">
        <v>9</v>
      </c>
      <c r="G6305">
        <v>3.8353999999999999</v>
      </c>
    </row>
    <row r="6306" spans="1:7" x14ac:dyDescent="0.35">
      <c r="A6306" t="s">
        <v>847</v>
      </c>
      <c r="B6306" t="s">
        <v>680</v>
      </c>
      <c r="C6306" s="83">
        <v>46260</v>
      </c>
      <c r="D6306" t="s">
        <v>683</v>
      </c>
      <c r="E6306" t="s">
        <v>298</v>
      </c>
      <c r="F6306">
        <v>8</v>
      </c>
      <c r="G6306">
        <v>7.1429499999999999</v>
      </c>
    </row>
    <row r="6307" spans="1:7" x14ac:dyDescent="0.35">
      <c r="A6307" t="s">
        <v>847</v>
      </c>
      <c r="B6307" t="s">
        <v>680</v>
      </c>
      <c r="C6307" s="83">
        <v>46260</v>
      </c>
      <c r="D6307" t="s">
        <v>689</v>
      </c>
      <c r="E6307" t="s">
        <v>296</v>
      </c>
      <c r="F6307">
        <v>31</v>
      </c>
      <c r="G6307">
        <v>21.146466666666701</v>
      </c>
    </row>
    <row r="6308" spans="1:7" x14ac:dyDescent="0.35">
      <c r="A6308" t="s">
        <v>847</v>
      </c>
      <c r="B6308" t="s">
        <v>680</v>
      </c>
      <c r="C6308" s="83">
        <v>46260</v>
      </c>
      <c r="D6308" t="s">
        <v>689</v>
      </c>
      <c r="E6308" t="s">
        <v>298</v>
      </c>
      <c r="F6308">
        <v>15</v>
      </c>
      <c r="G6308">
        <v>11.840616666666699</v>
      </c>
    </row>
    <row r="6309" spans="1:7" x14ac:dyDescent="0.35">
      <c r="A6309" t="s">
        <v>847</v>
      </c>
      <c r="B6309" t="s">
        <v>680</v>
      </c>
      <c r="C6309" s="83">
        <v>46260</v>
      </c>
      <c r="D6309" t="s">
        <v>689</v>
      </c>
      <c r="E6309" t="s">
        <v>332</v>
      </c>
      <c r="F6309">
        <v>9</v>
      </c>
      <c r="G6309">
        <v>10.6856166666667</v>
      </c>
    </row>
    <row r="6310" spans="1:7" x14ac:dyDescent="0.35">
      <c r="A6310" t="s">
        <v>847</v>
      </c>
      <c r="B6310" t="s">
        <v>680</v>
      </c>
      <c r="C6310" s="83">
        <v>46260</v>
      </c>
      <c r="D6310" t="s">
        <v>684</v>
      </c>
      <c r="E6310" t="s">
        <v>334</v>
      </c>
      <c r="F6310">
        <v>10</v>
      </c>
      <c r="G6310">
        <v>3.6406166666666699</v>
      </c>
    </row>
    <row r="6311" spans="1:7" x14ac:dyDescent="0.35">
      <c r="A6311" t="s">
        <v>847</v>
      </c>
      <c r="B6311" t="s">
        <v>680</v>
      </c>
      <c r="C6311" s="83">
        <v>46260</v>
      </c>
      <c r="D6311" t="s">
        <v>684</v>
      </c>
      <c r="E6311" t="s">
        <v>298</v>
      </c>
      <c r="F6311">
        <v>5</v>
      </c>
      <c r="G6311">
        <v>9.3427833333333297</v>
      </c>
    </row>
    <row r="6312" spans="1:7" x14ac:dyDescent="0.35">
      <c r="A6312" t="s">
        <v>847</v>
      </c>
      <c r="B6312" t="s">
        <v>680</v>
      </c>
      <c r="C6312" s="83">
        <v>46260</v>
      </c>
      <c r="D6312" t="s">
        <v>684</v>
      </c>
      <c r="E6312" t="s">
        <v>300</v>
      </c>
      <c r="F6312">
        <v>4</v>
      </c>
      <c r="G6312">
        <v>2.1736833333333299</v>
      </c>
    </row>
    <row r="6313" spans="1:7" x14ac:dyDescent="0.35">
      <c r="A6313" t="s">
        <v>847</v>
      </c>
      <c r="B6313" t="s">
        <v>680</v>
      </c>
      <c r="C6313" s="83">
        <v>46260</v>
      </c>
      <c r="D6313" t="s">
        <v>687</v>
      </c>
      <c r="E6313" t="s">
        <v>746</v>
      </c>
      <c r="F6313">
        <v>8</v>
      </c>
      <c r="G6313">
        <v>29.827483333333301</v>
      </c>
    </row>
    <row r="6314" spans="1:7" x14ac:dyDescent="0.35">
      <c r="A6314" t="s">
        <v>847</v>
      </c>
      <c r="B6314" t="s">
        <v>680</v>
      </c>
      <c r="C6314" s="83">
        <v>46260</v>
      </c>
      <c r="D6314" t="s">
        <v>687</v>
      </c>
      <c r="E6314" t="s">
        <v>738</v>
      </c>
      <c r="F6314">
        <v>2</v>
      </c>
      <c r="G6314">
        <v>1.8359333333333301</v>
      </c>
    </row>
    <row r="6315" spans="1:7" x14ac:dyDescent="0.35">
      <c r="A6315" t="s">
        <v>847</v>
      </c>
      <c r="B6315" t="s">
        <v>680</v>
      </c>
      <c r="C6315" s="83">
        <v>46260</v>
      </c>
      <c r="D6315" t="s">
        <v>687</v>
      </c>
      <c r="E6315" t="s">
        <v>717</v>
      </c>
      <c r="F6315">
        <v>2</v>
      </c>
      <c r="G6315">
        <v>0.83420000000000005</v>
      </c>
    </row>
    <row r="6316" spans="1:7" x14ac:dyDescent="0.35">
      <c r="A6316" t="s">
        <v>847</v>
      </c>
      <c r="B6316" t="s">
        <v>680</v>
      </c>
      <c r="C6316" s="83">
        <v>46260</v>
      </c>
      <c r="D6316" t="s">
        <v>688</v>
      </c>
      <c r="E6316" t="s">
        <v>311</v>
      </c>
      <c r="F6316">
        <v>7</v>
      </c>
      <c r="G6316">
        <v>4.1434333333333297</v>
      </c>
    </row>
    <row r="6317" spans="1:7" x14ac:dyDescent="0.35">
      <c r="A6317" t="s">
        <v>847</v>
      </c>
      <c r="B6317" t="s">
        <v>680</v>
      </c>
      <c r="C6317" s="83">
        <v>46260</v>
      </c>
      <c r="D6317" t="s">
        <v>688</v>
      </c>
      <c r="E6317" t="s">
        <v>126</v>
      </c>
      <c r="F6317">
        <v>3</v>
      </c>
      <c r="G6317">
        <v>0.84108333333333296</v>
      </c>
    </row>
    <row r="6318" spans="1:7" x14ac:dyDescent="0.35">
      <c r="A6318" t="s">
        <v>847</v>
      </c>
      <c r="B6318" t="s">
        <v>680</v>
      </c>
      <c r="C6318" s="83">
        <v>46260</v>
      </c>
      <c r="D6318" t="s">
        <v>688</v>
      </c>
      <c r="E6318" t="s">
        <v>319</v>
      </c>
      <c r="F6318">
        <v>2</v>
      </c>
      <c r="G6318">
        <v>0.50034999999999996</v>
      </c>
    </row>
    <row r="6319" spans="1:7" x14ac:dyDescent="0.35">
      <c r="A6319" t="s">
        <v>847</v>
      </c>
      <c r="B6319" t="s">
        <v>680</v>
      </c>
      <c r="C6319" s="83">
        <v>46260</v>
      </c>
      <c r="D6319" t="s">
        <v>690</v>
      </c>
      <c r="E6319" t="s">
        <v>720</v>
      </c>
      <c r="F6319">
        <v>9</v>
      </c>
      <c r="G6319">
        <v>4.1679833333333303</v>
      </c>
    </row>
    <row r="6320" spans="1:7" x14ac:dyDescent="0.35">
      <c r="A6320" t="s">
        <v>847</v>
      </c>
      <c r="B6320" t="s">
        <v>680</v>
      </c>
      <c r="C6320" s="83">
        <v>46260</v>
      </c>
      <c r="D6320" t="s">
        <v>690</v>
      </c>
      <c r="E6320" t="s">
        <v>311</v>
      </c>
      <c r="F6320">
        <v>8</v>
      </c>
      <c r="G6320">
        <v>5.3345166666666701</v>
      </c>
    </row>
    <row r="6321" spans="1:7" x14ac:dyDescent="0.35">
      <c r="A6321" t="s">
        <v>847</v>
      </c>
      <c r="B6321" t="s">
        <v>680</v>
      </c>
      <c r="C6321" s="83">
        <v>46260</v>
      </c>
      <c r="D6321" t="s">
        <v>690</v>
      </c>
      <c r="E6321" t="s">
        <v>316</v>
      </c>
      <c r="F6321">
        <v>5</v>
      </c>
      <c r="G6321">
        <v>2.0080499999999999</v>
      </c>
    </row>
    <row r="6322" spans="1:7" x14ac:dyDescent="0.35">
      <c r="A6322" t="s">
        <v>847</v>
      </c>
      <c r="B6322" t="s">
        <v>680</v>
      </c>
      <c r="C6322" s="83">
        <v>46260</v>
      </c>
      <c r="D6322" t="s">
        <v>685</v>
      </c>
      <c r="E6322" t="s">
        <v>316</v>
      </c>
      <c r="F6322">
        <v>10</v>
      </c>
      <c r="G6322">
        <v>7.6728666666666703</v>
      </c>
    </row>
    <row r="6323" spans="1:7" x14ac:dyDescent="0.35">
      <c r="A6323" t="s">
        <v>847</v>
      </c>
      <c r="B6323" t="s">
        <v>680</v>
      </c>
      <c r="C6323" s="83">
        <v>46260</v>
      </c>
      <c r="D6323" t="s">
        <v>685</v>
      </c>
      <c r="E6323" t="s">
        <v>311</v>
      </c>
      <c r="F6323">
        <v>5</v>
      </c>
      <c r="G6323">
        <v>2.9864666666666699</v>
      </c>
    </row>
    <row r="6324" spans="1:7" x14ac:dyDescent="0.35">
      <c r="A6324" t="s">
        <v>847</v>
      </c>
      <c r="B6324" t="s">
        <v>680</v>
      </c>
      <c r="C6324" s="83">
        <v>46260</v>
      </c>
      <c r="D6324" t="s">
        <v>685</v>
      </c>
      <c r="E6324" t="s">
        <v>312</v>
      </c>
      <c r="F6324">
        <v>4</v>
      </c>
      <c r="G6324">
        <v>0.50676666666666703</v>
      </c>
    </row>
    <row r="6325" spans="1:7" x14ac:dyDescent="0.35">
      <c r="A6325" t="s">
        <v>847</v>
      </c>
      <c r="B6325" t="s">
        <v>680</v>
      </c>
      <c r="C6325" s="83">
        <v>46260</v>
      </c>
      <c r="D6325" t="s">
        <v>682</v>
      </c>
      <c r="E6325" t="s">
        <v>312</v>
      </c>
      <c r="F6325">
        <v>5</v>
      </c>
      <c r="G6325">
        <v>1.5007333333333299</v>
      </c>
    </row>
    <row r="6326" spans="1:7" x14ac:dyDescent="0.35">
      <c r="A6326" t="s">
        <v>847</v>
      </c>
      <c r="B6326" t="s">
        <v>680</v>
      </c>
      <c r="C6326" s="83">
        <v>46260</v>
      </c>
      <c r="D6326" t="s">
        <v>682</v>
      </c>
      <c r="E6326" t="s">
        <v>725</v>
      </c>
      <c r="F6326">
        <v>3</v>
      </c>
      <c r="G6326">
        <v>0.82668333333333299</v>
      </c>
    </row>
    <row r="6327" spans="1:7" x14ac:dyDescent="0.35">
      <c r="A6327" t="s">
        <v>847</v>
      </c>
      <c r="B6327" t="s">
        <v>680</v>
      </c>
      <c r="C6327" s="83">
        <v>46260</v>
      </c>
      <c r="D6327" t="s">
        <v>682</v>
      </c>
      <c r="E6327" t="s">
        <v>720</v>
      </c>
      <c r="F6327">
        <v>3</v>
      </c>
      <c r="G6327">
        <v>0.66648333333333298</v>
      </c>
    </row>
    <row r="6328" spans="1:7" x14ac:dyDescent="0.35">
      <c r="A6328" t="s">
        <v>847</v>
      </c>
      <c r="B6328" t="s">
        <v>680</v>
      </c>
      <c r="C6328" s="83">
        <v>46260</v>
      </c>
      <c r="D6328" t="s">
        <v>686</v>
      </c>
      <c r="E6328" t="s">
        <v>790</v>
      </c>
      <c r="F6328">
        <v>5</v>
      </c>
      <c r="G6328">
        <v>3.34585</v>
      </c>
    </row>
    <row r="6329" spans="1:7" x14ac:dyDescent="0.35">
      <c r="A6329" t="s">
        <v>847</v>
      </c>
      <c r="B6329" t="s">
        <v>680</v>
      </c>
      <c r="C6329" s="83">
        <v>46260</v>
      </c>
      <c r="D6329" t="s">
        <v>686</v>
      </c>
      <c r="E6329" t="s">
        <v>789</v>
      </c>
      <c r="F6329">
        <v>4</v>
      </c>
      <c r="G6329">
        <v>2.31915</v>
      </c>
    </row>
    <row r="6330" spans="1:7" x14ac:dyDescent="0.35">
      <c r="A6330" t="s">
        <v>847</v>
      </c>
      <c r="B6330" t="s">
        <v>680</v>
      </c>
      <c r="C6330" s="83">
        <v>46260</v>
      </c>
      <c r="D6330" t="s">
        <v>686</v>
      </c>
      <c r="E6330" t="s">
        <v>791</v>
      </c>
      <c r="F6330">
        <v>4</v>
      </c>
      <c r="G6330">
        <v>5.8347833333333297</v>
      </c>
    </row>
    <row r="6331" spans="1:7" x14ac:dyDescent="0.35">
      <c r="A6331" t="s">
        <v>847</v>
      </c>
      <c r="B6331" t="s">
        <v>680</v>
      </c>
      <c r="C6331" s="83">
        <v>46261</v>
      </c>
      <c r="D6331" t="s">
        <v>681</v>
      </c>
      <c r="E6331" t="s">
        <v>296</v>
      </c>
      <c r="F6331">
        <v>48</v>
      </c>
      <c r="G6331">
        <v>18.872866666666699</v>
      </c>
    </row>
    <row r="6332" spans="1:7" x14ac:dyDescent="0.35">
      <c r="A6332" t="s">
        <v>847</v>
      </c>
      <c r="B6332" t="s">
        <v>680</v>
      </c>
      <c r="C6332" s="83">
        <v>46261</v>
      </c>
      <c r="D6332" t="s">
        <v>681</v>
      </c>
      <c r="E6332" t="s">
        <v>298</v>
      </c>
      <c r="F6332">
        <v>37</v>
      </c>
      <c r="G6332">
        <v>58.203566666666703</v>
      </c>
    </row>
    <row r="6333" spans="1:7" x14ac:dyDescent="0.35">
      <c r="A6333" t="s">
        <v>847</v>
      </c>
      <c r="B6333" t="s">
        <v>680</v>
      </c>
      <c r="C6333" s="83">
        <v>46261</v>
      </c>
      <c r="D6333" t="s">
        <v>681</v>
      </c>
      <c r="E6333" t="s">
        <v>304</v>
      </c>
      <c r="F6333">
        <v>3</v>
      </c>
      <c r="G6333">
        <v>1.1736</v>
      </c>
    </row>
    <row r="6334" spans="1:7" x14ac:dyDescent="0.35">
      <c r="A6334" t="s">
        <v>847</v>
      </c>
      <c r="B6334" t="s">
        <v>680</v>
      </c>
      <c r="C6334" s="83">
        <v>46261</v>
      </c>
      <c r="D6334" t="s">
        <v>683</v>
      </c>
      <c r="E6334" t="s">
        <v>298</v>
      </c>
      <c r="F6334">
        <v>13</v>
      </c>
      <c r="G6334">
        <v>13.0176</v>
      </c>
    </row>
    <row r="6335" spans="1:7" x14ac:dyDescent="0.35">
      <c r="A6335" t="s">
        <v>847</v>
      </c>
      <c r="B6335" t="s">
        <v>680</v>
      </c>
      <c r="C6335" s="83">
        <v>46261</v>
      </c>
      <c r="D6335" t="s">
        <v>683</v>
      </c>
      <c r="E6335" t="s">
        <v>332</v>
      </c>
      <c r="F6335">
        <v>10</v>
      </c>
      <c r="G6335">
        <v>11.002466666666701</v>
      </c>
    </row>
    <row r="6336" spans="1:7" x14ac:dyDescent="0.35">
      <c r="A6336" t="s">
        <v>847</v>
      </c>
      <c r="B6336" t="s">
        <v>680</v>
      </c>
      <c r="C6336" s="83">
        <v>46261</v>
      </c>
      <c r="D6336" t="s">
        <v>683</v>
      </c>
      <c r="E6336" t="s">
        <v>297</v>
      </c>
      <c r="F6336">
        <v>6</v>
      </c>
      <c r="G6336">
        <v>5.1678666666666704</v>
      </c>
    </row>
    <row r="6337" spans="1:7" x14ac:dyDescent="0.35">
      <c r="A6337" t="s">
        <v>847</v>
      </c>
      <c r="B6337" t="s">
        <v>680</v>
      </c>
      <c r="C6337" s="83">
        <v>46261</v>
      </c>
      <c r="D6337" t="s">
        <v>689</v>
      </c>
      <c r="E6337" t="s">
        <v>298</v>
      </c>
      <c r="F6337">
        <v>12</v>
      </c>
      <c r="G6337">
        <v>8.3028999999999993</v>
      </c>
    </row>
    <row r="6338" spans="1:7" x14ac:dyDescent="0.35">
      <c r="A6338" t="s">
        <v>847</v>
      </c>
      <c r="B6338" t="s">
        <v>680</v>
      </c>
      <c r="C6338" s="83">
        <v>46261</v>
      </c>
      <c r="D6338" t="s">
        <v>689</v>
      </c>
      <c r="E6338" t="s">
        <v>296</v>
      </c>
      <c r="F6338">
        <v>9</v>
      </c>
      <c r="G6338">
        <v>4.8221999999999996</v>
      </c>
    </row>
    <row r="6339" spans="1:7" x14ac:dyDescent="0.35">
      <c r="A6339" t="s">
        <v>847</v>
      </c>
      <c r="B6339" t="s">
        <v>680</v>
      </c>
      <c r="C6339" s="83">
        <v>46261</v>
      </c>
      <c r="D6339" t="s">
        <v>689</v>
      </c>
      <c r="E6339" t="s">
        <v>334</v>
      </c>
      <c r="F6339">
        <v>6</v>
      </c>
      <c r="G6339">
        <v>6.1749000000000001</v>
      </c>
    </row>
    <row r="6340" spans="1:7" x14ac:dyDescent="0.35">
      <c r="A6340" t="s">
        <v>847</v>
      </c>
      <c r="B6340" t="s">
        <v>680</v>
      </c>
      <c r="C6340" s="83">
        <v>46261</v>
      </c>
      <c r="D6340" t="s">
        <v>684</v>
      </c>
      <c r="E6340" t="s">
        <v>300</v>
      </c>
      <c r="F6340">
        <v>5</v>
      </c>
      <c r="G6340">
        <v>1.67405</v>
      </c>
    </row>
    <row r="6341" spans="1:7" x14ac:dyDescent="0.35">
      <c r="A6341" t="s">
        <v>847</v>
      </c>
      <c r="B6341" t="s">
        <v>680</v>
      </c>
      <c r="C6341" s="83">
        <v>46261</v>
      </c>
      <c r="D6341" t="s">
        <v>684</v>
      </c>
      <c r="E6341" t="s">
        <v>297</v>
      </c>
      <c r="F6341">
        <v>4</v>
      </c>
      <c r="G6341">
        <v>0.49195</v>
      </c>
    </row>
    <row r="6342" spans="1:7" x14ac:dyDescent="0.35">
      <c r="A6342" t="s">
        <v>847</v>
      </c>
      <c r="B6342" t="s">
        <v>680</v>
      </c>
      <c r="C6342" s="83">
        <v>46261</v>
      </c>
      <c r="D6342" t="s">
        <v>684</v>
      </c>
      <c r="E6342" t="s">
        <v>298</v>
      </c>
      <c r="F6342">
        <v>4</v>
      </c>
      <c r="G6342">
        <v>3.0002833333333299</v>
      </c>
    </row>
    <row r="6343" spans="1:7" x14ac:dyDescent="0.35">
      <c r="A6343" t="s">
        <v>847</v>
      </c>
      <c r="B6343" t="s">
        <v>680</v>
      </c>
      <c r="C6343" s="83">
        <v>46261</v>
      </c>
      <c r="D6343" t="s">
        <v>687</v>
      </c>
      <c r="E6343" t="s">
        <v>717</v>
      </c>
      <c r="F6343">
        <v>3</v>
      </c>
      <c r="G6343">
        <v>0.66739999999999999</v>
      </c>
    </row>
    <row r="6344" spans="1:7" x14ac:dyDescent="0.35">
      <c r="A6344" t="s">
        <v>847</v>
      </c>
      <c r="B6344" t="s">
        <v>680</v>
      </c>
      <c r="C6344" s="83">
        <v>46261</v>
      </c>
      <c r="D6344" t="s">
        <v>687</v>
      </c>
      <c r="E6344" t="s">
        <v>726</v>
      </c>
      <c r="F6344">
        <v>3</v>
      </c>
      <c r="G6344">
        <v>2.6621666666666699</v>
      </c>
    </row>
    <row r="6345" spans="1:7" x14ac:dyDescent="0.35">
      <c r="A6345" t="s">
        <v>847</v>
      </c>
      <c r="B6345" t="s">
        <v>680</v>
      </c>
      <c r="C6345" s="83">
        <v>46261</v>
      </c>
      <c r="D6345" t="s">
        <v>687</v>
      </c>
      <c r="E6345" t="s">
        <v>733</v>
      </c>
      <c r="F6345">
        <v>2</v>
      </c>
      <c r="G6345">
        <v>1.6656166666666701</v>
      </c>
    </row>
    <row r="6346" spans="1:7" x14ac:dyDescent="0.35">
      <c r="A6346" t="s">
        <v>847</v>
      </c>
      <c r="B6346" t="s">
        <v>680</v>
      </c>
      <c r="C6346" s="83">
        <v>46261</v>
      </c>
      <c r="D6346" t="s">
        <v>688</v>
      </c>
      <c r="E6346" t="s">
        <v>311</v>
      </c>
      <c r="F6346">
        <v>15</v>
      </c>
      <c r="G6346">
        <v>10.4864333333333</v>
      </c>
    </row>
    <row r="6347" spans="1:7" x14ac:dyDescent="0.35">
      <c r="A6347" t="s">
        <v>847</v>
      </c>
      <c r="B6347" t="s">
        <v>680</v>
      </c>
      <c r="C6347" s="83">
        <v>46261</v>
      </c>
      <c r="D6347" t="s">
        <v>688</v>
      </c>
      <c r="E6347" t="s">
        <v>316</v>
      </c>
      <c r="F6347">
        <v>12</v>
      </c>
      <c r="G6347">
        <v>5.6585333333333301</v>
      </c>
    </row>
    <row r="6348" spans="1:7" x14ac:dyDescent="0.35">
      <c r="A6348" t="s">
        <v>847</v>
      </c>
      <c r="B6348" t="s">
        <v>680</v>
      </c>
      <c r="C6348" s="83">
        <v>46261</v>
      </c>
      <c r="D6348" t="s">
        <v>688</v>
      </c>
      <c r="E6348" t="s">
        <v>322</v>
      </c>
      <c r="F6348">
        <v>2</v>
      </c>
      <c r="G6348">
        <v>0.33365</v>
      </c>
    </row>
    <row r="6349" spans="1:7" x14ac:dyDescent="0.35">
      <c r="A6349" t="s">
        <v>847</v>
      </c>
      <c r="B6349" t="s">
        <v>680</v>
      </c>
      <c r="C6349" s="83">
        <v>46261</v>
      </c>
      <c r="D6349" t="s">
        <v>690</v>
      </c>
      <c r="E6349" t="s">
        <v>316</v>
      </c>
      <c r="F6349">
        <v>12</v>
      </c>
      <c r="G6349">
        <v>7.8097833333333302</v>
      </c>
    </row>
    <row r="6350" spans="1:7" x14ac:dyDescent="0.35">
      <c r="A6350" t="s">
        <v>847</v>
      </c>
      <c r="B6350" t="s">
        <v>680</v>
      </c>
      <c r="C6350" s="83">
        <v>46261</v>
      </c>
      <c r="D6350" t="s">
        <v>690</v>
      </c>
      <c r="E6350" t="s">
        <v>311</v>
      </c>
      <c r="F6350">
        <v>3</v>
      </c>
      <c r="G6350">
        <v>0.67368333333333297</v>
      </c>
    </row>
    <row r="6351" spans="1:7" x14ac:dyDescent="0.35">
      <c r="A6351" t="s">
        <v>847</v>
      </c>
      <c r="B6351" t="s">
        <v>680</v>
      </c>
      <c r="C6351" s="83">
        <v>46261</v>
      </c>
      <c r="D6351" t="s">
        <v>690</v>
      </c>
      <c r="E6351" t="s">
        <v>312</v>
      </c>
      <c r="F6351">
        <v>2</v>
      </c>
      <c r="G6351">
        <v>3.3323999999999998</v>
      </c>
    </row>
    <row r="6352" spans="1:7" x14ac:dyDescent="0.35">
      <c r="A6352" t="s">
        <v>847</v>
      </c>
      <c r="B6352" t="s">
        <v>680</v>
      </c>
      <c r="C6352" s="83">
        <v>46261</v>
      </c>
      <c r="D6352" t="s">
        <v>685</v>
      </c>
      <c r="E6352" t="s">
        <v>311</v>
      </c>
      <c r="F6352">
        <v>9</v>
      </c>
      <c r="G6352">
        <v>6.3271333333333297</v>
      </c>
    </row>
    <row r="6353" spans="1:7" x14ac:dyDescent="0.35">
      <c r="A6353" t="s">
        <v>847</v>
      </c>
      <c r="B6353" t="s">
        <v>680</v>
      </c>
      <c r="C6353" s="83">
        <v>46261</v>
      </c>
      <c r="D6353" t="s">
        <v>685</v>
      </c>
      <c r="E6353" t="s">
        <v>766</v>
      </c>
      <c r="F6353">
        <v>5</v>
      </c>
      <c r="G6353">
        <v>4.5023</v>
      </c>
    </row>
    <row r="6354" spans="1:7" x14ac:dyDescent="0.35">
      <c r="A6354" t="s">
        <v>847</v>
      </c>
      <c r="B6354" t="s">
        <v>680</v>
      </c>
      <c r="C6354" s="83">
        <v>46261</v>
      </c>
      <c r="D6354" t="s">
        <v>685</v>
      </c>
      <c r="E6354" t="s">
        <v>321</v>
      </c>
      <c r="F6354">
        <v>4</v>
      </c>
      <c r="G6354">
        <v>2.4847666666666699</v>
      </c>
    </row>
    <row r="6355" spans="1:7" x14ac:dyDescent="0.35">
      <c r="A6355" t="s">
        <v>847</v>
      </c>
      <c r="B6355" t="s">
        <v>680</v>
      </c>
      <c r="C6355" s="83">
        <v>46261</v>
      </c>
      <c r="D6355" t="s">
        <v>682</v>
      </c>
      <c r="E6355" t="s">
        <v>311</v>
      </c>
      <c r="F6355">
        <v>6</v>
      </c>
      <c r="G6355">
        <v>8.4948333333333306</v>
      </c>
    </row>
    <row r="6356" spans="1:7" x14ac:dyDescent="0.35">
      <c r="A6356" t="s">
        <v>847</v>
      </c>
      <c r="B6356" t="s">
        <v>680</v>
      </c>
      <c r="C6356" s="83">
        <v>46261</v>
      </c>
      <c r="D6356" t="s">
        <v>682</v>
      </c>
      <c r="E6356" t="s">
        <v>778</v>
      </c>
      <c r="F6356">
        <v>4</v>
      </c>
      <c r="G6356">
        <v>3.6672333333333298</v>
      </c>
    </row>
    <row r="6357" spans="1:7" x14ac:dyDescent="0.35">
      <c r="A6357" t="s">
        <v>847</v>
      </c>
      <c r="B6357" t="s">
        <v>680</v>
      </c>
      <c r="C6357" s="83">
        <v>46261</v>
      </c>
      <c r="D6357" t="s">
        <v>682</v>
      </c>
      <c r="E6357" t="s">
        <v>319</v>
      </c>
      <c r="F6357">
        <v>2</v>
      </c>
      <c r="G6357">
        <v>2.8331</v>
      </c>
    </row>
    <row r="6358" spans="1:7" x14ac:dyDescent="0.35">
      <c r="A6358" t="s">
        <v>847</v>
      </c>
      <c r="B6358" t="s">
        <v>680</v>
      </c>
      <c r="C6358" s="83">
        <v>46261</v>
      </c>
      <c r="D6358" t="s">
        <v>686</v>
      </c>
      <c r="E6358" t="s">
        <v>804</v>
      </c>
      <c r="F6358">
        <v>4</v>
      </c>
      <c r="G6358">
        <v>1.1588166666666699</v>
      </c>
    </row>
    <row r="6359" spans="1:7" x14ac:dyDescent="0.35">
      <c r="A6359" t="s">
        <v>847</v>
      </c>
      <c r="B6359" t="s">
        <v>680</v>
      </c>
      <c r="C6359" s="83">
        <v>46261</v>
      </c>
      <c r="D6359" t="s">
        <v>686</v>
      </c>
      <c r="E6359" t="s">
        <v>554</v>
      </c>
      <c r="F6359">
        <v>2</v>
      </c>
      <c r="G6359">
        <v>0.50055000000000005</v>
      </c>
    </row>
    <row r="6360" spans="1:7" x14ac:dyDescent="0.35">
      <c r="A6360" t="s">
        <v>847</v>
      </c>
      <c r="B6360" t="s">
        <v>680</v>
      </c>
      <c r="C6360" s="83">
        <v>46261</v>
      </c>
      <c r="D6360" t="s">
        <v>686</v>
      </c>
      <c r="E6360" t="s">
        <v>790</v>
      </c>
      <c r="F6360">
        <v>2</v>
      </c>
      <c r="G6360">
        <v>0.66678333333333295</v>
      </c>
    </row>
    <row r="6361" spans="1:7" x14ac:dyDescent="0.35">
      <c r="A6361" t="s">
        <v>847</v>
      </c>
      <c r="B6361" t="s">
        <v>680</v>
      </c>
      <c r="C6361" s="83">
        <v>46262</v>
      </c>
      <c r="D6361" t="s">
        <v>681</v>
      </c>
      <c r="E6361" t="s">
        <v>296</v>
      </c>
      <c r="F6361">
        <v>5</v>
      </c>
      <c r="G6361">
        <v>5.8337333333333303</v>
      </c>
    </row>
    <row r="6362" spans="1:7" x14ac:dyDescent="0.35">
      <c r="A6362" t="s">
        <v>847</v>
      </c>
      <c r="B6362" t="s">
        <v>680</v>
      </c>
      <c r="C6362" s="83">
        <v>46262</v>
      </c>
      <c r="D6362" t="s">
        <v>681</v>
      </c>
      <c r="E6362" t="s">
        <v>334</v>
      </c>
      <c r="F6362">
        <v>4</v>
      </c>
      <c r="G6362">
        <v>2.6578499999999998</v>
      </c>
    </row>
    <row r="6363" spans="1:7" x14ac:dyDescent="0.35">
      <c r="A6363" t="s">
        <v>847</v>
      </c>
      <c r="B6363" t="s">
        <v>680</v>
      </c>
      <c r="C6363" s="83">
        <v>46262</v>
      </c>
      <c r="D6363" t="s">
        <v>681</v>
      </c>
      <c r="E6363" t="s">
        <v>298</v>
      </c>
      <c r="F6363">
        <v>4</v>
      </c>
      <c r="G6363">
        <v>26.619583333333299</v>
      </c>
    </row>
    <row r="6364" spans="1:7" x14ac:dyDescent="0.35">
      <c r="A6364" t="s">
        <v>847</v>
      </c>
      <c r="B6364" t="s">
        <v>680</v>
      </c>
      <c r="C6364" s="83">
        <v>46262</v>
      </c>
      <c r="D6364" t="s">
        <v>683</v>
      </c>
      <c r="E6364" t="s">
        <v>296</v>
      </c>
      <c r="F6364">
        <v>5</v>
      </c>
      <c r="G6364">
        <v>2.0140166666666701</v>
      </c>
    </row>
    <row r="6365" spans="1:7" x14ac:dyDescent="0.35">
      <c r="A6365" t="s">
        <v>847</v>
      </c>
      <c r="B6365" t="s">
        <v>680</v>
      </c>
      <c r="C6365" s="83">
        <v>46262</v>
      </c>
      <c r="D6365" t="s">
        <v>683</v>
      </c>
      <c r="E6365" t="s">
        <v>332</v>
      </c>
      <c r="F6365">
        <v>4</v>
      </c>
      <c r="G6365">
        <v>2.3332666666666699</v>
      </c>
    </row>
    <row r="6366" spans="1:7" x14ac:dyDescent="0.35">
      <c r="A6366" t="s">
        <v>847</v>
      </c>
      <c r="B6366" t="s">
        <v>680</v>
      </c>
      <c r="C6366" s="83">
        <v>46262</v>
      </c>
      <c r="D6366" t="s">
        <v>683</v>
      </c>
      <c r="E6366" t="s">
        <v>297</v>
      </c>
      <c r="F6366">
        <v>2</v>
      </c>
      <c r="G6366">
        <v>0.82668333333333299</v>
      </c>
    </row>
    <row r="6367" spans="1:7" x14ac:dyDescent="0.35">
      <c r="A6367" t="s">
        <v>847</v>
      </c>
      <c r="B6367" t="s">
        <v>680</v>
      </c>
      <c r="C6367" s="83">
        <v>46262</v>
      </c>
      <c r="D6367" t="s">
        <v>689</v>
      </c>
      <c r="E6367" t="s">
        <v>298</v>
      </c>
      <c r="F6367">
        <v>4</v>
      </c>
      <c r="G6367">
        <v>0.67415000000000003</v>
      </c>
    </row>
    <row r="6368" spans="1:7" x14ac:dyDescent="0.35">
      <c r="A6368" t="s">
        <v>847</v>
      </c>
      <c r="B6368" t="s">
        <v>680</v>
      </c>
      <c r="C6368" s="83">
        <v>46262</v>
      </c>
      <c r="D6368" t="s">
        <v>689</v>
      </c>
      <c r="E6368" t="s">
        <v>304</v>
      </c>
      <c r="F6368">
        <v>2</v>
      </c>
      <c r="G6368">
        <v>0.32578333333333298</v>
      </c>
    </row>
    <row r="6369" spans="1:7" x14ac:dyDescent="0.35">
      <c r="A6369" t="s">
        <v>847</v>
      </c>
      <c r="B6369" t="s">
        <v>680</v>
      </c>
      <c r="C6369" s="83">
        <v>46262</v>
      </c>
      <c r="D6369" t="s">
        <v>689</v>
      </c>
      <c r="E6369" t="s">
        <v>818</v>
      </c>
      <c r="F6369">
        <v>2</v>
      </c>
      <c r="G6369">
        <v>37.39705</v>
      </c>
    </row>
    <row r="6370" spans="1:7" x14ac:dyDescent="0.35">
      <c r="A6370" t="s">
        <v>847</v>
      </c>
      <c r="B6370" t="s">
        <v>680</v>
      </c>
      <c r="C6370" s="83">
        <v>46262</v>
      </c>
      <c r="D6370" t="s">
        <v>684</v>
      </c>
      <c r="E6370" t="s">
        <v>764</v>
      </c>
      <c r="F6370">
        <v>2</v>
      </c>
      <c r="G6370">
        <v>33.736816666666698</v>
      </c>
    </row>
    <row r="6371" spans="1:7" x14ac:dyDescent="0.35">
      <c r="A6371" t="s">
        <v>847</v>
      </c>
      <c r="B6371" t="s">
        <v>680</v>
      </c>
      <c r="C6371" s="83">
        <v>46262</v>
      </c>
      <c r="D6371" t="s">
        <v>684</v>
      </c>
      <c r="E6371" t="s">
        <v>297</v>
      </c>
      <c r="F6371">
        <v>2</v>
      </c>
      <c r="G6371">
        <v>0.166566666666667</v>
      </c>
    </row>
    <row r="6372" spans="1:7" x14ac:dyDescent="0.35">
      <c r="A6372" t="s">
        <v>847</v>
      </c>
      <c r="B6372" t="s">
        <v>680</v>
      </c>
      <c r="C6372" s="83">
        <v>46262</v>
      </c>
      <c r="D6372" t="s">
        <v>684</v>
      </c>
      <c r="E6372" t="s">
        <v>296</v>
      </c>
      <c r="F6372">
        <v>2</v>
      </c>
      <c r="G6372">
        <v>2.17316666666667</v>
      </c>
    </row>
    <row r="6373" spans="1:7" x14ac:dyDescent="0.35">
      <c r="A6373" t="s">
        <v>847</v>
      </c>
      <c r="B6373" t="s">
        <v>680</v>
      </c>
      <c r="C6373" s="83">
        <v>46262</v>
      </c>
      <c r="D6373" t="s">
        <v>687</v>
      </c>
      <c r="E6373" t="s">
        <v>758</v>
      </c>
      <c r="F6373">
        <v>2</v>
      </c>
      <c r="G6373">
        <v>10.173633333333299</v>
      </c>
    </row>
    <row r="6374" spans="1:7" x14ac:dyDescent="0.35">
      <c r="A6374" t="s">
        <v>847</v>
      </c>
      <c r="B6374" t="s">
        <v>680</v>
      </c>
      <c r="C6374" s="83">
        <v>46262</v>
      </c>
      <c r="D6374" t="s">
        <v>687</v>
      </c>
      <c r="E6374" t="s">
        <v>762</v>
      </c>
      <c r="F6374">
        <v>2</v>
      </c>
      <c r="G6374">
        <v>2.6681833333333298</v>
      </c>
    </row>
    <row r="6375" spans="1:7" x14ac:dyDescent="0.35">
      <c r="A6375" t="s">
        <v>847</v>
      </c>
      <c r="B6375" t="s">
        <v>680</v>
      </c>
      <c r="C6375" s="83">
        <v>46262</v>
      </c>
      <c r="D6375" t="s">
        <v>688</v>
      </c>
      <c r="E6375" t="s">
        <v>316</v>
      </c>
      <c r="F6375">
        <v>7</v>
      </c>
      <c r="G6375">
        <v>2.1605666666666701</v>
      </c>
    </row>
    <row r="6376" spans="1:7" x14ac:dyDescent="0.35">
      <c r="A6376" t="s">
        <v>847</v>
      </c>
      <c r="B6376" t="s">
        <v>680</v>
      </c>
      <c r="C6376" s="83">
        <v>46262</v>
      </c>
      <c r="D6376" t="s">
        <v>688</v>
      </c>
      <c r="E6376" t="s">
        <v>311</v>
      </c>
      <c r="F6376">
        <v>2</v>
      </c>
      <c r="G6376">
        <v>3.4930333333333299</v>
      </c>
    </row>
    <row r="6377" spans="1:7" x14ac:dyDescent="0.35">
      <c r="A6377" t="s">
        <v>847</v>
      </c>
      <c r="B6377" t="s">
        <v>680</v>
      </c>
      <c r="C6377" s="83">
        <v>46262</v>
      </c>
      <c r="D6377" t="s">
        <v>688</v>
      </c>
      <c r="E6377" t="s">
        <v>720</v>
      </c>
      <c r="F6377">
        <v>2</v>
      </c>
      <c r="G6377">
        <v>6.0008666666666697</v>
      </c>
    </row>
    <row r="6378" spans="1:7" x14ac:dyDescent="0.35">
      <c r="A6378" t="s">
        <v>847</v>
      </c>
      <c r="B6378" t="s">
        <v>680</v>
      </c>
      <c r="C6378" s="83">
        <v>46262</v>
      </c>
      <c r="D6378" t="s">
        <v>690</v>
      </c>
      <c r="E6378" t="s">
        <v>311</v>
      </c>
      <c r="F6378">
        <v>3</v>
      </c>
      <c r="G6378">
        <v>1.33981666666667</v>
      </c>
    </row>
    <row r="6379" spans="1:7" x14ac:dyDescent="0.35">
      <c r="A6379" t="s">
        <v>847</v>
      </c>
      <c r="B6379" t="s">
        <v>680</v>
      </c>
      <c r="C6379" s="83">
        <v>46262</v>
      </c>
      <c r="D6379" t="s">
        <v>690</v>
      </c>
      <c r="E6379" t="s">
        <v>720</v>
      </c>
      <c r="F6379">
        <v>2</v>
      </c>
      <c r="G6379">
        <v>0.66706666666666703</v>
      </c>
    </row>
    <row r="6380" spans="1:7" x14ac:dyDescent="0.35">
      <c r="A6380" t="s">
        <v>847</v>
      </c>
      <c r="B6380" t="s">
        <v>680</v>
      </c>
      <c r="C6380" s="83">
        <v>46262</v>
      </c>
      <c r="D6380" t="s">
        <v>685</v>
      </c>
      <c r="E6380" t="s">
        <v>321</v>
      </c>
      <c r="F6380">
        <v>2</v>
      </c>
      <c r="G6380">
        <v>7.4993833333333297</v>
      </c>
    </row>
    <row r="6381" spans="1:7" x14ac:dyDescent="0.35">
      <c r="A6381" t="s">
        <v>847</v>
      </c>
      <c r="B6381" t="s">
        <v>680</v>
      </c>
      <c r="C6381" s="83">
        <v>46262</v>
      </c>
      <c r="D6381" t="s">
        <v>685</v>
      </c>
      <c r="E6381" t="s">
        <v>311</v>
      </c>
      <c r="F6381">
        <v>2</v>
      </c>
      <c r="G6381">
        <v>2.66658333333333</v>
      </c>
    </row>
    <row r="6382" spans="1:7" x14ac:dyDescent="0.35">
      <c r="A6382" t="s">
        <v>847</v>
      </c>
      <c r="B6382" t="s">
        <v>680</v>
      </c>
      <c r="C6382" s="83">
        <v>46262</v>
      </c>
      <c r="D6382" t="s">
        <v>682</v>
      </c>
      <c r="E6382" t="s">
        <v>808</v>
      </c>
      <c r="F6382">
        <v>4</v>
      </c>
      <c r="G6382">
        <v>31.342033333333301</v>
      </c>
    </row>
    <row r="6383" spans="1:7" x14ac:dyDescent="0.35">
      <c r="A6383" t="s">
        <v>847</v>
      </c>
      <c r="B6383" t="s">
        <v>680</v>
      </c>
      <c r="C6383" s="83">
        <v>46262</v>
      </c>
      <c r="D6383" t="s">
        <v>682</v>
      </c>
      <c r="E6383" t="s">
        <v>316</v>
      </c>
      <c r="F6383">
        <v>3</v>
      </c>
      <c r="G6383">
        <v>0.49993333333333301</v>
      </c>
    </row>
    <row r="6384" spans="1:7" x14ac:dyDescent="0.35">
      <c r="A6384" t="s">
        <v>847</v>
      </c>
      <c r="B6384" t="s">
        <v>680</v>
      </c>
      <c r="C6384" s="83">
        <v>46262</v>
      </c>
      <c r="D6384" t="s">
        <v>682</v>
      </c>
      <c r="E6384" t="s">
        <v>732</v>
      </c>
      <c r="F6384">
        <v>3</v>
      </c>
      <c r="G6384">
        <v>2.3195999999999999</v>
      </c>
    </row>
    <row r="6385" spans="1:7" x14ac:dyDescent="0.35">
      <c r="A6385" t="s">
        <v>847</v>
      </c>
      <c r="B6385" t="s">
        <v>680</v>
      </c>
      <c r="C6385" s="83">
        <v>46262</v>
      </c>
      <c r="D6385" t="s">
        <v>686</v>
      </c>
      <c r="E6385" t="s">
        <v>819</v>
      </c>
      <c r="F6385">
        <v>2</v>
      </c>
      <c r="G6385">
        <v>0.99461666666666704</v>
      </c>
    </row>
    <row r="6386" spans="1:7" x14ac:dyDescent="0.35">
      <c r="A6386" t="s">
        <v>847</v>
      </c>
      <c r="B6386" t="s">
        <v>680</v>
      </c>
      <c r="C6386" s="83">
        <v>46262</v>
      </c>
      <c r="D6386" t="s">
        <v>686</v>
      </c>
      <c r="E6386" t="s">
        <v>794</v>
      </c>
      <c r="F6386">
        <v>1</v>
      </c>
      <c r="G6386">
        <v>70.630799999999994</v>
      </c>
    </row>
    <row r="6387" spans="1:7" x14ac:dyDescent="0.35">
      <c r="A6387" t="s">
        <v>847</v>
      </c>
      <c r="B6387" t="s">
        <v>680</v>
      </c>
      <c r="C6387" s="83">
        <v>46263</v>
      </c>
      <c r="D6387" t="s">
        <v>681</v>
      </c>
      <c r="E6387" t="s">
        <v>820</v>
      </c>
      <c r="F6387">
        <v>4</v>
      </c>
      <c r="G6387">
        <v>1.17458333333333</v>
      </c>
    </row>
    <row r="6388" spans="1:7" x14ac:dyDescent="0.35">
      <c r="A6388" t="s">
        <v>847</v>
      </c>
      <c r="B6388" t="s">
        <v>680</v>
      </c>
      <c r="C6388" s="83">
        <v>46263</v>
      </c>
      <c r="D6388" t="s">
        <v>681</v>
      </c>
      <c r="E6388" t="s">
        <v>747</v>
      </c>
      <c r="F6388">
        <v>2</v>
      </c>
      <c r="G6388">
        <v>1.49983333333333</v>
      </c>
    </row>
    <row r="6389" spans="1:7" x14ac:dyDescent="0.35">
      <c r="A6389" t="s">
        <v>847</v>
      </c>
      <c r="B6389" t="s">
        <v>680</v>
      </c>
      <c r="C6389" s="83">
        <v>46263</v>
      </c>
      <c r="D6389" t="s">
        <v>681</v>
      </c>
      <c r="E6389" t="s">
        <v>296</v>
      </c>
      <c r="F6389">
        <v>2</v>
      </c>
      <c r="G6389">
        <v>0.16685</v>
      </c>
    </row>
    <row r="6390" spans="1:7" x14ac:dyDescent="0.35">
      <c r="A6390" t="s">
        <v>847</v>
      </c>
      <c r="B6390" t="s">
        <v>680</v>
      </c>
      <c r="C6390" s="83">
        <v>46263</v>
      </c>
      <c r="D6390" t="s">
        <v>683</v>
      </c>
      <c r="E6390" t="s">
        <v>727</v>
      </c>
      <c r="F6390">
        <v>4</v>
      </c>
      <c r="G6390">
        <v>1.5008999999999999</v>
      </c>
    </row>
    <row r="6391" spans="1:7" x14ac:dyDescent="0.35">
      <c r="A6391" t="s">
        <v>847</v>
      </c>
      <c r="B6391" t="s">
        <v>680</v>
      </c>
      <c r="C6391" s="83">
        <v>46263</v>
      </c>
      <c r="D6391" t="s">
        <v>683</v>
      </c>
      <c r="E6391" t="s">
        <v>334</v>
      </c>
      <c r="F6391">
        <v>4</v>
      </c>
      <c r="G6391">
        <v>1.6679999999999999</v>
      </c>
    </row>
    <row r="6392" spans="1:7" x14ac:dyDescent="0.35">
      <c r="A6392" t="s">
        <v>847</v>
      </c>
      <c r="B6392" t="s">
        <v>680</v>
      </c>
      <c r="C6392" s="83">
        <v>46263</v>
      </c>
      <c r="D6392" t="s">
        <v>683</v>
      </c>
      <c r="E6392" t="s">
        <v>332</v>
      </c>
      <c r="F6392">
        <v>4</v>
      </c>
      <c r="G6392">
        <v>1.67516666666667</v>
      </c>
    </row>
    <row r="6393" spans="1:7" x14ac:dyDescent="0.35">
      <c r="A6393" t="s">
        <v>847</v>
      </c>
      <c r="B6393" t="s">
        <v>680</v>
      </c>
      <c r="C6393" s="83">
        <v>46263</v>
      </c>
      <c r="D6393" t="s">
        <v>689</v>
      </c>
      <c r="E6393" t="s">
        <v>296</v>
      </c>
      <c r="F6393">
        <v>7</v>
      </c>
      <c r="G6393">
        <v>2.5012500000000002</v>
      </c>
    </row>
    <row r="6394" spans="1:7" x14ac:dyDescent="0.35">
      <c r="A6394" t="s">
        <v>847</v>
      </c>
      <c r="B6394" t="s">
        <v>680</v>
      </c>
      <c r="C6394" s="83">
        <v>46263</v>
      </c>
      <c r="D6394" t="s">
        <v>689</v>
      </c>
      <c r="E6394" t="s">
        <v>297</v>
      </c>
      <c r="F6394">
        <v>4</v>
      </c>
      <c r="G6394">
        <v>1.6584000000000001</v>
      </c>
    </row>
    <row r="6395" spans="1:7" x14ac:dyDescent="0.35">
      <c r="A6395" t="s">
        <v>847</v>
      </c>
      <c r="B6395" t="s">
        <v>680</v>
      </c>
      <c r="C6395" s="83">
        <v>46263</v>
      </c>
      <c r="D6395" t="s">
        <v>689</v>
      </c>
      <c r="E6395" t="s">
        <v>304</v>
      </c>
      <c r="F6395">
        <v>2</v>
      </c>
      <c r="G6395">
        <v>1.1659333333333299</v>
      </c>
    </row>
    <row r="6396" spans="1:7" x14ac:dyDescent="0.35">
      <c r="A6396" t="s">
        <v>847</v>
      </c>
      <c r="B6396" t="s">
        <v>680</v>
      </c>
      <c r="C6396" s="83">
        <v>46263</v>
      </c>
      <c r="D6396" t="s">
        <v>684</v>
      </c>
      <c r="E6396" t="s">
        <v>727</v>
      </c>
      <c r="F6396">
        <v>4</v>
      </c>
      <c r="G6396">
        <v>1.00026666666667</v>
      </c>
    </row>
    <row r="6397" spans="1:7" x14ac:dyDescent="0.35">
      <c r="A6397" t="s">
        <v>847</v>
      </c>
      <c r="B6397" t="s">
        <v>680</v>
      </c>
      <c r="C6397" s="83">
        <v>46263</v>
      </c>
      <c r="D6397" t="s">
        <v>684</v>
      </c>
      <c r="E6397" t="s">
        <v>334</v>
      </c>
      <c r="F6397">
        <v>2</v>
      </c>
      <c r="G6397">
        <v>1.6669166666666699</v>
      </c>
    </row>
    <row r="6398" spans="1:7" x14ac:dyDescent="0.35">
      <c r="A6398" t="s">
        <v>847</v>
      </c>
      <c r="B6398" t="s">
        <v>680</v>
      </c>
      <c r="C6398" s="83">
        <v>46263</v>
      </c>
      <c r="D6398" t="s">
        <v>684</v>
      </c>
      <c r="E6398" t="s">
        <v>764</v>
      </c>
      <c r="F6398">
        <v>1</v>
      </c>
      <c r="G6398">
        <v>0.50033333333333296</v>
      </c>
    </row>
    <row r="6399" spans="1:7" x14ac:dyDescent="0.35">
      <c r="A6399" t="s">
        <v>847</v>
      </c>
      <c r="B6399" t="s">
        <v>680</v>
      </c>
      <c r="C6399" s="83">
        <v>46263</v>
      </c>
      <c r="D6399" t="s">
        <v>687</v>
      </c>
      <c r="E6399" t="s">
        <v>729</v>
      </c>
      <c r="F6399">
        <v>3</v>
      </c>
      <c r="G6399">
        <v>3.1647500000000002</v>
      </c>
    </row>
    <row r="6400" spans="1:7" x14ac:dyDescent="0.35">
      <c r="A6400" t="s">
        <v>847</v>
      </c>
      <c r="B6400" t="s">
        <v>680</v>
      </c>
      <c r="C6400" s="83">
        <v>46263</v>
      </c>
      <c r="D6400" t="s">
        <v>687</v>
      </c>
      <c r="E6400" t="s">
        <v>767</v>
      </c>
      <c r="F6400">
        <v>3</v>
      </c>
      <c r="G6400">
        <v>2.6591833333333299</v>
      </c>
    </row>
    <row r="6401" spans="1:7" x14ac:dyDescent="0.35">
      <c r="A6401" t="s">
        <v>847</v>
      </c>
      <c r="B6401" t="s">
        <v>680</v>
      </c>
      <c r="C6401" s="83">
        <v>46263</v>
      </c>
      <c r="D6401" t="s">
        <v>688</v>
      </c>
      <c r="E6401" t="s">
        <v>312</v>
      </c>
      <c r="F6401">
        <v>3</v>
      </c>
      <c r="G6401">
        <v>6.1980166666666703</v>
      </c>
    </row>
    <row r="6402" spans="1:7" x14ac:dyDescent="0.35">
      <c r="A6402" t="s">
        <v>847</v>
      </c>
      <c r="B6402" t="s">
        <v>680</v>
      </c>
      <c r="C6402" s="83">
        <v>46263</v>
      </c>
      <c r="D6402" t="s">
        <v>688</v>
      </c>
      <c r="E6402" t="s">
        <v>321</v>
      </c>
      <c r="F6402">
        <v>2</v>
      </c>
      <c r="G6402">
        <v>2.6669999999999998</v>
      </c>
    </row>
    <row r="6403" spans="1:7" x14ac:dyDescent="0.35">
      <c r="A6403" t="s">
        <v>847</v>
      </c>
      <c r="B6403" t="s">
        <v>680</v>
      </c>
      <c r="C6403" s="83">
        <v>46263</v>
      </c>
      <c r="D6403" t="s">
        <v>688</v>
      </c>
      <c r="E6403" t="s">
        <v>319</v>
      </c>
      <c r="F6403">
        <v>2</v>
      </c>
      <c r="G6403">
        <v>32.169866666666699</v>
      </c>
    </row>
    <row r="6404" spans="1:7" x14ac:dyDescent="0.35">
      <c r="A6404" t="s">
        <v>847</v>
      </c>
      <c r="B6404" t="s">
        <v>680</v>
      </c>
      <c r="C6404" s="83">
        <v>46263</v>
      </c>
      <c r="D6404" t="s">
        <v>690</v>
      </c>
      <c r="E6404" t="s">
        <v>311</v>
      </c>
      <c r="F6404">
        <v>3</v>
      </c>
      <c r="G6404">
        <v>1.5015499999999999</v>
      </c>
    </row>
    <row r="6405" spans="1:7" x14ac:dyDescent="0.35">
      <c r="A6405" t="s">
        <v>847</v>
      </c>
      <c r="B6405" t="s">
        <v>680</v>
      </c>
      <c r="C6405" s="83">
        <v>46263</v>
      </c>
      <c r="D6405" t="s">
        <v>690</v>
      </c>
      <c r="E6405" t="s">
        <v>312</v>
      </c>
      <c r="F6405">
        <v>2</v>
      </c>
      <c r="G6405">
        <v>104.66915</v>
      </c>
    </row>
    <row r="6406" spans="1:7" x14ac:dyDescent="0.35">
      <c r="A6406" t="s">
        <v>847</v>
      </c>
      <c r="B6406" t="s">
        <v>680</v>
      </c>
      <c r="C6406" s="83">
        <v>46263</v>
      </c>
      <c r="D6406" t="s">
        <v>685</v>
      </c>
      <c r="E6406" t="s">
        <v>721</v>
      </c>
      <c r="F6406">
        <v>3</v>
      </c>
      <c r="G6406">
        <v>2.66536666666667</v>
      </c>
    </row>
    <row r="6407" spans="1:7" x14ac:dyDescent="0.35">
      <c r="A6407" t="s">
        <v>847</v>
      </c>
      <c r="B6407" t="s">
        <v>680</v>
      </c>
      <c r="C6407" s="83">
        <v>46263</v>
      </c>
      <c r="D6407" t="s">
        <v>685</v>
      </c>
      <c r="E6407" t="s">
        <v>311</v>
      </c>
      <c r="F6407">
        <v>2</v>
      </c>
      <c r="G6407">
        <v>0.84833333333333305</v>
      </c>
    </row>
    <row r="6408" spans="1:7" x14ac:dyDescent="0.35">
      <c r="A6408" t="s">
        <v>847</v>
      </c>
      <c r="B6408" t="s">
        <v>680</v>
      </c>
      <c r="C6408" s="83">
        <v>46263</v>
      </c>
      <c r="D6408" t="s">
        <v>685</v>
      </c>
      <c r="E6408" t="s">
        <v>821</v>
      </c>
      <c r="F6408">
        <v>2</v>
      </c>
      <c r="G6408">
        <v>0.83348333333333302</v>
      </c>
    </row>
    <row r="6409" spans="1:7" x14ac:dyDescent="0.35">
      <c r="A6409" t="s">
        <v>847</v>
      </c>
      <c r="B6409" t="s">
        <v>680</v>
      </c>
      <c r="C6409" s="83">
        <v>46263</v>
      </c>
      <c r="D6409" t="s">
        <v>682</v>
      </c>
      <c r="E6409" t="s">
        <v>725</v>
      </c>
      <c r="F6409">
        <v>2</v>
      </c>
      <c r="G6409">
        <v>0.33331666666666698</v>
      </c>
    </row>
    <row r="6410" spans="1:7" x14ac:dyDescent="0.35">
      <c r="A6410" t="s">
        <v>847</v>
      </c>
      <c r="B6410" t="s">
        <v>680</v>
      </c>
      <c r="C6410" s="83">
        <v>46263</v>
      </c>
      <c r="D6410" t="s">
        <v>682</v>
      </c>
      <c r="E6410" t="s">
        <v>720</v>
      </c>
      <c r="F6410">
        <v>2</v>
      </c>
      <c r="G6410">
        <v>0.34005000000000002</v>
      </c>
    </row>
    <row r="6411" spans="1:7" x14ac:dyDescent="0.35">
      <c r="A6411" t="s">
        <v>847</v>
      </c>
      <c r="B6411" t="s">
        <v>680</v>
      </c>
      <c r="C6411" s="83">
        <v>46263</v>
      </c>
      <c r="D6411" t="s">
        <v>686</v>
      </c>
      <c r="E6411" t="s">
        <v>554</v>
      </c>
      <c r="F6411">
        <v>2</v>
      </c>
      <c r="G6411">
        <v>0.32419999999999999</v>
      </c>
    </row>
    <row r="6412" spans="1:7" x14ac:dyDescent="0.35">
      <c r="A6412" t="s">
        <v>847</v>
      </c>
      <c r="B6412" t="s">
        <v>680</v>
      </c>
      <c r="C6412" s="83">
        <v>46264</v>
      </c>
      <c r="D6412" t="s">
        <v>681</v>
      </c>
      <c r="E6412" t="s">
        <v>296</v>
      </c>
      <c r="F6412">
        <v>19</v>
      </c>
      <c r="G6412">
        <v>11.669</v>
      </c>
    </row>
    <row r="6413" spans="1:7" x14ac:dyDescent="0.35">
      <c r="A6413" t="s">
        <v>847</v>
      </c>
      <c r="B6413" t="s">
        <v>680</v>
      </c>
      <c r="C6413" s="83">
        <v>46264</v>
      </c>
      <c r="D6413" t="s">
        <v>681</v>
      </c>
      <c r="E6413" t="s">
        <v>332</v>
      </c>
      <c r="F6413">
        <v>18</v>
      </c>
      <c r="G6413">
        <v>26.162983333333301</v>
      </c>
    </row>
    <row r="6414" spans="1:7" x14ac:dyDescent="0.35">
      <c r="A6414" t="s">
        <v>847</v>
      </c>
      <c r="B6414" t="s">
        <v>680</v>
      </c>
      <c r="C6414" s="83">
        <v>46264</v>
      </c>
      <c r="D6414" t="s">
        <v>681</v>
      </c>
      <c r="E6414" t="s">
        <v>298</v>
      </c>
      <c r="F6414">
        <v>12</v>
      </c>
      <c r="G6414">
        <v>13.327816666666701</v>
      </c>
    </row>
    <row r="6415" spans="1:7" x14ac:dyDescent="0.35">
      <c r="A6415" t="s">
        <v>847</v>
      </c>
      <c r="B6415" t="s">
        <v>680</v>
      </c>
      <c r="C6415" s="83">
        <v>46264</v>
      </c>
      <c r="D6415" t="s">
        <v>683</v>
      </c>
      <c r="E6415" t="s">
        <v>727</v>
      </c>
      <c r="F6415">
        <v>17</v>
      </c>
      <c r="G6415">
        <v>10.647783333333299</v>
      </c>
    </row>
    <row r="6416" spans="1:7" x14ac:dyDescent="0.35">
      <c r="A6416" t="s">
        <v>847</v>
      </c>
      <c r="B6416" t="s">
        <v>680</v>
      </c>
      <c r="C6416" s="83">
        <v>46264</v>
      </c>
      <c r="D6416" t="s">
        <v>683</v>
      </c>
      <c r="E6416" t="s">
        <v>298</v>
      </c>
      <c r="F6416">
        <v>15</v>
      </c>
      <c r="G6416">
        <v>16.1633</v>
      </c>
    </row>
    <row r="6417" spans="1:7" x14ac:dyDescent="0.35">
      <c r="A6417" t="s">
        <v>847</v>
      </c>
      <c r="B6417" t="s">
        <v>680</v>
      </c>
      <c r="C6417" s="83">
        <v>46264</v>
      </c>
      <c r="D6417" t="s">
        <v>683</v>
      </c>
      <c r="E6417" t="s">
        <v>297</v>
      </c>
      <c r="F6417">
        <v>10</v>
      </c>
      <c r="G6417">
        <v>2.8573666666666702</v>
      </c>
    </row>
    <row r="6418" spans="1:7" x14ac:dyDescent="0.35">
      <c r="A6418" t="s">
        <v>847</v>
      </c>
      <c r="B6418" t="s">
        <v>680</v>
      </c>
      <c r="C6418" s="83">
        <v>46264</v>
      </c>
      <c r="D6418" t="s">
        <v>689</v>
      </c>
      <c r="E6418" t="s">
        <v>296</v>
      </c>
      <c r="F6418">
        <v>70</v>
      </c>
      <c r="G6418">
        <v>61.348866666666702</v>
      </c>
    </row>
    <row r="6419" spans="1:7" x14ac:dyDescent="0.35">
      <c r="A6419" t="s">
        <v>847</v>
      </c>
      <c r="B6419" t="s">
        <v>680</v>
      </c>
      <c r="C6419" s="83">
        <v>46264</v>
      </c>
      <c r="D6419" t="s">
        <v>689</v>
      </c>
      <c r="E6419" t="s">
        <v>298</v>
      </c>
      <c r="F6419">
        <v>34</v>
      </c>
      <c r="G6419">
        <v>39.978183333333298</v>
      </c>
    </row>
    <row r="6420" spans="1:7" x14ac:dyDescent="0.35">
      <c r="A6420" t="s">
        <v>847</v>
      </c>
      <c r="B6420" t="s">
        <v>680</v>
      </c>
      <c r="C6420" s="83">
        <v>46264</v>
      </c>
      <c r="D6420" t="s">
        <v>689</v>
      </c>
      <c r="E6420" t="s">
        <v>297</v>
      </c>
      <c r="F6420">
        <v>9</v>
      </c>
      <c r="G6420">
        <v>2.32486666666667</v>
      </c>
    </row>
    <row r="6421" spans="1:7" x14ac:dyDescent="0.35">
      <c r="A6421" t="s">
        <v>847</v>
      </c>
      <c r="B6421" t="s">
        <v>680</v>
      </c>
      <c r="C6421" s="83">
        <v>46264</v>
      </c>
      <c r="D6421" t="s">
        <v>684</v>
      </c>
      <c r="E6421" t="s">
        <v>296</v>
      </c>
      <c r="F6421">
        <v>5</v>
      </c>
      <c r="G6421">
        <v>2.17455</v>
      </c>
    </row>
    <row r="6422" spans="1:7" x14ac:dyDescent="0.35">
      <c r="A6422" t="s">
        <v>847</v>
      </c>
      <c r="B6422" t="s">
        <v>680</v>
      </c>
      <c r="C6422" s="83">
        <v>46264</v>
      </c>
      <c r="D6422" t="s">
        <v>684</v>
      </c>
      <c r="E6422" t="s">
        <v>298</v>
      </c>
      <c r="F6422">
        <v>5</v>
      </c>
      <c r="G6422">
        <v>2.5019666666666698</v>
      </c>
    </row>
    <row r="6423" spans="1:7" x14ac:dyDescent="0.35">
      <c r="A6423" t="s">
        <v>847</v>
      </c>
      <c r="B6423" t="s">
        <v>680</v>
      </c>
      <c r="C6423" s="83">
        <v>46264</v>
      </c>
      <c r="D6423" t="s">
        <v>684</v>
      </c>
      <c r="E6423" t="s">
        <v>727</v>
      </c>
      <c r="F6423">
        <v>4</v>
      </c>
      <c r="G6423">
        <v>5.9959166666666697</v>
      </c>
    </row>
    <row r="6424" spans="1:7" x14ac:dyDescent="0.35">
      <c r="A6424" t="s">
        <v>847</v>
      </c>
      <c r="B6424" t="s">
        <v>680</v>
      </c>
      <c r="C6424" s="83">
        <v>46264</v>
      </c>
      <c r="D6424" t="s">
        <v>687</v>
      </c>
      <c r="E6424" t="s">
        <v>746</v>
      </c>
      <c r="F6424">
        <v>5</v>
      </c>
      <c r="G6424">
        <v>8.4984833333333292</v>
      </c>
    </row>
    <row r="6425" spans="1:7" x14ac:dyDescent="0.35">
      <c r="A6425" t="s">
        <v>847</v>
      </c>
      <c r="B6425" t="s">
        <v>680</v>
      </c>
      <c r="C6425" s="83">
        <v>46264</v>
      </c>
      <c r="D6425" t="s">
        <v>687</v>
      </c>
      <c r="E6425" t="s">
        <v>717</v>
      </c>
      <c r="F6425">
        <v>3</v>
      </c>
      <c r="G6425">
        <v>1.502</v>
      </c>
    </row>
    <row r="6426" spans="1:7" x14ac:dyDescent="0.35">
      <c r="A6426" t="s">
        <v>847</v>
      </c>
      <c r="B6426" t="s">
        <v>680</v>
      </c>
      <c r="C6426" s="83">
        <v>46264</v>
      </c>
      <c r="D6426" t="s">
        <v>687</v>
      </c>
      <c r="E6426" t="s">
        <v>729</v>
      </c>
      <c r="F6426">
        <v>2</v>
      </c>
      <c r="G6426">
        <v>0.33361666666666701</v>
      </c>
    </row>
    <row r="6427" spans="1:7" x14ac:dyDescent="0.35">
      <c r="A6427" t="s">
        <v>847</v>
      </c>
      <c r="B6427" t="s">
        <v>680</v>
      </c>
      <c r="C6427" s="83">
        <v>46264</v>
      </c>
      <c r="D6427" t="s">
        <v>688</v>
      </c>
      <c r="E6427" t="s">
        <v>312</v>
      </c>
      <c r="F6427">
        <v>17</v>
      </c>
      <c r="G6427">
        <v>8.8316666666666706</v>
      </c>
    </row>
    <row r="6428" spans="1:7" x14ac:dyDescent="0.35">
      <c r="A6428" t="s">
        <v>847</v>
      </c>
      <c r="B6428" t="s">
        <v>680</v>
      </c>
      <c r="C6428" s="83">
        <v>46264</v>
      </c>
      <c r="D6428" t="s">
        <v>688</v>
      </c>
      <c r="E6428" t="s">
        <v>720</v>
      </c>
      <c r="F6428">
        <v>13</v>
      </c>
      <c r="G6428">
        <v>7.3357999999999999</v>
      </c>
    </row>
    <row r="6429" spans="1:7" x14ac:dyDescent="0.35">
      <c r="A6429" t="s">
        <v>847</v>
      </c>
      <c r="B6429" t="s">
        <v>680</v>
      </c>
      <c r="C6429" s="83">
        <v>46264</v>
      </c>
      <c r="D6429" t="s">
        <v>688</v>
      </c>
      <c r="E6429" t="s">
        <v>316</v>
      </c>
      <c r="F6429">
        <v>10</v>
      </c>
      <c r="G6429">
        <v>7.3135333333333303</v>
      </c>
    </row>
    <row r="6430" spans="1:7" x14ac:dyDescent="0.35">
      <c r="A6430" t="s">
        <v>847</v>
      </c>
      <c r="B6430" t="s">
        <v>680</v>
      </c>
      <c r="C6430" s="83">
        <v>46264</v>
      </c>
      <c r="D6430" t="s">
        <v>690</v>
      </c>
      <c r="E6430" t="s">
        <v>720</v>
      </c>
      <c r="F6430">
        <v>14</v>
      </c>
      <c r="G6430">
        <v>18.350466666666701</v>
      </c>
    </row>
    <row r="6431" spans="1:7" x14ac:dyDescent="0.35">
      <c r="A6431" t="s">
        <v>847</v>
      </c>
      <c r="B6431" t="s">
        <v>680</v>
      </c>
      <c r="C6431" s="83">
        <v>46264</v>
      </c>
      <c r="D6431" t="s">
        <v>690</v>
      </c>
      <c r="E6431" t="s">
        <v>723</v>
      </c>
      <c r="F6431">
        <v>6</v>
      </c>
      <c r="G6431">
        <v>9.4941833333333303</v>
      </c>
    </row>
    <row r="6432" spans="1:7" x14ac:dyDescent="0.35">
      <c r="A6432" t="s">
        <v>847</v>
      </c>
      <c r="B6432" t="s">
        <v>680</v>
      </c>
      <c r="C6432" s="83">
        <v>46264</v>
      </c>
      <c r="D6432" t="s">
        <v>690</v>
      </c>
      <c r="E6432" t="s">
        <v>732</v>
      </c>
      <c r="F6432">
        <v>6</v>
      </c>
      <c r="G6432">
        <v>7.0015666666666698</v>
      </c>
    </row>
    <row r="6433" spans="1:7" x14ac:dyDescent="0.35">
      <c r="A6433" t="s">
        <v>847</v>
      </c>
      <c r="B6433" t="s">
        <v>680</v>
      </c>
      <c r="C6433" s="83">
        <v>46264</v>
      </c>
      <c r="D6433" t="s">
        <v>685</v>
      </c>
      <c r="E6433" t="s">
        <v>311</v>
      </c>
      <c r="F6433">
        <v>7</v>
      </c>
      <c r="G6433">
        <v>3.5027499999999998</v>
      </c>
    </row>
    <row r="6434" spans="1:7" x14ac:dyDescent="0.35">
      <c r="A6434" t="s">
        <v>847</v>
      </c>
      <c r="B6434" t="s">
        <v>680</v>
      </c>
      <c r="C6434" s="83">
        <v>46264</v>
      </c>
      <c r="D6434" t="s">
        <v>685</v>
      </c>
      <c r="E6434" t="s">
        <v>126</v>
      </c>
      <c r="F6434">
        <v>5</v>
      </c>
      <c r="G6434">
        <v>4.9961000000000002</v>
      </c>
    </row>
    <row r="6435" spans="1:7" x14ac:dyDescent="0.35">
      <c r="A6435" t="s">
        <v>847</v>
      </c>
      <c r="B6435" t="s">
        <v>680</v>
      </c>
      <c r="C6435" s="83">
        <v>46264</v>
      </c>
      <c r="D6435" t="s">
        <v>685</v>
      </c>
      <c r="E6435" t="s">
        <v>720</v>
      </c>
      <c r="F6435">
        <v>5</v>
      </c>
      <c r="G6435">
        <v>16.4937166666667</v>
      </c>
    </row>
    <row r="6436" spans="1:7" x14ac:dyDescent="0.35">
      <c r="A6436" t="s">
        <v>847</v>
      </c>
      <c r="B6436" t="s">
        <v>680</v>
      </c>
      <c r="C6436" s="83">
        <v>46264</v>
      </c>
      <c r="D6436" t="s">
        <v>682</v>
      </c>
      <c r="E6436" t="s">
        <v>311</v>
      </c>
      <c r="F6436">
        <v>6</v>
      </c>
      <c r="G6436">
        <v>4.6715999999999998</v>
      </c>
    </row>
    <row r="6437" spans="1:7" x14ac:dyDescent="0.35">
      <c r="A6437" t="s">
        <v>847</v>
      </c>
      <c r="B6437" t="s">
        <v>680</v>
      </c>
      <c r="C6437" s="83">
        <v>46264</v>
      </c>
      <c r="D6437" t="s">
        <v>682</v>
      </c>
      <c r="E6437" t="s">
        <v>720</v>
      </c>
      <c r="F6437">
        <v>6</v>
      </c>
      <c r="G6437">
        <v>128.69501666666699</v>
      </c>
    </row>
    <row r="6438" spans="1:7" x14ac:dyDescent="0.35">
      <c r="A6438" t="s">
        <v>847</v>
      </c>
      <c r="B6438" t="s">
        <v>680</v>
      </c>
      <c r="C6438" s="83">
        <v>46264</v>
      </c>
      <c r="D6438" t="s">
        <v>682</v>
      </c>
      <c r="E6438" t="s">
        <v>793</v>
      </c>
      <c r="F6438">
        <v>5</v>
      </c>
      <c r="G6438">
        <v>4.8356833333333302</v>
      </c>
    </row>
    <row r="6439" spans="1:7" x14ac:dyDescent="0.35">
      <c r="A6439" t="s">
        <v>847</v>
      </c>
      <c r="B6439" t="s">
        <v>680</v>
      </c>
      <c r="C6439" s="83">
        <v>46264</v>
      </c>
      <c r="D6439" t="s">
        <v>686</v>
      </c>
      <c r="E6439" t="s">
        <v>554</v>
      </c>
      <c r="F6439">
        <v>8</v>
      </c>
      <c r="G6439">
        <v>4.6831166666666704</v>
      </c>
    </row>
    <row r="6440" spans="1:7" x14ac:dyDescent="0.35">
      <c r="A6440" t="s">
        <v>847</v>
      </c>
      <c r="B6440" t="s">
        <v>680</v>
      </c>
      <c r="C6440" s="83">
        <v>46264</v>
      </c>
      <c r="D6440" t="s">
        <v>686</v>
      </c>
      <c r="E6440" t="s">
        <v>804</v>
      </c>
      <c r="F6440">
        <v>5</v>
      </c>
      <c r="G6440">
        <v>2.3264166666666699</v>
      </c>
    </row>
    <row r="6441" spans="1:7" x14ac:dyDescent="0.35">
      <c r="A6441" t="s">
        <v>847</v>
      </c>
      <c r="B6441" t="s">
        <v>680</v>
      </c>
      <c r="C6441" s="83">
        <v>46264</v>
      </c>
      <c r="D6441" t="s">
        <v>686</v>
      </c>
      <c r="E6441" t="s">
        <v>790</v>
      </c>
      <c r="F6441">
        <v>3</v>
      </c>
      <c r="G6441">
        <v>1.50061666666667</v>
      </c>
    </row>
    <row r="6442" spans="1:7" x14ac:dyDescent="0.35">
      <c r="A6442" t="s">
        <v>847</v>
      </c>
      <c r="B6442" t="s">
        <v>680</v>
      </c>
      <c r="C6442" s="83">
        <v>46265</v>
      </c>
      <c r="D6442" t="s">
        <v>681</v>
      </c>
      <c r="E6442" t="s">
        <v>332</v>
      </c>
      <c r="F6442">
        <v>16</v>
      </c>
      <c r="G6442">
        <v>25.813933333333299</v>
      </c>
    </row>
    <row r="6443" spans="1:7" x14ac:dyDescent="0.35">
      <c r="A6443" t="s">
        <v>847</v>
      </c>
      <c r="B6443" t="s">
        <v>680</v>
      </c>
      <c r="C6443" s="83">
        <v>46265</v>
      </c>
      <c r="D6443" t="s">
        <v>681</v>
      </c>
      <c r="E6443" t="s">
        <v>298</v>
      </c>
      <c r="F6443">
        <v>13</v>
      </c>
      <c r="G6443">
        <v>18.825983333333301</v>
      </c>
    </row>
    <row r="6444" spans="1:7" x14ac:dyDescent="0.35">
      <c r="A6444" t="s">
        <v>847</v>
      </c>
      <c r="B6444" t="s">
        <v>680</v>
      </c>
      <c r="C6444" s="83">
        <v>46265</v>
      </c>
      <c r="D6444" t="s">
        <v>681</v>
      </c>
      <c r="E6444" t="s">
        <v>728</v>
      </c>
      <c r="F6444">
        <v>10</v>
      </c>
      <c r="G6444">
        <v>9.6797000000000004</v>
      </c>
    </row>
    <row r="6445" spans="1:7" x14ac:dyDescent="0.35">
      <c r="A6445" t="s">
        <v>847</v>
      </c>
      <c r="B6445" t="s">
        <v>680</v>
      </c>
      <c r="C6445" s="83">
        <v>46265</v>
      </c>
      <c r="D6445" t="s">
        <v>683</v>
      </c>
      <c r="E6445" t="s">
        <v>727</v>
      </c>
      <c r="F6445">
        <v>47</v>
      </c>
      <c r="G6445">
        <v>47.846200000000003</v>
      </c>
    </row>
    <row r="6446" spans="1:7" x14ac:dyDescent="0.35">
      <c r="A6446" t="s">
        <v>847</v>
      </c>
      <c r="B6446" t="s">
        <v>680</v>
      </c>
      <c r="C6446" s="83">
        <v>46265</v>
      </c>
      <c r="D6446" t="s">
        <v>683</v>
      </c>
      <c r="E6446" t="s">
        <v>296</v>
      </c>
      <c r="F6446">
        <v>19</v>
      </c>
      <c r="G6446">
        <v>13.683199999999999</v>
      </c>
    </row>
    <row r="6447" spans="1:7" x14ac:dyDescent="0.35">
      <c r="A6447" t="s">
        <v>847</v>
      </c>
      <c r="B6447" t="s">
        <v>680</v>
      </c>
      <c r="C6447" s="83">
        <v>46265</v>
      </c>
      <c r="D6447" t="s">
        <v>683</v>
      </c>
      <c r="E6447" t="s">
        <v>298</v>
      </c>
      <c r="F6447">
        <v>15</v>
      </c>
      <c r="G6447">
        <v>40.147866666666701</v>
      </c>
    </row>
    <row r="6448" spans="1:7" x14ac:dyDescent="0.35">
      <c r="A6448" t="s">
        <v>847</v>
      </c>
      <c r="B6448" t="s">
        <v>680</v>
      </c>
      <c r="C6448" s="83">
        <v>46265</v>
      </c>
      <c r="D6448" t="s">
        <v>689</v>
      </c>
      <c r="E6448" t="s">
        <v>297</v>
      </c>
      <c r="F6448">
        <v>32</v>
      </c>
      <c r="G6448">
        <v>22.8410333333333</v>
      </c>
    </row>
    <row r="6449" spans="1:7" x14ac:dyDescent="0.35">
      <c r="A6449" t="s">
        <v>847</v>
      </c>
      <c r="B6449" t="s">
        <v>680</v>
      </c>
      <c r="C6449" s="83">
        <v>46265</v>
      </c>
      <c r="D6449" t="s">
        <v>689</v>
      </c>
      <c r="E6449" t="s">
        <v>298</v>
      </c>
      <c r="F6449">
        <v>29</v>
      </c>
      <c r="G6449">
        <v>26.81025</v>
      </c>
    </row>
    <row r="6450" spans="1:7" x14ac:dyDescent="0.35">
      <c r="A6450" t="s">
        <v>847</v>
      </c>
      <c r="B6450" t="s">
        <v>680</v>
      </c>
      <c r="C6450" s="83">
        <v>46265</v>
      </c>
      <c r="D6450" t="s">
        <v>689</v>
      </c>
      <c r="E6450" t="s">
        <v>296</v>
      </c>
      <c r="F6450">
        <v>20</v>
      </c>
      <c r="G6450">
        <v>12.81405</v>
      </c>
    </row>
    <row r="6451" spans="1:7" x14ac:dyDescent="0.35">
      <c r="A6451" t="s">
        <v>847</v>
      </c>
      <c r="B6451" t="s">
        <v>680</v>
      </c>
      <c r="C6451" s="83">
        <v>46265</v>
      </c>
      <c r="D6451" t="s">
        <v>684</v>
      </c>
      <c r="E6451" t="s">
        <v>297</v>
      </c>
      <c r="F6451">
        <v>15</v>
      </c>
      <c r="G6451">
        <v>7.6855166666666701</v>
      </c>
    </row>
    <row r="6452" spans="1:7" x14ac:dyDescent="0.35">
      <c r="A6452" t="s">
        <v>847</v>
      </c>
      <c r="B6452" t="s">
        <v>680</v>
      </c>
      <c r="C6452" s="83">
        <v>46265</v>
      </c>
      <c r="D6452" t="s">
        <v>684</v>
      </c>
      <c r="E6452" t="s">
        <v>296</v>
      </c>
      <c r="F6452">
        <v>8</v>
      </c>
      <c r="G6452">
        <v>4.0192166666666704</v>
      </c>
    </row>
    <row r="6453" spans="1:7" x14ac:dyDescent="0.35">
      <c r="A6453" t="s">
        <v>847</v>
      </c>
      <c r="B6453" t="s">
        <v>680</v>
      </c>
      <c r="C6453" s="83">
        <v>46265</v>
      </c>
      <c r="D6453" t="s">
        <v>684</v>
      </c>
      <c r="E6453" t="s">
        <v>728</v>
      </c>
      <c r="F6453">
        <v>4</v>
      </c>
      <c r="G6453">
        <v>2.0012166666666702</v>
      </c>
    </row>
    <row r="6454" spans="1:7" x14ac:dyDescent="0.35">
      <c r="A6454" t="s">
        <v>847</v>
      </c>
      <c r="B6454" t="s">
        <v>680</v>
      </c>
      <c r="C6454" s="83">
        <v>46265</v>
      </c>
      <c r="D6454" t="s">
        <v>687</v>
      </c>
      <c r="E6454" t="s">
        <v>718</v>
      </c>
      <c r="F6454">
        <v>4</v>
      </c>
      <c r="G6454">
        <v>4.3335666666666697</v>
      </c>
    </row>
    <row r="6455" spans="1:7" x14ac:dyDescent="0.35">
      <c r="A6455" t="s">
        <v>847</v>
      </c>
      <c r="B6455" t="s">
        <v>680</v>
      </c>
      <c r="C6455" s="83">
        <v>46265</v>
      </c>
      <c r="D6455" t="s">
        <v>687</v>
      </c>
      <c r="E6455" t="s">
        <v>717</v>
      </c>
      <c r="F6455">
        <v>4</v>
      </c>
      <c r="G6455">
        <v>1.3322833333333299</v>
      </c>
    </row>
    <row r="6456" spans="1:7" x14ac:dyDescent="0.35">
      <c r="A6456" t="s">
        <v>847</v>
      </c>
      <c r="B6456" t="s">
        <v>680</v>
      </c>
      <c r="C6456" s="83">
        <v>46265</v>
      </c>
      <c r="D6456" t="s">
        <v>687</v>
      </c>
      <c r="E6456" t="s">
        <v>726</v>
      </c>
      <c r="F6456">
        <v>2</v>
      </c>
      <c r="G6456">
        <v>1.3349833333333301</v>
      </c>
    </row>
    <row r="6457" spans="1:7" x14ac:dyDescent="0.35">
      <c r="A6457" t="s">
        <v>847</v>
      </c>
      <c r="B6457" t="s">
        <v>680</v>
      </c>
      <c r="C6457" s="83">
        <v>46265</v>
      </c>
      <c r="D6457" t="s">
        <v>688</v>
      </c>
      <c r="E6457" t="s">
        <v>316</v>
      </c>
      <c r="F6457">
        <v>13</v>
      </c>
      <c r="G6457">
        <v>6.4769833333333304</v>
      </c>
    </row>
    <row r="6458" spans="1:7" x14ac:dyDescent="0.35">
      <c r="A6458" t="s">
        <v>847</v>
      </c>
      <c r="B6458" t="s">
        <v>680</v>
      </c>
      <c r="C6458" s="83">
        <v>46265</v>
      </c>
      <c r="D6458" t="s">
        <v>688</v>
      </c>
      <c r="E6458" t="s">
        <v>312</v>
      </c>
      <c r="F6458">
        <v>9</v>
      </c>
      <c r="G6458">
        <v>5.3164333333333298</v>
      </c>
    </row>
    <row r="6459" spans="1:7" x14ac:dyDescent="0.35">
      <c r="A6459" t="s">
        <v>847</v>
      </c>
      <c r="B6459" t="s">
        <v>680</v>
      </c>
      <c r="C6459" s="83">
        <v>46265</v>
      </c>
      <c r="D6459" t="s">
        <v>688</v>
      </c>
      <c r="E6459" t="s">
        <v>126</v>
      </c>
      <c r="F6459">
        <v>8</v>
      </c>
      <c r="G6459">
        <v>6.50681666666667</v>
      </c>
    </row>
    <row r="6460" spans="1:7" x14ac:dyDescent="0.35">
      <c r="A6460" t="s">
        <v>847</v>
      </c>
      <c r="B6460" t="s">
        <v>680</v>
      </c>
      <c r="C6460" s="83">
        <v>46265</v>
      </c>
      <c r="D6460" t="s">
        <v>690</v>
      </c>
      <c r="E6460" t="s">
        <v>321</v>
      </c>
      <c r="F6460">
        <v>11</v>
      </c>
      <c r="G6460">
        <v>9.1656333333333304</v>
      </c>
    </row>
    <row r="6461" spans="1:7" x14ac:dyDescent="0.35">
      <c r="A6461" t="s">
        <v>847</v>
      </c>
      <c r="B6461" t="s">
        <v>680</v>
      </c>
      <c r="C6461" s="83">
        <v>46265</v>
      </c>
      <c r="D6461" t="s">
        <v>690</v>
      </c>
      <c r="E6461" t="s">
        <v>732</v>
      </c>
      <c r="F6461">
        <v>6</v>
      </c>
      <c r="G6461">
        <v>4.6592000000000002</v>
      </c>
    </row>
    <row r="6462" spans="1:7" x14ac:dyDescent="0.35">
      <c r="A6462" t="s">
        <v>847</v>
      </c>
      <c r="B6462" t="s">
        <v>680</v>
      </c>
      <c r="C6462" s="83">
        <v>46265</v>
      </c>
      <c r="D6462" t="s">
        <v>690</v>
      </c>
      <c r="E6462" t="s">
        <v>316</v>
      </c>
      <c r="F6462">
        <v>4</v>
      </c>
      <c r="G6462">
        <v>1.5072333333333301</v>
      </c>
    </row>
    <row r="6463" spans="1:7" x14ac:dyDescent="0.35">
      <c r="A6463" t="s">
        <v>847</v>
      </c>
      <c r="B6463" t="s">
        <v>680</v>
      </c>
      <c r="C6463" s="83">
        <v>46265</v>
      </c>
      <c r="D6463" t="s">
        <v>685</v>
      </c>
      <c r="E6463" t="s">
        <v>720</v>
      </c>
      <c r="F6463">
        <v>7</v>
      </c>
      <c r="G6463">
        <v>4.3466833333333303</v>
      </c>
    </row>
    <row r="6464" spans="1:7" x14ac:dyDescent="0.35">
      <c r="A6464" t="s">
        <v>847</v>
      </c>
      <c r="B6464" t="s">
        <v>680</v>
      </c>
      <c r="C6464" s="83">
        <v>46265</v>
      </c>
      <c r="D6464" t="s">
        <v>685</v>
      </c>
      <c r="E6464" t="s">
        <v>739</v>
      </c>
      <c r="F6464">
        <v>5</v>
      </c>
      <c r="G6464">
        <v>4.8293666666666697</v>
      </c>
    </row>
    <row r="6465" spans="1:7" x14ac:dyDescent="0.35">
      <c r="A6465" t="s">
        <v>847</v>
      </c>
      <c r="B6465" t="s">
        <v>680</v>
      </c>
      <c r="C6465" s="83">
        <v>46265</v>
      </c>
      <c r="D6465" t="s">
        <v>685</v>
      </c>
      <c r="E6465" t="s">
        <v>311</v>
      </c>
      <c r="F6465">
        <v>5</v>
      </c>
      <c r="G6465">
        <v>3.1602000000000001</v>
      </c>
    </row>
    <row r="6466" spans="1:7" x14ac:dyDescent="0.35">
      <c r="A6466" t="s">
        <v>847</v>
      </c>
      <c r="B6466" t="s">
        <v>680</v>
      </c>
      <c r="C6466" s="83">
        <v>46265</v>
      </c>
      <c r="D6466" t="s">
        <v>682</v>
      </c>
      <c r="E6466" t="s">
        <v>311</v>
      </c>
      <c r="F6466">
        <v>3</v>
      </c>
      <c r="G6466">
        <v>1.66716666666667</v>
      </c>
    </row>
    <row r="6467" spans="1:7" x14ac:dyDescent="0.35">
      <c r="A6467" t="s">
        <v>847</v>
      </c>
      <c r="B6467" t="s">
        <v>680</v>
      </c>
      <c r="C6467" s="83">
        <v>46265</v>
      </c>
      <c r="D6467" t="s">
        <v>682</v>
      </c>
      <c r="E6467" t="s">
        <v>724</v>
      </c>
      <c r="F6467">
        <v>2</v>
      </c>
      <c r="G6467">
        <v>0.16675000000000001</v>
      </c>
    </row>
    <row r="6468" spans="1:7" x14ac:dyDescent="0.35">
      <c r="A6468" t="s">
        <v>847</v>
      </c>
      <c r="B6468" t="s">
        <v>680</v>
      </c>
      <c r="C6468" s="83">
        <v>46265</v>
      </c>
      <c r="D6468" t="s">
        <v>682</v>
      </c>
      <c r="E6468" t="s">
        <v>732</v>
      </c>
      <c r="F6468">
        <v>2</v>
      </c>
      <c r="G6468">
        <v>0.65934999999999999</v>
      </c>
    </row>
    <row r="6469" spans="1:7" x14ac:dyDescent="0.35">
      <c r="A6469" t="s">
        <v>847</v>
      </c>
      <c r="B6469" t="s">
        <v>680</v>
      </c>
      <c r="C6469" s="83">
        <v>46265</v>
      </c>
      <c r="D6469" t="s">
        <v>686</v>
      </c>
      <c r="E6469" t="s">
        <v>554</v>
      </c>
      <c r="F6469">
        <v>10</v>
      </c>
      <c r="G6469">
        <v>9.6869666666666703</v>
      </c>
    </row>
    <row r="6470" spans="1:7" x14ac:dyDescent="0.35">
      <c r="A6470" t="s">
        <v>847</v>
      </c>
      <c r="B6470" t="s">
        <v>680</v>
      </c>
      <c r="C6470" s="83">
        <v>46265</v>
      </c>
      <c r="D6470" t="s">
        <v>686</v>
      </c>
      <c r="E6470" t="s">
        <v>789</v>
      </c>
      <c r="F6470">
        <v>6</v>
      </c>
      <c r="G6470">
        <v>1.65445</v>
      </c>
    </row>
    <row r="6471" spans="1:7" x14ac:dyDescent="0.35">
      <c r="A6471" t="s">
        <v>847</v>
      </c>
      <c r="B6471" t="s">
        <v>680</v>
      </c>
      <c r="C6471" s="83">
        <v>46265</v>
      </c>
      <c r="D6471" t="s">
        <v>686</v>
      </c>
      <c r="E6471" t="s">
        <v>816</v>
      </c>
      <c r="F6471">
        <v>4</v>
      </c>
      <c r="G6471">
        <v>1.8374999999999999</v>
      </c>
    </row>
    <row r="6472" spans="1:7" x14ac:dyDescent="0.35">
      <c r="A6472" t="s">
        <v>847</v>
      </c>
      <c r="B6472" t="s">
        <v>680</v>
      </c>
      <c r="C6472" s="83">
        <v>46266</v>
      </c>
      <c r="D6472" t="s">
        <v>681</v>
      </c>
      <c r="E6472" t="s">
        <v>728</v>
      </c>
      <c r="F6472">
        <v>16</v>
      </c>
      <c r="G6472">
        <v>12.97425</v>
      </c>
    </row>
    <row r="6473" spans="1:7" x14ac:dyDescent="0.35">
      <c r="A6473" t="s">
        <v>847</v>
      </c>
      <c r="B6473" t="s">
        <v>680</v>
      </c>
      <c r="C6473" s="83">
        <v>46266</v>
      </c>
      <c r="D6473" t="s">
        <v>681</v>
      </c>
      <c r="E6473" t="s">
        <v>334</v>
      </c>
      <c r="F6473">
        <v>10</v>
      </c>
      <c r="G6473">
        <v>7.0069999999999997</v>
      </c>
    </row>
    <row r="6474" spans="1:7" x14ac:dyDescent="0.35">
      <c r="A6474" t="s">
        <v>847</v>
      </c>
      <c r="B6474" t="s">
        <v>680</v>
      </c>
      <c r="C6474" s="83">
        <v>46266</v>
      </c>
      <c r="D6474" t="s">
        <v>681</v>
      </c>
      <c r="E6474" t="s">
        <v>300</v>
      </c>
      <c r="F6474">
        <v>7</v>
      </c>
      <c r="G6474">
        <v>4.3257166666666702</v>
      </c>
    </row>
    <row r="6475" spans="1:7" x14ac:dyDescent="0.35">
      <c r="A6475" t="s">
        <v>847</v>
      </c>
      <c r="B6475" t="s">
        <v>680</v>
      </c>
      <c r="C6475" s="83">
        <v>46266</v>
      </c>
      <c r="D6475" t="s">
        <v>683</v>
      </c>
      <c r="E6475" t="s">
        <v>727</v>
      </c>
      <c r="F6475">
        <v>30</v>
      </c>
      <c r="G6475">
        <v>36.023733333333297</v>
      </c>
    </row>
    <row r="6476" spans="1:7" x14ac:dyDescent="0.35">
      <c r="A6476" t="s">
        <v>847</v>
      </c>
      <c r="B6476" t="s">
        <v>680</v>
      </c>
      <c r="C6476" s="83">
        <v>46266</v>
      </c>
      <c r="D6476" t="s">
        <v>683</v>
      </c>
      <c r="E6476" t="s">
        <v>296</v>
      </c>
      <c r="F6476">
        <v>24</v>
      </c>
      <c r="G6476">
        <v>11.3006166666667</v>
      </c>
    </row>
    <row r="6477" spans="1:7" x14ac:dyDescent="0.35">
      <c r="A6477" t="s">
        <v>847</v>
      </c>
      <c r="B6477" t="s">
        <v>680</v>
      </c>
      <c r="C6477" s="83">
        <v>46266</v>
      </c>
      <c r="D6477" t="s">
        <v>683</v>
      </c>
      <c r="E6477" t="s">
        <v>334</v>
      </c>
      <c r="F6477">
        <v>17</v>
      </c>
      <c r="G6477">
        <v>8.1659666666666695</v>
      </c>
    </row>
    <row r="6478" spans="1:7" x14ac:dyDescent="0.35">
      <c r="A6478" t="s">
        <v>847</v>
      </c>
      <c r="B6478" t="s">
        <v>680</v>
      </c>
      <c r="C6478" s="83">
        <v>46266</v>
      </c>
      <c r="D6478" t="s">
        <v>689</v>
      </c>
      <c r="E6478" t="s">
        <v>297</v>
      </c>
      <c r="F6478">
        <v>23</v>
      </c>
      <c r="G6478">
        <v>18.508966666666701</v>
      </c>
    </row>
    <row r="6479" spans="1:7" x14ac:dyDescent="0.35">
      <c r="A6479" t="s">
        <v>847</v>
      </c>
      <c r="B6479" t="s">
        <v>680</v>
      </c>
      <c r="C6479" s="83">
        <v>46266</v>
      </c>
      <c r="D6479" t="s">
        <v>689</v>
      </c>
      <c r="E6479" t="s">
        <v>298</v>
      </c>
      <c r="F6479">
        <v>16</v>
      </c>
      <c r="G6479">
        <v>14.8451166666667</v>
      </c>
    </row>
    <row r="6480" spans="1:7" x14ac:dyDescent="0.35">
      <c r="A6480" t="s">
        <v>847</v>
      </c>
      <c r="B6480" t="s">
        <v>680</v>
      </c>
      <c r="C6480" s="83">
        <v>46266</v>
      </c>
      <c r="D6480" t="s">
        <v>689</v>
      </c>
      <c r="E6480" t="s">
        <v>296</v>
      </c>
      <c r="F6480">
        <v>14</v>
      </c>
      <c r="G6480">
        <v>13.829833333333299</v>
      </c>
    </row>
    <row r="6481" spans="1:7" x14ac:dyDescent="0.35">
      <c r="A6481" t="s">
        <v>847</v>
      </c>
      <c r="B6481" t="s">
        <v>680</v>
      </c>
      <c r="C6481" s="83">
        <v>46266</v>
      </c>
      <c r="D6481" t="s">
        <v>684</v>
      </c>
      <c r="E6481" t="s">
        <v>298</v>
      </c>
      <c r="F6481">
        <v>11</v>
      </c>
      <c r="G6481">
        <v>20.156300000000002</v>
      </c>
    </row>
    <row r="6482" spans="1:7" x14ac:dyDescent="0.35">
      <c r="A6482" t="s">
        <v>847</v>
      </c>
      <c r="B6482" t="s">
        <v>680</v>
      </c>
      <c r="C6482" s="83">
        <v>46266</v>
      </c>
      <c r="D6482" t="s">
        <v>684</v>
      </c>
      <c r="E6482" t="s">
        <v>297</v>
      </c>
      <c r="F6482">
        <v>8</v>
      </c>
      <c r="G6482">
        <v>2.0069499999999998</v>
      </c>
    </row>
    <row r="6483" spans="1:7" x14ac:dyDescent="0.35">
      <c r="A6483" t="s">
        <v>847</v>
      </c>
      <c r="B6483" t="s">
        <v>680</v>
      </c>
      <c r="C6483" s="83">
        <v>46266</v>
      </c>
      <c r="D6483" t="s">
        <v>684</v>
      </c>
      <c r="E6483" t="s">
        <v>296</v>
      </c>
      <c r="F6483">
        <v>4</v>
      </c>
      <c r="G6483">
        <v>5.8311833333333301</v>
      </c>
    </row>
    <row r="6484" spans="1:7" x14ac:dyDescent="0.35">
      <c r="A6484" t="s">
        <v>847</v>
      </c>
      <c r="B6484" t="s">
        <v>680</v>
      </c>
      <c r="C6484" s="83">
        <v>46266</v>
      </c>
      <c r="D6484" t="s">
        <v>687</v>
      </c>
      <c r="E6484" t="s">
        <v>718</v>
      </c>
      <c r="F6484">
        <v>10</v>
      </c>
      <c r="G6484">
        <v>3.1665000000000001</v>
      </c>
    </row>
    <row r="6485" spans="1:7" x14ac:dyDescent="0.35">
      <c r="A6485" t="s">
        <v>847</v>
      </c>
      <c r="B6485" t="s">
        <v>680</v>
      </c>
      <c r="C6485" s="83">
        <v>46266</v>
      </c>
      <c r="D6485" t="s">
        <v>687</v>
      </c>
      <c r="E6485" t="s">
        <v>717</v>
      </c>
      <c r="F6485">
        <v>7</v>
      </c>
      <c r="G6485">
        <v>5.4902833333333296</v>
      </c>
    </row>
    <row r="6486" spans="1:7" x14ac:dyDescent="0.35">
      <c r="A6486" t="s">
        <v>847</v>
      </c>
      <c r="B6486" t="s">
        <v>680</v>
      </c>
      <c r="C6486" s="83">
        <v>46266</v>
      </c>
      <c r="D6486" t="s">
        <v>687</v>
      </c>
      <c r="E6486" t="s">
        <v>746</v>
      </c>
      <c r="F6486">
        <v>4</v>
      </c>
      <c r="G6486">
        <v>13.005383333333301</v>
      </c>
    </row>
    <row r="6487" spans="1:7" x14ac:dyDescent="0.35">
      <c r="A6487" t="s">
        <v>847</v>
      </c>
      <c r="B6487" t="s">
        <v>680</v>
      </c>
      <c r="C6487" s="83">
        <v>46266</v>
      </c>
      <c r="D6487" t="s">
        <v>688</v>
      </c>
      <c r="E6487" t="s">
        <v>311</v>
      </c>
      <c r="F6487">
        <v>28</v>
      </c>
      <c r="G6487">
        <v>16.356016666666701</v>
      </c>
    </row>
    <row r="6488" spans="1:7" x14ac:dyDescent="0.35">
      <c r="A6488" t="s">
        <v>847</v>
      </c>
      <c r="B6488" t="s">
        <v>680</v>
      </c>
      <c r="C6488" s="83">
        <v>46266</v>
      </c>
      <c r="D6488" t="s">
        <v>688</v>
      </c>
      <c r="E6488" t="s">
        <v>126</v>
      </c>
      <c r="F6488">
        <v>4</v>
      </c>
      <c r="G6488">
        <v>5.4985166666666698</v>
      </c>
    </row>
    <row r="6489" spans="1:7" x14ac:dyDescent="0.35">
      <c r="A6489" t="s">
        <v>847</v>
      </c>
      <c r="B6489" t="s">
        <v>680</v>
      </c>
      <c r="C6489" s="83">
        <v>46266</v>
      </c>
      <c r="D6489" t="s">
        <v>688</v>
      </c>
      <c r="E6489" t="s">
        <v>316</v>
      </c>
      <c r="F6489">
        <v>4</v>
      </c>
      <c r="G6489">
        <v>2.3348666666666702</v>
      </c>
    </row>
    <row r="6490" spans="1:7" x14ac:dyDescent="0.35">
      <c r="A6490" t="s">
        <v>847</v>
      </c>
      <c r="B6490" t="s">
        <v>680</v>
      </c>
      <c r="C6490" s="83">
        <v>46266</v>
      </c>
      <c r="D6490" t="s">
        <v>690</v>
      </c>
      <c r="E6490" t="s">
        <v>312</v>
      </c>
      <c r="F6490">
        <v>15</v>
      </c>
      <c r="G6490">
        <v>28.654800000000002</v>
      </c>
    </row>
    <row r="6491" spans="1:7" x14ac:dyDescent="0.35">
      <c r="A6491" t="s">
        <v>847</v>
      </c>
      <c r="B6491" t="s">
        <v>680</v>
      </c>
      <c r="C6491" s="83">
        <v>46266</v>
      </c>
      <c r="D6491" t="s">
        <v>690</v>
      </c>
      <c r="E6491" t="s">
        <v>311</v>
      </c>
      <c r="F6491">
        <v>11</v>
      </c>
      <c r="G6491">
        <v>8.3202166666666706</v>
      </c>
    </row>
    <row r="6492" spans="1:7" x14ac:dyDescent="0.35">
      <c r="A6492" t="s">
        <v>847</v>
      </c>
      <c r="B6492" t="s">
        <v>680</v>
      </c>
      <c r="C6492" s="83">
        <v>46266</v>
      </c>
      <c r="D6492" t="s">
        <v>690</v>
      </c>
      <c r="E6492" t="s">
        <v>720</v>
      </c>
      <c r="F6492">
        <v>10</v>
      </c>
      <c r="G6492">
        <v>6.84185</v>
      </c>
    </row>
    <row r="6493" spans="1:7" x14ac:dyDescent="0.35">
      <c r="A6493" t="s">
        <v>847</v>
      </c>
      <c r="B6493" t="s">
        <v>680</v>
      </c>
      <c r="C6493" s="83">
        <v>46266</v>
      </c>
      <c r="D6493" t="s">
        <v>685</v>
      </c>
      <c r="E6493" t="s">
        <v>312</v>
      </c>
      <c r="F6493">
        <v>25</v>
      </c>
      <c r="G6493">
        <v>25.342949999999998</v>
      </c>
    </row>
    <row r="6494" spans="1:7" x14ac:dyDescent="0.35">
      <c r="A6494" t="s">
        <v>847</v>
      </c>
      <c r="B6494" t="s">
        <v>680</v>
      </c>
      <c r="C6494" s="83">
        <v>46266</v>
      </c>
      <c r="D6494" t="s">
        <v>685</v>
      </c>
      <c r="E6494" t="s">
        <v>720</v>
      </c>
      <c r="F6494">
        <v>11</v>
      </c>
      <c r="G6494">
        <v>10.65615</v>
      </c>
    </row>
    <row r="6495" spans="1:7" x14ac:dyDescent="0.35">
      <c r="A6495" t="s">
        <v>847</v>
      </c>
      <c r="B6495" t="s">
        <v>680</v>
      </c>
      <c r="C6495" s="83">
        <v>46266</v>
      </c>
      <c r="D6495" t="s">
        <v>685</v>
      </c>
      <c r="E6495" t="s">
        <v>739</v>
      </c>
      <c r="F6495">
        <v>10</v>
      </c>
      <c r="G6495">
        <v>15.6635333333333</v>
      </c>
    </row>
    <row r="6496" spans="1:7" x14ac:dyDescent="0.35">
      <c r="A6496" t="s">
        <v>847</v>
      </c>
      <c r="B6496" t="s">
        <v>680</v>
      </c>
      <c r="C6496" s="83">
        <v>46266</v>
      </c>
      <c r="D6496" t="s">
        <v>682</v>
      </c>
      <c r="E6496" t="s">
        <v>311</v>
      </c>
      <c r="F6496">
        <v>14</v>
      </c>
      <c r="G6496">
        <v>8.8128333333333302</v>
      </c>
    </row>
    <row r="6497" spans="1:7" x14ac:dyDescent="0.35">
      <c r="A6497" t="s">
        <v>847</v>
      </c>
      <c r="B6497" t="s">
        <v>680</v>
      </c>
      <c r="C6497" s="83">
        <v>46266</v>
      </c>
      <c r="D6497" t="s">
        <v>682</v>
      </c>
      <c r="E6497" t="s">
        <v>734</v>
      </c>
      <c r="F6497">
        <v>2</v>
      </c>
      <c r="G6497">
        <v>1.5004999999999999</v>
      </c>
    </row>
    <row r="6498" spans="1:7" x14ac:dyDescent="0.35">
      <c r="A6498" t="s">
        <v>847</v>
      </c>
      <c r="B6498" t="s">
        <v>680</v>
      </c>
      <c r="C6498" s="83">
        <v>46266</v>
      </c>
      <c r="D6498" t="s">
        <v>682</v>
      </c>
      <c r="E6498" t="s">
        <v>720</v>
      </c>
      <c r="F6498">
        <v>2</v>
      </c>
      <c r="G6498">
        <v>2.3338000000000001</v>
      </c>
    </row>
    <row r="6499" spans="1:7" x14ac:dyDescent="0.35">
      <c r="A6499" t="s">
        <v>847</v>
      </c>
      <c r="B6499" t="s">
        <v>680</v>
      </c>
      <c r="C6499" s="83">
        <v>46266</v>
      </c>
      <c r="D6499" t="s">
        <v>686</v>
      </c>
      <c r="E6499" t="s">
        <v>802</v>
      </c>
      <c r="F6499">
        <v>4</v>
      </c>
      <c r="G6499">
        <v>1.6753499999999999</v>
      </c>
    </row>
    <row r="6500" spans="1:7" x14ac:dyDescent="0.35">
      <c r="A6500" t="s">
        <v>847</v>
      </c>
      <c r="B6500" t="s">
        <v>680</v>
      </c>
      <c r="C6500" s="83">
        <v>46266</v>
      </c>
      <c r="D6500" t="s">
        <v>686</v>
      </c>
      <c r="E6500" t="s">
        <v>798</v>
      </c>
      <c r="F6500">
        <v>3</v>
      </c>
      <c r="G6500">
        <v>1.66733333333333</v>
      </c>
    </row>
    <row r="6501" spans="1:7" x14ac:dyDescent="0.35">
      <c r="A6501" t="s">
        <v>847</v>
      </c>
      <c r="B6501" t="s">
        <v>680</v>
      </c>
      <c r="C6501" s="83">
        <v>46266</v>
      </c>
      <c r="D6501" t="s">
        <v>686</v>
      </c>
      <c r="E6501" t="s">
        <v>554</v>
      </c>
      <c r="F6501">
        <v>2</v>
      </c>
      <c r="G6501">
        <v>40.336216666666701</v>
      </c>
    </row>
    <row r="6502" spans="1:7" x14ac:dyDescent="0.35">
      <c r="A6502" t="s">
        <v>847</v>
      </c>
      <c r="B6502" t="s">
        <v>680</v>
      </c>
      <c r="C6502" s="83">
        <v>46267</v>
      </c>
      <c r="D6502" t="s">
        <v>681</v>
      </c>
      <c r="E6502" t="s">
        <v>296</v>
      </c>
      <c r="F6502">
        <v>12</v>
      </c>
      <c r="G6502">
        <v>10.8253</v>
      </c>
    </row>
    <row r="6503" spans="1:7" x14ac:dyDescent="0.35">
      <c r="A6503" t="s">
        <v>847</v>
      </c>
      <c r="B6503" t="s">
        <v>680</v>
      </c>
      <c r="C6503" s="83">
        <v>46267</v>
      </c>
      <c r="D6503" t="s">
        <v>681</v>
      </c>
      <c r="E6503" t="s">
        <v>298</v>
      </c>
      <c r="F6503">
        <v>9</v>
      </c>
      <c r="G6503">
        <v>4.3420833333333304</v>
      </c>
    </row>
    <row r="6504" spans="1:7" x14ac:dyDescent="0.35">
      <c r="A6504" t="s">
        <v>847</v>
      </c>
      <c r="B6504" t="s">
        <v>680</v>
      </c>
      <c r="C6504" s="83">
        <v>46267</v>
      </c>
      <c r="D6504" t="s">
        <v>681</v>
      </c>
      <c r="E6504" t="s">
        <v>728</v>
      </c>
      <c r="F6504">
        <v>4</v>
      </c>
      <c r="G6504">
        <v>2.18116666666667</v>
      </c>
    </row>
    <row r="6505" spans="1:7" x14ac:dyDescent="0.35">
      <c r="A6505" t="s">
        <v>847</v>
      </c>
      <c r="B6505" t="s">
        <v>680</v>
      </c>
      <c r="C6505" s="83">
        <v>46267</v>
      </c>
      <c r="D6505" t="s">
        <v>683</v>
      </c>
      <c r="E6505" t="s">
        <v>296</v>
      </c>
      <c r="F6505">
        <v>24</v>
      </c>
      <c r="G6505">
        <v>9.3257499999999993</v>
      </c>
    </row>
    <row r="6506" spans="1:7" x14ac:dyDescent="0.35">
      <c r="A6506" t="s">
        <v>847</v>
      </c>
      <c r="B6506" t="s">
        <v>680</v>
      </c>
      <c r="C6506" s="83">
        <v>46267</v>
      </c>
      <c r="D6506" t="s">
        <v>683</v>
      </c>
      <c r="E6506" t="s">
        <v>727</v>
      </c>
      <c r="F6506">
        <v>17</v>
      </c>
      <c r="G6506">
        <v>19.853666666666701</v>
      </c>
    </row>
    <row r="6507" spans="1:7" x14ac:dyDescent="0.35">
      <c r="A6507" t="s">
        <v>847</v>
      </c>
      <c r="B6507" t="s">
        <v>680</v>
      </c>
      <c r="C6507" s="83">
        <v>46267</v>
      </c>
      <c r="D6507" t="s">
        <v>683</v>
      </c>
      <c r="E6507" t="s">
        <v>334</v>
      </c>
      <c r="F6507">
        <v>16</v>
      </c>
      <c r="G6507">
        <v>13.6591</v>
      </c>
    </row>
    <row r="6508" spans="1:7" x14ac:dyDescent="0.35">
      <c r="A6508" t="s">
        <v>847</v>
      </c>
      <c r="B6508" t="s">
        <v>680</v>
      </c>
      <c r="C6508" s="83">
        <v>46267</v>
      </c>
      <c r="D6508" t="s">
        <v>689</v>
      </c>
      <c r="E6508" t="s">
        <v>296</v>
      </c>
      <c r="F6508">
        <v>16</v>
      </c>
      <c r="G6508">
        <v>7.3498333333333301</v>
      </c>
    </row>
    <row r="6509" spans="1:7" x14ac:dyDescent="0.35">
      <c r="A6509" t="s">
        <v>847</v>
      </c>
      <c r="B6509" t="s">
        <v>680</v>
      </c>
      <c r="C6509" s="83">
        <v>46267</v>
      </c>
      <c r="D6509" t="s">
        <v>689</v>
      </c>
      <c r="E6509" t="s">
        <v>298</v>
      </c>
      <c r="F6509">
        <v>10</v>
      </c>
      <c r="G6509">
        <v>6.6631166666666699</v>
      </c>
    </row>
    <row r="6510" spans="1:7" x14ac:dyDescent="0.35">
      <c r="A6510" t="s">
        <v>847</v>
      </c>
      <c r="B6510" t="s">
        <v>680</v>
      </c>
      <c r="C6510" s="83">
        <v>46267</v>
      </c>
      <c r="D6510" t="s">
        <v>689</v>
      </c>
      <c r="E6510" t="s">
        <v>297</v>
      </c>
      <c r="F6510">
        <v>8</v>
      </c>
      <c r="G6510">
        <v>3.3435999999999999</v>
      </c>
    </row>
    <row r="6511" spans="1:7" x14ac:dyDescent="0.35">
      <c r="A6511" t="s">
        <v>847</v>
      </c>
      <c r="B6511" t="s">
        <v>680</v>
      </c>
      <c r="C6511" s="83">
        <v>46267</v>
      </c>
      <c r="D6511" t="s">
        <v>684</v>
      </c>
      <c r="E6511" t="s">
        <v>298</v>
      </c>
      <c r="F6511">
        <v>7</v>
      </c>
      <c r="G6511">
        <v>3.3286166666666701</v>
      </c>
    </row>
    <row r="6512" spans="1:7" x14ac:dyDescent="0.35">
      <c r="A6512" t="s">
        <v>847</v>
      </c>
      <c r="B6512" t="s">
        <v>680</v>
      </c>
      <c r="C6512" s="83">
        <v>46267</v>
      </c>
      <c r="D6512" t="s">
        <v>684</v>
      </c>
      <c r="E6512" t="s">
        <v>297</v>
      </c>
      <c r="F6512">
        <v>5</v>
      </c>
      <c r="G6512">
        <v>0.993966666666667</v>
      </c>
    </row>
    <row r="6513" spans="1:7" x14ac:dyDescent="0.35">
      <c r="A6513" t="s">
        <v>847</v>
      </c>
      <c r="B6513" t="s">
        <v>693</v>
      </c>
      <c r="C6513" s="83"/>
      <c r="F6513">
        <v>52464</v>
      </c>
      <c r="G6513">
        <v>97795.437083333003</v>
      </c>
    </row>
    <row r="6514" spans="1:7" x14ac:dyDescent="0.35">
      <c r="A6514" t="s">
        <v>847</v>
      </c>
      <c r="B6514" t="s">
        <v>680</v>
      </c>
      <c r="C6514" s="83">
        <v>46267</v>
      </c>
      <c r="D6514" t="s">
        <v>684</v>
      </c>
      <c r="E6514" t="s">
        <v>296</v>
      </c>
      <c r="F6514">
        <v>4</v>
      </c>
      <c r="G6514">
        <v>0.99976666666666703</v>
      </c>
    </row>
    <row r="6515" spans="1:7" x14ac:dyDescent="0.35">
      <c r="A6515" t="s">
        <v>847</v>
      </c>
      <c r="B6515" t="s">
        <v>680</v>
      </c>
      <c r="C6515" s="83">
        <v>46267</v>
      </c>
      <c r="D6515" t="s">
        <v>687</v>
      </c>
      <c r="E6515" t="s">
        <v>717</v>
      </c>
      <c r="F6515">
        <v>5</v>
      </c>
      <c r="G6515">
        <v>2.3398833333333302</v>
      </c>
    </row>
    <row r="6516" spans="1:7" x14ac:dyDescent="0.35">
      <c r="A6516" t="s">
        <v>847</v>
      </c>
      <c r="B6516" t="s">
        <v>680</v>
      </c>
      <c r="C6516" s="83">
        <v>46267</v>
      </c>
      <c r="D6516" t="s">
        <v>687</v>
      </c>
      <c r="E6516" t="s">
        <v>746</v>
      </c>
      <c r="F6516">
        <v>3</v>
      </c>
      <c r="G6516">
        <v>3.6603500000000002</v>
      </c>
    </row>
    <row r="6517" spans="1:7" x14ac:dyDescent="0.35">
      <c r="A6517" t="s">
        <v>847</v>
      </c>
      <c r="B6517" t="s">
        <v>680</v>
      </c>
      <c r="C6517" s="83">
        <v>46267</v>
      </c>
      <c r="D6517" t="s">
        <v>687</v>
      </c>
      <c r="E6517" t="s">
        <v>726</v>
      </c>
      <c r="F6517">
        <v>3</v>
      </c>
      <c r="G6517">
        <v>4.4937333333333296</v>
      </c>
    </row>
    <row r="6518" spans="1:7" x14ac:dyDescent="0.35">
      <c r="A6518" t="s">
        <v>847</v>
      </c>
      <c r="B6518" t="s">
        <v>680</v>
      </c>
      <c r="C6518" s="83">
        <v>46267</v>
      </c>
      <c r="D6518" t="s">
        <v>688</v>
      </c>
      <c r="E6518" t="s">
        <v>311</v>
      </c>
      <c r="F6518">
        <v>48</v>
      </c>
      <c r="G6518">
        <v>25.9819</v>
      </c>
    </row>
    <row r="6519" spans="1:7" x14ac:dyDescent="0.35">
      <c r="A6519" t="s">
        <v>847</v>
      </c>
      <c r="B6519" t="s">
        <v>680</v>
      </c>
      <c r="C6519" s="83">
        <v>46267</v>
      </c>
      <c r="D6519" t="s">
        <v>688</v>
      </c>
      <c r="E6519" t="s">
        <v>312</v>
      </c>
      <c r="F6519">
        <v>12</v>
      </c>
      <c r="G6519">
        <v>5.3329333333333304</v>
      </c>
    </row>
    <row r="6520" spans="1:7" x14ac:dyDescent="0.35">
      <c r="A6520" t="s">
        <v>847</v>
      </c>
      <c r="B6520" t="s">
        <v>680</v>
      </c>
      <c r="C6520" s="83">
        <v>46267</v>
      </c>
      <c r="D6520" t="s">
        <v>688</v>
      </c>
      <c r="E6520" t="s">
        <v>126</v>
      </c>
      <c r="F6520">
        <v>9</v>
      </c>
      <c r="G6520">
        <v>14.8394833333333</v>
      </c>
    </row>
    <row r="6521" spans="1:7" x14ac:dyDescent="0.35">
      <c r="A6521" t="s">
        <v>847</v>
      </c>
      <c r="B6521" t="s">
        <v>680</v>
      </c>
      <c r="C6521" s="83">
        <v>46267</v>
      </c>
      <c r="D6521" t="s">
        <v>690</v>
      </c>
      <c r="E6521" t="s">
        <v>312</v>
      </c>
      <c r="F6521">
        <v>8</v>
      </c>
      <c r="G6521">
        <v>2.02301666666667</v>
      </c>
    </row>
    <row r="6522" spans="1:7" x14ac:dyDescent="0.35">
      <c r="A6522" t="s">
        <v>847</v>
      </c>
      <c r="B6522" t="s">
        <v>680</v>
      </c>
      <c r="C6522" s="83">
        <v>46267</v>
      </c>
      <c r="D6522" t="s">
        <v>690</v>
      </c>
      <c r="E6522" t="s">
        <v>720</v>
      </c>
      <c r="F6522">
        <v>8</v>
      </c>
      <c r="G6522">
        <v>4.3369833333333299</v>
      </c>
    </row>
    <row r="6523" spans="1:7" x14ac:dyDescent="0.35">
      <c r="A6523" t="s">
        <v>847</v>
      </c>
      <c r="B6523" t="s">
        <v>680</v>
      </c>
      <c r="C6523" s="83">
        <v>46267</v>
      </c>
      <c r="D6523" t="s">
        <v>690</v>
      </c>
      <c r="E6523" t="s">
        <v>321</v>
      </c>
      <c r="F6523">
        <v>6</v>
      </c>
      <c r="G6523">
        <v>3.50843333333333</v>
      </c>
    </row>
    <row r="6524" spans="1:7" x14ac:dyDescent="0.35">
      <c r="A6524" t="s">
        <v>847</v>
      </c>
      <c r="B6524" t="s">
        <v>680</v>
      </c>
      <c r="C6524" s="83">
        <v>46267</v>
      </c>
      <c r="D6524" t="s">
        <v>685</v>
      </c>
      <c r="E6524" t="s">
        <v>312</v>
      </c>
      <c r="F6524">
        <v>6</v>
      </c>
      <c r="G6524">
        <v>2.0143166666666699</v>
      </c>
    </row>
    <row r="6525" spans="1:7" x14ac:dyDescent="0.35">
      <c r="A6525" t="s">
        <v>847</v>
      </c>
      <c r="B6525" t="s">
        <v>680</v>
      </c>
      <c r="C6525" s="83">
        <v>46267</v>
      </c>
      <c r="D6525" t="s">
        <v>685</v>
      </c>
      <c r="E6525" t="s">
        <v>311</v>
      </c>
      <c r="F6525">
        <v>4</v>
      </c>
      <c r="G6525">
        <v>3.0063499999999999</v>
      </c>
    </row>
    <row r="6526" spans="1:7" x14ac:dyDescent="0.35">
      <c r="A6526" t="s">
        <v>847</v>
      </c>
      <c r="B6526" t="s">
        <v>680</v>
      </c>
      <c r="C6526" s="83">
        <v>46267</v>
      </c>
      <c r="D6526" t="s">
        <v>685</v>
      </c>
      <c r="E6526" t="s">
        <v>734</v>
      </c>
      <c r="F6526">
        <v>2</v>
      </c>
      <c r="G6526">
        <v>0.50618333333333299</v>
      </c>
    </row>
    <row r="6527" spans="1:7" x14ac:dyDescent="0.35">
      <c r="A6527" t="s">
        <v>847</v>
      </c>
      <c r="B6527" t="s">
        <v>680</v>
      </c>
      <c r="C6527" s="83">
        <v>46267</v>
      </c>
      <c r="D6527" t="s">
        <v>682</v>
      </c>
      <c r="E6527" t="s">
        <v>311</v>
      </c>
      <c r="F6527">
        <v>4</v>
      </c>
      <c r="G6527">
        <v>3.66896666666667</v>
      </c>
    </row>
    <row r="6528" spans="1:7" x14ac:dyDescent="0.35">
      <c r="A6528" t="s">
        <v>847</v>
      </c>
      <c r="B6528" t="s">
        <v>680</v>
      </c>
      <c r="C6528" s="83">
        <v>46267</v>
      </c>
      <c r="D6528" t="s">
        <v>686</v>
      </c>
      <c r="E6528" t="s">
        <v>554</v>
      </c>
      <c r="F6528">
        <v>8</v>
      </c>
      <c r="G6528">
        <v>5.4951666666666696</v>
      </c>
    </row>
    <row r="6529" spans="1:7" x14ac:dyDescent="0.35">
      <c r="A6529" t="s">
        <v>847</v>
      </c>
      <c r="B6529" t="s">
        <v>680</v>
      </c>
      <c r="C6529" s="83">
        <v>46267</v>
      </c>
      <c r="D6529" t="s">
        <v>686</v>
      </c>
      <c r="E6529" t="s">
        <v>819</v>
      </c>
      <c r="F6529">
        <v>3</v>
      </c>
      <c r="G6529">
        <v>0.51298333333333301</v>
      </c>
    </row>
    <row r="6530" spans="1:7" x14ac:dyDescent="0.35">
      <c r="A6530" t="s">
        <v>847</v>
      </c>
      <c r="B6530" t="s">
        <v>680</v>
      </c>
      <c r="C6530" s="83">
        <v>46267</v>
      </c>
      <c r="D6530" t="s">
        <v>686</v>
      </c>
      <c r="E6530" t="s">
        <v>804</v>
      </c>
      <c r="F6530">
        <v>3</v>
      </c>
      <c r="G6530">
        <v>105.009983333333</v>
      </c>
    </row>
    <row r="6531" spans="1:7" x14ac:dyDescent="0.35">
      <c r="A6531" t="s">
        <v>847</v>
      </c>
      <c r="B6531" t="s">
        <v>680</v>
      </c>
      <c r="C6531" s="83">
        <v>46268</v>
      </c>
      <c r="D6531" t="s">
        <v>681</v>
      </c>
      <c r="E6531" t="s">
        <v>296</v>
      </c>
      <c r="F6531">
        <v>18</v>
      </c>
      <c r="G6531">
        <v>13.5131</v>
      </c>
    </row>
    <row r="6532" spans="1:7" x14ac:dyDescent="0.35">
      <c r="A6532" t="s">
        <v>847</v>
      </c>
      <c r="B6532" t="s">
        <v>680</v>
      </c>
      <c r="C6532" s="83">
        <v>46268</v>
      </c>
      <c r="D6532" t="s">
        <v>681</v>
      </c>
      <c r="E6532" t="s">
        <v>298</v>
      </c>
      <c r="F6532">
        <v>11</v>
      </c>
      <c r="G6532">
        <v>22.006216666666699</v>
      </c>
    </row>
    <row r="6533" spans="1:7" x14ac:dyDescent="0.35">
      <c r="A6533" t="s">
        <v>847</v>
      </c>
      <c r="B6533" t="s">
        <v>680</v>
      </c>
      <c r="C6533" s="83">
        <v>46268</v>
      </c>
      <c r="D6533" t="s">
        <v>681</v>
      </c>
      <c r="E6533" t="s">
        <v>332</v>
      </c>
      <c r="F6533">
        <v>7</v>
      </c>
      <c r="G6533">
        <v>6.8347666666666704</v>
      </c>
    </row>
    <row r="6534" spans="1:7" x14ac:dyDescent="0.35">
      <c r="A6534" t="s">
        <v>847</v>
      </c>
      <c r="B6534" t="s">
        <v>680</v>
      </c>
      <c r="C6534" s="83">
        <v>46268</v>
      </c>
      <c r="D6534" t="s">
        <v>683</v>
      </c>
      <c r="E6534" t="s">
        <v>727</v>
      </c>
      <c r="F6534">
        <v>22</v>
      </c>
      <c r="G6534">
        <v>18.520533333333301</v>
      </c>
    </row>
    <row r="6535" spans="1:7" x14ac:dyDescent="0.35">
      <c r="A6535" t="s">
        <v>847</v>
      </c>
      <c r="B6535" t="s">
        <v>680</v>
      </c>
      <c r="C6535" s="83">
        <v>46268</v>
      </c>
      <c r="D6535" t="s">
        <v>683</v>
      </c>
      <c r="E6535" t="s">
        <v>334</v>
      </c>
      <c r="F6535">
        <v>20</v>
      </c>
      <c r="G6535">
        <v>23.498550000000002</v>
      </c>
    </row>
    <row r="6536" spans="1:7" x14ac:dyDescent="0.35">
      <c r="A6536" t="s">
        <v>847</v>
      </c>
      <c r="B6536" t="s">
        <v>680</v>
      </c>
      <c r="C6536" s="83">
        <v>46268</v>
      </c>
      <c r="D6536" t="s">
        <v>683</v>
      </c>
      <c r="E6536" t="s">
        <v>728</v>
      </c>
      <c r="F6536">
        <v>12</v>
      </c>
      <c r="G6536">
        <v>7.9684166666666698</v>
      </c>
    </row>
    <row r="6537" spans="1:7" x14ac:dyDescent="0.35">
      <c r="A6537" t="s">
        <v>847</v>
      </c>
      <c r="B6537" t="s">
        <v>680</v>
      </c>
      <c r="C6537" s="83">
        <v>46268</v>
      </c>
      <c r="D6537" t="s">
        <v>689</v>
      </c>
      <c r="E6537" t="s">
        <v>296</v>
      </c>
      <c r="F6537">
        <v>27</v>
      </c>
      <c r="G6537">
        <v>16.825883333333302</v>
      </c>
    </row>
    <row r="6538" spans="1:7" x14ac:dyDescent="0.35">
      <c r="A6538" t="s">
        <v>847</v>
      </c>
      <c r="B6538" t="s">
        <v>680</v>
      </c>
      <c r="C6538" s="83">
        <v>46268</v>
      </c>
      <c r="D6538" t="s">
        <v>689</v>
      </c>
      <c r="E6538" t="s">
        <v>298</v>
      </c>
      <c r="F6538">
        <v>25</v>
      </c>
      <c r="G6538">
        <v>15.1648333333333</v>
      </c>
    </row>
    <row r="6539" spans="1:7" x14ac:dyDescent="0.35">
      <c r="A6539" t="s">
        <v>847</v>
      </c>
      <c r="B6539" t="s">
        <v>680</v>
      </c>
      <c r="C6539" s="83">
        <v>46268</v>
      </c>
      <c r="D6539" t="s">
        <v>689</v>
      </c>
      <c r="E6539" t="s">
        <v>728</v>
      </c>
      <c r="F6539">
        <v>22</v>
      </c>
      <c r="G6539">
        <v>8.6395166666666707</v>
      </c>
    </row>
    <row r="6540" spans="1:7" x14ac:dyDescent="0.35">
      <c r="A6540" t="s">
        <v>847</v>
      </c>
      <c r="B6540" t="s">
        <v>680</v>
      </c>
      <c r="C6540" s="83">
        <v>46268</v>
      </c>
      <c r="D6540" t="s">
        <v>684</v>
      </c>
      <c r="E6540" t="s">
        <v>297</v>
      </c>
      <c r="F6540">
        <v>11</v>
      </c>
      <c r="G6540">
        <v>5.3222833333333304</v>
      </c>
    </row>
    <row r="6541" spans="1:7" x14ac:dyDescent="0.35">
      <c r="A6541" t="s">
        <v>847</v>
      </c>
      <c r="B6541" t="s">
        <v>680</v>
      </c>
      <c r="C6541" s="83">
        <v>46268</v>
      </c>
      <c r="D6541" t="s">
        <v>684</v>
      </c>
      <c r="E6541" t="s">
        <v>728</v>
      </c>
      <c r="F6541">
        <v>10</v>
      </c>
      <c r="G6541">
        <v>6.50871666666667</v>
      </c>
    </row>
    <row r="6542" spans="1:7" x14ac:dyDescent="0.35">
      <c r="A6542" t="s">
        <v>847</v>
      </c>
      <c r="B6542" t="s">
        <v>680</v>
      </c>
      <c r="C6542" s="83">
        <v>46268</v>
      </c>
      <c r="D6542" t="s">
        <v>684</v>
      </c>
      <c r="E6542" t="s">
        <v>296</v>
      </c>
      <c r="F6542">
        <v>5</v>
      </c>
      <c r="G6542">
        <v>1.8209500000000001</v>
      </c>
    </row>
    <row r="6543" spans="1:7" x14ac:dyDescent="0.35">
      <c r="A6543" t="s">
        <v>847</v>
      </c>
      <c r="B6543" t="s">
        <v>680</v>
      </c>
      <c r="C6543" s="83">
        <v>46268</v>
      </c>
      <c r="D6543" t="s">
        <v>687</v>
      </c>
      <c r="E6543" t="s">
        <v>746</v>
      </c>
      <c r="F6543">
        <v>6</v>
      </c>
      <c r="G6543">
        <v>6.1676500000000001</v>
      </c>
    </row>
    <row r="6544" spans="1:7" x14ac:dyDescent="0.35">
      <c r="A6544" t="s">
        <v>847</v>
      </c>
      <c r="B6544" t="s">
        <v>680</v>
      </c>
      <c r="C6544" s="83">
        <v>46268</v>
      </c>
      <c r="D6544" t="s">
        <v>687</v>
      </c>
      <c r="E6544" t="s">
        <v>733</v>
      </c>
      <c r="F6544">
        <v>3</v>
      </c>
      <c r="G6544">
        <v>2.5085166666666701</v>
      </c>
    </row>
    <row r="6545" spans="1:7" x14ac:dyDescent="0.35">
      <c r="A6545" t="s">
        <v>847</v>
      </c>
      <c r="B6545" t="s">
        <v>680</v>
      </c>
      <c r="C6545" s="83">
        <v>46268</v>
      </c>
      <c r="D6545" t="s">
        <v>687</v>
      </c>
      <c r="E6545" t="s">
        <v>717</v>
      </c>
      <c r="F6545">
        <v>3</v>
      </c>
      <c r="G6545">
        <v>1.32398333333333</v>
      </c>
    </row>
    <row r="6546" spans="1:7" x14ac:dyDescent="0.35">
      <c r="A6546" t="s">
        <v>847</v>
      </c>
      <c r="B6546" t="s">
        <v>680</v>
      </c>
      <c r="C6546" s="83">
        <v>46268</v>
      </c>
      <c r="D6546" t="s">
        <v>688</v>
      </c>
      <c r="E6546" t="s">
        <v>311</v>
      </c>
      <c r="F6546">
        <v>10</v>
      </c>
      <c r="G6546">
        <v>8.1524833333333309</v>
      </c>
    </row>
    <row r="6547" spans="1:7" x14ac:dyDescent="0.35">
      <c r="A6547" t="s">
        <v>847</v>
      </c>
      <c r="B6547" t="s">
        <v>680</v>
      </c>
      <c r="C6547" s="83">
        <v>46268</v>
      </c>
      <c r="D6547" t="s">
        <v>688</v>
      </c>
      <c r="E6547" t="s">
        <v>316</v>
      </c>
      <c r="F6547">
        <v>6</v>
      </c>
      <c r="G6547">
        <v>2.0085999999999999</v>
      </c>
    </row>
    <row r="6548" spans="1:7" x14ac:dyDescent="0.35">
      <c r="A6548" t="s">
        <v>847</v>
      </c>
      <c r="B6548" t="s">
        <v>680</v>
      </c>
      <c r="C6548" s="83">
        <v>46268</v>
      </c>
      <c r="D6548" t="s">
        <v>688</v>
      </c>
      <c r="E6548" t="s">
        <v>720</v>
      </c>
      <c r="F6548">
        <v>3</v>
      </c>
      <c r="G6548">
        <v>13.612550000000001</v>
      </c>
    </row>
    <row r="6549" spans="1:7" x14ac:dyDescent="0.35">
      <c r="A6549" t="s">
        <v>847</v>
      </c>
      <c r="B6549" t="s">
        <v>680</v>
      </c>
      <c r="C6549" s="83">
        <v>46268</v>
      </c>
      <c r="D6549" t="s">
        <v>690</v>
      </c>
      <c r="E6549" t="s">
        <v>316</v>
      </c>
      <c r="F6549">
        <v>7</v>
      </c>
      <c r="G6549">
        <v>4.8168833333333296</v>
      </c>
    </row>
    <row r="6550" spans="1:7" x14ac:dyDescent="0.35">
      <c r="A6550" t="s">
        <v>847</v>
      </c>
      <c r="B6550" t="s">
        <v>680</v>
      </c>
      <c r="C6550" s="83">
        <v>46268</v>
      </c>
      <c r="D6550" t="s">
        <v>690</v>
      </c>
      <c r="E6550" t="s">
        <v>720</v>
      </c>
      <c r="F6550">
        <v>7</v>
      </c>
      <c r="G6550">
        <v>5.1671166666666704</v>
      </c>
    </row>
    <row r="6551" spans="1:7" x14ac:dyDescent="0.35">
      <c r="A6551" t="s">
        <v>847</v>
      </c>
      <c r="B6551" t="s">
        <v>680</v>
      </c>
      <c r="C6551" s="83">
        <v>46268</v>
      </c>
      <c r="D6551" t="s">
        <v>690</v>
      </c>
      <c r="E6551" t="s">
        <v>311</v>
      </c>
      <c r="F6551">
        <v>3</v>
      </c>
      <c r="G6551">
        <v>0.83108333333333295</v>
      </c>
    </row>
    <row r="6552" spans="1:7" x14ac:dyDescent="0.35">
      <c r="A6552" t="s">
        <v>847</v>
      </c>
      <c r="B6552" t="s">
        <v>680</v>
      </c>
      <c r="C6552" s="83">
        <v>46268</v>
      </c>
      <c r="D6552" t="s">
        <v>685</v>
      </c>
      <c r="E6552" t="s">
        <v>739</v>
      </c>
      <c r="F6552">
        <v>4</v>
      </c>
      <c r="G6552">
        <v>3.9860833333333301</v>
      </c>
    </row>
    <row r="6553" spans="1:7" x14ac:dyDescent="0.35">
      <c r="A6553" t="s">
        <v>847</v>
      </c>
      <c r="B6553" t="s">
        <v>680</v>
      </c>
      <c r="C6553" s="83">
        <v>46268</v>
      </c>
      <c r="D6553" t="s">
        <v>685</v>
      </c>
      <c r="E6553" t="s">
        <v>126</v>
      </c>
      <c r="F6553">
        <v>4</v>
      </c>
      <c r="G6553">
        <v>5.3343833333333297</v>
      </c>
    </row>
    <row r="6554" spans="1:7" x14ac:dyDescent="0.35">
      <c r="A6554" t="s">
        <v>847</v>
      </c>
      <c r="B6554" t="s">
        <v>680</v>
      </c>
      <c r="C6554" s="83">
        <v>46268</v>
      </c>
      <c r="D6554" t="s">
        <v>685</v>
      </c>
      <c r="E6554" t="s">
        <v>720</v>
      </c>
      <c r="F6554">
        <v>4</v>
      </c>
      <c r="G6554">
        <v>2.0064833333333301</v>
      </c>
    </row>
    <row r="6555" spans="1:7" x14ac:dyDescent="0.35">
      <c r="A6555" t="s">
        <v>847</v>
      </c>
      <c r="B6555" t="s">
        <v>680</v>
      </c>
      <c r="C6555" s="83">
        <v>46268</v>
      </c>
      <c r="D6555" t="s">
        <v>682</v>
      </c>
      <c r="E6555" t="s">
        <v>822</v>
      </c>
      <c r="F6555">
        <v>2</v>
      </c>
      <c r="G6555">
        <v>10.258183333333299</v>
      </c>
    </row>
    <row r="6556" spans="1:7" x14ac:dyDescent="0.35">
      <c r="A6556" t="s">
        <v>847</v>
      </c>
      <c r="B6556" t="s">
        <v>680</v>
      </c>
      <c r="C6556" s="83">
        <v>46268</v>
      </c>
      <c r="D6556" t="s">
        <v>682</v>
      </c>
      <c r="E6556" t="s">
        <v>311</v>
      </c>
      <c r="F6556">
        <v>2</v>
      </c>
      <c r="G6556">
        <v>0.16420000000000001</v>
      </c>
    </row>
    <row r="6557" spans="1:7" x14ac:dyDescent="0.35">
      <c r="A6557" t="s">
        <v>847</v>
      </c>
      <c r="B6557" t="s">
        <v>680</v>
      </c>
      <c r="C6557" s="83">
        <v>46268</v>
      </c>
      <c r="D6557" t="s">
        <v>682</v>
      </c>
      <c r="E6557" t="s">
        <v>720</v>
      </c>
      <c r="F6557">
        <v>2</v>
      </c>
      <c r="G6557">
        <v>1.83335</v>
      </c>
    </row>
    <row r="6558" spans="1:7" x14ac:dyDescent="0.35">
      <c r="A6558" t="s">
        <v>847</v>
      </c>
      <c r="B6558" t="s">
        <v>680</v>
      </c>
      <c r="C6558" s="83">
        <v>46268</v>
      </c>
      <c r="D6558" t="s">
        <v>686</v>
      </c>
      <c r="E6558" t="s">
        <v>806</v>
      </c>
      <c r="F6558">
        <v>11</v>
      </c>
      <c r="G6558">
        <v>58.661299999999997</v>
      </c>
    </row>
    <row r="6559" spans="1:7" x14ac:dyDescent="0.35">
      <c r="A6559" t="s">
        <v>847</v>
      </c>
      <c r="B6559" t="s">
        <v>680</v>
      </c>
      <c r="C6559" s="83">
        <v>46268</v>
      </c>
      <c r="D6559" t="s">
        <v>686</v>
      </c>
      <c r="E6559" t="s">
        <v>789</v>
      </c>
      <c r="F6559">
        <v>9</v>
      </c>
      <c r="G6559">
        <v>13.327999999999999</v>
      </c>
    </row>
    <row r="6560" spans="1:7" x14ac:dyDescent="0.35">
      <c r="A6560" t="s">
        <v>847</v>
      </c>
      <c r="B6560" t="s">
        <v>680</v>
      </c>
      <c r="C6560" s="83">
        <v>46268</v>
      </c>
      <c r="D6560" t="s">
        <v>686</v>
      </c>
      <c r="E6560" t="s">
        <v>554</v>
      </c>
      <c r="F6560">
        <v>8</v>
      </c>
      <c r="G6560">
        <v>6.4952833333333304</v>
      </c>
    </row>
    <row r="6561" spans="1:7" x14ac:dyDescent="0.35">
      <c r="A6561" t="s">
        <v>847</v>
      </c>
      <c r="B6561" t="s">
        <v>680</v>
      </c>
      <c r="C6561" s="83">
        <v>46269</v>
      </c>
      <c r="D6561" t="s">
        <v>681</v>
      </c>
      <c r="E6561" t="s">
        <v>296</v>
      </c>
      <c r="F6561">
        <v>7</v>
      </c>
      <c r="G6561">
        <v>3.1754833333333301</v>
      </c>
    </row>
    <row r="6562" spans="1:7" x14ac:dyDescent="0.35">
      <c r="A6562" t="s">
        <v>847</v>
      </c>
      <c r="B6562" t="s">
        <v>680</v>
      </c>
      <c r="C6562" s="83">
        <v>46269</v>
      </c>
      <c r="D6562" t="s">
        <v>681</v>
      </c>
      <c r="E6562" t="s">
        <v>297</v>
      </c>
      <c r="F6562">
        <v>2</v>
      </c>
      <c r="G6562">
        <v>0.16676666666666701</v>
      </c>
    </row>
    <row r="6563" spans="1:7" x14ac:dyDescent="0.35">
      <c r="A6563" t="s">
        <v>847</v>
      </c>
      <c r="B6563" t="s">
        <v>680</v>
      </c>
      <c r="C6563" s="83">
        <v>46269</v>
      </c>
      <c r="D6563" t="s">
        <v>681</v>
      </c>
      <c r="E6563" t="s">
        <v>823</v>
      </c>
      <c r="F6563">
        <v>2</v>
      </c>
      <c r="G6563">
        <v>13.3417666666667</v>
      </c>
    </row>
    <row r="6564" spans="1:7" x14ac:dyDescent="0.35">
      <c r="A6564" t="s">
        <v>847</v>
      </c>
      <c r="B6564" t="s">
        <v>680</v>
      </c>
      <c r="C6564" s="83">
        <v>46269</v>
      </c>
      <c r="D6564" t="s">
        <v>683</v>
      </c>
      <c r="E6564" t="s">
        <v>300</v>
      </c>
      <c r="F6564">
        <v>7</v>
      </c>
      <c r="G6564">
        <v>10.997866666666701</v>
      </c>
    </row>
    <row r="6565" spans="1:7" x14ac:dyDescent="0.35">
      <c r="A6565" t="s">
        <v>847</v>
      </c>
      <c r="B6565" t="s">
        <v>680</v>
      </c>
      <c r="C6565" s="83">
        <v>46269</v>
      </c>
      <c r="D6565" t="s">
        <v>683</v>
      </c>
      <c r="E6565" t="s">
        <v>296</v>
      </c>
      <c r="F6565">
        <v>5</v>
      </c>
      <c r="G6565">
        <v>2.6219666666666699</v>
      </c>
    </row>
    <row r="6566" spans="1:7" x14ac:dyDescent="0.35">
      <c r="A6566" t="s">
        <v>847</v>
      </c>
      <c r="B6566" t="s">
        <v>680</v>
      </c>
      <c r="C6566" s="83">
        <v>46269</v>
      </c>
      <c r="D6566" t="s">
        <v>683</v>
      </c>
      <c r="E6566" t="s">
        <v>298</v>
      </c>
      <c r="F6566">
        <v>3</v>
      </c>
      <c r="G6566">
        <v>1.6597500000000001</v>
      </c>
    </row>
    <row r="6567" spans="1:7" x14ac:dyDescent="0.35">
      <c r="A6567" t="s">
        <v>847</v>
      </c>
      <c r="B6567" t="s">
        <v>680</v>
      </c>
      <c r="C6567" s="83">
        <v>46269</v>
      </c>
      <c r="D6567" t="s">
        <v>689</v>
      </c>
      <c r="E6567" t="s">
        <v>296</v>
      </c>
      <c r="F6567">
        <v>9</v>
      </c>
      <c r="G6567">
        <v>3.4869333333333299</v>
      </c>
    </row>
    <row r="6568" spans="1:7" x14ac:dyDescent="0.35">
      <c r="A6568" t="s">
        <v>847</v>
      </c>
      <c r="B6568" t="s">
        <v>680</v>
      </c>
      <c r="C6568" s="83">
        <v>46269</v>
      </c>
      <c r="D6568" t="s">
        <v>689</v>
      </c>
      <c r="E6568" t="s">
        <v>297</v>
      </c>
      <c r="F6568">
        <v>6</v>
      </c>
      <c r="G6568">
        <v>3.3197999999999999</v>
      </c>
    </row>
    <row r="6569" spans="1:7" x14ac:dyDescent="0.35">
      <c r="A6569" t="s">
        <v>847</v>
      </c>
      <c r="B6569" t="s">
        <v>680</v>
      </c>
      <c r="C6569" s="83">
        <v>46269</v>
      </c>
      <c r="D6569" t="s">
        <v>689</v>
      </c>
      <c r="E6569" t="s">
        <v>728</v>
      </c>
      <c r="F6569">
        <v>5</v>
      </c>
      <c r="G6569">
        <v>1.4923833333333301</v>
      </c>
    </row>
    <row r="6570" spans="1:7" x14ac:dyDescent="0.35">
      <c r="A6570" t="s">
        <v>847</v>
      </c>
      <c r="B6570" t="s">
        <v>680</v>
      </c>
      <c r="C6570" s="83">
        <v>46269</v>
      </c>
      <c r="D6570" t="s">
        <v>684</v>
      </c>
      <c r="E6570" t="s">
        <v>297</v>
      </c>
      <c r="F6570">
        <v>4</v>
      </c>
      <c r="G6570">
        <v>1.83561666666667</v>
      </c>
    </row>
    <row r="6571" spans="1:7" x14ac:dyDescent="0.35">
      <c r="A6571" t="s">
        <v>847</v>
      </c>
      <c r="B6571" t="s">
        <v>680</v>
      </c>
      <c r="C6571" s="83">
        <v>46269</v>
      </c>
      <c r="D6571" t="s">
        <v>684</v>
      </c>
      <c r="E6571" t="s">
        <v>769</v>
      </c>
      <c r="F6571">
        <v>2</v>
      </c>
      <c r="G6571">
        <v>3.0328833333333298</v>
      </c>
    </row>
    <row r="6572" spans="1:7" x14ac:dyDescent="0.35">
      <c r="A6572" t="s">
        <v>847</v>
      </c>
      <c r="B6572" t="s">
        <v>680</v>
      </c>
      <c r="C6572" s="83">
        <v>46269</v>
      </c>
      <c r="D6572" t="s">
        <v>684</v>
      </c>
      <c r="E6572" t="s">
        <v>304</v>
      </c>
      <c r="F6572">
        <v>2</v>
      </c>
      <c r="G6572">
        <v>0.1734</v>
      </c>
    </row>
    <row r="6573" spans="1:7" x14ac:dyDescent="0.35">
      <c r="A6573" t="s">
        <v>847</v>
      </c>
      <c r="B6573" t="s">
        <v>680</v>
      </c>
      <c r="C6573" s="83">
        <v>46269</v>
      </c>
      <c r="D6573" t="s">
        <v>687</v>
      </c>
      <c r="E6573" t="s">
        <v>747</v>
      </c>
      <c r="F6573">
        <v>2</v>
      </c>
      <c r="G6573">
        <v>2.1671833333333299</v>
      </c>
    </row>
    <row r="6574" spans="1:7" x14ac:dyDescent="0.35">
      <c r="A6574" t="s">
        <v>847</v>
      </c>
      <c r="B6574" t="s">
        <v>680</v>
      </c>
      <c r="C6574" s="83">
        <v>46269</v>
      </c>
      <c r="D6574" t="s">
        <v>687</v>
      </c>
      <c r="E6574" t="s">
        <v>824</v>
      </c>
      <c r="F6574">
        <v>2</v>
      </c>
      <c r="G6574">
        <v>0.66668333333333296</v>
      </c>
    </row>
    <row r="6575" spans="1:7" x14ac:dyDescent="0.35">
      <c r="A6575" t="s">
        <v>847</v>
      </c>
      <c r="B6575" t="s">
        <v>680</v>
      </c>
      <c r="C6575" s="83">
        <v>46269</v>
      </c>
      <c r="D6575" t="s">
        <v>688</v>
      </c>
      <c r="E6575" t="s">
        <v>720</v>
      </c>
      <c r="F6575">
        <v>3</v>
      </c>
      <c r="G6575">
        <v>20.335633333333298</v>
      </c>
    </row>
    <row r="6576" spans="1:7" x14ac:dyDescent="0.35">
      <c r="A6576" t="s">
        <v>847</v>
      </c>
      <c r="B6576" t="s">
        <v>680</v>
      </c>
      <c r="C6576" s="83">
        <v>46269</v>
      </c>
      <c r="D6576" t="s">
        <v>690</v>
      </c>
      <c r="E6576" t="s">
        <v>720</v>
      </c>
      <c r="F6576">
        <v>3</v>
      </c>
      <c r="G6576">
        <v>33.004350000000002</v>
      </c>
    </row>
    <row r="6577" spans="1:7" x14ac:dyDescent="0.35">
      <c r="A6577" t="s">
        <v>847</v>
      </c>
      <c r="B6577" t="s">
        <v>680</v>
      </c>
      <c r="C6577" s="83">
        <v>46269</v>
      </c>
      <c r="D6577" t="s">
        <v>685</v>
      </c>
      <c r="E6577" t="s">
        <v>311</v>
      </c>
      <c r="F6577">
        <v>10</v>
      </c>
      <c r="G6577">
        <v>6.3273000000000001</v>
      </c>
    </row>
    <row r="6578" spans="1:7" x14ac:dyDescent="0.35">
      <c r="A6578" t="s">
        <v>847</v>
      </c>
      <c r="B6578" t="s">
        <v>680</v>
      </c>
      <c r="C6578" s="83">
        <v>46269</v>
      </c>
      <c r="D6578" t="s">
        <v>685</v>
      </c>
      <c r="E6578" t="s">
        <v>321</v>
      </c>
      <c r="F6578">
        <v>3</v>
      </c>
      <c r="G6578">
        <v>0.82489999999999997</v>
      </c>
    </row>
    <row r="6579" spans="1:7" x14ac:dyDescent="0.35">
      <c r="A6579" t="s">
        <v>847</v>
      </c>
      <c r="B6579" t="s">
        <v>680</v>
      </c>
      <c r="C6579" s="83">
        <v>46269</v>
      </c>
      <c r="D6579" t="s">
        <v>685</v>
      </c>
      <c r="E6579" t="s">
        <v>720</v>
      </c>
      <c r="F6579">
        <v>3</v>
      </c>
      <c r="G6579">
        <v>1.16716666666667</v>
      </c>
    </row>
    <row r="6580" spans="1:7" x14ac:dyDescent="0.35">
      <c r="A6580" t="s">
        <v>847</v>
      </c>
      <c r="B6580" t="s">
        <v>680</v>
      </c>
      <c r="C6580" s="83">
        <v>46269</v>
      </c>
      <c r="D6580" t="s">
        <v>682</v>
      </c>
      <c r="E6580" t="s">
        <v>311</v>
      </c>
      <c r="F6580">
        <v>3</v>
      </c>
      <c r="G6580">
        <v>0.49390000000000001</v>
      </c>
    </row>
    <row r="6581" spans="1:7" x14ac:dyDescent="0.35">
      <c r="A6581" t="s">
        <v>847</v>
      </c>
      <c r="B6581" t="s">
        <v>680</v>
      </c>
      <c r="C6581" s="83">
        <v>46269</v>
      </c>
      <c r="D6581" t="s">
        <v>682</v>
      </c>
      <c r="E6581" t="s">
        <v>822</v>
      </c>
      <c r="F6581">
        <v>2</v>
      </c>
      <c r="G6581">
        <v>1.3338666666666701</v>
      </c>
    </row>
    <row r="6582" spans="1:7" x14ac:dyDescent="0.35">
      <c r="A6582" t="s">
        <v>847</v>
      </c>
      <c r="B6582" t="s">
        <v>680</v>
      </c>
      <c r="C6582" s="83">
        <v>46269</v>
      </c>
      <c r="D6582" t="s">
        <v>686</v>
      </c>
      <c r="E6582" t="s">
        <v>789</v>
      </c>
      <c r="F6582">
        <v>3</v>
      </c>
      <c r="G6582">
        <v>0.66779999999999995</v>
      </c>
    </row>
    <row r="6583" spans="1:7" x14ac:dyDescent="0.35">
      <c r="A6583" t="s">
        <v>847</v>
      </c>
      <c r="B6583" t="s">
        <v>680</v>
      </c>
      <c r="C6583" s="83">
        <v>46269</v>
      </c>
      <c r="D6583" t="s">
        <v>686</v>
      </c>
      <c r="E6583" t="s">
        <v>554</v>
      </c>
      <c r="F6583">
        <v>3</v>
      </c>
      <c r="G6583">
        <v>2.1616499999999998</v>
      </c>
    </row>
    <row r="6584" spans="1:7" x14ac:dyDescent="0.35">
      <c r="A6584" t="s">
        <v>847</v>
      </c>
      <c r="B6584" t="s">
        <v>680</v>
      </c>
      <c r="C6584" s="83">
        <v>46269</v>
      </c>
      <c r="D6584" t="s">
        <v>686</v>
      </c>
      <c r="E6584" t="s">
        <v>817</v>
      </c>
      <c r="F6584">
        <v>2</v>
      </c>
      <c r="G6584">
        <v>34.0039333333333</v>
      </c>
    </row>
    <row r="6585" spans="1:7" x14ac:dyDescent="0.35">
      <c r="A6585" t="s">
        <v>847</v>
      </c>
      <c r="B6585" t="s">
        <v>680</v>
      </c>
      <c r="C6585" s="83">
        <v>46270</v>
      </c>
      <c r="D6585" t="s">
        <v>681</v>
      </c>
      <c r="E6585" t="s">
        <v>296</v>
      </c>
      <c r="F6585">
        <v>48</v>
      </c>
      <c r="G6585">
        <v>15.6260166666667</v>
      </c>
    </row>
    <row r="6586" spans="1:7" x14ac:dyDescent="0.35">
      <c r="A6586" t="s">
        <v>847</v>
      </c>
      <c r="B6586" t="s">
        <v>680</v>
      </c>
      <c r="C6586" s="83">
        <v>46270</v>
      </c>
      <c r="D6586" t="s">
        <v>681</v>
      </c>
      <c r="E6586" t="s">
        <v>298</v>
      </c>
      <c r="F6586">
        <v>10</v>
      </c>
      <c r="G6586">
        <v>12.173400000000001</v>
      </c>
    </row>
    <row r="6587" spans="1:7" x14ac:dyDescent="0.35">
      <c r="A6587" t="s">
        <v>847</v>
      </c>
      <c r="B6587" t="s">
        <v>680</v>
      </c>
      <c r="C6587" s="83">
        <v>46270</v>
      </c>
      <c r="D6587" t="s">
        <v>681</v>
      </c>
      <c r="E6587" t="s">
        <v>334</v>
      </c>
      <c r="F6587">
        <v>6</v>
      </c>
      <c r="G6587">
        <v>4.1759000000000004</v>
      </c>
    </row>
    <row r="6588" spans="1:7" x14ac:dyDescent="0.35">
      <c r="A6588" t="s">
        <v>847</v>
      </c>
      <c r="B6588" t="s">
        <v>680</v>
      </c>
      <c r="C6588" s="83">
        <v>46270</v>
      </c>
      <c r="D6588" t="s">
        <v>683</v>
      </c>
      <c r="E6588" t="s">
        <v>296</v>
      </c>
      <c r="F6588">
        <v>10</v>
      </c>
      <c r="G6588">
        <v>1.6753</v>
      </c>
    </row>
    <row r="6589" spans="1:7" x14ac:dyDescent="0.35">
      <c r="A6589" t="s">
        <v>847</v>
      </c>
      <c r="B6589" t="s">
        <v>680</v>
      </c>
      <c r="C6589" s="83">
        <v>46270</v>
      </c>
      <c r="D6589" t="s">
        <v>683</v>
      </c>
      <c r="E6589" t="s">
        <v>334</v>
      </c>
      <c r="F6589">
        <v>8</v>
      </c>
      <c r="G6589">
        <v>2.0066666666666699</v>
      </c>
    </row>
    <row r="6590" spans="1:7" x14ac:dyDescent="0.35">
      <c r="A6590" t="s">
        <v>847</v>
      </c>
      <c r="B6590" t="s">
        <v>680</v>
      </c>
      <c r="C6590" s="83">
        <v>46270</v>
      </c>
      <c r="D6590" t="s">
        <v>683</v>
      </c>
      <c r="E6590" t="s">
        <v>332</v>
      </c>
      <c r="F6590">
        <v>6</v>
      </c>
      <c r="G6590">
        <v>10.6673333333333</v>
      </c>
    </row>
    <row r="6591" spans="1:7" x14ac:dyDescent="0.35">
      <c r="A6591" t="s">
        <v>847</v>
      </c>
      <c r="B6591" t="s">
        <v>680</v>
      </c>
      <c r="C6591" s="83">
        <v>46270</v>
      </c>
      <c r="D6591" t="s">
        <v>689</v>
      </c>
      <c r="E6591" t="s">
        <v>298</v>
      </c>
      <c r="F6591">
        <v>10</v>
      </c>
      <c r="G6591">
        <v>9.8299500000000002</v>
      </c>
    </row>
    <row r="6592" spans="1:7" x14ac:dyDescent="0.35">
      <c r="A6592" t="s">
        <v>847</v>
      </c>
      <c r="B6592" t="s">
        <v>680</v>
      </c>
      <c r="C6592" s="83">
        <v>46270</v>
      </c>
      <c r="D6592" t="s">
        <v>689</v>
      </c>
      <c r="E6592" t="s">
        <v>332</v>
      </c>
      <c r="F6592">
        <v>9</v>
      </c>
      <c r="G6592">
        <v>3.1723166666666698</v>
      </c>
    </row>
    <row r="6593" spans="1:7" x14ac:dyDescent="0.35">
      <c r="A6593" t="s">
        <v>847</v>
      </c>
      <c r="B6593" t="s">
        <v>680</v>
      </c>
      <c r="C6593" s="83">
        <v>46270</v>
      </c>
      <c r="D6593" t="s">
        <v>689</v>
      </c>
      <c r="E6593" t="s">
        <v>296</v>
      </c>
      <c r="F6593">
        <v>8</v>
      </c>
      <c r="G6593">
        <v>2.8107833333333301</v>
      </c>
    </row>
    <row r="6594" spans="1:7" x14ac:dyDescent="0.35">
      <c r="A6594" t="s">
        <v>847</v>
      </c>
      <c r="B6594" t="s">
        <v>680</v>
      </c>
      <c r="C6594" s="83">
        <v>46270</v>
      </c>
      <c r="D6594" t="s">
        <v>684</v>
      </c>
      <c r="E6594" t="s">
        <v>296</v>
      </c>
      <c r="F6594">
        <v>5</v>
      </c>
      <c r="G6594">
        <v>3.1662833333333298</v>
      </c>
    </row>
    <row r="6595" spans="1:7" x14ac:dyDescent="0.35">
      <c r="A6595" t="s">
        <v>847</v>
      </c>
      <c r="B6595" t="s">
        <v>680</v>
      </c>
      <c r="C6595" s="83">
        <v>46270</v>
      </c>
      <c r="D6595" t="s">
        <v>684</v>
      </c>
      <c r="E6595" t="s">
        <v>304</v>
      </c>
      <c r="F6595">
        <v>2</v>
      </c>
      <c r="G6595">
        <v>0.333666666666667</v>
      </c>
    </row>
    <row r="6596" spans="1:7" x14ac:dyDescent="0.35">
      <c r="A6596" t="s">
        <v>847</v>
      </c>
      <c r="B6596" t="s">
        <v>680</v>
      </c>
      <c r="C6596" s="83">
        <v>46270</v>
      </c>
      <c r="D6596" t="s">
        <v>684</v>
      </c>
      <c r="E6596" t="s">
        <v>334</v>
      </c>
      <c r="F6596">
        <v>2</v>
      </c>
      <c r="G6596">
        <v>5.8355499999999996</v>
      </c>
    </row>
    <row r="6597" spans="1:7" x14ac:dyDescent="0.35">
      <c r="A6597" t="s">
        <v>847</v>
      </c>
      <c r="B6597" t="s">
        <v>680</v>
      </c>
      <c r="C6597" s="83">
        <v>46270</v>
      </c>
      <c r="D6597" t="s">
        <v>687</v>
      </c>
      <c r="E6597" t="s">
        <v>717</v>
      </c>
      <c r="F6597">
        <v>19</v>
      </c>
      <c r="G6597">
        <v>12.173033333333301</v>
      </c>
    </row>
    <row r="6598" spans="1:7" x14ac:dyDescent="0.35">
      <c r="A6598" t="s">
        <v>847</v>
      </c>
      <c r="B6598" t="s">
        <v>680</v>
      </c>
      <c r="C6598" s="83">
        <v>46270</v>
      </c>
      <c r="D6598" t="s">
        <v>687</v>
      </c>
      <c r="E6598" t="s">
        <v>719</v>
      </c>
      <c r="F6598">
        <v>5</v>
      </c>
      <c r="G6598">
        <v>1.66061666666667</v>
      </c>
    </row>
    <row r="6599" spans="1:7" x14ac:dyDescent="0.35">
      <c r="A6599" t="s">
        <v>847</v>
      </c>
      <c r="B6599" t="s">
        <v>680</v>
      </c>
      <c r="C6599" s="83">
        <v>46270</v>
      </c>
      <c r="D6599" t="s">
        <v>687</v>
      </c>
      <c r="E6599" t="s">
        <v>746</v>
      </c>
      <c r="F6599">
        <v>4</v>
      </c>
      <c r="G6599">
        <v>1.9937499999999999</v>
      </c>
    </row>
    <row r="6600" spans="1:7" x14ac:dyDescent="0.35">
      <c r="A6600" t="s">
        <v>847</v>
      </c>
      <c r="B6600" t="s">
        <v>680</v>
      </c>
      <c r="C6600" s="83">
        <v>46270</v>
      </c>
      <c r="D6600" t="s">
        <v>688</v>
      </c>
      <c r="E6600" t="s">
        <v>311</v>
      </c>
      <c r="F6600">
        <v>14</v>
      </c>
      <c r="G6600">
        <v>8.6907166666666704</v>
      </c>
    </row>
    <row r="6601" spans="1:7" x14ac:dyDescent="0.35">
      <c r="A6601" t="s">
        <v>847</v>
      </c>
      <c r="B6601" t="s">
        <v>680</v>
      </c>
      <c r="C6601" s="83">
        <v>46270</v>
      </c>
      <c r="D6601" t="s">
        <v>688</v>
      </c>
      <c r="E6601" t="s">
        <v>720</v>
      </c>
      <c r="F6601">
        <v>8</v>
      </c>
      <c r="G6601">
        <v>4.33226666666667</v>
      </c>
    </row>
    <row r="6602" spans="1:7" x14ac:dyDescent="0.35">
      <c r="A6602" t="s">
        <v>847</v>
      </c>
      <c r="B6602" t="s">
        <v>680</v>
      </c>
      <c r="C6602" s="83">
        <v>46270</v>
      </c>
      <c r="D6602" t="s">
        <v>688</v>
      </c>
      <c r="E6602" t="s">
        <v>316</v>
      </c>
      <c r="F6602">
        <v>6</v>
      </c>
      <c r="G6602">
        <v>2.1727166666666702</v>
      </c>
    </row>
    <row r="6603" spans="1:7" x14ac:dyDescent="0.35">
      <c r="A6603" t="s">
        <v>847</v>
      </c>
      <c r="B6603" t="s">
        <v>680</v>
      </c>
      <c r="C6603" s="83">
        <v>46270</v>
      </c>
      <c r="D6603" t="s">
        <v>690</v>
      </c>
      <c r="E6603" t="s">
        <v>316</v>
      </c>
      <c r="F6603">
        <v>8</v>
      </c>
      <c r="G6603">
        <v>2.4982500000000001</v>
      </c>
    </row>
    <row r="6604" spans="1:7" x14ac:dyDescent="0.35">
      <c r="A6604" t="s">
        <v>847</v>
      </c>
      <c r="B6604" t="s">
        <v>680</v>
      </c>
      <c r="C6604" s="83">
        <v>46270</v>
      </c>
      <c r="D6604" t="s">
        <v>690</v>
      </c>
      <c r="E6604" t="s">
        <v>311</v>
      </c>
      <c r="F6604">
        <v>6</v>
      </c>
      <c r="G6604">
        <v>43.167366666666702</v>
      </c>
    </row>
    <row r="6605" spans="1:7" x14ac:dyDescent="0.35">
      <c r="A6605" t="s">
        <v>847</v>
      </c>
      <c r="B6605" t="s">
        <v>680</v>
      </c>
      <c r="C6605" s="83">
        <v>46270</v>
      </c>
      <c r="D6605" t="s">
        <v>690</v>
      </c>
      <c r="E6605" t="s">
        <v>720</v>
      </c>
      <c r="F6605">
        <v>5</v>
      </c>
      <c r="G6605">
        <v>7.4945500000000003</v>
      </c>
    </row>
    <row r="6606" spans="1:7" x14ac:dyDescent="0.35">
      <c r="A6606" t="s">
        <v>847</v>
      </c>
      <c r="B6606" t="s">
        <v>680</v>
      </c>
      <c r="C6606" s="83">
        <v>46270</v>
      </c>
      <c r="D6606" t="s">
        <v>685</v>
      </c>
      <c r="E6606" t="s">
        <v>316</v>
      </c>
      <c r="F6606">
        <v>8</v>
      </c>
      <c r="G6606">
        <v>3.5132333333333299</v>
      </c>
    </row>
    <row r="6607" spans="1:7" x14ac:dyDescent="0.35">
      <c r="A6607" t="s">
        <v>847</v>
      </c>
      <c r="B6607" t="s">
        <v>680</v>
      </c>
      <c r="C6607" s="83">
        <v>46270</v>
      </c>
      <c r="D6607" t="s">
        <v>685</v>
      </c>
      <c r="E6607" t="s">
        <v>751</v>
      </c>
      <c r="F6607">
        <v>5</v>
      </c>
      <c r="G6607">
        <v>2.9884166666666698</v>
      </c>
    </row>
    <row r="6608" spans="1:7" x14ac:dyDescent="0.35">
      <c r="A6608" t="s">
        <v>847</v>
      </c>
      <c r="B6608" t="s">
        <v>680</v>
      </c>
      <c r="C6608" s="83">
        <v>46270</v>
      </c>
      <c r="D6608" t="s">
        <v>685</v>
      </c>
      <c r="E6608" t="s">
        <v>311</v>
      </c>
      <c r="F6608">
        <v>5</v>
      </c>
      <c r="G6608">
        <v>2.15418333333333</v>
      </c>
    </row>
    <row r="6609" spans="1:7" x14ac:dyDescent="0.35">
      <c r="A6609" t="s">
        <v>847</v>
      </c>
      <c r="B6609" t="s">
        <v>680</v>
      </c>
      <c r="C6609" s="83">
        <v>46270</v>
      </c>
      <c r="D6609" t="s">
        <v>682</v>
      </c>
      <c r="E6609" t="s">
        <v>720</v>
      </c>
      <c r="F6609">
        <v>5</v>
      </c>
      <c r="G6609">
        <v>3.6664666666666701</v>
      </c>
    </row>
    <row r="6610" spans="1:7" x14ac:dyDescent="0.35">
      <c r="A6610" t="s">
        <v>847</v>
      </c>
      <c r="B6610" t="s">
        <v>680</v>
      </c>
      <c r="C6610" s="83">
        <v>46270</v>
      </c>
      <c r="D6610" t="s">
        <v>682</v>
      </c>
      <c r="E6610" t="s">
        <v>725</v>
      </c>
      <c r="F6610">
        <v>3</v>
      </c>
      <c r="G6610">
        <v>1.6664333333333301</v>
      </c>
    </row>
    <row r="6611" spans="1:7" x14ac:dyDescent="0.35">
      <c r="A6611" t="s">
        <v>847</v>
      </c>
      <c r="B6611" t="s">
        <v>680</v>
      </c>
      <c r="C6611" s="83">
        <v>46270</v>
      </c>
      <c r="D6611" t="s">
        <v>682</v>
      </c>
      <c r="E6611" t="s">
        <v>808</v>
      </c>
      <c r="F6611">
        <v>3</v>
      </c>
      <c r="G6611">
        <v>0.66716666666666702</v>
      </c>
    </row>
    <row r="6612" spans="1:7" x14ac:dyDescent="0.35">
      <c r="A6612" t="s">
        <v>847</v>
      </c>
      <c r="B6612" t="s">
        <v>680</v>
      </c>
      <c r="C6612" s="83">
        <v>46270</v>
      </c>
      <c r="D6612" t="s">
        <v>686</v>
      </c>
      <c r="E6612" t="s">
        <v>789</v>
      </c>
      <c r="F6612">
        <v>5</v>
      </c>
      <c r="G6612">
        <v>40.1743666666667</v>
      </c>
    </row>
    <row r="6613" spans="1:7" x14ac:dyDescent="0.35">
      <c r="A6613" t="s">
        <v>847</v>
      </c>
      <c r="B6613" t="s">
        <v>680</v>
      </c>
      <c r="C6613" s="83">
        <v>46270</v>
      </c>
      <c r="D6613" t="s">
        <v>686</v>
      </c>
      <c r="E6613" t="s">
        <v>819</v>
      </c>
      <c r="F6613">
        <v>2</v>
      </c>
      <c r="G6613">
        <v>0.17383333333333301</v>
      </c>
    </row>
    <row r="6614" spans="1:7" x14ac:dyDescent="0.35">
      <c r="A6614" t="s">
        <v>847</v>
      </c>
      <c r="B6614" t="s">
        <v>680</v>
      </c>
      <c r="C6614" s="83">
        <v>46270</v>
      </c>
      <c r="D6614" t="s">
        <v>686</v>
      </c>
      <c r="E6614" t="s">
        <v>797</v>
      </c>
      <c r="F6614">
        <v>2</v>
      </c>
      <c r="G6614">
        <v>16.16855</v>
      </c>
    </row>
    <row r="6615" spans="1:7" x14ac:dyDescent="0.35">
      <c r="A6615" t="s">
        <v>847</v>
      </c>
      <c r="B6615" t="s">
        <v>680</v>
      </c>
      <c r="C6615" s="83">
        <v>46271</v>
      </c>
      <c r="D6615" t="s">
        <v>681</v>
      </c>
      <c r="E6615" t="s">
        <v>296</v>
      </c>
      <c r="F6615">
        <v>79</v>
      </c>
      <c r="G6615">
        <v>32.21725</v>
      </c>
    </row>
    <row r="6616" spans="1:7" x14ac:dyDescent="0.35">
      <c r="A6616" t="s">
        <v>847</v>
      </c>
      <c r="B6616" t="s">
        <v>680</v>
      </c>
      <c r="C6616" s="83">
        <v>46271</v>
      </c>
      <c r="D6616" t="s">
        <v>681</v>
      </c>
      <c r="E6616" t="s">
        <v>298</v>
      </c>
      <c r="F6616">
        <v>10</v>
      </c>
      <c r="G6616">
        <v>11.311349999999999</v>
      </c>
    </row>
    <row r="6617" spans="1:7" x14ac:dyDescent="0.35">
      <c r="A6617" t="s">
        <v>847</v>
      </c>
      <c r="B6617" t="s">
        <v>680</v>
      </c>
      <c r="C6617" s="83">
        <v>46271</v>
      </c>
      <c r="D6617" t="s">
        <v>681</v>
      </c>
      <c r="E6617" t="s">
        <v>300</v>
      </c>
      <c r="F6617">
        <v>3</v>
      </c>
      <c r="G6617">
        <v>0.50068333333333304</v>
      </c>
    </row>
    <row r="6618" spans="1:7" x14ac:dyDescent="0.35">
      <c r="A6618" t="s">
        <v>847</v>
      </c>
      <c r="B6618" t="s">
        <v>680</v>
      </c>
      <c r="C6618" s="83">
        <v>46271</v>
      </c>
      <c r="D6618" t="s">
        <v>683</v>
      </c>
      <c r="E6618" t="s">
        <v>296</v>
      </c>
      <c r="F6618">
        <v>29</v>
      </c>
      <c r="G6618">
        <v>13.3446333333333</v>
      </c>
    </row>
    <row r="6619" spans="1:7" x14ac:dyDescent="0.35">
      <c r="A6619" t="s">
        <v>847</v>
      </c>
      <c r="B6619" t="s">
        <v>680</v>
      </c>
      <c r="C6619" s="83">
        <v>46271</v>
      </c>
      <c r="D6619" t="s">
        <v>683</v>
      </c>
      <c r="E6619" t="s">
        <v>298</v>
      </c>
      <c r="F6619">
        <v>16</v>
      </c>
      <c r="G6619">
        <v>12.36505</v>
      </c>
    </row>
    <row r="6620" spans="1:7" x14ac:dyDescent="0.35">
      <c r="A6620" t="s">
        <v>847</v>
      </c>
      <c r="B6620" t="s">
        <v>680</v>
      </c>
      <c r="C6620" s="83">
        <v>46271</v>
      </c>
      <c r="D6620" t="s">
        <v>683</v>
      </c>
      <c r="E6620" t="s">
        <v>334</v>
      </c>
      <c r="F6620">
        <v>10</v>
      </c>
      <c r="G6620">
        <v>2.1604000000000001</v>
      </c>
    </row>
    <row r="6621" spans="1:7" x14ac:dyDescent="0.35">
      <c r="A6621" t="s">
        <v>847</v>
      </c>
      <c r="B6621" t="s">
        <v>680</v>
      </c>
      <c r="C6621" s="83">
        <v>46271</v>
      </c>
      <c r="D6621" t="s">
        <v>689</v>
      </c>
      <c r="E6621" t="s">
        <v>298</v>
      </c>
      <c r="F6621">
        <v>19</v>
      </c>
      <c r="G6621">
        <v>26.852</v>
      </c>
    </row>
    <row r="6622" spans="1:7" x14ac:dyDescent="0.35">
      <c r="A6622" t="s">
        <v>847</v>
      </c>
      <c r="B6622" t="s">
        <v>680</v>
      </c>
      <c r="C6622" s="83">
        <v>46271</v>
      </c>
      <c r="D6622" t="s">
        <v>689</v>
      </c>
      <c r="E6622" t="s">
        <v>332</v>
      </c>
      <c r="F6622">
        <v>5</v>
      </c>
      <c r="G6622">
        <v>14.834899999999999</v>
      </c>
    </row>
    <row r="6623" spans="1:7" x14ac:dyDescent="0.35">
      <c r="A6623" t="s">
        <v>847</v>
      </c>
      <c r="B6623" t="s">
        <v>680</v>
      </c>
      <c r="C6623" s="83">
        <v>46271</v>
      </c>
      <c r="D6623" t="s">
        <v>689</v>
      </c>
      <c r="E6623" t="s">
        <v>297</v>
      </c>
      <c r="F6623">
        <v>5</v>
      </c>
      <c r="G6623">
        <v>2.01623333333333</v>
      </c>
    </row>
    <row r="6624" spans="1:7" x14ac:dyDescent="0.35">
      <c r="A6624" t="s">
        <v>847</v>
      </c>
      <c r="B6624" t="s">
        <v>680</v>
      </c>
      <c r="C6624" s="83">
        <v>46271</v>
      </c>
      <c r="D6624" t="s">
        <v>684</v>
      </c>
      <c r="E6624" t="s">
        <v>727</v>
      </c>
      <c r="F6624">
        <v>3</v>
      </c>
      <c r="G6624">
        <v>2.5002833333333299</v>
      </c>
    </row>
    <row r="6625" spans="1:7" x14ac:dyDescent="0.35">
      <c r="A6625" t="s">
        <v>847</v>
      </c>
      <c r="B6625" t="s">
        <v>680</v>
      </c>
      <c r="C6625" s="83">
        <v>46271</v>
      </c>
      <c r="D6625" t="s">
        <v>684</v>
      </c>
      <c r="E6625" t="s">
        <v>298</v>
      </c>
      <c r="F6625">
        <v>3</v>
      </c>
      <c r="G6625">
        <v>1.83378333333333</v>
      </c>
    </row>
    <row r="6626" spans="1:7" x14ac:dyDescent="0.35">
      <c r="A6626" t="s">
        <v>847</v>
      </c>
      <c r="B6626" t="s">
        <v>680</v>
      </c>
      <c r="C6626" s="83">
        <v>46271</v>
      </c>
      <c r="D6626" t="s">
        <v>684</v>
      </c>
      <c r="E6626" t="s">
        <v>343</v>
      </c>
      <c r="F6626">
        <v>3</v>
      </c>
      <c r="G6626">
        <v>0.66164999999999996</v>
      </c>
    </row>
    <row r="6627" spans="1:7" x14ac:dyDescent="0.35">
      <c r="A6627" t="s">
        <v>847</v>
      </c>
      <c r="B6627" t="s">
        <v>680</v>
      </c>
      <c r="C6627" s="83">
        <v>46271</v>
      </c>
      <c r="D6627" t="s">
        <v>687</v>
      </c>
      <c r="E6627" t="s">
        <v>729</v>
      </c>
      <c r="F6627">
        <v>4</v>
      </c>
      <c r="G6627">
        <v>1.1708666666666701</v>
      </c>
    </row>
    <row r="6628" spans="1:7" x14ac:dyDescent="0.35">
      <c r="A6628" t="s">
        <v>847</v>
      </c>
      <c r="B6628" t="s">
        <v>680</v>
      </c>
      <c r="C6628" s="83">
        <v>46271</v>
      </c>
      <c r="D6628" t="s">
        <v>687</v>
      </c>
      <c r="E6628" t="s">
        <v>746</v>
      </c>
      <c r="F6628">
        <v>4</v>
      </c>
      <c r="G6628">
        <v>7.0069333333333299</v>
      </c>
    </row>
    <row r="6629" spans="1:7" x14ac:dyDescent="0.35">
      <c r="A6629" t="s">
        <v>847</v>
      </c>
      <c r="B6629" t="s">
        <v>680</v>
      </c>
      <c r="C6629" s="83">
        <v>46271</v>
      </c>
      <c r="D6629" t="s">
        <v>687</v>
      </c>
      <c r="E6629" t="s">
        <v>717</v>
      </c>
      <c r="F6629">
        <v>4</v>
      </c>
      <c r="G6629">
        <v>4.0057999999999998</v>
      </c>
    </row>
    <row r="6630" spans="1:7" x14ac:dyDescent="0.35">
      <c r="A6630" t="s">
        <v>847</v>
      </c>
      <c r="B6630" t="s">
        <v>680</v>
      </c>
      <c r="C6630" s="83">
        <v>46271</v>
      </c>
      <c r="D6630" t="s">
        <v>688</v>
      </c>
      <c r="E6630" t="s">
        <v>316</v>
      </c>
      <c r="F6630">
        <v>12</v>
      </c>
      <c r="G6630">
        <v>8.8346833333333308</v>
      </c>
    </row>
    <row r="6631" spans="1:7" x14ac:dyDescent="0.35">
      <c r="A6631" t="s">
        <v>847</v>
      </c>
      <c r="B6631" t="s">
        <v>680</v>
      </c>
      <c r="C6631" s="83">
        <v>46271</v>
      </c>
      <c r="D6631" t="s">
        <v>688</v>
      </c>
      <c r="E6631" t="s">
        <v>311</v>
      </c>
      <c r="F6631">
        <v>6</v>
      </c>
      <c r="G6631">
        <v>1.00735</v>
      </c>
    </row>
    <row r="6632" spans="1:7" x14ac:dyDescent="0.35">
      <c r="A6632" t="s">
        <v>847</v>
      </c>
      <c r="B6632" t="s">
        <v>680</v>
      </c>
      <c r="C6632" s="83">
        <v>46271</v>
      </c>
      <c r="D6632" t="s">
        <v>688</v>
      </c>
      <c r="E6632" t="s">
        <v>321</v>
      </c>
      <c r="F6632">
        <v>6</v>
      </c>
      <c r="G6632">
        <v>8.4982000000000006</v>
      </c>
    </row>
    <row r="6633" spans="1:7" x14ac:dyDescent="0.35">
      <c r="A6633" t="s">
        <v>847</v>
      </c>
      <c r="B6633" t="s">
        <v>680</v>
      </c>
      <c r="C6633" s="83">
        <v>46271</v>
      </c>
      <c r="D6633" t="s">
        <v>690</v>
      </c>
      <c r="E6633" t="s">
        <v>316</v>
      </c>
      <c r="F6633">
        <v>6</v>
      </c>
      <c r="G6633">
        <v>1.00085</v>
      </c>
    </row>
    <row r="6634" spans="1:7" x14ac:dyDescent="0.35">
      <c r="A6634" t="s">
        <v>847</v>
      </c>
      <c r="B6634" t="s">
        <v>680</v>
      </c>
      <c r="C6634" s="83">
        <v>46271</v>
      </c>
      <c r="D6634" t="s">
        <v>690</v>
      </c>
      <c r="E6634" t="s">
        <v>725</v>
      </c>
      <c r="F6634">
        <v>5</v>
      </c>
      <c r="G6634">
        <v>1.6588166666666699</v>
      </c>
    </row>
    <row r="6635" spans="1:7" x14ac:dyDescent="0.35">
      <c r="A6635" t="s">
        <v>847</v>
      </c>
      <c r="B6635" t="s">
        <v>680</v>
      </c>
      <c r="C6635" s="83">
        <v>46271</v>
      </c>
      <c r="D6635" t="s">
        <v>690</v>
      </c>
      <c r="E6635" t="s">
        <v>311</v>
      </c>
      <c r="F6635">
        <v>4</v>
      </c>
      <c r="G6635">
        <v>1.1675500000000001</v>
      </c>
    </row>
    <row r="6636" spans="1:7" x14ac:dyDescent="0.35">
      <c r="A6636" t="s">
        <v>847</v>
      </c>
      <c r="B6636" t="s">
        <v>680</v>
      </c>
      <c r="C6636" s="83">
        <v>46271</v>
      </c>
      <c r="D6636" t="s">
        <v>685</v>
      </c>
      <c r="E6636" t="s">
        <v>311</v>
      </c>
      <c r="F6636">
        <v>6</v>
      </c>
      <c r="G6636">
        <v>8.6606666666666605</v>
      </c>
    </row>
    <row r="6637" spans="1:7" x14ac:dyDescent="0.35">
      <c r="A6637" t="s">
        <v>847</v>
      </c>
      <c r="B6637" t="s">
        <v>680</v>
      </c>
      <c r="C6637" s="83">
        <v>46271</v>
      </c>
      <c r="D6637" t="s">
        <v>685</v>
      </c>
      <c r="E6637" t="s">
        <v>316</v>
      </c>
      <c r="F6637">
        <v>4</v>
      </c>
      <c r="G6637">
        <v>0.66720000000000002</v>
      </c>
    </row>
    <row r="6638" spans="1:7" x14ac:dyDescent="0.35">
      <c r="A6638" t="s">
        <v>847</v>
      </c>
      <c r="B6638" t="s">
        <v>680</v>
      </c>
      <c r="C6638" s="83">
        <v>46271</v>
      </c>
      <c r="D6638" t="s">
        <v>685</v>
      </c>
      <c r="E6638" t="s">
        <v>321</v>
      </c>
      <c r="F6638">
        <v>2</v>
      </c>
      <c r="G6638">
        <v>0.65986666666666705</v>
      </c>
    </row>
    <row r="6639" spans="1:7" x14ac:dyDescent="0.35">
      <c r="A6639" t="s">
        <v>847</v>
      </c>
      <c r="B6639" t="s">
        <v>680</v>
      </c>
      <c r="C6639" s="83">
        <v>46271</v>
      </c>
      <c r="D6639" t="s">
        <v>682</v>
      </c>
      <c r="E6639" t="s">
        <v>720</v>
      </c>
      <c r="F6639">
        <v>5</v>
      </c>
      <c r="G6639">
        <v>2.5015000000000001</v>
      </c>
    </row>
    <row r="6640" spans="1:7" x14ac:dyDescent="0.35">
      <c r="A6640" t="s">
        <v>847</v>
      </c>
      <c r="B6640" t="s">
        <v>680</v>
      </c>
      <c r="C6640" s="83">
        <v>46271</v>
      </c>
      <c r="D6640" t="s">
        <v>682</v>
      </c>
      <c r="E6640" t="s">
        <v>316</v>
      </c>
      <c r="F6640">
        <v>3</v>
      </c>
      <c r="G6640">
        <v>0.33950000000000002</v>
      </c>
    </row>
    <row r="6641" spans="1:7" x14ac:dyDescent="0.35">
      <c r="A6641" t="s">
        <v>847</v>
      </c>
      <c r="B6641" t="s">
        <v>680</v>
      </c>
      <c r="C6641" s="83">
        <v>46271</v>
      </c>
      <c r="D6641" t="s">
        <v>682</v>
      </c>
      <c r="E6641" t="s">
        <v>311</v>
      </c>
      <c r="F6641">
        <v>3</v>
      </c>
      <c r="G6641">
        <v>3.0089333333333301</v>
      </c>
    </row>
    <row r="6642" spans="1:7" x14ac:dyDescent="0.35">
      <c r="A6642" t="s">
        <v>847</v>
      </c>
      <c r="B6642" t="s">
        <v>680</v>
      </c>
      <c r="C6642" s="83">
        <v>46271</v>
      </c>
      <c r="D6642" t="s">
        <v>686</v>
      </c>
      <c r="E6642" t="s">
        <v>803</v>
      </c>
      <c r="F6642">
        <v>3</v>
      </c>
      <c r="G6642">
        <v>1.33351666666667</v>
      </c>
    </row>
    <row r="6643" spans="1:7" x14ac:dyDescent="0.35">
      <c r="A6643" t="s">
        <v>847</v>
      </c>
      <c r="B6643" t="s">
        <v>680</v>
      </c>
      <c r="C6643" s="83">
        <v>46271</v>
      </c>
      <c r="D6643" t="s">
        <v>686</v>
      </c>
      <c r="E6643" t="s">
        <v>789</v>
      </c>
      <c r="F6643">
        <v>3</v>
      </c>
      <c r="G6643">
        <v>6.99121666666667</v>
      </c>
    </row>
    <row r="6644" spans="1:7" x14ac:dyDescent="0.35">
      <c r="A6644" t="s">
        <v>847</v>
      </c>
      <c r="B6644" t="s">
        <v>680</v>
      </c>
      <c r="C6644" s="83">
        <v>46272</v>
      </c>
      <c r="D6644" t="s">
        <v>681</v>
      </c>
      <c r="E6644" t="s">
        <v>296</v>
      </c>
      <c r="F6644">
        <v>66</v>
      </c>
      <c r="G6644">
        <v>26.1750333333333</v>
      </c>
    </row>
    <row r="6645" spans="1:7" x14ac:dyDescent="0.35">
      <c r="A6645" t="s">
        <v>847</v>
      </c>
      <c r="B6645" t="s">
        <v>680</v>
      </c>
      <c r="C6645" s="83">
        <v>46272</v>
      </c>
      <c r="D6645" t="s">
        <v>681</v>
      </c>
      <c r="E6645" t="s">
        <v>298</v>
      </c>
      <c r="F6645">
        <v>11</v>
      </c>
      <c r="G6645">
        <v>12.84665</v>
      </c>
    </row>
    <row r="6646" spans="1:7" x14ac:dyDescent="0.35">
      <c r="A6646" t="s">
        <v>847</v>
      </c>
      <c r="B6646" t="s">
        <v>680</v>
      </c>
      <c r="C6646" s="83">
        <v>46272</v>
      </c>
      <c r="D6646" t="s">
        <v>681</v>
      </c>
      <c r="E6646" t="s">
        <v>297</v>
      </c>
      <c r="F6646">
        <v>4</v>
      </c>
      <c r="G6646">
        <v>1.83296666666667</v>
      </c>
    </row>
    <row r="6647" spans="1:7" x14ac:dyDescent="0.35">
      <c r="A6647" t="s">
        <v>847</v>
      </c>
      <c r="B6647" t="s">
        <v>680</v>
      </c>
      <c r="C6647" s="83">
        <v>46272</v>
      </c>
      <c r="D6647" t="s">
        <v>683</v>
      </c>
      <c r="E6647" t="s">
        <v>298</v>
      </c>
      <c r="F6647">
        <v>16</v>
      </c>
      <c r="G6647">
        <v>16.338366666666701</v>
      </c>
    </row>
    <row r="6648" spans="1:7" x14ac:dyDescent="0.35">
      <c r="A6648" t="s">
        <v>847</v>
      </c>
      <c r="B6648" t="s">
        <v>680</v>
      </c>
      <c r="C6648" s="83">
        <v>46272</v>
      </c>
      <c r="D6648" t="s">
        <v>683</v>
      </c>
      <c r="E6648" t="s">
        <v>296</v>
      </c>
      <c r="F6648">
        <v>9</v>
      </c>
      <c r="G6648">
        <v>4.3326166666666701</v>
      </c>
    </row>
    <row r="6649" spans="1:7" x14ac:dyDescent="0.35">
      <c r="A6649" t="s">
        <v>847</v>
      </c>
      <c r="B6649" t="s">
        <v>680</v>
      </c>
      <c r="C6649" s="83">
        <v>46272</v>
      </c>
      <c r="D6649" t="s">
        <v>683</v>
      </c>
      <c r="E6649" t="s">
        <v>332</v>
      </c>
      <c r="F6649">
        <v>5</v>
      </c>
      <c r="G6649">
        <v>1.65926666666667</v>
      </c>
    </row>
    <row r="6650" spans="1:7" x14ac:dyDescent="0.35">
      <c r="A6650" t="s">
        <v>847</v>
      </c>
      <c r="B6650" t="s">
        <v>680</v>
      </c>
      <c r="C6650" s="83">
        <v>46272</v>
      </c>
      <c r="D6650" t="s">
        <v>689</v>
      </c>
      <c r="E6650" t="s">
        <v>298</v>
      </c>
      <c r="F6650">
        <v>12</v>
      </c>
      <c r="G6650">
        <v>6.6465166666666704</v>
      </c>
    </row>
    <row r="6651" spans="1:7" x14ac:dyDescent="0.35">
      <c r="A6651" t="s">
        <v>847</v>
      </c>
      <c r="B6651" t="s">
        <v>680</v>
      </c>
      <c r="C6651" s="83">
        <v>46272</v>
      </c>
      <c r="D6651" t="s">
        <v>689</v>
      </c>
      <c r="E6651" t="s">
        <v>296</v>
      </c>
      <c r="F6651">
        <v>7</v>
      </c>
      <c r="G6651">
        <v>3.8313000000000001</v>
      </c>
    </row>
    <row r="6652" spans="1:7" x14ac:dyDescent="0.35">
      <c r="A6652" t="s">
        <v>847</v>
      </c>
      <c r="B6652" t="s">
        <v>680</v>
      </c>
      <c r="C6652" s="83">
        <v>46272</v>
      </c>
      <c r="D6652" t="s">
        <v>689</v>
      </c>
      <c r="E6652" t="s">
        <v>300</v>
      </c>
      <c r="F6652">
        <v>6</v>
      </c>
      <c r="G6652">
        <v>4.5016333333333298</v>
      </c>
    </row>
    <row r="6653" spans="1:7" x14ac:dyDescent="0.35">
      <c r="A6653" t="s">
        <v>847</v>
      </c>
      <c r="B6653" t="s">
        <v>680</v>
      </c>
      <c r="C6653" s="83">
        <v>46272</v>
      </c>
      <c r="D6653" t="s">
        <v>684</v>
      </c>
      <c r="E6653" t="s">
        <v>727</v>
      </c>
      <c r="F6653">
        <v>5</v>
      </c>
      <c r="G6653">
        <v>2.3321833333333299</v>
      </c>
    </row>
    <row r="6654" spans="1:7" x14ac:dyDescent="0.35">
      <c r="A6654" t="s">
        <v>847</v>
      </c>
      <c r="B6654" t="s">
        <v>680</v>
      </c>
      <c r="C6654" s="83">
        <v>46272</v>
      </c>
      <c r="D6654" t="s">
        <v>684</v>
      </c>
      <c r="E6654" t="s">
        <v>298</v>
      </c>
      <c r="F6654">
        <v>4</v>
      </c>
      <c r="G6654">
        <v>2.3409499999999999</v>
      </c>
    </row>
    <row r="6655" spans="1:7" x14ac:dyDescent="0.35">
      <c r="A6655" t="s">
        <v>847</v>
      </c>
      <c r="B6655" t="s">
        <v>680</v>
      </c>
      <c r="C6655" s="83">
        <v>46272</v>
      </c>
      <c r="D6655" t="s">
        <v>684</v>
      </c>
      <c r="E6655" t="s">
        <v>300</v>
      </c>
      <c r="F6655">
        <v>3</v>
      </c>
      <c r="G6655">
        <v>0.99358333333333304</v>
      </c>
    </row>
    <row r="6656" spans="1:7" x14ac:dyDescent="0.35">
      <c r="A6656" t="s">
        <v>847</v>
      </c>
      <c r="B6656" t="s">
        <v>680</v>
      </c>
      <c r="C6656" s="83">
        <v>46272</v>
      </c>
      <c r="D6656" t="s">
        <v>687</v>
      </c>
      <c r="E6656" t="s">
        <v>746</v>
      </c>
      <c r="F6656">
        <v>6</v>
      </c>
      <c r="G6656">
        <v>12.6675</v>
      </c>
    </row>
    <row r="6657" spans="1:7" x14ac:dyDescent="0.35">
      <c r="A6657" t="s">
        <v>847</v>
      </c>
      <c r="B6657" t="s">
        <v>680</v>
      </c>
      <c r="C6657" s="83">
        <v>46272</v>
      </c>
      <c r="D6657" t="s">
        <v>687</v>
      </c>
      <c r="E6657" t="s">
        <v>754</v>
      </c>
      <c r="F6657">
        <v>2</v>
      </c>
      <c r="G6657">
        <v>0.332666666666667</v>
      </c>
    </row>
    <row r="6658" spans="1:7" x14ac:dyDescent="0.35">
      <c r="A6658" t="s">
        <v>847</v>
      </c>
      <c r="B6658" t="s">
        <v>680</v>
      </c>
      <c r="C6658" s="83">
        <v>46272</v>
      </c>
      <c r="D6658" t="s">
        <v>687</v>
      </c>
      <c r="E6658" t="s">
        <v>717</v>
      </c>
      <c r="F6658">
        <v>2</v>
      </c>
      <c r="G6658">
        <v>0.339233333333333</v>
      </c>
    </row>
    <row r="6659" spans="1:7" x14ac:dyDescent="0.35">
      <c r="A6659" t="s">
        <v>847</v>
      </c>
      <c r="B6659" t="s">
        <v>680</v>
      </c>
      <c r="C6659" s="83">
        <v>46272</v>
      </c>
      <c r="D6659" t="s">
        <v>688</v>
      </c>
      <c r="E6659" t="s">
        <v>311</v>
      </c>
      <c r="F6659">
        <v>8</v>
      </c>
      <c r="G6659">
        <v>3.8323833333333299</v>
      </c>
    </row>
    <row r="6660" spans="1:7" x14ac:dyDescent="0.35">
      <c r="A6660" t="s">
        <v>847</v>
      </c>
      <c r="B6660" t="s">
        <v>680</v>
      </c>
      <c r="C6660" s="83">
        <v>46272</v>
      </c>
      <c r="D6660" t="s">
        <v>688</v>
      </c>
      <c r="E6660" t="s">
        <v>316</v>
      </c>
      <c r="F6660">
        <v>8</v>
      </c>
      <c r="G6660">
        <v>6.3288833333333301</v>
      </c>
    </row>
    <row r="6661" spans="1:7" x14ac:dyDescent="0.35">
      <c r="A6661" t="s">
        <v>847</v>
      </c>
      <c r="B6661" t="s">
        <v>680</v>
      </c>
      <c r="C6661" s="83">
        <v>46272</v>
      </c>
      <c r="D6661" t="s">
        <v>688</v>
      </c>
      <c r="E6661" t="s">
        <v>338</v>
      </c>
      <c r="F6661">
        <v>3</v>
      </c>
      <c r="G6661">
        <v>0.66643333333333299</v>
      </c>
    </row>
    <row r="6662" spans="1:7" x14ac:dyDescent="0.35">
      <c r="A6662" t="s">
        <v>847</v>
      </c>
      <c r="B6662" t="s">
        <v>680</v>
      </c>
      <c r="C6662" s="83">
        <v>46272</v>
      </c>
      <c r="D6662" t="s">
        <v>690</v>
      </c>
      <c r="E6662" t="s">
        <v>316</v>
      </c>
      <c r="F6662">
        <v>5</v>
      </c>
      <c r="G6662">
        <v>1.3405166666666699</v>
      </c>
    </row>
    <row r="6663" spans="1:7" x14ac:dyDescent="0.35">
      <c r="A6663" t="s">
        <v>847</v>
      </c>
      <c r="B6663" t="s">
        <v>680</v>
      </c>
      <c r="C6663" s="83">
        <v>46272</v>
      </c>
      <c r="D6663" t="s">
        <v>690</v>
      </c>
      <c r="E6663" t="s">
        <v>311</v>
      </c>
      <c r="F6663">
        <v>4</v>
      </c>
      <c r="G6663">
        <v>1.3383499999999999</v>
      </c>
    </row>
    <row r="6664" spans="1:7" x14ac:dyDescent="0.35">
      <c r="A6664" t="s">
        <v>847</v>
      </c>
      <c r="B6664" t="s">
        <v>680</v>
      </c>
      <c r="C6664" s="83">
        <v>46272</v>
      </c>
      <c r="D6664" t="s">
        <v>690</v>
      </c>
      <c r="E6664" t="s">
        <v>720</v>
      </c>
      <c r="F6664">
        <v>3</v>
      </c>
      <c r="G6664">
        <v>0.68126666666666702</v>
      </c>
    </row>
    <row r="6665" spans="1:7" x14ac:dyDescent="0.35">
      <c r="A6665" t="s">
        <v>847</v>
      </c>
      <c r="B6665" t="s">
        <v>680</v>
      </c>
      <c r="C6665" s="83">
        <v>46272</v>
      </c>
      <c r="D6665" t="s">
        <v>685</v>
      </c>
      <c r="E6665" t="s">
        <v>311</v>
      </c>
      <c r="F6665">
        <v>6</v>
      </c>
      <c r="G6665">
        <v>3.98763333333333</v>
      </c>
    </row>
    <row r="6666" spans="1:7" x14ac:dyDescent="0.35">
      <c r="A6666" t="s">
        <v>847</v>
      </c>
      <c r="B6666" t="s">
        <v>680</v>
      </c>
      <c r="C6666" s="83">
        <v>46272</v>
      </c>
      <c r="D6666" t="s">
        <v>685</v>
      </c>
      <c r="E6666" t="s">
        <v>720</v>
      </c>
      <c r="F6666">
        <v>5</v>
      </c>
      <c r="G6666">
        <v>11.175333333333301</v>
      </c>
    </row>
    <row r="6667" spans="1:7" x14ac:dyDescent="0.35">
      <c r="A6667" t="s">
        <v>847</v>
      </c>
      <c r="B6667" t="s">
        <v>680</v>
      </c>
      <c r="C6667" s="83">
        <v>46272</v>
      </c>
      <c r="D6667" t="s">
        <v>685</v>
      </c>
      <c r="E6667" t="s">
        <v>312</v>
      </c>
      <c r="F6667">
        <v>3</v>
      </c>
      <c r="G6667">
        <v>1.8333333333333299</v>
      </c>
    </row>
    <row r="6668" spans="1:7" x14ac:dyDescent="0.35">
      <c r="A6668" t="s">
        <v>847</v>
      </c>
      <c r="B6668" t="s">
        <v>680</v>
      </c>
      <c r="C6668" s="83">
        <v>46272</v>
      </c>
      <c r="D6668" t="s">
        <v>682</v>
      </c>
      <c r="E6668" t="s">
        <v>720</v>
      </c>
      <c r="F6668">
        <v>14</v>
      </c>
      <c r="G6668">
        <v>13.349399999999999</v>
      </c>
    </row>
    <row r="6669" spans="1:7" x14ac:dyDescent="0.35">
      <c r="A6669" t="s">
        <v>847</v>
      </c>
      <c r="B6669" t="s">
        <v>680</v>
      </c>
      <c r="C6669" s="83">
        <v>46272</v>
      </c>
      <c r="D6669" t="s">
        <v>682</v>
      </c>
      <c r="E6669" t="s">
        <v>311</v>
      </c>
      <c r="F6669">
        <v>3</v>
      </c>
      <c r="G6669">
        <v>0.66723333333333301</v>
      </c>
    </row>
    <row r="6670" spans="1:7" x14ac:dyDescent="0.35">
      <c r="A6670" t="s">
        <v>847</v>
      </c>
      <c r="B6670" t="s">
        <v>680</v>
      </c>
      <c r="C6670" s="83">
        <v>46272</v>
      </c>
      <c r="D6670" t="s">
        <v>682</v>
      </c>
      <c r="E6670" t="s">
        <v>339</v>
      </c>
      <c r="F6670">
        <v>2</v>
      </c>
      <c r="G6670">
        <v>1.00023333333333</v>
      </c>
    </row>
    <row r="6671" spans="1:7" x14ac:dyDescent="0.35">
      <c r="A6671" t="s">
        <v>847</v>
      </c>
      <c r="B6671" t="s">
        <v>680</v>
      </c>
      <c r="C6671" s="83">
        <v>46272</v>
      </c>
      <c r="D6671" t="s">
        <v>686</v>
      </c>
      <c r="E6671" t="s">
        <v>790</v>
      </c>
      <c r="F6671">
        <v>4</v>
      </c>
      <c r="G6671">
        <v>3.8407</v>
      </c>
    </row>
    <row r="6672" spans="1:7" x14ac:dyDescent="0.35">
      <c r="A6672" t="s">
        <v>847</v>
      </c>
      <c r="B6672" t="s">
        <v>680</v>
      </c>
      <c r="C6672" s="83">
        <v>46272</v>
      </c>
      <c r="D6672" t="s">
        <v>686</v>
      </c>
      <c r="E6672" t="s">
        <v>789</v>
      </c>
      <c r="F6672">
        <v>2</v>
      </c>
      <c r="G6672">
        <v>3.1676000000000002</v>
      </c>
    </row>
    <row r="6673" spans="1:7" x14ac:dyDescent="0.35">
      <c r="A6673" t="s">
        <v>847</v>
      </c>
      <c r="B6673" t="s">
        <v>680</v>
      </c>
      <c r="C6673" s="83">
        <v>46273</v>
      </c>
      <c r="D6673" t="s">
        <v>681</v>
      </c>
      <c r="E6673" t="s">
        <v>296</v>
      </c>
      <c r="F6673">
        <v>32</v>
      </c>
      <c r="G6673">
        <v>10.694416666666701</v>
      </c>
    </row>
    <row r="6674" spans="1:7" x14ac:dyDescent="0.35">
      <c r="A6674" t="s">
        <v>847</v>
      </c>
      <c r="B6674" t="s">
        <v>680</v>
      </c>
      <c r="C6674" s="83">
        <v>46273</v>
      </c>
      <c r="D6674" t="s">
        <v>681</v>
      </c>
      <c r="E6674" t="s">
        <v>728</v>
      </c>
      <c r="F6674">
        <v>6</v>
      </c>
      <c r="G6674">
        <v>8.9916333333333291</v>
      </c>
    </row>
    <row r="6675" spans="1:7" x14ac:dyDescent="0.35">
      <c r="A6675" t="s">
        <v>847</v>
      </c>
      <c r="B6675" t="s">
        <v>680</v>
      </c>
      <c r="C6675" s="83">
        <v>46273</v>
      </c>
      <c r="D6675" t="s">
        <v>681</v>
      </c>
      <c r="E6675" t="s">
        <v>297</v>
      </c>
      <c r="F6675">
        <v>6</v>
      </c>
      <c r="G6675">
        <v>2.3429833333333301</v>
      </c>
    </row>
    <row r="6676" spans="1:7" x14ac:dyDescent="0.35">
      <c r="A6676" t="s">
        <v>847</v>
      </c>
      <c r="B6676" t="s">
        <v>680</v>
      </c>
      <c r="C6676" s="83">
        <v>46273</v>
      </c>
      <c r="D6676" t="s">
        <v>683</v>
      </c>
      <c r="E6676" t="s">
        <v>298</v>
      </c>
      <c r="F6676">
        <v>17</v>
      </c>
      <c r="G6676">
        <v>29.94595</v>
      </c>
    </row>
    <row r="6677" spans="1:7" x14ac:dyDescent="0.35">
      <c r="A6677" t="s">
        <v>847</v>
      </c>
      <c r="B6677" t="s">
        <v>680</v>
      </c>
      <c r="C6677" s="83">
        <v>46273</v>
      </c>
      <c r="D6677" t="s">
        <v>683</v>
      </c>
      <c r="E6677" t="s">
        <v>334</v>
      </c>
      <c r="F6677">
        <v>9</v>
      </c>
      <c r="G6677">
        <v>2.6611166666666701</v>
      </c>
    </row>
    <row r="6678" spans="1:7" x14ac:dyDescent="0.35">
      <c r="A6678" t="s">
        <v>847</v>
      </c>
      <c r="B6678" t="s">
        <v>680</v>
      </c>
      <c r="C6678" s="83">
        <v>46273</v>
      </c>
      <c r="D6678" t="s">
        <v>683</v>
      </c>
      <c r="E6678" t="s">
        <v>332</v>
      </c>
      <c r="F6678">
        <v>6</v>
      </c>
      <c r="G6678">
        <v>4.8248666666666704</v>
      </c>
    </row>
    <row r="6679" spans="1:7" x14ac:dyDescent="0.35">
      <c r="A6679" t="s">
        <v>847</v>
      </c>
      <c r="B6679" t="s">
        <v>680</v>
      </c>
      <c r="C6679" s="83">
        <v>46273</v>
      </c>
      <c r="D6679" t="s">
        <v>689</v>
      </c>
      <c r="E6679" t="s">
        <v>298</v>
      </c>
      <c r="F6679">
        <v>10</v>
      </c>
      <c r="G6679">
        <v>9.8332666666666704</v>
      </c>
    </row>
    <row r="6680" spans="1:7" x14ac:dyDescent="0.35">
      <c r="A6680" t="s">
        <v>847</v>
      </c>
      <c r="B6680" t="s">
        <v>680</v>
      </c>
      <c r="C6680" s="83">
        <v>46273</v>
      </c>
      <c r="D6680" t="s">
        <v>689</v>
      </c>
      <c r="E6680" t="s">
        <v>332</v>
      </c>
      <c r="F6680">
        <v>7</v>
      </c>
      <c r="G6680">
        <v>13.0049833333333</v>
      </c>
    </row>
    <row r="6681" spans="1:7" x14ac:dyDescent="0.35">
      <c r="A6681" t="s">
        <v>847</v>
      </c>
      <c r="B6681" t="s">
        <v>680</v>
      </c>
      <c r="C6681" s="83">
        <v>46273</v>
      </c>
      <c r="D6681" t="s">
        <v>689</v>
      </c>
      <c r="E6681" t="s">
        <v>300</v>
      </c>
      <c r="F6681">
        <v>7</v>
      </c>
      <c r="G6681">
        <v>3.0076499999999999</v>
      </c>
    </row>
    <row r="6682" spans="1:7" x14ac:dyDescent="0.35">
      <c r="A6682" t="s">
        <v>847</v>
      </c>
      <c r="B6682" t="s">
        <v>680</v>
      </c>
      <c r="C6682" s="83">
        <v>46273</v>
      </c>
      <c r="D6682" t="s">
        <v>684</v>
      </c>
      <c r="E6682" t="s">
        <v>296</v>
      </c>
      <c r="F6682">
        <v>8</v>
      </c>
      <c r="G6682">
        <v>16.195133333333299</v>
      </c>
    </row>
    <row r="6683" spans="1:7" x14ac:dyDescent="0.35">
      <c r="A6683" t="s">
        <v>847</v>
      </c>
      <c r="B6683" t="s">
        <v>680</v>
      </c>
      <c r="C6683" s="83">
        <v>46273</v>
      </c>
      <c r="D6683" t="s">
        <v>684</v>
      </c>
      <c r="E6683" t="s">
        <v>343</v>
      </c>
      <c r="F6683">
        <v>3</v>
      </c>
      <c r="G6683">
        <v>0.66595000000000004</v>
      </c>
    </row>
    <row r="6684" spans="1:7" x14ac:dyDescent="0.35">
      <c r="A6684" t="s">
        <v>847</v>
      </c>
      <c r="B6684" t="s">
        <v>680</v>
      </c>
      <c r="C6684" s="83">
        <v>46273</v>
      </c>
      <c r="D6684" t="s">
        <v>684</v>
      </c>
      <c r="E6684" t="s">
        <v>737</v>
      </c>
      <c r="F6684">
        <v>2</v>
      </c>
      <c r="G6684">
        <v>3.5065</v>
      </c>
    </row>
    <row r="6685" spans="1:7" x14ac:dyDescent="0.35">
      <c r="A6685" t="s">
        <v>847</v>
      </c>
      <c r="B6685" t="s">
        <v>680</v>
      </c>
      <c r="C6685" s="83">
        <v>46273</v>
      </c>
      <c r="D6685" t="s">
        <v>687</v>
      </c>
      <c r="E6685" t="s">
        <v>746</v>
      </c>
      <c r="F6685">
        <v>5</v>
      </c>
      <c r="G6685">
        <v>3.5017833333333299</v>
      </c>
    </row>
    <row r="6686" spans="1:7" x14ac:dyDescent="0.35">
      <c r="A6686" t="s">
        <v>847</v>
      </c>
      <c r="B6686" t="s">
        <v>680</v>
      </c>
      <c r="C6686" s="83">
        <v>46273</v>
      </c>
      <c r="D6686" t="s">
        <v>687</v>
      </c>
      <c r="E6686" t="s">
        <v>717</v>
      </c>
      <c r="F6686">
        <v>3</v>
      </c>
      <c r="G6686">
        <v>1.3342166666666699</v>
      </c>
    </row>
    <row r="6687" spans="1:7" x14ac:dyDescent="0.35">
      <c r="A6687" t="s">
        <v>847</v>
      </c>
      <c r="B6687" t="s">
        <v>680</v>
      </c>
      <c r="C6687" s="83">
        <v>46273</v>
      </c>
      <c r="D6687" t="s">
        <v>687</v>
      </c>
      <c r="E6687" t="s">
        <v>722</v>
      </c>
      <c r="F6687">
        <v>2</v>
      </c>
      <c r="G6687">
        <v>0.33351666666666702</v>
      </c>
    </row>
    <row r="6688" spans="1:7" x14ac:dyDescent="0.35">
      <c r="A6688" t="s">
        <v>847</v>
      </c>
      <c r="B6688" t="s">
        <v>680</v>
      </c>
      <c r="C6688" s="83">
        <v>46273</v>
      </c>
      <c r="D6688" t="s">
        <v>688</v>
      </c>
      <c r="E6688" t="s">
        <v>720</v>
      </c>
      <c r="F6688">
        <v>17</v>
      </c>
      <c r="G6688">
        <v>17.010566666666701</v>
      </c>
    </row>
    <row r="6689" spans="1:7" x14ac:dyDescent="0.35">
      <c r="A6689" t="s">
        <v>847</v>
      </c>
      <c r="B6689" t="s">
        <v>680</v>
      </c>
      <c r="C6689" s="83">
        <v>46273</v>
      </c>
      <c r="D6689" t="s">
        <v>688</v>
      </c>
      <c r="E6689" t="s">
        <v>311</v>
      </c>
      <c r="F6689">
        <v>9</v>
      </c>
      <c r="G6689">
        <v>3.8426</v>
      </c>
    </row>
    <row r="6690" spans="1:7" x14ac:dyDescent="0.35">
      <c r="A6690" t="s">
        <v>847</v>
      </c>
      <c r="B6690" t="s">
        <v>680</v>
      </c>
      <c r="C6690" s="83">
        <v>46273</v>
      </c>
      <c r="D6690" t="s">
        <v>688</v>
      </c>
      <c r="E6690" t="s">
        <v>316</v>
      </c>
      <c r="F6690">
        <v>5</v>
      </c>
      <c r="G6690">
        <v>2.5073166666666702</v>
      </c>
    </row>
    <row r="6691" spans="1:7" x14ac:dyDescent="0.35">
      <c r="A6691" t="s">
        <v>847</v>
      </c>
      <c r="B6691" t="s">
        <v>680</v>
      </c>
      <c r="C6691" s="83">
        <v>46273</v>
      </c>
      <c r="D6691" t="s">
        <v>690</v>
      </c>
      <c r="E6691" t="s">
        <v>311</v>
      </c>
      <c r="F6691">
        <v>11</v>
      </c>
      <c r="G6691">
        <v>11.006500000000001</v>
      </c>
    </row>
    <row r="6692" spans="1:7" x14ac:dyDescent="0.35">
      <c r="A6692" t="s">
        <v>847</v>
      </c>
      <c r="B6692" t="s">
        <v>680</v>
      </c>
      <c r="C6692" s="83">
        <v>46273</v>
      </c>
      <c r="D6692" t="s">
        <v>690</v>
      </c>
      <c r="E6692" t="s">
        <v>312</v>
      </c>
      <c r="F6692">
        <v>7</v>
      </c>
      <c r="G6692">
        <v>5.18366666666667</v>
      </c>
    </row>
    <row r="6693" spans="1:7" x14ac:dyDescent="0.35">
      <c r="A6693" t="s">
        <v>847</v>
      </c>
      <c r="B6693" t="s">
        <v>680</v>
      </c>
      <c r="C6693" s="83">
        <v>46273</v>
      </c>
      <c r="D6693" t="s">
        <v>690</v>
      </c>
      <c r="E6693" t="s">
        <v>316</v>
      </c>
      <c r="F6693">
        <v>5</v>
      </c>
      <c r="G6693">
        <v>1.1746333333333301</v>
      </c>
    </row>
    <row r="6694" spans="1:7" x14ac:dyDescent="0.35">
      <c r="A6694" t="s">
        <v>847</v>
      </c>
      <c r="B6694" t="s">
        <v>680</v>
      </c>
      <c r="C6694" s="83">
        <v>46273</v>
      </c>
      <c r="D6694" t="s">
        <v>685</v>
      </c>
      <c r="E6694" t="s">
        <v>311</v>
      </c>
      <c r="F6694">
        <v>4</v>
      </c>
      <c r="G6694">
        <v>3.5070999999999999</v>
      </c>
    </row>
    <row r="6695" spans="1:7" x14ac:dyDescent="0.35">
      <c r="A6695" t="s">
        <v>847</v>
      </c>
      <c r="B6695" t="s">
        <v>680</v>
      </c>
      <c r="C6695" s="83">
        <v>46273</v>
      </c>
      <c r="D6695" t="s">
        <v>685</v>
      </c>
      <c r="E6695" t="s">
        <v>316</v>
      </c>
      <c r="F6695">
        <v>3</v>
      </c>
      <c r="G6695">
        <v>0.83351666666666702</v>
      </c>
    </row>
    <row r="6696" spans="1:7" x14ac:dyDescent="0.35">
      <c r="A6696" t="s">
        <v>847</v>
      </c>
      <c r="B6696" t="s">
        <v>680</v>
      </c>
      <c r="C6696" s="83">
        <v>46273</v>
      </c>
      <c r="D6696" t="s">
        <v>685</v>
      </c>
      <c r="E6696" t="s">
        <v>720</v>
      </c>
      <c r="F6696">
        <v>2</v>
      </c>
      <c r="G6696">
        <v>0.32673333333333299</v>
      </c>
    </row>
    <row r="6697" spans="1:7" x14ac:dyDescent="0.35">
      <c r="A6697" t="s">
        <v>847</v>
      </c>
      <c r="B6697" t="s">
        <v>680</v>
      </c>
      <c r="C6697" s="83">
        <v>46273</v>
      </c>
      <c r="D6697" t="s">
        <v>682</v>
      </c>
      <c r="E6697" t="s">
        <v>720</v>
      </c>
      <c r="F6697">
        <v>3</v>
      </c>
      <c r="G6697">
        <v>2.1673166666666699</v>
      </c>
    </row>
    <row r="6698" spans="1:7" x14ac:dyDescent="0.35">
      <c r="A6698" t="s">
        <v>847</v>
      </c>
      <c r="B6698" t="s">
        <v>680</v>
      </c>
      <c r="C6698" s="83">
        <v>46273</v>
      </c>
      <c r="D6698" t="s">
        <v>682</v>
      </c>
      <c r="E6698" t="s">
        <v>316</v>
      </c>
      <c r="F6698">
        <v>2</v>
      </c>
      <c r="G6698">
        <v>0.84089999999999998</v>
      </c>
    </row>
    <row r="6699" spans="1:7" x14ac:dyDescent="0.35">
      <c r="A6699" t="s">
        <v>847</v>
      </c>
      <c r="B6699" t="s">
        <v>680</v>
      </c>
      <c r="C6699" s="83">
        <v>46273</v>
      </c>
      <c r="D6699" t="s">
        <v>682</v>
      </c>
      <c r="E6699" t="s">
        <v>322</v>
      </c>
      <c r="F6699">
        <v>2</v>
      </c>
      <c r="G6699">
        <v>0.33323333333333299</v>
      </c>
    </row>
    <row r="6700" spans="1:7" x14ac:dyDescent="0.35">
      <c r="A6700" t="s">
        <v>847</v>
      </c>
      <c r="B6700" t="s">
        <v>680</v>
      </c>
      <c r="C6700" s="83">
        <v>46273</v>
      </c>
      <c r="D6700" t="s">
        <v>686</v>
      </c>
      <c r="E6700" t="s">
        <v>789</v>
      </c>
      <c r="F6700">
        <v>2</v>
      </c>
      <c r="G6700">
        <v>25.3351333333333</v>
      </c>
    </row>
    <row r="6701" spans="1:7" x14ac:dyDescent="0.35">
      <c r="A6701" t="s">
        <v>847</v>
      </c>
      <c r="B6701" t="s">
        <v>680</v>
      </c>
      <c r="C6701" s="83">
        <v>46273</v>
      </c>
      <c r="D6701" t="s">
        <v>686</v>
      </c>
      <c r="E6701" t="s">
        <v>804</v>
      </c>
      <c r="F6701">
        <v>2</v>
      </c>
      <c r="G6701">
        <v>0.333683333333333</v>
      </c>
    </row>
    <row r="6702" spans="1:7" x14ac:dyDescent="0.35">
      <c r="A6702" t="s">
        <v>847</v>
      </c>
      <c r="B6702" t="s">
        <v>680</v>
      </c>
      <c r="C6702" s="83">
        <v>46273</v>
      </c>
      <c r="D6702" t="s">
        <v>686</v>
      </c>
      <c r="E6702" t="s">
        <v>790</v>
      </c>
      <c r="F6702">
        <v>2</v>
      </c>
      <c r="G6702">
        <v>0.66578333333333295</v>
      </c>
    </row>
    <row r="6703" spans="1:7" x14ac:dyDescent="0.35">
      <c r="A6703" t="s">
        <v>847</v>
      </c>
      <c r="B6703" t="s">
        <v>680</v>
      </c>
      <c r="C6703" s="83">
        <v>46274</v>
      </c>
      <c r="D6703" t="s">
        <v>681</v>
      </c>
      <c r="E6703" t="s">
        <v>296</v>
      </c>
      <c r="F6703">
        <v>23</v>
      </c>
      <c r="G6703">
        <v>10.483033333333299</v>
      </c>
    </row>
    <row r="6704" spans="1:7" x14ac:dyDescent="0.35">
      <c r="A6704" t="s">
        <v>847</v>
      </c>
      <c r="B6704" t="s">
        <v>680</v>
      </c>
      <c r="C6704" s="83">
        <v>46274</v>
      </c>
      <c r="D6704" t="s">
        <v>681</v>
      </c>
      <c r="E6704" t="s">
        <v>728</v>
      </c>
      <c r="F6704">
        <v>7</v>
      </c>
      <c r="G6704">
        <v>2.1608166666666699</v>
      </c>
    </row>
    <row r="6705" spans="1:7" x14ac:dyDescent="0.35">
      <c r="A6705" t="s">
        <v>847</v>
      </c>
      <c r="B6705" t="s">
        <v>680</v>
      </c>
      <c r="C6705" s="83">
        <v>46274</v>
      </c>
      <c r="D6705" t="s">
        <v>681</v>
      </c>
      <c r="E6705" t="s">
        <v>334</v>
      </c>
      <c r="F6705">
        <v>7</v>
      </c>
      <c r="G6705">
        <v>4.4926000000000004</v>
      </c>
    </row>
    <row r="6706" spans="1:7" x14ac:dyDescent="0.35">
      <c r="A6706" t="s">
        <v>847</v>
      </c>
      <c r="B6706" t="s">
        <v>680</v>
      </c>
      <c r="C6706" s="83">
        <v>46274</v>
      </c>
      <c r="D6706" t="s">
        <v>683</v>
      </c>
      <c r="E6706" t="s">
        <v>298</v>
      </c>
      <c r="F6706">
        <v>18</v>
      </c>
      <c r="G6706">
        <v>24.0883</v>
      </c>
    </row>
    <row r="6707" spans="1:7" x14ac:dyDescent="0.35">
      <c r="A6707" t="s">
        <v>847</v>
      </c>
      <c r="B6707" t="s">
        <v>680</v>
      </c>
      <c r="C6707" s="83">
        <v>46274</v>
      </c>
      <c r="D6707" t="s">
        <v>683</v>
      </c>
      <c r="E6707" t="s">
        <v>297</v>
      </c>
      <c r="F6707">
        <v>6</v>
      </c>
      <c r="G6707">
        <v>1.5085999999999999</v>
      </c>
    </row>
    <row r="6708" spans="1:7" x14ac:dyDescent="0.35">
      <c r="A6708" t="s">
        <v>847</v>
      </c>
      <c r="B6708" t="s">
        <v>680</v>
      </c>
      <c r="C6708" s="83">
        <v>46274</v>
      </c>
      <c r="D6708" t="s">
        <v>683</v>
      </c>
      <c r="E6708" t="s">
        <v>300</v>
      </c>
      <c r="F6708">
        <v>5</v>
      </c>
      <c r="G6708">
        <v>1.67258333333333</v>
      </c>
    </row>
    <row r="6709" spans="1:7" x14ac:dyDescent="0.35">
      <c r="A6709" t="s">
        <v>847</v>
      </c>
      <c r="B6709" t="s">
        <v>680</v>
      </c>
      <c r="C6709" s="83">
        <v>46274</v>
      </c>
      <c r="D6709" t="s">
        <v>689</v>
      </c>
      <c r="E6709" t="s">
        <v>296</v>
      </c>
      <c r="F6709">
        <v>11</v>
      </c>
      <c r="G6709">
        <v>5.6577000000000002</v>
      </c>
    </row>
    <row r="6710" spans="1:7" x14ac:dyDescent="0.35">
      <c r="A6710" t="s">
        <v>847</v>
      </c>
      <c r="B6710" t="s">
        <v>680</v>
      </c>
      <c r="C6710" s="83">
        <v>46274</v>
      </c>
      <c r="D6710" t="s">
        <v>689</v>
      </c>
      <c r="E6710" t="s">
        <v>300</v>
      </c>
      <c r="F6710">
        <v>7</v>
      </c>
      <c r="G6710">
        <v>5.1507333333333296</v>
      </c>
    </row>
    <row r="6711" spans="1:7" x14ac:dyDescent="0.35">
      <c r="A6711" t="s">
        <v>847</v>
      </c>
      <c r="B6711" t="s">
        <v>680</v>
      </c>
      <c r="C6711" s="83">
        <v>46274</v>
      </c>
      <c r="D6711" t="s">
        <v>689</v>
      </c>
      <c r="E6711" t="s">
        <v>298</v>
      </c>
      <c r="F6711">
        <v>5</v>
      </c>
      <c r="G6711">
        <v>4.8382500000000004</v>
      </c>
    </row>
    <row r="6712" spans="1:7" x14ac:dyDescent="0.35">
      <c r="A6712" t="s">
        <v>847</v>
      </c>
      <c r="B6712" t="s">
        <v>680</v>
      </c>
      <c r="C6712" s="83">
        <v>46274</v>
      </c>
      <c r="D6712" t="s">
        <v>684</v>
      </c>
      <c r="E6712" t="s">
        <v>298</v>
      </c>
      <c r="F6712">
        <v>4</v>
      </c>
      <c r="G6712">
        <v>1.8532666666666699</v>
      </c>
    </row>
    <row r="6713" spans="1:7" x14ac:dyDescent="0.35">
      <c r="A6713" t="s">
        <v>847</v>
      </c>
      <c r="B6713" t="s">
        <v>680</v>
      </c>
      <c r="C6713" s="83">
        <v>46274</v>
      </c>
      <c r="D6713" t="s">
        <v>684</v>
      </c>
      <c r="E6713" t="s">
        <v>343</v>
      </c>
      <c r="F6713">
        <v>3</v>
      </c>
      <c r="G6713">
        <v>2.16671666666667</v>
      </c>
    </row>
    <row r="6714" spans="1:7" x14ac:dyDescent="0.35">
      <c r="A6714" t="s">
        <v>847</v>
      </c>
      <c r="B6714" t="s">
        <v>680</v>
      </c>
      <c r="C6714" s="83">
        <v>46274</v>
      </c>
      <c r="D6714" t="s">
        <v>684</v>
      </c>
      <c r="E6714" t="s">
        <v>300</v>
      </c>
      <c r="F6714">
        <v>2</v>
      </c>
      <c r="G6714">
        <v>0.66725000000000001</v>
      </c>
    </row>
    <row r="6715" spans="1:7" x14ac:dyDescent="0.35">
      <c r="A6715" t="s">
        <v>847</v>
      </c>
      <c r="B6715" t="s">
        <v>680</v>
      </c>
      <c r="C6715" s="83">
        <v>46274</v>
      </c>
      <c r="D6715" t="s">
        <v>687</v>
      </c>
      <c r="E6715" t="s">
        <v>841</v>
      </c>
      <c r="F6715">
        <v>2</v>
      </c>
      <c r="G6715">
        <v>8.5007999999999999</v>
      </c>
    </row>
    <row r="6716" spans="1:7" x14ac:dyDescent="0.35">
      <c r="A6716" t="s">
        <v>847</v>
      </c>
      <c r="B6716" t="s">
        <v>680</v>
      </c>
      <c r="C6716" s="83">
        <v>46274</v>
      </c>
      <c r="D6716" t="s">
        <v>687</v>
      </c>
      <c r="E6716" t="s">
        <v>729</v>
      </c>
      <c r="F6716">
        <v>2</v>
      </c>
      <c r="G6716">
        <v>0.33333333333333298</v>
      </c>
    </row>
    <row r="6717" spans="1:7" x14ac:dyDescent="0.35">
      <c r="A6717" t="s">
        <v>847</v>
      </c>
      <c r="B6717" t="s">
        <v>680</v>
      </c>
      <c r="C6717" s="83">
        <v>46274</v>
      </c>
      <c r="D6717" t="s">
        <v>687</v>
      </c>
      <c r="E6717" t="s">
        <v>717</v>
      </c>
      <c r="F6717">
        <v>2</v>
      </c>
      <c r="G6717">
        <v>0.66034999999999999</v>
      </c>
    </row>
    <row r="6718" spans="1:7" x14ac:dyDescent="0.35">
      <c r="A6718" t="s">
        <v>847</v>
      </c>
      <c r="B6718" t="s">
        <v>680</v>
      </c>
      <c r="C6718" s="83">
        <v>46274</v>
      </c>
      <c r="D6718" t="s">
        <v>688</v>
      </c>
      <c r="E6718" t="s">
        <v>720</v>
      </c>
      <c r="F6718">
        <v>12</v>
      </c>
      <c r="G6718">
        <v>11.982583333333301</v>
      </c>
    </row>
    <row r="6719" spans="1:7" x14ac:dyDescent="0.35">
      <c r="A6719" t="s">
        <v>847</v>
      </c>
      <c r="B6719" t="s">
        <v>680</v>
      </c>
      <c r="C6719" s="83">
        <v>46274</v>
      </c>
      <c r="D6719" t="s">
        <v>688</v>
      </c>
      <c r="E6719" t="s">
        <v>311</v>
      </c>
      <c r="F6719">
        <v>7</v>
      </c>
      <c r="G6719">
        <v>2.1672833333333301</v>
      </c>
    </row>
    <row r="6720" spans="1:7" x14ac:dyDescent="0.35">
      <c r="A6720" t="s">
        <v>847</v>
      </c>
      <c r="B6720" t="s">
        <v>680</v>
      </c>
      <c r="C6720" s="83">
        <v>46274</v>
      </c>
      <c r="D6720" t="s">
        <v>688</v>
      </c>
      <c r="E6720" t="s">
        <v>312</v>
      </c>
      <c r="F6720">
        <v>3</v>
      </c>
      <c r="G6720">
        <v>1.0013000000000001</v>
      </c>
    </row>
    <row r="6721" spans="1:7" x14ac:dyDescent="0.35">
      <c r="A6721" t="s">
        <v>847</v>
      </c>
      <c r="B6721" t="s">
        <v>680</v>
      </c>
      <c r="C6721" s="83">
        <v>46274</v>
      </c>
      <c r="D6721" t="s">
        <v>690</v>
      </c>
      <c r="E6721" t="s">
        <v>311</v>
      </c>
      <c r="F6721">
        <v>6</v>
      </c>
      <c r="G6721">
        <v>1.9938833333333299</v>
      </c>
    </row>
    <row r="6722" spans="1:7" x14ac:dyDescent="0.35">
      <c r="A6722" t="s">
        <v>847</v>
      </c>
      <c r="B6722" t="s">
        <v>680</v>
      </c>
      <c r="C6722" s="83">
        <v>46274</v>
      </c>
      <c r="D6722" t="s">
        <v>690</v>
      </c>
      <c r="E6722" t="s">
        <v>725</v>
      </c>
      <c r="F6722">
        <v>3</v>
      </c>
      <c r="G6722">
        <v>1.6668333333333301</v>
      </c>
    </row>
    <row r="6723" spans="1:7" x14ac:dyDescent="0.35">
      <c r="A6723" t="s">
        <v>847</v>
      </c>
      <c r="B6723" t="s">
        <v>680</v>
      </c>
      <c r="C6723" s="83">
        <v>46274</v>
      </c>
      <c r="D6723" t="s">
        <v>690</v>
      </c>
      <c r="E6723" t="s">
        <v>792</v>
      </c>
      <c r="F6723">
        <v>2</v>
      </c>
      <c r="G6723">
        <v>0.16685</v>
      </c>
    </row>
    <row r="6724" spans="1:7" x14ac:dyDescent="0.35">
      <c r="A6724" t="s">
        <v>847</v>
      </c>
      <c r="B6724" t="s">
        <v>680</v>
      </c>
      <c r="C6724" s="83">
        <v>46274</v>
      </c>
      <c r="D6724" t="s">
        <v>685</v>
      </c>
      <c r="E6724" t="s">
        <v>311</v>
      </c>
      <c r="F6724">
        <v>6</v>
      </c>
      <c r="G6724">
        <v>3.1739999999999999</v>
      </c>
    </row>
    <row r="6725" spans="1:7" x14ac:dyDescent="0.35">
      <c r="A6725" t="s">
        <v>847</v>
      </c>
      <c r="B6725" t="s">
        <v>680</v>
      </c>
      <c r="C6725" s="83">
        <v>46274</v>
      </c>
      <c r="D6725" t="s">
        <v>685</v>
      </c>
      <c r="E6725" t="s">
        <v>720</v>
      </c>
      <c r="F6725">
        <v>4</v>
      </c>
      <c r="G6725">
        <v>59.506100000000004</v>
      </c>
    </row>
    <row r="6726" spans="1:7" x14ac:dyDescent="0.35">
      <c r="A6726" t="s">
        <v>847</v>
      </c>
      <c r="B6726" t="s">
        <v>680</v>
      </c>
      <c r="C6726" s="83">
        <v>46274</v>
      </c>
      <c r="D6726" t="s">
        <v>685</v>
      </c>
      <c r="E6726" t="s">
        <v>316</v>
      </c>
      <c r="F6726">
        <v>3</v>
      </c>
      <c r="G6726">
        <v>1.8334666666666699</v>
      </c>
    </row>
    <row r="6727" spans="1:7" x14ac:dyDescent="0.35">
      <c r="A6727" t="s">
        <v>847</v>
      </c>
      <c r="B6727" t="s">
        <v>680</v>
      </c>
      <c r="C6727" s="83">
        <v>46274</v>
      </c>
      <c r="D6727" t="s">
        <v>682</v>
      </c>
      <c r="E6727" t="s">
        <v>311</v>
      </c>
      <c r="F6727">
        <v>5</v>
      </c>
      <c r="G6727">
        <v>2.5001500000000001</v>
      </c>
    </row>
    <row r="6728" spans="1:7" x14ac:dyDescent="0.35">
      <c r="A6728" t="s">
        <v>847</v>
      </c>
      <c r="B6728" t="s">
        <v>680</v>
      </c>
      <c r="C6728" s="83">
        <v>46274</v>
      </c>
      <c r="D6728" t="s">
        <v>682</v>
      </c>
      <c r="E6728" t="s">
        <v>725</v>
      </c>
      <c r="F6728">
        <v>2</v>
      </c>
      <c r="G6728">
        <v>0.1734</v>
      </c>
    </row>
    <row r="6729" spans="1:7" x14ac:dyDescent="0.35">
      <c r="A6729" t="s">
        <v>847</v>
      </c>
      <c r="B6729" t="s">
        <v>680</v>
      </c>
      <c r="C6729" s="83">
        <v>46274</v>
      </c>
      <c r="D6729" t="s">
        <v>682</v>
      </c>
      <c r="E6729" t="s">
        <v>347</v>
      </c>
      <c r="F6729">
        <v>2</v>
      </c>
      <c r="G6729">
        <v>0.333683333333333</v>
      </c>
    </row>
    <row r="6730" spans="1:7" x14ac:dyDescent="0.35">
      <c r="A6730" t="s">
        <v>847</v>
      </c>
      <c r="B6730" t="s">
        <v>680</v>
      </c>
      <c r="C6730" s="83">
        <v>46274</v>
      </c>
      <c r="D6730" t="s">
        <v>686</v>
      </c>
      <c r="E6730" t="s">
        <v>789</v>
      </c>
      <c r="F6730">
        <v>2</v>
      </c>
      <c r="G6730">
        <v>0.33328333333333299</v>
      </c>
    </row>
    <row r="6731" spans="1:7" x14ac:dyDescent="0.35">
      <c r="A6731" t="s">
        <v>847</v>
      </c>
      <c r="B6731" t="s">
        <v>680</v>
      </c>
      <c r="C6731" s="83">
        <v>46274</v>
      </c>
      <c r="D6731" t="s">
        <v>686</v>
      </c>
      <c r="E6731" t="s">
        <v>554</v>
      </c>
      <c r="F6731">
        <v>2</v>
      </c>
      <c r="G6731">
        <v>0.50039999999999996</v>
      </c>
    </row>
    <row r="6732" spans="1:7" x14ac:dyDescent="0.35">
      <c r="A6732" t="s">
        <v>847</v>
      </c>
      <c r="B6732" t="s">
        <v>680</v>
      </c>
      <c r="C6732" s="83">
        <v>46274</v>
      </c>
      <c r="D6732" t="s">
        <v>686</v>
      </c>
      <c r="E6732" t="s">
        <v>819</v>
      </c>
      <c r="F6732">
        <v>2</v>
      </c>
      <c r="G6732">
        <v>0.333633333333333</v>
      </c>
    </row>
    <row r="6733" spans="1:7" x14ac:dyDescent="0.35">
      <c r="A6733" t="s">
        <v>847</v>
      </c>
      <c r="B6733" t="s">
        <v>680</v>
      </c>
      <c r="C6733" s="83">
        <v>46275</v>
      </c>
      <c r="D6733" t="s">
        <v>681</v>
      </c>
      <c r="E6733" t="s">
        <v>296</v>
      </c>
      <c r="F6733">
        <v>49</v>
      </c>
      <c r="G6733">
        <v>22.0288166666667</v>
      </c>
    </row>
    <row r="6734" spans="1:7" x14ac:dyDescent="0.35">
      <c r="A6734" t="s">
        <v>847</v>
      </c>
      <c r="B6734" t="s">
        <v>680</v>
      </c>
      <c r="C6734" s="83">
        <v>46275</v>
      </c>
      <c r="D6734" t="s">
        <v>681</v>
      </c>
      <c r="E6734" t="s">
        <v>728</v>
      </c>
      <c r="F6734">
        <v>13</v>
      </c>
      <c r="G6734">
        <v>10.654350000000001</v>
      </c>
    </row>
    <row r="6735" spans="1:7" x14ac:dyDescent="0.35">
      <c r="A6735" t="s">
        <v>847</v>
      </c>
      <c r="B6735" t="s">
        <v>680</v>
      </c>
      <c r="C6735" s="83">
        <v>46275</v>
      </c>
      <c r="D6735" t="s">
        <v>681</v>
      </c>
      <c r="E6735" t="s">
        <v>298</v>
      </c>
      <c r="F6735">
        <v>11</v>
      </c>
      <c r="G6735">
        <v>12.66705</v>
      </c>
    </row>
    <row r="6736" spans="1:7" x14ac:dyDescent="0.35">
      <c r="A6736" t="s">
        <v>847</v>
      </c>
      <c r="B6736" t="s">
        <v>680</v>
      </c>
      <c r="C6736" s="83">
        <v>46275</v>
      </c>
      <c r="D6736" t="s">
        <v>683</v>
      </c>
      <c r="E6736" t="s">
        <v>298</v>
      </c>
      <c r="F6736">
        <v>42</v>
      </c>
      <c r="G6736">
        <v>67.285833333333301</v>
      </c>
    </row>
    <row r="6737" spans="1:7" x14ac:dyDescent="0.35">
      <c r="A6737" t="s">
        <v>847</v>
      </c>
      <c r="B6737" t="s">
        <v>680</v>
      </c>
      <c r="C6737" s="83">
        <v>46275</v>
      </c>
      <c r="D6737" t="s">
        <v>683</v>
      </c>
      <c r="E6737" t="s">
        <v>297</v>
      </c>
      <c r="F6737">
        <v>18</v>
      </c>
      <c r="G6737">
        <v>9.3391666666666708</v>
      </c>
    </row>
    <row r="6738" spans="1:7" x14ac:dyDescent="0.35">
      <c r="A6738" t="s">
        <v>847</v>
      </c>
      <c r="B6738" t="s">
        <v>680</v>
      </c>
      <c r="C6738" s="83">
        <v>46275</v>
      </c>
      <c r="D6738" t="s">
        <v>683</v>
      </c>
      <c r="E6738" t="s">
        <v>296</v>
      </c>
      <c r="F6738">
        <v>17</v>
      </c>
      <c r="G6738">
        <v>5.0158333333333296</v>
      </c>
    </row>
    <row r="6739" spans="1:7" x14ac:dyDescent="0.35">
      <c r="A6739" t="s">
        <v>847</v>
      </c>
      <c r="B6739" t="s">
        <v>680</v>
      </c>
      <c r="C6739" s="83">
        <v>46275</v>
      </c>
      <c r="D6739" t="s">
        <v>689</v>
      </c>
      <c r="E6739" t="s">
        <v>296</v>
      </c>
      <c r="F6739">
        <v>13</v>
      </c>
      <c r="G6739">
        <v>5.1286333333333296</v>
      </c>
    </row>
    <row r="6740" spans="1:7" x14ac:dyDescent="0.35">
      <c r="A6740" t="s">
        <v>847</v>
      </c>
      <c r="B6740" t="s">
        <v>680</v>
      </c>
      <c r="C6740" s="83">
        <v>46275</v>
      </c>
      <c r="D6740" t="s">
        <v>689</v>
      </c>
      <c r="E6740" t="s">
        <v>298</v>
      </c>
      <c r="F6740">
        <v>11</v>
      </c>
      <c r="G6740">
        <v>8.8069333333333297</v>
      </c>
    </row>
    <row r="6741" spans="1:7" x14ac:dyDescent="0.35">
      <c r="A6741" t="s">
        <v>847</v>
      </c>
      <c r="B6741" t="s">
        <v>680</v>
      </c>
      <c r="C6741" s="83">
        <v>46275</v>
      </c>
      <c r="D6741" t="s">
        <v>689</v>
      </c>
      <c r="E6741" t="s">
        <v>297</v>
      </c>
      <c r="F6741">
        <v>5</v>
      </c>
      <c r="G6741">
        <v>1.95051666666667</v>
      </c>
    </row>
    <row r="6742" spans="1:7" x14ac:dyDescent="0.35">
      <c r="A6742" t="s">
        <v>847</v>
      </c>
      <c r="B6742" t="s">
        <v>680</v>
      </c>
      <c r="C6742" s="83">
        <v>46275</v>
      </c>
      <c r="D6742" t="s">
        <v>684</v>
      </c>
      <c r="E6742" t="s">
        <v>300</v>
      </c>
      <c r="F6742">
        <v>3</v>
      </c>
      <c r="G6742">
        <v>1.8472500000000001</v>
      </c>
    </row>
    <row r="6743" spans="1:7" x14ac:dyDescent="0.35">
      <c r="A6743" t="s">
        <v>847</v>
      </c>
      <c r="B6743" t="s">
        <v>680</v>
      </c>
      <c r="C6743" s="83">
        <v>46275</v>
      </c>
      <c r="D6743" t="s">
        <v>684</v>
      </c>
      <c r="E6743" t="s">
        <v>297</v>
      </c>
      <c r="F6743">
        <v>3</v>
      </c>
      <c r="G6743">
        <v>0.28908333333333303</v>
      </c>
    </row>
    <row r="6744" spans="1:7" x14ac:dyDescent="0.35">
      <c r="A6744" t="s">
        <v>847</v>
      </c>
      <c r="B6744" t="s">
        <v>680</v>
      </c>
      <c r="C6744" s="83">
        <v>46275</v>
      </c>
      <c r="D6744" t="s">
        <v>684</v>
      </c>
      <c r="E6744" t="s">
        <v>298</v>
      </c>
      <c r="F6744">
        <v>2</v>
      </c>
      <c r="G6744">
        <v>0.33388333333333298</v>
      </c>
    </row>
    <row r="6745" spans="1:7" x14ac:dyDescent="0.35">
      <c r="A6745" t="s">
        <v>847</v>
      </c>
      <c r="B6745" t="s">
        <v>680</v>
      </c>
      <c r="C6745" s="83">
        <v>46275</v>
      </c>
      <c r="D6745" t="s">
        <v>687</v>
      </c>
      <c r="E6745" t="s">
        <v>746</v>
      </c>
      <c r="F6745">
        <v>4</v>
      </c>
      <c r="G6745">
        <v>4.49623333333333</v>
      </c>
    </row>
    <row r="6746" spans="1:7" x14ac:dyDescent="0.35">
      <c r="A6746" t="s">
        <v>847</v>
      </c>
      <c r="B6746" t="s">
        <v>680</v>
      </c>
      <c r="C6746" s="83">
        <v>46275</v>
      </c>
      <c r="D6746" t="s">
        <v>687</v>
      </c>
      <c r="E6746" t="s">
        <v>729</v>
      </c>
      <c r="F6746">
        <v>4</v>
      </c>
      <c r="G6746">
        <v>1.0009666666666699</v>
      </c>
    </row>
    <row r="6747" spans="1:7" x14ac:dyDescent="0.35">
      <c r="A6747" t="s">
        <v>847</v>
      </c>
      <c r="B6747" t="s">
        <v>680</v>
      </c>
      <c r="C6747" s="83">
        <v>46275</v>
      </c>
      <c r="D6747" t="s">
        <v>687</v>
      </c>
      <c r="E6747" t="s">
        <v>735</v>
      </c>
      <c r="F6747">
        <v>2</v>
      </c>
      <c r="G6747">
        <v>0.66676666666666695</v>
      </c>
    </row>
    <row r="6748" spans="1:7" x14ac:dyDescent="0.35">
      <c r="A6748" t="s">
        <v>847</v>
      </c>
      <c r="B6748" t="s">
        <v>680</v>
      </c>
      <c r="C6748" s="83">
        <v>46275</v>
      </c>
      <c r="D6748" t="s">
        <v>688</v>
      </c>
      <c r="E6748" t="s">
        <v>311</v>
      </c>
      <c r="F6748">
        <v>10</v>
      </c>
      <c r="G6748">
        <v>5.4628833333333304</v>
      </c>
    </row>
    <row r="6749" spans="1:7" x14ac:dyDescent="0.35">
      <c r="A6749" t="s">
        <v>847</v>
      </c>
      <c r="B6749" t="s">
        <v>680</v>
      </c>
      <c r="C6749" s="83">
        <v>46275</v>
      </c>
      <c r="D6749" t="s">
        <v>688</v>
      </c>
      <c r="E6749" t="s">
        <v>316</v>
      </c>
      <c r="F6749">
        <v>3</v>
      </c>
      <c r="G6749">
        <v>1.0004833333333301</v>
      </c>
    </row>
    <row r="6750" spans="1:7" x14ac:dyDescent="0.35">
      <c r="A6750" t="s">
        <v>847</v>
      </c>
      <c r="B6750" t="s">
        <v>680</v>
      </c>
      <c r="C6750" s="83">
        <v>46275</v>
      </c>
      <c r="D6750" t="s">
        <v>690</v>
      </c>
      <c r="E6750" t="s">
        <v>311</v>
      </c>
      <c r="F6750">
        <v>7</v>
      </c>
      <c r="G6750">
        <v>2.3355666666666699</v>
      </c>
    </row>
    <row r="6751" spans="1:7" x14ac:dyDescent="0.35">
      <c r="A6751" t="s">
        <v>847</v>
      </c>
      <c r="B6751" t="s">
        <v>680</v>
      </c>
      <c r="C6751" s="83">
        <v>46275</v>
      </c>
      <c r="D6751" t="s">
        <v>690</v>
      </c>
      <c r="E6751" t="s">
        <v>316</v>
      </c>
      <c r="F6751">
        <v>5</v>
      </c>
      <c r="G6751">
        <v>1.3431166666666701</v>
      </c>
    </row>
    <row r="6752" spans="1:7" x14ac:dyDescent="0.35">
      <c r="A6752" t="s">
        <v>847</v>
      </c>
      <c r="B6752" t="s">
        <v>680</v>
      </c>
      <c r="C6752" s="83">
        <v>46275</v>
      </c>
      <c r="D6752" t="s">
        <v>690</v>
      </c>
      <c r="E6752" t="s">
        <v>312</v>
      </c>
      <c r="F6752">
        <v>5</v>
      </c>
      <c r="G6752">
        <v>8.2355666666666707</v>
      </c>
    </row>
    <row r="6753" spans="1:7" x14ac:dyDescent="0.35">
      <c r="A6753" t="s">
        <v>847</v>
      </c>
      <c r="B6753" t="s">
        <v>680</v>
      </c>
      <c r="C6753" s="83">
        <v>46275</v>
      </c>
      <c r="D6753" t="s">
        <v>685</v>
      </c>
      <c r="E6753" t="s">
        <v>311</v>
      </c>
      <c r="F6753">
        <v>6</v>
      </c>
      <c r="G6753">
        <v>2.7599</v>
      </c>
    </row>
    <row r="6754" spans="1:7" x14ac:dyDescent="0.35">
      <c r="A6754" t="s">
        <v>847</v>
      </c>
      <c r="B6754" t="s">
        <v>680</v>
      </c>
      <c r="C6754" s="83">
        <v>46275</v>
      </c>
      <c r="D6754" t="s">
        <v>685</v>
      </c>
      <c r="E6754" t="s">
        <v>316</v>
      </c>
      <c r="F6754">
        <v>4</v>
      </c>
      <c r="G6754">
        <v>3.1720333333333302</v>
      </c>
    </row>
    <row r="6755" spans="1:7" x14ac:dyDescent="0.35">
      <c r="A6755" t="s">
        <v>847</v>
      </c>
      <c r="B6755" t="s">
        <v>680</v>
      </c>
      <c r="C6755" s="83">
        <v>46275</v>
      </c>
      <c r="D6755" t="s">
        <v>685</v>
      </c>
      <c r="E6755" t="s">
        <v>720</v>
      </c>
      <c r="F6755">
        <v>2</v>
      </c>
      <c r="G6755">
        <v>1.3321833333333299</v>
      </c>
    </row>
    <row r="6756" spans="1:7" x14ac:dyDescent="0.35">
      <c r="A6756" t="s">
        <v>847</v>
      </c>
      <c r="B6756" t="s">
        <v>680</v>
      </c>
      <c r="C6756" s="83">
        <v>46275</v>
      </c>
      <c r="D6756" t="s">
        <v>682</v>
      </c>
      <c r="E6756" t="s">
        <v>725</v>
      </c>
      <c r="F6756">
        <v>3</v>
      </c>
      <c r="G6756">
        <v>0.50043333333333295</v>
      </c>
    </row>
    <row r="6757" spans="1:7" x14ac:dyDescent="0.35">
      <c r="A6757" t="s">
        <v>847</v>
      </c>
      <c r="B6757" t="s">
        <v>680</v>
      </c>
      <c r="C6757" s="83">
        <v>46275</v>
      </c>
      <c r="D6757" t="s">
        <v>682</v>
      </c>
      <c r="E6757" t="s">
        <v>720</v>
      </c>
      <c r="F6757">
        <v>3</v>
      </c>
      <c r="G6757">
        <v>1.16506666666667</v>
      </c>
    </row>
    <row r="6758" spans="1:7" x14ac:dyDescent="0.35">
      <c r="A6758" t="s">
        <v>847</v>
      </c>
      <c r="B6758" t="s">
        <v>680</v>
      </c>
      <c r="C6758" s="83">
        <v>46275</v>
      </c>
      <c r="D6758" t="s">
        <v>682</v>
      </c>
      <c r="E6758" t="s">
        <v>723</v>
      </c>
      <c r="F6758">
        <v>2</v>
      </c>
      <c r="G6758">
        <v>1.1662333333333299</v>
      </c>
    </row>
    <row r="6759" spans="1:7" x14ac:dyDescent="0.35">
      <c r="A6759" t="s">
        <v>847</v>
      </c>
      <c r="B6759" t="s">
        <v>680</v>
      </c>
      <c r="C6759" s="83">
        <v>46275</v>
      </c>
      <c r="D6759" t="s">
        <v>686</v>
      </c>
      <c r="E6759" t="s">
        <v>791</v>
      </c>
      <c r="F6759">
        <v>5</v>
      </c>
      <c r="G6759">
        <v>4.0712666666666699</v>
      </c>
    </row>
    <row r="6760" spans="1:7" x14ac:dyDescent="0.35">
      <c r="A6760" t="s">
        <v>847</v>
      </c>
      <c r="B6760" t="s">
        <v>680</v>
      </c>
      <c r="C6760" s="83">
        <v>46275</v>
      </c>
      <c r="D6760" t="s">
        <v>686</v>
      </c>
      <c r="E6760" t="s">
        <v>554</v>
      </c>
      <c r="F6760">
        <v>5</v>
      </c>
      <c r="G6760">
        <v>14.514250000000001</v>
      </c>
    </row>
    <row r="6761" spans="1:7" x14ac:dyDescent="0.35">
      <c r="A6761" t="s">
        <v>847</v>
      </c>
      <c r="B6761" t="s">
        <v>680</v>
      </c>
      <c r="C6761" s="83">
        <v>46275</v>
      </c>
      <c r="D6761" t="s">
        <v>686</v>
      </c>
      <c r="E6761" t="s">
        <v>790</v>
      </c>
      <c r="F6761">
        <v>5</v>
      </c>
      <c r="G6761">
        <v>3.0045666666666699</v>
      </c>
    </row>
    <row r="6762" spans="1:7" x14ac:dyDescent="0.35">
      <c r="A6762" t="s">
        <v>847</v>
      </c>
      <c r="B6762" t="s">
        <v>680</v>
      </c>
      <c r="C6762" s="83">
        <v>46276</v>
      </c>
      <c r="D6762" t="s">
        <v>681</v>
      </c>
      <c r="E6762" t="s">
        <v>296</v>
      </c>
      <c r="F6762">
        <v>20</v>
      </c>
      <c r="G6762">
        <v>7.1673833333333299</v>
      </c>
    </row>
    <row r="6763" spans="1:7" x14ac:dyDescent="0.35">
      <c r="A6763" t="s">
        <v>847</v>
      </c>
      <c r="B6763" t="s">
        <v>680</v>
      </c>
      <c r="C6763" s="83">
        <v>46276</v>
      </c>
      <c r="D6763" t="s">
        <v>681</v>
      </c>
      <c r="E6763" t="s">
        <v>298</v>
      </c>
      <c r="F6763">
        <v>15</v>
      </c>
      <c r="G6763">
        <v>15.354233333333299</v>
      </c>
    </row>
    <row r="6764" spans="1:7" x14ac:dyDescent="0.35">
      <c r="A6764" t="s">
        <v>847</v>
      </c>
      <c r="B6764" t="s">
        <v>680</v>
      </c>
      <c r="C6764" s="83">
        <v>46276</v>
      </c>
      <c r="D6764" t="s">
        <v>681</v>
      </c>
      <c r="E6764" t="s">
        <v>728</v>
      </c>
      <c r="F6764">
        <v>7</v>
      </c>
      <c r="G6764">
        <v>1.3407</v>
      </c>
    </row>
    <row r="6765" spans="1:7" x14ac:dyDescent="0.35">
      <c r="A6765" t="s">
        <v>847</v>
      </c>
      <c r="B6765" t="s">
        <v>680</v>
      </c>
      <c r="C6765" s="83">
        <v>46276</v>
      </c>
      <c r="D6765" t="s">
        <v>683</v>
      </c>
      <c r="E6765" t="s">
        <v>298</v>
      </c>
      <c r="F6765">
        <v>28</v>
      </c>
      <c r="G6765">
        <v>35.340633333333301</v>
      </c>
    </row>
    <row r="6766" spans="1:7" x14ac:dyDescent="0.35">
      <c r="A6766" t="s">
        <v>847</v>
      </c>
      <c r="B6766" t="s">
        <v>680</v>
      </c>
      <c r="C6766" s="83">
        <v>46276</v>
      </c>
      <c r="D6766" t="s">
        <v>683</v>
      </c>
      <c r="E6766" t="s">
        <v>296</v>
      </c>
      <c r="F6766">
        <v>19</v>
      </c>
      <c r="G6766">
        <v>9.4885666666666708</v>
      </c>
    </row>
    <row r="6767" spans="1:7" x14ac:dyDescent="0.35">
      <c r="A6767" t="s">
        <v>847</v>
      </c>
      <c r="B6767" t="s">
        <v>680</v>
      </c>
      <c r="C6767" s="83">
        <v>46276</v>
      </c>
      <c r="D6767" t="s">
        <v>683</v>
      </c>
      <c r="E6767" t="s">
        <v>332</v>
      </c>
      <c r="F6767">
        <v>10</v>
      </c>
      <c r="G6767">
        <v>8.6591000000000005</v>
      </c>
    </row>
    <row r="6768" spans="1:7" x14ac:dyDescent="0.35">
      <c r="A6768" t="s">
        <v>847</v>
      </c>
      <c r="B6768" t="s">
        <v>680</v>
      </c>
      <c r="C6768" s="83">
        <v>46276</v>
      </c>
      <c r="D6768" t="s">
        <v>689</v>
      </c>
      <c r="E6768" t="s">
        <v>298</v>
      </c>
      <c r="F6768">
        <v>16</v>
      </c>
      <c r="G6768">
        <v>10.6839833333333</v>
      </c>
    </row>
    <row r="6769" spans="1:7" x14ac:dyDescent="0.35">
      <c r="A6769" t="s">
        <v>847</v>
      </c>
      <c r="B6769" t="s">
        <v>680</v>
      </c>
      <c r="C6769" s="83">
        <v>46276</v>
      </c>
      <c r="D6769" t="s">
        <v>689</v>
      </c>
      <c r="E6769" t="s">
        <v>296</v>
      </c>
      <c r="F6769">
        <v>12</v>
      </c>
      <c r="G6769">
        <v>5.67455</v>
      </c>
    </row>
    <row r="6770" spans="1:7" x14ac:dyDescent="0.35">
      <c r="A6770" t="s">
        <v>847</v>
      </c>
      <c r="B6770" t="s">
        <v>680</v>
      </c>
      <c r="C6770" s="83">
        <v>46276</v>
      </c>
      <c r="D6770" t="s">
        <v>689</v>
      </c>
      <c r="E6770" t="s">
        <v>332</v>
      </c>
      <c r="F6770">
        <v>10</v>
      </c>
      <c r="G6770">
        <v>18.664533333333299</v>
      </c>
    </row>
    <row r="6771" spans="1:7" x14ac:dyDescent="0.35">
      <c r="A6771" t="s">
        <v>847</v>
      </c>
      <c r="B6771" t="s">
        <v>680</v>
      </c>
      <c r="C6771" s="83">
        <v>46276</v>
      </c>
      <c r="D6771" t="s">
        <v>684</v>
      </c>
      <c r="E6771" t="s">
        <v>298</v>
      </c>
      <c r="F6771">
        <v>7</v>
      </c>
      <c r="G6771">
        <v>4.0022000000000002</v>
      </c>
    </row>
    <row r="6772" spans="1:7" x14ac:dyDescent="0.35">
      <c r="A6772" t="s">
        <v>847</v>
      </c>
      <c r="B6772" t="s">
        <v>680</v>
      </c>
      <c r="C6772" s="83">
        <v>46276</v>
      </c>
      <c r="D6772" t="s">
        <v>684</v>
      </c>
      <c r="E6772" t="s">
        <v>332</v>
      </c>
      <c r="F6772">
        <v>2</v>
      </c>
      <c r="G6772">
        <v>0.16666666666666699</v>
      </c>
    </row>
    <row r="6773" spans="1:7" x14ac:dyDescent="0.35">
      <c r="A6773" t="s">
        <v>847</v>
      </c>
      <c r="B6773" t="s">
        <v>680</v>
      </c>
      <c r="C6773" s="83">
        <v>46276</v>
      </c>
      <c r="D6773" t="s">
        <v>684</v>
      </c>
      <c r="E6773" t="s">
        <v>300</v>
      </c>
      <c r="F6773">
        <v>2</v>
      </c>
      <c r="G6773">
        <v>0.32798333333333302</v>
      </c>
    </row>
    <row r="6774" spans="1:7" x14ac:dyDescent="0.35">
      <c r="A6774" t="s">
        <v>847</v>
      </c>
      <c r="B6774" t="s">
        <v>680</v>
      </c>
      <c r="C6774" s="83">
        <v>46276</v>
      </c>
      <c r="D6774" t="s">
        <v>687</v>
      </c>
      <c r="E6774" t="s">
        <v>717</v>
      </c>
      <c r="F6774">
        <v>4</v>
      </c>
      <c r="G6774">
        <v>1.0072333333333301</v>
      </c>
    </row>
    <row r="6775" spans="1:7" x14ac:dyDescent="0.35">
      <c r="A6775" t="s">
        <v>847</v>
      </c>
      <c r="B6775" t="s">
        <v>680</v>
      </c>
      <c r="C6775" s="83">
        <v>46276</v>
      </c>
      <c r="D6775" t="s">
        <v>687</v>
      </c>
      <c r="E6775" t="s">
        <v>742</v>
      </c>
      <c r="F6775">
        <v>3</v>
      </c>
      <c r="G6775">
        <v>36.008583333333299</v>
      </c>
    </row>
    <row r="6776" spans="1:7" x14ac:dyDescent="0.35">
      <c r="A6776" t="s">
        <v>847</v>
      </c>
      <c r="B6776" t="s">
        <v>680</v>
      </c>
      <c r="C6776" s="83">
        <v>46276</v>
      </c>
      <c r="D6776" t="s">
        <v>687</v>
      </c>
      <c r="E6776" t="s">
        <v>752</v>
      </c>
      <c r="F6776">
        <v>3</v>
      </c>
      <c r="G6776">
        <v>3.3402833333333302</v>
      </c>
    </row>
    <row r="6777" spans="1:7" x14ac:dyDescent="0.35">
      <c r="A6777" t="s">
        <v>847</v>
      </c>
      <c r="B6777" t="s">
        <v>680</v>
      </c>
      <c r="C6777" s="83">
        <v>46276</v>
      </c>
      <c r="D6777" t="s">
        <v>688</v>
      </c>
      <c r="E6777" t="s">
        <v>720</v>
      </c>
      <c r="F6777">
        <v>11</v>
      </c>
      <c r="G6777">
        <v>5.83456666666667</v>
      </c>
    </row>
    <row r="6778" spans="1:7" x14ac:dyDescent="0.35">
      <c r="A6778" t="s">
        <v>847</v>
      </c>
      <c r="B6778" t="s">
        <v>680</v>
      </c>
      <c r="C6778" s="83">
        <v>46276</v>
      </c>
      <c r="D6778" t="s">
        <v>688</v>
      </c>
      <c r="E6778" t="s">
        <v>311</v>
      </c>
      <c r="F6778">
        <v>2</v>
      </c>
      <c r="G6778">
        <v>1.50036666666667</v>
      </c>
    </row>
    <row r="6779" spans="1:7" x14ac:dyDescent="0.35">
      <c r="A6779" t="s">
        <v>847</v>
      </c>
      <c r="B6779" t="s">
        <v>680</v>
      </c>
      <c r="C6779" s="83">
        <v>46276</v>
      </c>
      <c r="D6779" t="s">
        <v>688</v>
      </c>
      <c r="E6779" t="s">
        <v>822</v>
      </c>
      <c r="F6779">
        <v>2</v>
      </c>
      <c r="G6779">
        <v>44.670866666666697</v>
      </c>
    </row>
    <row r="6780" spans="1:7" x14ac:dyDescent="0.35">
      <c r="A6780" t="s">
        <v>847</v>
      </c>
      <c r="B6780" t="s">
        <v>680</v>
      </c>
      <c r="C6780" s="83">
        <v>46276</v>
      </c>
      <c r="D6780" t="s">
        <v>690</v>
      </c>
      <c r="E6780" t="s">
        <v>311</v>
      </c>
      <c r="F6780">
        <v>10</v>
      </c>
      <c r="G6780">
        <v>6.4987666666666701</v>
      </c>
    </row>
    <row r="6781" spans="1:7" x14ac:dyDescent="0.35">
      <c r="A6781" t="s">
        <v>847</v>
      </c>
      <c r="B6781" t="s">
        <v>680</v>
      </c>
      <c r="C6781" s="83">
        <v>46276</v>
      </c>
      <c r="D6781" t="s">
        <v>690</v>
      </c>
      <c r="E6781" t="s">
        <v>720</v>
      </c>
      <c r="F6781">
        <v>4</v>
      </c>
      <c r="G6781">
        <v>48.506983333333302</v>
      </c>
    </row>
    <row r="6782" spans="1:7" x14ac:dyDescent="0.35">
      <c r="A6782" t="s">
        <v>847</v>
      </c>
      <c r="B6782" t="s">
        <v>680</v>
      </c>
      <c r="C6782" s="83">
        <v>46276</v>
      </c>
      <c r="D6782" t="s">
        <v>690</v>
      </c>
      <c r="E6782" t="s">
        <v>312</v>
      </c>
      <c r="F6782">
        <v>3</v>
      </c>
      <c r="G6782">
        <v>1.1671166666666699</v>
      </c>
    </row>
    <row r="6783" spans="1:7" x14ac:dyDescent="0.35">
      <c r="A6783" t="s">
        <v>847</v>
      </c>
      <c r="B6783" t="s">
        <v>680</v>
      </c>
      <c r="C6783" s="83">
        <v>46276</v>
      </c>
      <c r="D6783" t="s">
        <v>685</v>
      </c>
      <c r="E6783" t="s">
        <v>311</v>
      </c>
      <c r="F6783">
        <v>19</v>
      </c>
      <c r="G6783">
        <v>13.51745</v>
      </c>
    </row>
    <row r="6784" spans="1:7" x14ac:dyDescent="0.35">
      <c r="A6784" t="s">
        <v>847</v>
      </c>
      <c r="B6784" t="s">
        <v>680</v>
      </c>
      <c r="C6784" s="83">
        <v>46276</v>
      </c>
      <c r="D6784" t="s">
        <v>685</v>
      </c>
      <c r="E6784" t="s">
        <v>316</v>
      </c>
      <c r="F6784">
        <v>6</v>
      </c>
      <c r="G6784">
        <v>4.65055</v>
      </c>
    </row>
    <row r="6785" spans="1:7" x14ac:dyDescent="0.35">
      <c r="A6785" t="s">
        <v>847</v>
      </c>
      <c r="B6785" t="s">
        <v>680</v>
      </c>
      <c r="C6785" s="83">
        <v>46276</v>
      </c>
      <c r="D6785" t="s">
        <v>685</v>
      </c>
      <c r="E6785" t="s">
        <v>724</v>
      </c>
      <c r="F6785">
        <v>6</v>
      </c>
      <c r="G6785">
        <v>62.168266666666703</v>
      </c>
    </row>
    <row r="6786" spans="1:7" x14ac:dyDescent="0.35">
      <c r="A6786" t="s">
        <v>847</v>
      </c>
      <c r="B6786" t="s">
        <v>680</v>
      </c>
      <c r="C6786" s="83">
        <v>46276</v>
      </c>
      <c r="D6786" t="s">
        <v>682</v>
      </c>
      <c r="E6786" t="s">
        <v>311</v>
      </c>
      <c r="F6786">
        <v>6</v>
      </c>
      <c r="G6786">
        <v>5.1572833333333303</v>
      </c>
    </row>
    <row r="6787" spans="1:7" x14ac:dyDescent="0.35">
      <c r="A6787" t="s">
        <v>847</v>
      </c>
      <c r="B6787" t="s">
        <v>680</v>
      </c>
      <c r="C6787" s="83">
        <v>46276</v>
      </c>
      <c r="D6787" t="s">
        <v>682</v>
      </c>
      <c r="E6787" t="s">
        <v>720</v>
      </c>
      <c r="F6787">
        <v>6</v>
      </c>
      <c r="G6787">
        <v>4.3403166666666699</v>
      </c>
    </row>
    <row r="6788" spans="1:7" x14ac:dyDescent="0.35">
      <c r="A6788" t="s">
        <v>847</v>
      </c>
      <c r="B6788" t="s">
        <v>680</v>
      </c>
      <c r="C6788" s="83">
        <v>46276</v>
      </c>
      <c r="D6788" t="s">
        <v>682</v>
      </c>
      <c r="E6788" t="s">
        <v>725</v>
      </c>
      <c r="F6788">
        <v>3</v>
      </c>
      <c r="G6788">
        <v>2.49996666666667</v>
      </c>
    </row>
    <row r="6789" spans="1:7" x14ac:dyDescent="0.35">
      <c r="A6789" t="s">
        <v>847</v>
      </c>
      <c r="B6789" t="s">
        <v>680</v>
      </c>
      <c r="C6789" s="83">
        <v>46276</v>
      </c>
      <c r="D6789" t="s">
        <v>686</v>
      </c>
      <c r="E6789" t="s">
        <v>789</v>
      </c>
      <c r="F6789">
        <v>3</v>
      </c>
      <c r="G6789">
        <v>1.4935833333333299</v>
      </c>
    </row>
    <row r="6790" spans="1:7" x14ac:dyDescent="0.35">
      <c r="A6790" t="s">
        <v>847</v>
      </c>
      <c r="B6790" t="s">
        <v>680</v>
      </c>
      <c r="C6790" s="83">
        <v>46276</v>
      </c>
      <c r="D6790" t="s">
        <v>686</v>
      </c>
      <c r="E6790" t="s">
        <v>804</v>
      </c>
      <c r="F6790">
        <v>2</v>
      </c>
      <c r="G6790">
        <v>0.16666666666666699</v>
      </c>
    </row>
    <row r="6791" spans="1:7" x14ac:dyDescent="0.35">
      <c r="A6791" t="s">
        <v>847</v>
      </c>
      <c r="B6791" t="s">
        <v>680</v>
      </c>
      <c r="C6791" s="83">
        <v>46276</v>
      </c>
      <c r="D6791" t="s">
        <v>686</v>
      </c>
      <c r="E6791" t="s">
        <v>554</v>
      </c>
      <c r="F6791">
        <v>2</v>
      </c>
      <c r="G6791">
        <v>1.9926333333333299</v>
      </c>
    </row>
    <row r="6792" spans="1:7" x14ac:dyDescent="0.35">
      <c r="A6792" t="s">
        <v>847</v>
      </c>
      <c r="B6792" t="s">
        <v>680</v>
      </c>
      <c r="C6792" s="83">
        <v>46277</v>
      </c>
      <c r="D6792" t="s">
        <v>681</v>
      </c>
      <c r="E6792" t="s">
        <v>298</v>
      </c>
      <c r="F6792">
        <v>7</v>
      </c>
      <c r="G6792">
        <v>6.9916999999999998</v>
      </c>
    </row>
    <row r="6793" spans="1:7" x14ac:dyDescent="0.35">
      <c r="A6793" t="s">
        <v>847</v>
      </c>
      <c r="B6793" t="s">
        <v>680</v>
      </c>
      <c r="C6793" s="83">
        <v>46277</v>
      </c>
      <c r="D6793" t="s">
        <v>681</v>
      </c>
      <c r="E6793" t="s">
        <v>296</v>
      </c>
      <c r="F6793">
        <v>4</v>
      </c>
      <c r="G6793">
        <v>0.50033333333333296</v>
      </c>
    </row>
    <row r="6794" spans="1:7" x14ac:dyDescent="0.35">
      <c r="A6794" t="s">
        <v>847</v>
      </c>
      <c r="B6794" t="s">
        <v>680</v>
      </c>
      <c r="C6794" s="83">
        <v>46277</v>
      </c>
      <c r="D6794" t="s">
        <v>681</v>
      </c>
      <c r="E6794" t="s">
        <v>737</v>
      </c>
      <c r="F6794">
        <v>2</v>
      </c>
      <c r="G6794">
        <v>1.5001</v>
      </c>
    </row>
    <row r="6795" spans="1:7" x14ac:dyDescent="0.35">
      <c r="A6795" t="s">
        <v>847</v>
      </c>
      <c r="B6795" t="s">
        <v>680</v>
      </c>
      <c r="C6795" s="83">
        <v>46277</v>
      </c>
      <c r="D6795" t="s">
        <v>683</v>
      </c>
      <c r="E6795" t="s">
        <v>298</v>
      </c>
      <c r="F6795">
        <v>10</v>
      </c>
      <c r="G6795">
        <v>5.8350666666666697</v>
      </c>
    </row>
    <row r="6796" spans="1:7" x14ac:dyDescent="0.35">
      <c r="A6796" t="s">
        <v>847</v>
      </c>
      <c r="B6796" t="s">
        <v>680</v>
      </c>
      <c r="C6796" s="83">
        <v>46277</v>
      </c>
      <c r="D6796" t="s">
        <v>683</v>
      </c>
      <c r="E6796" t="s">
        <v>296</v>
      </c>
      <c r="F6796">
        <v>3</v>
      </c>
      <c r="G6796">
        <v>0.50705</v>
      </c>
    </row>
    <row r="6797" spans="1:7" x14ac:dyDescent="0.35">
      <c r="A6797" t="s">
        <v>847</v>
      </c>
      <c r="B6797" t="s">
        <v>680</v>
      </c>
      <c r="C6797" s="83">
        <v>46277</v>
      </c>
      <c r="D6797" t="s">
        <v>683</v>
      </c>
      <c r="E6797" t="s">
        <v>737</v>
      </c>
      <c r="F6797">
        <v>2</v>
      </c>
      <c r="G6797">
        <v>0.33336666666666698</v>
      </c>
    </row>
    <row r="6798" spans="1:7" x14ac:dyDescent="0.35">
      <c r="A6798" t="s">
        <v>847</v>
      </c>
      <c r="B6798" t="s">
        <v>680</v>
      </c>
      <c r="C6798" s="83">
        <v>46277</v>
      </c>
      <c r="D6798" t="s">
        <v>689</v>
      </c>
      <c r="E6798" t="s">
        <v>298</v>
      </c>
      <c r="F6798">
        <v>7</v>
      </c>
      <c r="G6798">
        <v>2.1667999999999998</v>
      </c>
    </row>
    <row r="6799" spans="1:7" x14ac:dyDescent="0.35">
      <c r="A6799" t="s">
        <v>847</v>
      </c>
      <c r="B6799" t="s">
        <v>680</v>
      </c>
      <c r="C6799" s="83">
        <v>46277</v>
      </c>
      <c r="D6799" t="s">
        <v>689</v>
      </c>
      <c r="E6799" t="s">
        <v>334</v>
      </c>
      <c r="F6799">
        <v>5</v>
      </c>
      <c r="G6799">
        <v>2.508</v>
      </c>
    </row>
    <row r="6800" spans="1:7" x14ac:dyDescent="0.35">
      <c r="A6800" t="s">
        <v>847</v>
      </c>
      <c r="B6800" t="s">
        <v>680</v>
      </c>
      <c r="C6800" s="83">
        <v>46277</v>
      </c>
      <c r="D6800" t="s">
        <v>689</v>
      </c>
      <c r="E6800" t="s">
        <v>332</v>
      </c>
      <c r="F6800">
        <v>3</v>
      </c>
      <c r="G6800">
        <v>1.50033333333333</v>
      </c>
    </row>
    <row r="6801" spans="1:7" x14ac:dyDescent="0.35">
      <c r="A6801" t="s">
        <v>847</v>
      </c>
      <c r="B6801" t="s">
        <v>680</v>
      </c>
      <c r="C6801" s="83">
        <v>46277</v>
      </c>
      <c r="D6801" t="s">
        <v>684</v>
      </c>
      <c r="E6801" t="s">
        <v>300</v>
      </c>
      <c r="F6801">
        <v>2</v>
      </c>
      <c r="G6801">
        <v>0.66668333333333296</v>
      </c>
    </row>
    <row r="6802" spans="1:7" x14ac:dyDescent="0.35">
      <c r="A6802" t="s">
        <v>847</v>
      </c>
      <c r="B6802" t="s">
        <v>680</v>
      </c>
      <c r="C6802" s="83">
        <v>46277</v>
      </c>
      <c r="D6802" t="s">
        <v>684</v>
      </c>
      <c r="E6802" t="s">
        <v>727</v>
      </c>
      <c r="F6802">
        <v>2</v>
      </c>
      <c r="G6802">
        <v>0.16696666666666701</v>
      </c>
    </row>
    <row r="6803" spans="1:7" x14ac:dyDescent="0.35">
      <c r="A6803" t="s">
        <v>847</v>
      </c>
      <c r="B6803" t="s">
        <v>680</v>
      </c>
      <c r="C6803" s="83">
        <v>46277</v>
      </c>
      <c r="D6803" t="s">
        <v>684</v>
      </c>
      <c r="E6803" t="s">
        <v>298</v>
      </c>
      <c r="F6803">
        <v>2</v>
      </c>
      <c r="G6803">
        <v>4.5004</v>
      </c>
    </row>
    <row r="6804" spans="1:7" x14ac:dyDescent="0.35">
      <c r="A6804" t="s">
        <v>847</v>
      </c>
      <c r="B6804" t="s">
        <v>680</v>
      </c>
      <c r="C6804" s="83">
        <v>46277</v>
      </c>
      <c r="D6804" t="s">
        <v>687</v>
      </c>
      <c r="E6804" t="s">
        <v>746</v>
      </c>
      <c r="F6804">
        <v>4</v>
      </c>
      <c r="G6804">
        <v>5.1740500000000003</v>
      </c>
    </row>
    <row r="6805" spans="1:7" x14ac:dyDescent="0.35">
      <c r="A6805" t="s">
        <v>847</v>
      </c>
      <c r="B6805" t="s">
        <v>680</v>
      </c>
      <c r="C6805" s="83">
        <v>46277</v>
      </c>
      <c r="D6805" t="s">
        <v>687</v>
      </c>
      <c r="E6805" t="s">
        <v>717</v>
      </c>
      <c r="F6805">
        <v>3</v>
      </c>
      <c r="G6805">
        <v>1.6676833333333301</v>
      </c>
    </row>
    <row r="6806" spans="1:7" x14ac:dyDescent="0.35">
      <c r="A6806" t="s">
        <v>847</v>
      </c>
      <c r="B6806" t="s">
        <v>680</v>
      </c>
      <c r="C6806" s="83">
        <v>46277</v>
      </c>
      <c r="D6806" t="s">
        <v>687</v>
      </c>
      <c r="E6806" t="s">
        <v>733</v>
      </c>
      <c r="F6806">
        <v>2</v>
      </c>
      <c r="G6806">
        <v>1.99695</v>
      </c>
    </row>
    <row r="6807" spans="1:7" x14ac:dyDescent="0.35">
      <c r="A6807" t="s">
        <v>847</v>
      </c>
      <c r="B6807" t="s">
        <v>680</v>
      </c>
      <c r="C6807" s="83">
        <v>46277</v>
      </c>
      <c r="D6807" t="s">
        <v>688</v>
      </c>
      <c r="E6807" t="s">
        <v>720</v>
      </c>
      <c r="F6807">
        <v>5</v>
      </c>
      <c r="G6807">
        <v>1.50705</v>
      </c>
    </row>
    <row r="6808" spans="1:7" x14ac:dyDescent="0.35">
      <c r="A6808" t="s">
        <v>847</v>
      </c>
      <c r="B6808" t="s">
        <v>680</v>
      </c>
      <c r="C6808" s="83">
        <v>46277</v>
      </c>
      <c r="D6808" t="s">
        <v>688</v>
      </c>
      <c r="E6808" t="s">
        <v>316</v>
      </c>
      <c r="F6808">
        <v>4</v>
      </c>
      <c r="G6808">
        <v>0.99981666666666702</v>
      </c>
    </row>
    <row r="6809" spans="1:7" x14ac:dyDescent="0.35">
      <c r="A6809" t="s">
        <v>847</v>
      </c>
      <c r="B6809" t="s">
        <v>680</v>
      </c>
      <c r="C6809" s="83">
        <v>46277</v>
      </c>
      <c r="D6809" t="s">
        <v>690</v>
      </c>
      <c r="E6809" t="s">
        <v>311</v>
      </c>
      <c r="F6809">
        <v>5</v>
      </c>
      <c r="G6809">
        <v>1.49803333333333</v>
      </c>
    </row>
    <row r="6810" spans="1:7" x14ac:dyDescent="0.35">
      <c r="A6810" t="s">
        <v>847</v>
      </c>
      <c r="B6810" t="s">
        <v>680</v>
      </c>
      <c r="C6810" s="83">
        <v>46277</v>
      </c>
      <c r="D6810" t="s">
        <v>690</v>
      </c>
      <c r="E6810" t="s">
        <v>126</v>
      </c>
      <c r="F6810">
        <v>3</v>
      </c>
      <c r="G6810">
        <v>1.84001666666667</v>
      </c>
    </row>
    <row r="6811" spans="1:7" x14ac:dyDescent="0.35">
      <c r="A6811" t="s">
        <v>847</v>
      </c>
      <c r="B6811" t="s">
        <v>680</v>
      </c>
      <c r="C6811" s="83">
        <v>46277</v>
      </c>
      <c r="D6811" t="s">
        <v>690</v>
      </c>
      <c r="E6811" t="s">
        <v>640</v>
      </c>
      <c r="F6811">
        <v>2</v>
      </c>
      <c r="G6811">
        <v>0.84096666666666697</v>
      </c>
    </row>
    <row r="6812" spans="1:7" x14ac:dyDescent="0.35">
      <c r="A6812" t="s">
        <v>847</v>
      </c>
      <c r="B6812" t="s">
        <v>680</v>
      </c>
      <c r="C6812" s="83">
        <v>46277</v>
      </c>
      <c r="D6812" t="s">
        <v>685</v>
      </c>
      <c r="E6812" t="s">
        <v>316</v>
      </c>
      <c r="F6812">
        <v>3</v>
      </c>
      <c r="G6812">
        <v>1.0010333333333301</v>
      </c>
    </row>
    <row r="6813" spans="1:7" x14ac:dyDescent="0.35">
      <c r="A6813" t="s">
        <v>847</v>
      </c>
      <c r="B6813" t="s">
        <v>680</v>
      </c>
      <c r="C6813" s="83">
        <v>46277</v>
      </c>
      <c r="D6813" t="s">
        <v>685</v>
      </c>
      <c r="E6813" t="s">
        <v>657</v>
      </c>
      <c r="F6813">
        <v>3</v>
      </c>
      <c r="G6813">
        <v>1.49918333333333</v>
      </c>
    </row>
    <row r="6814" spans="1:7" x14ac:dyDescent="0.35">
      <c r="A6814" t="s">
        <v>847</v>
      </c>
      <c r="B6814" t="s">
        <v>680</v>
      </c>
      <c r="C6814" s="83">
        <v>46277</v>
      </c>
      <c r="D6814" t="s">
        <v>685</v>
      </c>
      <c r="E6814" t="s">
        <v>724</v>
      </c>
      <c r="F6814">
        <v>2</v>
      </c>
      <c r="G6814">
        <v>2.00058333333333</v>
      </c>
    </row>
    <row r="6815" spans="1:7" x14ac:dyDescent="0.35">
      <c r="A6815" t="s">
        <v>847</v>
      </c>
      <c r="B6815" t="s">
        <v>680</v>
      </c>
      <c r="C6815" s="83">
        <v>46277</v>
      </c>
      <c r="D6815" t="s">
        <v>682</v>
      </c>
      <c r="E6815" t="s">
        <v>311</v>
      </c>
      <c r="F6815">
        <v>3</v>
      </c>
      <c r="G6815">
        <v>2.8335166666666698</v>
      </c>
    </row>
    <row r="6816" spans="1:7" x14ac:dyDescent="0.35">
      <c r="A6816" t="s">
        <v>847</v>
      </c>
      <c r="B6816" t="s">
        <v>680</v>
      </c>
      <c r="C6816" s="83">
        <v>46277</v>
      </c>
      <c r="D6816" t="s">
        <v>682</v>
      </c>
      <c r="E6816" t="s">
        <v>338</v>
      </c>
      <c r="F6816">
        <v>2</v>
      </c>
      <c r="G6816">
        <v>1.4995000000000001</v>
      </c>
    </row>
    <row r="6817" spans="1:7" x14ac:dyDescent="0.35">
      <c r="A6817" t="s">
        <v>847</v>
      </c>
      <c r="B6817" t="s">
        <v>680</v>
      </c>
      <c r="C6817" s="83">
        <v>46277</v>
      </c>
      <c r="D6817" t="s">
        <v>682</v>
      </c>
      <c r="E6817" t="s">
        <v>720</v>
      </c>
      <c r="F6817">
        <v>2</v>
      </c>
      <c r="G6817">
        <v>1.0003166666666701</v>
      </c>
    </row>
    <row r="6818" spans="1:7" x14ac:dyDescent="0.35">
      <c r="A6818" t="s">
        <v>847</v>
      </c>
      <c r="B6818" t="s">
        <v>680</v>
      </c>
      <c r="C6818" s="83">
        <v>46277</v>
      </c>
      <c r="D6818" t="s">
        <v>686</v>
      </c>
      <c r="E6818" t="s">
        <v>789</v>
      </c>
      <c r="F6818">
        <v>3</v>
      </c>
      <c r="G6818">
        <v>0.66108333333333302</v>
      </c>
    </row>
    <row r="6819" spans="1:7" x14ac:dyDescent="0.35">
      <c r="A6819" t="s">
        <v>847</v>
      </c>
      <c r="B6819" t="s">
        <v>680</v>
      </c>
      <c r="C6819" s="83">
        <v>46277</v>
      </c>
      <c r="D6819" t="s">
        <v>686</v>
      </c>
      <c r="E6819" t="s">
        <v>791</v>
      </c>
      <c r="F6819">
        <v>2</v>
      </c>
      <c r="G6819">
        <v>1.83263333333333</v>
      </c>
    </row>
    <row r="6820" spans="1:7" x14ac:dyDescent="0.35">
      <c r="A6820" t="s">
        <v>847</v>
      </c>
      <c r="B6820" t="s">
        <v>693</v>
      </c>
      <c r="C6820" s="83"/>
      <c r="F6820">
        <v>52464</v>
      </c>
      <c r="G6820">
        <v>97795.437083333003</v>
      </c>
    </row>
    <row r="6821" spans="1:7" x14ac:dyDescent="0.35">
      <c r="A6821" t="s">
        <v>847</v>
      </c>
      <c r="B6821" t="s">
        <v>691</v>
      </c>
      <c r="C6821" s="83">
        <v>46023</v>
      </c>
      <c r="D6821" t="s">
        <v>295</v>
      </c>
      <c r="E6821" t="s">
        <v>637</v>
      </c>
      <c r="F6821">
        <v>49</v>
      </c>
      <c r="G6821">
        <v>20.385766666666701</v>
      </c>
    </row>
    <row r="6822" spans="1:7" x14ac:dyDescent="0.35">
      <c r="A6822" t="s">
        <v>847</v>
      </c>
      <c r="B6822" t="s">
        <v>691</v>
      </c>
      <c r="C6822" s="83">
        <v>46023</v>
      </c>
      <c r="D6822" t="s">
        <v>295</v>
      </c>
      <c r="E6822" t="s">
        <v>296</v>
      </c>
      <c r="F6822">
        <v>16</v>
      </c>
      <c r="G6822">
        <v>4.4716500000000003</v>
      </c>
    </row>
    <row r="6823" spans="1:7" x14ac:dyDescent="0.35">
      <c r="A6823" t="s">
        <v>847</v>
      </c>
      <c r="B6823" t="s">
        <v>691</v>
      </c>
      <c r="C6823" s="83">
        <v>46023</v>
      </c>
      <c r="D6823" t="s">
        <v>299</v>
      </c>
      <c r="E6823" t="s">
        <v>296</v>
      </c>
      <c r="F6823">
        <v>36</v>
      </c>
      <c r="G6823">
        <v>16.9118666666667</v>
      </c>
    </row>
    <row r="6824" spans="1:7" x14ac:dyDescent="0.35">
      <c r="A6824" t="s">
        <v>847</v>
      </c>
      <c r="B6824" t="s">
        <v>691</v>
      </c>
      <c r="C6824" s="83">
        <v>46023</v>
      </c>
      <c r="D6824" t="s">
        <v>299</v>
      </c>
      <c r="E6824" t="s">
        <v>637</v>
      </c>
      <c r="F6824">
        <v>13</v>
      </c>
      <c r="G6824">
        <v>5.1839166666666703</v>
      </c>
    </row>
    <row r="6825" spans="1:7" x14ac:dyDescent="0.35">
      <c r="A6825" t="s">
        <v>847</v>
      </c>
      <c r="B6825" t="s">
        <v>691</v>
      </c>
      <c r="C6825" s="83">
        <v>46023</v>
      </c>
      <c r="D6825" t="s">
        <v>301</v>
      </c>
      <c r="E6825" t="s">
        <v>302</v>
      </c>
      <c r="F6825">
        <v>22</v>
      </c>
      <c r="G6825">
        <v>10.012933333333301</v>
      </c>
    </row>
    <row r="6826" spans="1:7" x14ac:dyDescent="0.35">
      <c r="A6826" t="s">
        <v>847</v>
      </c>
      <c r="B6826" t="s">
        <v>691</v>
      </c>
      <c r="C6826" s="83">
        <v>46023</v>
      </c>
      <c r="D6826" t="s">
        <v>303</v>
      </c>
      <c r="E6826" t="s">
        <v>302</v>
      </c>
      <c r="F6826">
        <v>28</v>
      </c>
      <c r="G6826">
        <v>13.835183333333299</v>
      </c>
    </row>
    <row r="6827" spans="1:7" x14ac:dyDescent="0.35">
      <c r="A6827" t="s">
        <v>847</v>
      </c>
      <c r="B6827" t="s">
        <v>691</v>
      </c>
      <c r="C6827" s="83">
        <v>46023</v>
      </c>
      <c r="D6827" t="s">
        <v>310</v>
      </c>
      <c r="E6827" t="s">
        <v>311</v>
      </c>
      <c r="F6827">
        <v>31</v>
      </c>
      <c r="G6827">
        <v>34.315600000000003</v>
      </c>
    </row>
    <row r="6828" spans="1:7" x14ac:dyDescent="0.35">
      <c r="A6828" t="s">
        <v>847</v>
      </c>
      <c r="B6828" t="s">
        <v>691</v>
      </c>
      <c r="C6828" s="83">
        <v>46023</v>
      </c>
      <c r="D6828" t="s">
        <v>310</v>
      </c>
      <c r="E6828" t="s">
        <v>640</v>
      </c>
      <c r="F6828">
        <v>6</v>
      </c>
      <c r="G6828">
        <v>6.8088833333333296</v>
      </c>
    </row>
    <row r="6829" spans="1:7" x14ac:dyDescent="0.35">
      <c r="A6829" t="s">
        <v>847</v>
      </c>
      <c r="B6829" t="s">
        <v>691</v>
      </c>
      <c r="C6829" s="83">
        <v>46023</v>
      </c>
      <c r="D6829" t="s">
        <v>310</v>
      </c>
      <c r="E6829" t="s">
        <v>126</v>
      </c>
      <c r="F6829">
        <v>6</v>
      </c>
      <c r="G6829">
        <v>6.5329333333333297</v>
      </c>
    </row>
    <row r="6830" spans="1:7" x14ac:dyDescent="0.35">
      <c r="A6830" t="s">
        <v>847</v>
      </c>
      <c r="B6830" t="s">
        <v>691</v>
      </c>
      <c r="C6830" s="83">
        <v>46023</v>
      </c>
      <c r="D6830" t="s">
        <v>313</v>
      </c>
      <c r="E6830" t="s">
        <v>311</v>
      </c>
      <c r="F6830">
        <v>29</v>
      </c>
      <c r="G6830">
        <v>22.044</v>
      </c>
    </row>
    <row r="6831" spans="1:7" x14ac:dyDescent="0.35">
      <c r="A6831" t="s">
        <v>847</v>
      </c>
      <c r="B6831" t="s">
        <v>691</v>
      </c>
      <c r="C6831" s="83">
        <v>46023</v>
      </c>
      <c r="D6831" t="s">
        <v>313</v>
      </c>
      <c r="E6831" t="s">
        <v>126</v>
      </c>
      <c r="F6831">
        <v>18</v>
      </c>
      <c r="G6831">
        <v>43.223199999999999</v>
      </c>
    </row>
    <row r="6832" spans="1:7" x14ac:dyDescent="0.35">
      <c r="A6832" t="s">
        <v>847</v>
      </c>
      <c r="B6832" t="s">
        <v>691</v>
      </c>
      <c r="C6832" s="83">
        <v>46023</v>
      </c>
      <c r="D6832" t="s">
        <v>313</v>
      </c>
      <c r="E6832" t="s">
        <v>312</v>
      </c>
      <c r="F6832">
        <v>12</v>
      </c>
      <c r="G6832">
        <v>9.6377500000000005</v>
      </c>
    </row>
    <row r="6833" spans="1:7" x14ac:dyDescent="0.35">
      <c r="A6833" t="s">
        <v>847</v>
      </c>
      <c r="B6833" t="s">
        <v>691</v>
      </c>
      <c r="C6833" s="83">
        <v>46023</v>
      </c>
      <c r="D6833" t="s">
        <v>314</v>
      </c>
      <c r="E6833" t="s">
        <v>126</v>
      </c>
      <c r="F6833">
        <v>8</v>
      </c>
      <c r="G6833">
        <v>19.774450000000002</v>
      </c>
    </row>
    <row r="6834" spans="1:7" x14ac:dyDescent="0.35">
      <c r="A6834" t="s">
        <v>847</v>
      </c>
      <c r="B6834" t="s">
        <v>691</v>
      </c>
      <c r="C6834" s="83">
        <v>46023</v>
      </c>
      <c r="D6834" t="s">
        <v>314</v>
      </c>
      <c r="E6834" t="s">
        <v>312</v>
      </c>
      <c r="F6834">
        <v>4</v>
      </c>
      <c r="G6834">
        <v>2.4286500000000002</v>
      </c>
    </row>
    <row r="6835" spans="1:7" x14ac:dyDescent="0.35">
      <c r="A6835" t="s">
        <v>847</v>
      </c>
      <c r="B6835" t="s">
        <v>691</v>
      </c>
      <c r="C6835" s="83">
        <v>46023</v>
      </c>
      <c r="D6835" t="s">
        <v>314</v>
      </c>
      <c r="E6835" t="s">
        <v>316</v>
      </c>
      <c r="F6835">
        <v>3</v>
      </c>
      <c r="G6835">
        <v>0.25386666666666702</v>
      </c>
    </row>
    <row r="6836" spans="1:7" x14ac:dyDescent="0.35">
      <c r="A6836" t="s">
        <v>847</v>
      </c>
      <c r="B6836" t="s">
        <v>691</v>
      </c>
      <c r="C6836" s="83">
        <v>46023</v>
      </c>
      <c r="D6836" t="s">
        <v>317</v>
      </c>
      <c r="E6836" t="s">
        <v>319</v>
      </c>
      <c r="F6836">
        <v>4</v>
      </c>
      <c r="G6836">
        <v>4.8207833333333303</v>
      </c>
    </row>
    <row r="6837" spans="1:7" x14ac:dyDescent="0.35">
      <c r="A6837" t="s">
        <v>847</v>
      </c>
      <c r="B6837" t="s">
        <v>691</v>
      </c>
      <c r="C6837" s="83">
        <v>46023</v>
      </c>
      <c r="D6837" t="s">
        <v>317</v>
      </c>
      <c r="E6837" t="s">
        <v>792</v>
      </c>
      <c r="F6837">
        <v>3</v>
      </c>
      <c r="G6837">
        <v>1.22166666666667</v>
      </c>
    </row>
    <row r="6838" spans="1:7" x14ac:dyDescent="0.35">
      <c r="A6838" t="s">
        <v>847</v>
      </c>
      <c r="B6838" t="s">
        <v>691</v>
      </c>
      <c r="C6838" s="83">
        <v>46023</v>
      </c>
      <c r="D6838" t="s">
        <v>317</v>
      </c>
      <c r="E6838" t="s">
        <v>322</v>
      </c>
      <c r="F6838">
        <v>3</v>
      </c>
      <c r="G6838">
        <v>5.2378666666666698</v>
      </c>
    </row>
    <row r="6839" spans="1:7" x14ac:dyDescent="0.35">
      <c r="A6839" t="s">
        <v>847</v>
      </c>
      <c r="B6839" t="s">
        <v>691</v>
      </c>
      <c r="C6839" s="83">
        <v>46024</v>
      </c>
      <c r="D6839" t="s">
        <v>295</v>
      </c>
      <c r="E6839" t="s">
        <v>637</v>
      </c>
      <c r="F6839">
        <v>53</v>
      </c>
      <c r="G6839">
        <v>39.4082333333333</v>
      </c>
    </row>
    <row r="6840" spans="1:7" x14ac:dyDescent="0.35">
      <c r="A6840" t="s">
        <v>847</v>
      </c>
      <c r="B6840" t="s">
        <v>691</v>
      </c>
      <c r="C6840" s="83">
        <v>46024</v>
      </c>
      <c r="D6840" t="s">
        <v>295</v>
      </c>
      <c r="E6840" t="s">
        <v>296</v>
      </c>
      <c r="F6840">
        <v>32</v>
      </c>
      <c r="G6840">
        <v>6.65665</v>
      </c>
    </row>
    <row r="6841" spans="1:7" x14ac:dyDescent="0.35">
      <c r="A6841" t="s">
        <v>847</v>
      </c>
      <c r="B6841" t="s">
        <v>691</v>
      </c>
      <c r="C6841" s="83">
        <v>46024</v>
      </c>
      <c r="D6841" t="s">
        <v>299</v>
      </c>
      <c r="E6841" t="s">
        <v>296</v>
      </c>
      <c r="F6841">
        <v>38</v>
      </c>
      <c r="G6841">
        <v>11.1757833333333</v>
      </c>
    </row>
    <row r="6842" spans="1:7" x14ac:dyDescent="0.35">
      <c r="A6842" t="s">
        <v>847</v>
      </c>
      <c r="B6842" t="s">
        <v>691</v>
      </c>
      <c r="C6842" s="83">
        <v>46024</v>
      </c>
      <c r="D6842" t="s">
        <v>299</v>
      </c>
      <c r="E6842" t="s">
        <v>637</v>
      </c>
      <c r="F6842">
        <v>8</v>
      </c>
      <c r="G6842">
        <v>2.0516333333333301</v>
      </c>
    </row>
    <row r="6843" spans="1:7" x14ac:dyDescent="0.35">
      <c r="A6843" t="s">
        <v>847</v>
      </c>
      <c r="B6843" t="s">
        <v>691</v>
      </c>
      <c r="C6843" s="83">
        <v>46024</v>
      </c>
      <c r="D6843" t="s">
        <v>310</v>
      </c>
      <c r="E6843" t="s">
        <v>311</v>
      </c>
      <c r="F6843">
        <v>23</v>
      </c>
      <c r="G6843">
        <v>9.1916833333333301</v>
      </c>
    </row>
    <row r="6844" spans="1:7" x14ac:dyDescent="0.35">
      <c r="A6844" t="s">
        <v>847</v>
      </c>
      <c r="B6844" t="s">
        <v>691</v>
      </c>
      <c r="C6844" s="83">
        <v>46024</v>
      </c>
      <c r="D6844" t="s">
        <v>310</v>
      </c>
      <c r="E6844" t="s">
        <v>126</v>
      </c>
      <c r="F6844">
        <v>5</v>
      </c>
      <c r="G6844">
        <v>1.9916166666666699</v>
      </c>
    </row>
    <row r="6845" spans="1:7" x14ac:dyDescent="0.35">
      <c r="A6845" t="s">
        <v>847</v>
      </c>
      <c r="B6845" t="s">
        <v>691</v>
      </c>
      <c r="C6845" s="83">
        <v>46024</v>
      </c>
      <c r="D6845" t="s">
        <v>310</v>
      </c>
      <c r="E6845" t="s">
        <v>640</v>
      </c>
      <c r="F6845">
        <v>4</v>
      </c>
      <c r="G6845">
        <v>3.9004333333333299</v>
      </c>
    </row>
    <row r="6846" spans="1:7" x14ac:dyDescent="0.35">
      <c r="A6846" t="s">
        <v>847</v>
      </c>
      <c r="B6846" t="s">
        <v>691</v>
      </c>
      <c r="C6846" s="83">
        <v>46024</v>
      </c>
      <c r="D6846" t="s">
        <v>313</v>
      </c>
      <c r="E6846" t="s">
        <v>311</v>
      </c>
      <c r="F6846">
        <v>19</v>
      </c>
      <c r="G6846">
        <v>16.263866666666701</v>
      </c>
    </row>
    <row r="6847" spans="1:7" x14ac:dyDescent="0.35">
      <c r="A6847" t="s">
        <v>847</v>
      </c>
      <c r="B6847" t="s">
        <v>691</v>
      </c>
      <c r="C6847" s="83">
        <v>46024</v>
      </c>
      <c r="D6847" t="s">
        <v>313</v>
      </c>
      <c r="E6847" t="s">
        <v>126</v>
      </c>
      <c r="F6847">
        <v>6</v>
      </c>
      <c r="G6847">
        <v>17.0203666666667</v>
      </c>
    </row>
    <row r="6848" spans="1:7" x14ac:dyDescent="0.35">
      <c r="A6848" t="s">
        <v>847</v>
      </c>
      <c r="B6848" t="s">
        <v>691</v>
      </c>
      <c r="C6848" s="83">
        <v>46024</v>
      </c>
      <c r="D6848" t="s">
        <v>313</v>
      </c>
      <c r="E6848" t="s">
        <v>640</v>
      </c>
      <c r="F6848">
        <v>5</v>
      </c>
      <c r="G6848">
        <v>10.006133333333301</v>
      </c>
    </row>
    <row r="6849" spans="1:7" x14ac:dyDescent="0.35">
      <c r="A6849" t="s">
        <v>847</v>
      </c>
      <c r="B6849" t="s">
        <v>691</v>
      </c>
      <c r="C6849" s="83">
        <v>46024</v>
      </c>
      <c r="D6849" t="s">
        <v>314</v>
      </c>
      <c r="E6849" t="s">
        <v>126</v>
      </c>
      <c r="F6849">
        <v>18</v>
      </c>
      <c r="G6849">
        <v>44.292616666666703</v>
      </c>
    </row>
    <row r="6850" spans="1:7" x14ac:dyDescent="0.35">
      <c r="A6850" t="s">
        <v>847</v>
      </c>
      <c r="B6850" t="s">
        <v>691</v>
      </c>
      <c r="C6850" s="83">
        <v>46024</v>
      </c>
      <c r="D6850" t="s">
        <v>314</v>
      </c>
      <c r="E6850" t="s">
        <v>640</v>
      </c>
      <c r="F6850">
        <v>9</v>
      </c>
      <c r="G6850">
        <v>12.91675</v>
      </c>
    </row>
    <row r="6851" spans="1:7" x14ac:dyDescent="0.35">
      <c r="A6851" t="s">
        <v>847</v>
      </c>
      <c r="B6851" t="s">
        <v>691</v>
      </c>
      <c r="C6851" s="83">
        <v>46024</v>
      </c>
      <c r="D6851" t="s">
        <v>314</v>
      </c>
      <c r="E6851" t="s">
        <v>348</v>
      </c>
      <c r="F6851">
        <v>5</v>
      </c>
      <c r="G6851">
        <v>8.7353833333333295</v>
      </c>
    </row>
    <row r="6852" spans="1:7" x14ac:dyDescent="0.35">
      <c r="A6852" t="s">
        <v>847</v>
      </c>
      <c r="B6852" t="s">
        <v>691</v>
      </c>
      <c r="C6852" s="83">
        <v>46024</v>
      </c>
      <c r="D6852" t="s">
        <v>317</v>
      </c>
      <c r="E6852" t="s">
        <v>318</v>
      </c>
      <c r="F6852">
        <v>2</v>
      </c>
      <c r="G6852">
        <v>0.270683333333333</v>
      </c>
    </row>
    <row r="6853" spans="1:7" x14ac:dyDescent="0.35">
      <c r="A6853" t="s">
        <v>847</v>
      </c>
      <c r="B6853" t="s">
        <v>691</v>
      </c>
      <c r="C6853" s="83">
        <v>46024</v>
      </c>
      <c r="D6853" t="s">
        <v>317</v>
      </c>
      <c r="E6853" t="s">
        <v>322</v>
      </c>
      <c r="F6853">
        <v>2</v>
      </c>
      <c r="G6853">
        <v>0.26248333333333301</v>
      </c>
    </row>
    <row r="6854" spans="1:7" x14ac:dyDescent="0.35">
      <c r="A6854" t="s">
        <v>847</v>
      </c>
      <c r="B6854" t="s">
        <v>691</v>
      </c>
      <c r="C6854" s="83">
        <v>46024</v>
      </c>
      <c r="D6854" t="s">
        <v>317</v>
      </c>
      <c r="E6854" t="s">
        <v>339</v>
      </c>
      <c r="F6854">
        <v>2</v>
      </c>
      <c r="G6854">
        <v>0.28770000000000001</v>
      </c>
    </row>
    <row r="6855" spans="1:7" x14ac:dyDescent="0.35">
      <c r="A6855" t="s">
        <v>847</v>
      </c>
      <c r="B6855" t="s">
        <v>691</v>
      </c>
      <c r="C6855" s="83">
        <v>46025</v>
      </c>
      <c r="D6855" t="s">
        <v>295</v>
      </c>
      <c r="E6855" t="s">
        <v>296</v>
      </c>
      <c r="F6855">
        <v>49</v>
      </c>
      <c r="G6855">
        <v>24.186599999999999</v>
      </c>
    </row>
    <row r="6856" spans="1:7" x14ac:dyDescent="0.35">
      <c r="A6856" t="s">
        <v>847</v>
      </c>
      <c r="B6856" t="s">
        <v>691</v>
      </c>
      <c r="C6856" s="83">
        <v>46025</v>
      </c>
      <c r="D6856" t="s">
        <v>295</v>
      </c>
      <c r="E6856" t="s">
        <v>302</v>
      </c>
      <c r="F6856">
        <v>28</v>
      </c>
      <c r="G6856">
        <v>13.6391833333333</v>
      </c>
    </row>
    <row r="6857" spans="1:7" x14ac:dyDescent="0.35">
      <c r="A6857" t="s">
        <v>847</v>
      </c>
      <c r="B6857" t="s">
        <v>691</v>
      </c>
      <c r="C6857" s="83">
        <v>46025</v>
      </c>
      <c r="D6857" t="s">
        <v>299</v>
      </c>
      <c r="E6857" t="s">
        <v>296</v>
      </c>
      <c r="F6857">
        <v>94</v>
      </c>
      <c r="G6857">
        <v>43.157550000000001</v>
      </c>
    </row>
    <row r="6858" spans="1:7" x14ac:dyDescent="0.35">
      <c r="A6858" t="s">
        <v>847</v>
      </c>
      <c r="B6858" t="s">
        <v>691</v>
      </c>
      <c r="C6858" s="83">
        <v>46025</v>
      </c>
      <c r="D6858" t="s">
        <v>301</v>
      </c>
      <c r="E6858" t="s">
        <v>302</v>
      </c>
      <c r="F6858">
        <v>32</v>
      </c>
      <c r="G6858">
        <v>12.499000000000001</v>
      </c>
    </row>
    <row r="6859" spans="1:7" x14ac:dyDescent="0.35">
      <c r="A6859" t="s">
        <v>847</v>
      </c>
      <c r="B6859" t="s">
        <v>691</v>
      </c>
      <c r="C6859" s="83">
        <v>46025</v>
      </c>
      <c r="D6859" t="s">
        <v>310</v>
      </c>
      <c r="E6859" t="s">
        <v>311</v>
      </c>
      <c r="F6859">
        <v>19</v>
      </c>
      <c r="G6859">
        <v>14.8412666666667</v>
      </c>
    </row>
    <row r="6860" spans="1:7" x14ac:dyDescent="0.35">
      <c r="A6860" t="s">
        <v>847</v>
      </c>
      <c r="B6860" t="s">
        <v>691</v>
      </c>
      <c r="C6860" s="83">
        <v>46025</v>
      </c>
      <c r="D6860" t="s">
        <v>310</v>
      </c>
      <c r="E6860" t="s">
        <v>126</v>
      </c>
      <c r="F6860">
        <v>9</v>
      </c>
      <c r="G6860">
        <v>7.3987333333333298</v>
      </c>
    </row>
    <row r="6861" spans="1:7" x14ac:dyDescent="0.35">
      <c r="A6861" t="s">
        <v>847</v>
      </c>
      <c r="B6861" t="s">
        <v>691</v>
      </c>
      <c r="C6861" s="83">
        <v>46025</v>
      </c>
      <c r="D6861" t="s">
        <v>310</v>
      </c>
      <c r="E6861" t="s">
        <v>734</v>
      </c>
      <c r="F6861">
        <v>3</v>
      </c>
      <c r="G6861">
        <v>0.96923333333333395</v>
      </c>
    </row>
    <row r="6862" spans="1:7" x14ac:dyDescent="0.35">
      <c r="A6862" t="s">
        <v>847</v>
      </c>
      <c r="B6862" t="s">
        <v>691</v>
      </c>
      <c r="C6862" s="83">
        <v>46025</v>
      </c>
      <c r="D6862" t="s">
        <v>313</v>
      </c>
      <c r="E6862" t="s">
        <v>126</v>
      </c>
      <c r="F6862">
        <v>14</v>
      </c>
      <c r="G6862">
        <v>46.136316666666701</v>
      </c>
    </row>
    <row r="6863" spans="1:7" x14ac:dyDescent="0.35">
      <c r="A6863" t="s">
        <v>847</v>
      </c>
      <c r="B6863" t="s">
        <v>691</v>
      </c>
      <c r="C6863" s="83">
        <v>46025</v>
      </c>
      <c r="D6863" t="s">
        <v>313</v>
      </c>
      <c r="E6863" t="s">
        <v>640</v>
      </c>
      <c r="F6863">
        <v>8</v>
      </c>
      <c r="G6863">
        <v>9.2568666666666708</v>
      </c>
    </row>
    <row r="6864" spans="1:7" x14ac:dyDescent="0.35">
      <c r="A6864" t="s">
        <v>847</v>
      </c>
      <c r="B6864" t="s">
        <v>691</v>
      </c>
      <c r="C6864" s="83">
        <v>46025</v>
      </c>
      <c r="D6864" t="s">
        <v>313</v>
      </c>
      <c r="E6864" t="s">
        <v>348</v>
      </c>
      <c r="F6864">
        <v>7</v>
      </c>
      <c r="G6864">
        <v>10.83235</v>
      </c>
    </row>
    <row r="6865" spans="1:7" x14ac:dyDescent="0.35">
      <c r="A6865" t="s">
        <v>847</v>
      </c>
      <c r="B6865" t="s">
        <v>691</v>
      </c>
      <c r="C6865" s="83">
        <v>46025</v>
      </c>
      <c r="D6865" t="s">
        <v>314</v>
      </c>
      <c r="E6865" t="s">
        <v>312</v>
      </c>
      <c r="F6865">
        <v>11</v>
      </c>
      <c r="G6865">
        <v>12.129099999999999</v>
      </c>
    </row>
    <row r="6866" spans="1:7" x14ac:dyDescent="0.35">
      <c r="A6866" t="s">
        <v>847</v>
      </c>
      <c r="B6866" t="s">
        <v>691</v>
      </c>
      <c r="C6866" s="83">
        <v>46025</v>
      </c>
      <c r="D6866" t="s">
        <v>314</v>
      </c>
      <c r="E6866" t="s">
        <v>640</v>
      </c>
      <c r="F6866">
        <v>8</v>
      </c>
      <c r="G6866">
        <v>16.8213333333333</v>
      </c>
    </row>
    <row r="6867" spans="1:7" x14ac:dyDescent="0.35">
      <c r="A6867" t="s">
        <v>847</v>
      </c>
      <c r="B6867" t="s">
        <v>691</v>
      </c>
      <c r="C6867" s="83">
        <v>46025</v>
      </c>
      <c r="D6867" t="s">
        <v>314</v>
      </c>
      <c r="E6867" t="s">
        <v>126</v>
      </c>
      <c r="F6867">
        <v>7</v>
      </c>
      <c r="G6867">
        <v>25.394300000000001</v>
      </c>
    </row>
    <row r="6868" spans="1:7" x14ac:dyDescent="0.35">
      <c r="A6868" t="s">
        <v>847</v>
      </c>
      <c r="B6868" t="s">
        <v>691</v>
      </c>
      <c r="C6868" s="83">
        <v>46025</v>
      </c>
      <c r="D6868" t="s">
        <v>317</v>
      </c>
      <c r="E6868" t="s">
        <v>323</v>
      </c>
      <c r="F6868">
        <v>3</v>
      </c>
      <c r="G6868">
        <v>0.48278333333333301</v>
      </c>
    </row>
    <row r="6869" spans="1:7" x14ac:dyDescent="0.35">
      <c r="A6869" t="s">
        <v>847</v>
      </c>
      <c r="B6869" t="s">
        <v>691</v>
      </c>
      <c r="C6869" s="83">
        <v>46025</v>
      </c>
      <c r="D6869" t="s">
        <v>317</v>
      </c>
      <c r="E6869" t="s">
        <v>318</v>
      </c>
      <c r="F6869">
        <v>2</v>
      </c>
      <c r="G6869">
        <v>0.83843333333333303</v>
      </c>
    </row>
    <row r="6870" spans="1:7" x14ac:dyDescent="0.35">
      <c r="A6870" t="s">
        <v>847</v>
      </c>
      <c r="B6870" t="s">
        <v>691</v>
      </c>
      <c r="C6870" s="83">
        <v>46025</v>
      </c>
      <c r="D6870" t="s">
        <v>317</v>
      </c>
      <c r="E6870" t="s">
        <v>322</v>
      </c>
      <c r="F6870">
        <v>2</v>
      </c>
      <c r="G6870">
        <v>2.2516666666666699E-2</v>
      </c>
    </row>
    <row r="6871" spans="1:7" x14ac:dyDescent="0.35">
      <c r="A6871" t="s">
        <v>847</v>
      </c>
      <c r="B6871" t="s">
        <v>691</v>
      </c>
      <c r="C6871" s="83">
        <v>46026</v>
      </c>
      <c r="D6871" t="s">
        <v>295</v>
      </c>
      <c r="E6871" t="s">
        <v>296</v>
      </c>
      <c r="F6871">
        <v>44</v>
      </c>
      <c r="G6871">
        <v>18.713716666666699</v>
      </c>
    </row>
    <row r="6872" spans="1:7" x14ac:dyDescent="0.35">
      <c r="A6872" t="s">
        <v>847</v>
      </c>
      <c r="B6872" t="s">
        <v>691</v>
      </c>
      <c r="C6872" s="83">
        <v>46026</v>
      </c>
      <c r="D6872" t="s">
        <v>295</v>
      </c>
      <c r="E6872" t="s">
        <v>637</v>
      </c>
      <c r="F6872">
        <v>22</v>
      </c>
      <c r="G6872">
        <v>18.176483333333302</v>
      </c>
    </row>
    <row r="6873" spans="1:7" x14ac:dyDescent="0.35">
      <c r="A6873" t="s">
        <v>847</v>
      </c>
      <c r="B6873" t="s">
        <v>691</v>
      </c>
      <c r="C6873" s="83">
        <v>46026</v>
      </c>
      <c r="D6873" t="s">
        <v>299</v>
      </c>
      <c r="E6873" t="s">
        <v>296</v>
      </c>
      <c r="F6873">
        <v>41</v>
      </c>
      <c r="G6873">
        <v>18.070333333333298</v>
      </c>
    </row>
    <row r="6874" spans="1:7" x14ac:dyDescent="0.35">
      <c r="A6874" t="s">
        <v>847</v>
      </c>
      <c r="B6874" t="s">
        <v>691</v>
      </c>
      <c r="C6874" s="83">
        <v>46026</v>
      </c>
      <c r="D6874" t="s">
        <v>299</v>
      </c>
      <c r="E6874" t="s">
        <v>637</v>
      </c>
      <c r="F6874">
        <v>18</v>
      </c>
      <c r="G6874">
        <v>6.3839499999999996</v>
      </c>
    </row>
    <row r="6875" spans="1:7" x14ac:dyDescent="0.35">
      <c r="A6875" t="s">
        <v>847</v>
      </c>
      <c r="B6875" t="s">
        <v>691</v>
      </c>
      <c r="C6875" s="83">
        <v>46026</v>
      </c>
      <c r="D6875" t="s">
        <v>301</v>
      </c>
      <c r="E6875" t="s">
        <v>302</v>
      </c>
      <c r="F6875">
        <v>72</v>
      </c>
      <c r="G6875">
        <v>44.976999999999997</v>
      </c>
    </row>
    <row r="6876" spans="1:7" x14ac:dyDescent="0.35">
      <c r="A6876" t="s">
        <v>847</v>
      </c>
      <c r="B6876" t="s">
        <v>691</v>
      </c>
      <c r="C6876" s="83">
        <v>46026</v>
      </c>
      <c r="D6876" t="s">
        <v>303</v>
      </c>
      <c r="E6876" t="s">
        <v>302</v>
      </c>
      <c r="F6876">
        <v>21</v>
      </c>
      <c r="G6876">
        <v>16.373550000000002</v>
      </c>
    </row>
    <row r="6877" spans="1:7" x14ac:dyDescent="0.35">
      <c r="A6877" t="s">
        <v>847</v>
      </c>
      <c r="B6877" t="s">
        <v>691</v>
      </c>
      <c r="C6877" s="83">
        <v>46026</v>
      </c>
      <c r="D6877" t="s">
        <v>310</v>
      </c>
      <c r="E6877" t="s">
        <v>311</v>
      </c>
      <c r="F6877">
        <v>9</v>
      </c>
      <c r="G6877">
        <v>5.06246666666667</v>
      </c>
    </row>
    <row r="6878" spans="1:7" x14ac:dyDescent="0.35">
      <c r="A6878" t="s">
        <v>847</v>
      </c>
      <c r="B6878" t="s">
        <v>691</v>
      </c>
      <c r="C6878" s="83">
        <v>46026</v>
      </c>
      <c r="D6878" t="s">
        <v>310</v>
      </c>
      <c r="E6878" t="s">
        <v>640</v>
      </c>
      <c r="F6878">
        <v>3</v>
      </c>
      <c r="G6878">
        <v>4.2553333333333301</v>
      </c>
    </row>
    <row r="6879" spans="1:7" x14ac:dyDescent="0.35">
      <c r="A6879" t="s">
        <v>847</v>
      </c>
      <c r="B6879" t="s">
        <v>691</v>
      </c>
      <c r="C6879" s="83">
        <v>46026</v>
      </c>
      <c r="D6879" t="s">
        <v>310</v>
      </c>
      <c r="E6879" t="s">
        <v>319</v>
      </c>
      <c r="F6879">
        <v>2</v>
      </c>
      <c r="G6879">
        <v>0.27095000000000002</v>
      </c>
    </row>
    <row r="6880" spans="1:7" x14ac:dyDescent="0.35">
      <c r="A6880" t="s">
        <v>847</v>
      </c>
      <c r="B6880" t="s">
        <v>691</v>
      </c>
      <c r="C6880" s="83">
        <v>46026</v>
      </c>
      <c r="D6880" t="s">
        <v>313</v>
      </c>
      <c r="E6880" t="s">
        <v>126</v>
      </c>
      <c r="F6880">
        <v>16</v>
      </c>
      <c r="G6880">
        <v>148.654216666667</v>
      </c>
    </row>
    <row r="6881" spans="1:7" x14ac:dyDescent="0.35">
      <c r="A6881" t="s">
        <v>847</v>
      </c>
      <c r="B6881" t="s">
        <v>691</v>
      </c>
      <c r="C6881" s="83">
        <v>46026</v>
      </c>
      <c r="D6881" t="s">
        <v>313</v>
      </c>
      <c r="E6881" t="s">
        <v>311</v>
      </c>
      <c r="F6881">
        <v>5</v>
      </c>
      <c r="G6881">
        <v>2.3053499999999998</v>
      </c>
    </row>
    <row r="6882" spans="1:7" x14ac:dyDescent="0.35">
      <c r="A6882" t="s">
        <v>847</v>
      </c>
      <c r="B6882" t="s">
        <v>691</v>
      </c>
      <c r="C6882" s="83">
        <v>46026</v>
      </c>
      <c r="D6882" t="s">
        <v>313</v>
      </c>
      <c r="E6882" t="s">
        <v>316</v>
      </c>
      <c r="F6882">
        <v>5</v>
      </c>
      <c r="G6882">
        <v>1.82626666666667</v>
      </c>
    </row>
    <row r="6883" spans="1:7" x14ac:dyDescent="0.35">
      <c r="A6883" t="s">
        <v>847</v>
      </c>
      <c r="B6883" t="s">
        <v>691</v>
      </c>
      <c r="C6883" s="83">
        <v>46026</v>
      </c>
      <c r="D6883" t="s">
        <v>314</v>
      </c>
      <c r="E6883" t="s">
        <v>126</v>
      </c>
      <c r="F6883">
        <v>9</v>
      </c>
      <c r="G6883">
        <v>24.917183333333298</v>
      </c>
    </row>
    <row r="6884" spans="1:7" x14ac:dyDescent="0.35">
      <c r="A6884" t="s">
        <v>847</v>
      </c>
      <c r="B6884" t="s">
        <v>691</v>
      </c>
      <c r="C6884" s="83">
        <v>46026</v>
      </c>
      <c r="D6884" t="s">
        <v>314</v>
      </c>
      <c r="E6884" t="s">
        <v>316</v>
      </c>
      <c r="F6884">
        <v>8</v>
      </c>
      <c r="G6884">
        <v>3.6235333333333299</v>
      </c>
    </row>
    <row r="6885" spans="1:7" x14ac:dyDescent="0.35">
      <c r="A6885" t="s">
        <v>847</v>
      </c>
      <c r="B6885" t="s">
        <v>691</v>
      </c>
      <c r="C6885" s="83">
        <v>46026</v>
      </c>
      <c r="D6885" t="s">
        <v>314</v>
      </c>
      <c r="E6885" t="s">
        <v>640</v>
      </c>
      <c r="F6885">
        <v>4</v>
      </c>
      <c r="G6885">
        <v>12.9503166666667</v>
      </c>
    </row>
    <row r="6886" spans="1:7" x14ac:dyDescent="0.35">
      <c r="A6886" t="s">
        <v>847</v>
      </c>
      <c r="B6886" t="s">
        <v>691</v>
      </c>
      <c r="C6886" s="83">
        <v>46026</v>
      </c>
      <c r="D6886" t="s">
        <v>317</v>
      </c>
      <c r="E6886" t="s">
        <v>315</v>
      </c>
      <c r="F6886">
        <v>2</v>
      </c>
      <c r="G6886">
        <v>2.1521166666666698</v>
      </c>
    </row>
    <row r="6887" spans="1:7" x14ac:dyDescent="0.35">
      <c r="A6887" t="s">
        <v>847</v>
      </c>
      <c r="B6887" t="s">
        <v>691</v>
      </c>
      <c r="C6887" s="83">
        <v>46026</v>
      </c>
      <c r="D6887" t="s">
        <v>317</v>
      </c>
      <c r="E6887" t="s">
        <v>319</v>
      </c>
      <c r="F6887">
        <v>2</v>
      </c>
      <c r="G6887">
        <v>0.37730000000000002</v>
      </c>
    </row>
    <row r="6888" spans="1:7" x14ac:dyDescent="0.35">
      <c r="A6888" t="s">
        <v>847</v>
      </c>
      <c r="B6888" t="s">
        <v>691</v>
      </c>
      <c r="C6888" s="83">
        <v>46026</v>
      </c>
      <c r="D6888" t="s">
        <v>317</v>
      </c>
      <c r="E6888" t="s">
        <v>339</v>
      </c>
      <c r="F6888">
        <v>2</v>
      </c>
      <c r="G6888">
        <v>2.92628333333333</v>
      </c>
    </row>
    <row r="6889" spans="1:7" x14ac:dyDescent="0.35">
      <c r="A6889" t="s">
        <v>847</v>
      </c>
      <c r="B6889" t="s">
        <v>691</v>
      </c>
      <c r="C6889" s="83">
        <v>46027</v>
      </c>
      <c r="D6889" t="s">
        <v>295</v>
      </c>
      <c r="E6889" t="s">
        <v>296</v>
      </c>
      <c r="F6889">
        <v>28</v>
      </c>
      <c r="G6889">
        <v>15.3211166666667</v>
      </c>
    </row>
    <row r="6890" spans="1:7" x14ac:dyDescent="0.35">
      <c r="A6890" t="s">
        <v>847</v>
      </c>
      <c r="B6890" t="s">
        <v>691</v>
      </c>
      <c r="C6890" s="83">
        <v>46027</v>
      </c>
      <c r="D6890" t="s">
        <v>295</v>
      </c>
      <c r="E6890" t="s">
        <v>302</v>
      </c>
      <c r="F6890">
        <v>26</v>
      </c>
      <c r="G6890">
        <v>12.41535</v>
      </c>
    </row>
    <row r="6891" spans="1:7" x14ac:dyDescent="0.35">
      <c r="A6891" t="s">
        <v>847</v>
      </c>
      <c r="B6891" t="s">
        <v>691</v>
      </c>
      <c r="C6891" s="83">
        <v>46027</v>
      </c>
      <c r="D6891" t="s">
        <v>295</v>
      </c>
      <c r="E6891" t="s">
        <v>637</v>
      </c>
      <c r="F6891">
        <v>25</v>
      </c>
      <c r="G6891">
        <v>12.6073</v>
      </c>
    </row>
    <row r="6892" spans="1:7" x14ac:dyDescent="0.35">
      <c r="A6892" t="s">
        <v>847</v>
      </c>
      <c r="B6892" t="s">
        <v>691</v>
      </c>
      <c r="C6892" s="83">
        <v>46027</v>
      </c>
      <c r="D6892" t="s">
        <v>299</v>
      </c>
      <c r="E6892" t="s">
        <v>296</v>
      </c>
      <c r="F6892">
        <v>56</v>
      </c>
      <c r="G6892">
        <v>30.913916666666701</v>
      </c>
    </row>
    <row r="6893" spans="1:7" x14ac:dyDescent="0.35">
      <c r="A6893" t="s">
        <v>847</v>
      </c>
      <c r="B6893" t="s">
        <v>691</v>
      </c>
      <c r="C6893" s="83">
        <v>46027</v>
      </c>
      <c r="D6893" t="s">
        <v>299</v>
      </c>
      <c r="E6893" t="s">
        <v>302</v>
      </c>
      <c r="F6893">
        <v>13</v>
      </c>
      <c r="G6893">
        <v>10.4768166666667</v>
      </c>
    </row>
    <row r="6894" spans="1:7" x14ac:dyDescent="0.35">
      <c r="A6894" t="s">
        <v>847</v>
      </c>
      <c r="B6894" t="s">
        <v>691</v>
      </c>
      <c r="C6894" s="83">
        <v>46027</v>
      </c>
      <c r="D6894" t="s">
        <v>301</v>
      </c>
      <c r="E6894" t="s">
        <v>302</v>
      </c>
      <c r="F6894">
        <v>73</v>
      </c>
      <c r="G6894">
        <v>26.443850000000001</v>
      </c>
    </row>
    <row r="6895" spans="1:7" x14ac:dyDescent="0.35">
      <c r="A6895" t="s">
        <v>847</v>
      </c>
      <c r="B6895" t="s">
        <v>691</v>
      </c>
      <c r="C6895" s="83">
        <v>46027</v>
      </c>
      <c r="D6895" t="s">
        <v>303</v>
      </c>
      <c r="E6895" t="s">
        <v>302</v>
      </c>
      <c r="F6895">
        <v>19</v>
      </c>
      <c r="G6895">
        <v>6.5841333333333303</v>
      </c>
    </row>
    <row r="6896" spans="1:7" x14ac:dyDescent="0.35">
      <c r="A6896" t="s">
        <v>847</v>
      </c>
      <c r="B6896" t="s">
        <v>691</v>
      </c>
      <c r="C6896" s="83">
        <v>46027</v>
      </c>
      <c r="D6896" t="s">
        <v>310</v>
      </c>
      <c r="E6896" t="s">
        <v>311</v>
      </c>
      <c r="F6896">
        <v>8</v>
      </c>
      <c r="G6896">
        <v>6.5945499999999999</v>
      </c>
    </row>
    <row r="6897" spans="1:7" x14ac:dyDescent="0.35">
      <c r="A6897" t="s">
        <v>847</v>
      </c>
      <c r="B6897" t="s">
        <v>691</v>
      </c>
      <c r="C6897" s="83">
        <v>46027</v>
      </c>
      <c r="D6897" t="s">
        <v>310</v>
      </c>
      <c r="E6897" t="s">
        <v>126</v>
      </c>
      <c r="F6897">
        <v>5</v>
      </c>
      <c r="G6897">
        <v>3.7600333333333298</v>
      </c>
    </row>
    <row r="6898" spans="1:7" x14ac:dyDescent="0.35">
      <c r="A6898" t="s">
        <v>847</v>
      </c>
      <c r="B6898" t="s">
        <v>691</v>
      </c>
      <c r="C6898" s="83">
        <v>46027</v>
      </c>
      <c r="D6898" t="s">
        <v>310</v>
      </c>
      <c r="E6898" t="s">
        <v>312</v>
      </c>
      <c r="F6898">
        <v>4</v>
      </c>
      <c r="G6898">
        <v>1.2384166666666701</v>
      </c>
    </row>
    <row r="6899" spans="1:7" x14ac:dyDescent="0.35">
      <c r="A6899" t="s">
        <v>847</v>
      </c>
      <c r="B6899" t="s">
        <v>691</v>
      </c>
      <c r="C6899" s="83">
        <v>46027</v>
      </c>
      <c r="D6899" t="s">
        <v>313</v>
      </c>
      <c r="E6899" t="s">
        <v>126</v>
      </c>
      <c r="F6899">
        <v>13</v>
      </c>
      <c r="G6899">
        <v>27.7969333333333</v>
      </c>
    </row>
    <row r="6900" spans="1:7" x14ac:dyDescent="0.35">
      <c r="A6900" t="s">
        <v>847</v>
      </c>
      <c r="B6900" t="s">
        <v>691</v>
      </c>
      <c r="C6900" s="83">
        <v>46027</v>
      </c>
      <c r="D6900" t="s">
        <v>313</v>
      </c>
      <c r="E6900" t="s">
        <v>348</v>
      </c>
      <c r="F6900">
        <v>7</v>
      </c>
      <c r="G6900">
        <v>9.2478833333333306</v>
      </c>
    </row>
    <row r="6901" spans="1:7" x14ac:dyDescent="0.35">
      <c r="A6901" t="s">
        <v>847</v>
      </c>
      <c r="B6901" t="s">
        <v>691</v>
      </c>
      <c r="C6901" s="83">
        <v>46027</v>
      </c>
      <c r="D6901" t="s">
        <v>313</v>
      </c>
      <c r="E6901" t="s">
        <v>640</v>
      </c>
      <c r="F6901">
        <v>5</v>
      </c>
      <c r="G6901">
        <v>16.470266666666699</v>
      </c>
    </row>
    <row r="6902" spans="1:7" x14ac:dyDescent="0.35">
      <c r="A6902" t="s">
        <v>847</v>
      </c>
      <c r="B6902" t="s">
        <v>691</v>
      </c>
      <c r="C6902" s="83">
        <v>46027</v>
      </c>
      <c r="D6902" t="s">
        <v>314</v>
      </c>
      <c r="E6902" t="s">
        <v>126</v>
      </c>
      <c r="F6902">
        <v>15</v>
      </c>
      <c r="G6902">
        <v>29.217749999999999</v>
      </c>
    </row>
    <row r="6903" spans="1:7" x14ac:dyDescent="0.35">
      <c r="A6903" t="s">
        <v>847</v>
      </c>
      <c r="B6903" t="s">
        <v>691</v>
      </c>
      <c r="C6903" s="83">
        <v>46027</v>
      </c>
      <c r="D6903" t="s">
        <v>314</v>
      </c>
      <c r="E6903" t="s">
        <v>640</v>
      </c>
      <c r="F6903">
        <v>8</v>
      </c>
      <c r="G6903">
        <v>14.2135833333333</v>
      </c>
    </row>
    <row r="6904" spans="1:7" x14ac:dyDescent="0.35">
      <c r="A6904" t="s">
        <v>847</v>
      </c>
      <c r="B6904" t="s">
        <v>691</v>
      </c>
      <c r="C6904" s="83">
        <v>46027</v>
      </c>
      <c r="D6904" t="s">
        <v>314</v>
      </c>
      <c r="E6904" t="s">
        <v>322</v>
      </c>
      <c r="F6904">
        <v>4</v>
      </c>
      <c r="G6904">
        <v>3.4858166666666701</v>
      </c>
    </row>
    <row r="6905" spans="1:7" x14ac:dyDescent="0.35">
      <c r="A6905" t="s">
        <v>847</v>
      </c>
      <c r="B6905" t="s">
        <v>691</v>
      </c>
      <c r="C6905" s="83">
        <v>46027</v>
      </c>
      <c r="D6905" t="s">
        <v>317</v>
      </c>
      <c r="E6905" t="s">
        <v>319</v>
      </c>
      <c r="F6905">
        <v>3</v>
      </c>
      <c r="G6905">
        <v>2.5791666666666702</v>
      </c>
    </row>
    <row r="6906" spans="1:7" x14ac:dyDescent="0.35">
      <c r="A6906" t="s">
        <v>847</v>
      </c>
      <c r="B6906" t="s">
        <v>691</v>
      </c>
      <c r="C6906" s="83">
        <v>46027</v>
      </c>
      <c r="D6906" t="s">
        <v>317</v>
      </c>
      <c r="E6906" t="s">
        <v>322</v>
      </c>
      <c r="F6906">
        <v>2</v>
      </c>
      <c r="G6906">
        <v>8.8219999999999992</v>
      </c>
    </row>
    <row r="6907" spans="1:7" x14ac:dyDescent="0.35">
      <c r="A6907" t="s">
        <v>847</v>
      </c>
      <c r="B6907" t="s">
        <v>691</v>
      </c>
      <c r="C6907" s="83">
        <v>46027</v>
      </c>
      <c r="D6907" t="s">
        <v>317</v>
      </c>
      <c r="E6907" t="s">
        <v>777</v>
      </c>
      <c r="F6907">
        <v>1</v>
      </c>
      <c r="G6907">
        <v>0.10176666666666701</v>
      </c>
    </row>
    <row r="6908" spans="1:7" x14ac:dyDescent="0.35">
      <c r="A6908" t="s">
        <v>847</v>
      </c>
      <c r="B6908" t="s">
        <v>691</v>
      </c>
      <c r="C6908" s="83">
        <v>46028</v>
      </c>
      <c r="D6908" t="s">
        <v>295</v>
      </c>
      <c r="E6908" t="s">
        <v>637</v>
      </c>
      <c r="F6908">
        <v>59</v>
      </c>
      <c r="G6908">
        <v>38.092083333333299</v>
      </c>
    </row>
    <row r="6909" spans="1:7" x14ac:dyDescent="0.35">
      <c r="A6909" t="s">
        <v>847</v>
      </c>
      <c r="B6909" t="s">
        <v>691</v>
      </c>
      <c r="C6909" s="83">
        <v>46028</v>
      </c>
      <c r="D6909" t="s">
        <v>295</v>
      </c>
      <c r="E6909" t="s">
        <v>296</v>
      </c>
      <c r="F6909">
        <v>21</v>
      </c>
      <c r="G6909">
        <v>12.0178166666667</v>
      </c>
    </row>
    <row r="6910" spans="1:7" x14ac:dyDescent="0.35">
      <c r="A6910" t="s">
        <v>847</v>
      </c>
      <c r="B6910" t="s">
        <v>691</v>
      </c>
      <c r="C6910" s="83">
        <v>46028</v>
      </c>
      <c r="D6910" t="s">
        <v>299</v>
      </c>
      <c r="E6910" t="s">
        <v>296</v>
      </c>
      <c r="F6910">
        <v>21</v>
      </c>
      <c r="G6910">
        <v>10.0553166666667</v>
      </c>
    </row>
    <row r="6911" spans="1:7" x14ac:dyDescent="0.35">
      <c r="A6911" t="s">
        <v>847</v>
      </c>
      <c r="B6911" t="s">
        <v>691</v>
      </c>
      <c r="C6911" s="83">
        <v>46028</v>
      </c>
      <c r="D6911" t="s">
        <v>299</v>
      </c>
      <c r="E6911" t="s">
        <v>302</v>
      </c>
      <c r="F6911">
        <v>11</v>
      </c>
      <c r="G6911">
        <v>3.6896166666666699</v>
      </c>
    </row>
    <row r="6912" spans="1:7" x14ac:dyDescent="0.35">
      <c r="A6912" t="s">
        <v>847</v>
      </c>
      <c r="B6912" t="s">
        <v>691</v>
      </c>
      <c r="C6912" s="83">
        <v>46028</v>
      </c>
      <c r="D6912" t="s">
        <v>301</v>
      </c>
      <c r="E6912" t="s">
        <v>302</v>
      </c>
      <c r="F6912">
        <v>19</v>
      </c>
      <c r="G6912">
        <v>12.02055</v>
      </c>
    </row>
    <row r="6913" spans="1:7" x14ac:dyDescent="0.35">
      <c r="A6913" t="s">
        <v>847</v>
      </c>
      <c r="B6913" t="s">
        <v>691</v>
      </c>
      <c r="C6913" s="83">
        <v>46028</v>
      </c>
      <c r="D6913" t="s">
        <v>303</v>
      </c>
      <c r="E6913" t="s">
        <v>302</v>
      </c>
      <c r="F6913">
        <v>25</v>
      </c>
      <c r="G6913">
        <v>12.82325</v>
      </c>
    </row>
    <row r="6914" spans="1:7" x14ac:dyDescent="0.35">
      <c r="A6914" t="s">
        <v>847</v>
      </c>
      <c r="B6914" t="s">
        <v>691</v>
      </c>
      <c r="C6914" s="83">
        <v>46028</v>
      </c>
      <c r="D6914" t="s">
        <v>309</v>
      </c>
      <c r="E6914" t="s">
        <v>344</v>
      </c>
      <c r="F6914">
        <v>16</v>
      </c>
      <c r="G6914">
        <v>16.634550000000001</v>
      </c>
    </row>
    <row r="6915" spans="1:7" x14ac:dyDescent="0.35">
      <c r="A6915" t="s">
        <v>847</v>
      </c>
      <c r="B6915" t="s">
        <v>691</v>
      </c>
      <c r="C6915" s="83">
        <v>46028</v>
      </c>
      <c r="D6915" t="s">
        <v>310</v>
      </c>
      <c r="E6915" t="s">
        <v>311</v>
      </c>
      <c r="F6915">
        <v>16</v>
      </c>
      <c r="G6915">
        <v>14.5301833333333</v>
      </c>
    </row>
    <row r="6916" spans="1:7" x14ac:dyDescent="0.35">
      <c r="A6916" t="s">
        <v>847</v>
      </c>
      <c r="B6916" t="s">
        <v>691</v>
      </c>
      <c r="C6916" s="83">
        <v>46028</v>
      </c>
      <c r="D6916" t="s">
        <v>310</v>
      </c>
      <c r="E6916" t="s">
        <v>640</v>
      </c>
      <c r="F6916">
        <v>5</v>
      </c>
      <c r="G6916">
        <v>5.3844666666666701</v>
      </c>
    </row>
    <row r="6917" spans="1:7" x14ac:dyDescent="0.35">
      <c r="A6917" t="s">
        <v>847</v>
      </c>
      <c r="B6917" t="s">
        <v>691</v>
      </c>
      <c r="C6917" s="83">
        <v>46028</v>
      </c>
      <c r="D6917" t="s">
        <v>310</v>
      </c>
      <c r="E6917" t="s">
        <v>319</v>
      </c>
      <c r="F6917">
        <v>2</v>
      </c>
      <c r="G6917">
        <v>0.33856666666666702</v>
      </c>
    </row>
    <row r="6918" spans="1:7" x14ac:dyDescent="0.35">
      <c r="A6918" t="s">
        <v>847</v>
      </c>
      <c r="B6918" t="s">
        <v>691</v>
      </c>
      <c r="C6918" s="83">
        <v>46028</v>
      </c>
      <c r="D6918" t="s">
        <v>313</v>
      </c>
      <c r="E6918" t="s">
        <v>311</v>
      </c>
      <c r="F6918">
        <v>9</v>
      </c>
      <c r="G6918">
        <v>7.6214500000000003</v>
      </c>
    </row>
    <row r="6919" spans="1:7" x14ac:dyDescent="0.35">
      <c r="A6919" t="s">
        <v>847</v>
      </c>
      <c r="B6919" t="s">
        <v>691</v>
      </c>
      <c r="C6919" s="83">
        <v>46028</v>
      </c>
      <c r="D6919" t="s">
        <v>313</v>
      </c>
      <c r="E6919" t="s">
        <v>126</v>
      </c>
      <c r="F6919">
        <v>6</v>
      </c>
      <c r="G6919">
        <v>10.3097333333333</v>
      </c>
    </row>
    <row r="6920" spans="1:7" x14ac:dyDescent="0.35">
      <c r="A6920" t="s">
        <v>847</v>
      </c>
      <c r="B6920" t="s">
        <v>691</v>
      </c>
      <c r="C6920" s="83">
        <v>46028</v>
      </c>
      <c r="D6920" t="s">
        <v>313</v>
      </c>
      <c r="E6920" t="s">
        <v>338</v>
      </c>
      <c r="F6920">
        <v>4</v>
      </c>
      <c r="G6920">
        <v>4.87503333333333</v>
      </c>
    </row>
    <row r="6921" spans="1:7" x14ac:dyDescent="0.35">
      <c r="A6921" t="s">
        <v>847</v>
      </c>
      <c r="B6921" t="s">
        <v>691</v>
      </c>
      <c r="C6921" s="83">
        <v>46028</v>
      </c>
      <c r="D6921" t="s">
        <v>314</v>
      </c>
      <c r="E6921" t="s">
        <v>126</v>
      </c>
      <c r="F6921">
        <v>13</v>
      </c>
      <c r="G6921">
        <v>22.827300000000001</v>
      </c>
    </row>
    <row r="6922" spans="1:7" x14ac:dyDescent="0.35">
      <c r="A6922" t="s">
        <v>847</v>
      </c>
      <c r="B6922" t="s">
        <v>691</v>
      </c>
      <c r="C6922" s="83">
        <v>46028</v>
      </c>
      <c r="D6922" t="s">
        <v>314</v>
      </c>
      <c r="E6922" t="s">
        <v>312</v>
      </c>
      <c r="F6922">
        <v>6</v>
      </c>
      <c r="G6922">
        <v>17.443266666666698</v>
      </c>
    </row>
    <row r="6923" spans="1:7" x14ac:dyDescent="0.35">
      <c r="A6923" t="s">
        <v>847</v>
      </c>
      <c r="B6923" t="s">
        <v>691</v>
      </c>
      <c r="C6923" s="83">
        <v>46028</v>
      </c>
      <c r="D6923" t="s">
        <v>314</v>
      </c>
      <c r="E6923" t="s">
        <v>311</v>
      </c>
      <c r="F6923">
        <v>3</v>
      </c>
      <c r="G6923">
        <v>13.743983333333301</v>
      </c>
    </row>
    <row r="6924" spans="1:7" x14ac:dyDescent="0.35">
      <c r="A6924" t="s">
        <v>847</v>
      </c>
      <c r="B6924" t="s">
        <v>691</v>
      </c>
      <c r="C6924" s="83">
        <v>46028</v>
      </c>
      <c r="D6924" t="s">
        <v>317</v>
      </c>
      <c r="E6924" t="s">
        <v>322</v>
      </c>
      <c r="F6924">
        <v>2</v>
      </c>
      <c r="G6924">
        <v>0.194766666666667</v>
      </c>
    </row>
    <row r="6925" spans="1:7" x14ac:dyDescent="0.35">
      <c r="A6925" t="s">
        <v>847</v>
      </c>
      <c r="B6925" t="s">
        <v>691</v>
      </c>
      <c r="C6925" s="83">
        <v>46029</v>
      </c>
      <c r="D6925" t="s">
        <v>295</v>
      </c>
      <c r="E6925" t="s">
        <v>637</v>
      </c>
      <c r="F6925">
        <v>38</v>
      </c>
      <c r="G6925">
        <v>17.263200000000001</v>
      </c>
    </row>
    <row r="6926" spans="1:7" x14ac:dyDescent="0.35">
      <c r="A6926" t="s">
        <v>847</v>
      </c>
      <c r="B6926" t="s">
        <v>691</v>
      </c>
      <c r="C6926" s="83">
        <v>46029</v>
      </c>
      <c r="D6926" t="s">
        <v>295</v>
      </c>
      <c r="E6926" t="s">
        <v>296</v>
      </c>
      <c r="F6926">
        <v>26</v>
      </c>
      <c r="G6926">
        <v>10.315766666666701</v>
      </c>
    </row>
    <row r="6927" spans="1:7" x14ac:dyDescent="0.35">
      <c r="A6927" t="s">
        <v>847</v>
      </c>
      <c r="B6927" t="s">
        <v>691</v>
      </c>
      <c r="C6927" s="83">
        <v>46029</v>
      </c>
      <c r="D6927" t="s">
        <v>299</v>
      </c>
      <c r="E6927" t="s">
        <v>296</v>
      </c>
      <c r="F6927">
        <v>34</v>
      </c>
      <c r="G6927">
        <v>14.597433333333299</v>
      </c>
    </row>
    <row r="6928" spans="1:7" x14ac:dyDescent="0.35">
      <c r="A6928" t="s">
        <v>847</v>
      </c>
      <c r="B6928" t="s">
        <v>691</v>
      </c>
      <c r="C6928" s="83">
        <v>46029</v>
      </c>
      <c r="D6928" t="s">
        <v>301</v>
      </c>
      <c r="E6928" t="s">
        <v>302</v>
      </c>
      <c r="F6928">
        <v>25</v>
      </c>
      <c r="G6928">
        <v>10.49385</v>
      </c>
    </row>
    <row r="6929" spans="1:7" x14ac:dyDescent="0.35">
      <c r="A6929" t="s">
        <v>847</v>
      </c>
      <c r="B6929" t="s">
        <v>691</v>
      </c>
      <c r="C6929" s="83">
        <v>46029</v>
      </c>
      <c r="D6929" t="s">
        <v>303</v>
      </c>
      <c r="E6929" t="s">
        <v>302</v>
      </c>
      <c r="F6929">
        <v>24</v>
      </c>
      <c r="G6929">
        <v>10.0102166666667</v>
      </c>
    </row>
    <row r="6930" spans="1:7" x14ac:dyDescent="0.35">
      <c r="A6930" t="s">
        <v>847</v>
      </c>
      <c r="B6930" t="s">
        <v>691</v>
      </c>
      <c r="C6930" s="83">
        <v>46029</v>
      </c>
      <c r="D6930" t="s">
        <v>310</v>
      </c>
      <c r="E6930" t="s">
        <v>311</v>
      </c>
      <c r="F6930">
        <v>11</v>
      </c>
      <c r="G6930">
        <v>5.3361166666666699</v>
      </c>
    </row>
    <row r="6931" spans="1:7" x14ac:dyDescent="0.35">
      <c r="A6931" t="s">
        <v>847</v>
      </c>
      <c r="B6931" t="s">
        <v>691</v>
      </c>
      <c r="C6931" s="83">
        <v>46029</v>
      </c>
      <c r="D6931" t="s">
        <v>310</v>
      </c>
      <c r="E6931" t="s">
        <v>347</v>
      </c>
      <c r="F6931">
        <v>5</v>
      </c>
      <c r="G6931">
        <v>1.27843333333333</v>
      </c>
    </row>
    <row r="6932" spans="1:7" x14ac:dyDescent="0.35">
      <c r="A6932" t="s">
        <v>847</v>
      </c>
      <c r="B6932" t="s">
        <v>691</v>
      </c>
      <c r="C6932" s="83">
        <v>46029</v>
      </c>
      <c r="D6932" t="s">
        <v>310</v>
      </c>
      <c r="E6932" t="s">
        <v>333</v>
      </c>
      <c r="F6932">
        <v>5</v>
      </c>
      <c r="G6932">
        <v>3.6229499999999999</v>
      </c>
    </row>
    <row r="6933" spans="1:7" x14ac:dyDescent="0.35">
      <c r="A6933" t="s">
        <v>847</v>
      </c>
      <c r="B6933" t="s">
        <v>691</v>
      </c>
      <c r="C6933" s="83">
        <v>46029</v>
      </c>
      <c r="D6933" t="s">
        <v>313</v>
      </c>
      <c r="E6933" t="s">
        <v>126</v>
      </c>
      <c r="F6933">
        <v>29</v>
      </c>
      <c r="G6933">
        <v>150.429916666667</v>
      </c>
    </row>
    <row r="6934" spans="1:7" x14ac:dyDescent="0.35">
      <c r="A6934" t="s">
        <v>847</v>
      </c>
      <c r="B6934" t="s">
        <v>691</v>
      </c>
      <c r="C6934" s="83">
        <v>46029</v>
      </c>
      <c r="D6934" t="s">
        <v>313</v>
      </c>
      <c r="E6934" t="s">
        <v>312</v>
      </c>
      <c r="F6934">
        <v>13</v>
      </c>
      <c r="G6934">
        <v>7.1848000000000001</v>
      </c>
    </row>
    <row r="6935" spans="1:7" x14ac:dyDescent="0.35">
      <c r="A6935" t="s">
        <v>847</v>
      </c>
      <c r="B6935" t="s">
        <v>691</v>
      </c>
      <c r="C6935" s="83">
        <v>46029</v>
      </c>
      <c r="D6935" t="s">
        <v>313</v>
      </c>
      <c r="E6935" t="s">
        <v>311</v>
      </c>
      <c r="F6935">
        <v>13</v>
      </c>
      <c r="G6935">
        <v>6.7017333333333298</v>
      </c>
    </row>
    <row r="6936" spans="1:7" x14ac:dyDescent="0.35">
      <c r="A6936" t="s">
        <v>847</v>
      </c>
      <c r="B6936" t="s">
        <v>691</v>
      </c>
      <c r="C6936" s="83">
        <v>46029</v>
      </c>
      <c r="D6936" t="s">
        <v>314</v>
      </c>
      <c r="E6936" t="s">
        <v>126</v>
      </c>
      <c r="F6936">
        <v>4</v>
      </c>
      <c r="G6936">
        <v>7.7999166666666699</v>
      </c>
    </row>
    <row r="6937" spans="1:7" x14ac:dyDescent="0.35">
      <c r="A6937" t="s">
        <v>847</v>
      </c>
      <c r="B6937" t="s">
        <v>691</v>
      </c>
      <c r="C6937" s="83">
        <v>46029</v>
      </c>
      <c r="D6937" t="s">
        <v>314</v>
      </c>
      <c r="E6937" t="s">
        <v>311</v>
      </c>
      <c r="F6937">
        <v>4</v>
      </c>
      <c r="G6937">
        <v>80.158616666666703</v>
      </c>
    </row>
    <row r="6938" spans="1:7" x14ac:dyDescent="0.35">
      <c r="A6938" t="s">
        <v>847</v>
      </c>
      <c r="B6938" t="s">
        <v>691</v>
      </c>
      <c r="C6938" s="83">
        <v>46029</v>
      </c>
      <c r="D6938" t="s">
        <v>314</v>
      </c>
      <c r="E6938" t="s">
        <v>312</v>
      </c>
      <c r="F6938">
        <v>3</v>
      </c>
      <c r="G6938">
        <v>0.94883333333333297</v>
      </c>
    </row>
    <row r="6939" spans="1:7" x14ac:dyDescent="0.35">
      <c r="A6939" t="s">
        <v>847</v>
      </c>
      <c r="B6939" t="s">
        <v>691</v>
      </c>
      <c r="C6939" s="83">
        <v>46029</v>
      </c>
      <c r="D6939" t="s">
        <v>317</v>
      </c>
      <c r="E6939" t="s">
        <v>318</v>
      </c>
      <c r="F6939">
        <v>2</v>
      </c>
      <c r="G6939">
        <v>1.60201666666667</v>
      </c>
    </row>
    <row r="6940" spans="1:7" x14ac:dyDescent="0.35">
      <c r="A6940" t="s">
        <v>847</v>
      </c>
      <c r="B6940" t="s">
        <v>691</v>
      </c>
      <c r="C6940" s="83">
        <v>46030</v>
      </c>
      <c r="D6940" t="s">
        <v>295</v>
      </c>
      <c r="E6940" t="s">
        <v>637</v>
      </c>
      <c r="F6940">
        <v>127</v>
      </c>
      <c r="G6940">
        <v>64.950299999999999</v>
      </c>
    </row>
    <row r="6941" spans="1:7" x14ac:dyDescent="0.35">
      <c r="A6941" t="s">
        <v>847</v>
      </c>
      <c r="B6941" t="s">
        <v>691</v>
      </c>
      <c r="C6941" s="83">
        <v>46030</v>
      </c>
      <c r="D6941" t="s">
        <v>295</v>
      </c>
      <c r="E6941" t="s">
        <v>296</v>
      </c>
      <c r="F6941">
        <v>44</v>
      </c>
      <c r="G6941">
        <v>21.72335</v>
      </c>
    </row>
    <row r="6942" spans="1:7" x14ac:dyDescent="0.35">
      <c r="A6942" t="s">
        <v>847</v>
      </c>
      <c r="B6942" t="s">
        <v>691</v>
      </c>
      <c r="C6942" s="83">
        <v>46030</v>
      </c>
      <c r="D6942" t="s">
        <v>299</v>
      </c>
      <c r="E6942" t="s">
        <v>296</v>
      </c>
      <c r="F6942">
        <v>44</v>
      </c>
      <c r="G6942">
        <v>17.636583333333299</v>
      </c>
    </row>
    <row r="6943" spans="1:7" x14ac:dyDescent="0.35">
      <c r="A6943" t="s">
        <v>847</v>
      </c>
      <c r="B6943" t="s">
        <v>691</v>
      </c>
      <c r="C6943" s="83">
        <v>46030</v>
      </c>
      <c r="D6943" t="s">
        <v>301</v>
      </c>
      <c r="E6943" t="s">
        <v>302</v>
      </c>
      <c r="F6943">
        <v>20</v>
      </c>
      <c r="G6943">
        <v>6.7169499999999998</v>
      </c>
    </row>
    <row r="6944" spans="1:7" x14ac:dyDescent="0.35">
      <c r="A6944" t="s">
        <v>847</v>
      </c>
      <c r="B6944" t="s">
        <v>691</v>
      </c>
      <c r="C6944" s="83">
        <v>46030</v>
      </c>
      <c r="D6944" t="s">
        <v>310</v>
      </c>
      <c r="E6944" t="s">
        <v>311</v>
      </c>
      <c r="F6944">
        <v>20</v>
      </c>
      <c r="G6944">
        <v>8.4001333333333292</v>
      </c>
    </row>
    <row r="6945" spans="1:7" x14ac:dyDescent="0.35">
      <c r="A6945" t="s">
        <v>847</v>
      </c>
      <c r="B6945" t="s">
        <v>691</v>
      </c>
      <c r="C6945" s="83">
        <v>46030</v>
      </c>
      <c r="D6945" t="s">
        <v>310</v>
      </c>
      <c r="E6945" t="s">
        <v>126</v>
      </c>
      <c r="F6945">
        <v>8</v>
      </c>
      <c r="G6945">
        <v>4.4903833333333303</v>
      </c>
    </row>
    <row r="6946" spans="1:7" x14ac:dyDescent="0.35">
      <c r="A6946" t="s">
        <v>847</v>
      </c>
      <c r="B6946" t="s">
        <v>691</v>
      </c>
      <c r="C6946" s="83">
        <v>46030</v>
      </c>
      <c r="D6946" t="s">
        <v>310</v>
      </c>
      <c r="E6946" t="s">
        <v>347</v>
      </c>
      <c r="F6946">
        <v>2</v>
      </c>
      <c r="G6946">
        <v>0.47</v>
      </c>
    </row>
    <row r="6947" spans="1:7" x14ac:dyDescent="0.35">
      <c r="A6947" t="s">
        <v>847</v>
      </c>
      <c r="B6947" t="s">
        <v>691</v>
      </c>
      <c r="C6947" s="83">
        <v>46030</v>
      </c>
      <c r="D6947" t="s">
        <v>313</v>
      </c>
      <c r="E6947" t="s">
        <v>311</v>
      </c>
      <c r="F6947">
        <v>17</v>
      </c>
      <c r="G6947">
        <v>10.389483333333301</v>
      </c>
    </row>
    <row r="6948" spans="1:7" x14ac:dyDescent="0.35">
      <c r="A6948" t="s">
        <v>847</v>
      </c>
      <c r="B6948" t="s">
        <v>691</v>
      </c>
      <c r="C6948" s="83">
        <v>46030</v>
      </c>
      <c r="D6948" t="s">
        <v>313</v>
      </c>
      <c r="E6948" t="s">
        <v>312</v>
      </c>
      <c r="F6948">
        <v>12</v>
      </c>
      <c r="G6948">
        <v>16.11985</v>
      </c>
    </row>
    <row r="6949" spans="1:7" x14ac:dyDescent="0.35">
      <c r="A6949" t="s">
        <v>847</v>
      </c>
      <c r="B6949" t="s">
        <v>691</v>
      </c>
      <c r="C6949" s="83">
        <v>46030</v>
      </c>
      <c r="D6949" t="s">
        <v>313</v>
      </c>
      <c r="E6949" t="s">
        <v>347</v>
      </c>
      <c r="F6949">
        <v>8</v>
      </c>
      <c r="G6949">
        <v>3.66045</v>
      </c>
    </row>
    <row r="6950" spans="1:7" x14ac:dyDescent="0.35">
      <c r="A6950" t="s">
        <v>847</v>
      </c>
      <c r="B6950" t="s">
        <v>691</v>
      </c>
      <c r="C6950" s="83">
        <v>46030</v>
      </c>
      <c r="D6950" t="s">
        <v>314</v>
      </c>
      <c r="E6950" t="s">
        <v>312</v>
      </c>
      <c r="F6950">
        <v>17</v>
      </c>
      <c r="G6950">
        <v>12.277150000000001</v>
      </c>
    </row>
    <row r="6951" spans="1:7" x14ac:dyDescent="0.35">
      <c r="A6951" t="s">
        <v>847</v>
      </c>
      <c r="B6951" t="s">
        <v>691</v>
      </c>
      <c r="C6951" s="83">
        <v>46030</v>
      </c>
      <c r="D6951" t="s">
        <v>314</v>
      </c>
      <c r="E6951" t="s">
        <v>316</v>
      </c>
      <c r="F6951">
        <v>8</v>
      </c>
      <c r="G6951">
        <v>3.4436499999999999</v>
      </c>
    </row>
    <row r="6952" spans="1:7" x14ac:dyDescent="0.35">
      <c r="A6952" t="s">
        <v>847</v>
      </c>
      <c r="B6952" t="s">
        <v>691</v>
      </c>
      <c r="C6952" s="83">
        <v>46030</v>
      </c>
      <c r="D6952" t="s">
        <v>314</v>
      </c>
      <c r="E6952" t="s">
        <v>323</v>
      </c>
      <c r="F6952">
        <v>4</v>
      </c>
      <c r="G6952">
        <v>1.3225833333333299</v>
      </c>
    </row>
    <row r="6953" spans="1:7" x14ac:dyDescent="0.35">
      <c r="A6953" t="s">
        <v>847</v>
      </c>
      <c r="B6953" t="s">
        <v>691</v>
      </c>
      <c r="C6953" s="83">
        <v>46030</v>
      </c>
      <c r="D6953" t="s">
        <v>317</v>
      </c>
      <c r="E6953" t="s">
        <v>319</v>
      </c>
      <c r="F6953">
        <v>9</v>
      </c>
      <c r="G6953">
        <v>10.193849999999999</v>
      </c>
    </row>
    <row r="6954" spans="1:7" x14ac:dyDescent="0.35">
      <c r="A6954" t="s">
        <v>847</v>
      </c>
      <c r="B6954" t="s">
        <v>691</v>
      </c>
      <c r="C6954" s="83">
        <v>46030</v>
      </c>
      <c r="D6954" t="s">
        <v>317</v>
      </c>
      <c r="E6954" t="s">
        <v>825</v>
      </c>
      <c r="F6954">
        <v>2</v>
      </c>
      <c r="G6954">
        <v>0.118833333333333</v>
      </c>
    </row>
    <row r="6955" spans="1:7" x14ac:dyDescent="0.35">
      <c r="A6955" t="s">
        <v>847</v>
      </c>
      <c r="B6955" t="s">
        <v>691</v>
      </c>
      <c r="C6955" s="83">
        <v>46031</v>
      </c>
      <c r="D6955" t="s">
        <v>295</v>
      </c>
      <c r="E6955" t="s">
        <v>637</v>
      </c>
      <c r="F6955">
        <v>92</v>
      </c>
      <c r="G6955">
        <v>55.649366666666701</v>
      </c>
    </row>
    <row r="6956" spans="1:7" x14ac:dyDescent="0.35">
      <c r="A6956" t="s">
        <v>847</v>
      </c>
      <c r="B6956" t="s">
        <v>691</v>
      </c>
      <c r="C6956" s="83">
        <v>46031</v>
      </c>
      <c r="D6956" t="s">
        <v>295</v>
      </c>
      <c r="E6956" t="s">
        <v>296</v>
      </c>
      <c r="F6956">
        <v>32</v>
      </c>
      <c r="G6956">
        <v>15.707416666666701</v>
      </c>
    </row>
    <row r="6957" spans="1:7" x14ac:dyDescent="0.35">
      <c r="A6957" t="s">
        <v>847</v>
      </c>
      <c r="B6957" t="s">
        <v>691</v>
      </c>
      <c r="C6957" s="83">
        <v>46031</v>
      </c>
      <c r="D6957" t="s">
        <v>299</v>
      </c>
      <c r="E6957" t="s">
        <v>296</v>
      </c>
      <c r="F6957">
        <v>51</v>
      </c>
      <c r="G6957">
        <v>24.2773166666667</v>
      </c>
    </row>
    <row r="6958" spans="1:7" x14ac:dyDescent="0.35">
      <c r="A6958" t="s">
        <v>847</v>
      </c>
      <c r="B6958" t="s">
        <v>691</v>
      </c>
      <c r="C6958" s="83">
        <v>46031</v>
      </c>
      <c r="D6958" t="s">
        <v>299</v>
      </c>
      <c r="E6958" t="s">
        <v>302</v>
      </c>
      <c r="F6958">
        <v>12</v>
      </c>
      <c r="G6958">
        <v>7.6512833333333301</v>
      </c>
    </row>
    <row r="6959" spans="1:7" x14ac:dyDescent="0.35">
      <c r="A6959" t="s">
        <v>847</v>
      </c>
      <c r="B6959" t="s">
        <v>691</v>
      </c>
      <c r="C6959" s="83">
        <v>46031</v>
      </c>
      <c r="D6959" t="s">
        <v>301</v>
      </c>
      <c r="E6959" t="s">
        <v>302</v>
      </c>
      <c r="F6959">
        <v>13</v>
      </c>
      <c r="G6959">
        <v>6.1025166666666699</v>
      </c>
    </row>
    <row r="6960" spans="1:7" x14ac:dyDescent="0.35">
      <c r="A6960" t="s">
        <v>847</v>
      </c>
      <c r="B6960" t="s">
        <v>691</v>
      </c>
      <c r="C6960" s="83">
        <v>46031</v>
      </c>
      <c r="D6960" t="s">
        <v>310</v>
      </c>
      <c r="E6960" t="s">
        <v>311</v>
      </c>
      <c r="F6960">
        <v>19</v>
      </c>
      <c r="G6960">
        <v>11.865</v>
      </c>
    </row>
    <row r="6961" spans="1:7" x14ac:dyDescent="0.35">
      <c r="A6961" t="s">
        <v>847</v>
      </c>
      <c r="B6961" t="s">
        <v>691</v>
      </c>
      <c r="C6961" s="83">
        <v>46031</v>
      </c>
      <c r="D6961" t="s">
        <v>310</v>
      </c>
      <c r="E6961" t="s">
        <v>347</v>
      </c>
      <c r="F6961">
        <v>4</v>
      </c>
      <c r="G6961">
        <v>1.21075</v>
      </c>
    </row>
    <row r="6962" spans="1:7" x14ac:dyDescent="0.35">
      <c r="A6962" t="s">
        <v>847</v>
      </c>
      <c r="B6962" t="s">
        <v>691</v>
      </c>
      <c r="C6962" s="83">
        <v>46031</v>
      </c>
      <c r="D6962" t="s">
        <v>310</v>
      </c>
      <c r="E6962" t="s">
        <v>316</v>
      </c>
      <c r="F6962">
        <v>3</v>
      </c>
      <c r="G6962">
        <v>0.82121666666666704</v>
      </c>
    </row>
    <row r="6963" spans="1:7" x14ac:dyDescent="0.35">
      <c r="A6963" t="s">
        <v>847</v>
      </c>
      <c r="B6963" t="s">
        <v>691</v>
      </c>
      <c r="C6963" s="83">
        <v>46031</v>
      </c>
      <c r="D6963" t="s">
        <v>313</v>
      </c>
      <c r="E6963" t="s">
        <v>311</v>
      </c>
      <c r="F6963">
        <v>14</v>
      </c>
      <c r="G6963">
        <v>11.959816666666701</v>
      </c>
    </row>
    <row r="6964" spans="1:7" x14ac:dyDescent="0.35">
      <c r="A6964" t="s">
        <v>847</v>
      </c>
      <c r="B6964" t="s">
        <v>691</v>
      </c>
      <c r="C6964" s="83">
        <v>46031</v>
      </c>
      <c r="D6964" t="s">
        <v>313</v>
      </c>
      <c r="E6964" t="s">
        <v>312</v>
      </c>
      <c r="F6964">
        <v>6</v>
      </c>
      <c r="G6964">
        <v>1.9077166666666701</v>
      </c>
    </row>
    <row r="6965" spans="1:7" x14ac:dyDescent="0.35">
      <c r="A6965" t="s">
        <v>847</v>
      </c>
      <c r="B6965" t="s">
        <v>691</v>
      </c>
      <c r="C6965" s="83">
        <v>46031</v>
      </c>
      <c r="D6965" t="s">
        <v>313</v>
      </c>
      <c r="E6965" t="s">
        <v>339</v>
      </c>
      <c r="F6965">
        <v>2</v>
      </c>
      <c r="G6965">
        <v>101.28395</v>
      </c>
    </row>
    <row r="6966" spans="1:7" x14ac:dyDescent="0.35">
      <c r="A6966" t="s">
        <v>847</v>
      </c>
      <c r="B6966" t="s">
        <v>691</v>
      </c>
      <c r="C6966" s="83">
        <v>46031</v>
      </c>
      <c r="D6966" t="s">
        <v>314</v>
      </c>
      <c r="E6966" t="s">
        <v>316</v>
      </c>
      <c r="F6966">
        <v>10</v>
      </c>
      <c r="G6966">
        <v>6.8555666666666699</v>
      </c>
    </row>
    <row r="6967" spans="1:7" x14ac:dyDescent="0.35">
      <c r="A6967" t="s">
        <v>847</v>
      </c>
      <c r="B6967" t="s">
        <v>691</v>
      </c>
      <c r="C6967" s="83">
        <v>46031</v>
      </c>
      <c r="D6967" t="s">
        <v>314</v>
      </c>
      <c r="E6967" t="s">
        <v>312</v>
      </c>
      <c r="F6967">
        <v>9</v>
      </c>
      <c r="G6967">
        <v>7.3513666666666699</v>
      </c>
    </row>
    <row r="6968" spans="1:7" x14ac:dyDescent="0.35">
      <c r="A6968" t="s">
        <v>847</v>
      </c>
      <c r="B6968" t="s">
        <v>691</v>
      </c>
      <c r="C6968" s="83">
        <v>46031</v>
      </c>
      <c r="D6968" t="s">
        <v>314</v>
      </c>
      <c r="E6968" t="s">
        <v>321</v>
      </c>
      <c r="F6968">
        <v>2</v>
      </c>
      <c r="G6968">
        <v>0.16928333333333301</v>
      </c>
    </row>
    <row r="6969" spans="1:7" x14ac:dyDescent="0.35">
      <c r="A6969" t="s">
        <v>847</v>
      </c>
      <c r="B6969" t="s">
        <v>691</v>
      </c>
      <c r="C6969" s="83">
        <v>46031</v>
      </c>
      <c r="D6969" t="s">
        <v>317</v>
      </c>
      <c r="E6969" t="s">
        <v>792</v>
      </c>
      <c r="F6969">
        <v>2</v>
      </c>
      <c r="G6969">
        <v>0.53321666666666701</v>
      </c>
    </row>
    <row r="6970" spans="1:7" x14ac:dyDescent="0.35">
      <c r="A6970" t="s">
        <v>847</v>
      </c>
      <c r="B6970" t="s">
        <v>691</v>
      </c>
      <c r="C6970" s="83">
        <v>46031</v>
      </c>
      <c r="D6970" t="s">
        <v>317</v>
      </c>
      <c r="E6970" t="s">
        <v>318</v>
      </c>
      <c r="F6970">
        <v>2</v>
      </c>
      <c r="G6970">
        <v>0.7883</v>
      </c>
    </row>
    <row r="6971" spans="1:7" x14ac:dyDescent="0.35">
      <c r="A6971" t="s">
        <v>847</v>
      </c>
      <c r="B6971" t="s">
        <v>691</v>
      </c>
      <c r="C6971" s="83">
        <v>46031</v>
      </c>
      <c r="D6971" t="s">
        <v>317</v>
      </c>
      <c r="E6971" t="s">
        <v>319</v>
      </c>
      <c r="F6971">
        <v>2</v>
      </c>
      <c r="G6971">
        <v>1.39171666666667</v>
      </c>
    </row>
    <row r="6972" spans="1:7" x14ac:dyDescent="0.35">
      <c r="A6972" t="s">
        <v>847</v>
      </c>
      <c r="B6972" t="s">
        <v>691</v>
      </c>
      <c r="C6972" s="83">
        <v>46032</v>
      </c>
      <c r="D6972" t="s">
        <v>295</v>
      </c>
      <c r="E6972" t="s">
        <v>637</v>
      </c>
      <c r="F6972">
        <v>75</v>
      </c>
      <c r="G6972">
        <v>24.546666666666699</v>
      </c>
    </row>
    <row r="6973" spans="1:7" x14ac:dyDescent="0.35">
      <c r="A6973" t="s">
        <v>847</v>
      </c>
      <c r="B6973" t="s">
        <v>691</v>
      </c>
      <c r="C6973" s="83">
        <v>46032</v>
      </c>
      <c r="D6973" t="s">
        <v>295</v>
      </c>
      <c r="E6973" t="s">
        <v>296</v>
      </c>
      <c r="F6973">
        <v>43</v>
      </c>
      <c r="G6973">
        <v>28.858266666666701</v>
      </c>
    </row>
    <row r="6974" spans="1:7" x14ac:dyDescent="0.35">
      <c r="A6974" t="s">
        <v>847</v>
      </c>
      <c r="B6974" t="s">
        <v>691</v>
      </c>
      <c r="C6974" s="83">
        <v>46032</v>
      </c>
      <c r="D6974" t="s">
        <v>299</v>
      </c>
      <c r="E6974" t="s">
        <v>296</v>
      </c>
      <c r="F6974">
        <v>95</v>
      </c>
      <c r="G6974">
        <v>53.744300000000003</v>
      </c>
    </row>
    <row r="6975" spans="1:7" x14ac:dyDescent="0.35">
      <c r="A6975" t="s">
        <v>847</v>
      </c>
      <c r="B6975" t="s">
        <v>691</v>
      </c>
      <c r="C6975" s="83">
        <v>46032</v>
      </c>
      <c r="D6975" t="s">
        <v>299</v>
      </c>
      <c r="E6975" t="s">
        <v>302</v>
      </c>
      <c r="F6975">
        <v>23</v>
      </c>
      <c r="G6975">
        <v>6.2877999999999998</v>
      </c>
    </row>
    <row r="6976" spans="1:7" x14ac:dyDescent="0.35">
      <c r="A6976" t="s">
        <v>847</v>
      </c>
      <c r="B6976" t="s">
        <v>691</v>
      </c>
      <c r="C6976" s="83">
        <v>46032</v>
      </c>
      <c r="D6976" t="s">
        <v>303</v>
      </c>
      <c r="E6976" t="s">
        <v>302</v>
      </c>
      <c r="F6976">
        <v>15</v>
      </c>
      <c r="G6976">
        <v>2.9521000000000002</v>
      </c>
    </row>
    <row r="6977" spans="1:7" x14ac:dyDescent="0.35">
      <c r="A6977" t="s">
        <v>847</v>
      </c>
      <c r="B6977" t="s">
        <v>691</v>
      </c>
      <c r="C6977" s="83">
        <v>46032</v>
      </c>
      <c r="D6977" t="s">
        <v>310</v>
      </c>
      <c r="E6977" t="s">
        <v>826</v>
      </c>
      <c r="F6977">
        <v>5</v>
      </c>
      <c r="G6977">
        <v>142.339333333333</v>
      </c>
    </row>
    <row r="6978" spans="1:7" x14ac:dyDescent="0.35">
      <c r="A6978" t="s">
        <v>847</v>
      </c>
      <c r="B6978" t="s">
        <v>691</v>
      </c>
      <c r="C6978" s="83">
        <v>46032</v>
      </c>
      <c r="D6978" t="s">
        <v>310</v>
      </c>
      <c r="E6978" t="s">
        <v>311</v>
      </c>
      <c r="F6978">
        <v>5</v>
      </c>
      <c r="G6978">
        <v>2.17323333333333</v>
      </c>
    </row>
    <row r="6979" spans="1:7" x14ac:dyDescent="0.35">
      <c r="A6979" t="s">
        <v>847</v>
      </c>
      <c r="B6979" t="s">
        <v>691</v>
      </c>
      <c r="C6979" s="83">
        <v>46032</v>
      </c>
      <c r="D6979" t="s">
        <v>310</v>
      </c>
      <c r="E6979" t="s">
        <v>316</v>
      </c>
      <c r="F6979">
        <v>3</v>
      </c>
      <c r="G6979">
        <v>0.37216666666666698</v>
      </c>
    </row>
    <row r="6980" spans="1:7" x14ac:dyDescent="0.35">
      <c r="A6980" t="s">
        <v>847</v>
      </c>
      <c r="B6980" t="s">
        <v>691</v>
      </c>
      <c r="C6980" s="83">
        <v>46032</v>
      </c>
      <c r="D6980" t="s">
        <v>313</v>
      </c>
      <c r="E6980" t="s">
        <v>347</v>
      </c>
      <c r="F6980">
        <v>23</v>
      </c>
      <c r="G6980">
        <v>30.3596</v>
      </c>
    </row>
    <row r="6981" spans="1:7" x14ac:dyDescent="0.35">
      <c r="A6981" t="s">
        <v>847</v>
      </c>
      <c r="B6981" t="s">
        <v>691</v>
      </c>
      <c r="C6981" s="83">
        <v>46032</v>
      </c>
      <c r="D6981" t="s">
        <v>313</v>
      </c>
      <c r="E6981" t="s">
        <v>323</v>
      </c>
      <c r="F6981">
        <v>15</v>
      </c>
      <c r="G6981">
        <v>57.660699999999999</v>
      </c>
    </row>
    <row r="6982" spans="1:7" x14ac:dyDescent="0.35">
      <c r="A6982" t="s">
        <v>847</v>
      </c>
      <c r="B6982" t="s">
        <v>691</v>
      </c>
      <c r="C6982" s="83">
        <v>46032</v>
      </c>
      <c r="D6982" t="s">
        <v>313</v>
      </c>
      <c r="E6982" t="s">
        <v>316</v>
      </c>
      <c r="F6982">
        <v>5</v>
      </c>
      <c r="G6982">
        <v>2.9005333333333301</v>
      </c>
    </row>
    <row r="6983" spans="1:7" x14ac:dyDescent="0.35">
      <c r="A6983" t="s">
        <v>847</v>
      </c>
      <c r="B6983" t="s">
        <v>691</v>
      </c>
      <c r="C6983" s="83">
        <v>46032</v>
      </c>
      <c r="D6983" t="s">
        <v>314</v>
      </c>
      <c r="E6983" t="s">
        <v>312</v>
      </c>
      <c r="F6983">
        <v>27</v>
      </c>
      <c r="G6983">
        <v>48.971499999999999</v>
      </c>
    </row>
    <row r="6984" spans="1:7" x14ac:dyDescent="0.35">
      <c r="A6984" t="s">
        <v>847</v>
      </c>
      <c r="B6984" t="s">
        <v>691</v>
      </c>
      <c r="C6984" s="83">
        <v>46032</v>
      </c>
      <c r="D6984" t="s">
        <v>314</v>
      </c>
      <c r="E6984" t="s">
        <v>126</v>
      </c>
      <c r="F6984">
        <v>13</v>
      </c>
      <c r="G6984">
        <v>42.362900000000003</v>
      </c>
    </row>
    <row r="6985" spans="1:7" x14ac:dyDescent="0.35">
      <c r="A6985" t="s">
        <v>847</v>
      </c>
      <c r="B6985" t="s">
        <v>691</v>
      </c>
      <c r="C6985" s="83">
        <v>46032</v>
      </c>
      <c r="D6985" t="s">
        <v>314</v>
      </c>
      <c r="E6985" t="s">
        <v>323</v>
      </c>
      <c r="F6985">
        <v>7</v>
      </c>
      <c r="G6985">
        <v>1.3657666666666699</v>
      </c>
    </row>
    <row r="6986" spans="1:7" x14ac:dyDescent="0.35">
      <c r="A6986" t="s">
        <v>847</v>
      </c>
      <c r="B6986" t="s">
        <v>691</v>
      </c>
      <c r="C6986" s="83">
        <v>46032</v>
      </c>
      <c r="D6986" t="s">
        <v>317</v>
      </c>
      <c r="E6986" t="s">
        <v>323</v>
      </c>
      <c r="F6986">
        <v>5</v>
      </c>
      <c r="G6986">
        <v>18.929033333333301</v>
      </c>
    </row>
    <row r="6987" spans="1:7" x14ac:dyDescent="0.35">
      <c r="A6987" t="s">
        <v>847</v>
      </c>
      <c r="B6987" t="s">
        <v>691</v>
      </c>
      <c r="C6987" s="83">
        <v>46032</v>
      </c>
      <c r="D6987" t="s">
        <v>317</v>
      </c>
      <c r="E6987" t="s">
        <v>777</v>
      </c>
      <c r="F6987">
        <v>3</v>
      </c>
      <c r="G6987">
        <v>0.33850000000000002</v>
      </c>
    </row>
    <row r="6988" spans="1:7" x14ac:dyDescent="0.35">
      <c r="A6988" t="s">
        <v>847</v>
      </c>
      <c r="B6988" t="s">
        <v>691</v>
      </c>
      <c r="C6988" s="83">
        <v>46033</v>
      </c>
      <c r="D6988" t="s">
        <v>295</v>
      </c>
      <c r="E6988" t="s">
        <v>296</v>
      </c>
      <c r="F6988">
        <v>121</v>
      </c>
      <c r="G6988">
        <v>70.5887666666667</v>
      </c>
    </row>
    <row r="6989" spans="1:7" x14ac:dyDescent="0.35">
      <c r="A6989" t="s">
        <v>847</v>
      </c>
      <c r="B6989" t="s">
        <v>691</v>
      </c>
      <c r="C6989" s="83">
        <v>46033</v>
      </c>
      <c r="D6989" t="s">
        <v>295</v>
      </c>
      <c r="E6989" t="s">
        <v>637</v>
      </c>
      <c r="F6989">
        <v>43</v>
      </c>
      <c r="G6989">
        <v>28.953883333333302</v>
      </c>
    </row>
    <row r="6990" spans="1:7" x14ac:dyDescent="0.35">
      <c r="A6990" t="s">
        <v>847</v>
      </c>
      <c r="B6990" t="s">
        <v>691</v>
      </c>
      <c r="C6990" s="83">
        <v>46033</v>
      </c>
      <c r="D6990" t="s">
        <v>299</v>
      </c>
      <c r="E6990" t="s">
        <v>296</v>
      </c>
      <c r="F6990">
        <v>88</v>
      </c>
      <c r="G6990">
        <v>39.029833333333301</v>
      </c>
    </row>
    <row r="6991" spans="1:7" x14ac:dyDescent="0.35">
      <c r="A6991" t="s">
        <v>847</v>
      </c>
      <c r="B6991" t="s">
        <v>691</v>
      </c>
      <c r="C6991" s="83">
        <v>46033</v>
      </c>
      <c r="D6991" t="s">
        <v>301</v>
      </c>
      <c r="E6991" t="s">
        <v>302</v>
      </c>
      <c r="F6991">
        <v>39</v>
      </c>
      <c r="G6991">
        <v>15.4654166666667</v>
      </c>
    </row>
    <row r="6992" spans="1:7" x14ac:dyDescent="0.35">
      <c r="A6992" t="s">
        <v>847</v>
      </c>
      <c r="B6992" t="s">
        <v>691</v>
      </c>
      <c r="C6992" s="83">
        <v>46033</v>
      </c>
      <c r="D6992" t="s">
        <v>303</v>
      </c>
      <c r="E6992" t="s">
        <v>302</v>
      </c>
      <c r="F6992">
        <v>14</v>
      </c>
      <c r="G6992">
        <v>5.6322999999999999</v>
      </c>
    </row>
    <row r="6993" spans="1:7" x14ac:dyDescent="0.35">
      <c r="A6993" t="s">
        <v>847</v>
      </c>
      <c r="B6993" t="s">
        <v>691</v>
      </c>
      <c r="C6993" s="83">
        <v>46033</v>
      </c>
      <c r="D6993" t="s">
        <v>310</v>
      </c>
      <c r="E6993" t="s">
        <v>311</v>
      </c>
      <c r="F6993">
        <v>13</v>
      </c>
      <c r="G6993">
        <v>12.455816666666699</v>
      </c>
    </row>
    <row r="6994" spans="1:7" x14ac:dyDescent="0.35">
      <c r="A6994" t="s">
        <v>847</v>
      </c>
      <c r="B6994" t="s">
        <v>691</v>
      </c>
      <c r="C6994" s="83">
        <v>46033</v>
      </c>
      <c r="D6994" t="s">
        <v>310</v>
      </c>
      <c r="E6994" t="s">
        <v>312</v>
      </c>
      <c r="F6994">
        <v>11</v>
      </c>
      <c r="G6994">
        <v>33.698700000000002</v>
      </c>
    </row>
    <row r="6995" spans="1:7" x14ac:dyDescent="0.35">
      <c r="A6995" t="s">
        <v>847</v>
      </c>
      <c r="B6995" t="s">
        <v>691</v>
      </c>
      <c r="C6995" s="83">
        <v>46033</v>
      </c>
      <c r="D6995" t="s">
        <v>310</v>
      </c>
      <c r="E6995" t="s">
        <v>658</v>
      </c>
      <c r="F6995">
        <v>7</v>
      </c>
      <c r="G6995">
        <v>166.30330000000001</v>
      </c>
    </row>
    <row r="6996" spans="1:7" x14ac:dyDescent="0.35">
      <c r="A6996" t="s">
        <v>847</v>
      </c>
      <c r="B6996" t="s">
        <v>691</v>
      </c>
      <c r="C6996" s="83">
        <v>46033</v>
      </c>
      <c r="D6996" t="s">
        <v>313</v>
      </c>
      <c r="E6996" t="s">
        <v>311</v>
      </c>
      <c r="F6996">
        <v>8</v>
      </c>
      <c r="G6996">
        <v>4.4877333333333302</v>
      </c>
    </row>
    <row r="6997" spans="1:7" x14ac:dyDescent="0.35">
      <c r="A6997" t="s">
        <v>847</v>
      </c>
      <c r="B6997" t="s">
        <v>691</v>
      </c>
      <c r="C6997" s="83">
        <v>46033</v>
      </c>
      <c r="D6997" t="s">
        <v>313</v>
      </c>
      <c r="E6997" t="s">
        <v>126</v>
      </c>
      <c r="F6997">
        <v>5</v>
      </c>
      <c r="G6997">
        <v>7.7952833333333302</v>
      </c>
    </row>
    <row r="6998" spans="1:7" x14ac:dyDescent="0.35">
      <c r="A6998" t="s">
        <v>847</v>
      </c>
      <c r="B6998" t="s">
        <v>691</v>
      </c>
      <c r="C6998" s="83">
        <v>46033</v>
      </c>
      <c r="D6998" t="s">
        <v>313</v>
      </c>
      <c r="E6998" t="s">
        <v>347</v>
      </c>
      <c r="F6998">
        <v>4</v>
      </c>
      <c r="G6998">
        <v>1.3409166666666701</v>
      </c>
    </row>
    <row r="6999" spans="1:7" x14ac:dyDescent="0.35">
      <c r="A6999" t="s">
        <v>847</v>
      </c>
      <c r="B6999" t="s">
        <v>691</v>
      </c>
      <c r="C6999" s="83">
        <v>46033</v>
      </c>
      <c r="D6999" t="s">
        <v>314</v>
      </c>
      <c r="E6999" t="s">
        <v>316</v>
      </c>
      <c r="F6999">
        <v>5</v>
      </c>
      <c r="G6999">
        <v>4.7384500000000003</v>
      </c>
    </row>
    <row r="7000" spans="1:7" x14ac:dyDescent="0.35">
      <c r="A7000" t="s">
        <v>847</v>
      </c>
      <c r="B7000" t="s">
        <v>691</v>
      </c>
      <c r="C7000" s="83">
        <v>46033</v>
      </c>
      <c r="D7000" t="s">
        <v>314</v>
      </c>
      <c r="E7000" t="s">
        <v>126</v>
      </c>
      <c r="F7000">
        <v>3</v>
      </c>
      <c r="G7000">
        <v>3.7664833333333299</v>
      </c>
    </row>
    <row r="7001" spans="1:7" x14ac:dyDescent="0.35">
      <c r="A7001" t="s">
        <v>847</v>
      </c>
      <c r="B7001" t="s">
        <v>691</v>
      </c>
      <c r="C7001" s="83">
        <v>46033</v>
      </c>
      <c r="D7001" t="s">
        <v>314</v>
      </c>
      <c r="E7001" t="s">
        <v>321</v>
      </c>
      <c r="F7001">
        <v>2</v>
      </c>
      <c r="G7001">
        <v>0.381083333333333</v>
      </c>
    </row>
    <row r="7002" spans="1:7" x14ac:dyDescent="0.35">
      <c r="A7002" t="s">
        <v>847</v>
      </c>
      <c r="B7002" t="s">
        <v>691</v>
      </c>
      <c r="C7002" s="83">
        <v>46033</v>
      </c>
      <c r="D7002" t="s">
        <v>317</v>
      </c>
      <c r="E7002" t="s">
        <v>323</v>
      </c>
      <c r="F7002">
        <v>3</v>
      </c>
      <c r="G7002">
        <v>11.0352833333333</v>
      </c>
    </row>
    <row r="7003" spans="1:7" x14ac:dyDescent="0.35">
      <c r="A7003" t="s">
        <v>847</v>
      </c>
      <c r="B7003" t="s">
        <v>691</v>
      </c>
      <c r="C7003" s="83">
        <v>46034</v>
      </c>
      <c r="D7003" t="s">
        <v>295</v>
      </c>
      <c r="E7003" t="s">
        <v>637</v>
      </c>
      <c r="F7003">
        <v>20</v>
      </c>
      <c r="G7003">
        <v>10.625716666666699</v>
      </c>
    </row>
    <row r="7004" spans="1:7" x14ac:dyDescent="0.35">
      <c r="A7004" t="s">
        <v>847</v>
      </c>
      <c r="B7004" t="s">
        <v>691</v>
      </c>
      <c r="C7004" s="83">
        <v>46034</v>
      </c>
      <c r="D7004" t="s">
        <v>295</v>
      </c>
      <c r="E7004" t="s">
        <v>296</v>
      </c>
      <c r="F7004">
        <v>20</v>
      </c>
      <c r="G7004">
        <v>12.0374833333333</v>
      </c>
    </row>
    <row r="7005" spans="1:7" x14ac:dyDescent="0.35">
      <c r="A7005" t="s">
        <v>847</v>
      </c>
      <c r="B7005" t="s">
        <v>691</v>
      </c>
      <c r="C7005" s="83">
        <v>46034</v>
      </c>
      <c r="D7005" t="s">
        <v>299</v>
      </c>
      <c r="E7005" t="s">
        <v>296</v>
      </c>
      <c r="F7005">
        <v>42</v>
      </c>
      <c r="G7005">
        <v>17.174016666666699</v>
      </c>
    </row>
    <row r="7006" spans="1:7" x14ac:dyDescent="0.35">
      <c r="A7006" t="s">
        <v>847</v>
      </c>
      <c r="B7006" t="s">
        <v>691</v>
      </c>
      <c r="C7006" s="83">
        <v>46034</v>
      </c>
      <c r="D7006" t="s">
        <v>301</v>
      </c>
      <c r="E7006" t="s">
        <v>302</v>
      </c>
      <c r="F7006">
        <v>25</v>
      </c>
      <c r="G7006">
        <v>12.570183333333301</v>
      </c>
    </row>
    <row r="7007" spans="1:7" x14ac:dyDescent="0.35">
      <c r="A7007" t="s">
        <v>847</v>
      </c>
      <c r="B7007" t="s">
        <v>691</v>
      </c>
      <c r="C7007" s="83">
        <v>46034</v>
      </c>
      <c r="D7007" t="s">
        <v>303</v>
      </c>
      <c r="E7007" t="s">
        <v>302</v>
      </c>
      <c r="F7007">
        <v>16</v>
      </c>
      <c r="G7007">
        <v>6.7180833333333299</v>
      </c>
    </row>
    <row r="7008" spans="1:7" x14ac:dyDescent="0.35">
      <c r="A7008" t="s">
        <v>847</v>
      </c>
      <c r="B7008" t="s">
        <v>691</v>
      </c>
      <c r="C7008" s="83">
        <v>46034</v>
      </c>
      <c r="D7008" t="s">
        <v>310</v>
      </c>
      <c r="E7008" t="s">
        <v>311</v>
      </c>
      <c r="F7008">
        <v>33</v>
      </c>
      <c r="G7008">
        <v>34.169150000000002</v>
      </c>
    </row>
    <row r="7009" spans="1:7" x14ac:dyDescent="0.35">
      <c r="A7009" t="s">
        <v>847</v>
      </c>
      <c r="B7009" t="s">
        <v>691</v>
      </c>
      <c r="C7009" s="83">
        <v>46034</v>
      </c>
      <c r="D7009" t="s">
        <v>310</v>
      </c>
      <c r="E7009" t="s">
        <v>640</v>
      </c>
      <c r="F7009">
        <v>12</v>
      </c>
      <c r="G7009">
        <v>33.127866666666698</v>
      </c>
    </row>
    <row r="7010" spans="1:7" x14ac:dyDescent="0.35">
      <c r="A7010" t="s">
        <v>847</v>
      </c>
      <c r="B7010" t="s">
        <v>691</v>
      </c>
      <c r="C7010" s="83">
        <v>46034</v>
      </c>
      <c r="D7010" t="s">
        <v>310</v>
      </c>
      <c r="E7010" t="s">
        <v>333</v>
      </c>
      <c r="F7010">
        <v>8</v>
      </c>
      <c r="G7010">
        <v>2.8937666666666702</v>
      </c>
    </row>
    <row r="7011" spans="1:7" x14ac:dyDescent="0.35">
      <c r="A7011" t="s">
        <v>847</v>
      </c>
      <c r="B7011" t="s">
        <v>691</v>
      </c>
      <c r="C7011" s="83">
        <v>46034</v>
      </c>
      <c r="D7011" t="s">
        <v>313</v>
      </c>
      <c r="E7011" t="s">
        <v>311</v>
      </c>
      <c r="F7011">
        <v>13</v>
      </c>
      <c r="G7011">
        <v>6.6585000000000001</v>
      </c>
    </row>
    <row r="7012" spans="1:7" x14ac:dyDescent="0.35">
      <c r="A7012" t="s">
        <v>847</v>
      </c>
      <c r="B7012" t="s">
        <v>691</v>
      </c>
      <c r="C7012" s="83">
        <v>46034</v>
      </c>
      <c r="D7012" t="s">
        <v>313</v>
      </c>
      <c r="E7012" t="s">
        <v>312</v>
      </c>
      <c r="F7012">
        <v>7</v>
      </c>
      <c r="G7012">
        <v>8.4231999999999996</v>
      </c>
    </row>
    <row r="7013" spans="1:7" x14ac:dyDescent="0.35">
      <c r="A7013" t="s">
        <v>847</v>
      </c>
      <c r="B7013" t="s">
        <v>691</v>
      </c>
      <c r="C7013" s="83">
        <v>46034</v>
      </c>
      <c r="D7013" t="s">
        <v>313</v>
      </c>
      <c r="E7013" t="s">
        <v>322</v>
      </c>
      <c r="F7013">
        <v>3</v>
      </c>
      <c r="G7013">
        <v>2.22461666666667</v>
      </c>
    </row>
    <row r="7014" spans="1:7" x14ac:dyDescent="0.35">
      <c r="A7014" t="s">
        <v>847</v>
      </c>
      <c r="B7014" t="s">
        <v>694</v>
      </c>
      <c r="C7014" s="83"/>
      <c r="F7014">
        <v>142086</v>
      </c>
      <c r="G7014">
        <v>214923.184333982</v>
      </c>
    </row>
    <row r="7015" spans="1:7" x14ac:dyDescent="0.35">
      <c r="A7015" t="s">
        <v>847</v>
      </c>
      <c r="B7015" t="s">
        <v>691</v>
      </c>
      <c r="C7015" s="83">
        <v>46034</v>
      </c>
      <c r="D7015" t="s">
        <v>314</v>
      </c>
      <c r="E7015" t="s">
        <v>126</v>
      </c>
      <c r="F7015">
        <v>10</v>
      </c>
      <c r="G7015">
        <v>20.101050000000001</v>
      </c>
    </row>
    <row r="7016" spans="1:7" x14ac:dyDescent="0.35">
      <c r="A7016" t="s">
        <v>847</v>
      </c>
      <c r="B7016" t="s">
        <v>691</v>
      </c>
      <c r="C7016" s="83">
        <v>46034</v>
      </c>
      <c r="D7016" t="s">
        <v>314</v>
      </c>
      <c r="E7016" t="s">
        <v>316</v>
      </c>
      <c r="F7016">
        <v>6</v>
      </c>
      <c r="G7016">
        <v>2.77768333333333</v>
      </c>
    </row>
    <row r="7017" spans="1:7" x14ac:dyDescent="0.35">
      <c r="A7017" t="s">
        <v>847</v>
      </c>
      <c r="B7017" t="s">
        <v>691</v>
      </c>
      <c r="C7017" s="83">
        <v>46034</v>
      </c>
      <c r="D7017" t="s">
        <v>314</v>
      </c>
      <c r="E7017" t="s">
        <v>640</v>
      </c>
      <c r="F7017">
        <v>6</v>
      </c>
      <c r="G7017">
        <v>16.1843166666667</v>
      </c>
    </row>
    <row r="7018" spans="1:7" x14ac:dyDescent="0.35">
      <c r="A7018" t="s">
        <v>847</v>
      </c>
      <c r="B7018" t="s">
        <v>691</v>
      </c>
      <c r="C7018" s="83">
        <v>46035</v>
      </c>
      <c r="D7018" t="s">
        <v>295</v>
      </c>
      <c r="E7018" t="s">
        <v>296</v>
      </c>
      <c r="F7018">
        <v>16</v>
      </c>
      <c r="G7018">
        <v>6.87155</v>
      </c>
    </row>
    <row r="7019" spans="1:7" x14ac:dyDescent="0.35">
      <c r="A7019" t="s">
        <v>847</v>
      </c>
      <c r="B7019" t="s">
        <v>691</v>
      </c>
      <c r="C7019" s="83">
        <v>46035</v>
      </c>
      <c r="D7019" t="s">
        <v>299</v>
      </c>
      <c r="E7019" t="s">
        <v>296</v>
      </c>
      <c r="F7019">
        <v>109</v>
      </c>
      <c r="G7019">
        <v>49.191450000000003</v>
      </c>
    </row>
    <row r="7020" spans="1:7" x14ac:dyDescent="0.35">
      <c r="A7020" t="s">
        <v>847</v>
      </c>
      <c r="B7020" t="s">
        <v>691</v>
      </c>
      <c r="C7020" s="83">
        <v>46035</v>
      </c>
      <c r="D7020" t="s">
        <v>301</v>
      </c>
      <c r="E7020" t="s">
        <v>302</v>
      </c>
      <c r="F7020">
        <v>29</v>
      </c>
      <c r="G7020">
        <v>14.95715</v>
      </c>
    </row>
    <row r="7021" spans="1:7" x14ac:dyDescent="0.35">
      <c r="A7021" t="s">
        <v>847</v>
      </c>
      <c r="B7021" t="s">
        <v>691</v>
      </c>
      <c r="C7021" s="83">
        <v>46035</v>
      </c>
      <c r="D7021" t="s">
        <v>303</v>
      </c>
      <c r="E7021" t="s">
        <v>302</v>
      </c>
      <c r="F7021">
        <v>12</v>
      </c>
      <c r="G7021">
        <v>6.7937666666666701</v>
      </c>
    </row>
    <row r="7022" spans="1:7" x14ac:dyDescent="0.35">
      <c r="A7022" t="s">
        <v>847</v>
      </c>
      <c r="B7022" t="s">
        <v>691</v>
      </c>
      <c r="C7022" s="83">
        <v>46035</v>
      </c>
      <c r="D7022" t="s">
        <v>310</v>
      </c>
      <c r="E7022" t="s">
        <v>311</v>
      </c>
      <c r="F7022">
        <v>44</v>
      </c>
      <c r="G7022">
        <v>36.860066666666697</v>
      </c>
    </row>
    <row r="7023" spans="1:7" x14ac:dyDescent="0.35">
      <c r="A7023" t="s">
        <v>847</v>
      </c>
      <c r="B7023" t="s">
        <v>691</v>
      </c>
      <c r="C7023" s="83">
        <v>46035</v>
      </c>
      <c r="D7023" t="s">
        <v>310</v>
      </c>
      <c r="E7023" t="s">
        <v>640</v>
      </c>
      <c r="F7023">
        <v>13</v>
      </c>
      <c r="G7023">
        <v>25.465216666666699</v>
      </c>
    </row>
    <row r="7024" spans="1:7" x14ac:dyDescent="0.35">
      <c r="A7024" t="s">
        <v>847</v>
      </c>
      <c r="B7024" t="s">
        <v>691</v>
      </c>
      <c r="C7024" s="83">
        <v>46035</v>
      </c>
      <c r="D7024" t="s">
        <v>310</v>
      </c>
      <c r="E7024" t="s">
        <v>126</v>
      </c>
      <c r="F7024">
        <v>13</v>
      </c>
      <c r="G7024">
        <v>7.6730833333333299</v>
      </c>
    </row>
    <row r="7025" spans="1:7" x14ac:dyDescent="0.35">
      <c r="A7025" t="s">
        <v>847</v>
      </c>
      <c r="B7025" t="s">
        <v>691</v>
      </c>
      <c r="C7025" s="83">
        <v>46035</v>
      </c>
      <c r="D7025" t="s">
        <v>313</v>
      </c>
      <c r="E7025" t="s">
        <v>640</v>
      </c>
      <c r="F7025">
        <v>7</v>
      </c>
      <c r="G7025">
        <v>11.88345</v>
      </c>
    </row>
    <row r="7026" spans="1:7" x14ac:dyDescent="0.35">
      <c r="A7026" t="s">
        <v>847</v>
      </c>
      <c r="B7026" t="s">
        <v>691</v>
      </c>
      <c r="C7026" s="83">
        <v>46035</v>
      </c>
      <c r="D7026" t="s">
        <v>313</v>
      </c>
      <c r="E7026" t="s">
        <v>316</v>
      </c>
      <c r="F7026">
        <v>6</v>
      </c>
      <c r="G7026">
        <v>1.5688833333333301</v>
      </c>
    </row>
    <row r="7027" spans="1:7" x14ac:dyDescent="0.35">
      <c r="A7027" t="s">
        <v>847</v>
      </c>
      <c r="B7027" t="s">
        <v>691</v>
      </c>
      <c r="C7027" s="83">
        <v>46035</v>
      </c>
      <c r="D7027" t="s">
        <v>313</v>
      </c>
      <c r="E7027" t="s">
        <v>322</v>
      </c>
      <c r="F7027">
        <v>2</v>
      </c>
      <c r="G7027">
        <v>1.81223333333333</v>
      </c>
    </row>
    <row r="7028" spans="1:7" x14ac:dyDescent="0.35">
      <c r="A7028" t="s">
        <v>847</v>
      </c>
      <c r="B7028" t="s">
        <v>691</v>
      </c>
      <c r="C7028" s="83">
        <v>46035</v>
      </c>
      <c r="D7028" t="s">
        <v>314</v>
      </c>
      <c r="E7028" t="s">
        <v>126</v>
      </c>
      <c r="F7028">
        <v>31</v>
      </c>
      <c r="G7028">
        <v>81.408349999999999</v>
      </c>
    </row>
    <row r="7029" spans="1:7" x14ac:dyDescent="0.35">
      <c r="A7029" t="s">
        <v>847</v>
      </c>
      <c r="B7029" t="s">
        <v>691</v>
      </c>
      <c r="C7029" s="83">
        <v>46035</v>
      </c>
      <c r="D7029" t="s">
        <v>314</v>
      </c>
      <c r="E7029" t="s">
        <v>640</v>
      </c>
      <c r="F7029">
        <v>12</v>
      </c>
      <c r="G7029">
        <v>23.613033333333298</v>
      </c>
    </row>
    <row r="7030" spans="1:7" x14ac:dyDescent="0.35">
      <c r="A7030" t="s">
        <v>847</v>
      </c>
      <c r="B7030" t="s">
        <v>691</v>
      </c>
      <c r="C7030" s="83">
        <v>46035</v>
      </c>
      <c r="D7030" t="s">
        <v>314</v>
      </c>
      <c r="E7030" t="s">
        <v>312</v>
      </c>
      <c r="F7030">
        <v>5</v>
      </c>
      <c r="G7030">
        <v>4.2544500000000003</v>
      </c>
    </row>
    <row r="7031" spans="1:7" x14ac:dyDescent="0.35">
      <c r="A7031" t="s">
        <v>847</v>
      </c>
      <c r="B7031" t="s">
        <v>691</v>
      </c>
      <c r="C7031" s="83">
        <v>46035</v>
      </c>
      <c r="D7031" t="s">
        <v>317</v>
      </c>
      <c r="E7031" t="s">
        <v>349</v>
      </c>
      <c r="F7031">
        <v>2</v>
      </c>
      <c r="G7031">
        <v>0.2039</v>
      </c>
    </row>
    <row r="7032" spans="1:7" x14ac:dyDescent="0.35">
      <c r="A7032" t="s">
        <v>847</v>
      </c>
      <c r="B7032" t="s">
        <v>691</v>
      </c>
      <c r="C7032" s="83">
        <v>46035</v>
      </c>
      <c r="D7032" t="s">
        <v>317</v>
      </c>
      <c r="E7032" t="s">
        <v>792</v>
      </c>
      <c r="F7032">
        <v>2</v>
      </c>
      <c r="G7032">
        <v>0.45026666666666698</v>
      </c>
    </row>
    <row r="7033" spans="1:7" x14ac:dyDescent="0.35">
      <c r="A7033" t="s">
        <v>847</v>
      </c>
      <c r="B7033" t="s">
        <v>691</v>
      </c>
      <c r="C7033" s="83">
        <v>46035</v>
      </c>
      <c r="D7033" t="s">
        <v>317</v>
      </c>
      <c r="E7033" t="s">
        <v>323</v>
      </c>
      <c r="F7033">
        <v>2</v>
      </c>
      <c r="G7033">
        <v>8.1116666666666698E-2</v>
      </c>
    </row>
    <row r="7034" spans="1:7" x14ac:dyDescent="0.35">
      <c r="A7034" t="s">
        <v>847</v>
      </c>
      <c r="B7034" t="s">
        <v>691</v>
      </c>
      <c r="C7034" s="83">
        <v>46036</v>
      </c>
      <c r="D7034" t="s">
        <v>295</v>
      </c>
      <c r="E7034" t="s">
        <v>296</v>
      </c>
      <c r="F7034">
        <v>14</v>
      </c>
      <c r="G7034">
        <v>3.7834333333333299</v>
      </c>
    </row>
    <row r="7035" spans="1:7" x14ac:dyDescent="0.35">
      <c r="A7035" t="s">
        <v>847</v>
      </c>
      <c r="B7035" t="s">
        <v>691</v>
      </c>
      <c r="C7035" s="83">
        <v>46036</v>
      </c>
      <c r="D7035" t="s">
        <v>299</v>
      </c>
      <c r="E7035" t="s">
        <v>296</v>
      </c>
      <c r="F7035">
        <v>43</v>
      </c>
      <c r="G7035">
        <v>22.267499999999998</v>
      </c>
    </row>
    <row r="7036" spans="1:7" x14ac:dyDescent="0.35">
      <c r="A7036" t="s">
        <v>847</v>
      </c>
      <c r="B7036" t="s">
        <v>691</v>
      </c>
      <c r="C7036" s="83">
        <v>46036</v>
      </c>
      <c r="D7036" t="s">
        <v>301</v>
      </c>
      <c r="E7036" t="s">
        <v>302</v>
      </c>
      <c r="F7036">
        <v>25</v>
      </c>
      <c r="G7036">
        <v>17.3843</v>
      </c>
    </row>
    <row r="7037" spans="1:7" x14ac:dyDescent="0.35">
      <c r="A7037" t="s">
        <v>847</v>
      </c>
      <c r="B7037" t="s">
        <v>691</v>
      </c>
      <c r="C7037" s="83">
        <v>46036</v>
      </c>
      <c r="D7037" t="s">
        <v>303</v>
      </c>
      <c r="E7037" t="s">
        <v>302</v>
      </c>
      <c r="F7037">
        <v>17</v>
      </c>
      <c r="G7037">
        <v>7.0897500000000004</v>
      </c>
    </row>
    <row r="7038" spans="1:7" x14ac:dyDescent="0.35">
      <c r="A7038" t="s">
        <v>847</v>
      </c>
      <c r="B7038" t="s">
        <v>691</v>
      </c>
      <c r="C7038" s="83">
        <v>46036</v>
      </c>
      <c r="D7038" t="s">
        <v>310</v>
      </c>
      <c r="E7038" t="s">
        <v>311</v>
      </c>
      <c r="F7038">
        <v>33</v>
      </c>
      <c r="G7038">
        <v>33.354333333333301</v>
      </c>
    </row>
    <row r="7039" spans="1:7" x14ac:dyDescent="0.35">
      <c r="A7039" t="s">
        <v>847</v>
      </c>
      <c r="B7039" t="s">
        <v>691</v>
      </c>
      <c r="C7039" s="83">
        <v>46036</v>
      </c>
      <c r="D7039" t="s">
        <v>310</v>
      </c>
      <c r="E7039" t="s">
        <v>126</v>
      </c>
      <c r="F7039">
        <v>11</v>
      </c>
      <c r="G7039">
        <v>11.594333333333299</v>
      </c>
    </row>
    <row r="7040" spans="1:7" x14ac:dyDescent="0.35">
      <c r="A7040" t="s">
        <v>847</v>
      </c>
      <c r="B7040" t="s">
        <v>691</v>
      </c>
      <c r="C7040" s="83">
        <v>46036</v>
      </c>
      <c r="D7040" t="s">
        <v>310</v>
      </c>
      <c r="E7040" t="s">
        <v>640</v>
      </c>
      <c r="F7040">
        <v>9</v>
      </c>
      <c r="G7040">
        <v>8.4301666666666701</v>
      </c>
    </row>
    <row r="7041" spans="1:7" x14ac:dyDescent="0.35">
      <c r="A7041" t="s">
        <v>847</v>
      </c>
      <c r="B7041" t="s">
        <v>691</v>
      </c>
      <c r="C7041" s="83">
        <v>46036</v>
      </c>
      <c r="D7041" t="s">
        <v>313</v>
      </c>
      <c r="E7041" t="s">
        <v>126</v>
      </c>
      <c r="F7041">
        <v>18</v>
      </c>
      <c r="G7041">
        <v>41.908949999999997</v>
      </c>
    </row>
    <row r="7042" spans="1:7" x14ac:dyDescent="0.35">
      <c r="A7042" t="s">
        <v>847</v>
      </c>
      <c r="B7042" t="s">
        <v>691</v>
      </c>
      <c r="C7042" s="83">
        <v>46036</v>
      </c>
      <c r="D7042" t="s">
        <v>313</v>
      </c>
      <c r="E7042" t="s">
        <v>311</v>
      </c>
      <c r="F7042">
        <v>10</v>
      </c>
      <c r="G7042">
        <v>9.0273666666666692</v>
      </c>
    </row>
    <row r="7043" spans="1:7" x14ac:dyDescent="0.35">
      <c r="A7043" t="s">
        <v>847</v>
      </c>
      <c r="B7043" t="s">
        <v>691</v>
      </c>
      <c r="C7043" s="83">
        <v>46036</v>
      </c>
      <c r="D7043" t="s">
        <v>313</v>
      </c>
      <c r="E7043" t="s">
        <v>347</v>
      </c>
      <c r="F7043">
        <v>8</v>
      </c>
      <c r="G7043">
        <v>3.9114833333333299</v>
      </c>
    </row>
    <row r="7044" spans="1:7" x14ac:dyDescent="0.35">
      <c r="A7044" t="s">
        <v>847</v>
      </c>
      <c r="B7044" t="s">
        <v>691</v>
      </c>
      <c r="C7044" s="83">
        <v>46036</v>
      </c>
      <c r="D7044" t="s">
        <v>314</v>
      </c>
      <c r="E7044" t="s">
        <v>126</v>
      </c>
      <c r="F7044">
        <v>28</v>
      </c>
      <c r="G7044">
        <v>74.791166666666697</v>
      </c>
    </row>
    <row r="7045" spans="1:7" x14ac:dyDescent="0.35">
      <c r="A7045" t="s">
        <v>847</v>
      </c>
      <c r="B7045" t="s">
        <v>691</v>
      </c>
      <c r="C7045" s="83">
        <v>46036</v>
      </c>
      <c r="D7045" t="s">
        <v>314</v>
      </c>
      <c r="E7045" t="s">
        <v>312</v>
      </c>
      <c r="F7045">
        <v>9</v>
      </c>
      <c r="G7045">
        <v>13.6758666666667</v>
      </c>
    </row>
    <row r="7046" spans="1:7" x14ac:dyDescent="0.35">
      <c r="A7046" t="s">
        <v>847</v>
      </c>
      <c r="B7046" t="s">
        <v>691</v>
      </c>
      <c r="C7046" s="83">
        <v>46036</v>
      </c>
      <c r="D7046" t="s">
        <v>314</v>
      </c>
      <c r="E7046" t="s">
        <v>348</v>
      </c>
      <c r="F7046">
        <v>5</v>
      </c>
      <c r="G7046">
        <v>3.89523333333333</v>
      </c>
    </row>
    <row r="7047" spans="1:7" x14ac:dyDescent="0.35">
      <c r="A7047" t="s">
        <v>847</v>
      </c>
      <c r="B7047" t="s">
        <v>691</v>
      </c>
      <c r="C7047" s="83">
        <v>46036</v>
      </c>
      <c r="D7047" t="s">
        <v>317</v>
      </c>
      <c r="E7047" t="s">
        <v>792</v>
      </c>
      <c r="F7047">
        <v>2</v>
      </c>
      <c r="G7047">
        <v>0.77893333333333303</v>
      </c>
    </row>
    <row r="7048" spans="1:7" x14ac:dyDescent="0.35">
      <c r="A7048" t="s">
        <v>847</v>
      </c>
      <c r="B7048" t="s">
        <v>691</v>
      </c>
      <c r="C7048" s="83">
        <v>46036</v>
      </c>
      <c r="D7048" t="s">
        <v>317</v>
      </c>
      <c r="E7048" t="s">
        <v>825</v>
      </c>
      <c r="F7048">
        <v>2</v>
      </c>
      <c r="G7048">
        <v>0.11033333333333301</v>
      </c>
    </row>
    <row r="7049" spans="1:7" x14ac:dyDescent="0.35">
      <c r="A7049" t="s">
        <v>847</v>
      </c>
      <c r="B7049" t="s">
        <v>691</v>
      </c>
      <c r="C7049" s="83">
        <v>46036</v>
      </c>
      <c r="D7049" t="s">
        <v>317</v>
      </c>
      <c r="E7049" t="s">
        <v>319</v>
      </c>
      <c r="F7049">
        <v>2</v>
      </c>
      <c r="G7049">
        <v>0.43341666666666701</v>
      </c>
    </row>
    <row r="7050" spans="1:7" x14ac:dyDescent="0.35">
      <c r="A7050" t="s">
        <v>847</v>
      </c>
      <c r="B7050" t="s">
        <v>691</v>
      </c>
      <c r="C7050" s="83">
        <v>46037</v>
      </c>
      <c r="D7050" t="s">
        <v>295</v>
      </c>
      <c r="E7050" t="s">
        <v>296</v>
      </c>
      <c r="F7050">
        <v>16</v>
      </c>
      <c r="G7050">
        <v>7.17455</v>
      </c>
    </row>
    <row r="7051" spans="1:7" x14ac:dyDescent="0.35">
      <c r="A7051" t="s">
        <v>847</v>
      </c>
      <c r="B7051" t="s">
        <v>691</v>
      </c>
      <c r="C7051" s="83">
        <v>46037</v>
      </c>
      <c r="D7051" t="s">
        <v>299</v>
      </c>
      <c r="E7051" t="s">
        <v>296</v>
      </c>
      <c r="F7051">
        <v>76</v>
      </c>
      <c r="G7051">
        <v>32.820516666666698</v>
      </c>
    </row>
    <row r="7052" spans="1:7" x14ac:dyDescent="0.35">
      <c r="A7052" t="s">
        <v>847</v>
      </c>
      <c r="B7052" t="s">
        <v>691</v>
      </c>
      <c r="C7052" s="83">
        <v>46037</v>
      </c>
      <c r="D7052" t="s">
        <v>301</v>
      </c>
      <c r="E7052" t="s">
        <v>302</v>
      </c>
      <c r="F7052">
        <v>16</v>
      </c>
      <c r="G7052">
        <v>3.96166666666667</v>
      </c>
    </row>
    <row r="7053" spans="1:7" x14ac:dyDescent="0.35">
      <c r="A7053" t="s">
        <v>847</v>
      </c>
      <c r="B7053" t="s">
        <v>691</v>
      </c>
      <c r="C7053" s="83">
        <v>46037</v>
      </c>
      <c r="D7053" t="s">
        <v>303</v>
      </c>
      <c r="E7053" t="s">
        <v>302</v>
      </c>
      <c r="F7053">
        <v>10</v>
      </c>
      <c r="G7053">
        <v>2.8251666666666702</v>
      </c>
    </row>
    <row r="7054" spans="1:7" x14ac:dyDescent="0.35">
      <c r="A7054" t="s">
        <v>847</v>
      </c>
      <c r="B7054" t="s">
        <v>691</v>
      </c>
      <c r="C7054" s="83">
        <v>46037</v>
      </c>
      <c r="D7054" t="s">
        <v>310</v>
      </c>
      <c r="E7054" t="s">
        <v>311</v>
      </c>
      <c r="F7054">
        <v>13</v>
      </c>
      <c r="G7054">
        <v>58.3340666666667</v>
      </c>
    </row>
    <row r="7055" spans="1:7" x14ac:dyDescent="0.35">
      <c r="A7055" t="s">
        <v>847</v>
      </c>
      <c r="B7055" t="s">
        <v>691</v>
      </c>
      <c r="C7055" s="83">
        <v>46037</v>
      </c>
      <c r="D7055" t="s">
        <v>310</v>
      </c>
      <c r="E7055" t="s">
        <v>312</v>
      </c>
      <c r="F7055">
        <v>8</v>
      </c>
      <c r="G7055">
        <v>6.6624333333333299</v>
      </c>
    </row>
    <row r="7056" spans="1:7" x14ac:dyDescent="0.35">
      <c r="A7056" t="s">
        <v>847</v>
      </c>
      <c r="B7056" t="s">
        <v>691</v>
      </c>
      <c r="C7056" s="83">
        <v>46037</v>
      </c>
      <c r="D7056" t="s">
        <v>310</v>
      </c>
      <c r="E7056" t="s">
        <v>333</v>
      </c>
      <c r="F7056">
        <v>5</v>
      </c>
      <c r="G7056">
        <v>5.9519166666666701</v>
      </c>
    </row>
    <row r="7057" spans="1:7" x14ac:dyDescent="0.35">
      <c r="A7057" t="s">
        <v>847</v>
      </c>
      <c r="B7057" t="s">
        <v>691</v>
      </c>
      <c r="C7057" s="83">
        <v>46037</v>
      </c>
      <c r="D7057" t="s">
        <v>313</v>
      </c>
      <c r="E7057" t="s">
        <v>126</v>
      </c>
      <c r="F7057">
        <v>9</v>
      </c>
      <c r="G7057">
        <v>18.158000000000001</v>
      </c>
    </row>
    <row r="7058" spans="1:7" x14ac:dyDescent="0.35">
      <c r="A7058" t="s">
        <v>847</v>
      </c>
      <c r="B7058" t="s">
        <v>691</v>
      </c>
      <c r="C7058" s="83">
        <v>46037</v>
      </c>
      <c r="D7058" t="s">
        <v>313</v>
      </c>
      <c r="E7058" t="s">
        <v>311</v>
      </c>
      <c r="F7058">
        <v>7</v>
      </c>
      <c r="G7058">
        <v>4.52593333333333</v>
      </c>
    </row>
    <row r="7059" spans="1:7" x14ac:dyDescent="0.35">
      <c r="A7059" t="s">
        <v>847</v>
      </c>
      <c r="B7059" t="s">
        <v>691</v>
      </c>
      <c r="C7059" s="83">
        <v>46037</v>
      </c>
      <c r="D7059" t="s">
        <v>313</v>
      </c>
      <c r="E7059" t="s">
        <v>316</v>
      </c>
      <c r="F7059">
        <v>3</v>
      </c>
      <c r="G7059">
        <v>0.84230000000000005</v>
      </c>
    </row>
    <row r="7060" spans="1:7" x14ac:dyDescent="0.35">
      <c r="A7060" t="s">
        <v>847</v>
      </c>
      <c r="B7060" t="s">
        <v>691</v>
      </c>
      <c r="C7060" s="83">
        <v>46037</v>
      </c>
      <c r="D7060" t="s">
        <v>314</v>
      </c>
      <c r="E7060" t="s">
        <v>312</v>
      </c>
      <c r="F7060">
        <v>11</v>
      </c>
      <c r="G7060">
        <v>13.0513666666667</v>
      </c>
    </row>
    <row r="7061" spans="1:7" x14ac:dyDescent="0.35">
      <c r="A7061" t="s">
        <v>847</v>
      </c>
      <c r="B7061" t="s">
        <v>691</v>
      </c>
      <c r="C7061" s="83">
        <v>46037</v>
      </c>
      <c r="D7061" t="s">
        <v>314</v>
      </c>
      <c r="E7061" t="s">
        <v>126</v>
      </c>
      <c r="F7061">
        <v>6</v>
      </c>
      <c r="G7061">
        <v>8.1104500000000002</v>
      </c>
    </row>
    <row r="7062" spans="1:7" x14ac:dyDescent="0.35">
      <c r="A7062" t="s">
        <v>847</v>
      </c>
      <c r="B7062" t="s">
        <v>691</v>
      </c>
      <c r="C7062" s="83">
        <v>46037</v>
      </c>
      <c r="D7062" t="s">
        <v>314</v>
      </c>
      <c r="E7062" t="s">
        <v>347</v>
      </c>
      <c r="F7062">
        <v>3</v>
      </c>
      <c r="G7062">
        <v>1.18635</v>
      </c>
    </row>
    <row r="7063" spans="1:7" x14ac:dyDescent="0.35">
      <c r="A7063" t="s">
        <v>847</v>
      </c>
      <c r="B7063" t="s">
        <v>691</v>
      </c>
      <c r="C7063" s="83">
        <v>46037</v>
      </c>
      <c r="D7063" t="s">
        <v>317</v>
      </c>
      <c r="E7063" t="s">
        <v>319</v>
      </c>
      <c r="F7063">
        <v>6</v>
      </c>
      <c r="G7063">
        <v>7.2168999999999999</v>
      </c>
    </row>
    <row r="7064" spans="1:7" x14ac:dyDescent="0.35">
      <c r="A7064" t="s">
        <v>847</v>
      </c>
      <c r="B7064" t="s">
        <v>691</v>
      </c>
      <c r="C7064" s="83">
        <v>46037</v>
      </c>
      <c r="D7064" t="s">
        <v>317</v>
      </c>
      <c r="E7064" t="s">
        <v>322</v>
      </c>
      <c r="F7064">
        <v>4</v>
      </c>
      <c r="G7064">
        <v>4.2442500000000001</v>
      </c>
    </row>
    <row r="7065" spans="1:7" x14ac:dyDescent="0.35">
      <c r="A7065" t="s">
        <v>847</v>
      </c>
      <c r="B7065" t="s">
        <v>691</v>
      </c>
      <c r="C7065" s="83">
        <v>46037</v>
      </c>
      <c r="D7065" t="s">
        <v>317</v>
      </c>
      <c r="E7065" t="s">
        <v>323</v>
      </c>
      <c r="F7065">
        <v>4</v>
      </c>
      <c r="G7065">
        <v>1.1092833333333301</v>
      </c>
    </row>
    <row r="7066" spans="1:7" x14ac:dyDescent="0.35">
      <c r="A7066" t="s">
        <v>847</v>
      </c>
      <c r="B7066" t="s">
        <v>691</v>
      </c>
      <c r="C7066" s="83">
        <v>46038</v>
      </c>
      <c r="D7066" t="s">
        <v>295</v>
      </c>
      <c r="E7066" t="s">
        <v>296</v>
      </c>
      <c r="F7066">
        <v>13</v>
      </c>
      <c r="G7066">
        <v>4.5233999999999996</v>
      </c>
    </row>
    <row r="7067" spans="1:7" x14ac:dyDescent="0.35">
      <c r="A7067" t="s">
        <v>847</v>
      </c>
      <c r="B7067" t="s">
        <v>691</v>
      </c>
      <c r="C7067" s="83">
        <v>46038</v>
      </c>
      <c r="D7067" t="s">
        <v>295</v>
      </c>
      <c r="E7067" t="s">
        <v>302</v>
      </c>
      <c r="F7067">
        <v>11</v>
      </c>
      <c r="G7067">
        <v>6.9163500000000004</v>
      </c>
    </row>
    <row r="7068" spans="1:7" x14ac:dyDescent="0.35">
      <c r="A7068" t="s">
        <v>847</v>
      </c>
      <c r="B7068" t="s">
        <v>691</v>
      </c>
      <c r="C7068" s="83">
        <v>46038</v>
      </c>
      <c r="D7068" t="s">
        <v>299</v>
      </c>
      <c r="E7068" t="s">
        <v>296</v>
      </c>
      <c r="F7068">
        <v>40</v>
      </c>
      <c r="G7068">
        <v>37.2480166666667</v>
      </c>
    </row>
    <row r="7069" spans="1:7" x14ac:dyDescent="0.35">
      <c r="A7069" t="s">
        <v>847</v>
      </c>
      <c r="B7069" t="s">
        <v>691</v>
      </c>
      <c r="C7069" s="83">
        <v>46038</v>
      </c>
      <c r="D7069" t="s">
        <v>301</v>
      </c>
      <c r="E7069" t="s">
        <v>302</v>
      </c>
      <c r="F7069">
        <v>57</v>
      </c>
      <c r="G7069">
        <v>36.442050000000002</v>
      </c>
    </row>
    <row r="7070" spans="1:7" x14ac:dyDescent="0.35">
      <c r="A7070" t="s">
        <v>847</v>
      </c>
      <c r="B7070" t="s">
        <v>691</v>
      </c>
      <c r="C7070" s="83">
        <v>46038</v>
      </c>
      <c r="D7070" t="s">
        <v>310</v>
      </c>
      <c r="E7070" t="s">
        <v>311</v>
      </c>
      <c r="F7070">
        <v>58</v>
      </c>
      <c r="G7070">
        <v>27.891916666666699</v>
      </c>
    </row>
    <row r="7071" spans="1:7" x14ac:dyDescent="0.35">
      <c r="A7071" t="s">
        <v>847</v>
      </c>
      <c r="B7071" t="s">
        <v>691</v>
      </c>
      <c r="C7071" s="83">
        <v>46038</v>
      </c>
      <c r="D7071" t="s">
        <v>310</v>
      </c>
      <c r="E7071" t="s">
        <v>347</v>
      </c>
      <c r="F7071">
        <v>7</v>
      </c>
      <c r="G7071">
        <v>2.4013499999999999</v>
      </c>
    </row>
    <row r="7072" spans="1:7" x14ac:dyDescent="0.35">
      <c r="A7072" t="s">
        <v>847</v>
      </c>
      <c r="B7072" t="s">
        <v>691</v>
      </c>
      <c r="C7072" s="83">
        <v>46038</v>
      </c>
      <c r="D7072" t="s">
        <v>310</v>
      </c>
      <c r="E7072" t="s">
        <v>640</v>
      </c>
      <c r="F7072">
        <v>5</v>
      </c>
      <c r="G7072">
        <v>12.6099</v>
      </c>
    </row>
    <row r="7073" spans="1:7" x14ac:dyDescent="0.35">
      <c r="A7073" t="s">
        <v>847</v>
      </c>
      <c r="B7073" t="s">
        <v>691</v>
      </c>
      <c r="C7073" s="83">
        <v>46038</v>
      </c>
      <c r="D7073" t="s">
        <v>313</v>
      </c>
      <c r="E7073" t="s">
        <v>126</v>
      </c>
      <c r="F7073">
        <v>11</v>
      </c>
      <c r="G7073">
        <v>37.536866666666697</v>
      </c>
    </row>
    <row r="7074" spans="1:7" x14ac:dyDescent="0.35">
      <c r="A7074" t="s">
        <v>847</v>
      </c>
      <c r="B7074" t="s">
        <v>691</v>
      </c>
      <c r="C7074" s="83">
        <v>46038</v>
      </c>
      <c r="D7074" t="s">
        <v>313</v>
      </c>
      <c r="E7074" t="s">
        <v>311</v>
      </c>
      <c r="F7074">
        <v>7</v>
      </c>
      <c r="G7074">
        <v>3.3679666666666699</v>
      </c>
    </row>
    <row r="7075" spans="1:7" x14ac:dyDescent="0.35">
      <c r="A7075" t="s">
        <v>847</v>
      </c>
      <c r="B7075" t="s">
        <v>691</v>
      </c>
      <c r="C7075" s="83">
        <v>46038</v>
      </c>
      <c r="D7075" t="s">
        <v>313</v>
      </c>
      <c r="E7075" t="s">
        <v>347</v>
      </c>
      <c r="F7075">
        <v>4</v>
      </c>
      <c r="G7075">
        <v>2.2707666666666699</v>
      </c>
    </row>
    <row r="7076" spans="1:7" x14ac:dyDescent="0.35">
      <c r="A7076" t="s">
        <v>847</v>
      </c>
      <c r="B7076" t="s">
        <v>691</v>
      </c>
      <c r="C7076" s="83">
        <v>46038</v>
      </c>
      <c r="D7076" t="s">
        <v>314</v>
      </c>
      <c r="E7076" t="s">
        <v>312</v>
      </c>
      <c r="F7076">
        <v>16</v>
      </c>
      <c r="G7076">
        <v>12.342083333333299</v>
      </c>
    </row>
    <row r="7077" spans="1:7" x14ac:dyDescent="0.35">
      <c r="A7077" t="s">
        <v>847</v>
      </c>
      <c r="B7077" t="s">
        <v>691</v>
      </c>
      <c r="C7077" s="83">
        <v>46038</v>
      </c>
      <c r="D7077" t="s">
        <v>314</v>
      </c>
      <c r="E7077" t="s">
        <v>316</v>
      </c>
      <c r="F7077">
        <v>11</v>
      </c>
      <c r="G7077">
        <v>6.77056666666667</v>
      </c>
    </row>
    <row r="7078" spans="1:7" x14ac:dyDescent="0.35">
      <c r="A7078" t="s">
        <v>847</v>
      </c>
      <c r="B7078" t="s">
        <v>691</v>
      </c>
      <c r="C7078" s="83">
        <v>46038</v>
      </c>
      <c r="D7078" t="s">
        <v>314</v>
      </c>
      <c r="E7078" t="s">
        <v>126</v>
      </c>
      <c r="F7078">
        <v>9</v>
      </c>
      <c r="G7078">
        <v>19.947016666666698</v>
      </c>
    </row>
    <row r="7079" spans="1:7" x14ac:dyDescent="0.35">
      <c r="A7079" t="s">
        <v>847</v>
      </c>
      <c r="B7079" t="s">
        <v>691</v>
      </c>
      <c r="C7079" s="83">
        <v>46038</v>
      </c>
      <c r="D7079" t="s">
        <v>317</v>
      </c>
      <c r="E7079" t="s">
        <v>323</v>
      </c>
      <c r="F7079">
        <v>4</v>
      </c>
      <c r="G7079">
        <v>0.90088333333333304</v>
      </c>
    </row>
    <row r="7080" spans="1:7" x14ac:dyDescent="0.35">
      <c r="A7080" t="s">
        <v>847</v>
      </c>
      <c r="B7080" t="s">
        <v>691</v>
      </c>
      <c r="C7080" s="83">
        <v>46038</v>
      </c>
      <c r="D7080" t="s">
        <v>317</v>
      </c>
      <c r="E7080" t="s">
        <v>322</v>
      </c>
      <c r="F7080">
        <v>2</v>
      </c>
      <c r="G7080">
        <v>0.29623333333333302</v>
      </c>
    </row>
    <row r="7081" spans="1:7" x14ac:dyDescent="0.35">
      <c r="A7081" t="s">
        <v>847</v>
      </c>
      <c r="B7081" t="s">
        <v>691</v>
      </c>
      <c r="C7081" s="83">
        <v>46039</v>
      </c>
      <c r="D7081" t="s">
        <v>295</v>
      </c>
      <c r="E7081" t="s">
        <v>296</v>
      </c>
      <c r="F7081">
        <v>25</v>
      </c>
      <c r="G7081">
        <v>6.4529333333333296</v>
      </c>
    </row>
    <row r="7082" spans="1:7" x14ac:dyDescent="0.35">
      <c r="A7082" t="s">
        <v>847</v>
      </c>
      <c r="B7082" t="s">
        <v>691</v>
      </c>
      <c r="C7082" s="83">
        <v>46039</v>
      </c>
      <c r="D7082" t="s">
        <v>295</v>
      </c>
      <c r="E7082" t="s">
        <v>637</v>
      </c>
      <c r="F7082">
        <v>16</v>
      </c>
      <c r="G7082">
        <v>7.8482833333333302</v>
      </c>
    </row>
    <row r="7083" spans="1:7" x14ac:dyDescent="0.35">
      <c r="A7083" t="s">
        <v>847</v>
      </c>
      <c r="B7083" t="s">
        <v>691</v>
      </c>
      <c r="C7083" s="83">
        <v>46039</v>
      </c>
      <c r="D7083" t="s">
        <v>295</v>
      </c>
      <c r="E7083" t="s">
        <v>302</v>
      </c>
      <c r="F7083">
        <v>10</v>
      </c>
      <c r="G7083">
        <v>7.6898999999999997</v>
      </c>
    </row>
    <row r="7084" spans="1:7" x14ac:dyDescent="0.35">
      <c r="A7084" t="s">
        <v>847</v>
      </c>
      <c r="B7084" t="s">
        <v>691</v>
      </c>
      <c r="C7084" s="83">
        <v>46039</v>
      </c>
      <c r="D7084" t="s">
        <v>299</v>
      </c>
      <c r="E7084" t="s">
        <v>296</v>
      </c>
      <c r="F7084">
        <v>50</v>
      </c>
      <c r="G7084">
        <v>22.100549999999998</v>
      </c>
    </row>
    <row r="7085" spans="1:7" x14ac:dyDescent="0.35">
      <c r="A7085" t="s">
        <v>847</v>
      </c>
      <c r="B7085" t="s">
        <v>691</v>
      </c>
      <c r="C7085" s="83">
        <v>46039</v>
      </c>
      <c r="D7085" t="s">
        <v>301</v>
      </c>
      <c r="E7085" t="s">
        <v>302</v>
      </c>
      <c r="F7085">
        <v>77</v>
      </c>
      <c r="G7085">
        <v>50.445149999999998</v>
      </c>
    </row>
    <row r="7086" spans="1:7" x14ac:dyDescent="0.35">
      <c r="A7086" t="s">
        <v>847</v>
      </c>
      <c r="B7086" t="s">
        <v>691</v>
      </c>
      <c r="C7086" s="83">
        <v>46039</v>
      </c>
      <c r="D7086" t="s">
        <v>303</v>
      </c>
      <c r="E7086" t="s">
        <v>302</v>
      </c>
      <c r="F7086">
        <v>13</v>
      </c>
      <c r="G7086">
        <v>8.0500500000000006</v>
      </c>
    </row>
    <row r="7087" spans="1:7" x14ac:dyDescent="0.35">
      <c r="A7087" t="s">
        <v>847</v>
      </c>
      <c r="B7087" t="s">
        <v>691</v>
      </c>
      <c r="C7087" s="83">
        <v>46039</v>
      </c>
      <c r="D7087" t="s">
        <v>310</v>
      </c>
      <c r="E7087" t="s">
        <v>311</v>
      </c>
      <c r="F7087">
        <v>13</v>
      </c>
      <c r="G7087">
        <v>6.6210000000000004</v>
      </c>
    </row>
    <row r="7088" spans="1:7" x14ac:dyDescent="0.35">
      <c r="A7088" t="s">
        <v>847</v>
      </c>
      <c r="B7088" t="s">
        <v>691</v>
      </c>
      <c r="C7088" s="83">
        <v>46039</v>
      </c>
      <c r="D7088" t="s">
        <v>310</v>
      </c>
      <c r="E7088" t="s">
        <v>126</v>
      </c>
      <c r="F7088">
        <v>3</v>
      </c>
      <c r="G7088">
        <v>1.6346499999999999</v>
      </c>
    </row>
    <row r="7089" spans="1:7" x14ac:dyDescent="0.35">
      <c r="A7089" t="s">
        <v>847</v>
      </c>
      <c r="B7089" t="s">
        <v>691</v>
      </c>
      <c r="C7089" s="83">
        <v>46039</v>
      </c>
      <c r="D7089" t="s">
        <v>310</v>
      </c>
      <c r="E7089" t="s">
        <v>825</v>
      </c>
      <c r="F7089">
        <v>2</v>
      </c>
      <c r="G7089">
        <v>0.19463333333333299</v>
      </c>
    </row>
    <row r="7090" spans="1:7" x14ac:dyDescent="0.35">
      <c r="A7090" t="s">
        <v>847</v>
      </c>
      <c r="B7090" t="s">
        <v>691</v>
      </c>
      <c r="C7090" s="83">
        <v>46039</v>
      </c>
      <c r="D7090" t="s">
        <v>313</v>
      </c>
      <c r="E7090" t="s">
        <v>126</v>
      </c>
      <c r="F7090">
        <v>7</v>
      </c>
      <c r="G7090">
        <v>14.6557666666667</v>
      </c>
    </row>
    <row r="7091" spans="1:7" x14ac:dyDescent="0.35">
      <c r="A7091" t="s">
        <v>847</v>
      </c>
      <c r="B7091" t="s">
        <v>691</v>
      </c>
      <c r="C7091" s="83">
        <v>46039</v>
      </c>
      <c r="D7091" t="s">
        <v>313</v>
      </c>
      <c r="E7091" t="s">
        <v>311</v>
      </c>
      <c r="F7091">
        <v>5</v>
      </c>
      <c r="G7091">
        <v>2.7398500000000001</v>
      </c>
    </row>
    <row r="7092" spans="1:7" x14ac:dyDescent="0.35">
      <c r="A7092" t="s">
        <v>847</v>
      </c>
      <c r="B7092" t="s">
        <v>691</v>
      </c>
      <c r="C7092" s="83">
        <v>46039</v>
      </c>
      <c r="D7092" t="s">
        <v>313</v>
      </c>
      <c r="E7092" t="s">
        <v>657</v>
      </c>
      <c r="F7092">
        <v>3</v>
      </c>
      <c r="G7092">
        <v>5.4442333333333304</v>
      </c>
    </row>
    <row r="7093" spans="1:7" x14ac:dyDescent="0.35">
      <c r="A7093" t="s">
        <v>847</v>
      </c>
      <c r="B7093" t="s">
        <v>691</v>
      </c>
      <c r="C7093" s="83">
        <v>46039</v>
      </c>
      <c r="D7093" t="s">
        <v>314</v>
      </c>
      <c r="E7093" t="s">
        <v>316</v>
      </c>
      <c r="F7093">
        <v>8</v>
      </c>
      <c r="G7093">
        <v>2.1967833333333302</v>
      </c>
    </row>
    <row r="7094" spans="1:7" x14ac:dyDescent="0.35">
      <c r="A7094" t="s">
        <v>847</v>
      </c>
      <c r="B7094" t="s">
        <v>691</v>
      </c>
      <c r="C7094" s="83">
        <v>46039</v>
      </c>
      <c r="D7094" t="s">
        <v>314</v>
      </c>
      <c r="E7094" t="s">
        <v>827</v>
      </c>
      <c r="F7094">
        <v>3</v>
      </c>
      <c r="G7094">
        <v>6.6001166666666702</v>
      </c>
    </row>
    <row r="7095" spans="1:7" x14ac:dyDescent="0.35">
      <c r="A7095" t="s">
        <v>847</v>
      </c>
      <c r="B7095" t="s">
        <v>691</v>
      </c>
      <c r="C7095" s="83">
        <v>46039</v>
      </c>
      <c r="D7095" t="s">
        <v>314</v>
      </c>
      <c r="E7095" t="s">
        <v>323</v>
      </c>
      <c r="F7095">
        <v>3</v>
      </c>
      <c r="G7095">
        <v>2.6005166666666701</v>
      </c>
    </row>
    <row r="7096" spans="1:7" x14ac:dyDescent="0.35">
      <c r="A7096" t="s">
        <v>847</v>
      </c>
      <c r="B7096" t="s">
        <v>691</v>
      </c>
      <c r="C7096" s="83">
        <v>46040</v>
      </c>
      <c r="D7096" t="s">
        <v>295</v>
      </c>
      <c r="E7096" t="s">
        <v>637</v>
      </c>
      <c r="F7096">
        <v>32</v>
      </c>
      <c r="G7096">
        <v>49.414616666666703</v>
      </c>
    </row>
    <row r="7097" spans="1:7" x14ac:dyDescent="0.35">
      <c r="A7097" t="s">
        <v>847</v>
      </c>
      <c r="B7097" t="s">
        <v>691</v>
      </c>
      <c r="C7097" s="83">
        <v>46040</v>
      </c>
      <c r="D7097" t="s">
        <v>295</v>
      </c>
      <c r="E7097" t="s">
        <v>296</v>
      </c>
      <c r="F7097">
        <v>17</v>
      </c>
      <c r="G7097">
        <v>12.057066666666699</v>
      </c>
    </row>
    <row r="7098" spans="1:7" x14ac:dyDescent="0.35">
      <c r="A7098" t="s">
        <v>847</v>
      </c>
      <c r="B7098" t="s">
        <v>691</v>
      </c>
      <c r="C7098" s="83">
        <v>46040</v>
      </c>
      <c r="D7098" t="s">
        <v>299</v>
      </c>
      <c r="E7098" t="s">
        <v>296</v>
      </c>
      <c r="F7098">
        <v>40</v>
      </c>
      <c r="G7098">
        <v>24.919633333333302</v>
      </c>
    </row>
    <row r="7099" spans="1:7" x14ac:dyDescent="0.35">
      <c r="A7099" t="s">
        <v>847</v>
      </c>
      <c r="B7099" t="s">
        <v>691</v>
      </c>
      <c r="C7099" s="83">
        <v>46040</v>
      </c>
      <c r="D7099" t="s">
        <v>301</v>
      </c>
      <c r="E7099" t="s">
        <v>302</v>
      </c>
      <c r="F7099">
        <v>41</v>
      </c>
      <c r="G7099">
        <v>21.59815</v>
      </c>
    </row>
    <row r="7100" spans="1:7" x14ac:dyDescent="0.35">
      <c r="A7100" t="s">
        <v>847</v>
      </c>
      <c r="B7100" t="s">
        <v>691</v>
      </c>
      <c r="C7100" s="83">
        <v>46040</v>
      </c>
      <c r="D7100" t="s">
        <v>303</v>
      </c>
      <c r="E7100" t="s">
        <v>302</v>
      </c>
      <c r="F7100">
        <v>13</v>
      </c>
      <c r="G7100">
        <v>5.8820666666666703</v>
      </c>
    </row>
    <row r="7101" spans="1:7" x14ac:dyDescent="0.35">
      <c r="A7101" t="s">
        <v>847</v>
      </c>
      <c r="B7101" t="s">
        <v>691</v>
      </c>
      <c r="C7101" s="83">
        <v>46040</v>
      </c>
      <c r="D7101" t="s">
        <v>310</v>
      </c>
      <c r="E7101" t="s">
        <v>311</v>
      </c>
      <c r="F7101">
        <v>15</v>
      </c>
      <c r="G7101">
        <v>7.3453166666666698</v>
      </c>
    </row>
    <row r="7102" spans="1:7" x14ac:dyDescent="0.35">
      <c r="A7102" t="s">
        <v>847</v>
      </c>
      <c r="B7102" t="s">
        <v>691</v>
      </c>
      <c r="C7102" s="83">
        <v>46040</v>
      </c>
      <c r="D7102" t="s">
        <v>310</v>
      </c>
      <c r="E7102" t="s">
        <v>827</v>
      </c>
      <c r="F7102">
        <v>3</v>
      </c>
      <c r="G7102">
        <v>43.8081666666667</v>
      </c>
    </row>
    <row r="7103" spans="1:7" x14ac:dyDescent="0.35">
      <c r="A7103" t="s">
        <v>847</v>
      </c>
      <c r="B7103" t="s">
        <v>691</v>
      </c>
      <c r="C7103" s="83">
        <v>46040</v>
      </c>
      <c r="D7103" t="s">
        <v>310</v>
      </c>
      <c r="E7103" t="s">
        <v>312</v>
      </c>
      <c r="F7103">
        <v>3</v>
      </c>
      <c r="G7103">
        <v>2.4185666666666701</v>
      </c>
    </row>
    <row r="7104" spans="1:7" x14ac:dyDescent="0.35">
      <c r="A7104" t="s">
        <v>847</v>
      </c>
      <c r="B7104" t="s">
        <v>691</v>
      </c>
      <c r="C7104" s="83">
        <v>46040</v>
      </c>
      <c r="D7104" t="s">
        <v>313</v>
      </c>
      <c r="E7104" t="s">
        <v>316</v>
      </c>
      <c r="F7104">
        <v>7</v>
      </c>
      <c r="G7104">
        <v>3.2172833333333299</v>
      </c>
    </row>
    <row r="7105" spans="1:7" x14ac:dyDescent="0.35">
      <c r="A7105" t="s">
        <v>847</v>
      </c>
      <c r="B7105" t="s">
        <v>691</v>
      </c>
      <c r="C7105" s="83">
        <v>46040</v>
      </c>
      <c r="D7105" t="s">
        <v>313</v>
      </c>
      <c r="E7105" t="s">
        <v>311</v>
      </c>
      <c r="F7105">
        <v>4</v>
      </c>
      <c r="G7105">
        <v>46.766800000000003</v>
      </c>
    </row>
    <row r="7106" spans="1:7" x14ac:dyDescent="0.35">
      <c r="A7106" t="s">
        <v>847</v>
      </c>
      <c r="B7106" t="s">
        <v>691</v>
      </c>
      <c r="C7106" s="83">
        <v>46040</v>
      </c>
      <c r="D7106" t="s">
        <v>313</v>
      </c>
      <c r="E7106" t="s">
        <v>347</v>
      </c>
      <c r="F7106">
        <v>2</v>
      </c>
      <c r="G7106">
        <v>0.17298333333333299</v>
      </c>
    </row>
    <row r="7107" spans="1:7" x14ac:dyDescent="0.35">
      <c r="A7107" t="s">
        <v>847</v>
      </c>
      <c r="B7107" t="s">
        <v>691</v>
      </c>
      <c r="C7107" s="83">
        <v>46040</v>
      </c>
      <c r="D7107" t="s">
        <v>314</v>
      </c>
      <c r="E7107" t="s">
        <v>316</v>
      </c>
      <c r="F7107">
        <v>5</v>
      </c>
      <c r="G7107">
        <v>1.0206999999999999</v>
      </c>
    </row>
    <row r="7108" spans="1:7" x14ac:dyDescent="0.35">
      <c r="A7108" t="s">
        <v>847</v>
      </c>
      <c r="B7108" t="s">
        <v>691</v>
      </c>
      <c r="C7108" s="83">
        <v>46040</v>
      </c>
      <c r="D7108" t="s">
        <v>314</v>
      </c>
      <c r="E7108" t="s">
        <v>312</v>
      </c>
      <c r="F7108">
        <v>4</v>
      </c>
      <c r="G7108">
        <v>2.60273333333333</v>
      </c>
    </row>
    <row r="7109" spans="1:7" x14ac:dyDescent="0.35">
      <c r="A7109" t="s">
        <v>847</v>
      </c>
      <c r="B7109" t="s">
        <v>691</v>
      </c>
      <c r="C7109" s="83">
        <v>46040</v>
      </c>
      <c r="D7109" t="s">
        <v>314</v>
      </c>
      <c r="E7109" t="s">
        <v>126</v>
      </c>
      <c r="F7109">
        <v>3</v>
      </c>
      <c r="G7109">
        <v>3.9832999999999998</v>
      </c>
    </row>
    <row r="7110" spans="1:7" x14ac:dyDescent="0.35">
      <c r="A7110" t="s">
        <v>847</v>
      </c>
      <c r="B7110" t="s">
        <v>691</v>
      </c>
      <c r="C7110" s="83">
        <v>46040</v>
      </c>
      <c r="D7110" t="s">
        <v>317</v>
      </c>
      <c r="E7110" t="s">
        <v>792</v>
      </c>
      <c r="F7110">
        <v>2</v>
      </c>
      <c r="G7110">
        <v>5.9299999999999999E-2</v>
      </c>
    </row>
    <row r="7111" spans="1:7" x14ac:dyDescent="0.35">
      <c r="A7111" t="s">
        <v>847</v>
      </c>
      <c r="B7111" t="s">
        <v>691</v>
      </c>
      <c r="C7111" s="83">
        <v>46040</v>
      </c>
      <c r="D7111" t="s">
        <v>317</v>
      </c>
      <c r="E7111" t="s">
        <v>772</v>
      </c>
      <c r="F7111">
        <v>2</v>
      </c>
      <c r="G7111">
        <v>0.22868333333333299</v>
      </c>
    </row>
    <row r="7112" spans="1:7" x14ac:dyDescent="0.35">
      <c r="A7112" t="s">
        <v>847</v>
      </c>
      <c r="B7112" t="s">
        <v>691</v>
      </c>
      <c r="C7112" s="83">
        <v>46040</v>
      </c>
      <c r="D7112" t="s">
        <v>317</v>
      </c>
      <c r="E7112" t="s">
        <v>323</v>
      </c>
      <c r="F7112">
        <v>2</v>
      </c>
      <c r="G7112">
        <v>0.47008333333333302</v>
      </c>
    </row>
    <row r="7113" spans="1:7" x14ac:dyDescent="0.35">
      <c r="A7113" t="s">
        <v>847</v>
      </c>
      <c r="B7113" t="s">
        <v>691</v>
      </c>
      <c r="C7113" s="83">
        <v>46041</v>
      </c>
      <c r="D7113" t="s">
        <v>295</v>
      </c>
      <c r="E7113" t="s">
        <v>296</v>
      </c>
      <c r="F7113">
        <v>15</v>
      </c>
      <c r="G7113">
        <v>11.3091166666667</v>
      </c>
    </row>
    <row r="7114" spans="1:7" x14ac:dyDescent="0.35">
      <c r="A7114" t="s">
        <v>847</v>
      </c>
      <c r="B7114" t="s">
        <v>691</v>
      </c>
      <c r="C7114" s="83">
        <v>46041</v>
      </c>
      <c r="D7114" t="s">
        <v>295</v>
      </c>
      <c r="E7114" t="s">
        <v>637</v>
      </c>
      <c r="F7114">
        <v>10</v>
      </c>
      <c r="G7114">
        <v>23.632666666666701</v>
      </c>
    </row>
    <row r="7115" spans="1:7" x14ac:dyDescent="0.35">
      <c r="A7115" t="s">
        <v>847</v>
      </c>
      <c r="B7115" t="s">
        <v>691</v>
      </c>
      <c r="C7115" s="83">
        <v>46041</v>
      </c>
      <c r="D7115" t="s">
        <v>299</v>
      </c>
      <c r="E7115" t="s">
        <v>296</v>
      </c>
      <c r="F7115">
        <v>28</v>
      </c>
      <c r="G7115">
        <v>14.839449999999999</v>
      </c>
    </row>
    <row r="7116" spans="1:7" x14ac:dyDescent="0.35">
      <c r="A7116" t="s">
        <v>847</v>
      </c>
      <c r="B7116" t="s">
        <v>691</v>
      </c>
      <c r="C7116" s="83">
        <v>46041</v>
      </c>
      <c r="D7116" t="s">
        <v>303</v>
      </c>
      <c r="E7116" t="s">
        <v>302</v>
      </c>
      <c r="F7116">
        <v>15</v>
      </c>
      <c r="G7116">
        <v>6.63605</v>
      </c>
    </row>
    <row r="7117" spans="1:7" x14ac:dyDescent="0.35">
      <c r="A7117" t="s">
        <v>847</v>
      </c>
      <c r="B7117" t="s">
        <v>691</v>
      </c>
      <c r="C7117" s="83">
        <v>46041</v>
      </c>
      <c r="D7117" t="s">
        <v>310</v>
      </c>
      <c r="E7117" t="s">
        <v>311</v>
      </c>
      <c r="F7117">
        <v>21</v>
      </c>
      <c r="G7117">
        <v>7.4592833333333299</v>
      </c>
    </row>
    <row r="7118" spans="1:7" x14ac:dyDescent="0.35">
      <c r="A7118" t="s">
        <v>847</v>
      </c>
      <c r="B7118" t="s">
        <v>691</v>
      </c>
      <c r="C7118" s="83">
        <v>46041</v>
      </c>
      <c r="D7118" t="s">
        <v>310</v>
      </c>
      <c r="E7118" t="s">
        <v>333</v>
      </c>
      <c r="F7118">
        <v>4</v>
      </c>
      <c r="G7118">
        <v>1.00495</v>
      </c>
    </row>
    <row r="7119" spans="1:7" x14ac:dyDescent="0.35">
      <c r="A7119" t="s">
        <v>847</v>
      </c>
      <c r="B7119" t="s">
        <v>691</v>
      </c>
      <c r="C7119" s="83">
        <v>46041</v>
      </c>
      <c r="D7119" t="s">
        <v>310</v>
      </c>
      <c r="E7119" t="s">
        <v>126</v>
      </c>
      <c r="F7119">
        <v>3</v>
      </c>
      <c r="G7119">
        <v>1.2295</v>
      </c>
    </row>
    <row r="7120" spans="1:7" x14ac:dyDescent="0.35">
      <c r="A7120" t="s">
        <v>847</v>
      </c>
      <c r="B7120" t="s">
        <v>691</v>
      </c>
      <c r="C7120" s="83">
        <v>46041</v>
      </c>
      <c r="D7120" t="s">
        <v>313</v>
      </c>
      <c r="E7120" t="s">
        <v>311</v>
      </c>
      <c r="F7120">
        <v>8</v>
      </c>
      <c r="G7120">
        <v>5.0867500000000003</v>
      </c>
    </row>
    <row r="7121" spans="1:7" x14ac:dyDescent="0.35">
      <c r="A7121" t="s">
        <v>847</v>
      </c>
      <c r="B7121" t="s">
        <v>691</v>
      </c>
      <c r="C7121" s="83">
        <v>46041</v>
      </c>
      <c r="D7121" t="s">
        <v>313</v>
      </c>
      <c r="E7121" t="s">
        <v>126</v>
      </c>
      <c r="F7121">
        <v>7</v>
      </c>
      <c r="G7121">
        <v>19.27345</v>
      </c>
    </row>
    <row r="7122" spans="1:7" x14ac:dyDescent="0.35">
      <c r="A7122" t="s">
        <v>847</v>
      </c>
      <c r="B7122" t="s">
        <v>691</v>
      </c>
      <c r="C7122" s="83">
        <v>46041</v>
      </c>
      <c r="D7122" t="s">
        <v>313</v>
      </c>
      <c r="E7122" t="s">
        <v>347</v>
      </c>
      <c r="F7122">
        <v>4</v>
      </c>
      <c r="G7122">
        <v>2.0227499999999998</v>
      </c>
    </row>
    <row r="7123" spans="1:7" x14ac:dyDescent="0.35">
      <c r="A7123" t="s">
        <v>847</v>
      </c>
      <c r="B7123" t="s">
        <v>691</v>
      </c>
      <c r="C7123" s="83">
        <v>46041</v>
      </c>
      <c r="D7123" t="s">
        <v>314</v>
      </c>
      <c r="E7123" t="s">
        <v>126</v>
      </c>
      <c r="F7123">
        <v>7</v>
      </c>
      <c r="G7123">
        <v>13.1366666666667</v>
      </c>
    </row>
    <row r="7124" spans="1:7" x14ac:dyDescent="0.35">
      <c r="A7124" t="s">
        <v>847</v>
      </c>
      <c r="B7124" t="s">
        <v>691</v>
      </c>
      <c r="C7124" s="83">
        <v>46041</v>
      </c>
      <c r="D7124" t="s">
        <v>314</v>
      </c>
      <c r="E7124" t="s">
        <v>312</v>
      </c>
      <c r="F7124">
        <v>5</v>
      </c>
      <c r="G7124">
        <v>4.6978833333333299</v>
      </c>
    </row>
    <row r="7125" spans="1:7" x14ac:dyDescent="0.35">
      <c r="A7125" t="s">
        <v>847</v>
      </c>
      <c r="B7125" t="s">
        <v>691</v>
      </c>
      <c r="C7125" s="83">
        <v>46041</v>
      </c>
      <c r="D7125" t="s">
        <v>314</v>
      </c>
      <c r="E7125" t="s">
        <v>316</v>
      </c>
      <c r="F7125">
        <v>4</v>
      </c>
      <c r="G7125">
        <v>0.78078333333333305</v>
      </c>
    </row>
    <row r="7126" spans="1:7" x14ac:dyDescent="0.35">
      <c r="A7126" t="s">
        <v>847</v>
      </c>
      <c r="B7126" t="s">
        <v>691</v>
      </c>
      <c r="C7126" s="83">
        <v>46041</v>
      </c>
      <c r="D7126" t="s">
        <v>317</v>
      </c>
      <c r="E7126" t="s">
        <v>319</v>
      </c>
      <c r="F7126">
        <v>2</v>
      </c>
      <c r="G7126">
        <v>2.72291666666667</v>
      </c>
    </row>
    <row r="7127" spans="1:7" x14ac:dyDescent="0.35">
      <c r="A7127" t="s">
        <v>847</v>
      </c>
      <c r="B7127" t="s">
        <v>691</v>
      </c>
      <c r="C7127" s="83">
        <v>46041</v>
      </c>
      <c r="D7127" t="s">
        <v>317</v>
      </c>
      <c r="E7127" t="s">
        <v>323</v>
      </c>
      <c r="F7127">
        <v>2</v>
      </c>
      <c r="G7127">
        <v>9.3366666666666695E-2</v>
      </c>
    </row>
    <row r="7128" spans="1:7" x14ac:dyDescent="0.35">
      <c r="A7128" t="s">
        <v>847</v>
      </c>
      <c r="B7128" t="s">
        <v>691</v>
      </c>
      <c r="C7128" s="83">
        <v>46042</v>
      </c>
      <c r="D7128" t="s">
        <v>295</v>
      </c>
      <c r="E7128" t="s">
        <v>296</v>
      </c>
      <c r="F7128">
        <v>25</v>
      </c>
      <c r="G7128">
        <v>7.8335833333333298</v>
      </c>
    </row>
    <row r="7129" spans="1:7" x14ac:dyDescent="0.35">
      <c r="A7129" t="s">
        <v>847</v>
      </c>
      <c r="B7129" t="s">
        <v>691</v>
      </c>
      <c r="C7129" s="83">
        <v>46042</v>
      </c>
      <c r="D7129" t="s">
        <v>295</v>
      </c>
      <c r="E7129" t="s">
        <v>302</v>
      </c>
      <c r="F7129">
        <v>11</v>
      </c>
      <c r="G7129">
        <v>2.3980000000000001</v>
      </c>
    </row>
    <row r="7130" spans="1:7" x14ac:dyDescent="0.35">
      <c r="A7130" t="s">
        <v>847</v>
      </c>
      <c r="B7130" t="s">
        <v>691</v>
      </c>
      <c r="C7130" s="83">
        <v>46042</v>
      </c>
      <c r="D7130" t="s">
        <v>299</v>
      </c>
      <c r="E7130" t="s">
        <v>296</v>
      </c>
      <c r="F7130">
        <v>53</v>
      </c>
      <c r="G7130">
        <v>22.763666666666701</v>
      </c>
    </row>
    <row r="7131" spans="1:7" x14ac:dyDescent="0.35">
      <c r="A7131" t="s">
        <v>847</v>
      </c>
      <c r="B7131" t="s">
        <v>691</v>
      </c>
      <c r="C7131" s="83">
        <v>46042</v>
      </c>
      <c r="D7131" t="s">
        <v>303</v>
      </c>
      <c r="E7131" t="s">
        <v>302</v>
      </c>
      <c r="F7131">
        <v>22</v>
      </c>
      <c r="G7131">
        <v>8.9717166666666692</v>
      </c>
    </row>
    <row r="7132" spans="1:7" x14ac:dyDescent="0.35">
      <c r="A7132" t="s">
        <v>847</v>
      </c>
      <c r="B7132" t="s">
        <v>691</v>
      </c>
      <c r="C7132" s="83">
        <v>46042</v>
      </c>
      <c r="D7132" t="s">
        <v>310</v>
      </c>
      <c r="E7132" t="s">
        <v>311</v>
      </c>
      <c r="F7132">
        <v>12</v>
      </c>
      <c r="G7132">
        <v>4.3211833333333303</v>
      </c>
    </row>
    <row r="7133" spans="1:7" x14ac:dyDescent="0.35">
      <c r="A7133" t="s">
        <v>847</v>
      </c>
      <c r="B7133" t="s">
        <v>691</v>
      </c>
      <c r="C7133" s="83">
        <v>46042</v>
      </c>
      <c r="D7133" t="s">
        <v>310</v>
      </c>
      <c r="E7133" t="s">
        <v>312</v>
      </c>
      <c r="F7133">
        <v>4</v>
      </c>
      <c r="G7133">
        <v>3.0481166666666701</v>
      </c>
    </row>
    <row r="7134" spans="1:7" x14ac:dyDescent="0.35">
      <c r="A7134" t="s">
        <v>847</v>
      </c>
      <c r="B7134" t="s">
        <v>691</v>
      </c>
      <c r="C7134" s="83">
        <v>46042</v>
      </c>
      <c r="D7134" t="s">
        <v>310</v>
      </c>
      <c r="E7134" t="s">
        <v>826</v>
      </c>
      <c r="F7134">
        <v>3</v>
      </c>
      <c r="G7134">
        <v>16.485616666666701</v>
      </c>
    </row>
    <row r="7135" spans="1:7" x14ac:dyDescent="0.35">
      <c r="A7135" t="s">
        <v>847</v>
      </c>
      <c r="B7135" t="s">
        <v>691</v>
      </c>
      <c r="C7135" s="83">
        <v>46042</v>
      </c>
      <c r="D7135" t="s">
        <v>313</v>
      </c>
      <c r="E7135" t="s">
        <v>126</v>
      </c>
      <c r="F7135">
        <v>13</v>
      </c>
      <c r="G7135">
        <v>40.416333333333299</v>
      </c>
    </row>
    <row r="7136" spans="1:7" x14ac:dyDescent="0.35">
      <c r="A7136" t="s">
        <v>847</v>
      </c>
      <c r="B7136" t="s">
        <v>691</v>
      </c>
      <c r="C7136" s="83">
        <v>46042</v>
      </c>
      <c r="D7136" t="s">
        <v>313</v>
      </c>
      <c r="E7136" t="s">
        <v>316</v>
      </c>
      <c r="F7136">
        <v>6</v>
      </c>
      <c r="G7136">
        <v>22.023566666666699</v>
      </c>
    </row>
    <row r="7137" spans="1:7" x14ac:dyDescent="0.35">
      <c r="A7137" t="s">
        <v>847</v>
      </c>
      <c r="B7137" t="s">
        <v>691</v>
      </c>
      <c r="C7137" s="83">
        <v>46042</v>
      </c>
      <c r="D7137" t="s">
        <v>313</v>
      </c>
      <c r="E7137" t="s">
        <v>311</v>
      </c>
      <c r="F7137">
        <v>5</v>
      </c>
      <c r="G7137">
        <v>3.2214999999999998</v>
      </c>
    </row>
    <row r="7138" spans="1:7" x14ac:dyDescent="0.35">
      <c r="A7138" t="s">
        <v>847</v>
      </c>
      <c r="B7138" t="s">
        <v>691</v>
      </c>
      <c r="C7138" s="83">
        <v>46042</v>
      </c>
      <c r="D7138" t="s">
        <v>314</v>
      </c>
      <c r="E7138" t="s">
        <v>126</v>
      </c>
      <c r="F7138">
        <v>20</v>
      </c>
      <c r="G7138">
        <v>52.393149999999999</v>
      </c>
    </row>
    <row r="7139" spans="1:7" x14ac:dyDescent="0.35">
      <c r="A7139" t="s">
        <v>847</v>
      </c>
      <c r="B7139" t="s">
        <v>691</v>
      </c>
      <c r="C7139" s="83">
        <v>46042</v>
      </c>
      <c r="D7139" t="s">
        <v>314</v>
      </c>
      <c r="E7139" t="s">
        <v>322</v>
      </c>
      <c r="F7139">
        <v>4</v>
      </c>
      <c r="G7139">
        <v>4.2316333333333302</v>
      </c>
    </row>
    <row r="7140" spans="1:7" x14ac:dyDescent="0.35">
      <c r="A7140" t="s">
        <v>847</v>
      </c>
      <c r="B7140" t="s">
        <v>691</v>
      </c>
      <c r="C7140" s="83">
        <v>46042</v>
      </c>
      <c r="D7140" t="s">
        <v>314</v>
      </c>
      <c r="E7140" t="s">
        <v>316</v>
      </c>
      <c r="F7140">
        <v>3</v>
      </c>
      <c r="G7140">
        <v>0.96078333333333299</v>
      </c>
    </row>
    <row r="7141" spans="1:7" x14ac:dyDescent="0.35">
      <c r="A7141" t="s">
        <v>847</v>
      </c>
      <c r="B7141" t="s">
        <v>691</v>
      </c>
      <c r="C7141" s="83">
        <v>46042</v>
      </c>
      <c r="D7141" t="s">
        <v>317</v>
      </c>
      <c r="E7141" t="s">
        <v>323</v>
      </c>
      <c r="F7141">
        <v>2</v>
      </c>
      <c r="G7141">
        <v>0.46558333333333302</v>
      </c>
    </row>
    <row r="7142" spans="1:7" x14ac:dyDescent="0.35">
      <c r="A7142" t="s">
        <v>847</v>
      </c>
      <c r="B7142" t="s">
        <v>691</v>
      </c>
      <c r="C7142" s="83">
        <v>46043</v>
      </c>
      <c r="D7142" t="s">
        <v>295</v>
      </c>
      <c r="E7142" t="s">
        <v>296</v>
      </c>
      <c r="F7142">
        <v>47</v>
      </c>
      <c r="G7142">
        <v>32.283200000000001</v>
      </c>
    </row>
    <row r="7143" spans="1:7" x14ac:dyDescent="0.35">
      <c r="A7143" t="s">
        <v>847</v>
      </c>
      <c r="B7143" t="s">
        <v>691</v>
      </c>
      <c r="C7143" s="83">
        <v>46043</v>
      </c>
      <c r="D7143" t="s">
        <v>295</v>
      </c>
      <c r="E7143" t="s">
        <v>637</v>
      </c>
      <c r="F7143">
        <v>7</v>
      </c>
      <c r="G7143">
        <v>2.78866666666667</v>
      </c>
    </row>
    <row r="7144" spans="1:7" x14ac:dyDescent="0.35">
      <c r="A7144" t="s">
        <v>847</v>
      </c>
      <c r="B7144" t="s">
        <v>691</v>
      </c>
      <c r="C7144" s="83">
        <v>46043</v>
      </c>
      <c r="D7144" t="s">
        <v>295</v>
      </c>
      <c r="E7144" t="s">
        <v>828</v>
      </c>
      <c r="F7144">
        <v>7</v>
      </c>
      <c r="G7144">
        <v>2.29578333333333</v>
      </c>
    </row>
    <row r="7145" spans="1:7" x14ac:dyDescent="0.35">
      <c r="A7145" t="s">
        <v>847</v>
      </c>
      <c r="B7145" t="s">
        <v>691</v>
      </c>
      <c r="C7145" s="83">
        <v>46043</v>
      </c>
      <c r="D7145" t="s">
        <v>299</v>
      </c>
      <c r="E7145" t="s">
        <v>296</v>
      </c>
      <c r="F7145">
        <v>46</v>
      </c>
      <c r="G7145">
        <v>56.139516666666701</v>
      </c>
    </row>
    <row r="7146" spans="1:7" x14ac:dyDescent="0.35">
      <c r="A7146" t="s">
        <v>847</v>
      </c>
      <c r="B7146" t="s">
        <v>691</v>
      </c>
      <c r="C7146" s="83">
        <v>46043</v>
      </c>
      <c r="D7146" t="s">
        <v>299</v>
      </c>
      <c r="E7146" t="s">
        <v>828</v>
      </c>
      <c r="F7146">
        <v>16</v>
      </c>
      <c r="G7146">
        <v>69.735500000000002</v>
      </c>
    </row>
    <row r="7147" spans="1:7" x14ac:dyDescent="0.35">
      <c r="A7147" t="s">
        <v>847</v>
      </c>
      <c r="B7147" t="s">
        <v>691</v>
      </c>
      <c r="C7147" s="83">
        <v>46043</v>
      </c>
      <c r="D7147" t="s">
        <v>303</v>
      </c>
      <c r="E7147" t="s">
        <v>302</v>
      </c>
      <c r="F7147">
        <v>42</v>
      </c>
      <c r="G7147">
        <v>53.713166666666702</v>
      </c>
    </row>
    <row r="7148" spans="1:7" x14ac:dyDescent="0.35">
      <c r="A7148" t="s">
        <v>847</v>
      </c>
      <c r="B7148" t="s">
        <v>691</v>
      </c>
      <c r="C7148" s="83">
        <v>46043</v>
      </c>
      <c r="D7148" t="s">
        <v>310</v>
      </c>
      <c r="E7148" t="s">
        <v>311</v>
      </c>
      <c r="F7148">
        <v>3</v>
      </c>
      <c r="G7148">
        <v>0.46505000000000002</v>
      </c>
    </row>
    <row r="7149" spans="1:7" x14ac:dyDescent="0.35">
      <c r="A7149" t="s">
        <v>847</v>
      </c>
      <c r="B7149" t="s">
        <v>691</v>
      </c>
      <c r="C7149" s="83">
        <v>46043</v>
      </c>
      <c r="D7149" t="s">
        <v>310</v>
      </c>
      <c r="E7149" t="s">
        <v>126</v>
      </c>
      <c r="F7149">
        <v>3</v>
      </c>
      <c r="G7149">
        <v>1.7452666666666701</v>
      </c>
    </row>
    <row r="7150" spans="1:7" x14ac:dyDescent="0.35">
      <c r="A7150" t="s">
        <v>847</v>
      </c>
      <c r="B7150" t="s">
        <v>691</v>
      </c>
      <c r="C7150" s="83">
        <v>46043</v>
      </c>
      <c r="D7150" t="s">
        <v>310</v>
      </c>
      <c r="E7150" t="s">
        <v>333</v>
      </c>
      <c r="F7150">
        <v>3</v>
      </c>
      <c r="G7150">
        <v>331.38625000000002</v>
      </c>
    </row>
    <row r="7151" spans="1:7" x14ac:dyDescent="0.35">
      <c r="A7151" t="s">
        <v>847</v>
      </c>
      <c r="B7151" t="s">
        <v>691</v>
      </c>
      <c r="C7151" s="83">
        <v>46043</v>
      </c>
      <c r="D7151" t="s">
        <v>313</v>
      </c>
      <c r="E7151" t="s">
        <v>126</v>
      </c>
      <c r="F7151">
        <v>5</v>
      </c>
      <c r="G7151">
        <v>6.1724666666666703</v>
      </c>
    </row>
    <row r="7152" spans="1:7" x14ac:dyDescent="0.35">
      <c r="A7152" t="s">
        <v>847</v>
      </c>
      <c r="B7152" t="s">
        <v>691</v>
      </c>
      <c r="C7152" s="83">
        <v>46043</v>
      </c>
      <c r="D7152" t="s">
        <v>313</v>
      </c>
      <c r="E7152" t="s">
        <v>316</v>
      </c>
      <c r="F7152">
        <v>3</v>
      </c>
      <c r="G7152">
        <v>0.60896666666666699</v>
      </c>
    </row>
    <row r="7153" spans="1:7" x14ac:dyDescent="0.35">
      <c r="A7153" t="s">
        <v>847</v>
      </c>
      <c r="B7153" t="s">
        <v>691</v>
      </c>
      <c r="C7153" s="83">
        <v>46043</v>
      </c>
      <c r="D7153" t="s">
        <v>313</v>
      </c>
      <c r="E7153" t="s">
        <v>322</v>
      </c>
      <c r="F7153">
        <v>2</v>
      </c>
      <c r="G7153">
        <v>0.49278333333333302</v>
      </c>
    </row>
    <row r="7154" spans="1:7" x14ac:dyDescent="0.35">
      <c r="A7154" t="s">
        <v>847</v>
      </c>
      <c r="B7154" t="s">
        <v>691</v>
      </c>
      <c r="C7154" s="83">
        <v>46043</v>
      </c>
      <c r="D7154" t="s">
        <v>314</v>
      </c>
      <c r="E7154" t="s">
        <v>316</v>
      </c>
      <c r="F7154">
        <v>2</v>
      </c>
      <c r="G7154">
        <v>0.214433333333333</v>
      </c>
    </row>
    <row r="7155" spans="1:7" x14ac:dyDescent="0.35">
      <c r="A7155" t="s">
        <v>847</v>
      </c>
      <c r="B7155" t="s">
        <v>691</v>
      </c>
      <c r="C7155" s="83">
        <v>46043</v>
      </c>
      <c r="D7155" t="s">
        <v>314</v>
      </c>
      <c r="E7155" t="s">
        <v>323</v>
      </c>
      <c r="F7155">
        <v>2</v>
      </c>
      <c r="G7155">
        <v>3.6893166666666701</v>
      </c>
    </row>
    <row r="7156" spans="1:7" x14ac:dyDescent="0.35">
      <c r="A7156" t="s">
        <v>847</v>
      </c>
      <c r="B7156" t="s">
        <v>691</v>
      </c>
      <c r="C7156" s="83">
        <v>46043</v>
      </c>
      <c r="D7156" t="s">
        <v>314</v>
      </c>
      <c r="E7156" t="s">
        <v>311</v>
      </c>
      <c r="F7156">
        <v>1</v>
      </c>
      <c r="G7156">
        <v>1.4649000000000001</v>
      </c>
    </row>
    <row r="7157" spans="1:7" x14ac:dyDescent="0.35">
      <c r="A7157" t="s">
        <v>847</v>
      </c>
      <c r="B7157" t="s">
        <v>691</v>
      </c>
      <c r="C7157" s="83">
        <v>46044</v>
      </c>
      <c r="D7157" t="s">
        <v>295</v>
      </c>
      <c r="E7157" t="s">
        <v>296</v>
      </c>
      <c r="F7157">
        <v>113</v>
      </c>
      <c r="G7157">
        <v>41.817450000000001</v>
      </c>
    </row>
    <row r="7158" spans="1:7" x14ac:dyDescent="0.35">
      <c r="A7158" t="s">
        <v>847</v>
      </c>
      <c r="B7158" t="s">
        <v>691</v>
      </c>
      <c r="C7158" s="83">
        <v>46044</v>
      </c>
      <c r="D7158" t="s">
        <v>295</v>
      </c>
      <c r="E7158" t="s">
        <v>828</v>
      </c>
      <c r="F7158">
        <v>53</v>
      </c>
      <c r="G7158">
        <v>24.915150000000001</v>
      </c>
    </row>
    <row r="7159" spans="1:7" x14ac:dyDescent="0.35">
      <c r="A7159" t="s">
        <v>847</v>
      </c>
      <c r="B7159" t="s">
        <v>691</v>
      </c>
      <c r="C7159" s="83">
        <v>46044</v>
      </c>
      <c r="D7159" t="s">
        <v>299</v>
      </c>
      <c r="E7159" t="s">
        <v>296</v>
      </c>
      <c r="F7159">
        <v>112</v>
      </c>
      <c r="G7159">
        <v>116.7581</v>
      </c>
    </row>
    <row r="7160" spans="1:7" x14ac:dyDescent="0.35">
      <c r="A7160" t="s">
        <v>847</v>
      </c>
      <c r="B7160" t="s">
        <v>691</v>
      </c>
      <c r="C7160" s="83">
        <v>46044</v>
      </c>
      <c r="D7160" t="s">
        <v>303</v>
      </c>
      <c r="E7160" t="s">
        <v>302</v>
      </c>
      <c r="F7160">
        <v>28</v>
      </c>
      <c r="G7160">
        <v>18.732683333333298</v>
      </c>
    </row>
    <row r="7161" spans="1:7" x14ac:dyDescent="0.35">
      <c r="A7161" t="s">
        <v>847</v>
      </c>
      <c r="B7161" t="s">
        <v>691</v>
      </c>
      <c r="C7161" s="83">
        <v>46044</v>
      </c>
      <c r="D7161" t="s">
        <v>310</v>
      </c>
      <c r="E7161" t="s">
        <v>333</v>
      </c>
      <c r="F7161">
        <v>1</v>
      </c>
      <c r="G7161">
        <v>1440</v>
      </c>
    </row>
    <row r="7162" spans="1:7" x14ac:dyDescent="0.35">
      <c r="A7162" t="s">
        <v>847</v>
      </c>
      <c r="B7162" t="s">
        <v>691</v>
      </c>
      <c r="C7162" s="83">
        <v>46045</v>
      </c>
      <c r="D7162" t="s">
        <v>295</v>
      </c>
      <c r="E7162" t="s">
        <v>296</v>
      </c>
      <c r="F7162">
        <v>64</v>
      </c>
      <c r="G7162">
        <v>20.184616666666699</v>
      </c>
    </row>
    <row r="7163" spans="1:7" x14ac:dyDescent="0.35">
      <c r="A7163" t="s">
        <v>847</v>
      </c>
      <c r="B7163" t="s">
        <v>691</v>
      </c>
      <c r="C7163" s="83">
        <v>46045</v>
      </c>
      <c r="D7163" t="s">
        <v>295</v>
      </c>
      <c r="E7163" t="s">
        <v>828</v>
      </c>
      <c r="F7163">
        <v>30</v>
      </c>
      <c r="G7163">
        <v>11.567816666666699</v>
      </c>
    </row>
    <row r="7164" spans="1:7" x14ac:dyDescent="0.35">
      <c r="A7164" t="s">
        <v>847</v>
      </c>
      <c r="B7164" t="s">
        <v>691</v>
      </c>
      <c r="C7164" s="83">
        <v>46045</v>
      </c>
      <c r="D7164" t="s">
        <v>299</v>
      </c>
      <c r="E7164" t="s">
        <v>296</v>
      </c>
      <c r="F7164">
        <v>41</v>
      </c>
      <c r="G7164">
        <v>12.6881</v>
      </c>
    </row>
    <row r="7165" spans="1:7" x14ac:dyDescent="0.35">
      <c r="A7165" t="s">
        <v>847</v>
      </c>
      <c r="B7165" t="s">
        <v>691</v>
      </c>
      <c r="C7165" s="83">
        <v>46045</v>
      </c>
      <c r="D7165" t="s">
        <v>299</v>
      </c>
      <c r="E7165" t="s">
        <v>828</v>
      </c>
      <c r="F7165">
        <v>36</v>
      </c>
      <c r="G7165">
        <v>18.4071</v>
      </c>
    </row>
    <row r="7166" spans="1:7" x14ac:dyDescent="0.35">
      <c r="A7166" t="s">
        <v>847</v>
      </c>
      <c r="B7166" t="s">
        <v>691</v>
      </c>
      <c r="C7166" s="83">
        <v>46045</v>
      </c>
      <c r="D7166" t="s">
        <v>303</v>
      </c>
      <c r="E7166" t="s">
        <v>302</v>
      </c>
      <c r="F7166">
        <v>42</v>
      </c>
      <c r="G7166">
        <v>23.496400000000001</v>
      </c>
    </row>
    <row r="7167" spans="1:7" x14ac:dyDescent="0.35">
      <c r="A7167" t="s">
        <v>847</v>
      </c>
      <c r="B7167" t="s">
        <v>691</v>
      </c>
      <c r="C7167" s="83">
        <v>46045</v>
      </c>
      <c r="D7167" t="s">
        <v>310</v>
      </c>
      <c r="E7167" t="s">
        <v>333</v>
      </c>
      <c r="F7167">
        <v>1</v>
      </c>
      <c r="G7167">
        <v>1440</v>
      </c>
    </row>
    <row r="7168" spans="1:7" x14ac:dyDescent="0.35">
      <c r="A7168" t="s">
        <v>847</v>
      </c>
      <c r="B7168" t="s">
        <v>691</v>
      </c>
      <c r="C7168" s="83">
        <v>46046</v>
      </c>
      <c r="D7168" t="s">
        <v>295</v>
      </c>
      <c r="E7168" t="s">
        <v>296</v>
      </c>
      <c r="F7168">
        <v>45</v>
      </c>
      <c r="G7168">
        <v>11.7100333333333</v>
      </c>
    </row>
    <row r="7169" spans="1:7" x14ac:dyDescent="0.35">
      <c r="A7169" t="s">
        <v>847</v>
      </c>
      <c r="B7169" t="s">
        <v>691</v>
      </c>
      <c r="C7169" s="83">
        <v>46046</v>
      </c>
      <c r="D7169" t="s">
        <v>295</v>
      </c>
      <c r="E7169" t="s">
        <v>637</v>
      </c>
      <c r="F7169">
        <v>12</v>
      </c>
      <c r="G7169">
        <v>8.5581666666666703</v>
      </c>
    </row>
    <row r="7170" spans="1:7" x14ac:dyDescent="0.35">
      <c r="A7170" t="s">
        <v>847</v>
      </c>
      <c r="B7170" t="s">
        <v>691</v>
      </c>
      <c r="C7170" s="83">
        <v>46046</v>
      </c>
      <c r="D7170" t="s">
        <v>299</v>
      </c>
      <c r="E7170" t="s">
        <v>296</v>
      </c>
      <c r="F7170">
        <v>10</v>
      </c>
      <c r="G7170">
        <v>4.0963833333333302</v>
      </c>
    </row>
    <row r="7171" spans="1:7" x14ac:dyDescent="0.35">
      <c r="A7171" t="s">
        <v>847</v>
      </c>
      <c r="B7171" t="s">
        <v>691</v>
      </c>
      <c r="C7171" s="83">
        <v>46046</v>
      </c>
      <c r="D7171" t="s">
        <v>303</v>
      </c>
      <c r="E7171" t="s">
        <v>302</v>
      </c>
      <c r="F7171">
        <v>31</v>
      </c>
      <c r="G7171">
        <v>11.8659833333333</v>
      </c>
    </row>
    <row r="7172" spans="1:7" x14ac:dyDescent="0.35">
      <c r="A7172" t="s">
        <v>847</v>
      </c>
      <c r="B7172" t="s">
        <v>691</v>
      </c>
      <c r="C7172" s="83">
        <v>46046</v>
      </c>
      <c r="D7172" t="s">
        <v>310</v>
      </c>
      <c r="E7172" t="s">
        <v>333</v>
      </c>
      <c r="F7172">
        <v>1</v>
      </c>
      <c r="G7172">
        <v>1440</v>
      </c>
    </row>
    <row r="7173" spans="1:7" x14ac:dyDescent="0.35">
      <c r="A7173" t="s">
        <v>847</v>
      </c>
      <c r="B7173" t="s">
        <v>691</v>
      </c>
      <c r="C7173" s="83">
        <v>46047</v>
      </c>
      <c r="D7173" t="s">
        <v>295</v>
      </c>
      <c r="E7173" t="s">
        <v>296</v>
      </c>
      <c r="F7173">
        <v>81</v>
      </c>
      <c r="G7173">
        <v>26.1797</v>
      </c>
    </row>
    <row r="7174" spans="1:7" x14ac:dyDescent="0.35">
      <c r="A7174" t="s">
        <v>847</v>
      </c>
      <c r="B7174" t="s">
        <v>691</v>
      </c>
      <c r="C7174" s="83">
        <v>46047</v>
      </c>
      <c r="D7174" t="s">
        <v>295</v>
      </c>
      <c r="E7174" t="s">
        <v>828</v>
      </c>
      <c r="F7174">
        <v>13</v>
      </c>
      <c r="G7174">
        <v>6.7187333333333301</v>
      </c>
    </row>
    <row r="7175" spans="1:7" x14ac:dyDescent="0.35">
      <c r="A7175" t="s">
        <v>847</v>
      </c>
      <c r="B7175" t="s">
        <v>691</v>
      </c>
      <c r="C7175" s="83">
        <v>46047</v>
      </c>
      <c r="D7175" t="s">
        <v>299</v>
      </c>
      <c r="E7175" t="s">
        <v>296</v>
      </c>
      <c r="F7175">
        <v>13</v>
      </c>
      <c r="G7175">
        <v>3.1096333333333299</v>
      </c>
    </row>
    <row r="7176" spans="1:7" x14ac:dyDescent="0.35">
      <c r="A7176" t="s">
        <v>847</v>
      </c>
      <c r="B7176" t="s">
        <v>691</v>
      </c>
      <c r="C7176" s="83">
        <v>46047</v>
      </c>
      <c r="D7176" t="s">
        <v>301</v>
      </c>
      <c r="E7176" t="s">
        <v>302</v>
      </c>
      <c r="F7176">
        <v>10</v>
      </c>
      <c r="G7176">
        <v>6.9148166666666704</v>
      </c>
    </row>
    <row r="7177" spans="1:7" x14ac:dyDescent="0.35">
      <c r="A7177" t="s">
        <v>847</v>
      </c>
      <c r="B7177" t="s">
        <v>691</v>
      </c>
      <c r="C7177" s="83">
        <v>46047</v>
      </c>
      <c r="D7177" t="s">
        <v>310</v>
      </c>
      <c r="E7177" t="s">
        <v>333</v>
      </c>
      <c r="F7177">
        <v>1</v>
      </c>
      <c r="G7177">
        <v>101.1656</v>
      </c>
    </row>
    <row r="7178" spans="1:7" x14ac:dyDescent="0.35">
      <c r="A7178" t="s">
        <v>847</v>
      </c>
      <c r="B7178" t="s">
        <v>691</v>
      </c>
      <c r="C7178" s="83">
        <v>46048</v>
      </c>
      <c r="D7178" t="s">
        <v>295</v>
      </c>
      <c r="E7178" t="s">
        <v>296</v>
      </c>
      <c r="F7178">
        <v>26</v>
      </c>
      <c r="G7178">
        <v>10.625683333333299</v>
      </c>
    </row>
    <row r="7179" spans="1:7" x14ac:dyDescent="0.35">
      <c r="A7179" t="s">
        <v>847</v>
      </c>
      <c r="B7179" t="s">
        <v>691</v>
      </c>
      <c r="C7179" s="83">
        <v>46048</v>
      </c>
      <c r="D7179" t="s">
        <v>295</v>
      </c>
      <c r="E7179" t="s">
        <v>302</v>
      </c>
      <c r="F7179">
        <v>5</v>
      </c>
      <c r="G7179">
        <v>2.3898666666666699</v>
      </c>
    </row>
    <row r="7180" spans="1:7" x14ac:dyDescent="0.35">
      <c r="A7180" t="s">
        <v>847</v>
      </c>
      <c r="B7180" t="s">
        <v>691</v>
      </c>
      <c r="C7180" s="83">
        <v>46048</v>
      </c>
      <c r="D7180" t="s">
        <v>299</v>
      </c>
      <c r="E7180" t="s">
        <v>296</v>
      </c>
      <c r="F7180">
        <v>4</v>
      </c>
      <c r="G7180">
        <v>0.83774999999999999</v>
      </c>
    </row>
    <row r="7181" spans="1:7" x14ac:dyDescent="0.35">
      <c r="A7181" t="s">
        <v>847</v>
      </c>
      <c r="B7181" t="s">
        <v>691</v>
      </c>
      <c r="C7181" s="83">
        <v>46048</v>
      </c>
      <c r="D7181" t="s">
        <v>305</v>
      </c>
      <c r="E7181" t="s">
        <v>829</v>
      </c>
      <c r="F7181">
        <v>2</v>
      </c>
      <c r="G7181">
        <v>1264.0505333333299</v>
      </c>
    </row>
    <row r="7182" spans="1:7" x14ac:dyDescent="0.35">
      <c r="A7182" t="s">
        <v>847</v>
      </c>
      <c r="B7182" t="s">
        <v>691</v>
      </c>
      <c r="C7182" s="83">
        <v>46049</v>
      </c>
      <c r="D7182" t="s">
        <v>295</v>
      </c>
      <c r="E7182" t="s">
        <v>296</v>
      </c>
      <c r="F7182">
        <v>18</v>
      </c>
      <c r="G7182">
        <v>7.2340499999999999</v>
      </c>
    </row>
    <row r="7183" spans="1:7" x14ac:dyDescent="0.35">
      <c r="A7183" t="s">
        <v>847</v>
      </c>
      <c r="B7183" t="s">
        <v>691</v>
      </c>
      <c r="C7183" s="83">
        <v>46049</v>
      </c>
      <c r="D7183" t="s">
        <v>295</v>
      </c>
      <c r="E7183" t="s">
        <v>637</v>
      </c>
      <c r="F7183">
        <v>10</v>
      </c>
      <c r="G7183">
        <v>3.00518333333333</v>
      </c>
    </row>
    <row r="7184" spans="1:7" x14ac:dyDescent="0.35">
      <c r="A7184" t="s">
        <v>847</v>
      </c>
      <c r="B7184" t="s">
        <v>691</v>
      </c>
      <c r="C7184" s="83">
        <v>46049</v>
      </c>
      <c r="D7184" t="s">
        <v>299</v>
      </c>
      <c r="E7184" t="s">
        <v>302</v>
      </c>
      <c r="F7184">
        <v>6</v>
      </c>
      <c r="G7184">
        <v>3.9002166666666702</v>
      </c>
    </row>
    <row r="7185" spans="1:7" x14ac:dyDescent="0.35">
      <c r="A7185" t="s">
        <v>847</v>
      </c>
      <c r="B7185" t="s">
        <v>691</v>
      </c>
      <c r="C7185" s="83">
        <v>46049</v>
      </c>
      <c r="D7185" t="s">
        <v>303</v>
      </c>
      <c r="E7185" t="s">
        <v>302</v>
      </c>
      <c r="F7185">
        <v>43</v>
      </c>
      <c r="G7185">
        <v>20.3644833333333</v>
      </c>
    </row>
    <row r="7186" spans="1:7" x14ac:dyDescent="0.35">
      <c r="A7186" t="s">
        <v>847</v>
      </c>
      <c r="B7186" t="s">
        <v>691</v>
      </c>
      <c r="C7186" s="83">
        <v>46049</v>
      </c>
      <c r="D7186" t="s">
        <v>310</v>
      </c>
      <c r="E7186" t="s">
        <v>126</v>
      </c>
      <c r="F7186">
        <v>18</v>
      </c>
      <c r="G7186">
        <v>9.7273666666666703</v>
      </c>
    </row>
    <row r="7187" spans="1:7" x14ac:dyDescent="0.35">
      <c r="A7187" t="s">
        <v>847</v>
      </c>
      <c r="B7187" t="s">
        <v>691</v>
      </c>
      <c r="C7187" s="83">
        <v>46049</v>
      </c>
      <c r="D7187" t="s">
        <v>310</v>
      </c>
      <c r="E7187" t="s">
        <v>333</v>
      </c>
      <c r="F7187">
        <v>7</v>
      </c>
      <c r="G7187">
        <v>102.77866666666699</v>
      </c>
    </row>
    <row r="7188" spans="1:7" x14ac:dyDescent="0.35">
      <c r="A7188" t="s">
        <v>847</v>
      </c>
      <c r="B7188" t="s">
        <v>691</v>
      </c>
      <c r="C7188" s="83">
        <v>46049</v>
      </c>
      <c r="D7188" t="s">
        <v>310</v>
      </c>
      <c r="E7188" t="s">
        <v>311</v>
      </c>
      <c r="F7188">
        <v>7</v>
      </c>
      <c r="G7188">
        <v>20.846550000000001</v>
      </c>
    </row>
    <row r="7189" spans="1:7" x14ac:dyDescent="0.35">
      <c r="A7189" t="s">
        <v>847</v>
      </c>
      <c r="B7189" t="s">
        <v>691</v>
      </c>
      <c r="C7189" s="83">
        <v>46049</v>
      </c>
      <c r="D7189" t="s">
        <v>313</v>
      </c>
      <c r="E7189" t="s">
        <v>311</v>
      </c>
      <c r="F7189">
        <v>14</v>
      </c>
      <c r="G7189">
        <v>7.8499833333333298</v>
      </c>
    </row>
    <row r="7190" spans="1:7" x14ac:dyDescent="0.35">
      <c r="A7190" t="s">
        <v>847</v>
      </c>
      <c r="B7190" t="s">
        <v>691</v>
      </c>
      <c r="C7190" s="83">
        <v>46049</v>
      </c>
      <c r="D7190" t="s">
        <v>313</v>
      </c>
      <c r="E7190" t="s">
        <v>126</v>
      </c>
      <c r="F7190">
        <v>11</v>
      </c>
      <c r="G7190">
        <v>15.8812</v>
      </c>
    </row>
    <row r="7191" spans="1:7" x14ac:dyDescent="0.35">
      <c r="A7191" t="s">
        <v>847</v>
      </c>
      <c r="B7191" t="s">
        <v>691</v>
      </c>
      <c r="C7191" s="83">
        <v>46049</v>
      </c>
      <c r="D7191" t="s">
        <v>313</v>
      </c>
      <c r="E7191" t="s">
        <v>640</v>
      </c>
      <c r="F7191">
        <v>8</v>
      </c>
      <c r="G7191">
        <v>11.7287833333333</v>
      </c>
    </row>
    <row r="7192" spans="1:7" x14ac:dyDescent="0.35">
      <c r="A7192" t="s">
        <v>847</v>
      </c>
      <c r="B7192" t="s">
        <v>691</v>
      </c>
      <c r="C7192" s="83">
        <v>46049</v>
      </c>
      <c r="D7192" t="s">
        <v>314</v>
      </c>
      <c r="E7192" t="s">
        <v>316</v>
      </c>
      <c r="F7192">
        <v>4</v>
      </c>
      <c r="G7192">
        <v>2.14686666666667</v>
      </c>
    </row>
    <row r="7193" spans="1:7" x14ac:dyDescent="0.35">
      <c r="A7193" t="s">
        <v>847</v>
      </c>
      <c r="B7193" t="s">
        <v>691</v>
      </c>
      <c r="C7193" s="83">
        <v>46049</v>
      </c>
      <c r="D7193" t="s">
        <v>314</v>
      </c>
      <c r="E7193" t="s">
        <v>126</v>
      </c>
      <c r="F7193">
        <v>3</v>
      </c>
      <c r="G7193">
        <v>11.4880333333333</v>
      </c>
    </row>
    <row r="7194" spans="1:7" x14ac:dyDescent="0.35">
      <c r="A7194" t="s">
        <v>847</v>
      </c>
      <c r="B7194" t="s">
        <v>691</v>
      </c>
      <c r="C7194" s="83">
        <v>46049</v>
      </c>
      <c r="D7194" t="s">
        <v>314</v>
      </c>
      <c r="E7194" t="s">
        <v>311</v>
      </c>
      <c r="F7194">
        <v>3</v>
      </c>
      <c r="G7194">
        <v>18.299133333333302</v>
      </c>
    </row>
    <row r="7195" spans="1:7" x14ac:dyDescent="0.35">
      <c r="A7195" t="s">
        <v>847</v>
      </c>
      <c r="B7195" t="s">
        <v>691</v>
      </c>
      <c r="C7195" s="83">
        <v>46049</v>
      </c>
      <c r="D7195" t="s">
        <v>317</v>
      </c>
      <c r="E7195" t="s">
        <v>825</v>
      </c>
      <c r="F7195">
        <v>2</v>
      </c>
      <c r="G7195">
        <v>0.26655000000000001</v>
      </c>
    </row>
    <row r="7196" spans="1:7" x14ac:dyDescent="0.35">
      <c r="A7196" t="s">
        <v>847</v>
      </c>
      <c r="B7196" t="s">
        <v>691</v>
      </c>
      <c r="C7196" s="83">
        <v>46049</v>
      </c>
      <c r="D7196" t="s">
        <v>317</v>
      </c>
      <c r="E7196" t="s">
        <v>323</v>
      </c>
      <c r="F7196">
        <v>2</v>
      </c>
      <c r="G7196">
        <v>0.14383333333333301</v>
      </c>
    </row>
    <row r="7197" spans="1:7" x14ac:dyDescent="0.35">
      <c r="A7197" t="s">
        <v>847</v>
      </c>
      <c r="B7197" t="s">
        <v>691</v>
      </c>
      <c r="C7197" s="83">
        <v>46050</v>
      </c>
      <c r="D7197" t="s">
        <v>295</v>
      </c>
      <c r="E7197" t="s">
        <v>296</v>
      </c>
      <c r="F7197">
        <v>46</v>
      </c>
      <c r="G7197">
        <v>19.747333333333302</v>
      </c>
    </row>
    <row r="7198" spans="1:7" x14ac:dyDescent="0.35">
      <c r="A7198" t="s">
        <v>847</v>
      </c>
      <c r="B7198" t="s">
        <v>691</v>
      </c>
      <c r="C7198" s="83">
        <v>46050</v>
      </c>
      <c r="D7198" t="s">
        <v>295</v>
      </c>
      <c r="E7198" t="s">
        <v>637</v>
      </c>
      <c r="F7198">
        <v>38</v>
      </c>
      <c r="G7198">
        <v>19.455850000000002</v>
      </c>
    </row>
    <row r="7199" spans="1:7" x14ac:dyDescent="0.35">
      <c r="A7199" t="s">
        <v>847</v>
      </c>
      <c r="B7199" t="s">
        <v>691</v>
      </c>
      <c r="C7199" s="83">
        <v>46050</v>
      </c>
      <c r="D7199" t="s">
        <v>299</v>
      </c>
      <c r="E7199" t="s">
        <v>302</v>
      </c>
      <c r="F7199">
        <v>10</v>
      </c>
      <c r="G7199">
        <v>2.85958333333333</v>
      </c>
    </row>
    <row r="7200" spans="1:7" x14ac:dyDescent="0.35">
      <c r="A7200" t="s">
        <v>847</v>
      </c>
      <c r="B7200" t="s">
        <v>691</v>
      </c>
      <c r="C7200" s="83">
        <v>46050</v>
      </c>
      <c r="D7200" t="s">
        <v>299</v>
      </c>
      <c r="E7200" t="s">
        <v>296</v>
      </c>
      <c r="F7200">
        <v>9</v>
      </c>
      <c r="G7200">
        <v>2.5465499999999999</v>
      </c>
    </row>
    <row r="7201" spans="1:7" x14ac:dyDescent="0.35">
      <c r="A7201" t="s">
        <v>847</v>
      </c>
      <c r="B7201" t="s">
        <v>691</v>
      </c>
      <c r="C7201" s="83">
        <v>46050</v>
      </c>
      <c r="D7201" t="s">
        <v>303</v>
      </c>
      <c r="E7201" t="s">
        <v>302</v>
      </c>
      <c r="F7201">
        <v>74</v>
      </c>
      <c r="G7201">
        <v>37.958750000000002</v>
      </c>
    </row>
    <row r="7202" spans="1:7" x14ac:dyDescent="0.35">
      <c r="A7202" t="s">
        <v>847</v>
      </c>
      <c r="B7202" t="s">
        <v>691</v>
      </c>
      <c r="C7202" s="83">
        <v>46050</v>
      </c>
      <c r="D7202" t="s">
        <v>310</v>
      </c>
      <c r="E7202" t="s">
        <v>311</v>
      </c>
      <c r="F7202">
        <v>19</v>
      </c>
      <c r="G7202">
        <v>22.301966666666701</v>
      </c>
    </row>
    <row r="7203" spans="1:7" x14ac:dyDescent="0.35">
      <c r="A7203" t="s">
        <v>847</v>
      </c>
      <c r="B7203" t="s">
        <v>691</v>
      </c>
      <c r="C7203" s="83">
        <v>46050</v>
      </c>
      <c r="D7203" t="s">
        <v>310</v>
      </c>
      <c r="E7203" t="s">
        <v>126</v>
      </c>
      <c r="F7203">
        <v>13</v>
      </c>
      <c r="G7203">
        <v>8.6916333333333302</v>
      </c>
    </row>
    <row r="7204" spans="1:7" x14ac:dyDescent="0.35">
      <c r="A7204" t="s">
        <v>847</v>
      </c>
      <c r="B7204" t="s">
        <v>691</v>
      </c>
      <c r="C7204" s="83">
        <v>46050</v>
      </c>
      <c r="D7204" t="s">
        <v>310</v>
      </c>
      <c r="E7204" t="s">
        <v>640</v>
      </c>
      <c r="F7204">
        <v>6</v>
      </c>
      <c r="G7204">
        <v>11.6552166666667</v>
      </c>
    </row>
    <row r="7205" spans="1:7" x14ac:dyDescent="0.35">
      <c r="A7205" t="s">
        <v>847</v>
      </c>
      <c r="B7205" t="s">
        <v>691</v>
      </c>
      <c r="C7205" s="83">
        <v>46050</v>
      </c>
      <c r="D7205" t="s">
        <v>313</v>
      </c>
      <c r="E7205" t="s">
        <v>126</v>
      </c>
      <c r="F7205">
        <v>14</v>
      </c>
      <c r="G7205">
        <v>30.3774333333333</v>
      </c>
    </row>
    <row r="7206" spans="1:7" x14ac:dyDescent="0.35">
      <c r="A7206" t="s">
        <v>847</v>
      </c>
      <c r="B7206" t="s">
        <v>691</v>
      </c>
      <c r="C7206" s="83">
        <v>46050</v>
      </c>
      <c r="D7206" t="s">
        <v>313</v>
      </c>
      <c r="E7206" t="s">
        <v>316</v>
      </c>
      <c r="F7206">
        <v>5</v>
      </c>
      <c r="G7206">
        <v>4.73288333333333</v>
      </c>
    </row>
    <row r="7207" spans="1:7" x14ac:dyDescent="0.35">
      <c r="A7207" t="s">
        <v>847</v>
      </c>
      <c r="B7207" t="s">
        <v>691</v>
      </c>
      <c r="C7207" s="83">
        <v>46050</v>
      </c>
      <c r="D7207" t="s">
        <v>313</v>
      </c>
      <c r="E7207" t="s">
        <v>827</v>
      </c>
      <c r="F7207">
        <v>4</v>
      </c>
      <c r="G7207">
        <v>6.29301666666667</v>
      </c>
    </row>
    <row r="7208" spans="1:7" x14ac:dyDescent="0.35">
      <c r="A7208" t="s">
        <v>847</v>
      </c>
      <c r="B7208" t="s">
        <v>691</v>
      </c>
      <c r="C7208" s="83">
        <v>46050</v>
      </c>
      <c r="D7208" t="s">
        <v>314</v>
      </c>
      <c r="E7208" t="s">
        <v>316</v>
      </c>
      <c r="F7208">
        <v>4</v>
      </c>
      <c r="G7208">
        <v>4.7713666666666699</v>
      </c>
    </row>
    <row r="7209" spans="1:7" x14ac:dyDescent="0.35">
      <c r="A7209" t="s">
        <v>847</v>
      </c>
      <c r="B7209" t="s">
        <v>691</v>
      </c>
      <c r="C7209" s="83">
        <v>46050</v>
      </c>
      <c r="D7209" t="s">
        <v>314</v>
      </c>
      <c r="E7209" t="s">
        <v>827</v>
      </c>
      <c r="F7209">
        <v>3</v>
      </c>
      <c r="G7209">
        <v>2.10745</v>
      </c>
    </row>
    <row r="7210" spans="1:7" x14ac:dyDescent="0.35">
      <c r="A7210" t="s">
        <v>847</v>
      </c>
      <c r="B7210" t="s">
        <v>691</v>
      </c>
      <c r="C7210" s="83">
        <v>46050</v>
      </c>
      <c r="D7210" t="s">
        <v>314</v>
      </c>
      <c r="E7210" t="s">
        <v>126</v>
      </c>
      <c r="F7210">
        <v>3</v>
      </c>
      <c r="G7210">
        <v>6.6140833333333298</v>
      </c>
    </row>
    <row r="7211" spans="1:7" x14ac:dyDescent="0.35">
      <c r="A7211" t="s">
        <v>847</v>
      </c>
      <c r="B7211" t="s">
        <v>691</v>
      </c>
      <c r="C7211" s="83">
        <v>46050</v>
      </c>
      <c r="D7211" t="s">
        <v>317</v>
      </c>
      <c r="E7211" t="s">
        <v>323</v>
      </c>
      <c r="F7211">
        <v>2</v>
      </c>
      <c r="G7211">
        <v>6.7883333333333296E-2</v>
      </c>
    </row>
    <row r="7212" spans="1:7" x14ac:dyDescent="0.35">
      <c r="A7212" t="s">
        <v>847</v>
      </c>
      <c r="B7212" t="s">
        <v>691</v>
      </c>
      <c r="C7212" s="83">
        <v>46051</v>
      </c>
      <c r="D7212" t="s">
        <v>295</v>
      </c>
      <c r="E7212" t="s">
        <v>637</v>
      </c>
      <c r="F7212">
        <v>93</v>
      </c>
      <c r="G7212">
        <v>52.091833333333298</v>
      </c>
    </row>
    <row r="7213" spans="1:7" x14ac:dyDescent="0.35">
      <c r="A7213" t="s">
        <v>847</v>
      </c>
      <c r="B7213" t="s">
        <v>691</v>
      </c>
      <c r="C7213" s="83">
        <v>46051</v>
      </c>
      <c r="D7213" t="s">
        <v>295</v>
      </c>
      <c r="E7213" t="s">
        <v>296</v>
      </c>
      <c r="F7213">
        <v>85</v>
      </c>
      <c r="G7213">
        <v>36.245899999999999</v>
      </c>
    </row>
    <row r="7214" spans="1:7" x14ac:dyDescent="0.35">
      <c r="A7214" t="s">
        <v>847</v>
      </c>
      <c r="B7214" t="s">
        <v>691</v>
      </c>
      <c r="C7214" s="83">
        <v>46051</v>
      </c>
      <c r="D7214" t="s">
        <v>299</v>
      </c>
      <c r="E7214" t="s">
        <v>302</v>
      </c>
      <c r="F7214">
        <v>29</v>
      </c>
      <c r="G7214">
        <v>26.8904</v>
      </c>
    </row>
    <row r="7215" spans="1:7" x14ac:dyDescent="0.35">
      <c r="A7215" t="s">
        <v>847</v>
      </c>
      <c r="B7215" t="s">
        <v>691</v>
      </c>
      <c r="C7215" s="83">
        <v>46051</v>
      </c>
      <c r="D7215" t="s">
        <v>299</v>
      </c>
      <c r="E7215" t="s">
        <v>296</v>
      </c>
      <c r="F7215">
        <v>21</v>
      </c>
      <c r="G7215">
        <v>14.6695666666667</v>
      </c>
    </row>
    <row r="7216" spans="1:7" x14ac:dyDescent="0.35">
      <c r="A7216" t="s">
        <v>847</v>
      </c>
      <c r="B7216" t="s">
        <v>691</v>
      </c>
      <c r="C7216" s="83">
        <v>46051</v>
      </c>
      <c r="D7216" t="s">
        <v>303</v>
      </c>
      <c r="E7216" t="s">
        <v>302</v>
      </c>
      <c r="F7216">
        <v>61</v>
      </c>
      <c r="G7216">
        <v>28.829000000000001</v>
      </c>
    </row>
    <row r="7217" spans="1:7" x14ac:dyDescent="0.35">
      <c r="A7217" t="s">
        <v>847</v>
      </c>
      <c r="B7217" t="s">
        <v>691</v>
      </c>
      <c r="C7217" s="83">
        <v>46051</v>
      </c>
      <c r="D7217" t="s">
        <v>310</v>
      </c>
      <c r="E7217" t="s">
        <v>311</v>
      </c>
      <c r="F7217">
        <v>187</v>
      </c>
      <c r="G7217">
        <v>160.08883333333301</v>
      </c>
    </row>
    <row r="7218" spans="1:7" x14ac:dyDescent="0.35">
      <c r="A7218" t="s">
        <v>847</v>
      </c>
      <c r="B7218" t="s">
        <v>691</v>
      </c>
      <c r="C7218" s="83">
        <v>46051</v>
      </c>
      <c r="D7218" t="s">
        <v>310</v>
      </c>
      <c r="E7218" t="s">
        <v>126</v>
      </c>
      <c r="F7218">
        <v>23</v>
      </c>
      <c r="G7218">
        <v>61.973199999999999</v>
      </c>
    </row>
    <row r="7219" spans="1:7" x14ac:dyDescent="0.35">
      <c r="A7219" t="s">
        <v>847</v>
      </c>
      <c r="B7219" t="s">
        <v>691</v>
      </c>
      <c r="C7219" s="83">
        <v>46051</v>
      </c>
      <c r="D7219" t="s">
        <v>310</v>
      </c>
      <c r="E7219" t="s">
        <v>640</v>
      </c>
      <c r="F7219">
        <v>19</v>
      </c>
      <c r="G7219">
        <v>46.8904</v>
      </c>
    </row>
    <row r="7220" spans="1:7" x14ac:dyDescent="0.35">
      <c r="A7220" t="s">
        <v>847</v>
      </c>
      <c r="B7220" t="s">
        <v>691</v>
      </c>
      <c r="C7220" s="83">
        <v>46051</v>
      </c>
      <c r="D7220" t="s">
        <v>313</v>
      </c>
      <c r="E7220" t="s">
        <v>126</v>
      </c>
      <c r="F7220">
        <v>67</v>
      </c>
      <c r="G7220">
        <v>163.16783333333299</v>
      </c>
    </row>
    <row r="7221" spans="1:7" x14ac:dyDescent="0.35">
      <c r="A7221" t="s">
        <v>847</v>
      </c>
      <c r="B7221" t="s">
        <v>691</v>
      </c>
      <c r="C7221" s="83">
        <v>46051</v>
      </c>
      <c r="D7221" t="s">
        <v>313</v>
      </c>
      <c r="E7221" t="s">
        <v>640</v>
      </c>
      <c r="F7221">
        <v>29</v>
      </c>
      <c r="G7221">
        <v>99.1828</v>
      </c>
    </row>
    <row r="7222" spans="1:7" x14ac:dyDescent="0.35">
      <c r="A7222" t="s">
        <v>847</v>
      </c>
      <c r="B7222" t="s">
        <v>691</v>
      </c>
      <c r="C7222" s="83">
        <v>46051</v>
      </c>
      <c r="D7222" t="s">
        <v>313</v>
      </c>
      <c r="E7222" t="s">
        <v>322</v>
      </c>
      <c r="F7222">
        <v>19</v>
      </c>
      <c r="G7222">
        <v>41.501233333333303</v>
      </c>
    </row>
    <row r="7223" spans="1:7" x14ac:dyDescent="0.35">
      <c r="A7223" t="s">
        <v>847</v>
      </c>
      <c r="B7223" t="s">
        <v>691</v>
      </c>
      <c r="C7223" s="83">
        <v>46051</v>
      </c>
      <c r="D7223" t="s">
        <v>314</v>
      </c>
      <c r="E7223" t="s">
        <v>321</v>
      </c>
      <c r="F7223">
        <v>11</v>
      </c>
      <c r="G7223">
        <v>12.010566666666699</v>
      </c>
    </row>
    <row r="7224" spans="1:7" x14ac:dyDescent="0.35">
      <c r="A7224" t="s">
        <v>847</v>
      </c>
      <c r="B7224" t="s">
        <v>691</v>
      </c>
      <c r="C7224" s="83">
        <v>46051</v>
      </c>
      <c r="D7224" t="s">
        <v>314</v>
      </c>
      <c r="E7224" t="s">
        <v>126</v>
      </c>
      <c r="F7224">
        <v>11</v>
      </c>
      <c r="G7224">
        <v>16.4804666666667</v>
      </c>
    </row>
    <row r="7225" spans="1:7" x14ac:dyDescent="0.35">
      <c r="A7225" t="s">
        <v>847</v>
      </c>
      <c r="B7225" t="s">
        <v>691</v>
      </c>
      <c r="C7225" s="83">
        <v>46051</v>
      </c>
      <c r="D7225" t="s">
        <v>314</v>
      </c>
      <c r="E7225" t="s">
        <v>312</v>
      </c>
      <c r="F7225">
        <v>7</v>
      </c>
      <c r="G7225">
        <v>3.3136666666666699</v>
      </c>
    </row>
    <row r="7226" spans="1:7" x14ac:dyDescent="0.35">
      <c r="A7226" t="s">
        <v>847</v>
      </c>
      <c r="B7226" t="s">
        <v>691</v>
      </c>
      <c r="C7226" s="83">
        <v>46051</v>
      </c>
      <c r="D7226" t="s">
        <v>317</v>
      </c>
      <c r="E7226" t="s">
        <v>777</v>
      </c>
      <c r="F7226">
        <v>3</v>
      </c>
      <c r="G7226">
        <v>0.59913333333333296</v>
      </c>
    </row>
    <row r="7227" spans="1:7" x14ac:dyDescent="0.35">
      <c r="A7227" t="s">
        <v>847</v>
      </c>
      <c r="B7227" t="s">
        <v>691</v>
      </c>
      <c r="C7227" s="83">
        <v>46051</v>
      </c>
      <c r="D7227" t="s">
        <v>317</v>
      </c>
      <c r="E7227" t="s">
        <v>318</v>
      </c>
      <c r="F7227">
        <v>3</v>
      </c>
      <c r="G7227">
        <v>2.7274333333333298</v>
      </c>
    </row>
    <row r="7228" spans="1:7" x14ac:dyDescent="0.35">
      <c r="A7228" t="s">
        <v>847</v>
      </c>
      <c r="B7228" t="s">
        <v>691</v>
      </c>
      <c r="C7228" s="83">
        <v>46052</v>
      </c>
      <c r="D7228" t="s">
        <v>295</v>
      </c>
      <c r="E7228" t="s">
        <v>296</v>
      </c>
      <c r="F7228">
        <v>52</v>
      </c>
      <c r="G7228">
        <v>21.042666666666701</v>
      </c>
    </row>
    <row r="7229" spans="1:7" x14ac:dyDescent="0.35">
      <c r="A7229" t="s">
        <v>847</v>
      </c>
      <c r="B7229" t="s">
        <v>691</v>
      </c>
      <c r="C7229" s="83">
        <v>46052</v>
      </c>
      <c r="D7229" t="s">
        <v>295</v>
      </c>
      <c r="E7229" t="s">
        <v>637</v>
      </c>
      <c r="F7229">
        <v>15</v>
      </c>
      <c r="G7229">
        <v>6.5766</v>
      </c>
    </row>
    <row r="7230" spans="1:7" x14ac:dyDescent="0.35">
      <c r="A7230" t="s">
        <v>847</v>
      </c>
      <c r="B7230" t="s">
        <v>691</v>
      </c>
      <c r="C7230" s="83">
        <v>46052</v>
      </c>
      <c r="D7230" t="s">
        <v>299</v>
      </c>
      <c r="E7230" t="s">
        <v>296</v>
      </c>
      <c r="F7230">
        <v>20</v>
      </c>
      <c r="G7230">
        <v>7.4944333333333297</v>
      </c>
    </row>
    <row r="7231" spans="1:7" x14ac:dyDescent="0.35">
      <c r="A7231" t="s">
        <v>847</v>
      </c>
      <c r="B7231" t="s">
        <v>691</v>
      </c>
      <c r="C7231" s="83">
        <v>46052</v>
      </c>
      <c r="D7231" t="s">
        <v>299</v>
      </c>
      <c r="E7231" t="s">
        <v>302</v>
      </c>
      <c r="F7231">
        <v>8</v>
      </c>
      <c r="G7231">
        <v>3.2153166666666699</v>
      </c>
    </row>
    <row r="7232" spans="1:7" x14ac:dyDescent="0.35">
      <c r="A7232" t="s">
        <v>847</v>
      </c>
      <c r="B7232" t="s">
        <v>691</v>
      </c>
      <c r="C7232" s="83">
        <v>46052</v>
      </c>
      <c r="D7232" t="s">
        <v>301</v>
      </c>
      <c r="E7232" t="s">
        <v>302</v>
      </c>
      <c r="F7232">
        <v>24</v>
      </c>
      <c r="G7232">
        <v>18.246483333333298</v>
      </c>
    </row>
    <row r="7233" spans="1:7" x14ac:dyDescent="0.35">
      <c r="A7233" t="s">
        <v>847</v>
      </c>
      <c r="B7233" t="s">
        <v>691</v>
      </c>
      <c r="C7233" s="83">
        <v>46052</v>
      </c>
      <c r="D7233" t="s">
        <v>303</v>
      </c>
      <c r="E7233" t="s">
        <v>302</v>
      </c>
      <c r="F7233">
        <v>23</v>
      </c>
      <c r="G7233">
        <v>9.9500333333333302</v>
      </c>
    </row>
    <row r="7234" spans="1:7" x14ac:dyDescent="0.35">
      <c r="A7234" t="s">
        <v>847</v>
      </c>
      <c r="B7234" t="s">
        <v>691</v>
      </c>
      <c r="C7234" s="83">
        <v>46052</v>
      </c>
      <c r="D7234" t="s">
        <v>310</v>
      </c>
      <c r="E7234" t="s">
        <v>311</v>
      </c>
      <c r="F7234">
        <v>32</v>
      </c>
      <c r="G7234">
        <v>16.696716666666699</v>
      </c>
    </row>
    <row r="7235" spans="1:7" x14ac:dyDescent="0.35">
      <c r="A7235" t="s">
        <v>847</v>
      </c>
      <c r="B7235" t="s">
        <v>691</v>
      </c>
      <c r="C7235" s="83">
        <v>46052</v>
      </c>
      <c r="D7235" t="s">
        <v>310</v>
      </c>
      <c r="E7235" t="s">
        <v>347</v>
      </c>
      <c r="F7235">
        <v>10</v>
      </c>
      <c r="G7235">
        <v>2.9734500000000001</v>
      </c>
    </row>
    <row r="7236" spans="1:7" x14ac:dyDescent="0.35">
      <c r="A7236" t="s">
        <v>847</v>
      </c>
      <c r="B7236" t="s">
        <v>691</v>
      </c>
      <c r="C7236" s="83">
        <v>46052</v>
      </c>
      <c r="D7236" t="s">
        <v>310</v>
      </c>
      <c r="E7236" t="s">
        <v>126</v>
      </c>
      <c r="F7236">
        <v>5</v>
      </c>
      <c r="G7236">
        <v>2.0236999999999998</v>
      </c>
    </row>
    <row r="7237" spans="1:7" x14ac:dyDescent="0.35">
      <c r="A7237" t="s">
        <v>847</v>
      </c>
      <c r="B7237" t="s">
        <v>691</v>
      </c>
      <c r="C7237" s="83">
        <v>46052</v>
      </c>
      <c r="D7237" t="s">
        <v>313</v>
      </c>
      <c r="E7237" t="s">
        <v>311</v>
      </c>
      <c r="F7237">
        <v>22</v>
      </c>
      <c r="G7237">
        <v>15.500400000000001</v>
      </c>
    </row>
    <row r="7238" spans="1:7" x14ac:dyDescent="0.35">
      <c r="A7238" t="s">
        <v>847</v>
      </c>
      <c r="B7238" t="s">
        <v>691</v>
      </c>
      <c r="C7238" s="83">
        <v>46052</v>
      </c>
      <c r="D7238" t="s">
        <v>313</v>
      </c>
      <c r="E7238" t="s">
        <v>319</v>
      </c>
      <c r="F7238">
        <v>6</v>
      </c>
      <c r="G7238">
        <v>6.3131000000000004</v>
      </c>
    </row>
    <row r="7239" spans="1:7" x14ac:dyDescent="0.35">
      <c r="A7239" t="s">
        <v>847</v>
      </c>
      <c r="B7239" t="s">
        <v>691</v>
      </c>
      <c r="C7239" s="83">
        <v>46052</v>
      </c>
      <c r="D7239" t="s">
        <v>313</v>
      </c>
      <c r="E7239" t="s">
        <v>347</v>
      </c>
      <c r="F7239">
        <v>5</v>
      </c>
      <c r="G7239">
        <v>0.52243333333333297</v>
      </c>
    </row>
    <row r="7240" spans="1:7" x14ac:dyDescent="0.35">
      <c r="A7240" t="s">
        <v>847</v>
      </c>
      <c r="B7240" t="s">
        <v>691</v>
      </c>
      <c r="C7240" s="83">
        <v>46052</v>
      </c>
      <c r="D7240" t="s">
        <v>314</v>
      </c>
      <c r="E7240" t="s">
        <v>312</v>
      </c>
      <c r="F7240">
        <v>17</v>
      </c>
      <c r="G7240">
        <v>19.7806833333333</v>
      </c>
    </row>
    <row r="7241" spans="1:7" x14ac:dyDescent="0.35">
      <c r="A7241" t="s">
        <v>847</v>
      </c>
      <c r="B7241" t="s">
        <v>691</v>
      </c>
      <c r="C7241" s="83">
        <v>46052</v>
      </c>
      <c r="D7241" t="s">
        <v>314</v>
      </c>
      <c r="E7241" t="s">
        <v>126</v>
      </c>
      <c r="F7241">
        <v>13</v>
      </c>
      <c r="G7241">
        <v>35.019483333333298</v>
      </c>
    </row>
    <row r="7242" spans="1:7" x14ac:dyDescent="0.35">
      <c r="A7242" t="s">
        <v>847</v>
      </c>
      <c r="B7242" t="s">
        <v>691</v>
      </c>
      <c r="C7242" s="83">
        <v>46052</v>
      </c>
      <c r="D7242" t="s">
        <v>314</v>
      </c>
      <c r="E7242" t="s">
        <v>337</v>
      </c>
      <c r="F7242">
        <v>4</v>
      </c>
      <c r="G7242">
        <v>8.1544833333333298</v>
      </c>
    </row>
    <row r="7243" spans="1:7" x14ac:dyDescent="0.35">
      <c r="A7243" t="s">
        <v>847</v>
      </c>
      <c r="B7243" t="s">
        <v>691</v>
      </c>
      <c r="C7243" s="83">
        <v>46052</v>
      </c>
      <c r="D7243" t="s">
        <v>317</v>
      </c>
      <c r="E7243" t="s">
        <v>323</v>
      </c>
      <c r="F7243">
        <v>3</v>
      </c>
      <c r="G7243">
        <v>1.3304</v>
      </c>
    </row>
    <row r="7244" spans="1:7" x14ac:dyDescent="0.35">
      <c r="A7244" t="s">
        <v>847</v>
      </c>
      <c r="B7244" t="s">
        <v>691</v>
      </c>
      <c r="C7244" s="83">
        <v>46053</v>
      </c>
      <c r="D7244" t="s">
        <v>295</v>
      </c>
      <c r="E7244" t="s">
        <v>296</v>
      </c>
      <c r="F7244">
        <v>41</v>
      </c>
      <c r="G7244">
        <v>22.2830333333333</v>
      </c>
    </row>
    <row r="7245" spans="1:7" x14ac:dyDescent="0.35">
      <c r="A7245" t="s">
        <v>847</v>
      </c>
      <c r="B7245" t="s">
        <v>691</v>
      </c>
      <c r="C7245" s="83">
        <v>46053</v>
      </c>
      <c r="D7245" t="s">
        <v>295</v>
      </c>
      <c r="E7245" t="s">
        <v>637</v>
      </c>
      <c r="F7245">
        <v>35</v>
      </c>
      <c r="G7245">
        <v>18.403400000000001</v>
      </c>
    </row>
    <row r="7246" spans="1:7" x14ac:dyDescent="0.35">
      <c r="A7246" t="s">
        <v>847</v>
      </c>
      <c r="B7246" t="s">
        <v>691</v>
      </c>
      <c r="C7246" s="83">
        <v>46053</v>
      </c>
      <c r="D7246" t="s">
        <v>295</v>
      </c>
      <c r="E7246" t="s">
        <v>302</v>
      </c>
      <c r="F7246">
        <v>26</v>
      </c>
      <c r="G7246">
        <v>16.338266666666701</v>
      </c>
    </row>
    <row r="7247" spans="1:7" x14ac:dyDescent="0.35">
      <c r="A7247" t="s">
        <v>847</v>
      </c>
      <c r="B7247" t="s">
        <v>691</v>
      </c>
      <c r="C7247" s="83">
        <v>46053</v>
      </c>
      <c r="D7247" t="s">
        <v>299</v>
      </c>
      <c r="E7247" t="s">
        <v>296</v>
      </c>
      <c r="F7247">
        <v>14</v>
      </c>
      <c r="G7247">
        <v>11.5505333333333</v>
      </c>
    </row>
    <row r="7248" spans="1:7" x14ac:dyDescent="0.35">
      <c r="A7248" t="s">
        <v>847</v>
      </c>
      <c r="B7248" t="s">
        <v>691</v>
      </c>
      <c r="C7248" s="83">
        <v>46053</v>
      </c>
      <c r="D7248" t="s">
        <v>299</v>
      </c>
      <c r="E7248" t="s">
        <v>302</v>
      </c>
      <c r="F7248">
        <v>8</v>
      </c>
      <c r="G7248">
        <v>1.9908666666666699</v>
      </c>
    </row>
    <row r="7249" spans="1:7" x14ac:dyDescent="0.35">
      <c r="A7249" t="s">
        <v>847</v>
      </c>
      <c r="B7249" t="s">
        <v>691</v>
      </c>
      <c r="C7249" s="83">
        <v>46053</v>
      </c>
      <c r="D7249" t="s">
        <v>301</v>
      </c>
      <c r="E7249" t="s">
        <v>302</v>
      </c>
      <c r="F7249">
        <v>38</v>
      </c>
      <c r="G7249">
        <v>23.702533333333299</v>
      </c>
    </row>
    <row r="7250" spans="1:7" x14ac:dyDescent="0.35">
      <c r="A7250" t="s">
        <v>847</v>
      </c>
      <c r="B7250" t="s">
        <v>691</v>
      </c>
      <c r="C7250" s="83">
        <v>46053</v>
      </c>
      <c r="D7250" t="s">
        <v>303</v>
      </c>
      <c r="E7250" t="s">
        <v>302</v>
      </c>
      <c r="F7250">
        <v>68</v>
      </c>
      <c r="G7250">
        <v>48.356133333333297</v>
      </c>
    </row>
    <row r="7251" spans="1:7" x14ac:dyDescent="0.35">
      <c r="A7251" t="s">
        <v>847</v>
      </c>
      <c r="B7251" t="s">
        <v>691</v>
      </c>
      <c r="C7251" s="83">
        <v>46053</v>
      </c>
      <c r="D7251" t="s">
        <v>310</v>
      </c>
      <c r="E7251" t="s">
        <v>126</v>
      </c>
      <c r="F7251">
        <v>5</v>
      </c>
      <c r="G7251">
        <v>4.2439999999999998</v>
      </c>
    </row>
    <row r="7252" spans="1:7" x14ac:dyDescent="0.35">
      <c r="A7252" t="s">
        <v>847</v>
      </c>
      <c r="B7252" t="s">
        <v>691</v>
      </c>
      <c r="C7252" s="83">
        <v>46053</v>
      </c>
      <c r="D7252" t="s">
        <v>310</v>
      </c>
      <c r="E7252" t="s">
        <v>311</v>
      </c>
      <c r="F7252">
        <v>3</v>
      </c>
      <c r="G7252">
        <v>1.03948333333333</v>
      </c>
    </row>
    <row r="7253" spans="1:7" x14ac:dyDescent="0.35">
      <c r="A7253" t="s">
        <v>847</v>
      </c>
      <c r="B7253" t="s">
        <v>691</v>
      </c>
      <c r="C7253" s="83">
        <v>46053</v>
      </c>
      <c r="D7253" t="s">
        <v>310</v>
      </c>
      <c r="E7253" t="s">
        <v>316</v>
      </c>
      <c r="F7253">
        <v>2</v>
      </c>
      <c r="G7253">
        <v>0.39795000000000003</v>
      </c>
    </row>
    <row r="7254" spans="1:7" x14ac:dyDescent="0.35">
      <c r="A7254" t="s">
        <v>847</v>
      </c>
      <c r="B7254" t="s">
        <v>691</v>
      </c>
      <c r="C7254" s="83">
        <v>46053</v>
      </c>
      <c r="D7254" t="s">
        <v>313</v>
      </c>
      <c r="E7254" t="s">
        <v>311</v>
      </c>
      <c r="F7254">
        <v>12</v>
      </c>
      <c r="G7254">
        <v>11.256683333333299</v>
      </c>
    </row>
    <row r="7255" spans="1:7" x14ac:dyDescent="0.35">
      <c r="A7255" t="s">
        <v>847</v>
      </c>
      <c r="B7255" t="s">
        <v>691</v>
      </c>
      <c r="C7255" s="83">
        <v>46053</v>
      </c>
      <c r="D7255" t="s">
        <v>313</v>
      </c>
      <c r="E7255" t="s">
        <v>126</v>
      </c>
      <c r="F7255">
        <v>5</v>
      </c>
      <c r="G7255">
        <v>10.738799999999999</v>
      </c>
    </row>
    <row r="7256" spans="1:7" x14ac:dyDescent="0.35">
      <c r="A7256" t="s">
        <v>847</v>
      </c>
      <c r="B7256" t="s">
        <v>691</v>
      </c>
      <c r="C7256" s="83">
        <v>46053</v>
      </c>
      <c r="D7256" t="s">
        <v>313</v>
      </c>
      <c r="E7256" t="s">
        <v>347</v>
      </c>
      <c r="F7256">
        <v>3</v>
      </c>
      <c r="G7256">
        <v>2.2225333333333301</v>
      </c>
    </row>
    <row r="7257" spans="1:7" x14ac:dyDescent="0.35">
      <c r="A7257" t="s">
        <v>847</v>
      </c>
      <c r="B7257" t="s">
        <v>691</v>
      </c>
      <c r="C7257" s="83">
        <v>46053</v>
      </c>
      <c r="D7257" t="s">
        <v>314</v>
      </c>
      <c r="E7257" t="s">
        <v>316</v>
      </c>
      <c r="F7257">
        <v>3</v>
      </c>
      <c r="G7257">
        <v>0.89181666666666704</v>
      </c>
    </row>
    <row r="7258" spans="1:7" x14ac:dyDescent="0.35">
      <c r="A7258" t="s">
        <v>847</v>
      </c>
      <c r="B7258" t="s">
        <v>691</v>
      </c>
      <c r="C7258" s="83">
        <v>46053</v>
      </c>
      <c r="D7258" t="s">
        <v>314</v>
      </c>
      <c r="E7258" t="s">
        <v>323</v>
      </c>
      <c r="F7258">
        <v>3</v>
      </c>
      <c r="G7258">
        <v>1.0368999999999999</v>
      </c>
    </row>
    <row r="7259" spans="1:7" x14ac:dyDescent="0.35">
      <c r="A7259" t="s">
        <v>847</v>
      </c>
      <c r="B7259" t="s">
        <v>691</v>
      </c>
      <c r="C7259" s="83">
        <v>46053</v>
      </c>
      <c r="D7259" t="s">
        <v>314</v>
      </c>
      <c r="E7259" t="s">
        <v>126</v>
      </c>
      <c r="F7259">
        <v>3</v>
      </c>
      <c r="G7259">
        <v>5.0936333333333303</v>
      </c>
    </row>
    <row r="7260" spans="1:7" x14ac:dyDescent="0.35">
      <c r="A7260" t="s">
        <v>847</v>
      </c>
      <c r="B7260" t="s">
        <v>691</v>
      </c>
      <c r="C7260" s="83">
        <v>46053</v>
      </c>
      <c r="D7260" t="s">
        <v>317</v>
      </c>
      <c r="E7260" t="s">
        <v>323</v>
      </c>
      <c r="F7260">
        <v>2</v>
      </c>
      <c r="G7260">
        <v>1.8866000000000001</v>
      </c>
    </row>
    <row r="7261" spans="1:7" x14ac:dyDescent="0.35">
      <c r="A7261" t="s">
        <v>847</v>
      </c>
      <c r="B7261" t="s">
        <v>691</v>
      </c>
      <c r="C7261" s="83">
        <v>46054</v>
      </c>
      <c r="D7261" t="s">
        <v>295</v>
      </c>
      <c r="E7261" t="s">
        <v>296</v>
      </c>
      <c r="F7261">
        <v>75</v>
      </c>
      <c r="G7261">
        <v>43.822433333333301</v>
      </c>
    </row>
    <row r="7262" spans="1:7" x14ac:dyDescent="0.35">
      <c r="A7262" t="s">
        <v>847</v>
      </c>
      <c r="B7262" t="s">
        <v>691</v>
      </c>
      <c r="C7262" s="83">
        <v>46054</v>
      </c>
      <c r="D7262" t="s">
        <v>295</v>
      </c>
      <c r="E7262" t="s">
        <v>637</v>
      </c>
      <c r="F7262">
        <v>33</v>
      </c>
      <c r="G7262">
        <v>30.281483333333298</v>
      </c>
    </row>
    <row r="7263" spans="1:7" x14ac:dyDescent="0.35">
      <c r="A7263" t="s">
        <v>847</v>
      </c>
      <c r="B7263" t="s">
        <v>691</v>
      </c>
      <c r="C7263" s="83">
        <v>46054</v>
      </c>
      <c r="D7263" t="s">
        <v>299</v>
      </c>
      <c r="E7263" t="s">
        <v>296</v>
      </c>
      <c r="F7263">
        <v>29</v>
      </c>
      <c r="G7263">
        <v>13.030049999999999</v>
      </c>
    </row>
    <row r="7264" spans="1:7" x14ac:dyDescent="0.35">
      <c r="A7264" t="s">
        <v>847</v>
      </c>
      <c r="B7264" t="s">
        <v>691</v>
      </c>
      <c r="C7264" s="83">
        <v>46054</v>
      </c>
      <c r="D7264" t="s">
        <v>299</v>
      </c>
      <c r="E7264" t="s">
        <v>302</v>
      </c>
      <c r="F7264">
        <v>13</v>
      </c>
      <c r="G7264">
        <v>8.1215333333333302</v>
      </c>
    </row>
    <row r="7265" spans="1:7" x14ac:dyDescent="0.35">
      <c r="A7265" t="s">
        <v>847</v>
      </c>
      <c r="B7265" t="s">
        <v>691</v>
      </c>
      <c r="C7265" s="83">
        <v>46054</v>
      </c>
      <c r="D7265" t="s">
        <v>303</v>
      </c>
      <c r="E7265" t="s">
        <v>302</v>
      </c>
      <c r="F7265">
        <v>24</v>
      </c>
      <c r="G7265">
        <v>9.9650833333333306</v>
      </c>
    </row>
    <row r="7266" spans="1:7" x14ac:dyDescent="0.35">
      <c r="A7266" t="s">
        <v>847</v>
      </c>
      <c r="B7266" t="s">
        <v>691</v>
      </c>
      <c r="C7266" s="83">
        <v>46054</v>
      </c>
      <c r="D7266" t="s">
        <v>310</v>
      </c>
      <c r="E7266" t="s">
        <v>311</v>
      </c>
      <c r="F7266">
        <v>3</v>
      </c>
      <c r="G7266">
        <v>0.70813333333333295</v>
      </c>
    </row>
    <row r="7267" spans="1:7" x14ac:dyDescent="0.35">
      <c r="A7267" t="s">
        <v>847</v>
      </c>
      <c r="B7267" t="s">
        <v>691</v>
      </c>
      <c r="C7267" s="83">
        <v>46054</v>
      </c>
      <c r="D7267" t="s">
        <v>310</v>
      </c>
      <c r="E7267" t="s">
        <v>126</v>
      </c>
      <c r="F7267">
        <v>3</v>
      </c>
      <c r="G7267">
        <v>0.66830000000000001</v>
      </c>
    </row>
    <row r="7268" spans="1:7" x14ac:dyDescent="0.35">
      <c r="A7268" t="s">
        <v>847</v>
      </c>
      <c r="B7268" t="s">
        <v>691</v>
      </c>
      <c r="C7268" s="83">
        <v>46054</v>
      </c>
      <c r="D7268" t="s">
        <v>310</v>
      </c>
      <c r="E7268" t="s">
        <v>316</v>
      </c>
      <c r="F7268">
        <v>3</v>
      </c>
      <c r="G7268">
        <v>1.5871166666666701</v>
      </c>
    </row>
    <row r="7269" spans="1:7" x14ac:dyDescent="0.35">
      <c r="A7269" t="s">
        <v>847</v>
      </c>
      <c r="B7269" t="s">
        <v>691</v>
      </c>
      <c r="C7269" s="83">
        <v>46054</v>
      </c>
      <c r="D7269" t="s">
        <v>313</v>
      </c>
      <c r="E7269" t="s">
        <v>126</v>
      </c>
      <c r="F7269">
        <v>12</v>
      </c>
      <c r="G7269">
        <v>39.542850000000001</v>
      </c>
    </row>
    <row r="7270" spans="1:7" x14ac:dyDescent="0.35">
      <c r="A7270" t="s">
        <v>847</v>
      </c>
      <c r="B7270" t="s">
        <v>691</v>
      </c>
      <c r="C7270" s="83">
        <v>46054</v>
      </c>
      <c r="D7270" t="s">
        <v>313</v>
      </c>
      <c r="E7270" t="s">
        <v>311</v>
      </c>
      <c r="F7270">
        <v>12</v>
      </c>
      <c r="G7270">
        <v>7.3753500000000001</v>
      </c>
    </row>
    <row r="7271" spans="1:7" x14ac:dyDescent="0.35">
      <c r="A7271" t="s">
        <v>847</v>
      </c>
      <c r="B7271" t="s">
        <v>691</v>
      </c>
      <c r="C7271" s="83">
        <v>46054</v>
      </c>
      <c r="D7271" t="s">
        <v>313</v>
      </c>
      <c r="E7271" t="s">
        <v>312</v>
      </c>
      <c r="F7271">
        <v>4</v>
      </c>
      <c r="G7271">
        <v>1.57548333333333</v>
      </c>
    </row>
    <row r="7272" spans="1:7" x14ac:dyDescent="0.35">
      <c r="A7272" t="s">
        <v>847</v>
      </c>
      <c r="B7272" t="s">
        <v>691</v>
      </c>
      <c r="C7272" s="83">
        <v>46054</v>
      </c>
      <c r="D7272" t="s">
        <v>314</v>
      </c>
      <c r="E7272" t="s">
        <v>311</v>
      </c>
      <c r="F7272">
        <v>1</v>
      </c>
      <c r="G7272">
        <v>1.3795500000000001</v>
      </c>
    </row>
    <row r="7273" spans="1:7" x14ac:dyDescent="0.35">
      <c r="A7273" t="s">
        <v>847</v>
      </c>
      <c r="B7273" t="s">
        <v>691</v>
      </c>
      <c r="C7273" s="83">
        <v>46055</v>
      </c>
      <c r="D7273" t="s">
        <v>295</v>
      </c>
      <c r="E7273" t="s">
        <v>296</v>
      </c>
      <c r="F7273">
        <v>53</v>
      </c>
      <c r="G7273">
        <v>18.51885</v>
      </c>
    </row>
    <row r="7274" spans="1:7" x14ac:dyDescent="0.35">
      <c r="A7274" t="s">
        <v>847</v>
      </c>
      <c r="B7274" t="s">
        <v>691</v>
      </c>
      <c r="C7274" s="83">
        <v>46055</v>
      </c>
      <c r="D7274" t="s">
        <v>295</v>
      </c>
      <c r="E7274" t="s">
        <v>637</v>
      </c>
      <c r="F7274">
        <v>53</v>
      </c>
      <c r="G7274">
        <v>25.090199999999999</v>
      </c>
    </row>
    <row r="7275" spans="1:7" x14ac:dyDescent="0.35">
      <c r="A7275" t="s">
        <v>847</v>
      </c>
      <c r="B7275" t="s">
        <v>691</v>
      </c>
      <c r="C7275" s="83">
        <v>46055</v>
      </c>
      <c r="D7275" t="s">
        <v>299</v>
      </c>
      <c r="E7275" t="s">
        <v>296</v>
      </c>
      <c r="F7275">
        <v>29</v>
      </c>
      <c r="G7275">
        <v>13.4478833333333</v>
      </c>
    </row>
    <row r="7276" spans="1:7" x14ac:dyDescent="0.35">
      <c r="A7276" t="s">
        <v>847</v>
      </c>
      <c r="B7276" t="s">
        <v>691</v>
      </c>
      <c r="C7276" s="83">
        <v>46055</v>
      </c>
      <c r="D7276" t="s">
        <v>301</v>
      </c>
      <c r="E7276" t="s">
        <v>302</v>
      </c>
      <c r="F7276">
        <v>20</v>
      </c>
      <c r="G7276">
        <v>11.9399</v>
      </c>
    </row>
    <row r="7277" spans="1:7" x14ac:dyDescent="0.35">
      <c r="A7277" t="s">
        <v>847</v>
      </c>
      <c r="B7277" t="s">
        <v>691</v>
      </c>
      <c r="C7277" s="83">
        <v>46055</v>
      </c>
      <c r="D7277" t="s">
        <v>303</v>
      </c>
      <c r="E7277" t="s">
        <v>302</v>
      </c>
      <c r="F7277">
        <v>14</v>
      </c>
      <c r="G7277">
        <v>7.5751333333333299</v>
      </c>
    </row>
    <row r="7278" spans="1:7" x14ac:dyDescent="0.35">
      <c r="A7278" t="s">
        <v>847</v>
      </c>
      <c r="B7278" t="s">
        <v>691</v>
      </c>
      <c r="C7278" s="83">
        <v>46055</v>
      </c>
      <c r="D7278" t="s">
        <v>310</v>
      </c>
      <c r="E7278" t="s">
        <v>827</v>
      </c>
      <c r="F7278">
        <v>4</v>
      </c>
      <c r="G7278">
        <v>59.025433333333297</v>
      </c>
    </row>
    <row r="7279" spans="1:7" x14ac:dyDescent="0.35">
      <c r="A7279" t="s">
        <v>847</v>
      </c>
      <c r="B7279" t="s">
        <v>691</v>
      </c>
      <c r="C7279" s="83">
        <v>46055</v>
      </c>
      <c r="D7279" t="s">
        <v>310</v>
      </c>
      <c r="E7279" t="s">
        <v>311</v>
      </c>
      <c r="F7279">
        <v>3</v>
      </c>
      <c r="G7279">
        <v>5.1740666666666701</v>
      </c>
    </row>
    <row r="7280" spans="1:7" x14ac:dyDescent="0.35">
      <c r="A7280" t="s">
        <v>847</v>
      </c>
      <c r="B7280" t="s">
        <v>691</v>
      </c>
      <c r="C7280" s="83">
        <v>46055</v>
      </c>
      <c r="D7280" t="s">
        <v>310</v>
      </c>
      <c r="E7280" t="s">
        <v>808</v>
      </c>
      <c r="F7280">
        <v>3</v>
      </c>
      <c r="G7280">
        <v>28.128116666666699</v>
      </c>
    </row>
    <row r="7281" spans="1:7" x14ac:dyDescent="0.35">
      <c r="A7281" t="s">
        <v>847</v>
      </c>
      <c r="B7281" t="s">
        <v>691</v>
      </c>
      <c r="C7281" s="83">
        <v>46055</v>
      </c>
      <c r="D7281" t="s">
        <v>313</v>
      </c>
      <c r="E7281" t="s">
        <v>311</v>
      </c>
      <c r="F7281">
        <v>8</v>
      </c>
      <c r="G7281">
        <v>5.6429166666666699</v>
      </c>
    </row>
    <row r="7282" spans="1:7" x14ac:dyDescent="0.35">
      <c r="A7282" t="s">
        <v>847</v>
      </c>
      <c r="B7282" t="s">
        <v>691</v>
      </c>
      <c r="C7282" s="83">
        <v>46055</v>
      </c>
      <c r="D7282" t="s">
        <v>313</v>
      </c>
      <c r="E7282" t="s">
        <v>312</v>
      </c>
      <c r="F7282">
        <v>2</v>
      </c>
      <c r="G7282">
        <v>0.43116666666666698</v>
      </c>
    </row>
    <row r="7283" spans="1:7" x14ac:dyDescent="0.35">
      <c r="A7283" t="s">
        <v>847</v>
      </c>
      <c r="B7283" t="s">
        <v>691</v>
      </c>
      <c r="C7283" s="83">
        <v>46055</v>
      </c>
      <c r="D7283" t="s">
        <v>313</v>
      </c>
      <c r="E7283" t="s">
        <v>316</v>
      </c>
      <c r="F7283">
        <v>2</v>
      </c>
      <c r="G7283">
        <v>0.144133333333333</v>
      </c>
    </row>
    <row r="7284" spans="1:7" x14ac:dyDescent="0.35">
      <c r="A7284" t="s">
        <v>847</v>
      </c>
      <c r="B7284" t="s">
        <v>691</v>
      </c>
      <c r="C7284" s="83">
        <v>46055</v>
      </c>
      <c r="D7284" t="s">
        <v>314</v>
      </c>
      <c r="E7284" t="s">
        <v>126</v>
      </c>
      <c r="F7284">
        <v>6</v>
      </c>
      <c r="G7284">
        <v>12.826033333333299</v>
      </c>
    </row>
    <row r="7285" spans="1:7" x14ac:dyDescent="0.35">
      <c r="A7285" t="s">
        <v>847</v>
      </c>
      <c r="B7285" t="s">
        <v>691</v>
      </c>
      <c r="C7285" s="83">
        <v>46055</v>
      </c>
      <c r="D7285" t="s">
        <v>314</v>
      </c>
      <c r="E7285" t="s">
        <v>312</v>
      </c>
      <c r="F7285">
        <v>3</v>
      </c>
      <c r="G7285">
        <v>1.7205666666666699</v>
      </c>
    </row>
    <row r="7286" spans="1:7" x14ac:dyDescent="0.35">
      <c r="A7286" t="s">
        <v>847</v>
      </c>
      <c r="B7286" t="s">
        <v>691</v>
      </c>
      <c r="C7286" s="83">
        <v>46055</v>
      </c>
      <c r="D7286" t="s">
        <v>314</v>
      </c>
      <c r="E7286" t="s">
        <v>316</v>
      </c>
      <c r="F7286">
        <v>2</v>
      </c>
      <c r="G7286">
        <v>2.6103666666666698</v>
      </c>
    </row>
    <row r="7287" spans="1:7" x14ac:dyDescent="0.35">
      <c r="A7287" t="s">
        <v>847</v>
      </c>
      <c r="B7287" t="s">
        <v>691</v>
      </c>
      <c r="C7287" s="83">
        <v>46055</v>
      </c>
      <c r="D7287" t="s">
        <v>317</v>
      </c>
      <c r="E7287" t="s">
        <v>323</v>
      </c>
      <c r="F7287">
        <v>2</v>
      </c>
      <c r="G7287">
        <v>0.310466666666667</v>
      </c>
    </row>
    <row r="7288" spans="1:7" x14ac:dyDescent="0.35">
      <c r="A7288" t="s">
        <v>847</v>
      </c>
      <c r="B7288" t="s">
        <v>691</v>
      </c>
      <c r="C7288" s="83">
        <v>46056</v>
      </c>
      <c r="D7288" t="s">
        <v>295</v>
      </c>
      <c r="E7288" t="s">
        <v>637</v>
      </c>
      <c r="F7288">
        <v>117</v>
      </c>
      <c r="G7288">
        <v>82.068283333333397</v>
      </c>
    </row>
    <row r="7289" spans="1:7" x14ac:dyDescent="0.35">
      <c r="A7289" t="s">
        <v>847</v>
      </c>
      <c r="B7289" t="s">
        <v>691</v>
      </c>
      <c r="C7289" s="83">
        <v>46056</v>
      </c>
      <c r="D7289" t="s">
        <v>295</v>
      </c>
      <c r="E7289" t="s">
        <v>296</v>
      </c>
      <c r="F7289">
        <v>35</v>
      </c>
      <c r="G7289">
        <v>10.120616666666701</v>
      </c>
    </row>
    <row r="7290" spans="1:7" x14ac:dyDescent="0.35">
      <c r="A7290" t="s">
        <v>847</v>
      </c>
      <c r="B7290" t="s">
        <v>691</v>
      </c>
      <c r="C7290" s="83">
        <v>46056</v>
      </c>
      <c r="D7290" t="s">
        <v>295</v>
      </c>
      <c r="E7290" t="s">
        <v>302</v>
      </c>
      <c r="F7290">
        <v>23</v>
      </c>
      <c r="G7290">
        <v>10.6816</v>
      </c>
    </row>
    <row r="7291" spans="1:7" x14ac:dyDescent="0.35">
      <c r="A7291" t="s">
        <v>847</v>
      </c>
      <c r="B7291" t="s">
        <v>691</v>
      </c>
      <c r="C7291" s="83">
        <v>46056</v>
      </c>
      <c r="D7291" t="s">
        <v>299</v>
      </c>
      <c r="E7291" t="s">
        <v>296</v>
      </c>
      <c r="F7291">
        <v>63</v>
      </c>
      <c r="G7291">
        <v>34.439416666666702</v>
      </c>
    </row>
    <row r="7292" spans="1:7" x14ac:dyDescent="0.35">
      <c r="A7292" t="s">
        <v>847</v>
      </c>
      <c r="B7292" t="s">
        <v>691</v>
      </c>
      <c r="C7292" s="83">
        <v>46056</v>
      </c>
      <c r="D7292" t="s">
        <v>301</v>
      </c>
      <c r="E7292" t="s">
        <v>302</v>
      </c>
      <c r="F7292">
        <v>39</v>
      </c>
      <c r="G7292">
        <v>16.543416666666701</v>
      </c>
    </row>
    <row r="7293" spans="1:7" x14ac:dyDescent="0.35">
      <c r="A7293" t="s">
        <v>847</v>
      </c>
      <c r="B7293" t="s">
        <v>691</v>
      </c>
      <c r="C7293" s="83">
        <v>46056</v>
      </c>
      <c r="D7293" t="s">
        <v>303</v>
      </c>
      <c r="E7293" t="s">
        <v>302</v>
      </c>
      <c r="F7293">
        <v>37</v>
      </c>
      <c r="G7293">
        <v>20.874583333333302</v>
      </c>
    </row>
    <row r="7294" spans="1:7" x14ac:dyDescent="0.35">
      <c r="A7294" t="s">
        <v>847</v>
      </c>
      <c r="B7294" t="s">
        <v>691</v>
      </c>
      <c r="C7294" s="83">
        <v>46056</v>
      </c>
      <c r="D7294" t="s">
        <v>310</v>
      </c>
      <c r="E7294" t="s">
        <v>126</v>
      </c>
      <c r="F7294">
        <v>25</v>
      </c>
      <c r="G7294">
        <v>15.964183333333301</v>
      </c>
    </row>
    <row r="7295" spans="1:7" x14ac:dyDescent="0.35">
      <c r="A7295" t="s">
        <v>847</v>
      </c>
      <c r="B7295" t="s">
        <v>691</v>
      </c>
      <c r="C7295" s="83">
        <v>46056</v>
      </c>
      <c r="D7295" t="s">
        <v>310</v>
      </c>
      <c r="E7295" t="s">
        <v>311</v>
      </c>
      <c r="F7295">
        <v>10</v>
      </c>
      <c r="G7295">
        <v>6.6716166666666696</v>
      </c>
    </row>
    <row r="7296" spans="1:7" x14ac:dyDescent="0.35">
      <c r="A7296" t="s">
        <v>847</v>
      </c>
      <c r="B7296" t="s">
        <v>691</v>
      </c>
      <c r="C7296" s="83">
        <v>46056</v>
      </c>
      <c r="D7296" t="s">
        <v>310</v>
      </c>
      <c r="E7296" t="s">
        <v>333</v>
      </c>
      <c r="F7296">
        <v>8</v>
      </c>
      <c r="G7296">
        <v>11.4660333333333</v>
      </c>
    </row>
    <row r="7297" spans="1:7" x14ac:dyDescent="0.35">
      <c r="A7297" t="s">
        <v>847</v>
      </c>
      <c r="B7297" t="s">
        <v>691</v>
      </c>
      <c r="C7297" s="83">
        <v>46056</v>
      </c>
      <c r="D7297" t="s">
        <v>313</v>
      </c>
      <c r="E7297" t="s">
        <v>311</v>
      </c>
      <c r="F7297">
        <v>27</v>
      </c>
      <c r="G7297">
        <v>25.6345666666667</v>
      </c>
    </row>
    <row r="7298" spans="1:7" x14ac:dyDescent="0.35">
      <c r="A7298" t="s">
        <v>847</v>
      </c>
      <c r="B7298" t="s">
        <v>691</v>
      </c>
      <c r="C7298" s="83">
        <v>46056</v>
      </c>
      <c r="D7298" t="s">
        <v>313</v>
      </c>
      <c r="E7298" t="s">
        <v>126</v>
      </c>
      <c r="F7298">
        <v>10</v>
      </c>
      <c r="G7298">
        <v>17.537516666666701</v>
      </c>
    </row>
    <row r="7299" spans="1:7" x14ac:dyDescent="0.35">
      <c r="A7299" t="s">
        <v>847</v>
      </c>
      <c r="B7299" t="s">
        <v>691</v>
      </c>
      <c r="C7299" s="83">
        <v>46056</v>
      </c>
      <c r="D7299" t="s">
        <v>313</v>
      </c>
      <c r="E7299" t="s">
        <v>316</v>
      </c>
      <c r="F7299">
        <v>3</v>
      </c>
      <c r="G7299">
        <v>1.1131</v>
      </c>
    </row>
    <row r="7300" spans="1:7" x14ac:dyDescent="0.35">
      <c r="A7300" t="s">
        <v>847</v>
      </c>
      <c r="B7300" t="s">
        <v>691</v>
      </c>
      <c r="C7300" s="83">
        <v>46056</v>
      </c>
      <c r="D7300" t="s">
        <v>314</v>
      </c>
      <c r="E7300" t="s">
        <v>312</v>
      </c>
      <c r="F7300">
        <v>11</v>
      </c>
      <c r="G7300">
        <v>9.9481999999999999</v>
      </c>
    </row>
    <row r="7301" spans="1:7" x14ac:dyDescent="0.35">
      <c r="A7301" t="s">
        <v>847</v>
      </c>
      <c r="B7301" t="s">
        <v>691</v>
      </c>
      <c r="C7301" s="83">
        <v>46056</v>
      </c>
      <c r="D7301" t="s">
        <v>314</v>
      </c>
      <c r="E7301" t="s">
        <v>126</v>
      </c>
      <c r="F7301">
        <v>7</v>
      </c>
      <c r="G7301">
        <v>12.534050000000001</v>
      </c>
    </row>
    <row r="7302" spans="1:7" x14ac:dyDescent="0.35">
      <c r="A7302" t="s">
        <v>847</v>
      </c>
      <c r="B7302" t="s">
        <v>691</v>
      </c>
      <c r="C7302" s="83">
        <v>46056</v>
      </c>
      <c r="D7302" t="s">
        <v>314</v>
      </c>
      <c r="E7302" t="s">
        <v>316</v>
      </c>
      <c r="F7302">
        <v>5</v>
      </c>
      <c r="G7302">
        <v>4.3916166666666703</v>
      </c>
    </row>
    <row r="7303" spans="1:7" x14ac:dyDescent="0.35">
      <c r="A7303" t="s">
        <v>847</v>
      </c>
      <c r="B7303" t="s">
        <v>691</v>
      </c>
      <c r="C7303" s="83">
        <v>46056</v>
      </c>
      <c r="D7303" t="s">
        <v>317</v>
      </c>
      <c r="E7303" t="s">
        <v>319</v>
      </c>
      <c r="F7303">
        <v>3</v>
      </c>
      <c r="G7303">
        <v>1.75461666666667</v>
      </c>
    </row>
    <row r="7304" spans="1:7" x14ac:dyDescent="0.35">
      <c r="A7304" t="s">
        <v>847</v>
      </c>
      <c r="B7304" t="s">
        <v>691</v>
      </c>
      <c r="C7304" s="83">
        <v>46056</v>
      </c>
      <c r="D7304" t="s">
        <v>317</v>
      </c>
      <c r="E7304" t="s">
        <v>323</v>
      </c>
      <c r="F7304">
        <v>2</v>
      </c>
      <c r="G7304">
        <v>0.15265000000000001</v>
      </c>
    </row>
    <row r="7305" spans="1:7" x14ac:dyDescent="0.35">
      <c r="A7305" t="s">
        <v>847</v>
      </c>
      <c r="B7305" t="s">
        <v>691</v>
      </c>
      <c r="C7305" s="83">
        <v>46057</v>
      </c>
      <c r="D7305" t="s">
        <v>295</v>
      </c>
      <c r="E7305" t="s">
        <v>637</v>
      </c>
      <c r="F7305">
        <v>187</v>
      </c>
      <c r="G7305">
        <v>141.48685</v>
      </c>
    </row>
    <row r="7306" spans="1:7" x14ac:dyDescent="0.35">
      <c r="A7306" t="s">
        <v>847</v>
      </c>
      <c r="B7306" t="s">
        <v>691</v>
      </c>
      <c r="C7306" s="83">
        <v>46057</v>
      </c>
      <c r="D7306" t="s">
        <v>295</v>
      </c>
      <c r="E7306" t="s">
        <v>296</v>
      </c>
      <c r="F7306">
        <v>33</v>
      </c>
      <c r="G7306">
        <v>13.338233333333299</v>
      </c>
    </row>
    <row r="7307" spans="1:7" x14ac:dyDescent="0.35">
      <c r="A7307" t="s">
        <v>847</v>
      </c>
      <c r="B7307" t="s">
        <v>691</v>
      </c>
      <c r="C7307" s="83">
        <v>46057</v>
      </c>
      <c r="D7307" t="s">
        <v>295</v>
      </c>
      <c r="E7307" t="s">
        <v>302</v>
      </c>
      <c r="F7307">
        <v>10</v>
      </c>
      <c r="G7307">
        <v>3.6166666666666698</v>
      </c>
    </row>
    <row r="7308" spans="1:7" x14ac:dyDescent="0.35">
      <c r="A7308" t="s">
        <v>847</v>
      </c>
      <c r="B7308" t="s">
        <v>691</v>
      </c>
      <c r="C7308" s="83">
        <v>46057</v>
      </c>
      <c r="D7308" t="s">
        <v>299</v>
      </c>
      <c r="E7308" t="s">
        <v>296</v>
      </c>
      <c r="F7308">
        <v>52</v>
      </c>
      <c r="G7308">
        <v>22.471833333333301</v>
      </c>
    </row>
    <row r="7309" spans="1:7" x14ac:dyDescent="0.35">
      <c r="A7309" t="s">
        <v>847</v>
      </c>
      <c r="B7309" t="s">
        <v>691</v>
      </c>
      <c r="C7309" s="83">
        <v>46057</v>
      </c>
      <c r="D7309" t="s">
        <v>301</v>
      </c>
      <c r="E7309" t="s">
        <v>302</v>
      </c>
      <c r="F7309">
        <v>29</v>
      </c>
      <c r="G7309">
        <v>13.555666666666699</v>
      </c>
    </row>
    <row r="7310" spans="1:7" x14ac:dyDescent="0.35">
      <c r="A7310" t="s">
        <v>847</v>
      </c>
      <c r="B7310" t="s">
        <v>691</v>
      </c>
      <c r="C7310" s="83">
        <v>46057</v>
      </c>
      <c r="D7310" t="s">
        <v>303</v>
      </c>
      <c r="E7310" t="s">
        <v>302</v>
      </c>
      <c r="F7310">
        <v>43</v>
      </c>
      <c r="G7310">
        <v>18.770683333333299</v>
      </c>
    </row>
    <row r="7311" spans="1:7" x14ac:dyDescent="0.35">
      <c r="A7311" t="s">
        <v>847</v>
      </c>
      <c r="B7311" t="s">
        <v>691</v>
      </c>
      <c r="C7311" s="83">
        <v>46057</v>
      </c>
      <c r="D7311" t="s">
        <v>310</v>
      </c>
      <c r="E7311" t="s">
        <v>126</v>
      </c>
      <c r="F7311">
        <v>109</v>
      </c>
      <c r="G7311">
        <v>113.667016666667</v>
      </c>
    </row>
    <row r="7312" spans="1:7" x14ac:dyDescent="0.35">
      <c r="A7312" t="s">
        <v>847</v>
      </c>
      <c r="B7312" t="s">
        <v>691</v>
      </c>
      <c r="C7312" s="83">
        <v>46057</v>
      </c>
      <c r="D7312" t="s">
        <v>310</v>
      </c>
      <c r="E7312" t="s">
        <v>311</v>
      </c>
      <c r="F7312">
        <v>33</v>
      </c>
      <c r="G7312">
        <v>23.823616666666702</v>
      </c>
    </row>
    <row r="7313" spans="1:7" x14ac:dyDescent="0.35">
      <c r="A7313" t="s">
        <v>847</v>
      </c>
      <c r="B7313" t="s">
        <v>691</v>
      </c>
      <c r="C7313" s="83">
        <v>46057</v>
      </c>
      <c r="D7313" t="s">
        <v>310</v>
      </c>
      <c r="E7313" t="s">
        <v>348</v>
      </c>
      <c r="F7313">
        <v>3</v>
      </c>
      <c r="G7313">
        <v>3.4357833333333301</v>
      </c>
    </row>
    <row r="7314" spans="1:7" x14ac:dyDescent="0.35">
      <c r="A7314" t="s">
        <v>847</v>
      </c>
      <c r="B7314" t="s">
        <v>691</v>
      </c>
      <c r="C7314" s="83">
        <v>46057</v>
      </c>
      <c r="D7314" t="s">
        <v>313</v>
      </c>
      <c r="E7314" t="s">
        <v>311</v>
      </c>
      <c r="F7314">
        <v>7</v>
      </c>
      <c r="G7314">
        <v>4.4141500000000002</v>
      </c>
    </row>
    <row r="7315" spans="1:7" x14ac:dyDescent="0.35">
      <c r="A7315" t="s">
        <v>847</v>
      </c>
      <c r="B7315" t="s">
        <v>691</v>
      </c>
      <c r="C7315" s="83">
        <v>46057</v>
      </c>
      <c r="D7315" t="s">
        <v>313</v>
      </c>
      <c r="E7315" t="s">
        <v>316</v>
      </c>
      <c r="F7315">
        <v>5</v>
      </c>
      <c r="G7315">
        <v>2.87591666666667</v>
      </c>
    </row>
    <row r="7316" spans="1:7" x14ac:dyDescent="0.35">
      <c r="A7316" t="s">
        <v>847</v>
      </c>
      <c r="B7316" t="s">
        <v>691</v>
      </c>
      <c r="C7316" s="83">
        <v>46057</v>
      </c>
      <c r="D7316" t="s">
        <v>313</v>
      </c>
      <c r="E7316" t="s">
        <v>126</v>
      </c>
      <c r="F7316">
        <v>4</v>
      </c>
      <c r="G7316">
        <v>6.5242833333333303</v>
      </c>
    </row>
    <row r="7317" spans="1:7" x14ac:dyDescent="0.35">
      <c r="A7317" t="s">
        <v>847</v>
      </c>
      <c r="B7317" t="s">
        <v>691</v>
      </c>
      <c r="C7317" s="83">
        <v>46057</v>
      </c>
      <c r="D7317" t="s">
        <v>314</v>
      </c>
      <c r="E7317" t="s">
        <v>126</v>
      </c>
      <c r="F7317">
        <v>12</v>
      </c>
      <c r="G7317">
        <v>72.295933333333295</v>
      </c>
    </row>
    <row r="7318" spans="1:7" x14ac:dyDescent="0.35">
      <c r="A7318" t="s">
        <v>847</v>
      </c>
      <c r="B7318" t="s">
        <v>691</v>
      </c>
      <c r="C7318" s="83">
        <v>46057</v>
      </c>
      <c r="D7318" t="s">
        <v>314</v>
      </c>
      <c r="E7318" t="s">
        <v>316</v>
      </c>
      <c r="F7318">
        <v>3</v>
      </c>
      <c r="G7318">
        <v>1.23115</v>
      </c>
    </row>
    <row r="7319" spans="1:7" x14ac:dyDescent="0.35">
      <c r="A7319" t="s">
        <v>847</v>
      </c>
      <c r="B7319" t="s">
        <v>691</v>
      </c>
      <c r="C7319" s="83">
        <v>46057</v>
      </c>
      <c r="D7319" t="s">
        <v>314</v>
      </c>
      <c r="E7319" t="s">
        <v>312</v>
      </c>
      <c r="F7319">
        <v>3</v>
      </c>
      <c r="G7319">
        <v>0.76919999999999999</v>
      </c>
    </row>
    <row r="7320" spans="1:7" x14ac:dyDescent="0.35">
      <c r="A7320" t="s">
        <v>847</v>
      </c>
      <c r="B7320" t="s">
        <v>691</v>
      </c>
      <c r="C7320" s="83">
        <v>46057</v>
      </c>
      <c r="D7320" t="s">
        <v>317</v>
      </c>
      <c r="E7320" t="s">
        <v>323</v>
      </c>
      <c r="F7320">
        <v>4</v>
      </c>
      <c r="G7320">
        <v>15.2907833333333</v>
      </c>
    </row>
    <row r="7321" spans="1:7" x14ac:dyDescent="0.35">
      <c r="A7321" t="s">
        <v>847</v>
      </c>
      <c r="B7321" t="s">
        <v>691</v>
      </c>
      <c r="C7321" s="83">
        <v>46057</v>
      </c>
      <c r="D7321" t="s">
        <v>317</v>
      </c>
      <c r="E7321" t="s">
        <v>825</v>
      </c>
      <c r="F7321">
        <v>2</v>
      </c>
      <c r="G7321">
        <v>0.29601666666666698</v>
      </c>
    </row>
    <row r="7322" spans="1:7" x14ac:dyDescent="0.35">
      <c r="A7322" t="s">
        <v>847</v>
      </c>
      <c r="B7322" t="s">
        <v>691</v>
      </c>
      <c r="C7322" s="83">
        <v>46057</v>
      </c>
      <c r="D7322" t="s">
        <v>317</v>
      </c>
      <c r="E7322" t="s">
        <v>322</v>
      </c>
      <c r="F7322">
        <v>2</v>
      </c>
      <c r="G7322">
        <v>0.416866666666667</v>
      </c>
    </row>
    <row r="7323" spans="1:7" x14ac:dyDescent="0.35">
      <c r="A7323" t="s">
        <v>847</v>
      </c>
      <c r="B7323" t="s">
        <v>691</v>
      </c>
      <c r="C7323" s="83">
        <v>46058</v>
      </c>
      <c r="D7323" t="s">
        <v>295</v>
      </c>
      <c r="E7323" t="s">
        <v>637</v>
      </c>
      <c r="F7323">
        <v>73</v>
      </c>
      <c r="G7323">
        <v>75.790683333333305</v>
      </c>
    </row>
    <row r="7324" spans="1:7" x14ac:dyDescent="0.35">
      <c r="A7324" t="s">
        <v>847</v>
      </c>
      <c r="B7324" t="s">
        <v>691</v>
      </c>
      <c r="C7324" s="83">
        <v>46058</v>
      </c>
      <c r="D7324" t="s">
        <v>295</v>
      </c>
      <c r="E7324" t="s">
        <v>296</v>
      </c>
      <c r="F7324">
        <v>68</v>
      </c>
      <c r="G7324">
        <v>30.715</v>
      </c>
    </row>
    <row r="7325" spans="1:7" x14ac:dyDescent="0.35">
      <c r="A7325" t="s">
        <v>847</v>
      </c>
      <c r="B7325" t="s">
        <v>691</v>
      </c>
      <c r="C7325" s="83">
        <v>46058</v>
      </c>
      <c r="D7325" t="s">
        <v>299</v>
      </c>
      <c r="E7325" t="s">
        <v>296</v>
      </c>
      <c r="F7325">
        <v>68</v>
      </c>
      <c r="G7325">
        <v>32.728250000000003</v>
      </c>
    </row>
    <row r="7326" spans="1:7" x14ac:dyDescent="0.35">
      <c r="A7326" t="s">
        <v>847</v>
      </c>
      <c r="B7326" t="s">
        <v>691</v>
      </c>
      <c r="C7326" s="83">
        <v>46058</v>
      </c>
      <c r="D7326" t="s">
        <v>299</v>
      </c>
      <c r="E7326" t="s">
        <v>302</v>
      </c>
      <c r="F7326">
        <v>13</v>
      </c>
      <c r="G7326">
        <v>7.0982666666666701</v>
      </c>
    </row>
    <row r="7327" spans="1:7" x14ac:dyDescent="0.35">
      <c r="A7327" t="s">
        <v>847</v>
      </c>
      <c r="B7327" t="s">
        <v>691</v>
      </c>
      <c r="C7327" s="83">
        <v>46058</v>
      </c>
      <c r="D7327" t="s">
        <v>301</v>
      </c>
      <c r="E7327" t="s">
        <v>302</v>
      </c>
      <c r="F7327">
        <v>17</v>
      </c>
      <c r="G7327">
        <v>6.4405333333333301</v>
      </c>
    </row>
    <row r="7328" spans="1:7" x14ac:dyDescent="0.35">
      <c r="A7328" t="s">
        <v>847</v>
      </c>
      <c r="B7328" t="s">
        <v>691</v>
      </c>
      <c r="C7328" s="83">
        <v>46058</v>
      </c>
      <c r="D7328" t="s">
        <v>303</v>
      </c>
      <c r="E7328" t="s">
        <v>302</v>
      </c>
      <c r="F7328">
        <v>35</v>
      </c>
      <c r="G7328">
        <v>14.251583333333301</v>
      </c>
    </row>
    <row r="7329" spans="1:7" x14ac:dyDescent="0.35">
      <c r="A7329" t="s">
        <v>847</v>
      </c>
      <c r="B7329" t="s">
        <v>691</v>
      </c>
      <c r="C7329" s="83">
        <v>46058</v>
      </c>
      <c r="D7329" t="s">
        <v>310</v>
      </c>
      <c r="E7329" t="s">
        <v>126</v>
      </c>
      <c r="F7329">
        <v>72</v>
      </c>
      <c r="G7329">
        <v>91.484899999999996</v>
      </c>
    </row>
    <row r="7330" spans="1:7" x14ac:dyDescent="0.35">
      <c r="A7330" t="s">
        <v>847</v>
      </c>
      <c r="B7330" t="s">
        <v>691</v>
      </c>
      <c r="C7330" s="83">
        <v>46058</v>
      </c>
      <c r="D7330" t="s">
        <v>310</v>
      </c>
      <c r="E7330" t="s">
        <v>311</v>
      </c>
      <c r="F7330">
        <v>12</v>
      </c>
      <c r="G7330">
        <v>8.1238666666666699</v>
      </c>
    </row>
    <row r="7331" spans="1:7" x14ac:dyDescent="0.35">
      <c r="A7331" t="s">
        <v>847</v>
      </c>
      <c r="B7331" t="s">
        <v>691</v>
      </c>
      <c r="C7331" s="83">
        <v>46058</v>
      </c>
      <c r="D7331" t="s">
        <v>310</v>
      </c>
      <c r="E7331" t="s">
        <v>333</v>
      </c>
      <c r="F7331">
        <v>6</v>
      </c>
      <c r="G7331">
        <v>2.0766833333333299</v>
      </c>
    </row>
    <row r="7332" spans="1:7" x14ac:dyDescent="0.35">
      <c r="A7332" t="s">
        <v>847</v>
      </c>
      <c r="B7332" t="s">
        <v>691</v>
      </c>
      <c r="C7332" s="83">
        <v>46058</v>
      </c>
      <c r="D7332" t="s">
        <v>313</v>
      </c>
      <c r="E7332" t="s">
        <v>311</v>
      </c>
      <c r="F7332">
        <v>6</v>
      </c>
      <c r="G7332">
        <v>2.68088333333333</v>
      </c>
    </row>
    <row r="7333" spans="1:7" x14ac:dyDescent="0.35">
      <c r="A7333" t="s">
        <v>847</v>
      </c>
      <c r="B7333" t="s">
        <v>691</v>
      </c>
      <c r="C7333" s="83">
        <v>46058</v>
      </c>
      <c r="D7333" t="s">
        <v>313</v>
      </c>
      <c r="E7333" t="s">
        <v>312</v>
      </c>
      <c r="F7333">
        <v>4</v>
      </c>
      <c r="G7333">
        <v>2.3691</v>
      </c>
    </row>
    <row r="7334" spans="1:7" x14ac:dyDescent="0.35">
      <c r="A7334" t="s">
        <v>847</v>
      </c>
      <c r="B7334" t="s">
        <v>691</v>
      </c>
      <c r="C7334" s="83">
        <v>46058</v>
      </c>
      <c r="D7334" t="s">
        <v>313</v>
      </c>
      <c r="E7334" t="s">
        <v>337</v>
      </c>
      <c r="F7334">
        <v>4</v>
      </c>
      <c r="G7334">
        <v>6.3857833333333298</v>
      </c>
    </row>
    <row r="7335" spans="1:7" x14ac:dyDescent="0.35">
      <c r="A7335" t="s">
        <v>847</v>
      </c>
      <c r="B7335" t="s">
        <v>691</v>
      </c>
      <c r="C7335" s="83">
        <v>46058</v>
      </c>
      <c r="D7335" t="s">
        <v>314</v>
      </c>
      <c r="E7335" t="s">
        <v>316</v>
      </c>
      <c r="F7335">
        <v>3</v>
      </c>
      <c r="G7335">
        <v>0.96033333333333304</v>
      </c>
    </row>
    <row r="7336" spans="1:7" x14ac:dyDescent="0.35">
      <c r="A7336" t="s">
        <v>847</v>
      </c>
      <c r="B7336" t="s">
        <v>691</v>
      </c>
      <c r="C7336" s="83">
        <v>46058</v>
      </c>
      <c r="D7336" t="s">
        <v>314</v>
      </c>
      <c r="E7336" t="s">
        <v>349</v>
      </c>
      <c r="F7336">
        <v>2</v>
      </c>
      <c r="G7336">
        <v>1.9774166666666699</v>
      </c>
    </row>
    <row r="7337" spans="1:7" x14ac:dyDescent="0.35">
      <c r="A7337" t="s">
        <v>847</v>
      </c>
      <c r="B7337" t="s">
        <v>691</v>
      </c>
      <c r="C7337" s="83">
        <v>46058</v>
      </c>
      <c r="D7337" t="s">
        <v>314</v>
      </c>
      <c r="E7337" t="s">
        <v>808</v>
      </c>
      <c r="F7337">
        <v>2</v>
      </c>
      <c r="G7337">
        <v>0.48213333333333303</v>
      </c>
    </row>
    <row r="7338" spans="1:7" x14ac:dyDescent="0.35">
      <c r="A7338" t="s">
        <v>847</v>
      </c>
      <c r="B7338" t="s">
        <v>691</v>
      </c>
      <c r="C7338" s="83">
        <v>46058</v>
      </c>
      <c r="D7338" t="s">
        <v>317</v>
      </c>
      <c r="E7338" t="s">
        <v>323</v>
      </c>
      <c r="F7338">
        <v>2</v>
      </c>
      <c r="G7338">
        <v>1.50806666666667</v>
      </c>
    </row>
    <row r="7339" spans="1:7" x14ac:dyDescent="0.35">
      <c r="A7339" t="s">
        <v>847</v>
      </c>
      <c r="B7339" t="s">
        <v>691</v>
      </c>
      <c r="C7339" s="83">
        <v>46058</v>
      </c>
      <c r="D7339" t="s">
        <v>317</v>
      </c>
      <c r="E7339" t="s">
        <v>339</v>
      </c>
      <c r="F7339">
        <v>2</v>
      </c>
      <c r="G7339">
        <v>0.32721666666666699</v>
      </c>
    </row>
    <row r="7340" spans="1:7" x14ac:dyDescent="0.35">
      <c r="A7340" t="s">
        <v>847</v>
      </c>
      <c r="B7340" t="s">
        <v>691</v>
      </c>
      <c r="C7340" s="83">
        <v>46059</v>
      </c>
      <c r="D7340" t="s">
        <v>295</v>
      </c>
      <c r="E7340" t="s">
        <v>296</v>
      </c>
      <c r="F7340">
        <v>57</v>
      </c>
      <c r="G7340">
        <v>26.8644833333333</v>
      </c>
    </row>
    <row r="7341" spans="1:7" x14ac:dyDescent="0.35">
      <c r="A7341" t="s">
        <v>847</v>
      </c>
      <c r="B7341" t="s">
        <v>691</v>
      </c>
      <c r="C7341" s="83">
        <v>46059</v>
      </c>
      <c r="D7341" t="s">
        <v>295</v>
      </c>
      <c r="E7341" t="s">
        <v>302</v>
      </c>
      <c r="F7341">
        <v>13</v>
      </c>
      <c r="G7341">
        <v>5.8342666666666698</v>
      </c>
    </row>
    <row r="7342" spans="1:7" x14ac:dyDescent="0.35">
      <c r="A7342" t="s">
        <v>847</v>
      </c>
      <c r="B7342" t="s">
        <v>691</v>
      </c>
      <c r="C7342" s="83">
        <v>46059</v>
      </c>
      <c r="D7342" t="s">
        <v>299</v>
      </c>
      <c r="E7342" t="s">
        <v>296</v>
      </c>
      <c r="F7342">
        <v>58</v>
      </c>
      <c r="G7342">
        <v>37.413033333333303</v>
      </c>
    </row>
    <row r="7343" spans="1:7" x14ac:dyDescent="0.35">
      <c r="A7343" t="s">
        <v>847</v>
      </c>
      <c r="B7343" t="s">
        <v>691</v>
      </c>
      <c r="C7343" s="83">
        <v>46059</v>
      </c>
      <c r="D7343" t="s">
        <v>299</v>
      </c>
      <c r="E7343" t="s">
        <v>302</v>
      </c>
      <c r="F7343">
        <v>8</v>
      </c>
      <c r="G7343">
        <v>3.5438333333333301</v>
      </c>
    </row>
    <row r="7344" spans="1:7" x14ac:dyDescent="0.35">
      <c r="A7344" t="s">
        <v>847</v>
      </c>
      <c r="B7344" t="s">
        <v>691</v>
      </c>
      <c r="C7344" s="83">
        <v>46059</v>
      </c>
      <c r="D7344" t="s">
        <v>301</v>
      </c>
      <c r="E7344" t="s">
        <v>302</v>
      </c>
      <c r="F7344">
        <v>12</v>
      </c>
      <c r="G7344">
        <v>7.0236499999999999</v>
      </c>
    </row>
    <row r="7345" spans="1:7" x14ac:dyDescent="0.35">
      <c r="A7345" t="s">
        <v>847</v>
      </c>
      <c r="B7345" t="s">
        <v>691</v>
      </c>
      <c r="C7345" s="83">
        <v>46059</v>
      </c>
      <c r="D7345" t="s">
        <v>303</v>
      </c>
      <c r="E7345" t="s">
        <v>302</v>
      </c>
      <c r="F7345">
        <v>24</v>
      </c>
      <c r="G7345">
        <v>15.329233333333301</v>
      </c>
    </row>
    <row r="7346" spans="1:7" x14ac:dyDescent="0.35">
      <c r="A7346" t="s">
        <v>847</v>
      </c>
      <c r="B7346" t="s">
        <v>691</v>
      </c>
      <c r="C7346" s="83">
        <v>46059</v>
      </c>
      <c r="D7346" t="s">
        <v>310</v>
      </c>
      <c r="E7346" t="s">
        <v>126</v>
      </c>
      <c r="F7346">
        <v>78</v>
      </c>
      <c r="G7346">
        <v>71.699366666666705</v>
      </c>
    </row>
    <row r="7347" spans="1:7" x14ac:dyDescent="0.35">
      <c r="A7347" t="s">
        <v>847</v>
      </c>
      <c r="B7347" t="s">
        <v>691</v>
      </c>
      <c r="C7347" s="83">
        <v>46059</v>
      </c>
      <c r="D7347" t="s">
        <v>310</v>
      </c>
      <c r="E7347" t="s">
        <v>311</v>
      </c>
      <c r="F7347">
        <v>26</v>
      </c>
      <c r="G7347">
        <v>60.767333333333298</v>
      </c>
    </row>
    <row r="7348" spans="1:7" x14ac:dyDescent="0.35">
      <c r="A7348" t="s">
        <v>847</v>
      </c>
      <c r="B7348" t="s">
        <v>691</v>
      </c>
      <c r="C7348" s="83">
        <v>46059</v>
      </c>
      <c r="D7348" t="s">
        <v>310</v>
      </c>
      <c r="E7348" t="s">
        <v>321</v>
      </c>
      <c r="F7348">
        <v>5</v>
      </c>
      <c r="G7348">
        <v>5.9439833333333301</v>
      </c>
    </row>
    <row r="7349" spans="1:7" x14ac:dyDescent="0.35">
      <c r="A7349" t="s">
        <v>847</v>
      </c>
      <c r="B7349" t="s">
        <v>691</v>
      </c>
      <c r="C7349" s="83">
        <v>46059</v>
      </c>
      <c r="D7349" t="s">
        <v>313</v>
      </c>
      <c r="E7349" t="s">
        <v>311</v>
      </c>
      <c r="F7349">
        <v>31</v>
      </c>
      <c r="G7349">
        <v>39.768983333333303</v>
      </c>
    </row>
    <row r="7350" spans="1:7" x14ac:dyDescent="0.35">
      <c r="A7350" t="s">
        <v>847</v>
      </c>
      <c r="B7350" t="s">
        <v>691</v>
      </c>
      <c r="C7350" s="83">
        <v>46059</v>
      </c>
      <c r="D7350" t="s">
        <v>313</v>
      </c>
      <c r="E7350" t="s">
        <v>827</v>
      </c>
      <c r="F7350">
        <v>6</v>
      </c>
      <c r="G7350">
        <v>25.740100000000002</v>
      </c>
    </row>
    <row r="7351" spans="1:7" x14ac:dyDescent="0.35">
      <c r="A7351" t="s">
        <v>847</v>
      </c>
      <c r="B7351" t="s">
        <v>691</v>
      </c>
      <c r="C7351" s="83">
        <v>46059</v>
      </c>
      <c r="D7351" t="s">
        <v>313</v>
      </c>
      <c r="E7351" t="s">
        <v>312</v>
      </c>
      <c r="F7351">
        <v>5</v>
      </c>
      <c r="G7351">
        <v>1.44228333333333</v>
      </c>
    </row>
    <row r="7352" spans="1:7" x14ac:dyDescent="0.35">
      <c r="A7352" t="s">
        <v>847</v>
      </c>
      <c r="B7352" t="s">
        <v>691</v>
      </c>
      <c r="C7352" s="83">
        <v>46059</v>
      </c>
      <c r="D7352" t="s">
        <v>314</v>
      </c>
      <c r="E7352" t="s">
        <v>126</v>
      </c>
      <c r="F7352">
        <v>9</v>
      </c>
      <c r="G7352">
        <v>37.485516666666697</v>
      </c>
    </row>
    <row r="7353" spans="1:7" x14ac:dyDescent="0.35">
      <c r="A7353" t="s">
        <v>847</v>
      </c>
      <c r="B7353" t="s">
        <v>691</v>
      </c>
      <c r="C7353" s="83">
        <v>46059</v>
      </c>
      <c r="D7353" t="s">
        <v>314</v>
      </c>
      <c r="E7353" t="s">
        <v>312</v>
      </c>
      <c r="F7353">
        <v>8</v>
      </c>
      <c r="G7353">
        <v>9.4605499999999996</v>
      </c>
    </row>
    <row r="7354" spans="1:7" x14ac:dyDescent="0.35">
      <c r="A7354" t="s">
        <v>847</v>
      </c>
      <c r="B7354" t="s">
        <v>691</v>
      </c>
      <c r="C7354" s="83">
        <v>46059</v>
      </c>
      <c r="D7354" t="s">
        <v>314</v>
      </c>
      <c r="E7354" t="s">
        <v>311</v>
      </c>
      <c r="F7354">
        <v>1</v>
      </c>
      <c r="G7354">
        <v>3.3329</v>
      </c>
    </row>
    <row r="7355" spans="1:7" x14ac:dyDescent="0.35">
      <c r="A7355" t="s">
        <v>847</v>
      </c>
      <c r="B7355" t="s">
        <v>691</v>
      </c>
      <c r="C7355" s="83">
        <v>46059</v>
      </c>
      <c r="D7355" t="s">
        <v>317</v>
      </c>
      <c r="E7355" t="s">
        <v>319</v>
      </c>
      <c r="F7355">
        <v>2</v>
      </c>
      <c r="G7355">
        <v>0.16919999999999999</v>
      </c>
    </row>
    <row r="7356" spans="1:7" x14ac:dyDescent="0.35">
      <c r="A7356" t="s">
        <v>847</v>
      </c>
      <c r="B7356" t="s">
        <v>691</v>
      </c>
      <c r="C7356" s="83">
        <v>46059</v>
      </c>
      <c r="D7356" t="s">
        <v>317</v>
      </c>
      <c r="E7356" t="s">
        <v>322</v>
      </c>
      <c r="F7356">
        <v>2</v>
      </c>
      <c r="G7356">
        <v>0.37206666666666699</v>
      </c>
    </row>
    <row r="7357" spans="1:7" x14ac:dyDescent="0.35">
      <c r="A7357" t="s">
        <v>847</v>
      </c>
      <c r="B7357" t="s">
        <v>691</v>
      </c>
      <c r="C7357" s="83">
        <v>46060</v>
      </c>
      <c r="D7357" t="s">
        <v>295</v>
      </c>
      <c r="E7357" t="s">
        <v>296</v>
      </c>
      <c r="F7357">
        <v>57</v>
      </c>
      <c r="G7357">
        <v>34.214216666666701</v>
      </c>
    </row>
    <row r="7358" spans="1:7" x14ac:dyDescent="0.35">
      <c r="A7358" t="s">
        <v>847</v>
      </c>
      <c r="B7358" t="s">
        <v>691</v>
      </c>
      <c r="C7358" s="83">
        <v>46060</v>
      </c>
      <c r="D7358" t="s">
        <v>299</v>
      </c>
      <c r="E7358" t="s">
        <v>296</v>
      </c>
      <c r="F7358">
        <v>41</v>
      </c>
      <c r="G7358">
        <v>25.862266666666699</v>
      </c>
    </row>
    <row r="7359" spans="1:7" x14ac:dyDescent="0.35">
      <c r="A7359" t="s">
        <v>847</v>
      </c>
      <c r="B7359" t="s">
        <v>691</v>
      </c>
      <c r="C7359" s="83">
        <v>46060</v>
      </c>
      <c r="D7359" t="s">
        <v>299</v>
      </c>
      <c r="E7359" t="s">
        <v>302</v>
      </c>
      <c r="F7359">
        <v>29</v>
      </c>
      <c r="G7359">
        <v>16.471333333333298</v>
      </c>
    </row>
    <row r="7360" spans="1:7" x14ac:dyDescent="0.35">
      <c r="A7360" t="s">
        <v>847</v>
      </c>
      <c r="B7360" t="s">
        <v>691</v>
      </c>
      <c r="C7360" s="83">
        <v>46060</v>
      </c>
      <c r="D7360" t="s">
        <v>301</v>
      </c>
      <c r="E7360" t="s">
        <v>302</v>
      </c>
      <c r="F7360">
        <v>17</v>
      </c>
      <c r="G7360">
        <v>6.4683999999999999</v>
      </c>
    </row>
    <row r="7361" spans="1:7" x14ac:dyDescent="0.35">
      <c r="A7361" t="s">
        <v>847</v>
      </c>
      <c r="B7361" t="s">
        <v>691</v>
      </c>
      <c r="C7361" s="83">
        <v>46060</v>
      </c>
      <c r="D7361" t="s">
        <v>303</v>
      </c>
      <c r="E7361" t="s">
        <v>302</v>
      </c>
      <c r="F7361">
        <v>22</v>
      </c>
      <c r="G7361">
        <v>8.28386666666667</v>
      </c>
    </row>
    <row r="7362" spans="1:7" x14ac:dyDescent="0.35">
      <c r="A7362" t="s">
        <v>847</v>
      </c>
      <c r="B7362" t="s">
        <v>691</v>
      </c>
      <c r="C7362" s="83">
        <v>46060</v>
      </c>
      <c r="D7362" t="s">
        <v>309</v>
      </c>
      <c r="E7362" t="s">
        <v>344</v>
      </c>
      <c r="F7362">
        <v>10</v>
      </c>
      <c r="G7362">
        <v>7.30375</v>
      </c>
    </row>
    <row r="7363" spans="1:7" x14ac:dyDescent="0.35">
      <c r="A7363" t="s">
        <v>847</v>
      </c>
      <c r="B7363" t="s">
        <v>691</v>
      </c>
      <c r="C7363" s="83">
        <v>46060</v>
      </c>
      <c r="D7363" t="s">
        <v>310</v>
      </c>
      <c r="E7363" t="s">
        <v>126</v>
      </c>
      <c r="F7363">
        <v>22</v>
      </c>
      <c r="G7363">
        <v>24.098199999999999</v>
      </c>
    </row>
    <row r="7364" spans="1:7" x14ac:dyDescent="0.35">
      <c r="A7364" t="s">
        <v>847</v>
      </c>
      <c r="B7364" t="s">
        <v>691</v>
      </c>
      <c r="C7364" s="83">
        <v>46060</v>
      </c>
      <c r="D7364" t="s">
        <v>310</v>
      </c>
      <c r="E7364" t="s">
        <v>311</v>
      </c>
      <c r="F7364">
        <v>20</v>
      </c>
      <c r="G7364">
        <v>88.1892</v>
      </c>
    </row>
    <row r="7365" spans="1:7" x14ac:dyDescent="0.35">
      <c r="A7365" t="s">
        <v>847</v>
      </c>
      <c r="B7365" t="s">
        <v>691</v>
      </c>
      <c r="C7365" s="83">
        <v>46060</v>
      </c>
      <c r="D7365" t="s">
        <v>310</v>
      </c>
      <c r="E7365" t="s">
        <v>333</v>
      </c>
      <c r="F7365">
        <v>7</v>
      </c>
      <c r="G7365">
        <v>32.695033333333299</v>
      </c>
    </row>
    <row r="7366" spans="1:7" x14ac:dyDescent="0.35">
      <c r="A7366" t="s">
        <v>847</v>
      </c>
      <c r="B7366" t="s">
        <v>691</v>
      </c>
      <c r="C7366" s="83">
        <v>46060</v>
      </c>
      <c r="D7366" t="s">
        <v>313</v>
      </c>
      <c r="E7366" t="s">
        <v>830</v>
      </c>
      <c r="F7366">
        <v>8</v>
      </c>
      <c r="G7366">
        <v>65.259783333333303</v>
      </c>
    </row>
    <row r="7367" spans="1:7" x14ac:dyDescent="0.35">
      <c r="A7367" t="s">
        <v>847</v>
      </c>
      <c r="B7367" t="s">
        <v>691</v>
      </c>
      <c r="C7367" s="83">
        <v>46060</v>
      </c>
      <c r="D7367" t="s">
        <v>313</v>
      </c>
      <c r="E7367" t="s">
        <v>126</v>
      </c>
      <c r="F7367">
        <v>6</v>
      </c>
      <c r="G7367">
        <v>15.504250000000001</v>
      </c>
    </row>
    <row r="7368" spans="1:7" x14ac:dyDescent="0.35">
      <c r="A7368" t="s">
        <v>847</v>
      </c>
      <c r="B7368" t="s">
        <v>691</v>
      </c>
      <c r="C7368" s="83">
        <v>46060</v>
      </c>
      <c r="D7368" t="s">
        <v>313</v>
      </c>
      <c r="E7368" t="s">
        <v>322</v>
      </c>
      <c r="F7368">
        <v>2</v>
      </c>
      <c r="G7368">
        <v>0.29876666666666701</v>
      </c>
    </row>
    <row r="7369" spans="1:7" x14ac:dyDescent="0.35">
      <c r="A7369" t="s">
        <v>847</v>
      </c>
      <c r="B7369" t="s">
        <v>691</v>
      </c>
      <c r="C7369" s="83">
        <v>46060</v>
      </c>
      <c r="D7369" t="s">
        <v>314</v>
      </c>
      <c r="E7369" t="s">
        <v>126</v>
      </c>
      <c r="F7369">
        <v>5</v>
      </c>
      <c r="G7369">
        <v>18.337033333333299</v>
      </c>
    </row>
    <row r="7370" spans="1:7" x14ac:dyDescent="0.35">
      <c r="A7370" t="s">
        <v>847</v>
      </c>
      <c r="B7370" t="s">
        <v>691</v>
      </c>
      <c r="C7370" s="83">
        <v>46060</v>
      </c>
      <c r="D7370" t="s">
        <v>314</v>
      </c>
      <c r="E7370" t="s">
        <v>316</v>
      </c>
      <c r="F7370">
        <v>5</v>
      </c>
      <c r="G7370">
        <v>1.61378333333333</v>
      </c>
    </row>
    <row r="7371" spans="1:7" x14ac:dyDescent="0.35">
      <c r="A7371" t="s">
        <v>847</v>
      </c>
      <c r="B7371" t="s">
        <v>691</v>
      </c>
      <c r="C7371" s="83">
        <v>46060</v>
      </c>
      <c r="D7371" t="s">
        <v>314</v>
      </c>
      <c r="E7371" t="s">
        <v>827</v>
      </c>
      <c r="F7371">
        <v>4</v>
      </c>
      <c r="G7371">
        <v>10.9788833333333</v>
      </c>
    </row>
    <row r="7372" spans="1:7" x14ac:dyDescent="0.35">
      <c r="A7372" t="s">
        <v>847</v>
      </c>
      <c r="B7372" t="s">
        <v>691</v>
      </c>
      <c r="C7372" s="83">
        <v>46060</v>
      </c>
      <c r="D7372" t="s">
        <v>317</v>
      </c>
      <c r="E7372" t="s">
        <v>825</v>
      </c>
      <c r="F7372">
        <v>5</v>
      </c>
      <c r="G7372">
        <v>1.65855</v>
      </c>
    </row>
    <row r="7373" spans="1:7" x14ac:dyDescent="0.35">
      <c r="A7373" t="s">
        <v>847</v>
      </c>
      <c r="B7373" t="s">
        <v>691</v>
      </c>
      <c r="C7373" s="83">
        <v>46060</v>
      </c>
      <c r="D7373" t="s">
        <v>317</v>
      </c>
      <c r="E7373" t="s">
        <v>319</v>
      </c>
      <c r="F7373">
        <v>2</v>
      </c>
      <c r="G7373">
        <v>0.69379999999999997</v>
      </c>
    </row>
    <row r="7374" spans="1:7" x14ac:dyDescent="0.35">
      <c r="A7374" t="s">
        <v>847</v>
      </c>
      <c r="B7374" t="s">
        <v>691</v>
      </c>
      <c r="C7374" s="83">
        <v>46060</v>
      </c>
      <c r="D7374" t="s">
        <v>317</v>
      </c>
      <c r="E7374" t="s">
        <v>821</v>
      </c>
      <c r="F7374">
        <v>2</v>
      </c>
      <c r="G7374">
        <v>0.29621666666666702</v>
      </c>
    </row>
    <row r="7375" spans="1:7" x14ac:dyDescent="0.35">
      <c r="A7375" t="s">
        <v>847</v>
      </c>
      <c r="B7375" t="s">
        <v>691</v>
      </c>
      <c r="C7375" s="83">
        <v>46061</v>
      </c>
      <c r="D7375" t="s">
        <v>295</v>
      </c>
      <c r="E7375" t="s">
        <v>296</v>
      </c>
      <c r="F7375">
        <v>51</v>
      </c>
      <c r="G7375">
        <v>24.596983333333299</v>
      </c>
    </row>
    <row r="7376" spans="1:7" x14ac:dyDescent="0.35">
      <c r="A7376" t="s">
        <v>847</v>
      </c>
      <c r="B7376" t="s">
        <v>691</v>
      </c>
      <c r="C7376" s="83">
        <v>46061</v>
      </c>
      <c r="D7376" t="s">
        <v>299</v>
      </c>
      <c r="E7376" t="s">
        <v>296</v>
      </c>
      <c r="F7376">
        <v>57</v>
      </c>
      <c r="G7376">
        <v>42.275766666666698</v>
      </c>
    </row>
    <row r="7377" spans="1:7" x14ac:dyDescent="0.35">
      <c r="A7377" t="s">
        <v>847</v>
      </c>
      <c r="B7377" t="s">
        <v>691</v>
      </c>
      <c r="C7377" s="83">
        <v>46061</v>
      </c>
      <c r="D7377" t="s">
        <v>299</v>
      </c>
      <c r="E7377" t="s">
        <v>302</v>
      </c>
      <c r="F7377">
        <v>9</v>
      </c>
      <c r="G7377">
        <v>6.1071</v>
      </c>
    </row>
    <row r="7378" spans="1:7" x14ac:dyDescent="0.35">
      <c r="A7378" t="s">
        <v>847</v>
      </c>
      <c r="B7378" t="s">
        <v>691</v>
      </c>
      <c r="C7378" s="83">
        <v>46061</v>
      </c>
      <c r="D7378" t="s">
        <v>301</v>
      </c>
      <c r="E7378" t="s">
        <v>302</v>
      </c>
      <c r="F7378">
        <v>15</v>
      </c>
      <c r="G7378">
        <v>9.0146333333333306</v>
      </c>
    </row>
    <row r="7379" spans="1:7" x14ac:dyDescent="0.35">
      <c r="A7379" t="s">
        <v>847</v>
      </c>
      <c r="B7379" t="s">
        <v>691</v>
      </c>
      <c r="C7379" s="83">
        <v>46061</v>
      </c>
      <c r="D7379" t="s">
        <v>303</v>
      </c>
      <c r="E7379" t="s">
        <v>302</v>
      </c>
      <c r="F7379">
        <v>24</v>
      </c>
      <c r="G7379">
        <v>14.7426333333333</v>
      </c>
    </row>
    <row r="7380" spans="1:7" x14ac:dyDescent="0.35">
      <c r="A7380" t="s">
        <v>847</v>
      </c>
      <c r="B7380" t="s">
        <v>691</v>
      </c>
      <c r="C7380" s="83">
        <v>46061</v>
      </c>
      <c r="D7380" t="s">
        <v>309</v>
      </c>
      <c r="E7380" t="s">
        <v>344</v>
      </c>
      <c r="F7380">
        <v>10</v>
      </c>
      <c r="G7380">
        <v>10.177149999999999</v>
      </c>
    </row>
    <row r="7381" spans="1:7" x14ac:dyDescent="0.35">
      <c r="A7381" t="s">
        <v>847</v>
      </c>
      <c r="B7381" t="s">
        <v>691</v>
      </c>
      <c r="C7381" s="83">
        <v>46061</v>
      </c>
      <c r="D7381" t="s">
        <v>310</v>
      </c>
      <c r="E7381" t="s">
        <v>126</v>
      </c>
      <c r="F7381">
        <v>43</v>
      </c>
      <c r="G7381">
        <v>50.161000000000001</v>
      </c>
    </row>
    <row r="7382" spans="1:7" x14ac:dyDescent="0.35">
      <c r="A7382" t="s">
        <v>847</v>
      </c>
      <c r="B7382" t="s">
        <v>691</v>
      </c>
      <c r="C7382" s="83">
        <v>46061</v>
      </c>
      <c r="D7382" t="s">
        <v>310</v>
      </c>
      <c r="E7382" t="s">
        <v>333</v>
      </c>
      <c r="F7382">
        <v>41</v>
      </c>
      <c r="G7382">
        <v>39.747033333333299</v>
      </c>
    </row>
    <row r="7383" spans="1:7" x14ac:dyDescent="0.35">
      <c r="A7383" t="s">
        <v>847</v>
      </c>
      <c r="B7383" t="s">
        <v>691</v>
      </c>
      <c r="C7383" s="83">
        <v>46061</v>
      </c>
      <c r="D7383" t="s">
        <v>310</v>
      </c>
      <c r="E7383" t="s">
        <v>826</v>
      </c>
      <c r="F7383">
        <v>19</v>
      </c>
      <c r="G7383">
        <v>24.381833333333301</v>
      </c>
    </row>
    <row r="7384" spans="1:7" x14ac:dyDescent="0.35">
      <c r="A7384" t="s">
        <v>847</v>
      </c>
      <c r="B7384" t="s">
        <v>691</v>
      </c>
      <c r="C7384" s="83">
        <v>46061</v>
      </c>
      <c r="D7384" t="s">
        <v>313</v>
      </c>
      <c r="E7384" t="s">
        <v>311</v>
      </c>
      <c r="F7384">
        <v>21</v>
      </c>
      <c r="G7384">
        <v>65.017716666666701</v>
      </c>
    </row>
    <row r="7385" spans="1:7" x14ac:dyDescent="0.35">
      <c r="A7385" t="s">
        <v>847</v>
      </c>
      <c r="B7385" t="s">
        <v>691</v>
      </c>
      <c r="C7385" s="83">
        <v>46061</v>
      </c>
      <c r="D7385" t="s">
        <v>313</v>
      </c>
      <c r="E7385" t="s">
        <v>312</v>
      </c>
      <c r="F7385">
        <v>18</v>
      </c>
      <c r="G7385">
        <v>21.928166666666701</v>
      </c>
    </row>
    <row r="7386" spans="1:7" x14ac:dyDescent="0.35">
      <c r="A7386" t="s">
        <v>847</v>
      </c>
      <c r="B7386" t="s">
        <v>691</v>
      </c>
      <c r="C7386" s="83">
        <v>46061</v>
      </c>
      <c r="D7386" t="s">
        <v>313</v>
      </c>
      <c r="E7386" t="s">
        <v>348</v>
      </c>
      <c r="F7386">
        <v>7</v>
      </c>
      <c r="G7386">
        <v>22.303799999999999</v>
      </c>
    </row>
    <row r="7387" spans="1:7" x14ac:dyDescent="0.35">
      <c r="A7387" t="s">
        <v>847</v>
      </c>
      <c r="B7387" t="s">
        <v>691</v>
      </c>
      <c r="C7387" s="83">
        <v>46061</v>
      </c>
      <c r="D7387" t="s">
        <v>314</v>
      </c>
      <c r="E7387" t="s">
        <v>311</v>
      </c>
      <c r="F7387">
        <v>6</v>
      </c>
      <c r="G7387">
        <v>40.739400000000003</v>
      </c>
    </row>
    <row r="7388" spans="1:7" x14ac:dyDescent="0.35">
      <c r="A7388" t="s">
        <v>847</v>
      </c>
      <c r="B7388" t="s">
        <v>691</v>
      </c>
      <c r="C7388" s="83">
        <v>46061</v>
      </c>
      <c r="D7388" t="s">
        <v>314</v>
      </c>
      <c r="E7388" t="s">
        <v>126</v>
      </c>
      <c r="F7388">
        <v>5</v>
      </c>
      <c r="G7388">
        <v>11.909333333333301</v>
      </c>
    </row>
    <row r="7389" spans="1:7" x14ac:dyDescent="0.35">
      <c r="A7389" t="s">
        <v>847</v>
      </c>
      <c r="B7389" t="s">
        <v>691</v>
      </c>
      <c r="C7389" s="83">
        <v>46061</v>
      </c>
      <c r="D7389" t="s">
        <v>314</v>
      </c>
      <c r="E7389" t="s">
        <v>312</v>
      </c>
      <c r="F7389">
        <v>4</v>
      </c>
      <c r="G7389">
        <v>3.16405</v>
      </c>
    </row>
    <row r="7390" spans="1:7" x14ac:dyDescent="0.35">
      <c r="A7390" t="s">
        <v>847</v>
      </c>
      <c r="B7390" t="s">
        <v>691</v>
      </c>
      <c r="C7390" s="83">
        <v>46061</v>
      </c>
      <c r="D7390" t="s">
        <v>317</v>
      </c>
      <c r="E7390" t="s">
        <v>319</v>
      </c>
      <c r="F7390">
        <v>2</v>
      </c>
      <c r="G7390">
        <v>0.1268</v>
      </c>
    </row>
    <row r="7391" spans="1:7" x14ac:dyDescent="0.35">
      <c r="A7391" t="s">
        <v>847</v>
      </c>
      <c r="B7391" t="s">
        <v>691</v>
      </c>
      <c r="C7391" s="83">
        <v>46061</v>
      </c>
      <c r="D7391" t="s">
        <v>317</v>
      </c>
      <c r="E7391" t="s">
        <v>323</v>
      </c>
      <c r="F7391">
        <v>2</v>
      </c>
      <c r="G7391">
        <v>0.29613333333333303</v>
      </c>
    </row>
    <row r="7392" spans="1:7" x14ac:dyDescent="0.35">
      <c r="A7392" t="s">
        <v>847</v>
      </c>
      <c r="B7392" t="s">
        <v>691</v>
      </c>
      <c r="C7392" s="83">
        <v>46062</v>
      </c>
      <c r="D7392" t="s">
        <v>295</v>
      </c>
      <c r="E7392" t="s">
        <v>296</v>
      </c>
      <c r="F7392">
        <v>28</v>
      </c>
      <c r="G7392">
        <v>11.844616666666701</v>
      </c>
    </row>
    <row r="7393" spans="1:7" x14ac:dyDescent="0.35">
      <c r="A7393" t="s">
        <v>847</v>
      </c>
      <c r="B7393" t="s">
        <v>691</v>
      </c>
      <c r="C7393" s="83">
        <v>46062</v>
      </c>
      <c r="D7393" t="s">
        <v>295</v>
      </c>
      <c r="E7393" t="s">
        <v>302</v>
      </c>
      <c r="F7393">
        <v>12</v>
      </c>
      <c r="G7393">
        <v>4.6885166666666702</v>
      </c>
    </row>
    <row r="7394" spans="1:7" x14ac:dyDescent="0.35">
      <c r="A7394" t="s">
        <v>847</v>
      </c>
      <c r="B7394" t="s">
        <v>691</v>
      </c>
      <c r="C7394" s="83">
        <v>46062</v>
      </c>
      <c r="D7394" t="s">
        <v>299</v>
      </c>
      <c r="E7394" t="s">
        <v>296</v>
      </c>
      <c r="F7394">
        <v>58</v>
      </c>
      <c r="G7394">
        <v>25.096616666666701</v>
      </c>
    </row>
    <row r="7395" spans="1:7" x14ac:dyDescent="0.35">
      <c r="A7395" t="s">
        <v>847</v>
      </c>
      <c r="B7395" t="s">
        <v>691</v>
      </c>
      <c r="C7395" s="83">
        <v>46062</v>
      </c>
      <c r="D7395" t="s">
        <v>299</v>
      </c>
      <c r="E7395" t="s">
        <v>302</v>
      </c>
      <c r="F7395">
        <v>26</v>
      </c>
      <c r="G7395">
        <v>12.941233333333299</v>
      </c>
    </row>
    <row r="7396" spans="1:7" x14ac:dyDescent="0.35">
      <c r="A7396" t="s">
        <v>847</v>
      </c>
      <c r="B7396" t="s">
        <v>691</v>
      </c>
      <c r="C7396" s="83">
        <v>46062</v>
      </c>
      <c r="D7396" t="s">
        <v>301</v>
      </c>
      <c r="E7396" t="s">
        <v>302</v>
      </c>
      <c r="F7396">
        <v>16</v>
      </c>
      <c r="G7396">
        <v>8.0124666666666702</v>
      </c>
    </row>
    <row r="7397" spans="1:7" x14ac:dyDescent="0.35">
      <c r="A7397" t="s">
        <v>847</v>
      </c>
      <c r="B7397" t="s">
        <v>691</v>
      </c>
      <c r="C7397" s="83">
        <v>46062</v>
      </c>
      <c r="D7397" t="s">
        <v>303</v>
      </c>
      <c r="E7397" t="s">
        <v>302</v>
      </c>
      <c r="F7397">
        <v>32</v>
      </c>
      <c r="G7397">
        <v>11.1914833333333</v>
      </c>
    </row>
    <row r="7398" spans="1:7" x14ac:dyDescent="0.35">
      <c r="A7398" t="s">
        <v>847</v>
      </c>
      <c r="B7398" t="s">
        <v>691</v>
      </c>
      <c r="C7398" s="83">
        <v>46062</v>
      </c>
      <c r="D7398" t="s">
        <v>310</v>
      </c>
      <c r="E7398" t="s">
        <v>640</v>
      </c>
      <c r="F7398">
        <v>31</v>
      </c>
      <c r="G7398">
        <v>61.515383333333297</v>
      </c>
    </row>
    <row r="7399" spans="1:7" x14ac:dyDescent="0.35">
      <c r="A7399" t="s">
        <v>847</v>
      </c>
      <c r="B7399" t="s">
        <v>691</v>
      </c>
      <c r="C7399" s="83">
        <v>46062</v>
      </c>
      <c r="D7399" t="s">
        <v>310</v>
      </c>
      <c r="E7399" t="s">
        <v>126</v>
      </c>
      <c r="F7399">
        <v>22</v>
      </c>
      <c r="G7399">
        <v>21.410066666666701</v>
      </c>
    </row>
    <row r="7400" spans="1:7" x14ac:dyDescent="0.35">
      <c r="A7400" t="s">
        <v>847</v>
      </c>
      <c r="B7400" t="s">
        <v>691</v>
      </c>
      <c r="C7400" s="83">
        <v>46062</v>
      </c>
      <c r="D7400" t="s">
        <v>310</v>
      </c>
      <c r="E7400" t="s">
        <v>333</v>
      </c>
      <c r="F7400">
        <v>19</v>
      </c>
      <c r="G7400">
        <v>13.085333333333301</v>
      </c>
    </row>
    <row r="7401" spans="1:7" x14ac:dyDescent="0.35">
      <c r="A7401" t="s">
        <v>847</v>
      </c>
      <c r="B7401" t="s">
        <v>691</v>
      </c>
      <c r="C7401" s="83">
        <v>46062</v>
      </c>
      <c r="D7401" t="s">
        <v>313</v>
      </c>
      <c r="E7401" t="s">
        <v>126</v>
      </c>
      <c r="F7401">
        <v>14</v>
      </c>
      <c r="G7401">
        <v>34.319600000000001</v>
      </c>
    </row>
    <row r="7402" spans="1:7" x14ac:dyDescent="0.35">
      <c r="A7402" t="s">
        <v>847</v>
      </c>
      <c r="B7402" t="s">
        <v>691</v>
      </c>
      <c r="C7402" s="83">
        <v>46062</v>
      </c>
      <c r="D7402" t="s">
        <v>313</v>
      </c>
      <c r="E7402" t="s">
        <v>312</v>
      </c>
      <c r="F7402">
        <v>9</v>
      </c>
      <c r="G7402">
        <v>6.5081166666666697</v>
      </c>
    </row>
    <row r="7403" spans="1:7" x14ac:dyDescent="0.35">
      <c r="A7403" t="s">
        <v>847</v>
      </c>
      <c r="B7403" t="s">
        <v>691</v>
      </c>
      <c r="C7403" s="83">
        <v>46062</v>
      </c>
      <c r="D7403" t="s">
        <v>313</v>
      </c>
      <c r="E7403" t="s">
        <v>311</v>
      </c>
      <c r="F7403">
        <v>8</v>
      </c>
      <c r="G7403">
        <v>6.73098333333333</v>
      </c>
    </row>
    <row r="7404" spans="1:7" x14ac:dyDescent="0.35">
      <c r="A7404" t="s">
        <v>847</v>
      </c>
      <c r="B7404" t="s">
        <v>691</v>
      </c>
      <c r="C7404" s="83">
        <v>46062</v>
      </c>
      <c r="D7404" t="s">
        <v>314</v>
      </c>
      <c r="E7404" t="s">
        <v>126</v>
      </c>
      <c r="F7404">
        <v>7</v>
      </c>
      <c r="G7404">
        <v>19.707000000000001</v>
      </c>
    </row>
    <row r="7405" spans="1:7" x14ac:dyDescent="0.35">
      <c r="A7405" t="s">
        <v>847</v>
      </c>
      <c r="B7405" t="s">
        <v>691</v>
      </c>
      <c r="C7405" s="83">
        <v>46062</v>
      </c>
      <c r="D7405" t="s">
        <v>314</v>
      </c>
      <c r="E7405" t="s">
        <v>311</v>
      </c>
      <c r="F7405">
        <v>6</v>
      </c>
      <c r="G7405">
        <v>85.307299999999998</v>
      </c>
    </row>
    <row r="7406" spans="1:7" x14ac:dyDescent="0.35">
      <c r="A7406" t="s">
        <v>847</v>
      </c>
      <c r="B7406" t="s">
        <v>691</v>
      </c>
      <c r="C7406" s="83">
        <v>46062</v>
      </c>
      <c r="D7406" t="s">
        <v>314</v>
      </c>
      <c r="E7406" t="s">
        <v>312</v>
      </c>
      <c r="F7406">
        <v>5</v>
      </c>
      <c r="G7406">
        <v>3.1133333333333302</v>
      </c>
    </row>
    <row r="7407" spans="1:7" x14ac:dyDescent="0.35">
      <c r="A7407" t="s">
        <v>847</v>
      </c>
      <c r="B7407" t="s">
        <v>691</v>
      </c>
      <c r="C7407" s="83">
        <v>46062</v>
      </c>
      <c r="D7407" t="s">
        <v>317</v>
      </c>
      <c r="E7407" t="s">
        <v>792</v>
      </c>
      <c r="F7407">
        <v>2</v>
      </c>
      <c r="G7407">
        <v>0.62580000000000002</v>
      </c>
    </row>
    <row r="7408" spans="1:7" x14ac:dyDescent="0.35">
      <c r="A7408" t="s">
        <v>847</v>
      </c>
      <c r="B7408" t="s">
        <v>691</v>
      </c>
      <c r="C7408" s="83">
        <v>46063</v>
      </c>
      <c r="D7408" t="s">
        <v>295</v>
      </c>
      <c r="E7408" t="s">
        <v>296</v>
      </c>
      <c r="F7408">
        <v>23</v>
      </c>
      <c r="G7408">
        <v>8.6376000000000008</v>
      </c>
    </row>
    <row r="7409" spans="1:7" x14ac:dyDescent="0.35">
      <c r="A7409" t="s">
        <v>847</v>
      </c>
      <c r="B7409" t="s">
        <v>691</v>
      </c>
      <c r="C7409" s="83">
        <v>46063</v>
      </c>
      <c r="D7409" t="s">
        <v>295</v>
      </c>
      <c r="E7409" t="s">
        <v>302</v>
      </c>
      <c r="F7409">
        <v>10</v>
      </c>
      <c r="G7409">
        <v>2.2550666666666701</v>
      </c>
    </row>
    <row r="7410" spans="1:7" x14ac:dyDescent="0.35">
      <c r="A7410" t="s">
        <v>847</v>
      </c>
      <c r="B7410" t="s">
        <v>691</v>
      </c>
      <c r="C7410" s="83">
        <v>46063</v>
      </c>
      <c r="D7410" t="s">
        <v>299</v>
      </c>
      <c r="E7410" t="s">
        <v>296</v>
      </c>
      <c r="F7410">
        <v>37</v>
      </c>
      <c r="G7410">
        <v>35.6847833333333</v>
      </c>
    </row>
    <row r="7411" spans="1:7" x14ac:dyDescent="0.35">
      <c r="A7411" t="s">
        <v>847</v>
      </c>
      <c r="B7411" t="s">
        <v>691</v>
      </c>
      <c r="C7411" s="83">
        <v>46063</v>
      </c>
      <c r="D7411" t="s">
        <v>301</v>
      </c>
      <c r="E7411" t="s">
        <v>302</v>
      </c>
      <c r="F7411">
        <v>46</v>
      </c>
      <c r="G7411">
        <v>27.868733333333299</v>
      </c>
    </row>
    <row r="7412" spans="1:7" x14ac:dyDescent="0.35">
      <c r="A7412" t="s">
        <v>847</v>
      </c>
      <c r="B7412" t="s">
        <v>691</v>
      </c>
      <c r="C7412" s="83">
        <v>46063</v>
      </c>
      <c r="D7412" t="s">
        <v>303</v>
      </c>
      <c r="E7412" t="s">
        <v>302</v>
      </c>
      <c r="F7412">
        <v>31</v>
      </c>
      <c r="G7412">
        <v>17.953383333333299</v>
      </c>
    </row>
    <row r="7413" spans="1:7" x14ac:dyDescent="0.35">
      <c r="A7413" t="s">
        <v>847</v>
      </c>
      <c r="B7413" t="s">
        <v>691</v>
      </c>
      <c r="C7413" s="83">
        <v>46063</v>
      </c>
      <c r="D7413" t="s">
        <v>309</v>
      </c>
      <c r="E7413" t="s">
        <v>344</v>
      </c>
      <c r="F7413">
        <v>24</v>
      </c>
      <c r="G7413">
        <v>19.131033333333299</v>
      </c>
    </row>
    <row r="7414" spans="1:7" x14ac:dyDescent="0.35">
      <c r="A7414" t="s">
        <v>847</v>
      </c>
      <c r="B7414" t="s">
        <v>691</v>
      </c>
      <c r="C7414" s="83">
        <v>46063</v>
      </c>
      <c r="D7414" t="s">
        <v>310</v>
      </c>
      <c r="E7414" t="s">
        <v>311</v>
      </c>
      <c r="F7414">
        <v>28</v>
      </c>
      <c r="G7414">
        <v>25.84535</v>
      </c>
    </row>
    <row r="7415" spans="1:7" x14ac:dyDescent="0.35">
      <c r="A7415" t="s">
        <v>847</v>
      </c>
      <c r="B7415" t="s">
        <v>691</v>
      </c>
      <c r="C7415" s="83">
        <v>46063</v>
      </c>
      <c r="D7415" t="s">
        <v>310</v>
      </c>
      <c r="E7415" t="s">
        <v>312</v>
      </c>
      <c r="F7415">
        <v>15</v>
      </c>
      <c r="G7415">
        <v>9.7673333333333296</v>
      </c>
    </row>
    <row r="7416" spans="1:7" x14ac:dyDescent="0.35">
      <c r="A7416" t="s">
        <v>847</v>
      </c>
      <c r="B7416" t="s">
        <v>691</v>
      </c>
      <c r="C7416" s="83">
        <v>46063</v>
      </c>
      <c r="D7416" t="s">
        <v>310</v>
      </c>
      <c r="E7416" t="s">
        <v>126</v>
      </c>
      <c r="F7416">
        <v>15</v>
      </c>
      <c r="G7416">
        <v>26.894100000000002</v>
      </c>
    </row>
    <row r="7417" spans="1:7" x14ac:dyDescent="0.35">
      <c r="A7417" t="s">
        <v>847</v>
      </c>
      <c r="B7417" t="s">
        <v>691</v>
      </c>
      <c r="C7417" s="83">
        <v>46063</v>
      </c>
      <c r="D7417" t="s">
        <v>313</v>
      </c>
      <c r="E7417" t="s">
        <v>311</v>
      </c>
      <c r="F7417">
        <v>14</v>
      </c>
      <c r="G7417">
        <v>13.5477833333333</v>
      </c>
    </row>
    <row r="7418" spans="1:7" x14ac:dyDescent="0.35">
      <c r="A7418" t="s">
        <v>847</v>
      </c>
      <c r="B7418" t="s">
        <v>691</v>
      </c>
      <c r="C7418" s="83">
        <v>46063</v>
      </c>
      <c r="D7418" t="s">
        <v>313</v>
      </c>
      <c r="E7418" t="s">
        <v>312</v>
      </c>
      <c r="F7418">
        <v>6</v>
      </c>
      <c r="G7418">
        <v>4.7893999999999997</v>
      </c>
    </row>
    <row r="7419" spans="1:7" x14ac:dyDescent="0.35">
      <c r="A7419" t="s">
        <v>847</v>
      </c>
      <c r="B7419" t="s">
        <v>691</v>
      </c>
      <c r="C7419" s="83">
        <v>46063</v>
      </c>
      <c r="D7419" t="s">
        <v>313</v>
      </c>
      <c r="E7419" t="s">
        <v>640</v>
      </c>
      <c r="F7419">
        <v>6</v>
      </c>
      <c r="G7419">
        <v>7.2846333333333302</v>
      </c>
    </row>
    <row r="7420" spans="1:7" x14ac:dyDescent="0.35">
      <c r="A7420" t="s">
        <v>847</v>
      </c>
      <c r="B7420" t="s">
        <v>691</v>
      </c>
      <c r="C7420" s="83">
        <v>46063</v>
      </c>
      <c r="D7420" t="s">
        <v>314</v>
      </c>
      <c r="E7420" t="s">
        <v>321</v>
      </c>
      <c r="F7420">
        <v>4</v>
      </c>
      <c r="G7420">
        <v>28.174566666666699</v>
      </c>
    </row>
    <row r="7421" spans="1:7" x14ac:dyDescent="0.35">
      <c r="A7421" t="s">
        <v>847</v>
      </c>
      <c r="B7421" t="s">
        <v>691</v>
      </c>
      <c r="C7421" s="83">
        <v>46063</v>
      </c>
      <c r="D7421" t="s">
        <v>314</v>
      </c>
      <c r="E7421" t="s">
        <v>316</v>
      </c>
      <c r="F7421">
        <v>3</v>
      </c>
      <c r="G7421">
        <v>1.73485</v>
      </c>
    </row>
    <row r="7422" spans="1:7" x14ac:dyDescent="0.35">
      <c r="A7422" t="s">
        <v>847</v>
      </c>
      <c r="B7422" t="s">
        <v>691</v>
      </c>
      <c r="C7422" s="83">
        <v>46063</v>
      </c>
      <c r="D7422" t="s">
        <v>314</v>
      </c>
      <c r="E7422" t="s">
        <v>311</v>
      </c>
      <c r="F7422">
        <v>3</v>
      </c>
      <c r="G7422">
        <v>12.6283166666667</v>
      </c>
    </row>
    <row r="7423" spans="1:7" x14ac:dyDescent="0.35">
      <c r="A7423" t="s">
        <v>847</v>
      </c>
      <c r="B7423" t="s">
        <v>691</v>
      </c>
      <c r="C7423" s="83">
        <v>46063</v>
      </c>
      <c r="D7423" t="s">
        <v>317</v>
      </c>
      <c r="E7423" t="s">
        <v>323</v>
      </c>
      <c r="F7423">
        <v>3</v>
      </c>
      <c r="G7423">
        <v>0.54154999999999998</v>
      </c>
    </row>
    <row r="7424" spans="1:7" x14ac:dyDescent="0.35">
      <c r="A7424" t="s">
        <v>847</v>
      </c>
      <c r="B7424" t="s">
        <v>691</v>
      </c>
      <c r="C7424" s="83">
        <v>46063</v>
      </c>
      <c r="D7424" t="s">
        <v>317</v>
      </c>
      <c r="E7424" t="s">
        <v>772</v>
      </c>
      <c r="F7424">
        <v>2</v>
      </c>
      <c r="G7424">
        <v>0.96241666666666703</v>
      </c>
    </row>
    <row r="7425" spans="1:7" x14ac:dyDescent="0.35">
      <c r="A7425" t="s">
        <v>847</v>
      </c>
      <c r="B7425" t="s">
        <v>691</v>
      </c>
      <c r="C7425" s="83">
        <v>46064</v>
      </c>
      <c r="D7425" t="s">
        <v>295</v>
      </c>
      <c r="E7425" t="s">
        <v>296</v>
      </c>
      <c r="F7425">
        <v>22</v>
      </c>
      <c r="G7425">
        <v>12.0850833333333</v>
      </c>
    </row>
    <row r="7426" spans="1:7" x14ac:dyDescent="0.35">
      <c r="A7426" t="s">
        <v>847</v>
      </c>
      <c r="B7426" t="s">
        <v>691</v>
      </c>
      <c r="C7426" s="83">
        <v>46064</v>
      </c>
      <c r="D7426" t="s">
        <v>295</v>
      </c>
      <c r="E7426" t="s">
        <v>302</v>
      </c>
      <c r="F7426">
        <v>10</v>
      </c>
      <c r="G7426">
        <v>5.2590000000000003</v>
      </c>
    </row>
    <row r="7427" spans="1:7" x14ac:dyDescent="0.35">
      <c r="A7427" t="s">
        <v>847</v>
      </c>
      <c r="B7427" t="s">
        <v>691</v>
      </c>
      <c r="C7427" s="83">
        <v>46064</v>
      </c>
      <c r="D7427" t="s">
        <v>299</v>
      </c>
      <c r="E7427" t="s">
        <v>296</v>
      </c>
      <c r="F7427">
        <v>55</v>
      </c>
      <c r="G7427">
        <v>25.6797166666667</v>
      </c>
    </row>
    <row r="7428" spans="1:7" x14ac:dyDescent="0.35">
      <c r="A7428" t="s">
        <v>847</v>
      </c>
      <c r="B7428" t="s">
        <v>691</v>
      </c>
      <c r="C7428" s="83">
        <v>46064</v>
      </c>
      <c r="D7428" t="s">
        <v>299</v>
      </c>
      <c r="E7428" t="s">
        <v>302</v>
      </c>
      <c r="F7428">
        <v>19</v>
      </c>
      <c r="G7428">
        <v>9.4850999999999992</v>
      </c>
    </row>
    <row r="7429" spans="1:7" x14ac:dyDescent="0.35">
      <c r="A7429" t="s">
        <v>847</v>
      </c>
      <c r="B7429" t="s">
        <v>691</v>
      </c>
      <c r="C7429" s="83">
        <v>46064</v>
      </c>
      <c r="D7429" t="s">
        <v>301</v>
      </c>
      <c r="E7429" t="s">
        <v>302</v>
      </c>
      <c r="F7429">
        <v>16</v>
      </c>
      <c r="G7429">
        <v>16.336733333333299</v>
      </c>
    </row>
    <row r="7430" spans="1:7" x14ac:dyDescent="0.35">
      <c r="A7430" t="s">
        <v>847</v>
      </c>
      <c r="B7430" t="s">
        <v>691</v>
      </c>
      <c r="C7430" s="83">
        <v>46064</v>
      </c>
      <c r="D7430" t="s">
        <v>303</v>
      </c>
      <c r="E7430" t="s">
        <v>302</v>
      </c>
      <c r="F7430">
        <v>32</v>
      </c>
      <c r="G7430">
        <v>21.45195</v>
      </c>
    </row>
    <row r="7431" spans="1:7" x14ac:dyDescent="0.35">
      <c r="A7431" t="s">
        <v>847</v>
      </c>
      <c r="B7431" t="s">
        <v>691</v>
      </c>
      <c r="C7431" s="83">
        <v>46064</v>
      </c>
      <c r="D7431" t="s">
        <v>309</v>
      </c>
      <c r="E7431" t="s">
        <v>344</v>
      </c>
      <c r="F7431">
        <v>26</v>
      </c>
      <c r="G7431">
        <v>18.6154333333333</v>
      </c>
    </row>
    <row r="7432" spans="1:7" x14ac:dyDescent="0.35">
      <c r="A7432" t="s">
        <v>847</v>
      </c>
      <c r="B7432" t="s">
        <v>691</v>
      </c>
      <c r="C7432" s="83">
        <v>46064</v>
      </c>
      <c r="D7432" t="s">
        <v>310</v>
      </c>
      <c r="E7432" t="s">
        <v>311</v>
      </c>
      <c r="F7432">
        <v>19</v>
      </c>
      <c r="G7432">
        <v>19.927399999999999</v>
      </c>
    </row>
    <row r="7433" spans="1:7" x14ac:dyDescent="0.35">
      <c r="A7433" t="s">
        <v>847</v>
      </c>
      <c r="B7433" t="s">
        <v>691</v>
      </c>
      <c r="C7433" s="83">
        <v>46064</v>
      </c>
      <c r="D7433" t="s">
        <v>310</v>
      </c>
      <c r="E7433" t="s">
        <v>640</v>
      </c>
      <c r="F7433">
        <v>18</v>
      </c>
      <c r="G7433">
        <v>65.127866666666705</v>
      </c>
    </row>
    <row r="7434" spans="1:7" x14ac:dyDescent="0.35">
      <c r="A7434" t="s">
        <v>847</v>
      </c>
      <c r="B7434" t="s">
        <v>691</v>
      </c>
      <c r="C7434" s="83">
        <v>46064</v>
      </c>
      <c r="D7434" t="s">
        <v>310</v>
      </c>
      <c r="E7434" t="s">
        <v>126</v>
      </c>
      <c r="F7434">
        <v>10</v>
      </c>
      <c r="G7434">
        <v>8.4168166666666693</v>
      </c>
    </row>
    <row r="7435" spans="1:7" x14ac:dyDescent="0.35">
      <c r="A7435" t="s">
        <v>847</v>
      </c>
      <c r="B7435" t="s">
        <v>691</v>
      </c>
      <c r="C7435" s="83">
        <v>46064</v>
      </c>
      <c r="D7435" t="s">
        <v>313</v>
      </c>
      <c r="E7435" t="s">
        <v>311</v>
      </c>
      <c r="F7435">
        <v>13</v>
      </c>
      <c r="G7435">
        <v>21.056983333333299</v>
      </c>
    </row>
    <row r="7436" spans="1:7" x14ac:dyDescent="0.35">
      <c r="A7436" t="s">
        <v>847</v>
      </c>
      <c r="B7436" t="s">
        <v>691</v>
      </c>
      <c r="C7436" s="83">
        <v>46064</v>
      </c>
      <c r="D7436" t="s">
        <v>313</v>
      </c>
      <c r="E7436" t="s">
        <v>312</v>
      </c>
      <c r="F7436">
        <v>9</v>
      </c>
      <c r="G7436">
        <v>3.9342333333333301</v>
      </c>
    </row>
    <row r="7437" spans="1:7" x14ac:dyDescent="0.35">
      <c r="A7437" t="s">
        <v>847</v>
      </c>
      <c r="B7437" t="s">
        <v>691</v>
      </c>
      <c r="C7437" s="83">
        <v>46064</v>
      </c>
      <c r="D7437" t="s">
        <v>313</v>
      </c>
      <c r="E7437" t="s">
        <v>126</v>
      </c>
      <c r="F7437">
        <v>5</v>
      </c>
      <c r="G7437">
        <v>19.556516666666699</v>
      </c>
    </row>
    <row r="7438" spans="1:7" x14ac:dyDescent="0.35">
      <c r="A7438" t="s">
        <v>847</v>
      </c>
      <c r="B7438" t="s">
        <v>691</v>
      </c>
      <c r="C7438" s="83">
        <v>46064</v>
      </c>
      <c r="D7438" t="s">
        <v>314</v>
      </c>
      <c r="E7438" t="s">
        <v>338</v>
      </c>
      <c r="F7438">
        <v>4</v>
      </c>
      <c r="G7438">
        <v>11.5174</v>
      </c>
    </row>
    <row r="7439" spans="1:7" x14ac:dyDescent="0.35">
      <c r="A7439" t="s">
        <v>847</v>
      </c>
      <c r="B7439" t="s">
        <v>691</v>
      </c>
      <c r="C7439" s="83">
        <v>46064</v>
      </c>
      <c r="D7439" t="s">
        <v>314</v>
      </c>
      <c r="E7439" t="s">
        <v>640</v>
      </c>
      <c r="F7439">
        <v>4</v>
      </c>
      <c r="G7439">
        <v>15.4653333333333</v>
      </c>
    </row>
    <row r="7440" spans="1:7" x14ac:dyDescent="0.35">
      <c r="A7440" t="s">
        <v>847</v>
      </c>
      <c r="B7440" t="s">
        <v>691</v>
      </c>
      <c r="C7440" s="83">
        <v>46064</v>
      </c>
      <c r="D7440" t="s">
        <v>314</v>
      </c>
      <c r="E7440" t="s">
        <v>347</v>
      </c>
      <c r="F7440">
        <v>3</v>
      </c>
      <c r="G7440">
        <v>0.53268333333333295</v>
      </c>
    </row>
    <row r="7441" spans="1:7" x14ac:dyDescent="0.35">
      <c r="A7441" t="s">
        <v>847</v>
      </c>
      <c r="B7441" t="s">
        <v>691</v>
      </c>
      <c r="C7441" s="83">
        <v>46064</v>
      </c>
      <c r="D7441" t="s">
        <v>317</v>
      </c>
      <c r="E7441" t="s">
        <v>322</v>
      </c>
      <c r="F7441">
        <v>3</v>
      </c>
      <c r="G7441">
        <v>1.01843333333333</v>
      </c>
    </row>
    <row r="7442" spans="1:7" x14ac:dyDescent="0.35">
      <c r="A7442" t="s">
        <v>847</v>
      </c>
      <c r="B7442" t="s">
        <v>691</v>
      </c>
      <c r="C7442" s="83">
        <v>46064</v>
      </c>
      <c r="D7442" t="s">
        <v>317</v>
      </c>
      <c r="E7442" t="s">
        <v>315</v>
      </c>
      <c r="F7442">
        <v>2</v>
      </c>
      <c r="G7442">
        <v>4.2885166666666699</v>
      </c>
    </row>
    <row r="7443" spans="1:7" x14ac:dyDescent="0.35">
      <c r="A7443" t="s">
        <v>847</v>
      </c>
      <c r="B7443" t="s">
        <v>691</v>
      </c>
      <c r="C7443" s="83">
        <v>46065</v>
      </c>
      <c r="D7443" t="s">
        <v>295</v>
      </c>
      <c r="E7443" t="s">
        <v>296</v>
      </c>
      <c r="F7443">
        <v>21</v>
      </c>
      <c r="G7443">
        <v>18.866099999999999</v>
      </c>
    </row>
    <row r="7444" spans="1:7" x14ac:dyDescent="0.35">
      <c r="A7444" t="s">
        <v>847</v>
      </c>
      <c r="B7444" t="s">
        <v>691</v>
      </c>
      <c r="C7444" s="83">
        <v>46065</v>
      </c>
      <c r="D7444" t="s">
        <v>299</v>
      </c>
      <c r="E7444" t="s">
        <v>296</v>
      </c>
      <c r="F7444">
        <v>36</v>
      </c>
      <c r="G7444">
        <v>20.7008166666667</v>
      </c>
    </row>
    <row r="7445" spans="1:7" x14ac:dyDescent="0.35">
      <c r="A7445" t="s">
        <v>847</v>
      </c>
      <c r="B7445" t="s">
        <v>691</v>
      </c>
      <c r="C7445" s="83">
        <v>46065</v>
      </c>
      <c r="D7445" t="s">
        <v>301</v>
      </c>
      <c r="E7445" t="s">
        <v>302</v>
      </c>
      <c r="F7445">
        <v>28</v>
      </c>
      <c r="G7445">
        <v>14.695316666666701</v>
      </c>
    </row>
    <row r="7446" spans="1:7" x14ac:dyDescent="0.35">
      <c r="A7446" t="s">
        <v>847</v>
      </c>
      <c r="B7446" t="s">
        <v>691</v>
      </c>
      <c r="C7446" s="83">
        <v>46065</v>
      </c>
      <c r="D7446" t="s">
        <v>303</v>
      </c>
      <c r="E7446" t="s">
        <v>302</v>
      </c>
      <c r="F7446">
        <v>17</v>
      </c>
      <c r="G7446">
        <v>7.8330500000000001</v>
      </c>
    </row>
    <row r="7447" spans="1:7" x14ac:dyDescent="0.35">
      <c r="A7447" t="s">
        <v>847</v>
      </c>
      <c r="B7447" t="s">
        <v>691</v>
      </c>
      <c r="C7447" s="83">
        <v>46065</v>
      </c>
      <c r="D7447" t="s">
        <v>310</v>
      </c>
      <c r="E7447" t="s">
        <v>311</v>
      </c>
      <c r="F7447">
        <v>19</v>
      </c>
      <c r="G7447">
        <v>29.934850000000001</v>
      </c>
    </row>
    <row r="7448" spans="1:7" x14ac:dyDescent="0.35">
      <c r="A7448" t="s">
        <v>847</v>
      </c>
      <c r="B7448" t="s">
        <v>691</v>
      </c>
      <c r="C7448" s="83">
        <v>46065</v>
      </c>
      <c r="D7448" t="s">
        <v>310</v>
      </c>
      <c r="E7448" t="s">
        <v>640</v>
      </c>
      <c r="F7448">
        <v>14</v>
      </c>
      <c r="G7448">
        <v>20.30125</v>
      </c>
    </row>
    <row r="7449" spans="1:7" x14ac:dyDescent="0.35">
      <c r="A7449" t="s">
        <v>847</v>
      </c>
      <c r="B7449" t="s">
        <v>691</v>
      </c>
      <c r="C7449" s="83">
        <v>46065</v>
      </c>
      <c r="D7449" t="s">
        <v>310</v>
      </c>
      <c r="E7449" t="s">
        <v>312</v>
      </c>
      <c r="F7449">
        <v>10</v>
      </c>
      <c r="G7449">
        <v>6.0179999999999998</v>
      </c>
    </row>
    <row r="7450" spans="1:7" x14ac:dyDescent="0.35">
      <c r="A7450" t="s">
        <v>847</v>
      </c>
      <c r="B7450" t="s">
        <v>691</v>
      </c>
      <c r="C7450" s="83">
        <v>46065</v>
      </c>
      <c r="D7450" t="s">
        <v>313</v>
      </c>
      <c r="E7450" t="s">
        <v>311</v>
      </c>
      <c r="F7450">
        <v>28</v>
      </c>
      <c r="G7450">
        <v>34.890966666666699</v>
      </c>
    </row>
    <row r="7451" spans="1:7" x14ac:dyDescent="0.35">
      <c r="A7451" t="s">
        <v>847</v>
      </c>
      <c r="B7451" t="s">
        <v>691</v>
      </c>
      <c r="C7451" s="83">
        <v>46065</v>
      </c>
      <c r="D7451" t="s">
        <v>313</v>
      </c>
      <c r="E7451" t="s">
        <v>126</v>
      </c>
      <c r="F7451">
        <v>3</v>
      </c>
      <c r="G7451">
        <v>8.3126833333333305</v>
      </c>
    </row>
    <row r="7452" spans="1:7" x14ac:dyDescent="0.35">
      <c r="A7452" t="s">
        <v>847</v>
      </c>
      <c r="B7452" t="s">
        <v>691</v>
      </c>
      <c r="C7452" s="83">
        <v>46065</v>
      </c>
      <c r="D7452" t="s">
        <v>313</v>
      </c>
      <c r="E7452" t="s">
        <v>348</v>
      </c>
      <c r="F7452">
        <v>3</v>
      </c>
      <c r="G7452">
        <v>12.384733333333299</v>
      </c>
    </row>
    <row r="7453" spans="1:7" x14ac:dyDescent="0.35">
      <c r="A7453" t="s">
        <v>847</v>
      </c>
      <c r="B7453" t="s">
        <v>691</v>
      </c>
      <c r="C7453" s="83">
        <v>46065</v>
      </c>
      <c r="D7453" t="s">
        <v>314</v>
      </c>
      <c r="E7453" t="s">
        <v>126</v>
      </c>
      <c r="F7453">
        <v>5</v>
      </c>
      <c r="G7453">
        <v>11.596066666666699</v>
      </c>
    </row>
    <row r="7454" spans="1:7" x14ac:dyDescent="0.35">
      <c r="A7454" t="s">
        <v>847</v>
      </c>
      <c r="B7454" t="s">
        <v>691</v>
      </c>
      <c r="C7454" s="83">
        <v>46065</v>
      </c>
      <c r="D7454" t="s">
        <v>314</v>
      </c>
      <c r="E7454" t="s">
        <v>640</v>
      </c>
      <c r="F7454">
        <v>5</v>
      </c>
      <c r="G7454">
        <v>10.2015833333333</v>
      </c>
    </row>
    <row r="7455" spans="1:7" x14ac:dyDescent="0.35">
      <c r="A7455" t="s">
        <v>847</v>
      </c>
      <c r="B7455" t="s">
        <v>691</v>
      </c>
      <c r="C7455" s="83">
        <v>46065</v>
      </c>
      <c r="D7455" t="s">
        <v>314</v>
      </c>
      <c r="E7455" t="s">
        <v>322</v>
      </c>
      <c r="F7455">
        <v>3</v>
      </c>
      <c r="G7455">
        <v>4.2856333333333296</v>
      </c>
    </row>
    <row r="7456" spans="1:7" x14ac:dyDescent="0.35">
      <c r="A7456" t="s">
        <v>847</v>
      </c>
      <c r="B7456" t="s">
        <v>691</v>
      </c>
      <c r="C7456" s="83">
        <v>46065</v>
      </c>
      <c r="D7456" t="s">
        <v>317</v>
      </c>
      <c r="E7456" t="s">
        <v>792</v>
      </c>
      <c r="F7456">
        <v>2</v>
      </c>
      <c r="G7456">
        <v>0.3301</v>
      </c>
    </row>
    <row r="7457" spans="1:7" x14ac:dyDescent="0.35">
      <c r="A7457" t="s">
        <v>847</v>
      </c>
      <c r="B7457" t="s">
        <v>691</v>
      </c>
      <c r="C7457" s="83">
        <v>46065</v>
      </c>
      <c r="D7457" t="s">
        <v>317</v>
      </c>
      <c r="E7457" t="s">
        <v>319</v>
      </c>
      <c r="F7457">
        <v>2</v>
      </c>
      <c r="G7457">
        <v>0.23710000000000001</v>
      </c>
    </row>
    <row r="7458" spans="1:7" x14ac:dyDescent="0.35">
      <c r="A7458" t="s">
        <v>847</v>
      </c>
      <c r="B7458" t="s">
        <v>691</v>
      </c>
      <c r="C7458" s="83">
        <v>46066</v>
      </c>
      <c r="D7458" t="s">
        <v>295</v>
      </c>
      <c r="E7458" t="s">
        <v>296</v>
      </c>
      <c r="F7458">
        <v>18</v>
      </c>
      <c r="G7458">
        <v>11.390266666666699</v>
      </c>
    </row>
    <row r="7459" spans="1:7" x14ac:dyDescent="0.35">
      <c r="A7459" t="s">
        <v>847</v>
      </c>
      <c r="B7459" t="s">
        <v>691</v>
      </c>
      <c r="C7459" s="83">
        <v>46066</v>
      </c>
      <c r="D7459" t="s">
        <v>299</v>
      </c>
      <c r="E7459" t="s">
        <v>296</v>
      </c>
      <c r="F7459">
        <v>28</v>
      </c>
      <c r="G7459">
        <v>15.6786833333333</v>
      </c>
    </row>
    <row r="7460" spans="1:7" x14ac:dyDescent="0.35">
      <c r="A7460" t="s">
        <v>847</v>
      </c>
      <c r="B7460" t="s">
        <v>691</v>
      </c>
      <c r="C7460" s="83">
        <v>46066</v>
      </c>
      <c r="D7460" t="s">
        <v>301</v>
      </c>
      <c r="E7460" t="s">
        <v>302</v>
      </c>
      <c r="F7460">
        <v>19</v>
      </c>
      <c r="G7460">
        <v>10.280466666666699</v>
      </c>
    </row>
    <row r="7461" spans="1:7" x14ac:dyDescent="0.35">
      <c r="A7461" t="s">
        <v>847</v>
      </c>
      <c r="B7461" t="s">
        <v>691</v>
      </c>
      <c r="C7461" s="83">
        <v>46066</v>
      </c>
      <c r="D7461" t="s">
        <v>303</v>
      </c>
      <c r="E7461" t="s">
        <v>302</v>
      </c>
      <c r="F7461">
        <v>22</v>
      </c>
      <c r="G7461">
        <v>10.760949999999999</v>
      </c>
    </row>
    <row r="7462" spans="1:7" x14ac:dyDescent="0.35">
      <c r="A7462" t="s">
        <v>847</v>
      </c>
      <c r="B7462" t="s">
        <v>691</v>
      </c>
      <c r="C7462" s="83">
        <v>46066</v>
      </c>
      <c r="D7462" t="s">
        <v>305</v>
      </c>
      <c r="E7462" t="s">
        <v>344</v>
      </c>
      <c r="F7462">
        <v>23</v>
      </c>
      <c r="G7462">
        <v>15.2464333333333</v>
      </c>
    </row>
    <row r="7463" spans="1:7" x14ac:dyDescent="0.35">
      <c r="A7463" t="s">
        <v>847</v>
      </c>
      <c r="B7463" t="s">
        <v>691</v>
      </c>
      <c r="C7463" s="83">
        <v>46066</v>
      </c>
      <c r="D7463" t="s">
        <v>309</v>
      </c>
      <c r="E7463" t="s">
        <v>344</v>
      </c>
      <c r="F7463">
        <v>15</v>
      </c>
      <c r="G7463">
        <v>7.33765</v>
      </c>
    </row>
    <row r="7464" spans="1:7" x14ac:dyDescent="0.35">
      <c r="A7464" t="s">
        <v>847</v>
      </c>
      <c r="B7464" t="s">
        <v>691</v>
      </c>
      <c r="C7464" s="83">
        <v>46066</v>
      </c>
      <c r="D7464" t="s">
        <v>310</v>
      </c>
      <c r="E7464" t="s">
        <v>126</v>
      </c>
      <c r="F7464">
        <v>57</v>
      </c>
      <c r="G7464">
        <v>65.7434333333333</v>
      </c>
    </row>
    <row r="7465" spans="1:7" x14ac:dyDescent="0.35">
      <c r="A7465" t="s">
        <v>847</v>
      </c>
      <c r="B7465" t="s">
        <v>691</v>
      </c>
      <c r="C7465" s="83">
        <v>46066</v>
      </c>
      <c r="D7465" t="s">
        <v>310</v>
      </c>
      <c r="E7465" t="s">
        <v>311</v>
      </c>
      <c r="F7465">
        <v>21</v>
      </c>
      <c r="G7465">
        <v>15.512266666666701</v>
      </c>
    </row>
    <row r="7466" spans="1:7" x14ac:dyDescent="0.35">
      <c r="A7466" t="s">
        <v>847</v>
      </c>
      <c r="B7466" t="s">
        <v>691</v>
      </c>
      <c r="C7466" s="83">
        <v>46066</v>
      </c>
      <c r="D7466" t="s">
        <v>310</v>
      </c>
      <c r="E7466" t="s">
        <v>312</v>
      </c>
      <c r="F7466">
        <v>17</v>
      </c>
      <c r="G7466">
        <v>28.334866666666699</v>
      </c>
    </row>
    <row r="7467" spans="1:7" x14ac:dyDescent="0.35">
      <c r="A7467" t="s">
        <v>847</v>
      </c>
      <c r="B7467" t="s">
        <v>691</v>
      </c>
      <c r="C7467" s="83">
        <v>46066</v>
      </c>
      <c r="D7467" t="s">
        <v>313</v>
      </c>
      <c r="E7467" t="s">
        <v>126</v>
      </c>
      <c r="F7467">
        <v>11</v>
      </c>
      <c r="G7467">
        <v>23.347366666666701</v>
      </c>
    </row>
    <row r="7468" spans="1:7" x14ac:dyDescent="0.35">
      <c r="A7468" t="s">
        <v>847</v>
      </c>
      <c r="B7468" t="s">
        <v>691</v>
      </c>
      <c r="C7468" s="83">
        <v>46066</v>
      </c>
      <c r="D7468" t="s">
        <v>313</v>
      </c>
      <c r="E7468" t="s">
        <v>311</v>
      </c>
      <c r="F7468">
        <v>9</v>
      </c>
      <c r="G7468">
        <v>6.5266666666666699</v>
      </c>
    </row>
    <row r="7469" spans="1:7" x14ac:dyDescent="0.35">
      <c r="A7469" t="s">
        <v>847</v>
      </c>
      <c r="B7469" t="s">
        <v>691</v>
      </c>
      <c r="C7469" s="83">
        <v>46066</v>
      </c>
      <c r="D7469" t="s">
        <v>313</v>
      </c>
      <c r="E7469" t="s">
        <v>316</v>
      </c>
      <c r="F7469">
        <v>3</v>
      </c>
      <c r="G7469">
        <v>1.13405</v>
      </c>
    </row>
    <row r="7470" spans="1:7" x14ac:dyDescent="0.35">
      <c r="A7470" t="s">
        <v>847</v>
      </c>
      <c r="B7470" t="s">
        <v>691</v>
      </c>
      <c r="C7470" s="83">
        <v>46066</v>
      </c>
      <c r="D7470" t="s">
        <v>314</v>
      </c>
      <c r="E7470" t="s">
        <v>126</v>
      </c>
      <c r="F7470">
        <v>8</v>
      </c>
      <c r="G7470">
        <v>19.127500000000001</v>
      </c>
    </row>
    <row r="7471" spans="1:7" x14ac:dyDescent="0.35">
      <c r="A7471" t="s">
        <v>847</v>
      </c>
      <c r="B7471" t="s">
        <v>691</v>
      </c>
      <c r="C7471" s="83">
        <v>46066</v>
      </c>
      <c r="D7471" t="s">
        <v>314</v>
      </c>
      <c r="E7471" t="s">
        <v>316</v>
      </c>
      <c r="F7471">
        <v>3</v>
      </c>
      <c r="G7471">
        <v>0.177383333333333</v>
      </c>
    </row>
    <row r="7472" spans="1:7" x14ac:dyDescent="0.35">
      <c r="A7472" t="s">
        <v>847</v>
      </c>
      <c r="B7472" t="s">
        <v>691</v>
      </c>
      <c r="C7472" s="83">
        <v>46066</v>
      </c>
      <c r="D7472" t="s">
        <v>314</v>
      </c>
      <c r="E7472" t="s">
        <v>322</v>
      </c>
      <c r="F7472">
        <v>2</v>
      </c>
      <c r="G7472">
        <v>0.36436666666666701</v>
      </c>
    </row>
    <row r="7473" spans="1:7" x14ac:dyDescent="0.35">
      <c r="A7473" t="s">
        <v>847</v>
      </c>
      <c r="B7473" t="s">
        <v>691</v>
      </c>
      <c r="C7473" s="83">
        <v>46066</v>
      </c>
      <c r="D7473" t="s">
        <v>317</v>
      </c>
      <c r="E7473" t="s">
        <v>323</v>
      </c>
      <c r="F7473">
        <v>3</v>
      </c>
      <c r="G7473">
        <v>5.5625499999999999</v>
      </c>
    </row>
    <row r="7474" spans="1:7" x14ac:dyDescent="0.35">
      <c r="A7474" t="s">
        <v>847</v>
      </c>
      <c r="B7474" t="s">
        <v>691</v>
      </c>
      <c r="C7474" s="83">
        <v>46066</v>
      </c>
      <c r="D7474" t="s">
        <v>317</v>
      </c>
      <c r="E7474" t="s">
        <v>792</v>
      </c>
      <c r="F7474">
        <v>2</v>
      </c>
      <c r="G7474">
        <v>0.86899999999999999</v>
      </c>
    </row>
    <row r="7475" spans="1:7" x14ac:dyDescent="0.35">
      <c r="A7475" t="s">
        <v>847</v>
      </c>
      <c r="B7475" t="s">
        <v>691</v>
      </c>
      <c r="C7475" s="83">
        <v>46066</v>
      </c>
      <c r="D7475" t="s">
        <v>317</v>
      </c>
      <c r="E7475" t="s">
        <v>322</v>
      </c>
      <c r="F7475">
        <v>2</v>
      </c>
      <c r="G7475">
        <v>0.31321666666666698</v>
      </c>
    </row>
    <row r="7476" spans="1:7" x14ac:dyDescent="0.35">
      <c r="A7476" t="s">
        <v>847</v>
      </c>
      <c r="B7476" t="s">
        <v>691</v>
      </c>
      <c r="C7476" s="83">
        <v>46067</v>
      </c>
      <c r="D7476" t="s">
        <v>295</v>
      </c>
      <c r="E7476" t="s">
        <v>296</v>
      </c>
      <c r="F7476">
        <v>18</v>
      </c>
      <c r="G7476">
        <v>9.4023166666666693</v>
      </c>
    </row>
    <row r="7477" spans="1:7" x14ac:dyDescent="0.35">
      <c r="A7477" t="s">
        <v>847</v>
      </c>
      <c r="B7477" t="s">
        <v>691</v>
      </c>
      <c r="C7477" s="83">
        <v>46067</v>
      </c>
      <c r="D7477" t="s">
        <v>295</v>
      </c>
      <c r="E7477" t="s">
        <v>302</v>
      </c>
      <c r="F7477">
        <v>15</v>
      </c>
      <c r="G7477">
        <v>15.166833333333299</v>
      </c>
    </row>
    <row r="7478" spans="1:7" x14ac:dyDescent="0.35">
      <c r="A7478" t="s">
        <v>847</v>
      </c>
      <c r="B7478" t="s">
        <v>691</v>
      </c>
      <c r="C7478" s="83">
        <v>46067</v>
      </c>
      <c r="D7478" t="s">
        <v>299</v>
      </c>
      <c r="E7478" t="s">
        <v>296</v>
      </c>
      <c r="F7478">
        <v>14</v>
      </c>
      <c r="G7478">
        <v>11.461016666666699</v>
      </c>
    </row>
    <row r="7479" spans="1:7" x14ac:dyDescent="0.35">
      <c r="A7479" t="s">
        <v>847</v>
      </c>
      <c r="B7479" t="s">
        <v>691</v>
      </c>
      <c r="C7479" s="83">
        <v>46067</v>
      </c>
      <c r="D7479" t="s">
        <v>299</v>
      </c>
      <c r="E7479" t="s">
        <v>637</v>
      </c>
      <c r="F7479">
        <v>13</v>
      </c>
      <c r="G7479">
        <v>20.926016666666701</v>
      </c>
    </row>
    <row r="7480" spans="1:7" x14ac:dyDescent="0.35">
      <c r="A7480" t="s">
        <v>847</v>
      </c>
      <c r="B7480" t="s">
        <v>691</v>
      </c>
      <c r="C7480" s="83">
        <v>46067</v>
      </c>
      <c r="D7480" t="s">
        <v>299</v>
      </c>
      <c r="E7480" t="s">
        <v>302</v>
      </c>
      <c r="F7480">
        <v>13</v>
      </c>
      <c r="G7480">
        <v>18.378083333333301</v>
      </c>
    </row>
    <row r="7481" spans="1:7" x14ac:dyDescent="0.35">
      <c r="A7481" t="s">
        <v>847</v>
      </c>
      <c r="B7481" t="s">
        <v>691</v>
      </c>
      <c r="C7481" s="83">
        <v>46067</v>
      </c>
      <c r="D7481" t="s">
        <v>301</v>
      </c>
      <c r="E7481" t="s">
        <v>302</v>
      </c>
      <c r="F7481">
        <v>14</v>
      </c>
      <c r="G7481">
        <v>7.2663500000000001</v>
      </c>
    </row>
    <row r="7482" spans="1:7" x14ac:dyDescent="0.35">
      <c r="A7482" t="s">
        <v>847</v>
      </c>
      <c r="B7482" t="s">
        <v>691</v>
      </c>
      <c r="C7482" s="83">
        <v>46067</v>
      </c>
      <c r="D7482" t="s">
        <v>303</v>
      </c>
      <c r="E7482" t="s">
        <v>302</v>
      </c>
      <c r="F7482">
        <v>18</v>
      </c>
      <c r="G7482">
        <v>11.302016666666701</v>
      </c>
    </row>
    <row r="7483" spans="1:7" x14ac:dyDescent="0.35">
      <c r="A7483" t="s">
        <v>847</v>
      </c>
      <c r="B7483" t="s">
        <v>691</v>
      </c>
      <c r="C7483" s="83">
        <v>46067</v>
      </c>
      <c r="D7483" t="s">
        <v>310</v>
      </c>
      <c r="E7483" t="s">
        <v>126</v>
      </c>
      <c r="F7483">
        <v>37</v>
      </c>
      <c r="G7483">
        <v>42.94285</v>
      </c>
    </row>
    <row r="7484" spans="1:7" x14ac:dyDescent="0.35">
      <c r="A7484" t="s">
        <v>847</v>
      </c>
      <c r="B7484" t="s">
        <v>691</v>
      </c>
      <c r="C7484" s="83">
        <v>46067</v>
      </c>
      <c r="D7484" t="s">
        <v>310</v>
      </c>
      <c r="E7484" t="s">
        <v>338</v>
      </c>
      <c r="F7484">
        <v>8</v>
      </c>
      <c r="G7484">
        <v>13.990116666666699</v>
      </c>
    </row>
    <row r="7485" spans="1:7" x14ac:dyDescent="0.35">
      <c r="A7485" t="s">
        <v>847</v>
      </c>
      <c r="B7485" t="s">
        <v>691</v>
      </c>
      <c r="C7485" s="83">
        <v>46067</v>
      </c>
      <c r="D7485" t="s">
        <v>310</v>
      </c>
      <c r="E7485" t="s">
        <v>321</v>
      </c>
      <c r="F7485">
        <v>7</v>
      </c>
      <c r="G7485">
        <v>16.790233333333301</v>
      </c>
    </row>
    <row r="7486" spans="1:7" x14ac:dyDescent="0.35">
      <c r="A7486" t="s">
        <v>847</v>
      </c>
      <c r="B7486" t="s">
        <v>691</v>
      </c>
      <c r="C7486" s="83">
        <v>46067</v>
      </c>
      <c r="D7486" t="s">
        <v>313</v>
      </c>
      <c r="E7486" t="s">
        <v>126</v>
      </c>
      <c r="F7486">
        <v>5</v>
      </c>
      <c r="G7486">
        <v>10.0209333333333</v>
      </c>
    </row>
    <row r="7487" spans="1:7" x14ac:dyDescent="0.35">
      <c r="A7487" t="s">
        <v>847</v>
      </c>
      <c r="B7487" t="s">
        <v>691</v>
      </c>
      <c r="C7487" s="83">
        <v>46067</v>
      </c>
      <c r="D7487" t="s">
        <v>313</v>
      </c>
      <c r="E7487" t="s">
        <v>827</v>
      </c>
      <c r="F7487">
        <v>2</v>
      </c>
      <c r="G7487">
        <v>5.1685499999999998</v>
      </c>
    </row>
    <row r="7488" spans="1:7" x14ac:dyDescent="0.35">
      <c r="A7488" t="s">
        <v>847</v>
      </c>
      <c r="B7488" t="s">
        <v>691</v>
      </c>
      <c r="C7488" s="83">
        <v>46067</v>
      </c>
      <c r="D7488" t="s">
        <v>313</v>
      </c>
      <c r="E7488" t="s">
        <v>319</v>
      </c>
      <c r="F7488">
        <v>2</v>
      </c>
      <c r="G7488">
        <v>0.34651666666666697</v>
      </c>
    </row>
    <row r="7489" spans="1:7" x14ac:dyDescent="0.35">
      <c r="A7489" t="s">
        <v>847</v>
      </c>
      <c r="B7489" t="s">
        <v>691</v>
      </c>
      <c r="C7489" s="83">
        <v>46067</v>
      </c>
      <c r="D7489" t="s">
        <v>314</v>
      </c>
      <c r="E7489" t="s">
        <v>725</v>
      </c>
      <c r="F7489">
        <v>2</v>
      </c>
      <c r="G7489">
        <v>1.69665</v>
      </c>
    </row>
    <row r="7490" spans="1:7" x14ac:dyDescent="0.35">
      <c r="A7490" t="s">
        <v>847</v>
      </c>
      <c r="B7490" t="s">
        <v>691</v>
      </c>
      <c r="C7490" s="83">
        <v>46067</v>
      </c>
      <c r="D7490" t="s">
        <v>314</v>
      </c>
      <c r="E7490" t="s">
        <v>347</v>
      </c>
      <c r="F7490">
        <v>2</v>
      </c>
      <c r="G7490">
        <v>1.8801666666666701</v>
      </c>
    </row>
    <row r="7491" spans="1:7" x14ac:dyDescent="0.35">
      <c r="A7491" t="s">
        <v>847</v>
      </c>
      <c r="B7491" t="s">
        <v>691</v>
      </c>
      <c r="C7491" s="83">
        <v>46067</v>
      </c>
      <c r="D7491" t="s">
        <v>314</v>
      </c>
      <c r="E7491" t="s">
        <v>319</v>
      </c>
      <c r="F7491">
        <v>2</v>
      </c>
      <c r="G7491">
        <v>0.90290000000000004</v>
      </c>
    </row>
    <row r="7492" spans="1:7" x14ac:dyDescent="0.35">
      <c r="A7492" t="s">
        <v>847</v>
      </c>
      <c r="B7492" t="s">
        <v>691</v>
      </c>
      <c r="C7492" s="83">
        <v>46067</v>
      </c>
      <c r="D7492" t="s">
        <v>317</v>
      </c>
      <c r="E7492" t="s">
        <v>349</v>
      </c>
      <c r="F7492">
        <v>2</v>
      </c>
      <c r="G7492">
        <v>1.1617500000000001</v>
      </c>
    </row>
    <row r="7493" spans="1:7" x14ac:dyDescent="0.35">
      <c r="A7493" t="s">
        <v>847</v>
      </c>
      <c r="B7493" t="s">
        <v>691</v>
      </c>
      <c r="C7493" s="83">
        <v>46068</v>
      </c>
      <c r="D7493" t="s">
        <v>295</v>
      </c>
      <c r="E7493" t="s">
        <v>296</v>
      </c>
      <c r="F7493">
        <v>14</v>
      </c>
      <c r="G7493">
        <v>6.9671500000000002</v>
      </c>
    </row>
    <row r="7494" spans="1:7" x14ac:dyDescent="0.35">
      <c r="A7494" t="s">
        <v>847</v>
      </c>
      <c r="B7494" t="s">
        <v>691</v>
      </c>
      <c r="C7494" s="83">
        <v>46068</v>
      </c>
      <c r="D7494" t="s">
        <v>299</v>
      </c>
      <c r="E7494" t="s">
        <v>296</v>
      </c>
      <c r="F7494">
        <v>61</v>
      </c>
      <c r="G7494">
        <v>32.793366666666699</v>
      </c>
    </row>
    <row r="7495" spans="1:7" x14ac:dyDescent="0.35">
      <c r="A7495" t="s">
        <v>847</v>
      </c>
      <c r="B7495" t="s">
        <v>691</v>
      </c>
      <c r="C7495" s="83">
        <v>46068</v>
      </c>
      <c r="D7495" t="s">
        <v>299</v>
      </c>
      <c r="E7495" t="s">
        <v>302</v>
      </c>
      <c r="F7495">
        <v>37</v>
      </c>
      <c r="G7495">
        <v>19.1126166666667</v>
      </c>
    </row>
    <row r="7496" spans="1:7" x14ac:dyDescent="0.35">
      <c r="A7496" t="s">
        <v>847</v>
      </c>
      <c r="B7496" t="s">
        <v>691</v>
      </c>
      <c r="C7496" s="83">
        <v>46068</v>
      </c>
      <c r="D7496" t="s">
        <v>301</v>
      </c>
      <c r="E7496" t="s">
        <v>302</v>
      </c>
      <c r="F7496">
        <v>17</v>
      </c>
      <c r="G7496">
        <v>12.0069</v>
      </c>
    </row>
    <row r="7497" spans="1:7" x14ac:dyDescent="0.35">
      <c r="A7497" t="s">
        <v>847</v>
      </c>
      <c r="B7497" t="s">
        <v>691</v>
      </c>
      <c r="C7497" s="83">
        <v>46068</v>
      </c>
      <c r="D7497" t="s">
        <v>310</v>
      </c>
      <c r="E7497" t="s">
        <v>126</v>
      </c>
      <c r="F7497">
        <v>33</v>
      </c>
      <c r="G7497">
        <v>43.380666666666698</v>
      </c>
    </row>
    <row r="7498" spans="1:7" x14ac:dyDescent="0.35">
      <c r="A7498" t="s">
        <v>847</v>
      </c>
      <c r="B7498" t="s">
        <v>691</v>
      </c>
      <c r="C7498" s="83">
        <v>46068</v>
      </c>
      <c r="D7498" t="s">
        <v>310</v>
      </c>
      <c r="E7498" t="s">
        <v>333</v>
      </c>
      <c r="F7498">
        <v>12</v>
      </c>
      <c r="G7498">
        <v>15.1119</v>
      </c>
    </row>
    <row r="7499" spans="1:7" x14ac:dyDescent="0.35">
      <c r="A7499" t="s">
        <v>847</v>
      </c>
      <c r="B7499" t="s">
        <v>691</v>
      </c>
      <c r="C7499" s="83">
        <v>46068</v>
      </c>
      <c r="D7499" t="s">
        <v>310</v>
      </c>
      <c r="E7499" t="s">
        <v>338</v>
      </c>
      <c r="F7499">
        <v>10</v>
      </c>
      <c r="G7499">
        <v>10.677849999999999</v>
      </c>
    </row>
    <row r="7500" spans="1:7" x14ac:dyDescent="0.35">
      <c r="A7500" t="s">
        <v>847</v>
      </c>
      <c r="B7500" t="s">
        <v>691</v>
      </c>
      <c r="C7500" s="83">
        <v>46068</v>
      </c>
      <c r="D7500" t="s">
        <v>313</v>
      </c>
      <c r="E7500" t="s">
        <v>126</v>
      </c>
      <c r="F7500">
        <v>5</v>
      </c>
      <c r="G7500">
        <v>9.8831833333333297</v>
      </c>
    </row>
    <row r="7501" spans="1:7" x14ac:dyDescent="0.35">
      <c r="A7501" t="s">
        <v>847</v>
      </c>
      <c r="B7501" t="s">
        <v>691</v>
      </c>
      <c r="C7501" s="83">
        <v>46068</v>
      </c>
      <c r="D7501" t="s">
        <v>313</v>
      </c>
      <c r="E7501" t="s">
        <v>323</v>
      </c>
      <c r="F7501">
        <v>3</v>
      </c>
      <c r="G7501">
        <v>0.36523333333333302</v>
      </c>
    </row>
    <row r="7502" spans="1:7" x14ac:dyDescent="0.35">
      <c r="A7502" t="s">
        <v>847</v>
      </c>
      <c r="B7502" t="s">
        <v>691</v>
      </c>
      <c r="C7502" s="83">
        <v>46068</v>
      </c>
      <c r="D7502" t="s">
        <v>313</v>
      </c>
      <c r="E7502" t="s">
        <v>311</v>
      </c>
      <c r="F7502">
        <v>3</v>
      </c>
      <c r="G7502">
        <v>0.91478333333333295</v>
      </c>
    </row>
    <row r="7503" spans="1:7" x14ac:dyDescent="0.35">
      <c r="A7503" t="s">
        <v>847</v>
      </c>
      <c r="B7503" t="s">
        <v>691</v>
      </c>
      <c r="C7503" s="83">
        <v>46068</v>
      </c>
      <c r="D7503" t="s">
        <v>314</v>
      </c>
      <c r="E7503" t="s">
        <v>316</v>
      </c>
      <c r="F7503">
        <v>3</v>
      </c>
      <c r="G7503">
        <v>1.5765499999999999</v>
      </c>
    </row>
    <row r="7504" spans="1:7" x14ac:dyDescent="0.35">
      <c r="A7504" t="s">
        <v>847</v>
      </c>
      <c r="B7504" t="s">
        <v>691</v>
      </c>
      <c r="C7504" s="83">
        <v>46068</v>
      </c>
      <c r="D7504" t="s">
        <v>314</v>
      </c>
      <c r="E7504" t="s">
        <v>827</v>
      </c>
      <c r="F7504">
        <v>2</v>
      </c>
      <c r="G7504">
        <v>1.96126666666667</v>
      </c>
    </row>
    <row r="7505" spans="1:7" x14ac:dyDescent="0.35">
      <c r="A7505" t="s">
        <v>847</v>
      </c>
      <c r="B7505" t="s">
        <v>691</v>
      </c>
      <c r="C7505" s="83">
        <v>46068</v>
      </c>
      <c r="D7505" t="s">
        <v>314</v>
      </c>
      <c r="E7505" t="s">
        <v>349</v>
      </c>
      <c r="F7505">
        <v>2</v>
      </c>
      <c r="G7505">
        <v>1.00891666666667</v>
      </c>
    </row>
    <row r="7506" spans="1:7" x14ac:dyDescent="0.35">
      <c r="A7506" t="s">
        <v>847</v>
      </c>
      <c r="B7506" t="s">
        <v>691</v>
      </c>
      <c r="C7506" s="83">
        <v>46068</v>
      </c>
      <c r="D7506" t="s">
        <v>317</v>
      </c>
      <c r="E7506" t="s">
        <v>323</v>
      </c>
      <c r="F7506">
        <v>3</v>
      </c>
      <c r="G7506">
        <v>1.3464499999999999</v>
      </c>
    </row>
    <row r="7507" spans="1:7" x14ac:dyDescent="0.35">
      <c r="A7507" t="s">
        <v>847</v>
      </c>
      <c r="B7507" t="s">
        <v>691</v>
      </c>
      <c r="C7507" s="83">
        <v>46068</v>
      </c>
      <c r="D7507" t="s">
        <v>317</v>
      </c>
      <c r="E7507" t="s">
        <v>319</v>
      </c>
      <c r="F7507">
        <v>2</v>
      </c>
      <c r="G7507">
        <v>1.8804666666666701</v>
      </c>
    </row>
    <row r="7508" spans="1:7" x14ac:dyDescent="0.35">
      <c r="A7508" t="s">
        <v>847</v>
      </c>
      <c r="B7508" t="s">
        <v>691</v>
      </c>
      <c r="C7508" s="83">
        <v>46069</v>
      </c>
      <c r="D7508" t="s">
        <v>295</v>
      </c>
      <c r="E7508" t="s">
        <v>296</v>
      </c>
      <c r="F7508">
        <v>17</v>
      </c>
      <c r="G7508">
        <v>12.8250166666667</v>
      </c>
    </row>
    <row r="7509" spans="1:7" x14ac:dyDescent="0.35">
      <c r="A7509" t="s">
        <v>847</v>
      </c>
      <c r="B7509" t="s">
        <v>691</v>
      </c>
      <c r="C7509" s="83">
        <v>46069</v>
      </c>
      <c r="D7509" t="s">
        <v>295</v>
      </c>
      <c r="E7509" t="s">
        <v>302</v>
      </c>
      <c r="F7509">
        <v>12</v>
      </c>
      <c r="G7509">
        <v>6.7012999999999998</v>
      </c>
    </row>
    <row r="7510" spans="1:7" x14ac:dyDescent="0.35">
      <c r="A7510" t="s">
        <v>847</v>
      </c>
      <c r="B7510" t="s">
        <v>691</v>
      </c>
      <c r="C7510" s="83">
        <v>46069</v>
      </c>
      <c r="D7510" t="s">
        <v>299</v>
      </c>
      <c r="E7510" t="s">
        <v>302</v>
      </c>
      <c r="F7510">
        <v>49</v>
      </c>
      <c r="G7510">
        <v>26.325683333333298</v>
      </c>
    </row>
    <row r="7511" spans="1:7" x14ac:dyDescent="0.35">
      <c r="A7511" t="s">
        <v>847</v>
      </c>
      <c r="B7511" t="s">
        <v>691</v>
      </c>
      <c r="C7511" s="83">
        <v>46069</v>
      </c>
      <c r="D7511" t="s">
        <v>299</v>
      </c>
      <c r="E7511" t="s">
        <v>296</v>
      </c>
      <c r="F7511">
        <v>13</v>
      </c>
      <c r="G7511">
        <v>5.2564833333333301</v>
      </c>
    </row>
    <row r="7512" spans="1:7" x14ac:dyDescent="0.35">
      <c r="A7512" t="s">
        <v>847</v>
      </c>
      <c r="B7512" t="s">
        <v>691</v>
      </c>
      <c r="C7512" s="83">
        <v>46069</v>
      </c>
      <c r="D7512" t="s">
        <v>301</v>
      </c>
      <c r="E7512" t="s">
        <v>302</v>
      </c>
      <c r="F7512">
        <v>20</v>
      </c>
      <c r="G7512">
        <v>9.7078000000000007</v>
      </c>
    </row>
    <row r="7513" spans="1:7" x14ac:dyDescent="0.35">
      <c r="A7513" t="s">
        <v>847</v>
      </c>
      <c r="B7513" t="s">
        <v>691</v>
      </c>
      <c r="C7513" s="83">
        <v>46069</v>
      </c>
      <c r="D7513" t="s">
        <v>303</v>
      </c>
      <c r="E7513" t="s">
        <v>828</v>
      </c>
      <c r="F7513">
        <v>8</v>
      </c>
      <c r="G7513">
        <v>2.6896833333333299</v>
      </c>
    </row>
    <row r="7514" spans="1:7" x14ac:dyDescent="0.35">
      <c r="A7514" t="s">
        <v>847</v>
      </c>
      <c r="B7514" t="s">
        <v>691</v>
      </c>
      <c r="C7514" s="83">
        <v>46069</v>
      </c>
      <c r="D7514" t="s">
        <v>310</v>
      </c>
      <c r="E7514" t="s">
        <v>126</v>
      </c>
      <c r="F7514">
        <v>31</v>
      </c>
      <c r="G7514">
        <v>37.405483333333301</v>
      </c>
    </row>
    <row r="7515" spans="1:7" x14ac:dyDescent="0.35">
      <c r="A7515" t="s">
        <v>847</v>
      </c>
      <c r="B7515" t="s">
        <v>694</v>
      </c>
      <c r="C7515" s="83"/>
      <c r="F7515">
        <v>142086</v>
      </c>
      <c r="G7515">
        <v>214923.184333982</v>
      </c>
    </row>
    <row r="7516" spans="1:7" x14ac:dyDescent="0.35">
      <c r="A7516" t="s">
        <v>847</v>
      </c>
      <c r="B7516" t="s">
        <v>691</v>
      </c>
      <c r="C7516" s="83">
        <v>46069</v>
      </c>
      <c r="D7516" t="s">
        <v>310</v>
      </c>
      <c r="E7516" t="s">
        <v>311</v>
      </c>
      <c r="F7516">
        <v>8</v>
      </c>
      <c r="G7516">
        <v>6.2472500000000002</v>
      </c>
    </row>
    <row r="7517" spans="1:7" x14ac:dyDescent="0.35">
      <c r="A7517" t="s">
        <v>847</v>
      </c>
      <c r="B7517" t="s">
        <v>691</v>
      </c>
      <c r="C7517" s="83">
        <v>46069</v>
      </c>
      <c r="D7517" t="s">
        <v>310</v>
      </c>
      <c r="E7517" t="s">
        <v>333</v>
      </c>
      <c r="F7517">
        <v>8</v>
      </c>
      <c r="G7517">
        <v>6.0960000000000001</v>
      </c>
    </row>
    <row r="7518" spans="1:7" x14ac:dyDescent="0.35">
      <c r="A7518" t="s">
        <v>847</v>
      </c>
      <c r="B7518" t="s">
        <v>691</v>
      </c>
      <c r="C7518" s="83">
        <v>46069</v>
      </c>
      <c r="D7518" t="s">
        <v>313</v>
      </c>
      <c r="E7518" t="s">
        <v>126</v>
      </c>
      <c r="F7518">
        <v>6</v>
      </c>
      <c r="G7518">
        <v>13.08995</v>
      </c>
    </row>
    <row r="7519" spans="1:7" x14ac:dyDescent="0.35">
      <c r="A7519" t="s">
        <v>847</v>
      </c>
      <c r="B7519" t="s">
        <v>691</v>
      </c>
      <c r="C7519" s="83">
        <v>46069</v>
      </c>
      <c r="D7519" t="s">
        <v>313</v>
      </c>
      <c r="E7519" t="s">
        <v>657</v>
      </c>
      <c r="F7519">
        <v>3</v>
      </c>
      <c r="G7519">
        <v>2.8916166666666698</v>
      </c>
    </row>
    <row r="7520" spans="1:7" x14ac:dyDescent="0.35">
      <c r="A7520" t="s">
        <v>847</v>
      </c>
      <c r="B7520" t="s">
        <v>691</v>
      </c>
      <c r="C7520" s="83">
        <v>46069</v>
      </c>
      <c r="D7520" t="s">
        <v>313</v>
      </c>
      <c r="E7520" t="s">
        <v>312</v>
      </c>
      <c r="F7520">
        <v>3</v>
      </c>
      <c r="G7520">
        <v>0.98881666666666701</v>
      </c>
    </row>
    <row r="7521" spans="1:7" x14ac:dyDescent="0.35">
      <c r="A7521" t="s">
        <v>847</v>
      </c>
      <c r="B7521" t="s">
        <v>691</v>
      </c>
      <c r="C7521" s="83">
        <v>46069</v>
      </c>
      <c r="D7521" t="s">
        <v>314</v>
      </c>
      <c r="E7521" t="s">
        <v>316</v>
      </c>
      <c r="F7521">
        <v>2</v>
      </c>
      <c r="G7521">
        <v>0.52446666666666697</v>
      </c>
    </row>
    <row r="7522" spans="1:7" x14ac:dyDescent="0.35">
      <c r="A7522" t="s">
        <v>847</v>
      </c>
      <c r="B7522" t="s">
        <v>691</v>
      </c>
      <c r="C7522" s="83">
        <v>46069</v>
      </c>
      <c r="D7522" t="s">
        <v>314</v>
      </c>
      <c r="E7522" t="s">
        <v>315</v>
      </c>
      <c r="F7522">
        <v>2</v>
      </c>
      <c r="G7522">
        <v>0.29625000000000001</v>
      </c>
    </row>
    <row r="7523" spans="1:7" x14ac:dyDescent="0.35">
      <c r="A7523" t="s">
        <v>847</v>
      </c>
      <c r="B7523" t="s">
        <v>691</v>
      </c>
      <c r="C7523" s="83">
        <v>46069</v>
      </c>
      <c r="D7523" t="s">
        <v>314</v>
      </c>
      <c r="E7523" t="s">
        <v>338</v>
      </c>
      <c r="F7523">
        <v>2</v>
      </c>
      <c r="G7523">
        <v>4.11161666666667</v>
      </c>
    </row>
    <row r="7524" spans="1:7" x14ac:dyDescent="0.35">
      <c r="A7524" t="s">
        <v>847</v>
      </c>
      <c r="B7524" t="s">
        <v>691</v>
      </c>
      <c r="C7524" s="83">
        <v>46069</v>
      </c>
      <c r="D7524" t="s">
        <v>317</v>
      </c>
      <c r="E7524" t="s">
        <v>323</v>
      </c>
      <c r="F7524">
        <v>9</v>
      </c>
      <c r="G7524">
        <v>5.4923166666666701</v>
      </c>
    </row>
    <row r="7525" spans="1:7" x14ac:dyDescent="0.35">
      <c r="A7525" t="s">
        <v>847</v>
      </c>
      <c r="B7525" t="s">
        <v>691</v>
      </c>
      <c r="C7525" s="83">
        <v>46070</v>
      </c>
      <c r="D7525" t="s">
        <v>295</v>
      </c>
      <c r="E7525" t="s">
        <v>296</v>
      </c>
      <c r="F7525">
        <v>14</v>
      </c>
      <c r="G7525">
        <v>5.1200333333333301</v>
      </c>
    </row>
    <row r="7526" spans="1:7" x14ac:dyDescent="0.35">
      <c r="A7526" t="s">
        <v>847</v>
      </c>
      <c r="B7526" t="s">
        <v>691</v>
      </c>
      <c r="C7526" s="83">
        <v>46070</v>
      </c>
      <c r="D7526" t="s">
        <v>295</v>
      </c>
      <c r="E7526" t="s">
        <v>302</v>
      </c>
      <c r="F7526">
        <v>11</v>
      </c>
      <c r="G7526">
        <v>4.4840833333333299</v>
      </c>
    </row>
    <row r="7527" spans="1:7" x14ac:dyDescent="0.35">
      <c r="A7527" t="s">
        <v>847</v>
      </c>
      <c r="B7527" t="s">
        <v>691</v>
      </c>
      <c r="C7527" s="83">
        <v>46070</v>
      </c>
      <c r="D7527" t="s">
        <v>299</v>
      </c>
      <c r="E7527" t="s">
        <v>302</v>
      </c>
      <c r="F7527">
        <v>71</v>
      </c>
      <c r="G7527">
        <v>34.988300000000002</v>
      </c>
    </row>
    <row r="7528" spans="1:7" x14ac:dyDescent="0.35">
      <c r="A7528" t="s">
        <v>847</v>
      </c>
      <c r="B7528" t="s">
        <v>691</v>
      </c>
      <c r="C7528" s="83">
        <v>46070</v>
      </c>
      <c r="D7528" t="s">
        <v>299</v>
      </c>
      <c r="E7528" t="s">
        <v>296</v>
      </c>
      <c r="F7528">
        <v>18</v>
      </c>
      <c r="G7528">
        <v>8.89293333333333</v>
      </c>
    </row>
    <row r="7529" spans="1:7" x14ac:dyDescent="0.35">
      <c r="A7529" t="s">
        <v>847</v>
      </c>
      <c r="B7529" t="s">
        <v>691</v>
      </c>
      <c r="C7529" s="83">
        <v>46070</v>
      </c>
      <c r="D7529" t="s">
        <v>301</v>
      </c>
      <c r="E7529" t="s">
        <v>302</v>
      </c>
      <c r="F7529">
        <v>28</v>
      </c>
      <c r="G7529">
        <v>11.2162166666667</v>
      </c>
    </row>
    <row r="7530" spans="1:7" x14ac:dyDescent="0.35">
      <c r="A7530" t="s">
        <v>847</v>
      </c>
      <c r="B7530" t="s">
        <v>691</v>
      </c>
      <c r="C7530" s="83">
        <v>46070</v>
      </c>
      <c r="D7530" t="s">
        <v>310</v>
      </c>
      <c r="E7530" t="s">
        <v>126</v>
      </c>
      <c r="F7530">
        <v>32</v>
      </c>
      <c r="G7530">
        <v>68.174449999999993</v>
      </c>
    </row>
    <row r="7531" spans="1:7" x14ac:dyDescent="0.35">
      <c r="A7531" t="s">
        <v>847</v>
      </c>
      <c r="B7531" t="s">
        <v>691</v>
      </c>
      <c r="C7531" s="83">
        <v>46070</v>
      </c>
      <c r="D7531" t="s">
        <v>310</v>
      </c>
      <c r="E7531" t="s">
        <v>338</v>
      </c>
      <c r="F7531">
        <v>15</v>
      </c>
      <c r="G7531">
        <v>13.6035166666667</v>
      </c>
    </row>
    <row r="7532" spans="1:7" x14ac:dyDescent="0.35">
      <c r="A7532" t="s">
        <v>847</v>
      </c>
      <c r="B7532" t="s">
        <v>691</v>
      </c>
      <c r="C7532" s="83">
        <v>46070</v>
      </c>
      <c r="D7532" t="s">
        <v>310</v>
      </c>
      <c r="E7532" t="s">
        <v>311</v>
      </c>
      <c r="F7532">
        <v>8</v>
      </c>
      <c r="G7532">
        <v>5.3764666666666701</v>
      </c>
    </row>
    <row r="7533" spans="1:7" x14ac:dyDescent="0.35">
      <c r="A7533" t="s">
        <v>847</v>
      </c>
      <c r="B7533" t="s">
        <v>691</v>
      </c>
      <c r="C7533" s="83">
        <v>46070</v>
      </c>
      <c r="D7533" t="s">
        <v>313</v>
      </c>
      <c r="E7533" t="s">
        <v>126</v>
      </c>
      <c r="F7533">
        <v>5</v>
      </c>
      <c r="G7533">
        <v>13.5034333333333</v>
      </c>
    </row>
    <row r="7534" spans="1:7" x14ac:dyDescent="0.35">
      <c r="A7534" t="s">
        <v>847</v>
      </c>
      <c r="B7534" t="s">
        <v>691</v>
      </c>
      <c r="C7534" s="83">
        <v>46070</v>
      </c>
      <c r="D7534" t="s">
        <v>313</v>
      </c>
      <c r="E7534" t="s">
        <v>808</v>
      </c>
      <c r="F7534">
        <v>5</v>
      </c>
      <c r="G7534">
        <v>29.9833833333333</v>
      </c>
    </row>
    <row r="7535" spans="1:7" x14ac:dyDescent="0.35">
      <c r="A7535" t="s">
        <v>847</v>
      </c>
      <c r="B7535" t="s">
        <v>691</v>
      </c>
      <c r="C7535" s="83">
        <v>46070</v>
      </c>
      <c r="D7535" t="s">
        <v>313</v>
      </c>
      <c r="E7535" t="s">
        <v>319</v>
      </c>
      <c r="F7535">
        <v>4</v>
      </c>
      <c r="G7535">
        <v>0.2606</v>
      </c>
    </row>
    <row r="7536" spans="1:7" x14ac:dyDescent="0.35">
      <c r="A7536" t="s">
        <v>847</v>
      </c>
      <c r="B7536" t="s">
        <v>691</v>
      </c>
      <c r="C7536" s="83">
        <v>46070</v>
      </c>
      <c r="D7536" t="s">
        <v>314</v>
      </c>
      <c r="E7536" t="s">
        <v>316</v>
      </c>
      <c r="F7536">
        <v>6</v>
      </c>
      <c r="G7536">
        <v>3.1263666666666698</v>
      </c>
    </row>
    <row r="7537" spans="1:7" x14ac:dyDescent="0.35">
      <c r="A7537" t="s">
        <v>847</v>
      </c>
      <c r="B7537" t="s">
        <v>691</v>
      </c>
      <c r="C7537" s="83">
        <v>46070</v>
      </c>
      <c r="D7537" t="s">
        <v>314</v>
      </c>
      <c r="E7537" t="s">
        <v>827</v>
      </c>
      <c r="F7537">
        <v>5</v>
      </c>
      <c r="G7537">
        <v>16.2023333333333</v>
      </c>
    </row>
    <row r="7538" spans="1:7" x14ac:dyDescent="0.35">
      <c r="A7538" t="s">
        <v>847</v>
      </c>
      <c r="B7538" t="s">
        <v>691</v>
      </c>
      <c r="C7538" s="83">
        <v>46070</v>
      </c>
      <c r="D7538" t="s">
        <v>314</v>
      </c>
      <c r="E7538" t="s">
        <v>312</v>
      </c>
      <c r="F7538">
        <v>2</v>
      </c>
      <c r="G7538">
        <v>0.59793333333333298</v>
      </c>
    </row>
    <row r="7539" spans="1:7" x14ac:dyDescent="0.35">
      <c r="A7539" t="s">
        <v>847</v>
      </c>
      <c r="B7539" t="s">
        <v>691</v>
      </c>
      <c r="C7539" s="83">
        <v>46070</v>
      </c>
      <c r="D7539" t="s">
        <v>317</v>
      </c>
      <c r="E7539" t="s">
        <v>323</v>
      </c>
      <c r="F7539">
        <v>9</v>
      </c>
      <c r="G7539">
        <v>6.1706666666666701</v>
      </c>
    </row>
    <row r="7540" spans="1:7" x14ac:dyDescent="0.35">
      <c r="A7540" t="s">
        <v>847</v>
      </c>
      <c r="B7540" t="s">
        <v>691</v>
      </c>
      <c r="C7540" s="83">
        <v>46071</v>
      </c>
      <c r="D7540" t="s">
        <v>295</v>
      </c>
      <c r="E7540" t="s">
        <v>296</v>
      </c>
      <c r="F7540">
        <v>11</v>
      </c>
      <c r="G7540">
        <v>3.0568499999999998</v>
      </c>
    </row>
    <row r="7541" spans="1:7" x14ac:dyDescent="0.35">
      <c r="A7541" t="s">
        <v>847</v>
      </c>
      <c r="B7541" t="s">
        <v>691</v>
      </c>
      <c r="C7541" s="83">
        <v>46071</v>
      </c>
      <c r="D7541" t="s">
        <v>299</v>
      </c>
      <c r="E7541" t="s">
        <v>302</v>
      </c>
      <c r="F7541">
        <v>28</v>
      </c>
      <c r="G7541">
        <v>13.8022166666667</v>
      </c>
    </row>
    <row r="7542" spans="1:7" x14ac:dyDescent="0.35">
      <c r="A7542" t="s">
        <v>847</v>
      </c>
      <c r="B7542" t="s">
        <v>691</v>
      </c>
      <c r="C7542" s="83">
        <v>46071</v>
      </c>
      <c r="D7542" t="s">
        <v>299</v>
      </c>
      <c r="E7542" t="s">
        <v>296</v>
      </c>
      <c r="F7542">
        <v>13</v>
      </c>
      <c r="G7542">
        <v>6.1436000000000002</v>
      </c>
    </row>
    <row r="7543" spans="1:7" x14ac:dyDescent="0.35">
      <c r="A7543" t="s">
        <v>847</v>
      </c>
      <c r="B7543" t="s">
        <v>691</v>
      </c>
      <c r="C7543" s="83">
        <v>46071</v>
      </c>
      <c r="D7543" t="s">
        <v>301</v>
      </c>
      <c r="E7543" t="s">
        <v>302</v>
      </c>
      <c r="F7543">
        <v>35</v>
      </c>
      <c r="G7543">
        <v>15.55125</v>
      </c>
    </row>
    <row r="7544" spans="1:7" x14ac:dyDescent="0.35">
      <c r="A7544" t="s">
        <v>847</v>
      </c>
      <c r="B7544" t="s">
        <v>691</v>
      </c>
      <c r="C7544" s="83">
        <v>46071</v>
      </c>
      <c r="D7544" t="s">
        <v>310</v>
      </c>
      <c r="E7544" t="s">
        <v>126</v>
      </c>
      <c r="F7544">
        <v>28</v>
      </c>
      <c r="G7544">
        <v>27.068816666666699</v>
      </c>
    </row>
    <row r="7545" spans="1:7" x14ac:dyDescent="0.35">
      <c r="A7545" t="s">
        <v>847</v>
      </c>
      <c r="B7545" t="s">
        <v>691</v>
      </c>
      <c r="C7545" s="83">
        <v>46071</v>
      </c>
      <c r="D7545" t="s">
        <v>310</v>
      </c>
      <c r="E7545" t="s">
        <v>311</v>
      </c>
      <c r="F7545">
        <v>19</v>
      </c>
      <c r="G7545">
        <v>11.900700000000001</v>
      </c>
    </row>
    <row r="7546" spans="1:7" x14ac:dyDescent="0.35">
      <c r="A7546" t="s">
        <v>847</v>
      </c>
      <c r="B7546" t="s">
        <v>691</v>
      </c>
      <c r="C7546" s="83">
        <v>46071</v>
      </c>
      <c r="D7546" t="s">
        <v>310</v>
      </c>
      <c r="E7546" t="s">
        <v>312</v>
      </c>
      <c r="F7546">
        <v>7</v>
      </c>
      <c r="G7546">
        <v>3.40831666666667</v>
      </c>
    </row>
    <row r="7547" spans="1:7" x14ac:dyDescent="0.35">
      <c r="A7547" t="s">
        <v>847</v>
      </c>
      <c r="B7547" t="s">
        <v>691</v>
      </c>
      <c r="C7547" s="83">
        <v>46071</v>
      </c>
      <c r="D7547" t="s">
        <v>313</v>
      </c>
      <c r="E7547" t="s">
        <v>126</v>
      </c>
      <c r="F7547">
        <v>12</v>
      </c>
      <c r="G7547">
        <v>24.717283333333299</v>
      </c>
    </row>
    <row r="7548" spans="1:7" x14ac:dyDescent="0.35">
      <c r="A7548" t="s">
        <v>847</v>
      </c>
      <c r="B7548" t="s">
        <v>691</v>
      </c>
      <c r="C7548" s="83">
        <v>46071</v>
      </c>
      <c r="D7548" t="s">
        <v>313</v>
      </c>
      <c r="E7548" t="s">
        <v>311</v>
      </c>
      <c r="F7548">
        <v>6</v>
      </c>
      <c r="G7548">
        <v>7.2591999999999999</v>
      </c>
    </row>
    <row r="7549" spans="1:7" x14ac:dyDescent="0.35">
      <c r="A7549" t="s">
        <v>847</v>
      </c>
      <c r="B7549" t="s">
        <v>691</v>
      </c>
      <c r="C7549" s="83">
        <v>46071</v>
      </c>
      <c r="D7549" t="s">
        <v>313</v>
      </c>
      <c r="E7549" t="s">
        <v>347</v>
      </c>
      <c r="F7549">
        <v>3</v>
      </c>
      <c r="G7549">
        <v>1.13743333333333</v>
      </c>
    </row>
    <row r="7550" spans="1:7" x14ac:dyDescent="0.35">
      <c r="A7550" t="s">
        <v>847</v>
      </c>
      <c r="B7550" t="s">
        <v>691</v>
      </c>
      <c r="C7550" s="83">
        <v>46071</v>
      </c>
      <c r="D7550" t="s">
        <v>314</v>
      </c>
      <c r="E7550" t="s">
        <v>316</v>
      </c>
      <c r="F7550">
        <v>5</v>
      </c>
      <c r="G7550">
        <v>2.1490833333333299</v>
      </c>
    </row>
    <row r="7551" spans="1:7" x14ac:dyDescent="0.35">
      <c r="A7551" t="s">
        <v>847</v>
      </c>
      <c r="B7551" t="s">
        <v>691</v>
      </c>
      <c r="C7551" s="83">
        <v>46071</v>
      </c>
      <c r="D7551" t="s">
        <v>314</v>
      </c>
      <c r="E7551" t="s">
        <v>827</v>
      </c>
      <c r="F7551">
        <v>4</v>
      </c>
      <c r="G7551">
        <v>8.8632666666666697</v>
      </c>
    </row>
    <row r="7552" spans="1:7" x14ac:dyDescent="0.35">
      <c r="A7552" t="s">
        <v>847</v>
      </c>
      <c r="B7552" t="s">
        <v>691</v>
      </c>
      <c r="C7552" s="83">
        <v>46071</v>
      </c>
      <c r="D7552" t="s">
        <v>314</v>
      </c>
      <c r="E7552" t="s">
        <v>347</v>
      </c>
      <c r="F7552">
        <v>3</v>
      </c>
      <c r="G7552">
        <v>0.89681666666666704</v>
      </c>
    </row>
    <row r="7553" spans="1:7" x14ac:dyDescent="0.35">
      <c r="A7553" t="s">
        <v>847</v>
      </c>
      <c r="B7553" t="s">
        <v>691</v>
      </c>
      <c r="C7553" s="83">
        <v>46071</v>
      </c>
      <c r="D7553" t="s">
        <v>317</v>
      </c>
      <c r="E7553" t="s">
        <v>323</v>
      </c>
      <c r="F7553">
        <v>6</v>
      </c>
      <c r="G7553">
        <v>2.4506000000000001</v>
      </c>
    </row>
    <row r="7554" spans="1:7" x14ac:dyDescent="0.35">
      <c r="A7554" t="s">
        <v>847</v>
      </c>
      <c r="B7554" t="s">
        <v>691</v>
      </c>
      <c r="C7554" s="83">
        <v>46071</v>
      </c>
      <c r="D7554" t="s">
        <v>317</v>
      </c>
      <c r="E7554" t="s">
        <v>792</v>
      </c>
      <c r="F7554">
        <v>2</v>
      </c>
      <c r="G7554">
        <v>3.96776666666667</v>
      </c>
    </row>
    <row r="7555" spans="1:7" x14ac:dyDescent="0.35">
      <c r="A7555" t="s">
        <v>847</v>
      </c>
      <c r="B7555" t="s">
        <v>691</v>
      </c>
      <c r="C7555" s="83">
        <v>46071</v>
      </c>
      <c r="D7555" t="s">
        <v>317</v>
      </c>
      <c r="E7555" t="s">
        <v>319</v>
      </c>
      <c r="F7555">
        <v>2</v>
      </c>
      <c r="G7555">
        <v>0.39715</v>
      </c>
    </row>
    <row r="7556" spans="1:7" x14ac:dyDescent="0.35">
      <c r="A7556" t="s">
        <v>847</v>
      </c>
      <c r="B7556" t="s">
        <v>691</v>
      </c>
      <c r="C7556" s="83">
        <v>46072</v>
      </c>
      <c r="D7556" t="s">
        <v>295</v>
      </c>
      <c r="E7556" t="s">
        <v>296</v>
      </c>
      <c r="F7556">
        <v>28</v>
      </c>
      <c r="G7556">
        <v>16.744583333333299</v>
      </c>
    </row>
    <row r="7557" spans="1:7" x14ac:dyDescent="0.35">
      <c r="A7557" t="s">
        <v>847</v>
      </c>
      <c r="B7557" t="s">
        <v>691</v>
      </c>
      <c r="C7557" s="83">
        <v>46072</v>
      </c>
      <c r="D7557" t="s">
        <v>299</v>
      </c>
      <c r="E7557" t="s">
        <v>296</v>
      </c>
      <c r="F7557">
        <v>14</v>
      </c>
      <c r="G7557">
        <v>6.5133000000000001</v>
      </c>
    </row>
    <row r="7558" spans="1:7" x14ac:dyDescent="0.35">
      <c r="A7558" t="s">
        <v>847</v>
      </c>
      <c r="B7558" t="s">
        <v>691</v>
      </c>
      <c r="C7558" s="83">
        <v>46072</v>
      </c>
      <c r="D7558" t="s">
        <v>301</v>
      </c>
      <c r="E7558" t="s">
        <v>302</v>
      </c>
      <c r="F7558">
        <v>24</v>
      </c>
      <c r="G7558">
        <v>13.8285</v>
      </c>
    </row>
    <row r="7559" spans="1:7" x14ac:dyDescent="0.35">
      <c r="A7559" t="s">
        <v>847</v>
      </c>
      <c r="B7559" t="s">
        <v>691</v>
      </c>
      <c r="C7559" s="83">
        <v>46072</v>
      </c>
      <c r="D7559" t="s">
        <v>303</v>
      </c>
      <c r="E7559" t="s">
        <v>302</v>
      </c>
      <c r="F7559">
        <v>11</v>
      </c>
      <c r="G7559">
        <v>2.5698833333333302</v>
      </c>
    </row>
    <row r="7560" spans="1:7" x14ac:dyDescent="0.35">
      <c r="A7560" t="s">
        <v>847</v>
      </c>
      <c r="B7560" t="s">
        <v>691</v>
      </c>
      <c r="C7560" s="83">
        <v>46072</v>
      </c>
      <c r="D7560" t="s">
        <v>310</v>
      </c>
      <c r="E7560" t="s">
        <v>311</v>
      </c>
      <c r="F7560">
        <v>38</v>
      </c>
      <c r="G7560">
        <v>33.691483333333302</v>
      </c>
    </row>
    <row r="7561" spans="1:7" x14ac:dyDescent="0.35">
      <c r="A7561" t="s">
        <v>847</v>
      </c>
      <c r="B7561" t="s">
        <v>691</v>
      </c>
      <c r="C7561" s="83">
        <v>46072</v>
      </c>
      <c r="D7561" t="s">
        <v>310</v>
      </c>
      <c r="E7561" t="s">
        <v>126</v>
      </c>
      <c r="F7561">
        <v>21</v>
      </c>
      <c r="G7561">
        <v>23.328900000000001</v>
      </c>
    </row>
    <row r="7562" spans="1:7" x14ac:dyDescent="0.35">
      <c r="A7562" t="s">
        <v>847</v>
      </c>
      <c r="B7562" t="s">
        <v>691</v>
      </c>
      <c r="C7562" s="83">
        <v>46072</v>
      </c>
      <c r="D7562" t="s">
        <v>310</v>
      </c>
      <c r="E7562" t="s">
        <v>640</v>
      </c>
      <c r="F7562">
        <v>12</v>
      </c>
      <c r="G7562">
        <v>28.334683333333299</v>
      </c>
    </row>
    <row r="7563" spans="1:7" x14ac:dyDescent="0.35">
      <c r="A7563" t="s">
        <v>847</v>
      </c>
      <c r="B7563" t="s">
        <v>691</v>
      </c>
      <c r="C7563" s="83">
        <v>46072</v>
      </c>
      <c r="D7563" t="s">
        <v>313</v>
      </c>
      <c r="E7563" t="s">
        <v>640</v>
      </c>
      <c r="F7563">
        <v>19</v>
      </c>
      <c r="G7563">
        <v>35.671866666666702</v>
      </c>
    </row>
    <row r="7564" spans="1:7" x14ac:dyDescent="0.35">
      <c r="A7564" t="s">
        <v>847</v>
      </c>
      <c r="B7564" t="s">
        <v>691</v>
      </c>
      <c r="C7564" s="83">
        <v>46072</v>
      </c>
      <c r="D7564" t="s">
        <v>313</v>
      </c>
      <c r="E7564" t="s">
        <v>126</v>
      </c>
      <c r="F7564">
        <v>14</v>
      </c>
      <c r="G7564">
        <v>37.604583333333302</v>
      </c>
    </row>
    <row r="7565" spans="1:7" x14ac:dyDescent="0.35">
      <c r="A7565" t="s">
        <v>847</v>
      </c>
      <c r="B7565" t="s">
        <v>691</v>
      </c>
      <c r="C7565" s="83">
        <v>46072</v>
      </c>
      <c r="D7565" t="s">
        <v>313</v>
      </c>
      <c r="E7565" t="s">
        <v>311</v>
      </c>
      <c r="F7565">
        <v>12</v>
      </c>
      <c r="G7565">
        <v>10.212199999999999</v>
      </c>
    </row>
    <row r="7566" spans="1:7" x14ac:dyDescent="0.35">
      <c r="A7566" t="s">
        <v>847</v>
      </c>
      <c r="B7566" t="s">
        <v>691</v>
      </c>
      <c r="C7566" s="83">
        <v>46072</v>
      </c>
      <c r="D7566" t="s">
        <v>314</v>
      </c>
      <c r="E7566" t="s">
        <v>316</v>
      </c>
      <c r="F7566">
        <v>12</v>
      </c>
      <c r="G7566">
        <v>6.5007999999999999</v>
      </c>
    </row>
    <row r="7567" spans="1:7" x14ac:dyDescent="0.35">
      <c r="A7567" t="s">
        <v>847</v>
      </c>
      <c r="B7567" t="s">
        <v>691</v>
      </c>
      <c r="C7567" s="83">
        <v>46072</v>
      </c>
      <c r="D7567" t="s">
        <v>314</v>
      </c>
      <c r="E7567" t="s">
        <v>311</v>
      </c>
      <c r="F7567">
        <v>5</v>
      </c>
      <c r="G7567">
        <v>41.261800000000001</v>
      </c>
    </row>
    <row r="7568" spans="1:7" x14ac:dyDescent="0.35">
      <c r="A7568" t="s">
        <v>847</v>
      </c>
      <c r="B7568" t="s">
        <v>691</v>
      </c>
      <c r="C7568" s="83">
        <v>46072</v>
      </c>
      <c r="D7568" t="s">
        <v>314</v>
      </c>
      <c r="E7568" t="s">
        <v>126</v>
      </c>
      <c r="F7568">
        <v>4</v>
      </c>
      <c r="G7568">
        <v>6.74956666666667</v>
      </c>
    </row>
    <row r="7569" spans="1:7" x14ac:dyDescent="0.35">
      <c r="A7569" t="s">
        <v>847</v>
      </c>
      <c r="B7569" t="s">
        <v>691</v>
      </c>
      <c r="C7569" s="83">
        <v>46072</v>
      </c>
      <c r="D7569" t="s">
        <v>317</v>
      </c>
      <c r="E7569" t="s">
        <v>323</v>
      </c>
      <c r="F7569">
        <v>6</v>
      </c>
      <c r="G7569">
        <v>2.1527500000000002</v>
      </c>
    </row>
    <row r="7570" spans="1:7" x14ac:dyDescent="0.35">
      <c r="A7570" t="s">
        <v>847</v>
      </c>
      <c r="B7570" t="s">
        <v>691</v>
      </c>
      <c r="C7570" s="83">
        <v>46072</v>
      </c>
      <c r="D7570" t="s">
        <v>317</v>
      </c>
      <c r="E7570" t="s">
        <v>777</v>
      </c>
      <c r="F7570">
        <v>3</v>
      </c>
      <c r="G7570">
        <v>1.56978333333333</v>
      </c>
    </row>
    <row r="7571" spans="1:7" x14ac:dyDescent="0.35">
      <c r="A7571" t="s">
        <v>847</v>
      </c>
      <c r="B7571" t="s">
        <v>691</v>
      </c>
      <c r="C7571" s="83">
        <v>46072</v>
      </c>
      <c r="D7571" t="s">
        <v>317</v>
      </c>
      <c r="E7571" t="s">
        <v>772</v>
      </c>
      <c r="F7571">
        <v>3</v>
      </c>
      <c r="G7571">
        <v>3.0571333333333301</v>
      </c>
    </row>
    <row r="7572" spans="1:7" x14ac:dyDescent="0.35">
      <c r="A7572" t="s">
        <v>847</v>
      </c>
      <c r="B7572" t="s">
        <v>691</v>
      </c>
      <c r="C7572" s="83">
        <v>46073</v>
      </c>
      <c r="D7572" t="s">
        <v>295</v>
      </c>
      <c r="E7572" t="s">
        <v>296</v>
      </c>
      <c r="F7572">
        <v>35</v>
      </c>
      <c r="G7572">
        <v>16.608250000000002</v>
      </c>
    </row>
    <row r="7573" spans="1:7" x14ac:dyDescent="0.35">
      <c r="A7573" t="s">
        <v>847</v>
      </c>
      <c r="B7573" t="s">
        <v>691</v>
      </c>
      <c r="C7573" s="83">
        <v>46073</v>
      </c>
      <c r="D7573" t="s">
        <v>299</v>
      </c>
      <c r="E7573" t="s">
        <v>637</v>
      </c>
      <c r="F7573">
        <v>22</v>
      </c>
      <c r="G7573">
        <v>11.4554166666667</v>
      </c>
    </row>
    <row r="7574" spans="1:7" x14ac:dyDescent="0.35">
      <c r="A7574" t="s">
        <v>847</v>
      </c>
      <c r="B7574" t="s">
        <v>691</v>
      </c>
      <c r="C7574" s="83">
        <v>46073</v>
      </c>
      <c r="D7574" t="s">
        <v>299</v>
      </c>
      <c r="E7574" t="s">
        <v>296</v>
      </c>
      <c r="F7574">
        <v>18</v>
      </c>
      <c r="G7574">
        <v>11.3845166666667</v>
      </c>
    </row>
    <row r="7575" spans="1:7" x14ac:dyDescent="0.35">
      <c r="A7575" t="s">
        <v>847</v>
      </c>
      <c r="B7575" t="s">
        <v>691</v>
      </c>
      <c r="C7575" s="83">
        <v>46073</v>
      </c>
      <c r="D7575" t="s">
        <v>310</v>
      </c>
      <c r="E7575" t="s">
        <v>640</v>
      </c>
      <c r="F7575">
        <v>29</v>
      </c>
      <c r="G7575">
        <v>46.121850000000002</v>
      </c>
    </row>
    <row r="7576" spans="1:7" x14ac:dyDescent="0.35">
      <c r="A7576" t="s">
        <v>847</v>
      </c>
      <c r="B7576" t="s">
        <v>691</v>
      </c>
      <c r="C7576" s="83">
        <v>46073</v>
      </c>
      <c r="D7576" t="s">
        <v>310</v>
      </c>
      <c r="E7576" t="s">
        <v>126</v>
      </c>
      <c r="F7576">
        <v>16</v>
      </c>
      <c r="G7576">
        <v>29.670166666666699</v>
      </c>
    </row>
    <row r="7577" spans="1:7" x14ac:dyDescent="0.35">
      <c r="A7577" t="s">
        <v>847</v>
      </c>
      <c r="B7577" t="s">
        <v>691</v>
      </c>
      <c r="C7577" s="83">
        <v>46073</v>
      </c>
      <c r="D7577" t="s">
        <v>310</v>
      </c>
      <c r="E7577" t="s">
        <v>333</v>
      </c>
      <c r="F7577">
        <v>14</v>
      </c>
      <c r="G7577">
        <v>25.310183333333299</v>
      </c>
    </row>
    <row r="7578" spans="1:7" x14ac:dyDescent="0.35">
      <c r="A7578" t="s">
        <v>847</v>
      </c>
      <c r="B7578" t="s">
        <v>691</v>
      </c>
      <c r="C7578" s="83">
        <v>46073</v>
      </c>
      <c r="D7578" t="s">
        <v>313</v>
      </c>
      <c r="E7578" t="s">
        <v>126</v>
      </c>
      <c r="F7578">
        <v>17</v>
      </c>
      <c r="G7578">
        <v>45.756633333333298</v>
      </c>
    </row>
    <row r="7579" spans="1:7" x14ac:dyDescent="0.35">
      <c r="A7579" t="s">
        <v>847</v>
      </c>
      <c r="B7579" t="s">
        <v>691</v>
      </c>
      <c r="C7579" s="83">
        <v>46073</v>
      </c>
      <c r="D7579" t="s">
        <v>313</v>
      </c>
      <c r="E7579" t="s">
        <v>640</v>
      </c>
      <c r="F7579">
        <v>14</v>
      </c>
      <c r="G7579">
        <v>34.170983333333297</v>
      </c>
    </row>
    <row r="7580" spans="1:7" x14ac:dyDescent="0.35">
      <c r="A7580" t="s">
        <v>847</v>
      </c>
      <c r="B7580" t="s">
        <v>691</v>
      </c>
      <c r="C7580" s="83">
        <v>46073</v>
      </c>
      <c r="D7580" t="s">
        <v>313</v>
      </c>
      <c r="E7580" t="s">
        <v>338</v>
      </c>
      <c r="F7580">
        <v>4</v>
      </c>
      <c r="G7580">
        <v>7.3311666666666699</v>
      </c>
    </row>
    <row r="7581" spans="1:7" x14ac:dyDescent="0.35">
      <c r="A7581" t="s">
        <v>847</v>
      </c>
      <c r="B7581" t="s">
        <v>691</v>
      </c>
      <c r="C7581" s="83">
        <v>46073</v>
      </c>
      <c r="D7581" t="s">
        <v>314</v>
      </c>
      <c r="E7581" t="s">
        <v>311</v>
      </c>
      <c r="F7581">
        <v>6</v>
      </c>
      <c r="G7581">
        <v>36.282933333333297</v>
      </c>
    </row>
    <row r="7582" spans="1:7" x14ac:dyDescent="0.35">
      <c r="A7582" t="s">
        <v>847</v>
      </c>
      <c r="B7582" t="s">
        <v>691</v>
      </c>
      <c r="C7582" s="83">
        <v>46073</v>
      </c>
      <c r="D7582" t="s">
        <v>314</v>
      </c>
      <c r="E7582" t="s">
        <v>640</v>
      </c>
      <c r="F7582">
        <v>5</v>
      </c>
      <c r="G7582">
        <v>5.5018833333333301</v>
      </c>
    </row>
    <row r="7583" spans="1:7" x14ac:dyDescent="0.35">
      <c r="A7583" t="s">
        <v>847</v>
      </c>
      <c r="B7583" t="s">
        <v>691</v>
      </c>
      <c r="C7583" s="83">
        <v>46073</v>
      </c>
      <c r="D7583" t="s">
        <v>314</v>
      </c>
      <c r="E7583" t="s">
        <v>126</v>
      </c>
      <c r="F7583">
        <v>4</v>
      </c>
      <c r="G7583">
        <v>11.848933333333299</v>
      </c>
    </row>
    <row r="7584" spans="1:7" x14ac:dyDescent="0.35">
      <c r="A7584" t="s">
        <v>847</v>
      </c>
      <c r="B7584" t="s">
        <v>691</v>
      </c>
      <c r="C7584" s="83">
        <v>46073</v>
      </c>
      <c r="D7584" t="s">
        <v>317</v>
      </c>
      <c r="E7584" t="s">
        <v>323</v>
      </c>
      <c r="F7584">
        <v>3</v>
      </c>
      <c r="G7584">
        <v>0.90485000000000004</v>
      </c>
    </row>
    <row r="7585" spans="1:7" x14ac:dyDescent="0.35">
      <c r="A7585" t="s">
        <v>847</v>
      </c>
      <c r="B7585" t="s">
        <v>691</v>
      </c>
      <c r="C7585" s="83">
        <v>46073</v>
      </c>
      <c r="D7585" t="s">
        <v>317</v>
      </c>
      <c r="E7585" t="s">
        <v>792</v>
      </c>
      <c r="F7585">
        <v>2</v>
      </c>
      <c r="G7585">
        <v>0.56999999999999995</v>
      </c>
    </row>
    <row r="7586" spans="1:7" x14ac:dyDescent="0.35">
      <c r="A7586" t="s">
        <v>847</v>
      </c>
      <c r="B7586" t="s">
        <v>691</v>
      </c>
      <c r="C7586" s="83">
        <v>46074</v>
      </c>
      <c r="D7586" t="s">
        <v>295</v>
      </c>
      <c r="E7586" t="s">
        <v>296</v>
      </c>
      <c r="F7586">
        <v>50</v>
      </c>
      <c r="G7586">
        <v>37.131383333333297</v>
      </c>
    </row>
    <row r="7587" spans="1:7" x14ac:dyDescent="0.35">
      <c r="A7587" t="s">
        <v>847</v>
      </c>
      <c r="B7587" t="s">
        <v>691</v>
      </c>
      <c r="C7587" s="83">
        <v>46074</v>
      </c>
      <c r="D7587" t="s">
        <v>299</v>
      </c>
      <c r="E7587" t="s">
        <v>296</v>
      </c>
      <c r="F7587">
        <v>20</v>
      </c>
      <c r="G7587">
        <v>9.8156999999999996</v>
      </c>
    </row>
    <row r="7588" spans="1:7" x14ac:dyDescent="0.35">
      <c r="A7588" t="s">
        <v>847</v>
      </c>
      <c r="B7588" t="s">
        <v>691</v>
      </c>
      <c r="C7588" s="83">
        <v>46074</v>
      </c>
      <c r="D7588" t="s">
        <v>299</v>
      </c>
      <c r="E7588" t="s">
        <v>302</v>
      </c>
      <c r="F7588">
        <v>9</v>
      </c>
      <c r="G7588">
        <v>6.2216333333333296</v>
      </c>
    </row>
    <row r="7589" spans="1:7" x14ac:dyDescent="0.35">
      <c r="A7589" t="s">
        <v>847</v>
      </c>
      <c r="B7589" t="s">
        <v>691</v>
      </c>
      <c r="C7589" s="83">
        <v>46074</v>
      </c>
      <c r="D7589" t="s">
        <v>310</v>
      </c>
      <c r="E7589" t="s">
        <v>126</v>
      </c>
      <c r="F7589">
        <v>7</v>
      </c>
      <c r="G7589">
        <v>3.4983666666666702</v>
      </c>
    </row>
    <row r="7590" spans="1:7" x14ac:dyDescent="0.35">
      <c r="A7590" t="s">
        <v>847</v>
      </c>
      <c r="B7590" t="s">
        <v>691</v>
      </c>
      <c r="C7590" s="83">
        <v>46074</v>
      </c>
      <c r="D7590" t="s">
        <v>310</v>
      </c>
      <c r="E7590" t="s">
        <v>338</v>
      </c>
      <c r="F7590">
        <v>5</v>
      </c>
      <c r="G7590">
        <v>3.8734999999999999</v>
      </c>
    </row>
    <row r="7591" spans="1:7" x14ac:dyDescent="0.35">
      <c r="A7591" t="s">
        <v>847</v>
      </c>
      <c r="B7591" t="s">
        <v>691</v>
      </c>
      <c r="C7591" s="83">
        <v>46074</v>
      </c>
      <c r="D7591" t="s">
        <v>310</v>
      </c>
      <c r="E7591" t="s">
        <v>323</v>
      </c>
      <c r="F7591">
        <v>5</v>
      </c>
      <c r="G7591">
        <v>2.6007500000000001</v>
      </c>
    </row>
    <row r="7592" spans="1:7" x14ac:dyDescent="0.35">
      <c r="A7592" t="s">
        <v>847</v>
      </c>
      <c r="B7592" t="s">
        <v>691</v>
      </c>
      <c r="C7592" s="83">
        <v>46074</v>
      </c>
      <c r="D7592" t="s">
        <v>313</v>
      </c>
      <c r="E7592" t="s">
        <v>640</v>
      </c>
      <c r="F7592">
        <v>28</v>
      </c>
      <c r="G7592">
        <v>54.2268166666667</v>
      </c>
    </row>
    <row r="7593" spans="1:7" x14ac:dyDescent="0.35">
      <c r="A7593" t="s">
        <v>847</v>
      </c>
      <c r="B7593" t="s">
        <v>691</v>
      </c>
      <c r="C7593" s="83">
        <v>46074</v>
      </c>
      <c r="D7593" t="s">
        <v>313</v>
      </c>
      <c r="E7593" t="s">
        <v>126</v>
      </c>
      <c r="F7593">
        <v>17</v>
      </c>
      <c r="G7593">
        <v>37.1339166666667</v>
      </c>
    </row>
    <row r="7594" spans="1:7" x14ac:dyDescent="0.35">
      <c r="A7594" t="s">
        <v>847</v>
      </c>
      <c r="B7594" t="s">
        <v>691</v>
      </c>
      <c r="C7594" s="83">
        <v>46074</v>
      </c>
      <c r="D7594" t="s">
        <v>313</v>
      </c>
      <c r="E7594" t="s">
        <v>348</v>
      </c>
      <c r="F7594">
        <v>4</v>
      </c>
      <c r="G7594">
        <v>2.62856666666667</v>
      </c>
    </row>
    <row r="7595" spans="1:7" x14ac:dyDescent="0.35">
      <c r="A7595" t="s">
        <v>847</v>
      </c>
      <c r="B7595" t="s">
        <v>691</v>
      </c>
      <c r="C7595" s="83">
        <v>46074</v>
      </c>
      <c r="D7595" t="s">
        <v>314</v>
      </c>
      <c r="E7595" t="s">
        <v>311</v>
      </c>
      <c r="F7595">
        <v>6</v>
      </c>
      <c r="G7595">
        <v>67.5321</v>
      </c>
    </row>
    <row r="7596" spans="1:7" x14ac:dyDescent="0.35">
      <c r="A7596" t="s">
        <v>847</v>
      </c>
      <c r="B7596" t="s">
        <v>691</v>
      </c>
      <c r="C7596" s="83">
        <v>46074</v>
      </c>
      <c r="D7596" t="s">
        <v>314</v>
      </c>
      <c r="E7596" t="s">
        <v>316</v>
      </c>
      <c r="F7596">
        <v>5</v>
      </c>
      <c r="G7596">
        <v>3.1902666666666701</v>
      </c>
    </row>
    <row r="7597" spans="1:7" x14ac:dyDescent="0.35">
      <c r="A7597" t="s">
        <v>847</v>
      </c>
      <c r="B7597" t="s">
        <v>691</v>
      </c>
      <c r="C7597" s="83">
        <v>46074</v>
      </c>
      <c r="D7597" t="s">
        <v>314</v>
      </c>
      <c r="E7597" t="s">
        <v>760</v>
      </c>
      <c r="F7597">
        <v>3</v>
      </c>
      <c r="G7597">
        <v>2.5933333333333302</v>
      </c>
    </row>
    <row r="7598" spans="1:7" x14ac:dyDescent="0.35">
      <c r="A7598" t="s">
        <v>847</v>
      </c>
      <c r="B7598" t="s">
        <v>691</v>
      </c>
      <c r="C7598" s="83">
        <v>46074</v>
      </c>
      <c r="D7598" t="s">
        <v>317</v>
      </c>
      <c r="E7598" t="s">
        <v>323</v>
      </c>
      <c r="F7598">
        <v>6</v>
      </c>
      <c r="G7598">
        <v>10.4301833333333</v>
      </c>
    </row>
    <row r="7599" spans="1:7" x14ac:dyDescent="0.35">
      <c r="A7599" t="s">
        <v>847</v>
      </c>
      <c r="B7599" t="s">
        <v>691</v>
      </c>
      <c r="C7599" s="83">
        <v>46074</v>
      </c>
      <c r="D7599" t="s">
        <v>317</v>
      </c>
      <c r="E7599" t="s">
        <v>318</v>
      </c>
      <c r="F7599">
        <v>2</v>
      </c>
      <c r="G7599">
        <v>4.3821166666666702</v>
      </c>
    </row>
    <row r="7600" spans="1:7" x14ac:dyDescent="0.35">
      <c r="A7600" t="s">
        <v>847</v>
      </c>
      <c r="B7600" t="s">
        <v>691</v>
      </c>
      <c r="C7600" s="83">
        <v>46074</v>
      </c>
      <c r="D7600" t="s">
        <v>317</v>
      </c>
      <c r="E7600" t="s">
        <v>339</v>
      </c>
      <c r="F7600">
        <v>2</v>
      </c>
      <c r="G7600">
        <v>24.1110166666667</v>
      </c>
    </row>
    <row r="7601" spans="1:7" x14ac:dyDescent="0.35">
      <c r="A7601" t="s">
        <v>847</v>
      </c>
      <c r="B7601" t="s">
        <v>691</v>
      </c>
      <c r="C7601" s="83">
        <v>46075</v>
      </c>
      <c r="D7601" t="s">
        <v>295</v>
      </c>
      <c r="E7601" t="s">
        <v>296</v>
      </c>
      <c r="F7601">
        <v>38</v>
      </c>
      <c r="G7601">
        <v>26.9165666666667</v>
      </c>
    </row>
    <row r="7602" spans="1:7" x14ac:dyDescent="0.35">
      <c r="A7602" t="s">
        <v>847</v>
      </c>
      <c r="B7602" t="s">
        <v>691</v>
      </c>
      <c r="C7602" s="83">
        <v>46075</v>
      </c>
      <c r="D7602" t="s">
        <v>295</v>
      </c>
      <c r="E7602" t="s">
        <v>302</v>
      </c>
      <c r="F7602">
        <v>10</v>
      </c>
      <c r="G7602">
        <v>3.56213333333333</v>
      </c>
    </row>
    <row r="7603" spans="1:7" x14ac:dyDescent="0.35">
      <c r="A7603" t="s">
        <v>847</v>
      </c>
      <c r="B7603" t="s">
        <v>691</v>
      </c>
      <c r="C7603" s="83">
        <v>46075</v>
      </c>
      <c r="D7603" t="s">
        <v>299</v>
      </c>
      <c r="E7603" t="s">
        <v>296</v>
      </c>
      <c r="F7603">
        <v>34</v>
      </c>
      <c r="G7603">
        <v>25.709683333333299</v>
      </c>
    </row>
    <row r="7604" spans="1:7" x14ac:dyDescent="0.35">
      <c r="A7604" t="s">
        <v>847</v>
      </c>
      <c r="B7604" t="s">
        <v>691</v>
      </c>
      <c r="C7604" s="83">
        <v>46075</v>
      </c>
      <c r="D7604" t="s">
        <v>299</v>
      </c>
      <c r="E7604" t="s">
        <v>302</v>
      </c>
      <c r="F7604">
        <v>17</v>
      </c>
      <c r="G7604">
        <v>10.937566666666701</v>
      </c>
    </row>
    <row r="7605" spans="1:7" x14ac:dyDescent="0.35">
      <c r="A7605" t="s">
        <v>847</v>
      </c>
      <c r="B7605" t="s">
        <v>691</v>
      </c>
      <c r="C7605" s="83">
        <v>46075</v>
      </c>
      <c r="D7605" t="s">
        <v>301</v>
      </c>
      <c r="E7605" t="s">
        <v>302</v>
      </c>
      <c r="F7605">
        <v>16</v>
      </c>
      <c r="G7605">
        <v>4.5463666666666702</v>
      </c>
    </row>
    <row r="7606" spans="1:7" x14ac:dyDescent="0.35">
      <c r="A7606" t="s">
        <v>847</v>
      </c>
      <c r="B7606" t="s">
        <v>691</v>
      </c>
      <c r="C7606" s="83">
        <v>46075</v>
      </c>
      <c r="D7606" t="s">
        <v>310</v>
      </c>
      <c r="E7606" t="s">
        <v>126</v>
      </c>
      <c r="F7606">
        <v>27</v>
      </c>
      <c r="G7606">
        <v>17.620383333333301</v>
      </c>
    </row>
    <row r="7607" spans="1:7" x14ac:dyDescent="0.35">
      <c r="A7607" t="s">
        <v>847</v>
      </c>
      <c r="B7607" t="s">
        <v>691</v>
      </c>
      <c r="C7607" s="83">
        <v>46075</v>
      </c>
      <c r="D7607" t="s">
        <v>310</v>
      </c>
      <c r="E7607" t="s">
        <v>830</v>
      </c>
      <c r="F7607">
        <v>22</v>
      </c>
      <c r="G7607">
        <v>11.5903333333333</v>
      </c>
    </row>
    <row r="7608" spans="1:7" x14ac:dyDescent="0.35">
      <c r="A7608" t="s">
        <v>847</v>
      </c>
      <c r="B7608" t="s">
        <v>691</v>
      </c>
      <c r="C7608" s="83">
        <v>46075</v>
      </c>
      <c r="D7608" t="s">
        <v>310</v>
      </c>
      <c r="E7608" t="s">
        <v>311</v>
      </c>
      <c r="F7608">
        <v>8</v>
      </c>
      <c r="G7608">
        <v>3.10611666666667</v>
      </c>
    </row>
    <row r="7609" spans="1:7" x14ac:dyDescent="0.35">
      <c r="A7609" t="s">
        <v>847</v>
      </c>
      <c r="B7609" t="s">
        <v>691</v>
      </c>
      <c r="C7609" s="83">
        <v>46075</v>
      </c>
      <c r="D7609" t="s">
        <v>313</v>
      </c>
      <c r="E7609" t="s">
        <v>126</v>
      </c>
      <c r="F7609">
        <v>19</v>
      </c>
      <c r="G7609">
        <v>36.628450000000001</v>
      </c>
    </row>
    <row r="7610" spans="1:7" x14ac:dyDescent="0.35">
      <c r="A7610" t="s">
        <v>847</v>
      </c>
      <c r="B7610" t="s">
        <v>691</v>
      </c>
      <c r="C7610" s="83">
        <v>46075</v>
      </c>
      <c r="D7610" t="s">
        <v>313</v>
      </c>
      <c r="E7610" t="s">
        <v>311</v>
      </c>
      <c r="F7610">
        <v>5</v>
      </c>
      <c r="G7610">
        <v>4.0236333333333301</v>
      </c>
    </row>
    <row r="7611" spans="1:7" x14ac:dyDescent="0.35">
      <c r="A7611" t="s">
        <v>847</v>
      </c>
      <c r="B7611" t="s">
        <v>691</v>
      </c>
      <c r="C7611" s="83">
        <v>46075</v>
      </c>
      <c r="D7611" t="s">
        <v>313</v>
      </c>
      <c r="E7611" t="s">
        <v>312</v>
      </c>
      <c r="F7611">
        <v>4</v>
      </c>
      <c r="G7611">
        <v>13.1329333333333</v>
      </c>
    </row>
    <row r="7612" spans="1:7" x14ac:dyDescent="0.35">
      <c r="A7612" t="s">
        <v>847</v>
      </c>
      <c r="B7612" t="s">
        <v>691</v>
      </c>
      <c r="C7612" s="83">
        <v>46075</v>
      </c>
      <c r="D7612" t="s">
        <v>314</v>
      </c>
      <c r="E7612" t="s">
        <v>312</v>
      </c>
      <c r="F7612">
        <v>32</v>
      </c>
      <c r="G7612">
        <v>30.966000000000001</v>
      </c>
    </row>
    <row r="7613" spans="1:7" x14ac:dyDescent="0.35">
      <c r="A7613" t="s">
        <v>847</v>
      </c>
      <c r="B7613" t="s">
        <v>691</v>
      </c>
      <c r="C7613" s="83">
        <v>46075</v>
      </c>
      <c r="D7613" t="s">
        <v>314</v>
      </c>
      <c r="E7613" t="s">
        <v>126</v>
      </c>
      <c r="F7613">
        <v>11</v>
      </c>
      <c r="G7613">
        <v>26.5834333333333</v>
      </c>
    </row>
    <row r="7614" spans="1:7" x14ac:dyDescent="0.35">
      <c r="A7614" t="s">
        <v>847</v>
      </c>
      <c r="B7614" t="s">
        <v>691</v>
      </c>
      <c r="C7614" s="83">
        <v>46075</v>
      </c>
      <c r="D7614" t="s">
        <v>314</v>
      </c>
      <c r="E7614" t="s">
        <v>316</v>
      </c>
      <c r="F7614">
        <v>6</v>
      </c>
      <c r="G7614">
        <v>2.3458000000000001</v>
      </c>
    </row>
    <row r="7615" spans="1:7" x14ac:dyDescent="0.35">
      <c r="A7615" t="s">
        <v>847</v>
      </c>
      <c r="B7615" t="s">
        <v>691</v>
      </c>
      <c r="C7615" s="83">
        <v>46075</v>
      </c>
      <c r="D7615" t="s">
        <v>317</v>
      </c>
      <c r="E7615" t="s">
        <v>323</v>
      </c>
      <c r="F7615">
        <v>2</v>
      </c>
      <c r="G7615">
        <v>0.89624999999999999</v>
      </c>
    </row>
    <row r="7616" spans="1:7" x14ac:dyDescent="0.35">
      <c r="A7616" t="s">
        <v>847</v>
      </c>
      <c r="B7616" t="s">
        <v>691</v>
      </c>
      <c r="C7616" s="83">
        <v>46076</v>
      </c>
      <c r="D7616" t="s">
        <v>295</v>
      </c>
      <c r="E7616" t="s">
        <v>296</v>
      </c>
      <c r="F7616">
        <v>33</v>
      </c>
      <c r="G7616">
        <v>11.197616666666701</v>
      </c>
    </row>
    <row r="7617" spans="1:7" x14ac:dyDescent="0.35">
      <c r="A7617" t="s">
        <v>847</v>
      </c>
      <c r="B7617" t="s">
        <v>691</v>
      </c>
      <c r="C7617" s="83">
        <v>46076</v>
      </c>
      <c r="D7617" t="s">
        <v>299</v>
      </c>
      <c r="E7617" t="s">
        <v>296</v>
      </c>
      <c r="F7617">
        <v>16</v>
      </c>
      <c r="G7617">
        <v>7.2360666666666704</v>
      </c>
    </row>
    <row r="7618" spans="1:7" x14ac:dyDescent="0.35">
      <c r="A7618" t="s">
        <v>847</v>
      </c>
      <c r="B7618" t="s">
        <v>691</v>
      </c>
      <c r="C7618" s="83">
        <v>46076</v>
      </c>
      <c r="D7618" t="s">
        <v>299</v>
      </c>
      <c r="E7618" t="s">
        <v>302</v>
      </c>
      <c r="F7618">
        <v>16</v>
      </c>
      <c r="G7618">
        <v>8.7047333333333299</v>
      </c>
    </row>
    <row r="7619" spans="1:7" x14ac:dyDescent="0.35">
      <c r="A7619" t="s">
        <v>847</v>
      </c>
      <c r="B7619" t="s">
        <v>691</v>
      </c>
      <c r="C7619" s="83">
        <v>46076</v>
      </c>
      <c r="D7619" t="s">
        <v>299</v>
      </c>
      <c r="E7619" t="s">
        <v>828</v>
      </c>
      <c r="F7619">
        <v>14</v>
      </c>
      <c r="G7619">
        <v>7.7557</v>
      </c>
    </row>
    <row r="7620" spans="1:7" x14ac:dyDescent="0.35">
      <c r="A7620" t="s">
        <v>847</v>
      </c>
      <c r="B7620" t="s">
        <v>691</v>
      </c>
      <c r="C7620" s="83">
        <v>46076</v>
      </c>
      <c r="D7620" t="s">
        <v>301</v>
      </c>
      <c r="E7620" t="s">
        <v>302</v>
      </c>
      <c r="F7620">
        <v>16</v>
      </c>
      <c r="G7620">
        <v>10.172233333333301</v>
      </c>
    </row>
    <row r="7621" spans="1:7" x14ac:dyDescent="0.35">
      <c r="A7621" t="s">
        <v>847</v>
      </c>
      <c r="B7621" t="s">
        <v>691</v>
      </c>
      <c r="C7621" s="83">
        <v>46076</v>
      </c>
      <c r="D7621" t="s">
        <v>303</v>
      </c>
      <c r="E7621" t="s">
        <v>637</v>
      </c>
      <c r="F7621">
        <v>13</v>
      </c>
      <c r="G7621">
        <v>4.0852333333333304</v>
      </c>
    </row>
    <row r="7622" spans="1:7" x14ac:dyDescent="0.35">
      <c r="A7622" t="s">
        <v>847</v>
      </c>
      <c r="B7622" t="s">
        <v>691</v>
      </c>
      <c r="C7622" s="83">
        <v>46076</v>
      </c>
      <c r="D7622" t="s">
        <v>303</v>
      </c>
      <c r="E7622" t="s">
        <v>302</v>
      </c>
      <c r="F7622">
        <v>9</v>
      </c>
      <c r="G7622">
        <v>1.80436666666667</v>
      </c>
    </row>
    <row r="7623" spans="1:7" x14ac:dyDescent="0.35">
      <c r="A7623" t="s">
        <v>847</v>
      </c>
      <c r="B7623" t="s">
        <v>691</v>
      </c>
      <c r="C7623" s="83">
        <v>46076</v>
      </c>
      <c r="D7623" t="s">
        <v>310</v>
      </c>
      <c r="E7623" t="s">
        <v>311</v>
      </c>
      <c r="F7623">
        <v>16</v>
      </c>
      <c r="G7623">
        <v>7.5632333333333301</v>
      </c>
    </row>
    <row r="7624" spans="1:7" x14ac:dyDescent="0.35">
      <c r="A7624" t="s">
        <v>847</v>
      </c>
      <c r="B7624" t="s">
        <v>691</v>
      </c>
      <c r="C7624" s="83">
        <v>46076</v>
      </c>
      <c r="D7624" t="s">
        <v>310</v>
      </c>
      <c r="E7624" t="s">
        <v>830</v>
      </c>
      <c r="F7624">
        <v>15</v>
      </c>
      <c r="G7624">
        <v>10.295</v>
      </c>
    </row>
    <row r="7625" spans="1:7" x14ac:dyDescent="0.35">
      <c r="A7625" t="s">
        <v>847</v>
      </c>
      <c r="B7625" t="s">
        <v>691</v>
      </c>
      <c r="C7625" s="83">
        <v>46076</v>
      </c>
      <c r="D7625" t="s">
        <v>310</v>
      </c>
      <c r="E7625" t="s">
        <v>126</v>
      </c>
      <c r="F7625">
        <v>11</v>
      </c>
      <c r="G7625">
        <v>9.9747666666666692</v>
      </c>
    </row>
    <row r="7626" spans="1:7" x14ac:dyDescent="0.35">
      <c r="A7626" t="s">
        <v>847</v>
      </c>
      <c r="B7626" t="s">
        <v>691</v>
      </c>
      <c r="C7626" s="83">
        <v>46076</v>
      </c>
      <c r="D7626" t="s">
        <v>313</v>
      </c>
      <c r="E7626" t="s">
        <v>126</v>
      </c>
      <c r="F7626">
        <v>11</v>
      </c>
      <c r="G7626">
        <v>21.327249999999999</v>
      </c>
    </row>
    <row r="7627" spans="1:7" x14ac:dyDescent="0.35">
      <c r="A7627" t="s">
        <v>847</v>
      </c>
      <c r="B7627" t="s">
        <v>691</v>
      </c>
      <c r="C7627" s="83">
        <v>46076</v>
      </c>
      <c r="D7627" t="s">
        <v>313</v>
      </c>
      <c r="E7627" t="s">
        <v>827</v>
      </c>
      <c r="F7627">
        <v>2</v>
      </c>
      <c r="G7627">
        <v>15.124366666666701</v>
      </c>
    </row>
    <row r="7628" spans="1:7" x14ac:dyDescent="0.35">
      <c r="A7628" t="s">
        <v>847</v>
      </c>
      <c r="B7628" t="s">
        <v>691</v>
      </c>
      <c r="C7628" s="83">
        <v>46076</v>
      </c>
      <c r="D7628" t="s">
        <v>313</v>
      </c>
      <c r="E7628" t="s">
        <v>318</v>
      </c>
      <c r="F7628">
        <v>2</v>
      </c>
      <c r="G7628">
        <v>0.76238333333333297</v>
      </c>
    </row>
    <row r="7629" spans="1:7" x14ac:dyDescent="0.35">
      <c r="A7629" t="s">
        <v>847</v>
      </c>
      <c r="B7629" t="s">
        <v>691</v>
      </c>
      <c r="C7629" s="83">
        <v>46076</v>
      </c>
      <c r="D7629" t="s">
        <v>314</v>
      </c>
      <c r="E7629" t="s">
        <v>316</v>
      </c>
      <c r="F7629">
        <v>4</v>
      </c>
      <c r="G7629">
        <v>0.795366666666667</v>
      </c>
    </row>
    <row r="7630" spans="1:7" x14ac:dyDescent="0.35">
      <c r="A7630" t="s">
        <v>847</v>
      </c>
      <c r="B7630" t="s">
        <v>691</v>
      </c>
      <c r="C7630" s="83">
        <v>46076</v>
      </c>
      <c r="D7630" t="s">
        <v>314</v>
      </c>
      <c r="E7630" t="s">
        <v>323</v>
      </c>
      <c r="F7630">
        <v>3</v>
      </c>
      <c r="G7630">
        <v>1.7045666666666699</v>
      </c>
    </row>
    <row r="7631" spans="1:7" x14ac:dyDescent="0.35">
      <c r="A7631" t="s">
        <v>847</v>
      </c>
      <c r="B7631" t="s">
        <v>691</v>
      </c>
      <c r="C7631" s="83">
        <v>46076</v>
      </c>
      <c r="D7631" t="s">
        <v>314</v>
      </c>
      <c r="E7631" t="s">
        <v>827</v>
      </c>
      <c r="F7631">
        <v>2</v>
      </c>
      <c r="G7631">
        <v>1.6959</v>
      </c>
    </row>
    <row r="7632" spans="1:7" x14ac:dyDescent="0.35">
      <c r="A7632" t="s">
        <v>847</v>
      </c>
      <c r="B7632" t="s">
        <v>691</v>
      </c>
      <c r="C7632" s="83">
        <v>46076</v>
      </c>
      <c r="D7632" t="s">
        <v>317</v>
      </c>
      <c r="E7632" t="s">
        <v>323</v>
      </c>
      <c r="F7632">
        <v>2</v>
      </c>
      <c r="G7632">
        <v>0.3301</v>
      </c>
    </row>
    <row r="7633" spans="1:7" x14ac:dyDescent="0.35">
      <c r="A7633" t="s">
        <v>847</v>
      </c>
      <c r="B7633" t="s">
        <v>691</v>
      </c>
      <c r="C7633" s="83">
        <v>46077</v>
      </c>
      <c r="D7633" t="s">
        <v>295</v>
      </c>
      <c r="E7633" t="s">
        <v>296</v>
      </c>
      <c r="F7633">
        <v>30</v>
      </c>
      <c r="G7633">
        <v>12.852916666666699</v>
      </c>
    </row>
    <row r="7634" spans="1:7" x14ac:dyDescent="0.35">
      <c r="A7634" t="s">
        <v>847</v>
      </c>
      <c r="B7634" t="s">
        <v>691</v>
      </c>
      <c r="C7634" s="83">
        <v>46077</v>
      </c>
      <c r="D7634" t="s">
        <v>299</v>
      </c>
      <c r="E7634" t="s">
        <v>637</v>
      </c>
      <c r="F7634">
        <v>21</v>
      </c>
      <c r="G7634">
        <v>11.319183333333299</v>
      </c>
    </row>
    <row r="7635" spans="1:7" x14ac:dyDescent="0.35">
      <c r="A7635" t="s">
        <v>847</v>
      </c>
      <c r="B7635" t="s">
        <v>691</v>
      </c>
      <c r="C7635" s="83">
        <v>46077</v>
      </c>
      <c r="D7635" t="s">
        <v>301</v>
      </c>
      <c r="E7635" t="s">
        <v>302</v>
      </c>
      <c r="F7635">
        <v>33</v>
      </c>
      <c r="G7635">
        <v>25.826899999999998</v>
      </c>
    </row>
    <row r="7636" spans="1:7" x14ac:dyDescent="0.35">
      <c r="A7636" t="s">
        <v>847</v>
      </c>
      <c r="B7636" t="s">
        <v>691</v>
      </c>
      <c r="C7636" s="83">
        <v>46077</v>
      </c>
      <c r="D7636" t="s">
        <v>310</v>
      </c>
      <c r="E7636" t="s">
        <v>830</v>
      </c>
      <c r="F7636">
        <v>33</v>
      </c>
      <c r="G7636">
        <v>29.3129666666667</v>
      </c>
    </row>
    <row r="7637" spans="1:7" x14ac:dyDescent="0.35">
      <c r="A7637" t="s">
        <v>847</v>
      </c>
      <c r="B7637" t="s">
        <v>691</v>
      </c>
      <c r="C7637" s="83">
        <v>46077</v>
      </c>
      <c r="D7637" t="s">
        <v>310</v>
      </c>
      <c r="E7637" t="s">
        <v>311</v>
      </c>
      <c r="F7637">
        <v>12</v>
      </c>
      <c r="G7637">
        <v>5.1577333333333302</v>
      </c>
    </row>
    <row r="7638" spans="1:7" x14ac:dyDescent="0.35">
      <c r="A7638" t="s">
        <v>847</v>
      </c>
      <c r="B7638" t="s">
        <v>691</v>
      </c>
      <c r="C7638" s="83">
        <v>46077</v>
      </c>
      <c r="D7638" t="s">
        <v>310</v>
      </c>
      <c r="E7638" t="s">
        <v>126</v>
      </c>
      <c r="F7638">
        <v>8</v>
      </c>
      <c r="G7638">
        <v>3.8552666666666702</v>
      </c>
    </row>
    <row r="7639" spans="1:7" x14ac:dyDescent="0.35">
      <c r="A7639" t="s">
        <v>847</v>
      </c>
      <c r="B7639" t="s">
        <v>691</v>
      </c>
      <c r="C7639" s="83">
        <v>46077</v>
      </c>
      <c r="D7639" t="s">
        <v>313</v>
      </c>
      <c r="E7639" t="s">
        <v>311</v>
      </c>
      <c r="F7639">
        <v>8</v>
      </c>
      <c r="G7639">
        <v>5.3278999999999996</v>
      </c>
    </row>
    <row r="7640" spans="1:7" x14ac:dyDescent="0.35">
      <c r="A7640" t="s">
        <v>847</v>
      </c>
      <c r="B7640" t="s">
        <v>691</v>
      </c>
      <c r="C7640" s="83">
        <v>46077</v>
      </c>
      <c r="D7640" t="s">
        <v>313</v>
      </c>
      <c r="E7640" t="s">
        <v>126</v>
      </c>
      <c r="F7640">
        <v>7</v>
      </c>
      <c r="G7640">
        <v>22.310833333333299</v>
      </c>
    </row>
    <row r="7641" spans="1:7" x14ac:dyDescent="0.35">
      <c r="A7641" t="s">
        <v>847</v>
      </c>
      <c r="B7641" t="s">
        <v>691</v>
      </c>
      <c r="C7641" s="83">
        <v>46077</v>
      </c>
      <c r="D7641" t="s">
        <v>313</v>
      </c>
      <c r="E7641" t="s">
        <v>347</v>
      </c>
      <c r="F7641">
        <v>3</v>
      </c>
      <c r="G7641">
        <v>0.157783333333333</v>
      </c>
    </row>
    <row r="7642" spans="1:7" x14ac:dyDescent="0.35">
      <c r="A7642" t="s">
        <v>847</v>
      </c>
      <c r="B7642" t="s">
        <v>691</v>
      </c>
      <c r="C7642" s="83">
        <v>46077</v>
      </c>
      <c r="D7642" t="s">
        <v>314</v>
      </c>
      <c r="E7642" t="s">
        <v>316</v>
      </c>
      <c r="F7642">
        <v>5</v>
      </c>
      <c r="G7642">
        <v>4.6972833333333304</v>
      </c>
    </row>
    <row r="7643" spans="1:7" x14ac:dyDescent="0.35">
      <c r="A7643" t="s">
        <v>847</v>
      </c>
      <c r="B7643" t="s">
        <v>691</v>
      </c>
      <c r="C7643" s="83">
        <v>46077</v>
      </c>
      <c r="D7643" t="s">
        <v>314</v>
      </c>
      <c r="E7643" t="s">
        <v>321</v>
      </c>
      <c r="F7643">
        <v>2</v>
      </c>
      <c r="G7643">
        <v>2.113</v>
      </c>
    </row>
    <row r="7644" spans="1:7" x14ac:dyDescent="0.35">
      <c r="A7644" t="s">
        <v>847</v>
      </c>
      <c r="B7644" t="s">
        <v>691</v>
      </c>
      <c r="C7644" s="83">
        <v>46077</v>
      </c>
      <c r="D7644" t="s">
        <v>314</v>
      </c>
      <c r="E7644" t="s">
        <v>323</v>
      </c>
      <c r="F7644">
        <v>2</v>
      </c>
      <c r="G7644">
        <v>0.30464999999999998</v>
      </c>
    </row>
    <row r="7645" spans="1:7" x14ac:dyDescent="0.35">
      <c r="A7645" t="s">
        <v>847</v>
      </c>
      <c r="B7645" t="s">
        <v>691</v>
      </c>
      <c r="C7645" s="83">
        <v>46077</v>
      </c>
      <c r="D7645" t="s">
        <v>317</v>
      </c>
      <c r="E7645" t="s">
        <v>725</v>
      </c>
      <c r="F7645">
        <v>2</v>
      </c>
      <c r="G7645">
        <v>1.8627833333333299</v>
      </c>
    </row>
    <row r="7646" spans="1:7" x14ac:dyDescent="0.35">
      <c r="A7646" t="s">
        <v>847</v>
      </c>
      <c r="B7646" t="s">
        <v>691</v>
      </c>
      <c r="C7646" s="83">
        <v>46078</v>
      </c>
      <c r="D7646" t="s">
        <v>295</v>
      </c>
      <c r="E7646" t="s">
        <v>296</v>
      </c>
      <c r="F7646">
        <v>27</v>
      </c>
      <c r="G7646">
        <v>13.107433333333301</v>
      </c>
    </row>
    <row r="7647" spans="1:7" x14ac:dyDescent="0.35">
      <c r="A7647" t="s">
        <v>847</v>
      </c>
      <c r="B7647" t="s">
        <v>691</v>
      </c>
      <c r="C7647" s="83">
        <v>46078</v>
      </c>
      <c r="D7647" t="s">
        <v>299</v>
      </c>
      <c r="E7647" t="s">
        <v>637</v>
      </c>
      <c r="F7647">
        <v>43</v>
      </c>
      <c r="G7647">
        <v>14.2138666666667</v>
      </c>
    </row>
    <row r="7648" spans="1:7" x14ac:dyDescent="0.35">
      <c r="A7648" t="s">
        <v>847</v>
      </c>
      <c r="B7648" t="s">
        <v>691</v>
      </c>
      <c r="C7648" s="83">
        <v>46078</v>
      </c>
      <c r="D7648" t="s">
        <v>299</v>
      </c>
      <c r="E7648" t="s">
        <v>296</v>
      </c>
      <c r="F7648">
        <v>32</v>
      </c>
      <c r="G7648">
        <v>13.881966666666701</v>
      </c>
    </row>
    <row r="7649" spans="1:7" x14ac:dyDescent="0.35">
      <c r="A7649" t="s">
        <v>847</v>
      </c>
      <c r="B7649" t="s">
        <v>691</v>
      </c>
      <c r="C7649" s="83">
        <v>46078</v>
      </c>
      <c r="D7649" t="s">
        <v>301</v>
      </c>
      <c r="E7649" t="s">
        <v>302</v>
      </c>
      <c r="F7649">
        <v>59</v>
      </c>
      <c r="G7649">
        <v>38.350733333333302</v>
      </c>
    </row>
    <row r="7650" spans="1:7" x14ac:dyDescent="0.35">
      <c r="A7650" t="s">
        <v>847</v>
      </c>
      <c r="B7650" t="s">
        <v>691</v>
      </c>
      <c r="C7650" s="83">
        <v>46078</v>
      </c>
      <c r="D7650" t="s">
        <v>303</v>
      </c>
      <c r="E7650" t="s">
        <v>302</v>
      </c>
      <c r="F7650">
        <v>12</v>
      </c>
      <c r="G7650">
        <v>5.8886833333333302</v>
      </c>
    </row>
    <row r="7651" spans="1:7" x14ac:dyDescent="0.35">
      <c r="A7651" t="s">
        <v>847</v>
      </c>
      <c r="B7651" t="s">
        <v>691</v>
      </c>
      <c r="C7651" s="83">
        <v>46078</v>
      </c>
      <c r="D7651" t="s">
        <v>310</v>
      </c>
      <c r="E7651" t="s">
        <v>333</v>
      </c>
      <c r="F7651">
        <v>18</v>
      </c>
      <c r="G7651">
        <v>10.320600000000001</v>
      </c>
    </row>
    <row r="7652" spans="1:7" x14ac:dyDescent="0.35">
      <c r="A7652" t="s">
        <v>847</v>
      </c>
      <c r="B7652" t="s">
        <v>691</v>
      </c>
      <c r="C7652" s="83">
        <v>46078</v>
      </c>
      <c r="D7652" t="s">
        <v>310</v>
      </c>
      <c r="E7652" t="s">
        <v>126</v>
      </c>
      <c r="F7652">
        <v>13</v>
      </c>
      <c r="G7652">
        <v>11.096</v>
      </c>
    </row>
    <row r="7653" spans="1:7" x14ac:dyDescent="0.35">
      <c r="A7653" t="s">
        <v>847</v>
      </c>
      <c r="B7653" t="s">
        <v>691</v>
      </c>
      <c r="C7653" s="83">
        <v>46078</v>
      </c>
      <c r="D7653" t="s">
        <v>310</v>
      </c>
      <c r="E7653" t="s">
        <v>830</v>
      </c>
      <c r="F7653">
        <v>7</v>
      </c>
      <c r="G7653">
        <v>4.0556666666666699</v>
      </c>
    </row>
    <row r="7654" spans="1:7" x14ac:dyDescent="0.35">
      <c r="A7654" t="s">
        <v>847</v>
      </c>
      <c r="B7654" t="s">
        <v>691</v>
      </c>
      <c r="C7654" s="83">
        <v>46078</v>
      </c>
      <c r="D7654" t="s">
        <v>313</v>
      </c>
      <c r="E7654" t="s">
        <v>311</v>
      </c>
      <c r="F7654">
        <v>10</v>
      </c>
      <c r="G7654">
        <v>4.7482833333333296</v>
      </c>
    </row>
    <row r="7655" spans="1:7" x14ac:dyDescent="0.35">
      <c r="A7655" t="s">
        <v>847</v>
      </c>
      <c r="B7655" t="s">
        <v>691</v>
      </c>
      <c r="C7655" s="83">
        <v>46078</v>
      </c>
      <c r="D7655" t="s">
        <v>313</v>
      </c>
      <c r="E7655" t="s">
        <v>126</v>
      </c>
      <c r="F7655">
        <v>6</v>
      </c>
      <c r="G7655">
        <v>13.2457333333333</v>
      </c>
    </row>
    <row r="7656" spans="1:7" x14ac:dyDescent="0.35">
      <c r="A7656" t="s">
        <v>847</v>
      </c>
      <c r="B7656" t="s">
        <v>691</v>
      </c>
      <c r="C7656" s="83">
        <v>46078</v>
      </c>
      <c r="D7656" t="s">
        <v>313</v>
      </c>
      <c r="E7656" t="s">
        <v>316</v>
      </c>
      <c r="F7656">
        <v>6</v>
      </c>
      <c r="G7656">
        <v>3.2368999999999999</v>
      </c>
    </row>
    <row r="7657" spans="1:7" x14ac:dyDescent="0.35">
      <c r="A7657" t="s">
        <v>847</v>
      </c>
      <c r="B7657" t="s">
        <v>691</v>
      </c>
      <c r="C7657" s="83">
        <v>46078</v>
      </c>
      <c r="D7657" t="s">
        <v>314</v>
      </c>
      <c r="E7657" t="s">
        <v>316</v>
      </c>
      <c r="F7657">
        <v>6</v>
      </c>
      <c r="G7657">
        <v>5.1094166666666698</v>
      </c>
    </row>
    <row r="7658" spans="1:7" x14ac:dyDescent="0.35">
      <c r="A7658" t="s">
        <v>847</v>
      </c>
      <c r="B7658" t="s">
        <v>691</v>
      </c>
      <c r="C7658" s="83">
        <v>46078</v>
      </c>
      <c r="D7658" t="s">
        <v>314</v>
      </c>
      <c r="E7658" t="s">
        <v>347</v>
      </c>
      <c r="F7658">
        <v>2</v>
      </c>
      <c r="G7658">
        <v>0.44914999999999999</v>
      </c>
    </row>
    <row r="7659" spans="1:7" x14ac:dyDescent="0.35">
      <c r="A7659" t="s">
        <v>847</v>
      </c>
      <c r="B7659" t="s">
        <v>691</v>
      </c>
      <c r="C7659" s="83">
        <v>46078</v>
      </c>
      <c r="D7659" t="s">
        <v>314</v>
      </c>
      <c r="E7659" t="s">
        <v>126</v>
      </c>
      <c r="F7659">
        <v>2</v>
      </c>
      <c r="G7659">
        <v>2.7119666666666702</v>
      </c>
    </row>
    <row r="7660" spans="1:7" x14ac:dyDescent="0.35">
      <c r="A7660" t="s">
        <v>847</v>
      </c>
      <c r="B7660" t="s">
        <v>691</v>
      </c>
      <c r="C7660" s="83">
        <v>46078</v>
      </c>
      <c r="D7660" t="s">
        <v>317</v>
      </c>
      <c r="E7660" t="s">
        <v>323</v>
      </c>
      <c r="F7660">
        <v>3</v>
      </c>
      <c r="G7660">
        <v>2.2336999999999998</v>
      </c>
    </row>
    <row r="7661" spans="1:7" x14ac:dyDescent="0.35">
      <c r="A7661" t="s">
        <v>847</v>
      </c>
      <c r="B7661" t="s">
        <v>691</v>
      </c>
      <c r="C7661" s="83">
        <v>46078</v>
      </c>
      <c r="D7661" t="s">
        <v>317</v>
      </c>
      <c r="E7661" t="s">
        <v>725</v>
      </c>
      <c r="F7661">
        <v>2</v>
      </c>
      <c r="G7661">
        <v>0.17815</v>
      </c>
    </row>
    <row r="7662" spans="1:7" x14ac:dyDescent="0.35">
      <c r="A7662" t="s">
        <v>847</v>
      </c>
      <c r="B7662" t="s">
        <v>691</v>
      </c>
      <c r="C7662" s="83">
        <v>46079</v>
      </c>
      <c r="D7662" t="s">
        <v>295</v>
      </c>
      <c r="E7662" t="s">
        <v>296</v>
      </c>
      <c r="F7662">
        <v>46</v>
      </c>
      <c r="G7662">
        <v>22.393383333333301</v>
      </c>
    </row>
    <row r="7663" spans="1:7" x14ac:dyDescent="0.35">
      <c r="A7663" t="s">
        <v>847</v>
      </c>
      <c r="B7663" t="s">
        <v>691</v>
      </c>
      <c r="C7663" s="83">
        <v>46079</v>
      </c>
      <c r="D7663" t="s">
        <v>299</v>
      </c>
      <c r="E7663" t="s">
        <v>296</v>
      </c>
      <c r="F7663">
        <v>34</v>
      </c>
      <c r="G7663">
        <v>17.758299999999998</v>
      </c>
    </row>
    <row r="7664" spans="1:7" x14ac:dyDescent="0.35">
      <c r="A7664" t="s">
        <v>847</v>
      </c>
      <c r="B7664" t="s">
        <v>691</v>
      </c>
      <c r="C7664" s="83">
        <v>46079</v>
      </c>
      <c r="D7664" t="s">
        <v>299</v>
      </c>
      <c r="E7664" t="s">
        <v>637</v>
      </c>
      <c r="F7664">
        <v>28</v>
      </c>
      <c r="G7664">
        <v>11.9401333333333</v>
      </c>
    </row>
    <row r="7665" spans="1:7" x14ac:dyDescent="0.35">
      <c r="A7665" t="s">
        <v>847</v>
      </c>
      <c r="B7665" t="s">
        <v>691</v>
      </c>
      <c r="C7665" s="83">
        <v>46079</v>
      </c>
      <c r="D7665" t="s">
        <v>301</v>
      </c>
      <c r="E7665" t="s">
        <v>302</v>
      </c>
      <c r="F7665">
        <v>21</v>
      </c>
      <c r="G7665">
        <v>9.2432333333333307</v>
      </c>
    </row>
    <row r="7666" spans="1:7" x14ac:dyDescent="0.35">
      <c r="A7666" t="s">
        <v>847</v>
      </c>
      <c r="B7666" t="s">
        <v>691</v>
      </c>
      <c r="C7666" s="83">
        <v>46079</v>
      </c>
      <c r="D7666" t="s">
        <v>303</v>
      </c>
      <c r="E7666" t="s">
        <v>302</v>
      </c>
      <c r="F7666">
        <v>14</v>
      </c>
      <c r="G7666">
        <v>4.9467999999999996</v>
      </c>
    </row>
    <row r="7667" spans="1:7" x14ac:dyDescent="0.35">
      <c r="A7667" t="s">
        <v>847</v>
      </c>
      <c r="B7667" t="s">
        <v>691</v>
      </c>
      <c r="C7667" s="83">
        <v>46079</v>
      </c>
      <c r="D7667" t="s">
        <v>310</v>
      </c>
      <c r="E7667" t="s">
        <v>333</v>
      </c>
      <c r="F7667">
        <v>18</v>
      </c>
      <c r="G7667">
        <v>70.954866666666703</v>
      </c>
    </row>
    <row r="7668" spans="1:7" x14ac:dyDescent="0.35">
      <c r="A7668" t="s">
        <v>847</v>
      </c>
      <c r="B7668" t="s">
        <v>691</v>
      </c>
      <c r="C7668" s="83">
        <v>46079</v>
      </c>
      <c r="D7668" t="s">
        <v>310</v>
      </c>
      <c r="E7668" t="s">
        <v>338</v>
      </c>
      <c r="F7668">
        <v>9</v>
      </c>
      <c r="G7668">
        <v>11.2668833333333</v>
      </c>
    </row>
    <row r="7669" spans="1:7" x14ac:dyDescent="0.35">
      <c r="A7669" t="s">
        <v>847</v>
      </c>
      <c r="B7669" t="s">
        <v>691</v>
      </c>
      <c r="C7669" s="83">
        <v>46079</v>
      </c>
      <c r="D7669" t="s">
        <v>310</v>
      </c>
      <c r="E7669" t="s">
        <v>311</v>
      </c>
      <c r="F7669">
        <v>9</v>
      </c>
      <c r="G7669">
        <v>14.141400000000001</v>
      </c>
    </row>
    <row r="7670" spans="1:7" x14ac:dyDescent="0.35">
      <c r="A7670" t="s">
        <v>847</v>
      </c>
      <c r="B7670" t="s">
        <v>691</v>
      </c>
      <c r="C7670" s="83">
        <v>46079</v>
      </c>
      <c r="D7670" t="s">
        <v>313</v>
      </c>
      <c r="E7670" t="s">
        <v>126</v>
      </c>
      <c r="F7670">
        <v>22</v>
      </c>
      <c r="G7670">
        <v>57.138266666666702</v>
      </c>
    </row>
    <row r="7671" spans="1:7" x14ac:dyDescent="0.35">
      <c r="A7671" t="s">
        <v>847</v>
      </c>
      <c r="B7671" t="s">
        <v>691</v>
      </c>
      <c r="C7671" s="83">
        <v>46079</v>
      </c>
      <c r="D7671" t="s">
        <v>313</v>
      </c>
      <c r="E7671" t="s">
        <v>311</v>
      </c>
      <c r="F7671">
        <v>10</v>
      </c>
      <c r="G7671">
        <v>12.3975166666667</v>
      </c>
    </row>
    <row r="7672" spans="1:7" x14ac:dyDescent="0.35">
      <c r="A7672" t="s">
        <v>847</v>
      </c>
      <c r="B7672" t="s">
        <v>691</v>
      </c>
      <c r="C7672" s="83">
        <v>46079</v>
      </c>
      <c r="D7672" t="s">
        <v>313</v>
      </c>
      <c r="E7672" t="s">
        <v>322</v>
      </c>
      <c r="F7672">
        <v>6</v>
      </c>
      <c r="G7672">
        <v>2.891</v>
      </c>
    </row>
    <row r="7673" spans="1:7" x14ac:dyDescent="0.35">
      <c r="A7673" t="s">
        <v>847</v>
      </c>
      <c r="B7673" t="s">
        <v>691</v>
      </c>
      <c r="C7673" s="83">
        <v>46079</v>
      </c>
      <c r="D7673" t="s">
        <v>314</v>
      </c>
      <c r="E7673" t="s">
        <v>316</v>
      </c>
      <c r="F7673">
        <v>12</v>
      </c>
      <c r="G7673">
        <v>5.0122666666666698</v>
      </c>
    </row>
    <row r="7674" spans="1:7" x14ac:dyDescent="0.35">
      <c r="A7674" t="s">
        <v>847</v>
      </c>
      <c r="B7674" t="s">
        <v>691</v>
      </c>
      <c r="C7674" s="83">
        <v>46079</v>
      </c>
      <c r="D7674" t="s">
        <v>314</v>
      </c>
      <c r="E7674" t="s">
        <v>312</v>
      </c>
      <c r="F7674">
        <v>4</v>
      </c>
      <c r="G7674">
        <v>2.5887333333333302</v>
      </c>
    </row>
    <row r="7675" spans="1:7" x14ac:dyDescent="0.35">
      <c r="A7675" t="s">
        <v>847</v>
      </c>
      <c r="B7675" t="s">
        <v>691</v>
      </c>
      <c r="C7675" s="83">
        <v>46079</v>
      </c>
      <c r="D7675" t="s">
        <v>314</v>
      </c>
      <c r="E7675" t="s">
        <v>322</v>
      </c>
      <c r="F7675">
        <v>2</v>
      </c>
      <c r="G7675">
        <v>1.68605</v>
      </c>
    </row>
    <row r="7676" spans="1:7" x14ac:dyDescent="0.35">
      <c r="A7676" t="s">
        <v>847</v>
      </c>
      <c r="B7676" t="s">
        <v>691</v>
      </c>
      <c r="C7676" s="83">
        <v>46079</v>
      </c>
      <c r="D7676" t="s">
        <v>317</v>
      </c>
      <c r="E7676" t="s">
        <v>319</v>
      </c>
      <c r="F7676">
        <v>3</v>
      </c>
      <c r="G7676">
        <v>3.3776333333333302</v>
      </c>
    </row>
    <row r="7677" spans="1:7" x14ac:dyDescent="0.35">
      <c r="A7677" t="s">
        <v>847</v>
      </c>
      <c r="B7677" t="s">
        <v>691</v>
      </c>
      <c r="C7677" s="83">
        <v>46079</v>
      </c>
      <c r="D7677" t="s">
        <v>317</v>
      </c>
      <c r="E7677" t="s">
        <v>318</v>
      </c>
      <c r="F7677">
        <v>2</v>
      </c>
      <c r="G7677">
        <v>3.33836666666667</v>
      </c>
    </row>
    <row r="7678" spans="1:7" x14ac:dyDescent="0.35">
      <c r="A7678" t="s">
        <v>847</v>
      </c>
      <c r="B7678" t="s">
        <v>691</v>
      </c>
      <c r="C7678" s="83">
        <v>46079</v>
      </c>
      <c r="D7678" t="s">
        <v>317</v>
      </c>
      <c r="E7678" t="s">
        <v>322</v>
      </c>
      <c r="F7678">
        <v>2</v>
      </c>
      <c r="G7678">
        <v>0.110866666666667</v>
      </c>
    </row>
    <row r="7679" spans="1:7" x14ac:dyDescent="0.35">
      <c r="A7679" t="s">
        <v>847</v>
      </c>
      <c r="B7679" t="s">
        <v>691</v>
      </c>
      <c r="C7679" s="83">
        <v>46080</v>
      </c>
      <c r="D7679" t="s">
        <v>295</v>
      </c>
      <c r="E7679" t="s">
        <v>296</v>
      </c>
      <c r="F7679">
        <v>13</v>
      </c>
      <c r="G7679">
        <v>5.4830333333333297</v>
      </c>
    </row>
    <row r="7680" spans="1:7" x14ac:dyDescent="0.35">
      <c r="A7680" t="s">
        <v>847</v>
      </c>
      <c r="B7680" t="s">
        <v>691</v>
      </c>
      <c r="C7680" s="83">
        <v>46080</v>
      </c>
      <c r="D7680" t="s">
        <v>295</v>
      </c>
      <c r="E7680" t="s">
        <v>831</v>
      </c>
      <c r="F7680">
        <v>6</v>
      </c>
      <c r="G7680">
        <v>1.6339333333333299</v>
      </c>
    </row>
    <row r="7681" spans="1:7" x14ac:dyDescent="0.35">
      <c r="A7681" t="s">
        <v>847</v>
      </c>
      <c r="B7681" t="s">
        <v>691</v>
      </c>
      <c r="C7681" s="83">
        <v>46080</v>
      </c>
      <c r="D7681" t="s">
        <v>295</v>
      </c>
      <c r="E7681" t="s">
        <v>302</v>
      </c>
      <c r="F7681">
        <v>6</v>
      </c>
      <c r="G7681">
        <v>1.20845</v>
      </c>
    </row>
    <row r="7682" spans="1:7" x14ac:dyDescent="0.35">
      <c r="A7682" t="s">
        <v>847</v>
      </c>
      <c r="B7682" t="s">
        <v>691</v>
      </c>
      <c r="C7682" s="83">
        <v>46080</v>
      </c>
      <c r="D7682" t="s">
        <v>299</v>
      </c>
      <c r="E7682" t="s">
        <v>637</v>
      </c>
      <c r="F7682">
        <v>21</v>
      </c>
      <c r="G7682">
        <v>6.1011166666666696</v>
      </c>
    </row>
    <row r="7683" spans="1:7" x14ac:dyDescent="0.35">
      <c r="A7683" t="s">
        <v>847</v>
      </c>
      <c r="B7683" t="s">
        <v>691</v>
      </c>
      <c r="C7683" s="83">
        <v>46080</v>
      </c>
      <c r="D7683" t="s">
        <v>299</v>
      </c>
      <c r="E7683" t="s">
        <v>296</v>
      </c>
      <c r="F7683">
        <v>3</v>
      </c>
      <c r="G7683">
        <v>0.83665</v>
      </c>
    </row>
    <row r="7684" spans="1:7" x14ac:dyDescent="0.35">
      <c r="A7684" t="s">
        <v>847</v>
      </c>
      <c r="B7684" t="s">
        <v>691</v>
      </c>
      <c r="C7684" s="83">
        <v>46080</v>
      </c>
      <c r="D7684" t="s">
        <v>303</v>
      </c>
      <c r="E7684" t="s">
        <v>302</v>
      </c>
      <c r="F7684">
        <v>5</v>
      </c>
      <c r="G7684">
        <v>2.3261833333333302</v>
      </c>
    </row>
    <row r="7685" spans="1:7" x14ac:dyDescent="0.35">
      <c r="A7685" t="s">
        <v>847</v>
      </c>
      <c r="B7685" t="s">
        <v>691</v>
      </c>
      <c r="C7685" s="83">
        <v>46080</v>
      </c>
      <c r="D7685" t="s">
        <v>309</v>
      </c>
      <c r="E7685" t="s">
        <v>344</v>
      </c>
      <c r="F7685">
        <v>9</v>
      </c>
      <c r="G7685">
        <v>3.8733166666666698</v>
      </c>
    </row>
    <row r="7686" spans="1:7" x14ac:dyDescent="0.35">
      <c r="A7686" t="s">
        <v>847</v>
      </c>
      <c r="B7686" t="s">
        <v>691</v>
      </c>
      <c r="C7686" s="83">
        <v>46080</v>
      </c>
      <c r="D7686" t="s">
        <v>310</v>
      </c>
      <c r="E7686" t="s">
        <v>323</v>
      </c>
      <c r="F7686">
        <v>2</v>
      </c>
      <c r="G7686">
        <v>0.87275000000000003</v>
      </c>
    </row>
    <row r="7687" spans="1:7" x14ac:dyDescent="0.35">
      <c r="A7687" t="s">
        <v>847</v>
      </c>
      <c r="B7687" t="s">
        <v>691</v>
      </c>
      <c r="C7687" s="83">
        <v>46080</v>
      </c>
      <c r="D7687" t="s">
        <v>310</v>
      </c>
      <c r="E7687" t="s">
        <v>333</v>
      </c>
      <c r="F7687">
        <v>2</v>
      </c>
      <c r="G7687">
        <v>244.436266666667</v>
      </c>
    </row>
    <row r="7688" spans="1:7" x14ac:dyDescent="0.35">
      <c r="A7688" t="s">
        <v>847</v>
      </c>
      <c r="B7688" t="s">
        <v>691</v>
      </c>
      <c r="C7688" s="83">
        <v>46080</v>
      </c>
      <c r="D7688" t="s">
        <v>310</v>
      </c>
      <c r="E7688" t="s">
        <v>826</v>
      </c>
      <c r="F7688">
        <v>2</v>
      </c>
      <c r="G7688">
        <v>55.991500000000002</v>
      </c>
    </row>
    <row r="7689" spans="1:7" x14ac:dyDescent="0.35">
      <c r="A7689" t="s">
        <v>847</v>
      </c>
      <c r="B7689" t="s">
        <v>691</v>
      </c>
      <c r="C7689" s="83">
        <v>46080</v>
      </c>
      <c r="D7689" t="s">
        <v>314</v>
      </c>
      <c r="E7689" t="s">
        <v>316</v>
      </c>
      <c r="F7689">
        <v>3</v>
      </c>
      <c r="G7689">
        <v>1.45631666666667</v>
      </c>
    </row>
    <row r="7690" spans="1:7" x14ac:dyDescent="0.35">
      <c r="A7690" t="s">
        <v>847</v>
      </c>
      <c r="B7690" t="s">
        <v>691</v>
      </c>
      <c r="C7690" s="83">
        <v>46080</v>
      </c>
      <c r="D7690" t="s">
        <v>314</v>
      </c>
      <c r="E7690" t="s">
        <v>311</v>
      </c>
      <c r="F7690">
        <v>1</v>
      </c>
      <c r="G7690">
        <v>0.90653333333333297</v>
      </c>
    </row>
    <row r="7691" spans="1:7" x14ac:dyDescent="0.35">
      <c r="A7691" t="s">
        <v>847</v>
      </c>
      <c r="B7691" t="s">
        <v>691</v>
      </c>
      <c r="C7691" s="83">
        <v>46083</v>
      </c>
      <c r="D7691" t="s">
        <v>310</v>
      </c>
      <c r="E7691" t="s">
        <v>333</v>
      </c>
      <c r="F7691">
        <v>1</v>
      </c>
      <c r="G7691">
        <v>5.9244500000000002</v>
      </c>
    </row>
    <row r="7692" spans="1:7" x14ac:dyDescent="0.35">
      <c r="A7692" t="s">
        <v>847</v>
      </c>
      <c r="B7692" t="s">
        <v>691</v>
      </c>
      <c r="C7692" s="83">
        <v>46083</v>
      </c>
      <c r="D7692" t="s">
        <v>310</v>
      </c>
      <c r="E7692" t="s">
        <v>826</v>
      </c>
      <c r="F7692">
        <v>1</v>
      </c>
      <c r="G7692">
        <v>2.6641666666666701</v>
      </c>
    </row>
    <row r="7693" spans="1:7" x14ac:dyDescent="0.35">
      <c r="A7693" t="s">
        <v>847</v>
      </c>
      <c r="B7693" t="s">
        <v>691</v>
      </c>
      <c r="C7693" s="83">
        <v>46083</v>
      </c>
      <c r="D7693" t="s">
        <v>310</v>
      </c>
      <c r="E7693" t="s">
        <v>311</v>
      </c>
      <c r="F7693">
        <v>1</v>
      </c>
      <c r="G7693">
        <v>0.87929999999999997</v>
      </c>
    </row>
    <row r="7694" spans="1:7" x14ac:dyDescent="0.35">
      <c r="A7694" t="s">
        <v>847</v>
      </c>
      <c r="B7694" t="s">
        <v>691</v>
      </c>
      <c r="C7694" s="83">
        <v>46083</v>
      </c>
      <c r="D7694" t="s">
        <v>314</v>
      </c>
      <c r="E7694" t="s">
        <v>312</v>
      </c>
      <c r="F7694">
        <v>2</v>
      </c>
      <c r="G7694">
        <v>5.4424333333333301</v>
      </c>
    </row>
    <row r="7695" spans="1:7" x14ac:dyDescent="0.35">
      <c r="A7695" t="s">
        <v>847</v>
      </c>
      <c r="B7695" t="s">
        <v>691</v>
      </c>
      <c r="C7695" s="83">
        <v>46083</v>
      </c>
      <c r="D7695" t="s">
        <v>314</v>
      </c>
      <c r="E7695" t="s">
        <v>311</v>
      </c>
      <c r="F7695">
        <v>1</v>
      </c>
      <c r="G7695">
        <v>0.398683333333333</v>
      </c>
    </row>
    <row r="7696" spans="1:7" x14ac:dyDescent="0.35">
      <c r="A7696" t="s">
        <v>847</v>
      </c>
      <c r="B7696" t="s">
        <v>691</v>
      </c>
      <c r="C7696" s="83">
        <v>46084</v>
      </c>
      <c r="D7696" t="s">
        <v>295</v>
      </c>
      <c r="E7696" t="s">
        <v>296</v>
      </c>
      <c r="F7696">
        <v>46</v>
      </c>
      <c r="G7696">
        <v>24.028233333333301</v>
      </c>
    </row>
    <row r="7697" spans="1:7" x14ac:dyDescent="0.35">
      <c r="A7697" t="s">
        <v>847</v>
      </c>
      <c r="B7697" t="s">
        <v>691</v>
      </c>
      <c r="C7697" s="83">
        <v>46084</v>
      </c>
      <c r="D7697" t="s">
        <v>295</v>
      </c>
      <c r="E7697" t="s">
        <v>302</v>
      </c>
      <c r="F7697">
        <v>18</v>
      </c>
      <c r="G7697">
        <v>9.3669833333333301</v>
      </c>
    </row>
    <row r="7698" spans="1:7" x14ac:dyDescent="0.35">
      <c r="A7698" t="s">
        <v>847</v>
      </c>
      <c r="B7698" t="s">
        <v>691</v>
      </c>
      <c r="C7698" s="83">
        <v>46084</v>
      </c>
      <c r="D7698" t="s">
        <v>299</v>
      </c>
      <c r="E7698" t="s">
        <v>637</v>
      </c>
      <c r="F7698">
        <v>21</v>
      </c>
      <c r="G7698">
        <v>8.3567499999999999</v>
      </c>
    </row>
    <row r="7699" spans="1:7" x14ac:dyDescent="0.35">
      <c r="A7699" t="s">
        <v>847</v>
      </c>
      <c r="B7699" t="s">
        <v>691</v>
      </c>
      <c r="C7699" s="83">
        <v>46084</v>
      </c>
      <c r="D7699" t="s">
        <v>299</v>
      </c>
      <c r="E7699" t="s">
        <v>302</v>
      </c>
      <c r="F7699">
        <v>21</v>
      </c>
      <c r="G7699">
        <v>119.183966666667</v>
      </c>
    </row>
    <row r="7700" spans="1:7" x14ac:dyDescent="0.35">
      <c r="A7700" t="s">
        <v>847</v>
      </c>
      <c r="B7700" t="s">
        <v>691</v>
      </c>
      <c r="C7700" s="83">
        <v>46084</v>
      </c>
      <c r="D7700" t="s">
        <v>301</v>
      </c>
      <c r="E7700" t="s">
        <v>302</v>
      </c>
      <c r="F7700">
        <v>58</v>
      </c>
      <c r="G7700">
        <v>83.185483333333295</v>
      </c>
    </row>
    <row r="7701" spans="1:7" x14ac:dyDescent="0.35">
      <c r="A7701" t="s">
        <v>847</v>
      </c>
      <c r="B7701" t="s">
        <v>691</v>
      </c>
      <c r="C7701" s="83">
        <v>46084</v>
      </c>
      <c r="D7701" t="s">
        <v>303</v>
      </c>
      <c r="E7701" t="s">
        <v>302</v>
      </c>
      <c r="F7701">
        <v>6</v>
      </c>
      <c r="G7701">
        <v>1.8239666666666701</v>
      </c>
    </row>
    <row r="7702" spans="1:7" x14ac:dyDescent="0.35">
      <c r="A7702" t="s">
        <v>847</v>
      </c>
      <c r="B7702" t="s">
        <v>691</v>
      </c>
      <c r="C7702" s="83">
        <v>46084</v>
      </c>
      <c r="D7702" t="s">
        <v>310</v>
      </c>
      <c r="E7702" t="s">
        <v>311</v>
      </c>
      <c r="F7702">
        <v>5</v>
      </c>
      <c r="G7702">
        <v>1.5332333333333299</v>
      </c>
    </row>
    <row r="7703" spans="1:7" x14ac:dyDescent="0.35">
      <c r="A7703" t="s">
        <v>847</v>
      </c>
      <c r="B7703" t="s">
        <v>691</v>
      </c>
      <c r="C7703" s="83">
        <v>46084</v>
      </c>
      <c r="D7703" t="s">
        <v>310</v>
      </c>
      <c r="E7703" t="s">
        <v>323</v>
      </c>
      <c r="F7703">
        <v>4</v>
      </c>
      <c r="G7703">
        <v>0.92154999999999998</v>
      </c>
    </row>
    <row r="7704" spans="1:7" x14ac:dyDescent="0.35">
      <c r="A7704" t="s">
        <v>847</v>
      </c>
      <c r="B7704" t="s">
        <v>691</v>
      </c>
      <c r="C7704" s="83">
        <v>46084</v>
      </c>
      <c r="D7704" t="s">
        <v>310</v>
      </c>
      <c r="E7704" t="s">
        <v>321</v>
      </c>
      <c r="F7704">
        <v>3</v>
      </c>
      <c r="G7704">
        <v>2.3572833333333301</v>
      </c>
    </row>
    <row r="7705" spans="1:7" x14ac:dyDescent="0.35">
      <c r="A7705" t="s">
        <v>847</v>
      </c>
      <c r="B7705" t="s">
        <v>691</v>
      </c>
      <c r="C7705" s="83">
        <v>46084</v>
      </c>
      <c r="D7705" t="s">
        <v>313</v>
      </c>
      <c r="E7705" t="s">
        <v>126</v>
      </c>
      <c r="F7705">
        <v>9</v>
      </c>
      <c r="G7705">
        <v>21.347166666666698</v>
      </c>
    </row>
    <row r="7706" spans="1:7" x14ac:dyDescent="0.35">
      <c r="A7706" t="s">
        <v>847</v>
      </c>
      <c r="B7706" t="s">
        <v>691</v>
      </c>
      <c r="C7706" s="83">
        <v>46084</v>
      </c>
      <c r="D7706" t="s">
        <v>313</v>
      </c>
      <c r="E7706" t="s">
        <v>311</v>
      </c>
      <c r="F7706">
        <v>8</v>
      </c>
      <c r="G7706">
        <v>2.9097</v>
      </c>
    </row>
    <row r="7707" spans="1:7" x14ac:dyDescent="0.35">
      <c r="A7707" t="s">
        <v>847</v>
      </c>
      <c r="B7707" t="s">
        <v>691</v>
      </c>
      <c r="C7707" s="83">
        <v>46084</v>
      </c>
      <c r="D7707" t="s">
        <v>313</v>
      </c>
      <c r="E7707" t="s">
        <v>316</v>
      </c>
      <c r="F7707">
        <v>4</v>
      </c>
      <c r="G7707">
        <v>2.6363666666666701</v>
      </c>
    </row>
    <row r="7708" spans="1:7" x14ac:dyDescent="0.35">
      <c r="A7708" t="s">
        <v>847</v>
      </c>
      <c r="B7708" t="s">
        <v>691</v>
      </c>
      <c r="C7708" s="83">
        <v>46084</v>
      </c>
      <c r="D7708" t="s">
        <v>314</v>
      </c>
      <c r="E7708" t="s">
        <v>316</v>
      </c>
      <c r="F7708">
        <v>2</v>
      </c>
      <c r="G7708">
        <v>0.76293333333333302</v>
      </c>
    </row>
    <row r="7709" spans="1:7" x14ac:dyDescent="0.35">
      <c r="A7709" t="s">
        <v>847</v>
      </c>
      <c r="B7709" t="s">
        <v>691</v>
      </c>
      <c r="C7709" s="83">
        <v>46084</v>
      </c>
      <c r="D7709" t="s">
        <v>314</v>
      </c>
      <c r="E7709" t="s">
        <v>827</v>
      </c>
      <c r="F7709">
        <v>2</v>
      </c>
      <c r="G7709">
        <v>4.7549666666666699</v>
      </c>
    </row>
    <row r="7710" spans="1:7" x14ac:dyDescent="0.35">
      <c r="A7710" t="s">
        <v>847</v>
      </c>
      <c r="B7710" t="s">
        <v>691</v>
      </c>
      <c r="C7710" s="83">
        <v>46084</v>
      </c>
      <c r="D7710" t="s">
        <v>314</v>
      </c>
      <c r="E7710" t="s">
        <v>312</v>
      </c>
      <c r="F7710">
        <v>2</v>
      </c>
      <c r="G7710">
        <v>0.27061666666666701</v>
      </c>
    </row>
    <row r="7711" spans="1:7" x14ac:dyDescent="0.35">
      <c r="A7711" t="s">
        <v>847</v>
      </c>
      <c r="B7711" t="s">
        <v>691</v>
      </c>
      <c r="C7711" s="83">
        <v>46084</v>
      </c>
      <c r="D7711" t="s">
        <v>317</v>
      </c>
      <c r="E7711" t="s">
        <v>832</v>
      </c>
      <c r="F7711">
        <v>4</v>
      </c>
      <c r="G7711">
        <v>1.0866</v>
      </c>
    </row>
    <row r="7712" spans="1:7" x14ac:dyDescent="0.35">
      <c r="A7712" t="s">
        <v>847</v>
      </c>
      <c r="B7712" t="s">
        <v>691</v>
      </c>
      <c r="C7712" s="83">
        <v>46084</v>
      </c>
      <c r="D7712" t="s">
        <v>317</v>
      </c>
      <c r="E7712" t="s">
        <v>833</v>
      </c>
      <c r="F7712">
        <v>4</v>
      </c>
      <c r="G7712">
        <v>2.2420166666666699</v>
      </c>
    </row>
    <row r="7713" spans="1:7" x14ac:dyDescent="0.35">
      <c r="A7713" t="s">
        <v>847</v>
      </c>
      <c r="B7713" t="s">
        <v>691</v>
      </c>
      <c r="C7713" s="83">
        <v>46084</v>
      </c>
      <c r="D7713" t="s">
        <v>317</v>
      </c>
      <c r="E7713" t="s">
        <v>834</v>
      </c>
      <c r="F7713">
        <v>3</v>
      </c>
      <c r="G7713">
        <v>2.1793666666666698</v>
      </c>
    </row>
    <row r="7714" spans="1:7" x14ac:dyDescent="0.35">
      <c r="A7714" t="s">
        <v>847</v>
      </c>
      <c r="B7714" t="s">
        <v>691</v>
      </c>
      <c r="C7714" s="83">
        <v>46085</v>
      </c>
      <c r="D7714" t="s">
        <v>295</v>
      </c>
      <c r="E7714" t="s">
        <v>296</v>
      </c>
      <c r="F7714">
        <v>5</v>
      </c>
      <c r="G7714">
        <v>1.86656666666667</v>
      </c>
    </row>
    <row r="7715" spans="1:7" x14ac:dyDescent="0.35">
      <c r="A7715" t="s">
        <v>847</v>
      </c>
      <c r="B7715" t="s">
        <v>691</v>
      </c>
      <c r="C7715" s="83">
        <v>46085</v>
      </c>
      <c r="D7715" t="s">
        <v>295</v>
      </c>
      <c r="E7715" t="s">
        <v>302</v>
      </c>
      <c r="F7715">
        <v>3</v>
      </c>
      <c r="G7715">
        <v>1.9529666666666701</v>
      </c>
    </row>
    <row r="7716" spans="1:7" x14ac:dyDescent="0.35">
      <c r="A7716" t="s">
        <v>847</v>
      </c>
      <c r="B7716" t="s">
        <v>691</v>
      </c>
      <c r="C7716" s="83">
        <v>46085</v>
      </c>
      <c r="D7716" t="s">
        <v>299</v>
      </c>
      <c r="E7716" t="s">
        <v>637</v>
      </c>
      <c r="F7716">
        <v>4</v>
      </c>
      <c r="G7716">
        <v>1.70298333333333</v>
      </c>
    </row>
    <row r="7717" spans="1:7" x14ac:dyDescent="0.35">
      <c r="A7717" t="s">
        <v>847</v>
      </c>
      <c r="B7717" t="s">
        <v>691</v>
      </c>
      <c r="C7717" s="83">
        <v>46085</v>
      </c>
      <c r="D7717" t="s">
        <v>301</v>
      </c>
      <c r="E7717" t="s">
        <v>302</v>
      </c>
      <c r="F7717">
        <v>22</v>
      </c>
      <c r="G7717">
        <v>9.1832166666666701</v>
      </c>
    </row>
    <row r="7718" spans="1:7" x14ac:dyDescent="0.35">
      <c r="A7718" t="s">
        <v>847</v>
      </c>
      <c r="B7718" t="s">
        <v>691</v>
      </c>
      <c r="C7718" s="83">
        <v>46085</v>
      </c>
      <c r="D7718" t="s">
        <v>310</v>
      </c>
      <c r="E7718" t="s">
        <v>323</v>
      </c>
      <c r="F7718">
        <v>3</v>
      </c>
      <c r="G7718">
        <v>0.32858333333333301</v>
      </c>
    </row>
    <row r="7719" spans="1:7" x14ac:dyDescent="0.35">
      <c r="A7719" t="s">
        <v>847</v>
      </c>
      <c r="B7719" t="s">
        <v>691</v>
      </c>
      <c r="C7719" s="83">
        <v>46085</v>
      </c>
      <c r="D7719" t="s">
        <v>310</v>
      </c>
      <c r="E7719" t="s">
        <v>126</v>
      </c>
      <c r="F7719">
        <v>3</v>
      </c>
      <c r="G7719">
        <v>1.1688833333333299</v>
      </c>
    </row>
    <row r="7720" spans="1:7" x14ac:dyDescent="0.35">
      <c r="A7720" t="s">
        <v>847</v>
      </c>
      <c r="B7720" t="s">
        <v>691</v>
      </c>
      <c r="C7720" s="83">
        <v>46085</v>
      </c>
      <c r="D7720" t="s">
        <v>310</v>
      </c>
      <c r="E7720" t="s">
        <v>316</v>
      </c>
      <c r="F7720">
        <v>2</v>
      </c>
      <c r="G7720">
        <v>0.67825000000000002</v>
      </c>
    </row>
    <row r="7721" spans="1:7" x14ac:dyDescent="0.35">
      <c r="A7721" t="s">
        <v>847</v>
      </c>
      <c r="B7721" t="s">
        <v>691</v>
      </c>
      <c r="C7721" s="83">
        <v>46085</v>
      </c>
      <c r="D7721" t="s">
        <v>313</v>
      </c>
      <c r="E7721" t="s">
        <v>126</v>
      </c>
      <c r="F7721">
        <v>3</v>
      </c>
      <c r="G7721">
        <v>5.8551333333333302</v>
      </c>
    </row>
    <row r="7722" spans="1:7" x14ac:dyDescent="0.35">
      <c r="A7722" t="s">
        <v>847</v>
      </c>
      <c r="B7722" t="s">
        <v>691</v>
      </c>
      <c r="C7722" s="83">
        <v>46085</v>
      </c>
      <c r="D7722" t="s">
        <v>313</v>
      </c>
      <c r="E7722" t="s">
        <v>725</v>
      </c>
      <c r="F7722">
        <v>2</v>
      </c>
      <c r="G7722">
        <v>2.26901666666667</v>
      </c>
    </row>
    <row r="7723" spans="1:7" x14ac:dyDescent="0.35">
      <c r="A7723" t="s">
        <v>847</v>
      </c>
      <c r="B7723" t="s">
        <v>691</v>
      </c>
      <c r="C7723" s="83">
        <v>46085</v>
      </c>
      <c r="D7723" t="s">
        <v>313</v>
      </c>
      <c r="E7723" t="s">
        <v>312</v>
      </c>
      <c r="F7723">
        <v>2</v>
      </c>
      <c r="G7723">
        <v>1.1536999999999999</v>
      </c>
    </row>
    <row r="7724" spans="1:7" x14ac:dyDescent="0.35">
      <c r="A7724" t="s">
        <v>847</v>
      </c>
      <c r="B7724" t="s">
        <v>691</v>
      </c>
      <c r="C7724" s="83">
        <v>46085</v>
      </c>
      <c r="D7724" t="s">
        <v>314</v>
      </c>
      <c r="E7724" t="s">
        <v>311</v>
      </c>
      <c r="F7724">
        <v>1</v>
      </c>
      <c r="G7724">
        <v>3.8133833333333298</v>
      </c>
    </row>
    <row r="7725" spans="1:7" x14ac:dyDescent="0.35">
      <c r="A7725" t="s">
        <v>847</v>
      </c>
      <c r="B7725" t="s">
        <v>691</v>
      </c>
      <c r="C7725" s="83">
        <v>46086</v>
      </c>
      <c r="D7725" t="s">
        <v>295</v>
      </c>
      <c r="E7725" t="s">
        <v>296</v>
      </c>
      <c r="F7725">
        <v>24</v>
      </c>
      <c r="G7725">
        <v>12.052666666666701</v>
      </c>
    </row>
    <row r="7726" spans="1:7" x14ac:dyDescent="0.35">
      <c r="A7726" t="s">
        <v>847</v>
      </c>
      <c r="B7726" t="s">
        <v>691</v>
      </c>
      <c r="C7726" s="83">
        <v>46086</v>
      </c>
      <c r="D7726" t="s">
        <v>295</v>
      </c>
      <c r="E7726" t="s">
        <v>302</v>
      </c>
      <c r="F7726">
        <v>23</v>
      </c>
      <c r="G7726">
        <v>14.2046166666667</v>
      </c>
    </row>
    <row r="7727" spans="1:7" x14ac:dyDescent="0.35">
      <c r="A7727" t="s">
        <v>847</v>
      </c>
      <c r="B7727" t="s">
        <v>691</v>
      </c>
      <c r="C7727" s="83">
        <v>46086</v>
      </c>
      <c r="D7727" t="s">
        <v>295</v>
      </c>
      <c r="E7727" t="s">
        <v>831</v>
      </c>
      <c r="F7727">
        <v>13</v>
      </c>
      <c r="G7727">
        <v>4.9342333333333297</v>
      </c>
    </row>
    <row r="7728" spans="1:7" x14ac:dyDescent="0.35">
      <c r="A7728" t="s">
        <v>847</v>
      </c>
      <c r="B7728" t="s">
        <v>691</v>
      </c>
      <c r="C7728" s="83">
        <v>46086</v>
      </c>
      <c r="D7728" t="s">
        <v>299</v>
      </c>
      <c r="E7728" t="s">
        <v>302</v>
      </c>
      <c r="F7728">
        <v>23</v>
      </c>
      <c r="G7728">
        <v>9.7482833333333296</v>
      </c>
    </row>
    <row r="7729" spans="1:7" x14ac:dyDescent="0.35">
      <c r="A7729" t="s">
        <v>847</v>
      </c>
      <c r="B7729" t="s">
        <v>691</v>
      </c>
      <c r="C7729" s="83">
        <v>46086</v>
      </c>
      <c r="D7729" t="s">
        <v>299</v>
      </c>
      <c r="E7729" t="s">
        <v>296</v>
      </c>
      <c r="F7729">
        <v>8</v>
      </c>
      <c r="G7729">
        <v>5.1220666666666697</v>
      </c>
    </row>
    <row r="7730" spans="1:7" x14ac:dyDescent="0.35">
      <c r="A7730" t="s">
        <v>847</v>
      </c>
      <c r="B7730" t="s">
        <v>691</v>
      </c>
      <c r="C7730" s="83">
        <v>46086</v>
      </c>
      <c r="D7730" t="s">
        <v>301</v>
      </c>
      <c r="E7730" t="s">
        <v>302</v>
      </c>
      <c r="F7730">
        <v>27</v>
      </c>
      <c r="G7730">
        <v>10.9035666666667</v>
      </c>
    </row>
    <row r="7731" spans="1:7" x14ac:dyDescent="0.35">
      <c r="A7731" t="s">
        <v>847</v>
      </c>
      <c r="B7731" t="s">
        <v>691</v>
      </c>
      <c r="C7731" s="83">
        <v>46086</v>
      </c>
      <c r="D7731" t="s">
        <v>303</v>
      </c>
      <c r="E7731" t="s">
        <v>302</v>
      </c>
      <c r="F7731">
        <v>6</v>
      </c>
      <c r="G7731">
        <v>2.43386666666667</v>
      </c>
    </row>
    <row r="7732" spans="1:7" x14ac:dyDescent="0.35">
      <c r="A7732" t="s">
        <v>847</v>
      </c>
      <c r="B7732" t="s">
        <v>691</v>
      </c>
      <c r="C7732" s="83">
        <v>46086</v>
      </c>
      <c r="D7732" t="s">
        <v>310</v>
      </c>
      <c r="E7732" t="s">
        <v>126</v>
      </c>
      <c r="F7732">
        <v>13</v>
      </c>
      <c r="G7732">
        <v>26.771933333333301</v>
      </c>
    </row>
    <row r="7733" spans="1:7" x14ac:dyDescent="0.35">
      <c r="A7733" t="s">
        <v>847</v>
      </c>
      <c r="B7733" t="s">
        <v>691</v>
      </c>
      <c r="C7733" s="83">
        <v>46086</v>
      </c>
      <c r="D7733" t="s">
        <v>310</v>
      </c>
      <c r="E7733" t="s">
        <v>333</v>
      </c>
      <c r="F7733">
        <v>5</v>
      </c>
      <c r="G7733">
        <v>89.291849999999997</v>
      </c>
    </row>
    <row r="7734" spans="1:7" x14ac:dyDescent="0.35">
      <c r="A7734" t="s">
        <v>847</v>
      </c>
      <c r="B7734" t="s">
        <v>691</v>
      </c>
      <c r="C7734" s="83">
        <v>46086</v>
      </c>
      <c r="D7734" t="s">
        <v>310</v>
      </c>
      <c r="E7734" t="s">
        <v>311</v>
      </c>
      <c r="F7734">
        <v>3</v>
      </c>
      <c r="G7734">
        <v>1.0388333333333299</v>
      </c>
    </row>
    <row r="7735" spans="1:7" x14ac:dyDescent="0.35">
      <c r="A7735" t="s">
        <v>847</v>
      </c>
      <c r="B7735" t="s">
        <v>691</v>
      </c>
      <c r="C7735" s="83">
        <v>46086</v>
      </c>
      <c r="D7735" t="s">
        <v>313</v>
      </c>
      <c r="E7735" t="s">
        <v>126</v>
      </c>
      <c r="F7735">
        <v>12</v>
      </c>
      <c r="G7735">
        <v>24.7822833333333</v>
      </c>
    </row>
    <row r="7736" spans="1:7" x14ac:dyDescent="0.35">
      <c r="A7736" t="s">
        <v>847</v>
      </c>
      <c r="B7736" t="s">
        <v>691</v>
      </c>
      <c r="C7736" s="83">
        <v>46086</v>
      </c>
      <c r="D7736" t="s">
        <v>313</v>
      </c>
      <c r="E7736" t="s">
        <v>311</v>
      </c>
      <c r="F7736">
        <v>9</v>
      </c>
      <c r="G7736">
        <v>4.8157333333333296</v>
      </c>
    </row>
    <row r="7737" spans="1:7" x14ac:dyDescent="0.35">
      <c r="A7737" t="s">
        <v>847</v>
      </c>
      <c r="B7737" t="s">
        <v>691</v>
      </c>
      <c r="C7737" s="83">
        <v>46086</v>
      </c>
      <c r="D7737" t="s">
        <v>313</v>
      </c>
      <c r="E7737" t="s">
        <v>316</v>
      </c>
      <c r="F7737">
        <v>3</v>
      </c>
      <c r="G7737">
        <v>0.45745000000000002</v>
      </c>
    </row>
    <row r="7738" spans="1:7" x14ac:dyDescent="0.35">
      <c r="A7738" t="s">
        <v>847</v>
      </c>
      <c r="B7738" t="s">
        <v>691</v>
      </c>
      <c r="C7738" s="83">
        <v>46086</v>
      </c>
      <c r="D7738" t="s">
        <v>314</v>
      </c>
      <c r="E7738" t="s">
        <v>316</v>
      </c>
      <c r="F7738">
        <v>4</v>
      </c>
      <c r="G7738">
        <v>1.7675666666666701</v>
      </c>
    </row>
    <row r="7739" spans="1:7" x14ac:dyDescent="0.35">
      <c r="A7739" t="s">
        <v>847</v>
      </c>
      <c r="B7739" t="s">
        <v>691</v>
      </c>
      <c r="C7739" s="83">
        <v>46086</v>
      </c>
      <c r="D7739" t="s">
        <v>314</v>
      </c>
      <c r="E7739" t="s">
        <v>126</v>
      </c>
      <c r="F7739">
        <v>4</v>
      </c>
      <c r="G7739">
        <v>7.2305666666666699</v>
      </c>
    </row>
    <row r="7740" spans="1:7" x14ac:dyDescent="0.35">
      <c r="A7740" t="s">
        <v>847</v>
      </c>
      <c r="B7740" t="s">
        <v>691</v>
      </c>
      <c r="C7740" s="83">
        <v>46086</v>
      </c>
      <c r="D7740" t="s">
        <v>314</v>
      </c>
      <c r="E7740" t="s">
        <v>311</v>
      </c>
      <c r="F7740">
        <v>1</v>
      </c>
      <c r="G7740">
        <v>2.67855</v>
      </c>
    </row>
    <row r="7741" spans="1:7" x14ac:dyDescent="0.35">
      <c r="A7741" t="s">
        <v>847</v>
      </c>
      <c r="B7741" t="s">
        <v>691</v>
      </c>
      <c r="C7741" s="83">
        <v>46086</v>
      </c>
      <c r="D7741" t="s">
        <v>317</v>
      </c>
      <c r="E7741" t="s">
        <v>323</v>
      </c>
      <c r="F7741">
        <v>2</v>
      </c>
      <c r="G7741">
        <v>0.62708333333333299</v>
      </c>
    </row>
    <row r="7742" spans="1:7" x14ac:dyDescent="0.35">
      <c r="A7742" t="s">
        <v>847</v>
      </c>
      <c r="B7742" t="s">
        <v>691</v>
      </c>
      <c r="C7742" s="83">
        <v>46087</v>
      </c>
      <c r="D7742" t="s">
        <v>295</v>
      </c>
      <c r="E7742" t="s">
        <v>296</v>
      </c>
      <c r="F7742">
        <v>35</v>
      </c>
      <c r="G7742">
        <v>20.2769333333333</v>
      </c>
    </row>
    <row r="7743" spans="1:7" x14ac:dyDescent="0.35">
      <c r="A7743" t="s">
        <v>847</v>
      </c>
      <c r="B7743" t="s">
        <v>691</v>
      </c>
      <c r="C7743" s="83">
        <v>46087</v>
      </c>
      <c r="D7743" t="s">
        <v>295</v>
      </c>
      <c r="E7743" t="s">
        <v>302</v>
      </c>
      <c r="F7743">
        <v>16</v>
      </c>
      <c r="G7743">
        <v>7.1964666666666703</v>
      </c>
    </row>
    <row r="7744" spans="1:7" x14ac:dyDescent="0.35">
      <c r="A7744" t="s">
        <v>847</v>
      </c>
      <c r="B7744" t="s">
        <v>691</v>
      </c>
      <c r="C7744" s="83">
        <v>46087</v>
      </c>
      <c r="D7744" t="s">
        <v>299</v>
      </c>
      <c r="E7744" t="s">
        <v>296</v>
      </c>
      <c r="F7744">
        <v>31</v>
      </c>
      <c r="G7744">
        <v>12.5608</v>
      </c>
    </row>
    <row r="7745" spans="1:7" x14ac:dyDescent="0.35">
      <c r="A7745" t="s">
        <v>847</v>
      </c>
      <c r="B7745" t="s">
        <v>691</v>
      </c>
      <c r="C7745" s="83">
        <v>46087</v>
      </c>
      <c r="D7745" t="s">
        <v>299</v>
      </c>
      <c r="E7745" t="s">
        <v>302</v>
      </c>
      <c r="F7745">
        <v>18</v>
      </c>
      <c r="G7745">
        <v>8.5458833333333306</v>
      </c>
    </row>
    <row r="7746" spans="1:7" x14ac:dyDescent="0.35">
      <c r="A7746" t="s">
        <v>847</v>
      </c>
      <c r="B7746" t="s">
        <v>691</v>
      </c>
      <c r="C7746" s="83">
        <v>46087</v>
      </c>
      <c r="D7746" t="s">
        <v>301</v>
      </c>
      <c r="E7746" t="s">
        <v>302</v>
      </c>
      <c r="F7746">
        <v>57</v>
      </c>
      <c r="G7746">
        <v>34.46855</v>
      </c>
    </row>
    <row r="7747" spans="1:7" x14ac:dyDescent="0.35">
      <c r="A7747" t="s">
        <v>847</v>
      </c>
      <c r="B7747" t="s">
        <v>691</v>
      </c>
      <c r="C7747" s="83">
        <v>46087</v>
      </c>
      <c r="D7747" t="s">
        <v>309</v>
      </c>
      <c r="E7747" t="s">
        <v>344</v>
      </c>
      <c r="F7747">
        <v>16</v>
      </c>
      <c r="G7747">
        <v>5.3708666666666698</v>
      </c>
    </row>
    <row r="7748" spans="1:7" x14ac:dyDescent="0.35">
      <c r="A7748" t="s">
        <v>847</v>
      </c>
      <c r="B7748" t="s">
        <v>691</v>
      </c>
      <c r="C7748" s="83">
        <v>46087</v>
      </c>
      <c r="D7748" t="s">
        <v>310</v>
      </c>
      <c r="E7748" t="s">
        <v>126</v>
      </c>
      <c r="F7748">
        <v>8</v>
      </c>
      <c r="G7748">
        <v>8.8683999999999994</v>
      </c>
    </row>
    <row r="7749" spans="1:7" x14ac:dyDescent="0.35">
      <c r="A7749" t="s">
        <v>847</v>
      </c>
      <c r="B7749" t="s">
        <v>691</v>
      </c>
      <c r="C7749" s="83">
        <v>46087</v>
      </c>
      <c r="D7749" t="s">
        <v>310</v>
      </c>
      <c r="E7749" t="s">
        <v>338</v>
      </c>
      <c r="F7749">
        <v>5</v>
      </c>
      <c r="G7749">
        <v>3.32161666666667</v>
      </c>
    </row>
    <row r="7750" spans="1:7" x14ac:dyDescent="0.35">
      <c r="A7750" t="s">
        <v>847</v>
      </c>
      <c r="B7750" t="s">
        <v>691</v>
      </c>
      <c r="C7750" s="83">
        <v>46087</v>
      </c>
      <c r="D7750" t="s">
        <v>310</v>
      </c>
      <c r="E7750" t="s">
        <v>323</v>
      </c>
      <c r="F7750">
        <v>5</v>
      </c>
      <c r="G7750">
        <v>1.44163333333333</v>
      </c>
    </row>
    <row r="7751" spans="1:7" x14ac:dyDescent="0.35">
      <c r="A7751" t="s">
        <v>847</v>
      </c>
      <c r="B7751" t="s">
        <v>691</v>
      </c>
      <c r="C7751" s="83">
        <v>46087</v>
      </c>
      <c r="D7751" t="s">
        <v>313</v>
      </c>
      <c r="E7751" t="s">
        <v>126</v>
      </c>
      <c r="F7751">
        <v>20</v>
      </c>
      <c r="G7751">
        <v>54.158483333333301</v>
      </c>
    </row>
    <row r="7752" spans="1:7" x14ac:dyDescent="0.35">
      <c r="A7752" t="s">
        <v>847</v>
      </c>
      <c r="B7752" t="s">
        <v>691</v>
      </c>
      <c r="C7752" s="83">
        <v>46087</v>
      </c>
      <c r="D7752" t="s">
        <v>313</v>
      </c>
      <c r="E7752" t="s">
        <v>311</v>
      </c>
      <c r="F7752">
        <v>8</v>
      </c>
      <c r="G7752">
        <v>4.0400499999999999</v>
      </c>
    </row>
    <row r="7753" spans="1:7" x14ac:dyDescent="0.35">
      <c r="A7753" t="s">
        <v>847</v>
      </c>
      <c r="B7753" t="s">
        <v>691</v>
      </c>
      <c r="C7753" s="83">
        <v>46087</v>
      </c>
      <c r="D7753" t="s">
        <v>313</v>
      </c>
      <c r="E7753" t="s">
        <v>347</v>
      </c>
      <c r="F7753">
        <v>4</v>
      </c>
      <c r="G7753">
        <v>1.56748333333333</v>
      </c>
    </row>
    <row r="7754" spans="1:7" x14ac:dyDescent="0.35">
      <c r="A7754" t="s">
        <v>847</v>
      </c>
      <c r="B7754" t="s">
        <v>691</v>
      </c>
      <c r="C7754" s="83">
        <v>46087</v>
      </c>
      <c r="D7754" t="s">
        <v>314</v>
      </c>
      <c r="E7754" t="s">
        <v>126</v>
      </c>
      <c r="F7754">
        <v>8</v>
      </c>
      <c r="G7754">
        <v>39.522500000000001</v>
      </c>
    </row>
    <row r="7755" spans="1:7" x14ac:dyDescent="0.35">
      <c r="A7755" t="s">
        <v>847</v>
      </c>
      <c r="B7755" t="s">
        <v>691</v>
      </c>
      <c r="C7755" s="83">
        <v>46087</v>
      </c>
      <c r="D7755" t="s">
        <v>314</v>
      </c>
      <c r="E7755" t="s">
        <v>316</v>
      </c>
      <c r="F7755">
        <v>5</v>
      </c>
      <c r="G7755">
        <v>4.1220166666666698</v>
      </c>
    </row>
    <row r="7756" spans="1:7" x14ac:dyDescent="0.35">
      <c r="A7756" t="s">
        <v>847</v>
      </c>
      <c r="B7756" t="s">
        <v>691</v>
      </c>
      <c r="C7756" s="83">
        <v>46087</v>
      </c>
      <c r="D7756" t="s">
        <v>314</v>
      </c>
      <c r="E7756" t="s">
        <v>770</v>
      </c>
      <c r="F7756">
        <v>2</v>
      </c>
      <c r="G7756">
        <v>7.32893333333333</v>
      </c>
    </row>
    <row r="7757" spans="1:7" x14ac:dyDescent="0.35">
      <c r="A7757" t="s">
        <v>847</v>
      </c>
      <c r="B7757" t="s">
        <v>691</v>
      </c>
      <c r="C7757" s="83">
        <v>46088</v>
      </c>
      <c r="D7757" t="s">
        <v>295</v>
      </c>
      <c r="E7757" t="s">
        <v>296</v>
      </c>
      <c r="F7757">
        <v>30</v>
      </c>
      <c r="G7757">
        <v>18.8094</v>
      </c>
    </row>
    <row r="7758" spans="1:7" x14ac:dyDescent="0.35">
      <c r="A7758" t="s">
        <v>847</v>
      </c>
      <c r="B7758" t="s">
        <v>691</v>
      </c>
      <c r="C7758" s="83">
        <v>46088</v>
      </c>
      <c r="D7758" t="s">
        <v>295</v>
      </c>
      <c r="E7758" t="s">
        <v>302</v>
      </c>
      <c r="F7758">
        <v>17</v>
      </c>
      <c r="G7758">
        <v>14.4221166666667</v>
      </c>
    </row>
    <row r="7759" spans="1:7" x14ac:dyDescent="0.35">
      <c r="A7759" t="s">
        <v>847</v>
      </c>
      <c r="B7759" t="s">
        <v>691</v>
      </c>
      <c r="C7759" s="83">
        <v>46088</v>
      </c>
      <c r="D7759" t="s">
        <v>299</v>
      </c>
      <c r="E7759" t="s">
        <v>296</v>
      </c>
      <c r="F7759">
        <v>24</v>
      </c>
      <c r="G7759">
        <v>19.63795</v>
      </c>
    </row>
    <row r="7760" spans="1:7" x14ac:dyDescent="0.35">
      <c r="A7760" t="s">
        <v>847</v>
      </c>
      <c r="B7760" t="s">
        <v>691</v>
      </c>
      <c r="C7760" s="83">
        <v>46088</v>
      </c>
      <c r="D7760" t="s">
        <v>299</v>
      </c>
      <c r="E7760" t="s">
        <v>637</v>
      </c>
      <c r="F7760">
        <v>21</v>
      </c>
      <c r="G7760">
        <v>9.7719333333333296</v>
      </c>
    </row>
    <row r="7761" spans="1:7" x14ac:dyDescent="0.35">
      <c r="A7761" t="s">
        <v>847</v>
      </c>
      <c r="B7761" t="s">
        <v>691</v>
      </c>
      <c r="C7761" s="83">
        <v>46088</v>
      </c>
      <c r="D7761" t="s">
        <v>301</v>
      </c>
      <c r="E7761" t="s">
        <v>302</v>
      </c>
      <c r="F7761">
        <v>36</v>
      </c>
      <c r="G7761">
        <v>18.149633333333298</v>
      </c>
    </row>
    <row r="7762" spans="1:7" x14ac:dyDescent="0.35">
      <c r="A7762" t="s">
        <v>847</v>
      </c>
      <c r="B7762" t="s">
        <v>691</v>
      </c>
      <c r="C7762" s="83">
        <v>46088</v>
      </c>
      <c r="D7762" t="s">
        <v>303</v>
      </c>
      <c r="E7762" t="s">
        <v>302</v>
      </c>
      <c r="F7762">
        <v>26</v>
      </c>
      <c r="G7762">
        <v>8.2794333333333299</v>
      </c>
    </row>
    <row r="7763" spans="1:7" x14ac:dyDescent="0.35">
      <c r="A7763" t="s">
        <v>847</v>
      </c>
      <c r="B7763" t="s">
        <v>691</v>
      </c>
      <c r="C7763" s="83">
        <v>46088</v>
      </c>
      <c r="D7763" t="s">
        <v>310</v>
      </c>
      <c r="E7763" t="s">
        <v>311</v>
      </c>
      <c r="F7763">
        <v>13</v>
      </c>
      <c r="G7763">
        <v>12.3868833333333</v>
      </c>
    </row>
    <row r="7764" spans="1:7" x14ac:dyDescent="0.35">
      <c r="A7764" t="s">
        <v>847</v>
      </c>
      <c r="B7764" t="s">
        <v>691</v>
      </c>
      <c r="C7764" s="83">
        <v>46088</v>
      </c>
      <c r="D7764" t="s">
        <v>310</v>
      </c>
      <c r="E7764" t="s">
        <v>640</v>
      </c>
      <c r="F7764">
        <v>10</v>
      </c>
      <c r="G7764">
        <v>23.263833333333299</v>
      </c>
    </row>
    <row r="7765" spans="1:7" x14ac:dyDescent="0.35">
      <c r="A7765" t="s">
        <v>847</v>
      </c>
      <c r="B7765" t="s">
        <v>691</v>
      </c>
      <c r="C7765" s="83">
        <v>46088</v>
      </c>
      <c r="D7765" t="s">
        <v>310</v>
      </c>
      <c r="E7765" t="s">
        <v>321</v>
      </c>
      <c r="F7765">
        <v>6</v>
      </c>
      <c r="G7765">
        <v>4.0659333333333301</v>
      </c>
    </row>
    <row r="7766" spans="1:7" x14ac:dyDescent="0.35">
      <c r="A7766" t="s">
        <v>847</v>
      </c>
      <c r="B7766" t="s">
        <v>691</v>
      </c>
      <c r="C7766" s="83">
        <v>46088</v>
      </c>
      <c r="D7766" t="s">
        <v>313</v>
      </c>
      <c r="E7766" t="s">
        <v>311</v>
      </c>
      <c r="F7766">
        <v>49</v>
      </c>
      <c r="G7766">
        <v>51.5721833333333</v>
      </c>
    </row>
    <row r="7767" spans="1:7" x14ac:dyDescent="0.35">
      <c r="A7767" t="s">
        <v>847</v>
      </c>
      <c r="B7767" t="s">
        <v>691</v>
      </c>
      <c r="C7767" s="83">
        <v>46088</v>
      </c>
      <c r="D7767" t="s">
        <v>313</v>
      </c>
      <c r="E7767" t="s">
        <v>126</v>
      </c>
      <c r="F7767">
        <v>11</v>
      </c>
      <c r="G7767">
        <v>20.347433333333299</v>
      </c>
    </row>
    <row r="7768" spans="1:7" x14ac:dyDescent="0.35">
      <c r="A7768" t="s">
        <v>847</v>
      </c>
      <c r="B7768" t="s">
        <v>691</v>
      </c>
      <c r="C7768" s="83">
        <v>46088</v>
      </c>
      <c r="D7768" t="s">
        <v>313</v>
      </c>
      <c r="E7768" t="s">
        <v>312</v>
      </c>
      <c r="F7768">
        <v>5</v>
      </c>
      <c r="G7768">
        <v>14.1231666666667</v>
      </c>
    </row>
    <row r="7769" spans="1:7" x14ac:dyDescent="0.35">
      <c r="A7769" t="s">
        <v>847</v>
      </c>
      <c r="B7769" t="s">
        <v>691</v>
      </c>
      <c r="C7769" s="83">
        <v>46088</v>
      </c>
      <c r="D7769" t="s">
        <v>314</v>
      </c>
      <c r="E7769" t="s">
        <v>316</v>
      </c>
      <c r="F7769">
        <v>3</v>
      </c>
      <c r="G7769">
        <v>0.67866666666666697</v>
      </c>
    </row>
    <row r="7770" spans="1:7" x14ac:dyDescent="0.35">
      <c r="A7770" t="s">
        <v>847</v>
      </c>
      <c r="B7770" t="s">
        <v>691</v>
      </c>
      <c r="C7770" s="83">
        <v>46088</v>
      </c>
      <c r="D7770" t="s">
        <v>314</v>
      </c>
      <c r="E7770" t="s">
        <v>126</v>
      </c>
      <c r="F7770">
        <v>3</v>
      </c>
      <c r="G7770">
        <v>5.5671499999999998</v>
      </c>
    </row>
    <row r="7771" spans="1:7" x14ac:dyDescent="0.35">
      <c r="A7771" t="s">
        <v>847</v>
      </c>
      <c r="B7771" t="s">
        <v>691</v>
      </c>
      <c r="C7771" s="83">
        <v>46088</v>
      </c>
      <c r="D7771" t="s">
        <v>314</v>
      </c>
      <c r="E7771" t="s">
        <v>311</v>
      </c>
      <c r="F7771">
        <v>3</v>
      </c>
      <c r="G7771">
        <v>20.6130666666667</v>
      </c>
    </row>
    <row r="7772" spans="1:7" x14ac:dyDescent="0.35">
      <c r="A7772" t="s">
        <v>847</v>
      </c>
      <c r="B7772" t="s">
        <v>691</v>
      </c>
      <c r="C7772" s="83">
        <v>46088</v>
      </c>
      <c r="D7772" t="s">
        <v>317</v>
      </c>
      <c r="E7772" t="s">
        <v>319</v>
      </c>
      <c r="F7772">
        <v>2</v>
      </c>
      <c r="G7772">
        <v>0.88171666666666704</v>
      </c>
    </row>
    <row r="7773" spans="1:7" x14ac:dyDescent="0.35">
      <c r="A7773" t="s">
        <v>847</v>
      </c>
      <c r="B7773" t="s">
        <v>691</v>
      </c>
      <c r="C7773" s="83">
        <v>46088</v>
      </c>
      <c r="D7773" t="s">
        <v>317</v>
      </c>
      <c r="E7773" t="s">
        <v>323</v>
      </c>
      <c r="F7773">
        <v>2</v>
      </c>
      <c r="G7773">
        <v>0.38979999999999998</v>
      </c>
    </row>
    <row r="7774" spans="1:7" x14ac:dyDescent="0.35">
      <c r="A7774" t="s">
        <v>847</v>
      </c>
      <c r="B7774" t="s">
        <v>691</v>
      </c>
      <c r="C7774" s="83">
        <v>46089</v>
      </c>
      <c r="D7774" t="s">
        <v>295</v>
      </c>
      <c r="E7774" t="s">
        <v>296</v>
      </c>
      <c r="F7774">
        <v>57</v>
      </c>
      <c r="G7774">
        <v>26.895050000000001</v>
      </c>
    </row>
    <row r="7775" spans="1:7" x14ac:dyDescent="0.35">
      <c r="A7775" t="s">
        <v>847</v>
      </c>
      <c r="B7775" t="s">
        <v>691</v>
      </c>
      <c r="C7775" s="83">
        <v>46089</v>
      </c>
      <c r="D7775" t="s">
        <v>299</v>
      </c>
      <c r="E7775" t="s">
        <v>637</v>
      </c>
      <c r="F7775">
        <v>23</v>
      </c>
      <c r="G7775">
        <v>10.3565</v>
      </c>
    </row>
    <row r="7776" spans="1:7" x14ac:dyDescent="0.35">
      <c r="A7776" t="s">
        <v>847</v>
      </c>
      <c r="B7776" t="s">
        <v>691</v>
      </c>
      <c r="C7776" s="83">
        <v>46089</v>
      </c>
      <c r="D7776" t="s">
        <v>299</v>
      </c>
      <c r="E7776" t="s">
        <v>296</v>
      </c>
      <c r="F7776">
        <v>18</v>
      </c>
      <c r="G7776">
        <v>6.6375500000000001</v>
      </c>
    </row>
    <row r="7777" spans="1:7" x14ac:dyDescent="0.35">
      <c r="A7777" t="s">
        <v>847</v>
      </c>
      <c r="B7777" t="s">
        <v>691</v>
      </c>
      <c r="C7777" s="83">
        <v>46089</v>
      </c>
      <c r="D7777" t="s">
        <v>301</v>
      </c>
      <c r="E7777" t="s">
        <v>302</v>
      </c>
      <c r="F7777">
        <v>51</v>
      </c>
      <c r="G7777">
        <v>26.815000000000001</v>
      </c>
    </row>
    <row r="7778" spans="1:7" x14ac:dyDescent="0.35">
      <c r="A7778" t="s">
        <v>847</v>
      </c>
      <c r="B7778" t="s">
        <v>691</v>
      </c>
      <c r="C7778" s="83">
        <v>46089</v>
      </c>
      <c r="D7778" t="s">
        <v>303</v>
      </c>
      <c r="E7778" t="s">
        <v>302</v>
      </c>
      <c r="F7778">
        <v>31</v>
      </c>
      <c r="G7778">
        <v>21.087066666666701</v>
      </c>
    </row>
    <row r="7779" spans="1:7" x14ac:dyDescent="0.35">
      <c r="A7779" t="s">
        <v>847</v>
      </c>
      <c r="B7779" t="s">
        <v>691</v>
      </c>
      <c r="C7779" s="83">
        <v>46089</v>
      </c>
      <c r="D7779" t="s">
        <v>310</v>
      </c>
      <c r="E7779" t="s">
        <v>311</v>
      </c>
      <c r="F7779">
        <v>24</v>
      </c>
      <c r="G7779">
        <v>12.0616</v>
      </c>
    </row>
    <row r="7780" spans="1:7" x14ac:dyDescent="0.35">
      <c r="A7780" t="s">
        <v>847</v>
      </c>
      <c r="B7780" t="s">
        <v>691</v>
      </c>
      <c r="C7780" s="83">
        <v>46089</v>
      </c>
      <c r="D7780" t="s">
        <v>310</v>
      </c>
      <c r="E7780" t="s">
        <v>126</v>
      </c>
      <c r="F7780">
        <v>8</v>
      </c>
      <c r="G7780">
        <v>6.8367333333333304</v>
      </c>
    </row>
    <row r="7781" spans="1:7" x14ac:dyDescent="0.35">
      <c r="A7781" t="s">
        <v>847</v>
      </c>
      <c r="B7781" t="s">
        <v>691</v>
      </c>
      <c r="C7781" s="83">
        <v>46089</v>
      </c>
      <c r="D7781" t="s">
        <v>310</v>
      </c>
      <c r="E7781" t="s">
        <v>333</v>
      </c>
      <c r="F7781">
        <v>7</v>
      </c>
      <c r="G7781">
        <v>2.1855166666666701</v>
      </c>
    </row>
    <row r="7782" spans="1:7" x14ac:dyDescent="0.35">
      <c r="A7782" t="s">
        <v>847</v>
      </c>
      <c r="B7782" t="s">
        <v>691</v>
      </c>
      <c r="C7782" s="83">
        <v>46089</v>
      </c>
      <c r="D7782" t="s">
        <v>313</v>
      </c>
      <c r="E7782" t="s">
        <v>311</v>
      </c>
      <c r="F7782">
        <v>53</v>
      </c>
      <c r="G7782">
        <v>54.912700000000001</v>
      </c>
    </row>
    <row r="7783" spans="1:7" x14ac:dyDescent="0.35">
      <c r="A7783" t="s">
        <v>847</v>
      </c>
      <c r="B7783" t="s">
        <v>691</v>
      </c>
      <c r="C7783" s="83">
        <v>46089</v>
      </c>
      <c r="D7783" t="s">
        <v>313</v>
      </c>
      <c r="E7783" t="s">
        <v>126</v>
      </c>
      <c r="F7783">
        <v>10</v>
      </c>
      <c r="G7783">
        <v>17.837433333333301</v>
      </c>
    </row>
    <row r="7784" spans="1:7" x14ac:dyDescent="0.35">
      <c r="A7784" t="s">
        <v>847</v>
      </c>
      <c r="B7784" t="s">
        <v>691</v>
      </c>
      <c r="C7784" s="83">
        <v>46089</v>
      </c>
      <c r="D7784" t="s">
        <v>313</v>
      </c>
      <c r="E7784" t="s">
        <v>316</v>
      </c>
      <c r="F7784">
        <v>8</v>
      </c>
      <c r="G7784">
        <v>3.2139000000000002</v>
      </c>
    </row>
    <row r="7785" spans="1:7" x14ac:dyDescent="0.35">
      <c r="A7785" t="s">
        <v>847</v>
      </c>
      <c r="B7785" t="s">
        <v>691</v>
      </c>
      <c r="C7785" s="83">
        <v>46089</v>
      </c>
      <c r="D7785" t="s">
        <v>314</v>
      </c>
      <c r="E7785" t="s">
        <v>316</v>
      </c>
      <c r="F7785">
        <v>6</v>
      </c>
      <c r="G7785">
        <v>4.1532666666666698</v>
      </c>
    </row>
    <row r="7786" spans="1:7" x14ac:dyDescent="0.35">
      <c r="A7786" t="s">
        <v>847</v>
      </c>
      <c r="B7786" t="s">
        <v>691</v>
      </c>
      <c r="C7786" s="83">
        <v>46089</v>
      </c>
      <c r="D7786" t="s">
        <v>314</v>
      </c>
      <c r="E7786" t="s">
        <v>658</v>
      </c>
      <c r="F7786">
        <v>4</v>
      </c>
      <c r="G7786">
        <v>26.712050000000001</v>
      </c>
    </row>
    <row r="7787" spans="1:7" x14ac:dyDescent="0.35">
      <c r="A7787" t="s">
        <v>847</v>
      </c>
      <c r="B7787" t="s">
        <v>691</v>
      </c>
      <c r="C7787" s="83">
        <v>46089</v>
      </c>
      <c r="D7787" t="s">
        <v>314</v>
      </c>
      <c r="E7787" t="s">
        <v>311</v>
      </c>
      <c r="F7787">
        <v>4</v>
      </c>
      <c r="G7787">
        <v>51.190350000000002</v>
      </c>
    </row>
    <row r="7788" spans="1:7" x14ac:dyDescent="0.35">
      <c r="A7788" t="s">
        <v>847</v>
      </c>
      <c r="B7788" t="s">
        <v>691</v>
      </c>
      <c r="C7788" s="83">
        <v>46089</v>
      </c>
      <c r="D7788" t="s">
        <v>317</v>
      </c>
      <c r="E7788" t="s">
        <v>323</v>
      </c>
      <c r="F7788">
        <v>3</v>
      </c>
      <c r="G7788">
        <v>0.50798333333333301</v>
      </c>
    </row>
    <row r="7789" spans="1:7" x14ac:dyDescent="0.35">
      <c r="A7789" t="s">
        <v>847</v>
      </c>
      <c r="B7789" t="s">
        <v>691</v>
      </c>
      <c r="C7789" s="83">
        <v>46090</v>
      </c>
      <c r="D7789" t="s">
        <v>295</v>
      </c>
      <c r="E7789" t="s">
        <v>296</v>
      </c>
      <c r="F7789">
        <v>23</v>
      </c>
      <c r="G7789">
        <v>19.22655</v>
      </c>
    </row>
    <row r="7790" spans="1:7" x14ac:dyDescent="0.35">
      <c r="A7790" t="s">
        <v>847</v>
      </c>
      <c r="B7790" t="s">
        <v>691</v>
      </c>
      <c r="C7790" s="83">
        <v>46090</v>
      </c>
      <c r="D7790" t="s">
        <v>299</v>
      </c>
      <c r="E7790" t="s">
        <v>296</v>
      </c>
      <c r="F7790">
        <v>26</v>
      </c>
      <c r="G7790">
        <v>10.950333333333299</v>
      </c>
    </row>
    <row r="7791" spans="1:7" x14ac:dyDescent="0.35">
      <c r="A7791" t="s">
        <v>847</v>
      </c>
      <c r="B7791" t="s">
        <v>691</v>
      </c>
      <c r="C7791" s="83">
        <v>46090</v>
      </c>
      <c r="D7791" t="s">
        <v>299</v>
      </c>
      <c r="E7791" t="s">
        <v>637</v>
      </c>
      <c r="F7791">
        <v>16</v>
      </c>
      <c r="G7791">
        <v>6.0896499999999998</v>
      </c>
    </row>
    <row r="7792" spans="1:7" x14ac:dyDescent="0.35">
      <c r="A7792" t="s">
        <v>847</v>
      </c>
      <c r="B7792" t="s">
        <v>691</v>
      </c>
      <c r="C7792" s="83">
        <v>46090</v>
      </c>
      <c r="D7792" t="s">
        <v>301</v>
      </c>
      <c r="E7792" t="s">
        <v>302</v>
      </c>
      <c r="F7792">
        <v>14</v>
      </c>
      <c r="G7792">
        <v>5.9805000000000001</v>
      </c>
    </row>
    <row r="7793" spans="1:7" x14ac:dyDescent="0.35">
      <c r="A7793" t="s">
        <v>847</v>
      </c>
      <c r="B7793" t="s">
        <v>691</v>
      </c>
      <c r="C7793" s="83">
        <v>46090</v>
      </c>
      <c r="D7793" t="s">
        <v>303</v>
      </c>
      <c r="E7793" t="s">
        <v>302</v>
      </c>
      <c r="F7793">
        <v>20</v>
      </c>
      <c r="G7793">
        <v>11.676683333333299</v>
      </c>
    </row>
    <row r="7794" spans="1:7" x14ac:dyDescent="0.35">
      <c r="A7794" t="s">
        <v>847</v>
      </c>
      <c r="B7794" t="s">
        <v>691</v>
      </c>
      <c r="C7794" s="83">
        <v>46090</v>
      </c>
      <c r="D7794" t="s">
        <v>305</v>
      </c>
      <c r="E7794" t="s">
        <v>344</v>
      </c>
      <c r="F7794">
        <v>31</v>
      </c>
      <c r="G7794">
        <v>21.084033333333299</v>
      </c>
    </row>
    <row r="7795" spans="1:7" x14ac:dyDescent="0.35">
      <c r="A7795" t="s">
        <v>847</v>
      </c>
      <c r="B7795" t="s">
        <v>691</v>
      </c>
      <c r="C7795" s="83">
        <v>46090</v>
      </c>
      <c r="D7795" t="s">
        <v>310</v>
      </c>
      <c r="E7795" t="s">
        <v>640</v>
      </c>
      <c r="F7795">
        <v>9</v>
      </c>
      <c r="G7795">
        <v>6.4191000000000003</v>
      </c>
    </row>
    <row r="7796" spans="1:7" x14ac:dyDescent="0.35">
      <c r="A7796" t="s">
        <v>847</v>
      </c>
      <c r="B7796" t="s">
        <v>691</v>
      </c>
      <c r="C7796" s="83">
        <v>46090</v>
      </c>
      <c r="D7796" t="s">
        <v>310</v>
      </c>
      <c r="E7796" t="s">
        <v>311</v>
      </c>
      <c r="F7796">
        <v>7</v>
      </c>
      <c r="G7796">
        <v>4.6354833333333296</v>
      </c>
    </row>
    <row r="7797" spans="1:7" x14ac:dyDescent="0.35">
      <c r="A7797" t="s">
        <v>847</v>
      </c>
      <c r="B7797" t="s">
        <v>691</v>
      </c>
      <c r="C7797" s="83">
        <v>46090</v>
      </c>
      <c r="D7797" t="s">
        <v>310</v>
      </c>
      <c r="E7797" t="s">
        <v>333</v>
      </c>
      <c r="F7797">
        <v>6</v>
      </c>
      <c r="G7797">
        <v>25.129566666666701</v>
      </c>
    </row>
    <row r="7798" spans="1:7" x14ac:dyDescent="0.35">
      <c r="A7798" t="s">
        <v>847</v>
      </c>
      <c r="B7798" t="s">
        <v>691</v>
      </c>
      <c r="C7798" s="83">
        <v>46090</v>
      </c>
      <c r="D7798" t="s">
        <v>313</v>
      </c>
      <c r="E7798" t="s">
        <v>311</v>
      </c>
      <c r="F7798">
        <v>65</v>
      </c>
      <c r="G7798">
        <v>71.727800000000002</v>
      </c>
    </row>
    <row r="7799" spans="1:7" x14ac:dyDescent="0.35">
      <c r="A7799" t="s">
        <v>847</v>
      </c>
      <c r="B7799" t="s">
        <v>691</v>
      </c>
      <c r="C7799" s="83">
        <v>46090</v>
      </c>
      <c r="D7799" t="s">
        <v>313</v>
      </c>
      <c r="E7799" t="s">
        <v>126</v>
      </c>
      <c r="F7799">
        <v>15</v>
      </c>
      <c r="G7799">
        <v>59.795333333333303</v>
      </c>
    </row>
    <row r="7800" spans="1:7" x14ac:dyDescent="0.35">
      <c r="A7800" t="s">
        <v>847</v>
      </c>
      <c r="B7800" t="s">
        <v>691</v>
      </c>
      <c r="C7800" s="83">
        <v>46090</v>
      </c>
      <c r="D7800" t="s">
        <v>313</v>
      </c>
      <c r="E7800" t="s">
        <v>640</v>
      </c>
      <c r="F7800">
        <v>9</v>
      </c>
      <c r="G7800">
        <v>14.770716666666701</v>
      </c>
    </row>
    <row r="7801" spans="1:7" x14ac:dyDescent="0.35">
      <c r="A7801" t="s">
        <v>847</v>
      </c>
      <c r="B7801" t="s">
        <v>691</v>
      </c>
      <c r="C7801" s="83">
        <v>46090</v>
      </c>
      <c r="D7801" t="s">
        <v>314</v>
      </c>
      <c r="E7801" t="s">
        <v>126</v>
      </c>
      <c r="F7801">
        <v>19</v>
      </c>
      <c r="G7801">
        <v>39.049466666666703</v>
      </c>
    </row>
    <row r="7802" spans="1:7" x14ac:dyDescent="0.35">
      <c r="A7802" t="s">
        <v>847</v>
      </c>
      <c r="B7802" t="s">
        <v>691</v>
      </c>
      <c r="C7802" s="83">
        <v>46090</v>
      </c>
      <c r="D7802" t="s">
        <v>314</v>
      </c>
      <c r="E7802" t="s">
        <v>322</v>
      </c>
      <c r="F7802">
        <v>14</v>
      </c>
      <c r="G7802">
        <v>40.6496833333333</v>
      </c>
    </row>
    <row r="7803" spans="1:7" x14ac:dyDescent="0.35">
      <c r="A7803" t="s">
        <v>847</v>
      </c>
      <c r="B7803" t="s">
        <v>691</v>
      </c>
      <c r="C7803" s="83">
        <v>46090</v>
      </c>
      <c r="D7803" t="s">
        <v>314</v>
      </c>
      <c r="E7803" t="s">
        <v>640</v>
      </c>
      <c r="F7803">
        <v>11</v>
      </c>
      <c r="G7803">
        <v>23.1812166666667</v>
      </c>
    </row>
    <row r="7804" spans="1:7" x14ac:dyDescent="0.35">
      <c r="A7804" t="s">
        <v>847</v>
      </c>
      <c r="B7804" t="s">
        <v>691</v>
      </c>
      <c r="C7804" s="83">
        <v>46090</v>
      </c>
      <c r="D7804" t="s">
        <v>317</v>
      </c>
      <c r="E7804" t="s">
        <v>319</v>
      </c>
      <c r="F7804">
        <v>3</v>
      </c>
      <c r="G7804">
        <v>1.5305166666666701</v>
      </c>
    </row>
    <row r="7805" spans="1:7" x14ac:dyDescent="0.35">
      <c r="A7805" t="s">
        <v>847</v>
      </c>
      <c r="B7805" t="s">
        <v>691</v>
      </c>
      <c r="C7805" s="83">
        <v>46090</v>
      </c>
      <c r="D7805" t="s">
        <v>317</v>
      </c>
      <c r="E7805" t="s">
        <v>825</v>
      </c>
      <c r="F7805">
        <v>2</v>
      </c>
      <c r="G7805">
        <v>23.460616666666699</v>
      </c>
    </row>
    <row r="7806" spans="1:7" x14ac:dyDescent="0.35">
      <c r="A7806" t="s">
        <v>847</v>
      </c>
      <c r="B7806" t="s">
        <v>691</v>
      </c>
      <c r="C7806" s="83">
        <v>46090</v>
      </c>
      <c r="D7806" t="s">
        <v>317</v>
      </c>
      <c r="E7806" t="s">
        <v>322</v>
      </c>
      <c r="F7806">
        <v>2</v>
      </c>
      <c r="G7806">
        <v>0.80531666666666701</v>
      </c>
    </row>
    <row r="7807" spans="1:7" x14ac:dyDescent="0.35">
      <c r="A7807" t="s">
        <v>847</v>
      </c>
      <c r="B7807" t="s">
        <v>691</v>
      </c>
      <c r="C7807" s="83">
        <v>46091</v>
      </c>
      <c r="D7807" t="s">
        <v>295</v>
      </c>
      <c r="E7807" t="s">
        <v>296</v>
      </c>
      <c r="F7807">
        <v>50</v>
      </c>
      <c r="G7807">
        <v>23.735966666666702</v>
      </c>
    </row>
    <row r="7808" spans="1:7" x14ac:dyDescent="0.35">
      <c r="A7808" t="s">
        <v>847</v>
      </c>
      <c r="B7808" t="s">
        <v>691</v>
      </c>
      <c r="C7808" s="83">
        <v>46091</v>
      </c>
      <c r="D7808" t="s">
        <v>299</v>
      </c>
      <c r="E7808" t="s">
        <v>296</v>
      </c>
      <c r="F7808">
        <v>88</v>
      </c>
      <c r="G7808">
        <v>55.097066666666699</v>
      </c>
    </row>
    <row r="7809" spans="1:7" x14ac:dyDescent="0.35">
      <c r="A7809" t="s">
        <v>847</v>
      </c>
      <c r="B7809" t="s">
        <v>691</v>
      </c>
      <c r="C7809" s="83">
        <v>46091</v>
      </c>
      <c r="D7809" t="s">
        <v>301</v>
      </c>
      <c r="E7809" t="s">
        <v>302</v>
      </c>
      <c r="F7809">
        <v>20</v>
      </c>
      <c r="G7809">
        <v>6.4262833333333296</v>
      </c>
    </row>
    <row r="7810" spans="1:7" x14ac:dyDescent="0.35">
      <c r="A7810" t="s">
        <v>847</v>
      </c>
      <c r="B7810" t="s">
        <v>691</v>
      </c>
      <c r="C7810" s="83">
        <v>46091</v>
      </c>
      <c r="D7810" t="s">
        <v>303</v>
      </c>
      <c r="E7810" t="s">
        <v>302</v>
      </c>
      <c r="F7810">
        <v>16</v>
      </c>
      <c r="G7810">
        <v>14.3087</v>
      </c>
    </row>
    <row r="7811" spans="1:7" x14ac:dyDescent="0.35">
      <c r="A7811" t="s">
        <v>847</v>
      </c>
      <c r="B7811" t="s">
        <v>691</v>
      </c>
      <c r="C7811" s="83">
        <v>46091</v>
      </c>
      <c r="D7811" t="s">
        <v>309</v>
      </c>
      <c r="E7811" t="s">
        <v>344</v>
      </c>
      <c r="F7811">
        <v>27</v>
      </c>
      <c r="G7811">
        <v>20.604383333333299</v>
      </c>
    </row>
    <row r="7812" spans="1:7" x14ac:dyDescent="0.35">
      <c r="A7812" t="s">
        <v>847</v>
      </c>
      <c r="B7812" t="s">
        <v>691</v>
      </c>
      <c r="C7812" s="83">
        <v>46091</v>
      </c>
      <c r="D7812" t="s">
        <v>310</v>
      </c>
      <c r="E7812" t="s">
        <v>126</v>
      </c>
      <c r="F7812">
        <v>18</v>
      </c>
      <c r="G7812">
        <v>16.320083333333301</v>
      </c>
    </row>
    <row r="7813" spans="1:7" x14ac:dyDescent="0.35">
      <c r="A7813" t="s">
        <v>847</v>
      </c>
      <c r="B7813" t="s">
        <v>691</v>
      </c>
      <c r="C7813" s="83">
        <v>46091</v>
      </c>
      <c r="D7813" t="s">
        <v>310</v>
      </c>
      <c r="E7813" t="s">
        <v>311</v>
      </c>
      <c r="F7813">
        <v>13</v>
      </c>
      <c r="G7813">
        <v>6.2902333333333296</v>
      </c>
    </row>
    <row r="7814" spans="1:7" x14ac:dyDescent="0.35">
      <c r="A7814" t="s">
        <v>847</v>
      </c>
      <c r="B7814" t="s">
        <v>691</v>
      </c>
      <c r="C7814" s="83">
        <v>46091</v>
      </c>
      <c r="D7814" t="s">
        <v>310</v>
      </c>
      <c r="E7814" t="s">
        <v>333</v>
      </c>
      <c r="F7814">
        <v>10</v>
      </c>
      <c r="G7814">
        <v>7.5248333333333299</v>
      </c>
    </row>
    <row r="7815" spans="1:7" x14ac:dyDescent="0.35">
      <c r="A7815" t="s">
        <v>847</v>
      </c>
      <c r="B7815" t="s">
        <v>691</v>
      </c>
      <c r="C7815" s="83">
        <v>46091</v>
      </c>
      <c r="D7815" t="s">
        <v>313</v>
      </c>
      <c r="E7815" t="s">
        <v>311</v>
      </c>
      <c r="F7815">
        <v>56</v>
      </c>
      <c r="G7815">
        <v>76.835816666666702</v>
      </c>
    </row>
    <row r="7816" spans="1:7" x14ac:dyDescent="0.35">
      <c r="A7816" t="s">
        <v>847</v>
      </c>
      <c r="B7816" t="s">
        <v>691</v>
      </c>
      <c r="C7816" s="83">
        <v>46091</v>
      </c>
      <c r="D7816" t="s">
        <v>313</v>
      </c>
      <c r="E7816" t="s">
        <v>126</v>
      </c>
      <c r="F7816">
        <v>9</v>
      </c>
      <c r="G7816">
        <v>24.357366666666699</v>
      </c>
    </row>
    <row r="7817" spans="1:7" x14ac:dyDescent="0.35">
      <c r="A7817" t="s">
        <v>847</v>
      </c>
      <c r="B7817" t="s">
        <v>691</v>
      </c>
      <c r="C7817" s="83">
        <v>46091</v>
      </c>
      <c r="D7817" t="s">
        <v>313</v>
      </c>
      <c r="E7817" t="s">
        <v>312</v>
      </c>
      <c r="F7817">
        <v>4</v>
      </c>
      <c r="G7817">
        <v>2.01695</v>
      </c>
    </row>
    <row r="7818" spans="1:7" x14ac:dyDescent="0.35">
      <c r="A7818" t="s">
        <v>847</v>
      </c>
      <c r="B7818" t="s">
        <v>691</v>
      </c>
      <c r="C7818" s="83">
        <v>46091</v>
      </c>
      <c r="D7818" t="s">
        <v>314</v>
      </c>
      <c r="E7818" t="s">
        <v>126</v>
      </c>
      <c r="F7818">
        <v>9</v>
      </c>
      <c r="G7818">
        <v>20.48565</v>
      </c>
    </row>
    <row r="7819" spans="1:7" x14ac:dyDescent="0.35">
      <c r="A7819" t="s">
        <v>847</v>
      </c>
      <c r="B7819" t="s">
        <v>691</v>
      </c>
      <c r="C7819" s="83">
        <v>46091</v>
      </c>
      <c r="D7819" t="s">
        <v>314</v>
      </c>
      <c r="E7819" t="s">
        <v>316</v>
      </c>
      <c r="F7819">
        <v>2</v>
      </c>
      <c r="G7819">
        <v>0.101533333333333</v>
      </c>
    </row>
    <row r="7820" spans="1:7" x14ac:dyDescent="0.35">
      <c r="A7820" t="s">
        <v>847</v>
      </c>
      <c r="B7820" t="s">
        <v>691</v>
      </c>
      <c r="C7820" s="83">
        <v>46091</v>
      </c>
      <c r="D7820" t="s">
        <v>314</v>
      </c>
      <c r="E7820" t="s">
        <v>312</v>
      </c>
      <c r="F7820">
        <v>2</v>
      </c>
      <c r="G7820">
        <v>0.47403333333333297</v>
      </c>
    </row>
    <row r="7821" spans="1:7" x14ac:dyDescent="0.35">
      <c r="A7821" t="s">
        <v>847</v>
      </c>
      <c r="B7821" t="s">
        <v>691</v>
      </c>
      <c r="C7821" s="83">
        <v>46091</v>
      </c>
      <c r="D7821" t="s">
        <v>317</v>
      </c>
      <c r="E7821" t="s">
        <v>322</v>
      </c>
      <c r="F7821">
        <v>2</v>
      </c>
      <c r="G7821">
        <v>0.38123333333333298</v>
      </c>
    </row>
    <row r="7822" spans="1:7" x14ac:dyDescent="0.35">
      <c r="A7822" t="s">
        <v>847</v>
      </c>
      <c r="B7822" t="s">
        <v>691</v>
      </c>
      <c r="C7822" s="83">
        <v>46092</v>
      </c>
      <c r="D7822" t="s">
        <v>295</v>
      </c>
      <c r="E7822" t="s">
        <v>296</v>
      </c>
      <c r="F7822">
        <v>38</v>
      </c>
      <c r="G7822">
        <v>18.919516666666699</v>
      </c>
    </row>
    <row r="7823" spans="1:7" x14ac:dyDescent="0.35">
      <c r="A7823" t="s">
        <v>847</v>
      </c>
      <c r="B7823" t="s">
        <v>691</v>
      </c>
      <c r="C7823" s="83">
        <v>46092</v>
      </c>
      <c r="D7823" t="s">
        <v>299</v>
      </c>
      <c r="E7823" t="s">
        <v>296</v>
      </c>
      <c r="F7823">
        <v>35</v>
      </c>
      <c r="G7823">
        <v>28.806266666666701</v>
      </c>
    </row>
    <row r="7824" spans="1:7" x14ac:dyDescent="0.35">
      <c r="A7824" t="s">
        <v>847</v>
      </c>
      <c r="B7824" t="s">
        <v>691</v>
      </c>
      <c r="C7824" s="83">
        <v>46092</v>
      </c>
      <c r="D7824" t="s">
        <v>303</v>
      </c>
      <c r="E7824" t="s">
        <v>302</v>
      </c>
      <c r="F7824">
        <v>13</v>
      </c>
      <c r="G7824">
        <v>8.4406833333333307</v>
      </c>
    </row>
    <row r="7825" spans="1:7" x14ac:dyDescent="0.35">
      <c r="A7825" t="s">
        <v>847</v>
      </c>
      <c r="B7825" t="s">
        <v>691</v>
      </c>
      <c r="C7825" s="83">
        <v>46092</v>
      </c>
      <c r="D7825" t="s">
        <v>310</v>
      </c>
      <c r="E7825" t="s">
        <v>311</v>
      </c>
      <c r="F7825">
        <v>11</v>
      </c>
      <c r="G7825">
        <v>55.3320333333333</v>
      </c>
    </row>
    <row r="7826" spans="1:7" x14ac:dyDescent="0.35">
      <c r="A7826" t="s">
        <v>847</v>
      </c>
      <c r="B7826" t="s">
        <v>691</v>
      </c>
      <c r="C7826" s="83">
        <v>46092</v>
      </c>
      <c r="D7826" t="s">
        <v>310</v>
      </c>
      <c r="E7826" t="s">
        <v>126</v>
      </c>
      <c r="F7826">
        <v>7</v>
      </c>
      <c r="G7826">
        <v>10.141033333333301</v>
      </c>
    </row>
    <row r="7827" spans="1:7" x14ac:dyDescent="0.35">
      <c r="A7827" t="s">
        <v>847</v>
      </c>
      <c r="B7827" t="s">
        <v>691</v>
      </c>
      <c r="C7827" s="83">
        <v>46092</v>
      </c>
      <c r="D7827" t="s">
        <v>310</v>
      </c>
      <c r="E7827" t="s">
        <v>321</v>
      </c>
      <c r="F7827">
        <v>3</v>
      </c>
      <c r="G7827">
        <v>0.95383333333333298</v>
      </c>
    </row>
    <row r="7828" spans="1:7" x14ac:dyDescent="0.35">
      <c r="A7828" t="s">
        <v>847</v>
      </c>
      <c r="B7828" t="s">
        <v>691</v>
      </c>
      <c r="C7828" s="83">
        <v>46092</v>
      </c>
      <c r="D7828" t="s">
        <v>313</v>
      </c>
      <c r="E7828" t="s">
        <v>311</v>
      </c>
      <c r="F7828">
        <v>50</v>
      </c>
      <c r="G7828">
        <v>110.574683333333</v>
      </c>
    </row>
    <row r="7829" spans="1:7" x14ac:dyDescent="0.35">
      <c r="A7829" t="s">
        <v>847</v>
      </c>
      <c r="B7829" t="s">
        <v>691</v>
      </c>
      <c r="C7829" s="83">
        <v>46092</v>
      </c>
      <c r="D7829" t="s">
        <v>313</v>
      </c>
      <c r="E7829" t="s">
        <v>126</v>
      </c>
      <c r="F7829">
        <v>15</v>
      </c>
      <c r="G7829">
        <v>49.687849999999997</v>
      </c>
    </row>
    <row r="7830" spans="1:7" x14ac:dyDescent="0.35">
      <c r="A7830" t="s">
        <v>847</v>
      </c>
      <c r="B7830" t="s">
        <v>691</v>
      </c>
      <c r="C7830" s="83">
        <v>46092</v>
      </c>
      <c r="D7830" t="s">
        <v>313</v>
      </c>
      <c r="E7830" t="s">
        <v>347</v>
      </c>
      <c r="F7830">
        <v>7</v>
      </c>
      <c r="G7830">
        <v>11.314766666666699</v>
      </c>
    </row>
    <row r="7831" spans="1:7" x14ac:dyDescent="0.35">
      <c r="A7831" t="s">
        <v>847</v>
      </c>
      <c r="B7831" t="s">
        <v>691</v>
      </c>
      <c r="C7831" s="83">
        <v>46092</v>
      </c>
      <c r="D7831" t="s">
        <v>314</v>
      </c>
      <c r="E7831" t="s">
        <v>126</v>
      </c>
      <c r="F7831">
        <v>6</v>
      </c>
      <c r="G7831">
        <v>12.4975</v>
      </c>
    </row>
    <row r="7832" spans="1:7" x14ac:dyDescent="0.35">
      <c r="A7832" t="s">
        <v>847</v>
      </c>
      <c r="B7832" t="s">
        <v>691</v>
      </c>
      <c r="C7832" s="83">
        <v>46092</v>
      </c>
      <c r="D7832" t="s">
        <v>314</v>
      </c>
      <c r="E7832" t="s">
        <v>316</v>
      </c>
      <c r="F7832">
        <v>4</v>
      </c>
      <c r="G7832">
        <v>3.6016833333333298</v>
      </c>
    </row>
    <row r="7833" spans="1:7" x14ac:dyDescent="0.35">
      <c r="A7833" t="s">
        <v>847</v>
      </c>
      <c r="B7833" t="s">
        <v>691</v>
      </c>
      <c r="C7833" s="83">
        <v>46092</v>
      </c>
      <c r="D7833" t="s">
        <v>314</v>
      </c>
      <c r="E7833" t="s">
        <v>348</v>
      </c>
      <c r="F7833">
        <v>4</v>
      </c>
      <c r="G7833">
        <v>4.35978333333333</v>
      </c>
    </row>
    <row r="7834" spans="1:7" x14ac:dyDescent="0.35">
      <c r="A7834" t="s">
        <v>847</v>
      </c>
      <c r="B7834" t="s">
        <v>691</v>
      </c>
      <c r="C7834" s="83">
        <v>46092</v>
      </c>
      <c r="D7834" t="s">
        <v>317</v>
      </c>
      <c r="E7834" t="s">
        <v>792</v>
      </c>
      <c r="F7834">
        <v>2</v>
      </c>
      <c r="G7834">
        <v>0.83933333333333304</v>
      </c>
    </row>
    <row r="7835" spans="1:7" x14ac:dyDescent="0.35">
      <c r="A7835" t="s">
        <v>847</v>
      </c>
      <c r="B7835" t="s">
        <v>691</v>
      </c>
      <c r="C7835" s="83">
        <v>46092</v>
      </c>
      <c r="D7835" t="s">
        <v>317</v>
      </c>
      <c r="E7835" t="s">
        <v>825</v>
      </c>
      <c r="F7835">
        <v>2</v>
      </c>
      <c r="G7835">
        <v>1.7777833333333299</v>
      </c>
    </row>
    <row r="7836" spans="1:7" x14ac:dyDescent="0.35">
      <c r="A7836" t="s">
        <v>847</v>
      </c>
      <c r="B7836" t="s">
        <v>691</v>
      </c>
      <c r="C7836" s="83">
        <v>46092</v>
      </c>
      <c r="D7836" t="s">
        <v>317</v>
      </c>
      <c r="E7836" t="s">
        <v>339</v>
      </c>
      <c r="F7836">
        <v>2</v>
      </c>
      <c r="G7836">
        <v>1.3704166666666699</v>
      </c>
    </row>
    <row r="7837" spans="1:7" x14ac:dyDescent="0.35">
      <c r="A7837" t="s">
        <v>847</v>
      </c>
      <c r="B7837" t="s">
        <v>691</v>
      </c>
      <c r="C7837" s="83">
        <v>46093</v>
      </c>
      <c r="D7837" t="s">
        <v>295</v>
      </c>
      <c r="E7837" t="s">
        <v>296</v>
      </c>
      <c r="F7837">
        <v>63</v>
      </c>
      <c r="G7837">
        <v>28.2808833333333</v>
      </c>
    </row>
    <row r="7838" spans="1:7" x14ac:dyDescent="0.35">
      <c r="A7838" t="s">
        <v>847</v>
      </c>
      <c r="B7838" t="s">
        <v>691</v>
      </c>
      <c r="C7838" s="83">
        <v>46093</v>
      </c>
      <c r="D7838" t="s">
        <v>295</v>
      </c>
      <c r="E7838" t="s">
        <v>302</v>
      </c>
      <c r="F7838">
        <v>11</v>
      </c>
      <c r="G7838">
        <v>10.918850000000001</v>
      </c>
    </row>
    <row r="7839" spans="1:7" x14ac:dyDescent="0.35">
      <c r="A7839" t="s">
        <v>847</v>
      </c>
      <c r="B7839" t="s">
        <v>691</v>
      </c>
      <c r="C7839" s="83">
        <v>46093</v>
      </c>
      <c r="D7839" t="s">
        <v>299</v>
      </c>
      <c r="E7839" t="s">
        <v>296</v>
      </c>
      <c r="F7839">
        <v>49</v>
      </c>
      <c r="G7839">
        <v>20.687633333333299</v>
      </c>
    </row>
    <row r="7840" spans="1:7" x14ac:dyDescent="0.35">
      <c r="A7840" t="s">
        <v>847</v>
      </c>
      <c r="B7840" t="s">
        <v>691</v>
      </c>
      <c r="C7840" s="83">
        <v>46093</v>
      </c>
      <c r="D7840" t="s">
        <v>299</v>
      </c>
      <c r="E7840" t="s">
        <v>637</v>
      </c>
      <c r="F7840">
        <v>21</v>
      </c>
      <c r="G7840">
        <v>18.844000000000001</v>
      </c>
    </row>
    <row r="7841" spans="1:7" x14ac:dyDescent="0.35">
      <c r="A7841" t="s">
        <v>847</v>
      </c>
      <c r="B7841" t="s">
        <v>691</v>
      </c>
      <c r="C7841" s="83">
        <v>46093</v>
      </c>
      <c r="D7841" t="s">
        <v>301</v>
      </c>
      <c r="E7841" t="s">
        <v>302</v>
      </c>
      <c r="F7841">
        <v>23</v>
      </c>
      <c r="G7841">
        <v>10.7997666666667</v>
      </c>
    </row>
    <row r="7842" spans="1:7" x14ac:dyDescent="0.35">
      <c r="A7842" t="s">
        <v>847</v>
      </c>
      <c r="B7842" t="s">
        <v>691</v>
      </c>
      <c r="C7842" s="83">
        <v>46093</v>
      </c>
      <c r="D7842" t="s">
        <v>303</v>
      </c>
      <c r="E7842" t="s">
        <v>302</v>
      </c>
      <c r="F7842">
        <v>23</v>
      </c>
      <c r="G7842">
        <v>13.17065</v>
      </c>
    </row>
    <row r="7843" spans="1:7" x14ac:dyDescent="0.35">
      <c r="A7843" t="s">
        <v>847</v>
      </c>
      <c r="B7843" t="s">
        <v>691</v>
      </c>
      <c r="C7843" s="83">
        <v>46093</v>
      </c>
      <c r="D7843" t="s">
        <v>305</v>
      </c>
      <c r="E7843" t="s">
        <v>344</v>
      </c>
      <c r="F7843">
        <v>39</v>
      </c>
      <c r="G7843">
        <v>18.649533333333299</v>
      </c>
    </row>
    <row r="7844" spans="1:7" x14ac:dyDescent="0.35">
      <c r="A7844" t="s">
        <v>847</v>
      </c>
      <c r="B7844" t="s">
        <v>691</v>
      </c>
      <c r="C7844" s="83">
        <v>46093</v>
      </c>
      <c r="D7844" t="s">
        <v>310</v>
      </c>
      <c r="E7844" t="s">
        <v>323</v>
      </c>
      <c r="F7844">
        <v>7</v>
      </c>
      <c r="G7844">
        <v>2.3828</v>
      </c>
    </row>
    <row r="7845" spans="1:7" x14ac:dyDescent="0.35">
      <c r="A7845" t="s">
        <v>847</v>
      </c>
      <c r="B7845" t="s">
        <v>691</v>
      </c>
      <c r="C7845" s="83">
        <v>46093</v>
      </c>
      <c r="D7845" t="s">
        <v>310</v>
      </c>
      <c r="E7845" t="s">
        <v>126</v>
      </c>
      <c r="F7845">
        <v>4</v>
      </c>
      <c r="G7845">
        <v>4.1365333333333298</v>
      </c>
    </row>
    <row r="7846" spans="1:7" x14ac:dyDescent="0.35">
      <c r="A7846" t="s">
        <v>847</v>
      </c>
      <c r="B7846" t="s">
        <v>691</v>
      </c>
      <c r="C7846" s="83">
        <v>46093</v>
      </c>
      <c r="D7846" t="s">
        <v>310</v>
      </c>
      <c r="E7846" t="s">
        <v>311</v>
      </c>
      <c r="F7846">
        <v>3</v>
      </c>
      <c r="G7846">
        <v>1.0500499999999999</v>
      </c>
    </row>
    <row r="7847" spans="1:7" x14ac:dyDescent="0.35">
      <c r="A7847" t="s">
        <v>847</v>
      </c>
      <c r="B7847" t="s">
        <v>691</v>
      </c>
      <c r="C7847" s="83">
        <v>46093</v>
      </c>
      <c r="D7847" t="s">
        <v>313</v>
      </c>
      <c r="E7847" t="s">
        <v>312</v>
      </c>
      <c r="F7847">
        <v>28</v>
      </c>
      <c r="G7847">
        <v>37.173583333333298</v>
      </c>
    </row>
    <row r="7848" spans="1:7" x14ac:dyDescent="0.35">
      <c r="A7848" t="s">
        <v>847</v>
      </c>
      <c r="B7848" t="s">
        <v>691</v>
      </c>
      <c r="C7848" s="83">
        <v>46093</v>
      </c>
      <c r="D7848" t="s">
        <v>313</v>
      </c>
      <c r="E7848" t="s">
        <v>311</v>
      </c>
      <c r="F7848">
        <v>28</v>
      </c>
      <c r="G7848">
        <v>78.469383333333298</v>
      </c>
    </row>
    <row r="7849" spans="1:7" x14ac:dyDescent="0.35">
      <c r="A7849" t="s">
        <v>847</v>
      </c>
      <c r="B7849" t="s">
        <v>691</v>
      </c>
      <c r="C7849" s="83">
        <v>46093</v>
      </c>
      <c r="D7849" t="s">
        <v>313</v>
      </c>
      <c r="E7849" t="s">
        <v>347</v>
      </c>
      <c r="F7849">
        <v>7</v>
      </c>
      <c r="G7849">
        <v>3.4783333333333299</v>
      </c>
    </row>
    <row r="7850" spans="1:7" x14ac:dyDescent="0.35">
      <c r="A7850" t="s">
        <v>847</v>
      </c>
      <c r="B7850" t="s">
        <v>691</v>
      </c>
      <c r="C7850" s="83">
        <v>46093</v>
      </c>
      <c r="D7850" t="s">
        <v>314</v>
      </c>
      <c r="E7850" t="s">
        <v>126</v>
      </c>
      <c r="F7850">
        <v>13</v>
      </c>
      <c r="G7850">
        <v>38.146416666666703</v>
      </c>
    </row>
    <row r="7851" spans="1:7" x14ac:dyDescent="0.35">
      <c r="A7851" t="s">
        <v>847</v>
      </c>
      <c r="B7851" t="s">
        <v>691</v>
      </c>
      <c r="C7851" s="83">
        <v>46093</v>
      </c>
      <c r="D7851" t="s">
        <v>314</v>
      </c>
      <c r="E7851" t="s">
        <v>640</v>
      </c>
      <c r="F7851">
        <v>3</v>
      </c>
      <c r="G7851">
        <v>22.991849999999999</v>
      </c>
    </row>
    <row r="7852" spans="1:7" x14ac:dyDescent="0.35">
      <c r="A7852" t="s">
        <v>847</v>
      </c>
      <c r="B7852" t="s">
        <v>691</v>
      </c>
      <c r="C7852" s="83">
        <v>46093</v>
      </c>
      <c r="D7852" t="s">
        <v>314</v>
      </c>
      <c r="E7852" t="s">
        <v>805</v>
      </c>
      <c r="F7852">
        <v>2</v>
      </c>
      <c r="G7852">
        <v>0.59486666666666699</v>
      </c>
    </row>
    <row r="7853" spans="1:7" x14ac:dyDescent="0.35">
      <c r="A7853" t="s">
        <v>847</v>
      </c>
      <c r="B7853" t="s">
        <v>691</v>
      </c>
      <c r="C7853" s="83">
        <v>46094</v>
      </c>
      <c r="D7853" t="s">
        <v>295</v>
      </c>
      <c r="E7853" t="s">
        <v>296</v>
      </c>
      <c r="F7853">
        <v>42</v>
      </c>
      <c r="G7853">
        <v>14.3357833333333</v>
      </c>
    </row>
    <row r="7854" spans="1:7" x14ac:dyDescent="0.35">
      <c r="A7854" t="s">
        <v>847</v>
      </c>
      <c r="B7854" t="s">
        <v>691</v>
      </c>
      <c r="C7854" s="83">
        <v>46094</v>
      </c>
      <c r="D7854" t="s">
        <v>295</v>
      </c>
      <c r="E7854" t="s">
        <v>302</v>
      </c>
      <c r="F7854">
        <v>9</v>
      </c>
      <c r="G7854">
        <v>5.7543333333333297</v>
      </c>
    </row>
    <row r="7855" spans="1:7" x14ac:dyDescent="0.35">
      <c r="A7855" t="s">
        <v>847</v>
      </c>
      <c r="B7855" t="s">
        <v>691</v>
      </c>
      <c r="C7855" s="83">
        <v>46094</v>
      </c>
      <c r="D7855" t="s">
        <v>299</v>
      </c>
      <c r="E7855" t="s">
        <v>296</v>
      </c>
      <c r="F7855">
        <v>63</v>
      </c>
      <c r="G7855">
        <v>25.629516666666699</v>
      </c>
    </row>
    <row r="7856" spans="1:7" x14ac:dyDescent="0.35">
      <c r="A7856" t="s">
        <v>847</v>
      </c>
      <c r="B7856" t="s">
        <v>691</v>
      </c>
      <c r="C7856" s="83">
        <v>46094</v>
      </c>
      <c r="D7856" t="s">
        <v>299</v>
      </c>
      <c r="E7856" t="s">
        <v>637</v>
      </c>
      <c r="F7856">
        <v>11</v>
      </c>
      <c r="G7856">
        <v>4.1970833333333299</v>
      </c>
    </row>
    <row r="7857" spans="1:7" x14ac:dyDescent="0.35">
      <c r="A7857" t="s">
        <v>847</v>
      </c>
      <c r="B7857" t="s">
        <v>691</v>
      </c>
      <c r="C7857" s="83">
        <v>46094</v>
      </c>
      <c r="D7857" t="s">
        <v>301</v>
      </c>
      <c r="E7857" t="s">
        <v>302</v>
      </c>
      <c r="F7857">
        <v>27</v>
      </c>
      <c r="G7857">
        <v>19.713200000000001</v>
      </c>
    </row>
    <row r="7858" spans="1:7" x14ac:dyDescent="0.35">
      <c r="A7858" t="s">
        <v>847</v>
      </c>
      <c r="B7858" t="s">
        <v>691</v>
      </c>
      <c r="C7858" s="83">
        <v>46094</v>
      </c>
      <c r="D7858" t="s">
        <v>303</v>
      </c>
      <c r="E7858" t="s">
        <v>302</v>
      </c>
      <c r="F7858">
        <v>62</v>
      </c>
      <c r="G7858">
        <v>24.669366666666701</v>
      </c>
    </row>
    <row r="7859" spans="1:7" x14ac:dyDescent="0.35">
      <c r="A7859" t="s">
        <v>847</v>
      </c>
      <c r="B7859" t="s">
        <v>691</v>
      </c>
      <c r="C7859" s="83">
        <v>46094</v>
      </c>
      <c r="D7859" t="s">
        <v>310</v>
      </c>
      <c r="E7859" t="s">
        <v>311</v>
      </c>
      <c r="F7859">
        <v>8</v>
      </c>
      <c r="G7859">
        <v>13.98915</v>
      </c>
    </row>
    <row r="7860" spans="1:7" x14ac:dyDescent="0.35">
      <c r="A7860" t="s">
        <v>847</v>
      </c>
      <c r="B7860" t="s">
        <v>691</v>
      </c>
      <c r="C7860" s="83">
        <v>46094</v>
      </c>
      <c r="D7860" t="s">
        <v>310</v>
      </c>
      <c r="E7860" t="s">
        <v>323</v>
      </c>
      <c r="F7860">
        <v>5</v>
      </c>
      <c r="G7860">
        <v>1.19688333333333</v>
      </c>
    </row>
    <row r="7861" spans="1:7" x14ac:dyDescent="0.35">
      <c r="A7861" t="s">
        <v>847</v>
      </c>
      <c r="B7861" t="s">
        <v>691</v>
      </c>
      <c r="C7861" s="83">
        <v>46094</v>
      </c>
      <c r="D7861" t="s">
        <v>310</v>
      </c>
      <c r="E7861" t="s">
        <v>321</v>
      </c>
      <c r="F7861">
        <v>4</v>
      </c>
      <c r="G7861">
        <v>0.70918333333333305</v>
      </c>
    </row>
    <row r="7862" spans="1:7" x14ac:dyDescent="0.35">
      <c r="A7862" t="s">
        <v>847</v>
      </c>
      <c r="B7862" t="s">
        <v>691</v>
      </c>
      <c r="C7862" s="83">
        <v>46094</v>
      </c>
      <c r="D7862" t="s">
        <v>313</v>
      </c>
      <c r="E7862" t="s">
        <v>311</v>
      </c>
      <c r="F7862">
        <v>44</v>
      </c>
      <c r="G7862">
        <v>52.447116666666702</v>
      </c>
    </row>
    <row r="7863" spans="1:7" x14ac:dyDescent="0.35">
      <c r="A7863" t="s">
        <v>847</v>
      </c>
      <c r="B7863" t="s">
        <v>691</v>
      </c>
      <c r="C7863" s="83">
        <v>46094</v>
      </c>
      <c r="D7863" t="s">
        <v>313</v>
      </c>
      <c r="E7863" t="s">
        <v>312</v>
      </c>
      <c r="F7863">
        <v>11</v>
      </c>
      <c r="G7863">
        <v>7.8214833333333296</v>
      </c>
    </row>
    <row r="7864" spans="1:7" x14ac:dyDescent="0.35">
      <c r="A7864" t="s">
        <v>847</v>
      </c>
      <c r="B7864" t="s">
        <v>691</v>
      </c>
      <c r="C7864" s="83">
        <v>46094</v>
      </c>
      <c r="D7864" t="s">
        <v>313</v>
      </c>
      <c r="E7864" t="s">
        <v>347</v>
      </c>
      <c r="F7864">
        <v>10</v>
      </c>
      <c r="G7864">
        <v>6.6655499999999996</v>
      </c>
    </row>
    <row r="7865" spans="1:7" x14ac:dyDescent="0.35">
      <c r="A7865" t="s">
        <v>847</v>
      </c>
      <c r="B7865" t="s">
        <v>691</v>
      </c>
      <c r="C7865" s="83">
        <v>46094</v>
      </c>
      <c r="D7865" t="s">
        <v>314</v>
      </c>
      <c r="E7865" t="s">
        <v>126</v>
      </c>
      <c r="F7865">
        <v>10</v>
      </c>
      <c r="G7865">
        <v>21.962700000000002</v>
      </c>
    </row>
    <row r="7866" spans="1:7" x14ac:dyDescent="0.35">
      <c r="A7866" t="s">
        <v>847</v>
      </c>
      <c r="B7866" t="s">
        <v>691</v>
      </c>
      <c r="C7866" s="83">
        <v>46094</v>
      </c>
      <c r="D7866" t="s">
        <v>314</v>
      </c>
      <c r="E7866" t="s">
        <v>316</v>
      </c>
      <c r="F7866">
        <v>5</v>
      </c>
      <c r="G7866">
        <v>1.7281166666666701</v>
      </c>
    </row>
    <row r="7867" spans="1:7" x14ac:dyDescent="0.35">
      <c r="A7867" t="s">
        <v>847</v>
      </c>
      <c r="B7867" t="s">
        <v>691</v>
      </c>
      <c r="C7867" s="83">
        <v>46094</v>
      </c>
      <c r="D7867" t="s">
        <v>314</v>
      </c>
      <c r="E7867" t="s">
        <v>348</v>
      </c>
      <c r="F7867">
        <v>3</v>
      </c>
      <c r="G7867">
        <v>4.5115666666666696</v>
      </c>
    </row>
    <row r="7868" spans="1:7" x14ac:dyDescent="0.35">
      <c r="A7868" t="s">
        <v>847</v>
      </c>
      <c r="B7868" t="s">
        <v>691</v>
      </c>
      <c r="C7868" s="83">
        <v>46095</v>
      </c>
      <c r="D7868" t="s">
        <v>295</v>
      </c>
      <c r="E7868" t="s">
        <v>296</v>
      </c>
      <c r="F7868">
        <v>44</v>
      </c>
      <c r="G7868">
        <v>32.617699999999999</v>
      </c>
    </row>
    <row r="7869" spans="1:7" x14ac:dyDescent="0.35">
      <c r="A7869" t="s">
        <v>847</v>
      </c>
      <c r="B7869" t="s">
        <v>691</v>
      </c>
      <c r="C7869" s="83">
        <v>46095</v>
      </c>
      <c r="D7869" t="s">
        <v>299</v>
      </c>
      <c r="E7869" t="s">
        <v>296</v>
      </c>
      <c r="F7869">
        <v>52</v>
      </c>
      <c r="G7869">
        <v>31.093050000000002</v>
      </c>
    </row>
    <row r="7870" spans="1:7" x14ac:dyDescent="0.35">
      <c r="A7870" t="s">
        <v>847</v>
      </c>
      <c r="B7870" t="s">
        <v>691</v>
      </c>
      <c r="C7870" s="83">
        <v>46095</v>
      </c>
      <c r="D7870" t="s">
        <v>301</v>
      </c>
      <c r="E7870" t="s">
        <v>302</v>
      </c>
      <c r="F7870">
        <v>19</v>
      </c>
      <c r="G7870">
        <v>9.2227499999999996</v>
      </c>
    </row>
    <row r="7871" spans="1:7" x14ac:dyDescent="0.35">
      <c r="A7871" t="s">
        <v>847</v>
      </c>
      <c r="B7871" t="s">
        <v>691</v>
      </c>
      <c r="C7871" s="83">
        <v>46095</v>
      </c>
      <c r="D7871" t="s">
        <v>303</v>
      </c>
      <c r="E7871" t="s">
        <v>302</v>
      </c>
      <c r="F7871">
        <v>32</v>
      </c>
      <c r="G7871">
        <v>16.250350000000001</v>
      </c>
    </row>
    <row r="7872" spans="1:7" x14ac:dyDescent="0.35">
      <c r="A7872" t="s">
        <v>847</v>
      </c>
      <c r="B7872" t="s">
        <v>691</v>
      </c>
      <c r="C7872" s="83">
        <v>46095</v>
      </c>
      <c r="D7872" t="s">
        <v>310</v>
      </c>
      <c r="E7872" t="s">
        <v>321</v>
      </c>
      <c r="F7872">
        <v>5</v>
      </c>
      <c r="G7872">
        <v>2.1693500000000001</v>
      </c>
    </row>
    <row r="7873" spans="1:7" x14ac:dyDescent="0.35">
      <c r="A7873" t="s">
        <v>847</v>
      </c>
      <c r="B7873" t="s">
        <v>691</v>
      </c>
      <c r="C7873" s="83">
        <v>46095</v>
      </c>
      <c r="D7873" t="s">
        <v>310</v>
      </c>
      <c r="E7873" t="s">
        <v>323</v>
      </c>
      <c r="F7873">
        <v>4</v>
      </c>
      <c r="G7873">
        <v>1.03396666666667</v>
      </c>
    </row>
    <row r="7874" spans="1:7" x14ac:dyDescent="0.35">
      <c r="A7874" t="s">
        <v>847</v>
      </c>
      <c r="B7874" t="s">
        <v>691</v>
      </c>
      <c r="C7874" s="83">
        <v>46095</v>
      </c>
      <c r="D7874" t="s">
        <v>310</v>
      </c>
      <c r="E7874" t="s">
        <v>316</v>
      </c>
      <c r="F7874">
        <v>3</v>
      </c>
      <c r="G7874">
        <v>1.2871666666666699</v>
      </c>
    </row>
    <row r="7875" spans="1:7" x14ac:dyDescent="0.35">
      <c r="A7875" t="s">
        <v>847</v>
      </c>
      <c r="B7875" t="s">
        <v>691</v>
      </c>
      <c r="C7875" s="83">
        <v>46095</v>
      </c>
      <c r="D7875" t="s">
        <v>313</v>
      </c>
      <c r="E7875" t="s">
        <v>311</v>
      </c>
      <c r="F7875">
        <v>12</v>
      </c>
      <c r="G7875">
        <v>28.013066666666699</v>
      </c>
    </row>
    <row r="7876" spans="1:7" x14ac:dyDescent="0.35">
      <c r="A7876" t="s">
        <v>847</v>
      </c>
      <c r="B7876" t="s">
        <v>691</v>
      </c>
      <c r="C7876" s="83">
        <v>46095</v>
      </c>
      <c r="D7876" t="s">
        <v>313</v>
      </c>
      <c r="E7876" t="s">
        <v>126</v>
      </c>
      <c r="F7876">
        <v>5</v>
      </c>
      <c r="G7876">
        <v>12.41445</v>
      </c>
    </row>
    <row r="7877" spans="1:7" x14ac:dyDescent="0.35">
      <c r="A7877" t="s">
        <v>847</v>
      </c>
      <c r="B7877" t="s">
        <v>691</v>
      </c>
      <c r="C7877" s="83">
        <v>46095</v>
      </c>
      <c r="D7877" t="s">
        <v>313</v>
      </c>
      <c r="E7877" t="s">
        <v>312</v>
      </c>
      <c r="F7877">
        <v>5</v>
      </c>
      <c r="G7877">
        <v>2.91421666666667</v>
      </c>
    </row>
    <row r="7878" spans="1:7" x14ac:dyDescent="0.35">
      <c r="A7878" t="s">
        <v>847</v>
      </c>
      <c r="B7878" t="s">
        <v>691</v>
      </c>
      <c r="C7878" s="83">
        <v>46095</v>
      </c>
      <c r="D7878" t="s">
        <v>314</v>
      </c>
      <c r="E7878" t="s">
        <v>126</v>
      </c>
      <c r="F7878">
        <v>5</v>
      </c>
      <c r="G7878">
        <v>7.1906333333333299</v>
      </c>
    </row>
    <row r="7879" spans="1:7" x14ac:dyDescent="0.35">
      <c r="A7879" t="s">
        <v>847</v>
      </c>
      <c r="B7879" t="s">
        <v>691</v>
      </c>
      <c r="C7879" s="83">
        <v>46095</v>
      </c>
      <c r="D7879" t="s">
        <v>314</v>
      </c>
      <c r="E7879" t="s">
        <v>348</v>
      </c>
      <c r="F7879">
        <v>3</v>
      </c>
      <c r="G7879">
        <v>2.08558333333333</v>
      </c>
    </row>
    <row r="7880" spans="1:7" x14ac:dyDescent="0.35">
      <c r="A7880" t="s">
        <v>847</v>
      </c>
      <c r="B7880" t="s">
        <v>691</v>
      </c>
      <c r="C7880" s="83">
        <v>46095</v>
      </c>
      <c r="D7880" t="s">
        <v>314</v>
      </c>
      <c r="E7880" t="s">
        <v>316</v>
      </c>
      <c r="F7880">
        <v>3</v>
      </c>
      <c r="G7880">
        <v>0.76595000000000002</v>
      </c>
    </row>
    <row r="7881" spans="1:7" x14ac:dyDescent="0.35">
      <c r="A7881" t="s">
        <v>847</v>
      </c>
      <c r="B7881" t="s">
        <v>691</v>
      </c>
      <c r="C7881" s="83">
        <v>46095</v>
      </c>
      <c r="D7881" t="s">
        <v>317</v>
      </c>
      <c r="E7881" t="s">
        <v>835</v>
      </c>
      <c r="F7881">
        <v>2</v>
      </c>
      <c r="G7881">
        <v>0.42396666666666699</v>
      </c>
    </row>
    <row r="7882" spans="1:7" x14ac:dyDescent="0.35">
      <c r="A7882" t="s">
        <v>847</v>
      </c>
      <c r="B7882" t="s">
        <v>691</v>
      </c>
      <c r="C7882" s="83">
        <v>46096</v>
      </c>
      <c r="D7882" t="s">
        <v>295</v>
      </c>
      <c r="E7882" t="s">
        <v>296</v>
      </c>
      <c r="F7882">
        <v>65</v>
      </c>
      <c r="G7882">
        <v>54.675933333333298</v>
      </c>
    </row>
    <row r="7883" spans="1:7" x14ac:dyDescent="0.35">
      <c r="A7883" t="s">
        <v>847</v>
      </c>
      <c r="B7883" t="s">
        <v>691</v>
      </c>
      <c r="C7883" s="83">
        <v>46096</v>
      </c>
      <c r="D7883" t="s">
        <v>299</v>
      </c>
      <c r="E7883" t="s">
        <v>296</v>
      </c>
      <c r="F7883">
        <v>33</v>
      </c>
      <c r="G7883">
        <v>14.082599999999999</v>
      </c>
    </row>
    <row r="7884" spans="1:7" x14ac:dyDescent="0.35">
      <c r="A7884" t="s">
        <v>847</v>
      </c>
      <c r="B7884" t="s">
        <v>691</v>
      </c>
      <c r="C7884" s="83">
        <v>46096</v>
      </c>
      <c r="D7884" t="s">
        <v>299</v>
      </c>
      <c r="E7884" t="s">
        <v>302</v>
      </c>
      <c r="F7884">
        <v>17</v>
      </c>
      <c r="G7884">
        <v>7.7976333333333301</v>
      </c>
    </row>
    <row r="7885" spans="1:7" x14ac:dyDescent="0.35">
      <c r="A7885" t="s">
        <v>847</v>
      </c>
      <c r="B7885" t="s">
        <v>691</v>
      </c>
      <c r="C7885" s="83">
        <v>46096</v>
      </c>
      <c r="D7885" t="s">
        <v>301</v>
      </c>
      <c r="E7885" t="s">
        <v>302</v>
      </c>
      <c r="F7885">
        <v>20</v>
      </c>
      <c r="G7885">
        <v>19.151566666666699</v>
      </c>
    </row>
    <row r="7886" spans="1:7" x14ac:dyDescent="0.35">
      <c r="A7886" t="s">
        <v>847</v>
      </c>
      <c r="B7886" t="s">
        <v>691</v>
      </c>
      <c r="C7886" s="83">
        <v>46096</v>
      </c>
      <c r="D7886" t="s">
        <v>303</v>
      </c>
      <c r="E7886" t="s">
        <v>302</v>
      </c>
      <c r="F7886">
        <v>41</v>
      </c>
      <c r="G7886">
        <v>14.5782833333333</v>
      </c>
    </row>
    <row r="7887" spans="1:7" x14ac:dyDescent="0.35">
      <c r="A7887" t="s">
        <v>847</v>
      </c>
      <c r="B7887" t="s">
        <v>691</v>
      </c>
      <c r="C7887" s="83">
        <v>46096</v>
      </c>
      <c r="D7887" t="s">
        <v>310</v>
      </c>
      <c r="E7887" t="s">
        <v>311</v>
      </c>
      <c r="F7887">
        <v>20</v>
      </c>
      <c r="G7887">
        <v>30.753416666666698</v>
      </c>
    </row>
    <row r="7888" spans="1:7" x14ac:dyDescent="0.35">
      <c r="A7888" t="s">
        <v>847</v>
      </c>
      <c r="B7888" t="s">
        <v>691</v>
      </c>
      <c r="C7888" s="83">
        <v>46096</v>
      </c>
      <c r="D7888" t="s">
        <v>310</v>
      </c>
      <c r="E7888" t="s">
        <v>321</v>
      </c>
      <c r="F7888">
        <v>9</v>
      </c>
      <c r="G7888">
        <v>1.77555</v>
      </c>
    </row>
    <row r="7889" spans="1:7" x14ac:dyDescent="0.35">
      <c r="A7889" t="s">
        <v>847</v>
      </c>
      <c r="B7889" t="s">
        <v>691</v>
      </c>
      <c r="C7889" s="83">
        <v>46096</v>
      </c>
      <c r="D7889" t="s">
        <v>310</v>
      </c>
      <c r="E7889" t="s">
        <v>312</v>
      </c>
      <c r="F7889">
        <v>9</v>
      </c>
      <c r="G7889">
        <v>7.3583999999999996</v>
      </c>
    </row>
    <row r="7890" spans="1:7" x14ac:dyDescent="0.35">
      <c r="A7890" t="s">
        <v>847</v>
      </c>
      <c r="B7890" t="s">
        <v>691</v>
      </c>
      <c r="C7890" s="83">
        <v>46096</v>
      </c>
      <c r="D7890" t="s">
        <v>313</v>
      </c>
      <c r="E7890" t="s">
        <v>311</v>
      </c>
      <c r="F7890">
        <v>8</v>
      </c>
      <c r="G7890">
        <v>8.2113499999999995</v>
      </c>
    </row>
    <row r="7891" spans="1:7" x14ac:dyDescent="0.35">
      <c r="A7891" t="s">
        <v>847</v>
      </c>
      <c r="B7891" t="s">
        <v>691</v>
      </c>
      <c r="C7891" s="83">
        <v>46096</v>
      </c>
      <c r="D7891" t="s">
        <v>313</v>
      </c>
      <c r="E7891" t="s">
        <v>316</v>
      </c>
      <c r="F7891">
        <v>7</v>
      </c>
      <c r="G7891">
        <v>5.6433499999999999</v>
      </c>
    </row>
    <row r="7892" spans="1:7" x14ac:dyDescent="0.35">
      <c r="A7892" t="s">
        <v>847</v>
      </c>
      <c r="B7892" t="s">
        <v>691</v>
      </c>
      <c r="C7892" s="83">
        <v>46096</v>
      </c>
      <c r="D7892" t="s">
        <v>313</v>
      </c>
      <c r="E7892" t="s">
        <v>337</v>
      </c>
      <c r="F7892">
        <v>4</v>
      </c>
      <c r="G7892">
        <v>9.1834333333333298</v>
      </c>
    </row>
    <row r="7893" spans="1:7" x14ac:dyDescent="0.35">
      <c r="A7893" t="s">
        <v>847</v>
      </c>
      <c r="B7893" t="s">
        <v>691</v>
      </c>
      <c r="C7893" s="83">
        <v>46096</v>
      </c>
      <c r="D7893" t="s">
        <v>314</v>
      </c>
      <c r="E7893" t="s">
        <v>126</v>
      </c>
      <c r="F7893">
        <v>6</v>
      </c>
      <c r="G7893">
        <v>12.8715666666667</v>
      </c>
    </row>
    <row r="7894" spans="1:7" x14ac:dyDescent="0.35">
      <c r="A7894" t="s">
        <v>847</v>
      </c>
      <c r="B7894" t="s">
        <v>691</v>
      </c>
      <c r="C7894" s="83">
        <v>46096</v>
      </c>
      <c r="D7894" t="s">
        <v>314</v>
      </c>
      <c r="E7894" t="s">
        <v>640</v>
      </c>
      <c r="F7894">
        <v>5</v>
      </c>
      <c r="G7894">
        <v>5.8315000000000001</v>
      </c>
    </row>
    <row r="7895" spans="1:7" x14ac:dyDescent="0.35">
      <c r="A7895" t="s">
        <v>847</v>
      </c>
      <c r="B7895" t="s">
        <v>691</v>
      </c>
      <c r="C7895" s="83">
        <v>46096</v>
      </c>
      <c r="D7895" t="s">
        <v>314</v>
      </c>
      <c r="E7895" t="s">
        <v>312</v>
      </c>
      <c r="F7895">
        <v>4</v>
      </c>
      <c r="G7895">
        <v>2.3720500000000002</v>
      </c>
    </row>
    <row r="7896" spans="1:7" x14ac:dyDescent="0.35">
      <c r="A7896" t="s">
        <v>847</v>
      </c>
      <c r="B7896" t="s">
        <v>691</v>
      </c>
      <c r="C7896" s="83">
        <v>46096</v>
      </c>
      <c r="D7896" t="s">
        <v>317</v>
      </c>
      <c r="E7896" t="s">
        <v>835</v>
      </c>
      <c r="F7896">
        <v>5</v>
      </c>
      <c r="G7896">
        <v>9.2447999999999997</v>
      </c>
    </row>
    <row r="7897" spans="1:7" x14ac:dyDescent="0.35">
      <c r="A7897" t="s">
        <v>847</v>
      </c>
      <c r="B7897" t="s">
        <v>691</v>
      </c>
      <c r="C7897" s="83">
        <v>46096</v>
      </c>
      <c r="D7897" t="s">
        <v>317</v>
      </c>
      <c r="E7897" t="s">
        <v>725</v>
      </c>
      <c r="F7897">
        <v>2</v>
      </c>
      <c r="G7897">
        <v>0.17824999999999999</v>
      </c>
    </row>
    <row r="7898" spans="1:7" x14ac:dyDescent="0.35">
      <c r="A7898" t="s">
        <v>847</v>
      </c>
      <c r="B7898" t="s">
        <v>691</v>
      </c>
      <c r="C7898" s="83">
        <v>46096</v>
      </c>
      <c r="D7898" t="s">
        <v>317</v>
      </c>
      <c r="E7898" t="s">
        <v>322</v>
      </c>
      <c r="F7898">
        <v>2</v>
      </c>
      <c r="G7898">
        <v>1.2283166666666701</v>
      </c>
    </row>
    <row r="7899" spans="1:7" x14ac:dyDescent="0.35">
      <c r="A7899" t="s">
        <v>847</v>
      </c>
      <c r="B7899" t="s">
        <v>691</v>
      </c>
      <c r="C7899" s="83">
        <v>46097</v>
      </c>
      <c r="D7899" t="s">
        <v>295</v>
      </c>
      <c r="E7899" t="s">
        <v>296</v>
      </c>
      <c r="F7899">
        <v>22</v>
      </c>
      <c r="G7899">
        <v>12.6377166666667</v>
      </c>
    </row>
    <row r="7900" spans="1:7" x14ac:dyDescent="0.35">
      <c r="A7900" t="s">
        <v>847</v>
      </c>
      <c r="B7900" t="s">
        <v>691</v>
      </c>
      <c r="C7900" s="83">
        <v>46097</v>
      </c>
      <c r="D7900" t="s">
        <v>299</v>
      </c>
      <c r="E7900" t="s">
        <v>296</v>
      </c>
      <c r="F7900">
        <v>31</v>
      </c>
      <c r="G7900">
        <v>20.488766666666699</v>
      </c>
    </row>
    <row r="7901" spans="1:7" x14ac:dyDescent="0.35">
      <c r="A7901" t="s">
        <v>847</v>
      </c>
      <c r="B7901" t="s">
        <v>691</v>
      </c>
      <c r="C7901" s="83">
        <v>46097</v>
      </c>
      <c r="D7901" t="s">
        <v>299</v>
      </c>
      <c r="E7901" t="s">
        <v>637</v>
      </c>
      <c r="F7901">
        <v>14</v>
      </c>
      <c r="G7901">
        <v>3.1369333333333298</v>
      </c>
    </row>
    <row r="7902" spans="1:7" x14ac:dyDescent="0.35">
      <c r="A7902" t="s">
        <v>847</v>
      </c>
      <c r="B7902" t="s">
        <v>691</v>
      </c>
      <c r="C7902" s="83">
        <v>46097</v>
      </c>
      <c r="D7902" t="s">
        <v>301</v>
      </c>
      <c r="E7902" t="s">
        <v>302</v>
      </c>
      <c r="F7902">
        <v>17</v>
      </c>
      <c r="G7902">
        <v>11.1132166666667</v>
      </c>
    </row>
    <row r="7903" spans="1:7" x14ac:dyDescent="0.35">
      <c r="A7903" t="s">
        <v>847</v>
      </c>
      <c r="B7903" t="s">
        <v>691</v>
      </c>
      <c r="C7903" s="83">
        <v>46097</v>
      </c>
      <c r="D7903" t="s">
        <v>303</v>
      </c>
      <c r="E7903" t="s">
        <v>302</v>
      </c>
      <c r="F7903">
        <v>51</v>
      </c>
      <c r="G7903">
        <v>31.519716666666699</v>
      </c>
    </row>
    <row r="7904" spans="1:7" x14ac:dyDescent="0.35">
      <c r="A7904" t="s">
        <v>847</v>
      </c>
      <c r="B7904" t="s">
        <v>691</v>
      </c>
      <c r="C7904" s="83">
        <v>46097</v>
      </c>
      <c r="D7904" t="s">
        <v>310</v>
      </c>
      <c r="E7904" t="s">
        <v>311</v>
      </c>
      <c r="F7904">
        <v>14</v>
      </c>
      <c r="G7904">
        <v>8.0976833333333307</v>
      </c>
    </row>
    <row r="7905" spans="1:7" x14ac:dyDescent="0.35">
      <c r="A7905" t="s">
        <v>847</v>
      </c>
      <c r="B7905" t="s">
        <v>691</v>
      </c>
      <c r="C7905" s="83">
        <v>46097</v>
      </c>
      <c r="D7905" t="s">
        <v>310</v>
      </c>
      <c r="E7905" t="s">
        <v>312</v>
      </c>
      <c r="F7905">
        <v>9</v>
      </c>
      <c r="G7905">
        <v>9.9090666666666607</v>
      </c>
    </row>
    <row r="7906" spans="1:7" x14ac:dyDescent="0.35">
      <c r="A7906" t="s">
        <v>847</v>
      </c>
      <c r="B7906" t="s">
        <v>691</v>
      </c>
      <c r="C7906" s="83">
        <v>46097</v>
      </c>
      <c r="D7906" t="s">
        <v>310</v>
      </c>
      <c r="E7906" t="s">
        <v>826</v>
      </c>
      <c r="F7906">
        <v>8</v>
      </c>
      <c r="G7906">
        <v>2.2675000000000001</v>
      </c>
    </row>
    <row r="7907" spans="1:7" x14ac:dyDescent="0.35">
      <c r="A7907" t="s">
        <v>847</v>
      </c>
      <c r="B7907" t="s">
        <v>691</v>
      </c>
      <c r="C7907" s="83">
        <v>46097</v>
      </c>
      <c r="D7907" t="s">
        <v>313</v>
      </c>
      <c r="E7907" t="s">
        <v>126</v>
      </c>
      <c r="F7907">
        <v>7</v>
      </c>
      <c r="G7907">
        <v>12.369683333333301</v>
      </c>
    </row>
    <row r="7908" spans="1:7" x14ac:dyDescent="0.35">
      <c r="A7908" t="s">
        <v>847</v>
      </c>
      <c r="B7908" t="s">
        <v>691</v>
      </c>
      <c r="C7908" s="83">
        <v>46097</v>
      </c>
      <c r="D7908" t="s">
        <v>313</v>
      </c>
      <c r="E7908" t="s">
        <v>640</v>
      </c>
      <c r="F7908">
        <v>4</v>
      </c>
      <c r="G7908">
        <v>5.8456333333333301</v>
      </c>
    </row>
    <row r="7909" spans="1:7" x14ac:dyDescent="0.35">
      <c r="A7909" t="s">
        <v>847</v>
      </c>
      <c r="B7909" t="s">
        <v>691</v>
      </c>
      <c r="C7909" s="83">
        <v>46097</v>
      </c>
      <c r="D7909" t="s">
        <v>313</v>
      </c>
      <c r="E7909" t="s">
        <v>316</v>
      </c>
      <c r="F7909">
        <v>4</v>
      </c>
      <c r="G7909">
        <v>0.979866666666667</v>
      </c>
    </row>
    <row r="7910" spans="1:7" x14ac:dyDescent="0.35">
      <c r="A7910" t="s">
        <v>847</v>
      </c>
      <c r="B7910" t="s">
        <v>691</v>
      </c>
      <c r="C7910" s="83">
        <v>46097</v>
      </c>
      <c r="D7910" t="s">
        <v>314</v>
      </c>
      <c r="E7910" t="s">
        <v>126</v>
      </c>
      <c r="F7910">
        <v>16</v>
      </c>
      <c r="G7910">
        <v>34.1389833333333</v>
      </c>
    </row>
    <row r="7911" spans="1:7" x14ac:dyDescent="0.35">
      <c r="A7911" t="s">
        <v>847</v>
      </c>
      <c r="B7911" t="s">
        <v>691</v>
      </c>
      <c r="C7911" s="83">
        <v>46097</v>
      </c>
      <c r="D7911" t="s">
        <v>314</v>
      </c>
      <c r="E7911" t="s">
        <v>640</v>
      </c>
      <c r="F7911">
        <v>5</v>
      </c>
      <c r="G7911">
        <v>8.9170166666666706</v>
      </c>
    </row>
    <row r="7912" spans="1:7" x14ac:dyDescent="0.35">
      <c r="A7912" t="s">
        <v>847</v>
      </c>
      <c r="B7912" t="s">
        <v>691</v>
      </c>
      <c r="C7912" s="83">
        <v>46097</v>
      </c>
      <c r="D7912" t="s">
        <v>314</v>
      </c>
      <c r="E7912" t="s">
        <v>322</v>
      </c>
      <c r="F7912">
        <v>4</v>
      </c>
      <c r="G7912">
        <v>2.8241166666666699</v>
      </c>
    </row>
    <row r="7913" spans="1:7" x14ac:dyDescent="0.35">
      <c r="A7913" t="s">
        <v>847</v>
      </c>
      <c r="B7913" t="s">
        <v>691</v>
      </c>
      <c r="C7913" s="83">
        <v>46097</v>
      </c>
      <c r="D7913" t="s">
        <v>317</v>
      </c>
      <c r="E7913" t="s">
        <v>792</v>
      </c>
      <c r="F7913">
        <v>2</v>
      </c>
      <c r="G7913">
        <v>2.0225666666666702</v>
      </c>
    </row>
    <row r="7914" spans="1:7" x14ac:dyDescent="0.35">
      <c r="A7914" t="s">
        <v>847</v>
      </c>
      <c r="B7914" t="s">
        <v>691</v>
      </c>
      <c r="C7914" s="83">
        <v>46097</v>
      </c>
      <c r="D7914" t="s">
        <v>317</v>
      </c>
      <c r="E7914" t="s">
        <v>339</v>
      </c>
      <c r="F7914">
        <v>2</v>
      </c>
      <c r="G7914">
        <v>1.76341666666667</v>
      </c>
    </row>
    <row r="7915" spans="1:7" x14ac:dyDescent="0.35">
      <c r="A7915" t="s">
        <v>847</v>
      </c>
      <c r="B7915" t="s">
        <v>691</v>
      </c>
      <c r="C7915" s="83">
        <v>46098</v>
      </c>
      <c r="D7915" t="s">
        <v>295</v>
      </c>
      <c r="E7915" t="s">
        <v>302</v>
      </c>
      <c r="F7915">
        <v>26</v>
      </c>
      <c r="G7915">
        <v>15.8601333333333</v>
      </c>
    </row>
    <row r="7916" spans="1:7" x14ac:dyDescent="0.35">
      <c r="A7916" t="s">
        <v>847</v>
      </c>
      <c r="B7916" t="s">
        <v>691</v>
      </c>
      <c r="C7916" s="83">
        <v>46098</v>
      </c>
      <c r="D7916" t="s">
        <v>295</v>
      </c>
      <c r="E7916" t="s">
        <v>296</v>
      </c>
      <c r="F7916">
        <v>22</v>
      </c>
      <c r="G7916">
        <v>7.7471166666666704</v>
      </c>
    </row>
    <row r="7917" spans="1:7" x14ac:dyDescent="0.35">
      <c r="A7917" t="s">
        <v>847</v>
      </c>
      <c r="B7917" t="s">
        <v>691</v>
      </c>
      <c r="C7917" s="83">
        <v>46098</v>
      </c>
      <c r="D7917" t="s">
        <v>299</v>
      </c>
      <c r="E7917" t="s">
        <v>296</v>
      </c>
      <c r="F7917">
        <v>33</v>
      </c>
      <c r="G7917">
        <v>15.9514666666667</v>
      </c>
    </row>
    <row r="7918" spans="1:7" x14ac:dyDescent="0.35">
      <c r="A7918" t="s">
        <v>847</v>
      </c>
      <c r="B7918" t="s">
        <v>691</v>
      </c>
      <c r="C7918" s="83">
        <v>46098</v>
      </c>
      <c r="D7918" t="s">
        <v>299</v>
      </c>
      <c r="E7918" t="s">
        <v>637</v>
      </c>
      <c r="F7918">
        <v>12</v>
      </c>
      <c r="G7918">
        <v>4.7172666666666698</v>
      </c>
    </row>
    <row r="7919" spans="1:7" x14ac:dyDescent="0.35">
      <c r="A7919" t="s">
        <v>847</v>
      </c>
      <c r="B7919" t="s">
        <v>691</v>
      </c>
      <c r="C7919" s="83">
        <v>46098</v>
      </c>
      <c r="D7919" t="s">
        <v>301</v>
      </c>
      <c r="E7919" t="s">
        <v>302</v>
      </c>
      <c r="F7919">
        <v>18</v>
      </c>
      <c r="G7919">
        <v>13.9204166666667</v>
      </c>
    </row>
    <row r="7920" spans="1:7" x14ac:dyDescent="0.35">
      <c r="A7920" t="s">
        <v>847</v>
      </c>
      <c r="B7920" t="s">
        <v>691</v>
      </c>
      <c r="C7920" s="83">
        <v>46098</v>
      </c>
      <c r="D7920" t="s">
        <v>303</v>
      </c>
      <c r="E7920" t="s">
        <v>302</v>
      </c>
      <c r="F7920">
        <v>32</v>
      </c>
      <c r="G7920">
        <v>14.8087</v>
      </c>
    </row>
    <row r="7921" spans="1:7" x14ac:dyDescent="0.35">
      <c r="A7921" t="s">
        <v>847</v>
      </c>
      <c r="B7921" t="s">
        <v>691</v>
      </c>
      <c r="C7921" s="83">
        <v>46098</v>
      </c>
      <c r="D7921" t="s">
        <v>310</v>
      </c>
      <c r="E7921" t="s">
        <v>126</v>
      </c>
      <c r="F7921">
        <v>19</v>
      </c>
      <c r="G7921">
        <v>18.249649999999999</v>
      </c>
    </row>
    <row r="7922" spans="1:7" x14ac:dyDescent="0.35">
      <c r="A7922" t="s">
        <v>847</v>
      </c>
      <c r="B7922" t="s">
        <v>691</v>
      </c>
      <c r="C7922" s="83">
        <v>46098</v>
      </c>
      <c r="D7922" t="s">
        <v>310</v>
      </c>
      <c r="E7922" t="s">
        <v>333</v>
      </c>
      <c r="F7922">
        <v>12</v>
      </c>
      <c r="G7922">
        <v>52.180583333333303</v>
      </c>
    </row>
    <row r="7923" spans="1:7" x14ac:dyDescent="0.35">
      <c r="A7923" t="s">
        <v>847</v>
      </c>
      <c r="B7923" t="s">
        <v>691</v>
      </c>
      <c r="C7923" s="83">
        <v>46098</v>
      </c>
      <c r="D7923" t="s">
        <v>310</v>
      </c>
      <c r="E7923" t="s">
        <v>338</v>
      </c>
      <c r="F7923">
        <v>7</v>
      </c>
      <c r="G7923">
        <v>3.50823333333333</v>
      </c>
    </row>
    <row r="7924" spans="1:7" x14ac:dyDescent="0.35">
      <c r="A7924" t="s">
        <v>847</v>
      </c>
      <c r="B7924" t="s">
        <v>691</v>
      </c>
      <c r="C7924" s="83">
        <v>46098</v>
      </c>
      <c r="D7924" t="s">
        <v>313</v>
      </c>
      <c r="E7924" t="s">
        <v>311</v>
      </c>
      <c r="F7924">
        <v>5</v>
      </c>
      <c r="G7924">
        <v>3.0155500000000002</v>
      </c>
    </row>
    <row r="7925" spans="1:7" x14ac:dyDescent="0.35">
      <c r="A7925" t="s">
        <v>847</v>
      </c>
      <c r="B7925" t="s">
        <v>691</v>
      </c>
      <c r="C7925" s="83">
        <v>46098</v>
      </c>
      <c r="D7925" t="s">
        <v>313</v>
      </c>
      <c r="E7925" t="s">
        <v>316</v>
      </c>
      <c r="F7925">
        <v>4</v>
      </c>
      <c r="G7925">
        <v>2.6182666666666701</v>
      </c>
    </row>
    <row r="7926" spans="1:7" x14ac:dyDescent="0.35">
      <c r="A7926" t="s">
        <v>847</v>
      </c>
      <c r="B7926" t="s">
        <v>691</v>
      </c>
      <c r="C7926" s="83">
        <v>46098</v>
      </c>
      <c r="D7926" t="s">
        <v>313</v>
      </c>
      <c r="E7926" t="s">
        <v>640</v>
      </c>
      <c r="F7926">
        <v>3</v>
      </c>
      <c r="G7926">
        <v>3.0970166666666699</v>
      </c>
    </row>
    <row r="7927" spans="1:7" x14ac:dyDescent="0.35">
      <c r="A7927" t="s">
        <v>847</v>
      </c>
      <c r="B7927" t="s">
        <v>691</v>
      </c>
      <c r="C7927" s="83">
        <v>46098</v>
      </c>
      <c r="D7927" t="s">
        <v>314</v>
      </c>
      <c r="E7927" t="s">
        <v>126</v>
      </c>
      <c r="F7927">
        <v>33</v>
      </c>
      <c r="G7927">
        <v>91.154233333333295</v>
      </c>
    </row>
    <row r="7928" spans="1:7" x14ac:dyDescent="0.35">
      <c r="A7928" t="s">
        <v>847</v>
      </c>
      <c r="B7928" t="s">
        <v>691</v>
      </c>
      <c r="C7928" s="83">
        <v>46098</v>
      </c>
      <c r="D7928" t="s">
        <v>314</v>
      </c>
      <c r="E7928" t="s">
        <v>348</v>
      </c>
      <c r="F7928">
        <v>5</v>
      </c>
      <c r="G7928">
        <v>10.2992833333333</v>
      </c>
    </row>
    <row r="7929" spans="1:7" x14ac:dyDescent="0.35">
      <c r="A7929" t="s">
        <v>847</v>
      </c>
      <c r="B7929" t="s">
        <v>691</v>
      </c>
      <c r="C7929" s="83">
        <v>46098</v>
      </c>
      <c r="D7929" t="s">
        <v>314</v>
      </c>
      <c r="E7929" t="s">
        <v>311</v>
      </c>
      <c r="F7929">
        <v>4</v>
      </c>
      <c r="G7929">
        <v>21.387916666666701</v>
      </c>
    </row>
    <row r="7930" spans="1:7" x14ac:dyDescent="0.35">
      <c r="A7930" t="s">
        <v>847</v>
      </c>
      <c r="B7930" t="s">
        <v>691</v>
      </c>
      <c r="C7930" s="83">
        <v>46098</v>
      </c>
      <c r="D7930" t="s">
        <v>317</v>
      </c>
      <c r="E7930" t="s">
        <v>835</v>
      </c>
      <c r="F7930">
        <v>12</v>
      </c>
      <c r="G7930">
        <v>671.47198333333301</v>
      </c>
    </row>
    <row r="7931" spans="1:7" x14ac:dyDescent="0.35">
      <c r="A7931" t="s">
        <v>847</v>
      </c>
      <c r="B7931" t="s">
        <v>691</v>
      </c>
      <c r="C7931" s="83">
        <v>46098</v>
      </c>
      <c r="D7931" t="s">
        <v>317</v>
      </c>
      <c r="E7931" t="s">
        <v>319</v>
      </c>
      <c r="F7931">
        <v>2</v>
      </c>
      <c r="G7931">
        <v>3.3916666666666699E-2</v>
      </c>
    </row>
    <row r="7932" spans="1:7" x14ac:dyDescent="0.35">
      <c r="A7932" t="s">
        <v>847</v>
      </c>
      <c r="B7932" t="s">
        <v>691</v>
      </c>
      <c r="C7932" s="83">
        <v>46098</v>
      </c>
      <c r="D7932" t="s">
        <v>317</v>
      </c>
      <c r="E7932" t="s">
        <v>339</v>
      </c>
      <c r="F7932">
        <v>2</v>
      </c>
      <c r="G7932">
        <v>1.9750333333333301</v>
      </c>
    </row>
    <row r="7933" spans="1:7" x14ac:dyDescent="0.35">
      <c r="A7933" t="s">
        <v>847</v>
      </c>
      <c r="B7933" t="s">
        <v>691</v>
      </c>
      <c r="C7933" s="83">
        <v>46099</v>
      </c>
      <c r="D7933" t="s">
        <v>295</v>
      </c>
      <c r="E7933" t="s">
        <v>296</v>
      </c>
      <c r="F7933">
        <v>35</v>
      </c>
      <c r="G7933">
        <v>22.076499999999999</v>
      </c>
    </row>
    <row r="7934" spans="1:7" x14ac:dyDescent="0.35">
      <c r="A7934" t="s">
        <v>847</v>
      </c>
      <c r="B7934" t="s">
        <v>691</v>
      </c>
      <c r="C7934" s="83">
        <v>46099</v>
      </c>
      <c r="D7934" t="s">
        <v>295</v>
      </c>
      <c r="E7934" t="s">
        <v>302</v>
      </c>
      <c r="F7934">
        <v>17</v>
      </c>
      <c r="G7934">
        <v>6.3360333333333303</v>
      </c>
    </row>
    <row r="7935" spans="1:7" x14ac:dyDescent="0.35">
      <c r="A7935" t="s">
        <v>847</v>
      </c>
      <c r="B7935" t="s">
        <v>691</v>
      </c>
      <c r="C7935" s="83">
        <v>46099</v>
      </c>
      <c r="D7935" t="s">
        <v>299</v>
      </c>
      <c r="E7935" t="s">
        <v>296</v>
      </c>
      <c r="F7935">
        <v>51</v>
      </c>
      <c r="G7935">
        <v>24.582899999999999</v>
      </c>
    </row>
    <row r="7936" spans="1:7" x14ac:dyDescent="0.35">
      <c r="A7936" t="s">
        <v>847</v>
      </c>
      <c r="B7936" t="s">
        <v>691</v>
      </c>
      <c r="C7936" s="83">
        <v>46099</v>
      </c>
      <c r="D7936" t="s">
        <v>299</v>
      </c>
      <c r="E7936" t="s">
        <v>637</v>
      </c>
      <c r="F7936">
        <v>33</v>
      </c>
      <c r="G7936">
        <v>18.279016666666699</v>
      </c>
    </row>
    <row r="7937" spans="1:7" x14ac:dyDescent="0.35">
      <c r="A7937" t="s">
        <v>847</v>
      </c>
      <c r="B7937" t="s">
        <v>691</v>
      </c>
      <c r="C7937" s="83">
        <v>46099</v>
      </c>
      <c r="D7937" t="s">
        <v>301</v>
      </c>
      <c r="E7937" t="s">
        <v>302</v>
      </c>
      <c r="F7937">
        <v>17</v>
      </c>
      <c r="G7937">
        <v>14.562900000000001</v>
      </c>
    </row>
    <row r="7938" spans="1:7" x14ac:dyDescent="0.35">
      <c r="A7938" t="s">
        <v>847</v>
      </c>
      <c r="B7938" t="s">
        <v>691</v>
      </c>
      <c r="C7938" s="83">
        <v>46099</v>
      </c>
      <c r="D7938" t="s">
        <v>303</v>
      </c>
      <c r="E7938" t="s">
        <v>302</v>
      </c>
      <c r="F7938">
        <v>31</v>
      </c>
      <c r="G7938">
        <v>15.0974</v>
      </c>
    </row>
    <row r="7939" spans="1:7" x14ac:dyDescent="0.35">
      <c r="A7939" t="s">
        <v>847</v>
      </c>
      <c r="B7939" t="s">
        <v>691</v>
      </c>
      <c r="C7939" s="83">
        <v>46099</v>
      </c>
      <c r="D7939" t="s">
        <v>310</v>
      </c>
      <c r="E7939" t="s">
        <v>323</v>
      </c>
      <c r="F7939">
        <v>6</v>
      </c>
      <c r="G7939">
        <v>12.666366666666701</v>
      </c>
    </row>
    <row r="7940" spans="1:7" x14ac:dyDescent="0.35">
      <c r="A7940" t="s">
        <v>847</v>
      </c>
      <c r="B7940" t="s">
        <v>691</v>
      </c>
      <c r="C7940" s="83">
        <v>46099</v>
      </c>
      <c r="D7940" t="s">
        <v>310</v>
      </c>
      <c r="E7940" t="s">
        <v>640</v>
      </c>
      <c r="F7940">
        <v>5</v>
      </c>
      <c r="G7940">
        <v>7.1253166666666701</v>
      </c>
    </row>
    <row r="7941" spans="1:7" x14ac:dyDescent="0.35">
      <c r="A7941" t="s">
        <v>847</v>
      </c>
      <c r="B7941" t="s">
        <v>691</v>
      </c>
      <c r="C7941" s="83">
        <v>46099</v>
      </c>
      <c r="D7941" t="s">
        <v>310</v>
      </c>
      <c r="E7941" t="s">
        <v>338</v>
      </c>
      <c r="F7941">
        <v>3</v>
      </c>
      <c r="G7941">
        <v>1.3054666666666701</v>
      </c>
    </row>
    <row r="7942" spans="1:7" x14ac:dyDescent="0.35">
      <c r="A7942" t="s">
        <v>847</v>
      </c>
      <c r="B7942" t="s">
        <v>691</v>
      </c>
      <c r="C7942" s="83">
        <v>46099</v>
      </c>
      <c r="D7942" t="s">
        <v>313</v>
      </c>
      <c r="E7942" t="s">
        <v>311</v>
      </c>
      <c r="F7942">
        <v>14</v>
      </c>
      <c r="G7942">
        <v>15.6222666666667</v>
      </c>
    </row>
    <row r="7943" spans="1:7" x14ac:dyDescent="0.35">
      <c r="A7943" t="s">
        <v>847</v>
      </c>
      <c r="B7943" t="s">
        <v>691</v>
      </c>
      <c r="C7943" s="83">
        <v>46099</v>
      </c>
      <c r="D7943" t="s">
        <v>313</v>
      </c>
      <c r="E7943" t="s">
        <v>316</v>
      </c>
      <c r="F7943">
        <v>10</v>
      </c>
      <c r="G7943">
        <v>41.149850000000001</v>
      </c>
    </row>
    <row r="7944" spans="1:7" x14ac:dyDescent="0.35">
      <c r="A7944" t="s">
        <v>847</v>
      </c>
      <c r="B7944" t="s">
        <v>691</v>
      </c>
      <c r="C7944" s="83">
        <v>46099</v>
      </c>
      <c r="D7944" t="s">
        <v>313</v>
      </c>
      <c r="E7944" t="s">
        <v>827</v>
      </c>
      <c r="F7944">
        <v>4</v>
      </c>
      <c r="G7944">
        <v>2.6202333333333301</v>
      </c>
    </row>
    <row r="7945" spans="1:7" x14ac:dyDescent="0.35">
      <c r="A7945" t="s">
        <v>847</v>
      </c>
      <c r="B7945" t="s">
        <v>691</v>
      </c>
      <c r="C7945" s="83">
        <v>46099</v>
      </c>
      <c r="D7945" t="s">
        <v>314</v>
      </c>
      <c r="E7945" t="s">
        <v>126</v>
      </c>
      <c r="F7945">
        <v>26</v>
      </c>
      <c r="G7945">
        <v>86.099816666666698</v>
      </c>
    </row>
    <row r="7946" spans="1:7" x14ac:dyDescent="0.35">
      <c r="A7946" t="s">
        <v>847</v>
      </c>
      <c r="B7946" t="s">
        <v>691</v>
      </c>
      <c r="C7946" s="83">
        <v>46099</v>
      </c>
      <c r="D7946" t="s">
        <v>314</v>
      </c>
      <c r="E7946" t="s">
        <v>347</v>
      </c>
      <c r="F7946">
        <v>7</v>
      </c>
      <c r="G7946">
        <v>3.61605</v>
      </c>
    </row>
    <row r="7947" spans="1:7" x14ac:dyDescent="0.35">
      <c r="A7947" t="s">
        <v>847</v>
      </c>
      <c r="B7947" t="s">
        <v>691</v>
      </c>
      <c r="C7947" s="83">
        <v>46099</v>
      </c>
      <c r="D7947" t="s">
        <v>314</v>
      </c>
      <c r="E7947" t="s">
        <v>640</v>
      </c>
      <c r="F7947">
        <v>5</v>
      </c>
      <c r="G7947">
        <v>8.2511666666666699</v>
      </c>
    </row>
    <row r="7948" spans="1:7" x14ac:dyDescent="0.35">
      <c r="A7948" t="s">
        <v>847</v>
      </c>
      <c r="B7948" t="s">
        <v>691</v>
      </c>
      <c r="C7948" s="83">
        <v>46099</v>
      </c>
      <c r="D7948" t="s">
        <v>317</v>
      </c>
      <c r="E7948" t="s">
        <v>323</v>
      </c>
      <c r="F7948">
        <v>3</v>
      </c>
      <c r="G7948">
        <v>1.27056666666667</v>
      </c>
    </row>
    <row r="7949" spans="1:7" x14ac:dyDescent="0.35">
      <c r="A7949" t="s">
        <v>847</v>
      </c>
      <c r="B7949" t="s">
        <v>691</v>
      </c>
      <c r="C7949" s="83">
        <v>46099</v>
      </c>
      <c r="D7949" t="s">
        <v>317</v>
      </c>
      <c r="E7949" t="s">
        <v>319</v>
      </c>
      <c r="F7949">
        <v>2</v>
      </c>
      <c r="G7949">
        <v>0.152433333333333</v>
      </c>
    </row>
    <row r="7950" spans="1:7" x14ac:dyDescent="0.35">
      <c r="A7950" t="s">
        <v>847</v>
      </c>
      <c r="B7950" t="s">
        <v>691</v>
      </c>
      <c r="C7950" s="83">
        <v>46099</v>
      </c>
      <c r="D7950" t="s">
        <v>317</v>
      </c>
      <c r="E7950" t="s">
        <v>339</v>
      </c>
      <c r="F7950">
        <v>2</v>
      </c>
      <c r="G7950">
        <v>1.1192</v>
      </c>
    </row>
    <row r="7951" spans="1:7" x14ac:dyDescent="0.35">
      <c r="A7951" t="s">
        <v>847</v>
      </c>
      <c r="B7951" t="s">
        <v>691</v>
      </c>
      <c r="C7951" s="83">
        <v>46100</v>
      </c>
      <c r="D7951" t="s">
        <v>295</v>
      </c>
      <c r="E7951" t="s">
        <v>296</v>
      </c>
      <c r="F7951">
        <v>30</v>
      </c>
      <c r="G7951">
        <v>10.445166666666699</v>
      </c>
    </row>
    <row r="7952" spans="1:7" x14ac:dyDescent="0.35">
      <c r="A7952" t="s">
        <v>847</v>
      </c>
      <c r="B7952" t="s">
        <v>691</v>
      </c>
      <c r="C7952" s="83">
        <v>46100</v>
      </c>
      <c r="D7952" t="s">
        <v>295</v>
      </c>
      <c r="E7952" t="s">
        <v>302</v>
      </c>
      <c r="F7952">
        <v>19</v>
      </c>
      <c r="G7952">
        <v>10.089700000000001</v>
      </c>
    </row>
    <row r="7953" spans="1:7" x14ac:dyDescent="0.35">
      <c r="A7953" t="s">
        <v>847</v>
      </c>
      <c r="B7953" t="s">
        <v>691</v>
      </c>
      <c r="C7953" s="83">
        <v>46100</v>
      </c>
      <c r="D7953" t="s">
        <v>299</v>
      </c>
      <c r="E7953" t="s">
        <v>296</v>
      </c>
      <c r="F7953">
        <v>34</v>
      </c>
      <c r="G7953">
        <v>22.859366666666698</v>
      </c>
    </row>
    <row r="7954" spans="1:7" x14ac:dyDescent="0.35">
      <c r="A7954" t="s">
        <v>847</v>
      </c>
      <c r="B7954" t="s">
        <v>691</v>
      </c>
      <c r="C7954" s="83">
        <v>46100</v>
      </c>
      <c r="D7954" t="s">
        <v>301</v>
      </c>
      <c r="E7954" t="s">
        <v>302</v>
      </c>
      <c r="F7954">
        <v>16</v>
      </c>
      <c r="G7954">
        <v>10.3172333333333</v>
      </c>
    </row>
    <row r="7955" spans="1:7" x14ac:dyDescent="0.35">
      <c r="A7955" t="s">
        <v>847</v>
      </c>
      <c r="B7955" t="s">
        <v>691</v>
      </c>
      <c r="C7955" s="83">
        <v>46100</v>
      </c>
      <c r="D7955" t="s">
        <v>303</v>
      </c>
      <c r="E7955" t="s">
        <v>302</v>
      </c>
      <c r="F7955">
        <v>53</v>
      </c>
      <c r="G7955">
        <v>34.752383333333299</v>
      </c>
    </row>
    <row r="7956" spans="1:7" x14ac:dyDescent="0.35">
      <c r="A7956" t="s">
        <v>847</v>
      </c>
      <c r="B7956" t="s">
        <v>691</v>
      </c>
      <c r="C7956" s="83">
        <v>46100</v>
      </c>
      <c r="D7956" t="s">
        <v>310</v>
      </c>
      <c r="E7956" t="s">
        <v>311</v>
      </c>
      <c r="F7956">
        <v>8</v>
      </c>
      <c r="G7956">
        <v>4.2460333333333304</v>
      </c>
    </row>
    <row r="7957" spans="1:7" x14ac:dyDescent="0.35">
      <c r="A7957" t="s">
        <v>847</v>
      </c>
      <c r="B7957" t="s">
        <v>691</v>
      </c>
      <c r="C7957" s="83">
        <v>46100</v>
      </c>
      <c r="D7957" t="s">
        <v>310</v>
      </c>
      <c r="E7957" t="s">
        <v>323</v>
      </c>
      <c r="F7957">
        <v>7</v>
      </c>
      <c r="G7957">
        <v>5.1311833333333299</v>
      </c>
    </row>
    <row r="7958" spans="1:7" x14ac:dyDescent="0.35">
      <c r="A7958" t="s">
        <v>847</v>
      </c>
      <c r="B7958" t="s">
        <v>691</v>
      </c>
      <c r="C7958" s="83">
        <v>46100</v>
      </c>
      <c r="D7958" t="s">
        <v>310</v>
      </c>
      <c r="E7958" t="s">
        <v>347</v>
      </c>
      <c r="F7958">
        <v>4</v>
      </c>
      <c r="G7958">
        <v>1.04975</v>
      </c>
    </row>
    <row r="7959" spans="1:7" x14ac:dyDescent="0.35">
      <c r="A7959" t="s">
        <v>847</v>
      </c>
      <c r="B7959" t="s">
        <v>691</v>
      </c>
      <c r="C7959" s="83">
        <v>46100</v>
      </c>
      <c r="D7959" t="s">
        <v>313</v>
      </c>
      <c r="E7959" t="s">
        <v>827</v>
      </c>
      <c r="F7959">
        <v>7</v>
      </c>
      <c r="G7959">
        <v>57.182033333333301</v>
      </c>
    </row>
    <row r="7960" spans="1:7" x14ac:dyDescent="0.35">
      <c r="A7960" t="s">
        <v>847</v>
      </c>
      <c r="B7960" t="s">
        <v>691</v>
      </c>
      <c r="C7960" s="83">
        <v>46100</v>
      </c>
      <c r="D7960" t="s">
        <v>313</v>
      </c>
      <c r="E7960" t="s">
        <v>760</v>
      </c>
      <c r="F7960">
        <v>7</v>
      </c>
      <c r="G7960">
        <v>5.2416166666666699</v>
      </c>
    </row>
    <row r="7961" spans="1:7" x14ac:dyDescent="0.35">
      <c r="A7961" t="s">
        <v>847</v>
      </c>
      <c r="B7961" t="s">
        <v>691</v>
      </c>
      <c r="C7961" s="83">
        <v>46100</v>
      </c>
      <c r="D7961" t="s">
        <v>313</v>
      </c>
      <c r="E7961" t="s">
        <v>640</v>
      </c>
      <c r="F7961">
        <v>5</v>
      </c>
      <c r="G7961">
        <v>5.5839166666666697</v>
      </c>
    </row>
    <row r="7962" spans="1:7" x14ac:dyDescent="0.35">
      <c r="A7962" t="s">
        <v>847</v>
      </c>
      <c r="B7962" t="s">
        <v>691</v>
      </c>
      <c r="C7962" s="83">
        <v>46100</v>
      </c>
      <c r="D7962" t="s">
        <v>314</v>
      </c>
      <c r="E7962" t="s">
        <v>126</v>
      </c>
      <c r="F7962">
        <v>19</v>
      </c>
      <c r="G7962">
        <v>40.5607166666667</v>
      </c>
    </row>
    <row r="7963" spans="1:7" x14ac:dyDescent="0.35">
      <c r="A7963" t="s">
        <v>847</v>
      </c>
      <c r="B7963" t="s">
        <v>691</v>
      </c>
      <c r="C7963" s="83">
        <v>46100</v>
      </c>
      <c r="D7963" t="s">
        <v>314</v>
      </c>
      <c r="E7963" t="s">
        <v>316</v>
      </c>
      <c r="F7963">
        <v>5</v>
      </c>
      <c r="G7963">
        <v>4.0978166666666702</v>
      </c>
    </row>
    <row r="7964" spans="1:7" x14ac:dyDescent="0.35">
      <c r="A7964" t="s">
        <v>847</v>
      </c>
      <c r="B7964" t="s">
        <v>691</v>
      </c>
      <c r="C7964" s="83">
        <v>46100</v>
      </c>
      <c r="D7964" t="s">
        <v>314</v>
      </c>
      <c r="E7964" t="s">
        <v>338</v>
      </c>
      <c r="F7964">
        <v>3</v>
      </c>
      <c r="G7964">
        <v>4.1864499999999998</v>
      </c>
    </row>
    <row r="7965" spans="1:7" x14ac:dyDescent="0.35">
      <c r="A7965" t="s">
        <v>847</v>
      </c>
      <c r="B7965" t="s">
        <v>691</v>
      </c>
      <c r="C7965" s="83">
        <v>46100</v>
      </c>
      <c r="D7965" t="s">
        <v>317</v>
      </c>
      <c r="E7965" t="s">
        <v>319</v>
      </c>
      <c r="F7965">
        <v>2</v>
      </c>
      <c r="G7965">
        <v>0.45910000000000001</v>
      </c>
    </row>
    <row r="7966" spans="1:7" x14ac:dyDescent="0.35">
      <c r="A7966" t="s">
        <v>847</v>
      </c>
      <c r="B7966" t="s">
        <v>691</v>
      </c>
      <c r="C7966" s="83">
        <v>46100</v>
      </c>
      <c r="D7966" t="s">
        <v>317</v>
      </c>
      <c r="E7966" t="s">
        <v>339</v>
      </c>
      <c r="F7966">
        <v>2</v>
      </c>
      <c r="G7966">
        <v>0.91613333333333302</v>
      </c>
    </row>
    <row r="7967" spans="1:7" x14ac:dyDescent="0.35">
      <c r="A7967" t="s">
        <v>847</v>
      </c>
      <c r="B7967" t="s">
        <v>691</v>
      </c>
      <c r="C7967" s="83">
        <v>46101</v>
      </c>
      <c r="D7967" t="s">
        <v>295</v>
      </c>
      <c r="E7967" t="s">
        <v>296</v>
      </c>
      <c r="F7967">
        <v>29</v>
      </c>
      <c r="G7967">
        <v>11.504016666666701</v>
      </c>
    </row>
    <row r="7968" spans="1:7" x14ac:dyDescent="0.35">
      <c r="A7968" t="s">
        <v>847</v>
      </c>
      <c r="B7968" t="s">
        <v>691</v>
      </c>
      <c r="C7968" s="83">
        <v>46101</v>
      </c>
      <c r="D7968" t="s">
        <v>299</v>
      </c>
      <c r="E7968" t="s">
        <v>296</v>
      </c>
      <c r="F7968">
        <v>53</v>
      </c>
      <c r="G7968">
        <v>23.342033333333301</v>
      </c>
    </row>
    <row r="7969" spans="1:7" x14ac:dyDescent="0.35">
      <c r="A7969" t="s">
        <v>847</v>
      </c>
      <c r="B7969" t="s">
        <v>691</v>
      </c>
      <c r="C7969" s="83">
        <v>46101</v>
      </c>
      <c r="D7969" t="s">
        <v>301</v>
      </c>
      <c r="E7969" t="s">
        <v>302</v>
      </c>
      <c r="F7969">
        <v>14</v>
      </c>
      <c r="G7969">
        <v>8.1335499999999996</v>
      </c>
    </row>
    <row r="7970" spans="1:7" x14ac:dyDescent="0.35">
      <c r="A7970" t="s">
        <v>847</v>
      </c>
      <c r="B7970" t="s">
        <v>691</v>
      </c>
      <c r="C7970" s="83">
        <v>46101</v>
      </c>
      <c r="D7970" t="s">
        <v>303</v>
      </c>
      <c r="E7970" t="s">
        <v>302</v>
      </c>
      <c r="F7970">
        <v>27</v>
      </c>
      <c r="G7970">
        <v>9.4038500000000003</v>
      </c>
    </row>
    <row r="7971" spans="1:7" x14ac:dyDescent="0.35">
      <c r="A7971" t="s">
        <v>847</v>
      </c>
      <c r="B7971" t="s">
        <v>691</v>
      </c>
      <c r="C7971" s="83">
        <v>46101</v>
      </c>
      <c r="D7971" t="s">
        <v>310</v>
      </c>
      <c r="E7971" t="s">
        <v>311</v>
      </c>
      <c r="F7971">
        <v>16</v>
      </c>
      <c r="G7971">
        <v>17.841200000000001</v>
      </c>
    </row>
    <row r="7972" spans="1:7" x14ac:dyDescent="0.35">
      <c r="A7972" t="s">
        <v>847</v>
      </c>
      <c r="B7972" t="s">
        <v>691</v>
      </c>
      <c r="C7972" s="83">
        <v>46101</v>
      </c>
      <c r="D7972" t="s">
        <v>310</v>
      </c>
      <c r="E7972" t="s">
        <v>321</v>
      </c>
      <c r="F7972">
        <v>12</v>
      </c>
      <c r="G7972">
        <v>11.1061833333333</v>
      </c>
    </row>
    <row r="7973" spans="1:7" x14ac:dyDescent="0.35">
      <c r="A7973" t="s">
        <v>847</v>
      </c>
      <c r="B7973" t="s">
        <v>691</v>
      </c>
      <c r="C7973" s="83">
        <v>46101</v>
      </c>
      <c r="D7973" t="s">
        <v>310</v>
      </c>
      <c r="E7973" t="s">
        <v>126</v>
      </c>
      <c r="F7973">
        <v>6</v>
      </c>
      <c r="G7973">
        <v>5.4937333333333296</v>
      </c>
    </row>
    <row r="7974" spans="1:7" x14ac:dyDescent="0.35">
      <c r="A7974" t="s">
        <v>847</v>
      </c>
      <c r="B7974" t="s">
        <v>691</v>
      </c>
      <c r="C7974" s="83">
        <v>46101</v>
      </c>
      <c r="D7974" t="s">
        <v>313</v>
      </c>
      <c r="E7974" t="s">
        <v>311</v>
      </c>
      <c r="F7974">
        <v>19</v>
      </c>
      <c r="G7974">
        <v>10.827816666666701</v>
      </c>
    </row>
    <row r="7975" spans="1:7" x14ac:dyDescent="0.35">
      <c r="A7975" t="s">
        <v>847</v>
      </c>
      <c r="B7975" t="s">
        <v>691</v>
      </c>
      <c r="C7975" s="83">
        <v>46101</v>
      </c>
      <c r="D7975" t="s">
        <v>313</v>
      </c>
      <c r="E7975" t="s">
        <v>126</v>
      </c>
      <c r="F7975">
        <v>7</v>
      </c>
      <c r="G7975">
        <v>25.9981333333333</v>
      </c>
    </row>
    <row r="7976" spans="1:7" x14ac:dyDescent="0.35">
      <c r="A7976" t="s">
        <v>847</v>
      </c>
      <c r="B7976" t="s">
        <v>691</v>
      </c>
      <c r="C7976" s="83">
        <v>46101</v>
      </c>
      <c r="D7976" t="s">
        <v>313</v>
      </c>
      <c r="E7976" t="s">
        <v>347</v>
      </c>
      <c r="F7976">
        <v>6</v>
      </c>
      <c r="G7976">
        <v>2.6793999999999998</v>
      </c>
    </row>
    <row r="7977" spans="1:7" x14ac:dyDescent="0.35">
      <c r="A7977" t="s">
        <v>847</v>
      </c>
      <c r="B7977" t="s">
        <v>691</v>
      </c>
      <c r="C7977" s="83">
        <v>46101</v>
      </c>
      <c r="D7977" t="s">
        <v>314</v>
      </c>
      <c r="E7977" t="s">
        <v>126</v>
      </c>
      <c r="F7977">
        <v>20</v>
      </c>
      <c r="G7977">
        <v>79.231366666666702</v>
      </c>
    </row>
    <row r="7978" spans="1:7" x14ac:dyDescent="0.35">
      <c r="A7978" t="s">
        <v>847</v>
      </c>
      <c r="B7978" t="s">
        <v>691</v>
      </c>
      <c r="C7978" s="83">
        <v>46101</v>
      </c>
      <c r="D7978" t="s">
        <v>314</v>
      </c>
      <c r="E7978" t="s">
        <v>312</v>
      </c>
      <c r="F7978">
        <v>14</v>
      </c>
      <c r="G7978">
        <v>18.975999999999999</v>
      </c>
    </row>
    <row r="7979" spans="1:7" x14ac:dyDescent="0.35">
      <c r="A7979" t="s">
        <v>847</v>
      </c>
      <c r="B7979" t="s">
        <v>691</v>
      </c>
      <c r="C7979" s="83">
        <v>46101</v>
      </c>
      <c r="D7979" t="s">
        <v>314</v>
      </c>
      <c r="E7979" t="s">
        <v>316</v>
      </c>
      <c r="F7979">
        <v>4</v>
      </c>
      <c r="G7979">
        <v>2.0170333333333299</v>
      </c>
    </row>
    <row r="7980" spans="1:7" x14ac:dyDescent="0.35">
      <c r="A7980" t="s">
        <v>847</v>
      </c>
      <c r="B7980" t="s">
        <v>691</v>
      </c>
      <c r="C7980" s="83">
        <v>46101</v>
      </c>
      <c r="D7980" t="s">
        <v>317</v>
      </c>
      <c r="E7980" t="s">
        <v>322</v>
      </c>
      <c r="F7980">
        <v>5</v>
      </c>
      <c r="G7980">
        <v>3.7415833333333302</v>
      </c>
    </row>
    <row r="7981" spans="1:7" x14ac:dyDescent="0.35">
      <c r="A7981" t="s">
        <v>847</v>
      </c>
      <c r="B7981" t="s">
        <v>691</v>
      </c>
      <c r="C7981" s="83">
        <v>46101</v>
      </c>
      <c r="D7981" t="s">
        <v>317</v>
      </c>
      <c r="E7981" t="s">
        <v>315</v>
      </c>
      <c r="F7981">
        <v>2</v>
      </c>
      <c r="G7981">
        <v>0.1741</v>
      </c>
    </row>
    <row r="7982" spans="1:7" x14ac:dyDescent="0.35">
      <c r="A7982" t="s">
        <v>847</v>
      </c>
      <c r="B7982" t="s">
        <v>691</v>
      </c>
      <c r="C7982" s="83">
        <v>46101</v>
      </c>
      <c r="D7982" t="s">
        <v>317</v>
      </c>
      <c r="E7982" t="s">
        <v>319</v>
      </c>
      <c r="F7982">
        <v>2</v>
      </c>
      <c r="G7982">
        <v>0.59306666666666696</v>
      </c>
    </row>
    <row r="7983" spans="1:7" x14ac:dyDescent="0.35">
      <c r="A7983" t="s">
        <v>847</v>
      </c>
      <c r="B7983" t="s">
        <v>691</v>
      </c>
      <c r="C7983" s="83">
        <v>46102</v>
      </c>
      <c r="D7983" t="s">
        <v>295</v>
      </c>
      <c r="E7983" t="s">
        <v>296</v>
      </c>
      <c r="F7983">
        <v>34</v>
      </c>
      <c r="G7983">
        <v>32.442783333333303</v>
      </c>
    </row>
    <row r="7984" spans="1:7" x14ac:dyDescent="0.35">
      <c r="A7984" t="s">
        <v>847</v>
      </c>
      <c r="B7984" t="s">
        <v>691</v>
      </c>
      <c r="C7984" s="83">
        <v>46102</v>
      </c>
      <c r="D7984" t="s">
        <v>295</v>
      </c>
      <c r="E7984" t="s">
        <v>302</v>
      </c>
      <c r="F7984">
        <v>9</v>
      </c>
      <c r="G7984">
        <v>4.9202333333333304</v>
      </c>
    </row>
    <row r="7985" spans="1:7" x14ac:dyDescent="0.35">
      <c r="A7985" t="s">
        <v>847</v>
      </c>
      <c r="B7985" t="s">
        <v>691</v>
      </c>
      <c r="C7985" s="83">
        <v>46102</v>
      </c>
      <c r="D7985" t="s">
        <v>299</v>
      </c>
      <c r="E7985" t="s">
        <v>296</v>
      </c>
      <c r="F7985">
        <v>41</v>
      </c>
      <c r="G7985">
        <v>22.762499999999999</v>
      </c>
    </row>
    <row r="7986" spans="1:7" x14ac:dyDescent="0.35">
      <c r="A7986" t="s">
        <v>847</v>
      </c>
      <c r="B7986" t="s">
        <v>691</v>
      </c>
      <c r="C7986" s="83">
        <v>46102</v>
      </c>
      <c r="D7986" t="s">
        <v>301</v>
      </c>
      <c r="E7986" t="s">
        <v>302</v>
      </c>
      <c r="F7986">
        <v>8</v>
      </c>
      <c r="G7986">
        <v>3.5453999999999999</v>
      </c>
    </row>
    <row r="7987" spans="1:7" x14ac:dyDescent="0.35">
      <c r="A7987" t="s">
        <v>847</v>
      </c>
      <c r="B7987" t="s">
        <v>691</v>
      </c>
      <c r="C7987" s="83">
        <v>46102</v>
      </c>
      <c r="D7987" t="s">
        <v>303</v>
      </c>
      <c r="E7987" t="s">
        <v>302</v>
      </c>
      <c r="F7987">
        <v>40</v>
      </c>
      <c r="G7987">
        <v>21.0261</v>
      </c>
    </row>
    <row r="7988" spans="1:7" x14ac:dyDescent="0.35">
      <c r="A7988" t="s">
        <v>847</v>
      </c>
      <c r="B7988" t="s">
        <v>691</v>
      </c>
      <c r="C7988" s="83">
        <v>46102</v>
      </c>
      <c r="D7988" t="s">
        <v>310</v>
      </c>
      <c r="E7988" t="s">
        <v>126</v>
      </c>
      <c r="F7988">
        <v>5</v>
      </c>
      <c r="G7988">
        <v>3.5856666666666701</v>
      </c>
    </row>
    <row r="7989" spans="1:7" x14ac:dyDescent="0.35">
      <c r="A7989" t="s">
        <v>847</v>
      </c>
      <c r="B7989" t="s">
        <v>691</v>
      </c>
      <c r="C7989" s="83">
        <v>46102</v>
      </c>
      <c r="D7989" t="s">
        <v>310</v>
      </c>
      <c r="E7989" t="s">
        <v>347</v>
      </c>
      <c r="F7989">
        <v>4</v>
      </c>
      <c r="G7989">
        <v>1.5019</v>
      </c>
    </row>
    <row r="7990" spans="1:7" x14ac:dyDescent="0.35">
      <c r="A7990" t="s">
        <v>847</v>
      </c>
      <c r="B7990" t="s">
        <v>691</v>
      </c>
      <c r="C7990" s="83">
        <v>46102</v>
      </c>
      <c r="D7990" t="s">
        <v>310</v>
      </c>
      <c r="E7990" t="s">
        <v>338</v>
      </c>
      <c r="F7990">
        <v>3</v>
      </c>
      <c r="G7990">
        <v>1.9470499999999999</v>
      </c>
    </row>
    <row r="7991" spans="1:7" x14ac:dyDescent="0.35">
      <c r="A7991" t="s">
        <v>847</v>
      </c>
      <c r="B7991" t="s">
        <v>691</v>
      </c>
      <c r="C7991" s="83">
        <v>46102</v>
      </c>
      <c r="D7991" t="s">
        <v>313</v>
      </c>
      <c r="E7991" t="s">
        <v>311</v>
      </c>
      <c r="F7991">
        <v>15</v>
      </c>
      <c r="G7991">
        <v>22.935383333333299</v>
      </c>
    </row>
    <row r="7992" spans="1:7" x14ac:dyDescent="0.35">
      <c r="A7992" t="s">
        <v>847</v>
      </c>
      <c r="B7992" t="s">
        <v>691</v>
      </c>
      <c r="C7992" s="83">
        <v>46102</v>
      </c>
      <c r="D7992" t="s">
        <v>313</v>
      </c>
      <c r="E7992" t="s">
        <v>827</v>
      </c>
      <c r="F7992">
        <v>5</v>
      </c>
      <c r="G7992">
        <v>12.49465</v>
      </c>
    </row>
    <row r="7993" spans="1:7" x14ac:dyDescent="0.35">
      <c r="A7993" t="s">
        <v>847</v>
      </c>
      <c r="B7993" t="s">
        <v>691</v>
      </c>
      <c r="C7993" s="83">
        <v>46102</v>
      </c>
      <c r="D7993" t="s">
        <v>313</v>
      </c>
      <c r="E7993" t="s">
        <v>126</v>
      </c>
      <c r="F7993">
        <v>5</v>
      </c>
      <c r="G7993">
        <v>8.1448833333333308</v>
      </c>
    </row>
    <row r="7994" spans="1:7" x14ac:dyDescent="0.35">
      <c r="A7994" t="s">
        <v>847</v>
      </c>
      <c r="B7994" t="s">
        <v>691</v>
      </c>
      <c r="C7994" s="83">
        <v>46102</v>
      </c>
      <c r="D7994" t="s">
        <v>314</v>
      </c>
      <c r="E7994" t="s">
        <v>830</v>
      </c>
      <c r="F7994">
        <v>3</v>
      </c>
      <c r="G7994">
        <v>1.2744166666666701</v>
      </c>
    </row>
    <row r="7995" spans="1:7" x14ac:dyDescent="0.35">
      <c r="A7995" t="s">
        <v>847</v>
      </c>
      <c r="B7995" t="s">
        <v>691</v>
      </c>
      <c r="C7995" s="83">
        <v>46102</v>
      </c>
      <c r="D7995" t="s">
        <v>314</v>
      </c>
      <c r="E7995" t="s">
        <v>311</v>
      </c>
      <c r="F7995">
        <v>3</v>
      </c>
      <c r="G7995">
        <v>66.631966666666699</v>
      </c>
    </row>
    <row r="7996" spans="1:7" x14ac:dyDescent="0.35">
      <c r="A7996" t="s">
        <v>847</v>
      </c>
      <c r="B7996" t="s">
        <v>691</v>
      </c>
      <c r="C7996" s="83">
        <v>46102</v>
      </c>
      <c r="D7996" t="s">
        <v>314</v>
      </c>
      <c r="E7996" t="s">
        <v>316</v>
      </c>
      <c r="F7996">
        <v>2</v>
      </c>
      <c r="G7996">
        <v>1.3560333333333301</v>
      </c>
    </row>
    <row r="7997" spans="1:7" x14ac:dyDescent="0.35">
      <c r="A7997" t="s">
        <v>847</v>
      </c>
      <c r="B7997" t="s">
        <v>691</v>
      </c>
      <c r="C7997" s="83">
        <v>46102</v>
      </c>
      <c r="D7997" t="s">
        <v>317</v>
      </c>
      <c r="E7997" t="s">
        <v>319</v>
      </c>
      <c r="F7997">
        <v>2</v>
      </c>
      <c r="G7997">
        <v>0.28849999999999998</v>
      </c>
    </row>
    <row r="7998" spans="1:7" x14ac:dyDescent="0.35">
      <c r="A7998" t="s">
        <v>847</v>
      </c>
      <c r="B7998" t="s">
        <v>691</v>
      </c>
      <c r="C7998" s="83">
        <v>46102</v>
      </c>
      <c r="D7998" t="s">
        <v>317</v>
      </c>
      <c r="E7998" t="s">
        <v>322</v>
      </c>
      <c r="F7998">
        <v>2</v>
      </c>
      <c r="G7998">
        <v>0.77975000000000005</v>
      </c>
    </row>
    <row r="7999" spans="1:7" x14ac:dyDescent="0.35">
      <c r="A7999" t="s">
        <v>847</v>
      </c>
      <c r="B7999" t="s">
        <v>691</v>
      </c>
      <c r="C7999" s="83">
        <v>46103</v>
      </c>
      <c r="D7999" t="s">
        <v>295</v>
      </c>
      <c r="E7999" t="s">
        <v>296</v>
      </c>
      <c r="F7999">
        <v>31</v>
      </c>
      <c r="G7999">
        <v>17.49485</v>
      </c>
    </row>
    <row r="8000" spans="1:7" x14ac:dyDescent="0.35">
      <c r="A8000" t="s">
        <v>847</v>
      </c>
      <c r="B8000" t="s">
        <v>691</v>
      </c>
      <c r="C8000" s="83">
        <v>46103</v>
      </c>
      <c r="D8000" t="s">
        <v>295</v>
      </c>
      <c r="E8000" t="s">
        <v>302</v>
      </c>
      <c r="F8000">
        <v>23</v>
      </c>
      <c r="G8000">
        <v>23.521000000000001</v>
      </c>
    </row>
    <row r="8001" spans="1:7" x14ac:dyDescent="0.35">
      <c r="A8001" t="s">
        <v>847</v>
      </c>
      <c r="B8001" t="s">
        <v>691</v>
      </c>
      <c r="C8001" s="83">
        <v>46103</v>
      </c>
      <c r="D8001" t="s">
        <v>299</v>
      </c>
      <c r="E8001" t="s">
        <v>296</v>
      </c>
      <c r="F8001">
        <v>27</v>
      </c>
      <c r="G8001">
        <v>12.260300000000001</v>
      </c>
    </row>
    <row r="8002" spans="1:7" x14ac:dyDescent="0.35">
      <c r="A8002" t="s">
        <v>847</v>
      </c>
      <c r="B8002" t="s">
        <v>691</v>
      </c>
      <c r="C8002" s="83">
        <v>46103</v>
      </c>
      <c r="D8002" t="s">
        <v>303</v>
      </c>
      <c r="E8002" t="s">
        <v>302</v>
      </c>
      <c r="F8002">
        <v>41</v>
      </c>
      <c r="G8002">
        <v>17.8766</v>
      </c>
    </row>
    <row r="8003" spans="1:7" x14ac:dyDescent="0.35">
      <c r="A8003" t="s">
        <v>847</v>
      </c>
      <c r="B8003" t="s">
        <v>691</v>
      </c>
      <c r="C8003" s="83">
        <v>46103</v>
      </c>
      <c r="D8003" t="s">
        <v>310</v>
      </c>
      <c r="E8003" t="s">
        <v>126</v>
      </c>
      <c r="F8003">
        <v>7</v>
      </c>
      <c r="G8003">
        <v>3.4813666666666698</v>
      </c>
    </row>
    <row r="8004" spans="1:7" x14ac:dyDescent="0.35">
      <c r="A8004" t="s">
        <v>847</v>
      </c>
      <c r="B8004" t="s">
        <v>691</v>
      </c>
      <c r="C8004" s="83">
        <v>46103</v>
      </c>
      <c r="D8004" t="s">
        <v>310</v>
      </c>
      <c r="E8004" t="s">
        <v>333</v>
      </c>
      <c r="F8004">
        <v>5</v>
      </c>
      <c r="G8004">
        <v>3.12516666666667</v>
      </c>
    </row>
    <row r="8005" spans="1:7" x14ac:dyDescent="0.35">
      <c r="A8005" t="s">
        <v>847</v>
      </c>
      <c r="B8005" t="s">
        <v>691</v>
      </c>
      <c r="C8005" s="83">
        <v>46103</v>
      </c>
      <c r="D8005" t="s">
        <v>310</v>
      </c>
      <c r="E8005" t="s">
        <v>657</v>
      </c>
      <c r="F8005">
        <v>3</v>
      </c>
      <c r="G8005">
        <v>1.65346666666667</v>
      </c>
    </row>
    <row r="8006" spans="1:7" x14ac:dyDescent="0.35">
      <c r="A8006" t="s">
        <v>847</v>
      </c>
      <c r="B8006" t="s">
        <v>691</v>
      </c>
      <c r="C8006" s="83">
        <v>46103</v>
      </c>
      <c r="D8006" t="s">
        <v>313</v>
      </c>
      <c r="E8006" t="s">
        <v>311</v>
      </c>
      <c r="F8006">
        <v>91</v>
      </c>
      <c r="G8006">
        <v>108.089316666667</v>
      </c>
    </row>
    <row r="8007" spans="1:7" x14ac:dyDescent="0.35">
      <c r="A8007" t="s">
        <v>847</v>
      </c>
      <c r="B8007" t="s">
        <v>691</v>
      </c>
      <c r="C8007" s="83">
        <v>46103</v>
      </c>
      <c r="D8007" t="s">
        <v>313</v>
      </c>
      <c r="E8007" t="s">
        <v>126</v>
      </c>
      <c r="F8007">
        <v>14</v>
      </c>
      <c r="G8007">
        <v>48.019849999999998</v>
      </c>
    </row>
    <row r="8008" spans="1:7" x14ac:dyDescent="0.35">
      <c r="A8008" t="s">
        <v>847</v>
      </c>
      <c r="B8008" t="s">
        <v>691</v>
      </c>
      <c r="C8008" s="83">
        <v>46103</v>
      </c>
      <c r="D8008" t="s">
        <v>313</v>
      </c>
      <c r="E8008" t="s">
        <v>312</v>
      </c>
      <c r="F8008">
        <v>4</v>
      </c>
      <c r="G8008">
        <v>1.44343333333333</v>
      </c>
    </row>
    <row r="8009" spans="1:7" x14ac:dyDescent="0.35">
      <c r="A8009" t="s">
        <v>847</v>
      </c>
      <c r="B8009" t="s">
        <v>691</v>
      </c>
      <c r="C8009" s="83">
        <v>46103</v>
      </c>
      <c r="D8009" t="s">
        <v>314</v>
      </c>
      <c r="E8009" t="s">
        <v>126</v>
      </c>
      <c r="F8009">
        <v>14</v>
      </c>
      <c r="G8009">
        <v>39.988250000000001</v>
      </c>
    </row>
    <row r="8010" spans="1:7" x14ac:dyDescent="0.35">
      <c r="A8010" t="s">
        <v>847</v>
      </c>
      <c r="B8010" t="s">
        <v>691</v>
      </c>
      <c r="C8010" s="83">
        <v>46103</v>
      </c>
      <c r="D8010" t="s">
        <v>314</v>
      </c>
      <c r="E8010" t="s">
        <v>348</v>
      </c>
      <c r="F8010">
        <v>4</v>
      </c>
      <c r="G8010">
        <v>3.0648166666666699</v>
      </c>
    </row>
    <row r="8011" spans="1:7" x14ac:dyDescent="0.35">
      <c r="A8011" t="s">
        <v>847</v>
      </c>
      <c r="B8011" t="s">
        <v>691</v>
      </c>
      <c r="C8011" s="83">
        <v>46103</v>
      </c>
      <c r="D8011" t="s">
        <v>314</v>
      </c>
      <c r="E8011" t="s">
        <v>316</v>
      </c>
      <c r="F8011">
        <v>3</v>
      </c>
      <c r="G8011">
        <v>1.1525333333333301</v>
      </c>
    </row>
    <row r="8012" spans="1:7" x14ac:dyDescent="0.35">
      <c r="A8012" t="s">
        <v>847</v>
      </c>
      <c r="B8012" t="s">
        <v>691</v>
      </c>
      <c r="C8012" s="83">
        <v>46103</v>
      </c>
      <c r="D8012" t="s">
        <v>317</v>
      </c>
      <c r="E8012" t="s">
        <v>323</v>
      </c>
      <c r="F8012">
        <v>2</v>
      </c>
      <c r="G8012">
        <v>0.127</v>
      </c>
    </row>
    <row r="8013" spans="1:7" x14ac:dyDescent="0.35">
      <c r="A8013" t="s">
        <v>847</v>
      </c>
      <c r="B8013" t="s">
        <v>691</v>
      </c>
      <c r="C8013" s="83">
        <v>46104</v>
      </c>
      <c r="D8013" t="s">
        <v>295</v>
      </c>
      <c r="E8013" t="s">
        <v>296</v>
      </c>
      <c r="F8013">
        <v>51</v>
      </c>
      <c r="G8013">
        <v>19.573716666666702</v>
      </c>
    </row>
    <row r="8014" spans="1:7" x14ac:dyDescent="0.35">
      <c r="A8014" t="s">
        <v>847</v>
      </c>
      <c r="B8014" t="s">
        <v>691</v>
      </c>
      <c r="C8014" s="83">
        <v>46104</v>
      </c>
      <c r="D8014" t="s">
        <v>295</v>
      </c>
      <c r="E8014" t="s">
        <v>637</v>
      </c>
      <c r="F8014">
        <v>26</v>
      </c>
      <c r="G8014">
        <v>41.040333333333301</v>
      </c>
    </row>
    <row r="8015" spans="1:7" x14ac:dyDescent="0.35">
      <c r="A8015" t="s">
        <v>847</v>
      </c>
      <c r="B8015" t="s">
        <v>691</v>
      </c>
      <c r="C8015" s="83">
        <v>46104</v>
      </c>
      <c r="D8015" t="s">
        <v>295</v>
      </c>
      <c r="E8015" t="s">
        <v>302</v>
      </c>
      <c r="F8015">
        <v>21</v>
      </c>
      <c r="G8015">
        <v>9.7012166666666708</v>
      </c>
    </row>
    <row r="8016" spans="1:7" x14ac:dyDescent="0.35">
      <c r="A8016" t="s">
        <v>847</v>
      </c>
      <c r="B8016" t="s">
        <v>694</v>
      </c>
      <c r="C8016" s="83"/>
      <c r="F8016">
        <v>142086</v>
      </c>
      <c r="G8016">
        <v>214923.184333982</v>
      </c>
    </row>
    <row r="8017" spans="1:7" x14ac:dyDescent="0.35">
      <c r="A8017" t="s">
        <v>847</v>
      </c>
      <c r="B8017" t="s">
        <v>691</v>
      </c>
      <c r="C8017" s="83">
        <v>46104</v>
      </c>
      <c r="D8017" t="s">
        <v>299</v>
      </c>
      <c r="E8017" t="s">
        <v>296</v>
      </c>
      <c r="F8017">
        <v>44</v>
      </c>
      <c r="G8017">
        <v>20.8839166666667</v>
      </c>
    </row>
    <row r="8018" spans="1:7" x14ac:dyDescent="0.35">
      <c r="A8018" t="s">
        <v>847</v>
      </c>
      <c r="B8018" t="s">
        <v>691</v>
      </c>
      <c r="C8018" s="83">
        <v>46104</v>
      </c>
      <c r="D8018" t="s">
        <v>299</v>
      </c>
      <c r="E8018" t="s">
        <v>828</v>
      </c>
      <c r="F8018">
        <v>12</v>
      </c>
      <c r="G8018">
        <v>6.7369833333333302</v>
      </c>
    </row>
    <row r="8019" spans="1:7" x14ac:dyDescent="0.35">
      <c r="A8019" t="s">
        <v>847</v>
      </c>
      <c r="B8019" t="s">
        <v>691</v>
      </c>
      <c r="C8019" s="83">
        <v>46104</v>
      </c>
      <c r="D8019" t="s">
        <v>303</v>
      </c>
      <c r="E8019" t="s">
        <v>302</v>
      </c>
      <c r="F8019">
        <v>29</v>
      </c>
      <c r="G8019">
        <v>25.355983333333299</v>
      </c>
    </row>
    <row r="8020" spans="1:7" x14ac:dyDescent="0.35">
      <c r="A8020" t="s">
        <v>847</v>
      </c>
      <c r="B8020" t="s">
        <v>691</v>
      </c>
      <c r="C8020" s="83">
        <v>46104</v>
      </c>
      <c r="D8020" t="s">
        <v>310</v>
      </c>
      <c r="E8020" t="s">
        <v>333</v>
      </c>
      <c r="F8020">
        <v>5</v>
      </c>
      <c r="G8020">
        <v>700.60145</v>
      </c>
    </row>
    <row r="8021" spans="1:7" x14ac:dyDescent="0.35">
      <c r="A8021" t="s">
        <v>847</v>
      </c>
      <c r="B8021" t="s">
        <v>691</v>
      </c>
      <c r="C8021" s="83">
        <v>46104</v>
      </c>
      <c r="D8021" t="s">
        <v>310</v>
      </c>
      <c r="E8021" t="s">
        <v>311</v>
      </c>
      <c r="F8021">
        <v>2</v>
      </c>
      <c r="G8021">
        <v>0.36409999999999998</v>
      </c>
    </row>
    <row r="8022" spans="1:7" x14ac:dyDescent="0.35">
      <c r="A8022" t="s">
        <v>847</v>
      </c>
      <c r="B8022" t="s">
        <v>691</v>
      </c>
      <c r="C8022" s="83">
        <v>46104</v>
      </c>
      <c r="D8022" t="s">
        <v>310</v>
      </c>
      <c r="E8022" t="s">
        <v>316</v>
      </c>
      <c r="F8022">
        <v>2</v>
      </c>
      <c r="G8022">
        <v>5.9400000000000001E-2</v>
      </c>
    </row>
    <row r="8023" spans="1:7" x14ac:dyDescent="0.35">
      <c r="A8023" t="s">
        <v>847</v>
      </c>
      <c r="B8023" t="s">
        <v>691</v>
      </c>
      <c r="C8023" s="83">
        <v>46104</v>
      </c>
      <c r="D8023" t="s">
        <v>313</v>
      </c>
      <c r="E8023" t="s">
        <v>126</v>
      </c>
      <c r="F8023">
        <v>5</v>
      </c>
      <c r="G8023">
        <v>6.81626666666667</v>
      </c>
    </row>
    <row r="8024" spans="1:7" x14ac:dyDescent="0.35">
      <c r="A8024" t="s">
        <v>847</v>
      </c>
      <c r="B8024" t="s">
        <v>691</v>
      </c>
      <c r="C8024" s="83">
        <v>46104</v>
      </c>
      <c r="D8024" t="s">
        <v>313</v>
      </c>
      <c r="E8024" t="s">
        <v>311</v>
      </c>
      <c r="F8024">
        <v>3</v>
      </c>
      <c r="G8024">
        <v>1.67923333333333</v>
      </c>
    </row>
    <row r="8025" spans="1:7" x14ac:dyDescent="0.35">
      <c r="A8025" t="s">
        <v>847</v>
      </c>
      <c r="B8025" t="s">
        <v>691</v>
      </c>
      <c r="C8025" s="83">
        <v>46104</v>
      </c>
      <c r="D8025" t="s">
        <v>313</v>
      </c>
      <c r="E8025" t="s">
        <v>322</v>
      </c>
      <c r="F8025">
        <v>2</v>
      </c>
      <c r="G8025">
        <v>1.5587833333333301</v>
      </c>
    </row>
    <row r="8026" spans="1:7" x14ac:dyDescent="0.35">
      <c r="A8026" t="s">
        <v>847</v>
      </c>
      <c r="B8026" t="s">
        <v>691</v>
      </c>
      <c r="C8026" s="83">
        <v>46104</v>
      </c>
      <c r="D8026" t="s">
        <v>314</v>
      </c>
      <c r="E8026" t="s">
        <v>316</v>
      </c>
      <c r="F8026">
        <v>2</v>
      </c>
      <c r="G8026">
        <v>0.41388333333333299</v>
      </c>
    </row>
    <row r="8027" spans="1:7" x14ac:dyDescent="0.35">
      <c r="A8027" t="s">
        <v>847</v>
      </c>
      <c r="B8027" t="s">
        <v>691</v>
      </c>
      <c r="C8027" s="83">
        <v>46104</v>
      </c>
      <c r="D8027" t="s">
        <v>314</v>
      </c>
      <c r="E8027" t="s">
        <v>338</v>
      </c>
      <c r="F8027">
        <v>2</v>
      </c>
      <c r="G8027">
        <v>0.93306666666666704</v>
      </c>
    </row>
    <row r="8028" spans="1:7" x14ac:dyDescent="0.35">
      <c r="A8028" t="s">
        <v>847</v>
      </c>
      <c r="B8028" t="s">
        <v>691</v>
      </c>
      <c r="C8028" s="83">
        <v>46104</v>
      </c>
      <c r="D8028" t="s">
        <v>314</v>
      </c>
      <c r="E8028" t="s">
        <v>311</v>
      </c>
      <c r="F8028">
        <v>1</v>
      </c>
      <c r="G8028">
        <v>0.75496666666666701</v>
      </c>
    </row>
    <row r="8029" spans="1:7" x14ac:dyDescent="0.35">
      <c r="A8029" t="s">
        <v>847</v>
      </c>
      <c r="B8029" t="s">
        <v>691</v>
      </c>
      <c r="C8029" s="83">
        <v>46105</v>
      </c>
      <c r="D8029" t="s">
        <v>295</v>
      </c>
      <c r="E8029" t="s">
        <v>296</v>
      </c>
      <c r="F8029">
        <v>36</v>
      </c>
      <c r="G8029">
        <v>19.883366666666699</v>
      </c>
    </row>
    <row r="8030" spans="1:7" x14ac:dyDescent="0.35">
      <c r="A8030" t="s">
        <v>847</v>
      </c>
      <c r="B8030" t="s">
        <v>691</v>
      </c>
      <c r="C8030" s="83">
        <v>46105</v>
      </c>
      <c r="D8030" t="s">
        <v>295</v>
      </c>
      <c r="E8030" t="s">
        <v>637</v>
      </c>
      <c r="F8030">
        <v>26</v>
      </c>
      <c r="G8030">
        <v>11.751466666666699</v>
      </c>
    </row>
    <row r="8031" spans="1:7" x14ac:dyDescent="0.35">
      <c r="A8031" t="s">
        <v>847</v>
      </c>
      <c r="B8031" t="s">
        <v>691</v>
      </c>
      <c r="C8031" s="83">
        <v>46105</v>
      </c>
      <c r="D8031" t="s">
        <v>295</v>
      </c>
      <c r="E8031" t="s">
        <v>302</v>
      </c>
      <c r="F8031">
        <v>11</v>
      </c>
      <c r="G8031">
        <v>8.5081333333333298</v>
      </c>
    </row>
    <row r="8032" spans="1:7" x14ac:dyDescent="0.35">
      <c r="A8032" t="s">
        <v>847</v>
      </c>
      <c r="B8032" t="s">
        <v>691</v>
      </c>
      <c r="C8032" s="83">
        <v>46105</v>
      </c>
      <c r="D8032" t="s">
        <v>299</v>
      </c>
      <c r="E8032" t="s">
        <v>296</v>
      </c>
      <c r="F8032">
        <v>18</v>
      </c>
      <c r="G8032">
        <v>12.49905</v>
      </c>
    </row>
    <row r="8033" spans="1:7" x14ac:dyDescent="0.35">
      <c r="A8033" t="s">
        <v>847</v>
      </c>
      <c r="B8033" t="s">
        <v>691</v>
      </c>
      <c r="C8033" s="83">
        <v>46105</v>
      </c>
      <c r="D8033" t="s">
        <v>303</v>
      </c>
      <c r="E8033" t="s">
        <v>302</v>
      </c>
      <c r="F8033">
        <v>17</v>
      </c>
      <c r="G8033">
        <v>7.2701333333333302</v>
      </c>
    </row>
    <row r="8034" spans="1:7" x14ac:dyDescent="0.35">
      <c r="A8034" t="s">
        <v>847</v>
      </c>
      <c r="B8034" t="s">
        <v>691</v>
      </c>
      <c r="C8034" s="83">
        <v>46105</v>
      </c>
      <c r="D8034" t="s">
        <v>310</v>
      </c>
      <c r="E8034" t="s">
        <v>333</v>
      </c>
      <c r="F8034">
        <v>1</v>
      </c>
      <c r="G8034">
        <v>1001.07243333333</v>
      </c>
    </row>
    <row r="8035" spans="1:7" x14ac:dyDescent="0.35">
      <c r="A8035" t="s">
        <v>847</v>
      </c>
      <c r="B8035" t="s">
        <v>691</v>
      </c>
      <c r="C8035" s="83">
        <v>46105</v>
      </c>
      <c r="D8035" t="s">
        <v>310</v>
      </c>
      <c r="E8035" t="s">
        <v>826</v>
      </c>
      <c r="F8035">
        <v>1</v>
      </c>
      <c r="G8035">
        <v>6.25685</v>
      </c>
    </row>
    <row r="8036" spans="1:7" x14ac:dyDescent="0.35">
      <c r="A8036" t="s">
        <v>847</v>
      </c>
      <c r="B8036" t="s">
        <v>691</v>
      </c>
      <c r="C8036" s="83">
        <v>46105</v>
      </c>
      <c r="D8036" t="s">
        <v>313</v>
      </c>
      <c r="E8036" t="s">
        <v>311</v>
      </c>
      <c r="F8036">
        <v>2</v>
      </c>
      <c r="G8036">
        <v>14.809950000000001</v>
      </c>
    </row>
    <row r="8037" spans="1:7" x14ac:dyDescent="0.35">
      <c r="A8037" t="s">
        <v>847</v>
      </c>
      <c r="B8037" t="s">
        <v>691</v>
      </c>
      <c r="C8037" s="83">
        <v>46105</v>
      </c>
      <c r="D8037" t="s">
        <v>314</v>
      </c>
      <c r="E8037" t="s">
        <v>323</v>
      </c>
      <c r="F8037">
        <v>2</v>
      </c>
      <c r="G8037">
        <v>34.401133333333298</v>
      </c>
    </row>
    <row r="8038" spans="1:7" x14ac:dyDescent="0.35">
      <c r="A8038" t="s">
        <v>847</v>
      </c>
      <c r="B8038" t="s">
        <v>691</v>
      </c>
      <c r="C8038" s="83">
        <v>46105</v>
      </c>
      <c r="D8038" t="s">
        <v>314</v>
      </c>
      <c r="E8038" t="s">
        <v>825</v>
      </c>
      <c r="F8038">
        <v>1</v>
      </c>
      <c r="G8038">
        <v>0.16084999999999999</v>
      </c>
    </row>
    <row r="8039" spans="1:7" x14ac:dyDescent="0.35">
      <c r="A8039" t="s">
        <v>847</v>
      </c>
      <c r="B8039" t="s">
        <v>691</v>
      </c>
      <c r="C8039" s="83">
        <v>46105</v>
      </c>
      <c r="D8039" t="s">
        <v>314</v>
      </c>
      <c r="E8039" t="s">
        <v>311</v>
      </c>
      <c r="F8039">
        <v>1</v>
      </c>
      <c r="G8039">
        <v>0.66058333333333297</v>
      </c>
    </row>
    <row r="8040" spans="1:7" x14ac:dyDescent="0.35">
      <c r="A8040" t="s">
        <v>847</v>
      </c>
      <c r="B8040" t="s">
        <v>691</v>
      </c>
      <c r="C8040" s="83">
        <v>46106</v>
      </c>
      <c r="D8040" t="s">
        <v>295</v>
      </c>
      <c r="E8040" t="s">
        <v>296</v>
      </c>
      <c r="F8040">
        <v>17</v>
      </c>
      <c r="G8040">
        <v>9.2018000000000004</v>
      </c>
    </row>
    <row r="8041" spans="1:7" x14ac:dyDescent="0.35">
      <c r="A8041" t="s">
        <v>847</v>
      </c>
      <c r="B8041" t="s">
        <v>691</v>
      </c>
      <c r="C8041" s="83">
        <v>46106</v>
      </c>
      <c r="D8041" t="s">
        <v>295</v>
      </c>
      <c r="E8041" t="s">
        <v>302</v>
      </c>
      <c r="F8041">
        <v>16</v>
      </c>
      <c r="G8041">
        <v>5.96146666666667</v>
      </c>
    </row>
    <row r="8042" spans="1:7" x14ac:dyDescent="0.35">
      <c r="A8042" t="s">
        <v>847</v>
      </c>
      <c r="B8042" t="s">
        <v>691</v>
      </c>
      <c r="C8042" s="83">
        <v>46106</v>
      </c>
      <c r="D8042" t="s">
        <v>299</v>
      </c>
      <c r="E8042" t="s">
        <v>296</v>
      </c>
      <c r="F8042">
        <v>91</v>
      </c>
      <c r="G8042">
        <v>55.130533333333297</v>
      </c>
    </row>
    <row r="8043" spans="1:7" x14ac:dyDescent="0.35">
      <c r="A8043" t="s">
        <v>847</v>
      </c>
      <c r="B8043" t="s">
        <v>691</v>
      </c>
      <c r="C8043" s="83">
        <v>46106</v>
      </c>
      <c r="D8043" t="s">
        <v>303</v>
      </c>
      <c r="E8043" t="s">
        <v>302</v>
      </c>
      <c r="F8043">
        <v>19</v>
      </c>
      <c r="G8043">
        <v>13.6634333333333</v>
      </c>
    </row>
    <row r="8044" spans="1:7" x14ac:dyDescent="0.35">
      <c r="A8044" t="s">
        <v>847</v>
      </c>
      <c r="B8044" t="s">
        <v>691</v>
      </c>
      <c r="C8044" s="83">
        <v>46106</v>
      </c>
      <c r="D8044" t="s">
        <v>309</v>
      </c>
      <c r="E8044" t="s">
        <v>344</v>
      </c>
      <c r="F8044">
        <v>16</v>
      </c>
      <c r="G8044">
        <v>9.1217333333333297</v>
      </c>
    </row>
    <row r="8045" spans="1:7" x14ac:dyDescent="0.35">
      <c r="A8045" t="s">
        <v>847</v>
      </c>
      <c r="B8045" t="s">
        <v>691</v>
      </c>
      <c r="C8045" s="83">
        <v>46106</v>
      </c>
      <c r="D8045" t="s">
        <v>310</v>
      </c>
      <c r="E8045" t="s">
        <v>126</v>
      </c>
      <c r="F8045">
        <v>14</v>
      </c>
      <c r="G8045">
        <v>11.4249833333333</v>
      </c>
    </row>
    <row r="8046" spans="1:7" x14ac:dyDescent="0.35">
      <c r="A8046" t="s">
        <v>847</v>
      </c>
      <c r="B8046" t="s">
        <v>691</v>
      </c>
      <c r="C8046" s="83">
        <v>46106</v>
      </c>
      <c r="D8046" t="s">
        <v>310</v>
      </c>
      <c r="E8046" t="s">
        <v>312</v>
      </c>
      <c r="F8046">
        <v>5</v>
      </c>
      <c r="G8046">
        <v>4.4020333333333301</v>
      </c>
    </row>
    <row r="8047" spans="1:7" x14ac:dyDescent="0.35">
      <c r="A8047" t="s">
        <v>847</v>
      </c>
      <c r="B8047" t="s">
        <v>691</v>
      </c>
      <c r="C8047" s="83">
        <v>46106</v>
      </c>
      <c r="D8047" t="s">
        <v>310</v>
      </c>
      <c r="E8047" t="s">
        <v>316</v>
      </c>
      <c r="F8047">
        <v>5</v>
      </c>
      <c r="G8047">
        <v>4.23966666666667</v>
      </c>
    </row>
    <row r="8048" spans="1:7" x14ac:dyDescent="0.35">
      <c r="A8048" t="s">
        <v>847</v>
      </c>
      <c r="B8048" t="s">
        <v>691</v>
      </c>
      <c r="C8048" s="83">
        <v>46106</v>
      </c>
      <c r="D8048" t="s">
        <v>313</v>
      </c>
      <c r="E8048" t="s">
        <v>347</v>
      </c>
      <c r="F8048">
        <v>4</v>
      </c>
      <c r="G8048">
        <v>2.14215</v>
      </c>
    </row>
    <row r="8049" spans="1:7" x14ac:dyDescent="0.35">
      <c r="A8049" t="s">
        <v>847</v>
      </c>
      <c r="B8049" t="s">
        <v>691</v>
      </c>
      <c r="C8049" s="83">
        <v>46106</v>
      </c>
      <c r="D8049" t="s">
        <v>313</v>
      </c>
      <c r="E8049" t="s">
        <v>323</v>
      </c>
      <c r="F8049">
        <v>3</v>
      </c>
      <c r="G8049">
        <v>1.07521666666667</v>
      </c>
    </row>
    <row r="8050" spans="1:7" x14ac:dyDescent="0.35">
      <c r="A8050" t="s">
        <v>847</v>
      </c>
      <c r="B8050" t="s">
        <v>691</v>
      </c>
      <c r="C8050" s="83">
        <v>46106</v>
      </c>
      <c r="D8050" t="s">
        <v>313</v>
      </c>
      <c r="E8050" t="s">
        <v>316</v>
      </c>
      <c r="F8050">
        <v>2</v>
      </c>
      <c r="G8050">
        <v>0.49321666666666703</v>
      </c>
    </row>
    <row r="8051" spans="1:7" x14ac:dyDescent="0.35">
      <c r="A8051" t="s">
        <v>847</v>
      </c>
      <c r="B8051" t="s">
        <v>691</v>
      </c>
      <c r="C8051" s="83">
        <v>46106</v>
      </c>
      <c r="D8051" t="s">
        <v>314</v>
      </c>
      <c r="E8051" t="s">
        <v>126</v>
      </c>
      <c r="F8051">
        <v>12</v>
      </c>
      <c r="G8051">
        <v>76.583433333333303</v>
      </c>
    </row>
    <row r="8052" spans="1:7" x14ac:dyDescent="0.35">
      <c r="A8052" t="s">
        <v>847</v>
      </c>
      <c r="B8052" t="s">
        <v>691</v>
      </c>
      <c r="C8052" s="83">
        <v>46106</v>
      </c>
      <c r="D8052" t="s">
        <v>314</v>
      </c>
      <c r="E8052" t="s">
        <v>830</v>
      </c>
      <c r="F8052">
        <v>9</v>
      </c>
      <c r="G8052">
        <v>16.6432</v>
      </c>
    </row>
    <row r="8053" spans="1:7" x14ac:dyDescent="0.35">
      <c r="A8053" t="s">
        <v>847</v>
      </c>
      <c r="B8053" t="s">
        <v>691</v>
      </c>
      <c r="C8053" s="83">
        <v>46106</v>
      </c>
      <c r="D8053" t="s">
        <v>314</v>
      </c>
      <c r="E8053" t="s">
        <v>312</v>
      </c>
      <c r="F8053">
        <v>8</v>
      </c>
      <c r="G8053">
        <v>8.6144999999999996</v>
      </c>
    </row>
    <row r="8054" spans="1:7" x14ac:dyDescent="0.35">
      <c r="A8054" t="s">
        <v>847</v>
      </c>
      <c r="B8054" t="s">
        <v>691</v>
      </c>
      <c r="C8054" s="83">
        <v>46106</v>
      </c>
      <c r="D8054" t="s">
        <v>317</v>
      </c>
      <c r="E8054" t="s">
        <v>339</v>
      </c>
      <c r="F8054">
        <v>2</v>
      </c>
      <c r="G8054">
        <v>0.81226666666666703</v>
      </c>
    </row>
    <row r="8055" spans="1:7" x14ac:dyDescent="0.35">
      <c r="A8055" t="s">
        <v>847</v>
      </c>
      <c r="B8055" t="s">
        <v>691</v>
      </c>
      <c r="C8055" s="83">
        <v>46107</v>
      </c>
      <c r="D8055" t="s">
        <v>295</v>
      </c>
      <c r="E8055" t="s">
        <v>296</v>
      </c>
      <c r="F8055">
        <v>22</v>
      </c>
      <c r="G8055">
        <v>13.0959166666667</v>
      </c>
    </row>
    <row r="8056" spans="1:7" x14ac:dyDescent="0.35">
      <c r="A8056" t="s">
        <v>847</v>
      </c>
      <c r="B8056" t="s">
        <v>691</v>
      </c>
      <c r="C8056" s="83">
        <v>46107</v>
      </c>
      <c r="D8056" t="s">
        <v>295</v>
      </c>
      <c r="E8056" t="s">
        <v>302</v>
      </c>
      <c r="F8056">
        <v>15</v>
      </c>
      <c r="G8056">
        <v>4.82311666666667</v>
      </c>
    </row>
    <row r="8057" spans="1:7" x14ac:dyDescent="0.35">
      <c r="A8057" t="s">
        <v>847</v>
      </c>
      <c r="B8057" t="s">
        <v>691</v>
      </c>
      <c r="C8057" s="83">
        <v>46107</v>
      </c>
      <c r="D8057" t="s">
        <v>299</v>
      </c>
      <c r="E8057" t="s">
        <v>296</v>
      </c>
      <c r="F8057">
        <v>81</v>
      </c>
      <c r="G8057">
        <v>38.752800000000001</v>
      </c>
    </row>
    <row r="8058" spans="1:7" x14ac:dyDescent="0.35">
      <c r="A8058" t="s">
        <v>847</v>
      </c>
      <c r="B8058" t="s">
        <v>691</v>
      </c>
      <c r="C8058" s="83">
        <v>46107</v>
      </c>
      <c r="D8058" t="s">
        <v>303</v>
      </c>
      <c r="E8058" t="s">
        <v>302</v>
      </c>
      <c r="F8058">
        <v>47</v>
      </c>
      <c r="G8058">
        <v>19.683516666666701</v>
      </c>
    </row>
    <row r="8059" spans="1:7" x14ac:dyDescent="0.35">
      <c r="A8059" t="s">
        <v>847</v>
      </c>
      <c r="B8059" t="s">
        <v>691</v>
      </c>
      <c r="C8059" s="83">
        <v>46107</v>
      </c>
      <c r="D8059" t="s">
        <v>309</v>
      </c>
      <c r="E8059" t="s">
        <v>344</v>
      </c>
      <c r="F8059">
        <v>21</v>
      </c>
      <c r="G8059">
        <v>8.6822333333333308</v>
      </c>
    </row>
    <row r="8060" spans="1:7" x14ac:dyDescent="0.35">
      <c r="A8060" t="s">
        <v>847</v>
      </c>
      <c r="B8060" t="s">
        <v>691</v>
      </c>
      <c r="C8060" s="83">
        <v>46107</v>
      </c>
      <c r="D8060" t="s">
        <v>310</v>
      </c>
      <c r="E8060" t="s">
        <v>126</v>
      </c>
      <c r="F8060">
        <v>9</v>
      </c>
      <c r="G8060">
        <v>6.8868</v>
      </c>
    </row>
    <row r="8061" spans="1:7" x14ac:dyDescent="0.35">
      <c r="A8061" t="s">
        <v>847</v>
      </c>
      <c r="B8061" t="s">
        <v>691</v>
      </c>
      <c r="C8061" s="83">
        <v>46107</v>
      </c>
      <c r="D8061" t="s">
        <v>310</v>
      </c>
      <c r="E8061" t="s">
        <v>321</v>
      </c>
      <c r="F8061">
        <v>3</v>
      </c>
      <c r="G8061">
        <v>1.4339999999999999</v>
      </c>
    </row>
    <row r="8062" spans="1:7" x14ac:dyDescent="0.35">
      <c r="A8062" t="s">
        <v>847</v>
      </c>
      <c r="B8062" t="s">
        <v>691</v>
      </c>
      <c r="C8062" s="83">
        <v>46107</v>
      </c>
      <c r="D8062" t="s">
        <v>310</v>
      </c>
      <c r="E8062" t="s">
        <v>322</v>
      </c>
      <c r="F8062">
        <v>3</v>
      </c>
      <c r="G8062">
        <v>0.69743333333333302</v>
      </c>
    </row>
    <row r="8063" spans="1:7" x14ac:dyDescent="0.35">
      <c r="A8063" t="s">
        <v>847</v>
      </c>
      <c r="B8063" t="s">
        <v>691</v>
      </c>
      <c r="C8063" s="83">
        <v>46107</v>
      </c>
      <c r="D8063" t="s">
        <v>313</v>
      </c>
      <c r="E8063" t="s">
        <v>347</v>
      </c>
      <c r="F8063">
        <v>7</v>
      </c>
      <c r="G8063">
        <v>1.2749333333333299</v>
      </c>
    </row>
    <row r="8064" spans="1:7" x14ac:dyDescent="0.35">
      <c r="A8064" t="s">
        <v>847</v>
      </c>
      <c r="B8064" t="s">
        <v>691</v>
      </c>
      <c r="C8064" s="83">
        <v>46107</v>
      </c>
      <c r="D8064" t="s">
        <v>313</v>
      </c>
      <c r="E8064" t="s">
        <v>126</v>
      </c>
      <c r="F8064">
        <v>6</v>
      </c>
      <c r="G8064">
        <v>12.7117166666667</v>
      </c>
    </row>
    <row r="8065" spans="1:7" x14ac:dyDescent="0.35">
      <c r="A8065" t="s">
        <v>847</v>
      </c>
      <c r="B8065" t="s">
        <v>691</v>
      </c>
      <c r="C8065" s="83">
        <v>46107</v>
      </c>
      <c r="D8065" t="s">
        <v>313</v>
      </c>
      <c r="E8065" t="s">
        <v>323</v>
      </c>
      <c r="F8065">
        <v>4</v>
      </c>
      <c r="G8065">
        <v>3.0635333333333299</v>
      </c>
    </row>
    <row r="8066" spans="1:7" x14ac:dyDescent="0.35">
      <c r="A8066" t="s">
        <v>847</v>
      </c>
      <c r="B8066" t="s">
        <v>691</v>
      </c>
      <c r="C8066" s="83">
        <v>46107</v>
      </c>
      <c r="D8066" t="s">
        <v>314</v>
      </c>
      <c r="E8066" t="s">
        <v>312</v>
      </c>
      <c r="F8066">
        <v>9</v>
      </c>
      <c r="G8066">
        <v>13.5306</v>
      </c>
    </row>
    <row r="8067" spans="1:7" x14ac:dyDescent="0.35">
      <c r="A8067" t="s">
        <v>847</v>
      </c>
      <c r="B8067" t="s">
        <v>691</v>
      </c>
      <c r="C8067" s="83">
        <v>46107</v>
      </c>
      <c r="D8067" t="s">
        <v>314</v>
      </c>
      <c r="E8067" t="s">
        <v>126</v>
      </c>
      <c r="F8067">
        <v>7</v>
      </c>
      <c r="G8067">
        <v>12.1756833333333</v>
      </c>
    </row>
    <row r="8068" spans="1:7" x14ac:dyDescent="0.35">
      <c r="A8068" t="s">
        <v>847</v>
      </c>
      <c r="B8068" t="s">
        <v>691</v>
      </c>
      <c r="C8068" s="83">
        <v>46107</v>
      </c>
      <c r="D8068" t="s">
        <v>314</v>
      </c>
      <c r="E8068" t="s">
        <v>316</v>
      </c>
      <c r="F8068">
        <v>4</v>
      </c>
      <c r="G8068">
        <v>2.1281666666666701</v>
      </c>
    </row>
    <row r="8069" spans="1:7" x14ac:dyDescent="0.35">
      <c r="A8069" t="s">
        <v>847</v>
      </c>
      <c r="B8069" t="s">
        <v>691</v>
      </c>
      <c r="C8069" s="83">
        <v>46107</v>
      </c>
      <c r="D8069" t="s">
        <v>317</v>
      </c>
      <c r="E8069" t="s">
        <v>323</v>
      </c>
      <c r="F8069">
        <v>6</v>
      </c>
      <c r="G8069">
        <v>2.7519833333333299</v>
      </c>
    </row>
    <row r="8070" spans="1:7" x14ac:dyDescent="0.35">
      <c r="A8070" t="s">
        <v>847</v>
      </c>
      <c r="B8070" t="s">
        <v>691</v>
      </c>
      <c r="C8070" s="83">
        <v>46107</v>
      </c>
      <c r="D8070" t="s">
        <v>317</v>
      </c>
      <c r="E8070" t="s">
        <v>772</v>
      </c>
      <c r="F8070">
        <v>2</v>
      </c>
      <c r="G8070">
        <v>2.4264000000000001</v>
      </c>
    </row>
    <row r="8071" spans="1:7" x14ac:dyDescent="0.35">
      <c r="A8071" t="s">
        <v>847</v>
      </c>
      <c r="B8071" t="s">
        <v>691</v>
      </c>
      <c r="C8071" s="83">
        <v>46108</v>
      </c>
      <c r="D8071" t="s">
        <v>295</v>
      </c>
      <c r="E8071" t="s">
        <v>302</v>
      </c>
      <c r="F8071">
        <v>14</v>
      </c>
      <c r="G8071">
        <v>4.6303000000000001</v>
      </c>
    </row>
    <row r="8072" spans="1:7" x14ac:dyDescent="0.35">
      <c r="A8072" t="s">
        <v>847</v>
      </c>
      <c r="B8072" t="s">
        <v>691</v>
      </c>
      <c r="C8072" s="83">
        <v>46108</v>
      </c>
      <c r="D8072" t="s">
        <v>295</v>
      </c>
      <c r="E8072" t="s">
        <v>296</v>
      </c>
      <c r="F8072">
        <v>12</v>
      </c>
      <c r="G8072">
        <v>5.6488500000000004</v>
      </c>
    </row>
    <row r="8073" spans="1:7" x14ac:dyDescent="0.35">
      <c r="A8073" t="s">
        <v>847</v>
      </c>
      <c r="B8073" t="s">
        <v>691</v>
      </c>
      <c r="C8073" s="83">
        <v>46108</v>
      </c>
      <c r="D8073" t="s">
        <v>299</v>
      </c>
      <c r="E8073" t="s">
        <v>296</v>
      </c>
      <c r="F8073">
        <v>99</v>
      </c>
      <c r="G8073">
        <v>48.6509</v>
      </c>
    </row>
    <row r="8074" spans="1:7" x14ac:dyDescent="0.35">
      <c r="A8074" t="s">
        <v>847</v>
      </c>
      <c r="B8074" t="s">
        <v>691</v>
      </c>
      <c r="C8074" s="83">
        <v>46108</v>
      </c>
      <c r="D8074" t="s">
        <v>301</v>
      </c>
      <c r="E8074" t="s">
        <v>637</v>
      </c>
      <c r="F8074">
        <v>10</v>
      </c>
      <c r="G8074">
        <v>2.6646999999999998</v>
      </c>
    </row>
    <row r="8075" spans="1:7" x14ac:dyDescent="0.35">
      <c r="A8075" t="s">
        <v>847</v>
      </c>
      <c r="B8075" t="s">
        <v>691</v>
      </c>
      <c r="C8075" s="83">
        <v>46108</v>
      </c>
      <c r="D8075" t="s">
        <v>303</v>
      </c>
      <c r="E8075" t="s">
        <v>302</v>
      </c>
      <c r="F8075">
        <v>25</v>
      </c>
      <c r="G8075">
        <v>10.0455666666667</v>
      </c>
    </row>
    <row r="8076" spans="1:7" x14ac:dyDescent="0.35">
      <c r="A8076" t="s">
        <v>847</v>
      </c>
      <c r="B8076" t="s">
        <v>691</v>
      </c>
      <c r="C8076" s="83">
        <v>46108</v>
      </c>
      <c r="D8076" t="s">
        <v>310</v>
      </c>
      <c r="E8076" t="s">
        <v>312</v>
      </c>
      <c r="F8076">
        <v>5</v>
      </c>
      <c r="G8076">
        <v>2.3344666666666698</v>
      </c>
    </row>
    <row r="8077" spans="1:7" x14ac:dyDescent="0.35">
      <c r="A8077" t="s">
        <v>847</v>
      </c>
      <c r="B8077" t="s">
        <v>691</v>
      </c>
      <c r="C8077" s="83">
        <v>46108</v>
      </c>
      <c r="D8077" t="s">
        <v>310</v>
      </c>
      <c r="E8077" t="s">
        <v>830</v>
      </c>
      <c r="F8077">
        <v>3</v>
      </c>
      <c r="G8077">
        <v>1.4322999999999999</v>
      </c>
    </row>
    <row r="8078" spans="1:7" x14ac:dyDescent="0.35">
      <c r="A8078" t="s">
        <v>847</v>
      </c>
      <c r="B8078" t="s">
        <v>691</v>
      </c>
      <c r="C8078" s="83">
        <v>46108</v>
      </c>
      <c r="D8078" t="s">
        <v>310</v>
      </c>
      <c r="E8078" t="s">
        <v>338</v>
      </c>
      <c r="F8078">
        <v>3</v>
      </c>
      <c r="G8078">
        <v>2.3376666666666699</v>
      </c>
    </row>
    <row r="8079" spans="1:7" x14ac:dyDescent="0.35">
      <c r="A8079" t="s">
        <v>847</v>
      </c>
      <c r="B8079" t="s">
        <v>691</v>
      </c>
      <c r="C8079" s="83">
        <v>46108</v>
      </c>
      <c r="D8079" t="s">
        <v>313</v>
      </c>
      <c r="E8079" t="s">
        <v>311</v>
      </c>
      <c r="F8079">
        <v>13</v>
      </c>
      <c r="G8079">
        <v>13.6098</v>
      </c>
    </row>
    <row r="8080" spans="1:7" x14ac:dyDescent="0.35">
      <c r="A8080" t="s">
        <v>847</v>
      </c>
      <c r="B8080" t="s">
        <v>691</v>
      </c>
      <c r="C8080" s="83">
        <v>46108</v>
      </c>
      <c r="D8080" t="s">
        <v>313</v>
      </c>
      <c r="E8080" t="s">
        <v>323</v>
      </c>
      <c r="F8080">
        <v>5</v>
      </c>
      <c r="G8080">
        <v>4.2960500000000001</v>
      </c>
    </row>
    <row r="8081" spans="1:7" x14ac:dyDescent="0.35">
      <c r="A8081" t="s">
        <v>847</v>
      </c>
      <c r="B8081" t="s">
        <v>691</v>
      </c>
      <c r="C8081" s="83">
        <v>46108</v>
      </c>
      <c r="D8081" t="s">
        <v>313</v>
      </c>
      <c r="E8081" t="s">
        <v>347</v>
      </c>
      <c r="F8081">
        <v>5</v>
      </c>
      <c r="G8081">
        <v>16.791816666666701</v>
      </c>
    </row>
    <row r="8082" spans="1:7" x14ac:dyDescent="0.35">
      <c r="A8082" t="s">
        <v>847</v>
      </c>
      <c r="B8082" t="s">
        <v>691</v>
      </c>
      <c r="C8082" s="83">
        <v>46108</v>
      </c>
      <c r="D8082" t="s">
        <v>314</v>
      </c>
      <c r="E8082" t="s">
        <v>312</v>
      </c>
      <c r="F8082">
        <v>8</v>
      </c>
      <c r="G8082">
        <v>12.105733333333299</v>
      </c>
    </row>
    <row r="8083" spans="1:7" x14ac:dyDescent="0.35">
      <c r="A8083" t="s">
        <v>847</v>
      </c>
      <c r="B8083" t="s">
        <v>691</v>
      </c>
      <c r="C8083" s="83">
        <v>46108</v>
      </c>
      <c r="D8083" t="s">
        <v>314</v>
      </c>
      <c r="E8083" t="s">
        <v>316</v>
      </c>
      <c r="F8083">
        <v>3</v>
      </c>
      <c r="G8083">
        <v>1.0183166666666701</v>
      </c>
    </row>
    <row r="8084" spans="1:7" x14ac:dyDescent="0.35">
      <c r="A8084" t="s">
        <v>847</v>
      </c>
      <c r="B8084" t="s">
        <v>691</v>
      </c>
      <c r="C8084" s="83">
        <v>46108</v>
      </c>
      <c r="D8084" t="s">
        <v>314</v>
      </c>
      <c r="E8084" t="s">
        <v>321</v>
      </c>
      <c r="F8084">
        <v>3</v>
      </c>
      <c r="G8084">
        <v>2.3569499999999999</v>
      </c>
    </row>
    <row r="8085" spans="1:7" x14ac:dyDescent="0.35">
      <c r="A8085" t="s">
        <v>847</v>
      </c>
      <c r="B8085" t="s">
        <v>691</v>
      </c>
      <c r="C8085" s="83">
        <v>46108</v>
      </c>
      <c r="D8085" t="s">
        <v>317</v>
      </c>
      <c r="E8085" t="s">
        <v>323</v>
      </c>
      <c r="F8085">
        <v>5</v>
      </c>
      <c r="G8085">
        <v>5.4745999999999997</v>
      </c>
    </row>
    <row r="8086" spans="1:7" x14ac:dyDescent="0.35">
      <c r="A8086" t="s">
        <v>847</v>
      </c>
      <c r="B8086" t="s">
        <v>691</v>
      </c>
      <c r="C8086" s="83">
        <v>46109</v>
      </c>
      <c r="D8086" t="s">
        <v>295</v>
      </c>
      <c r="E8086" t="s">
        <v>296</v>
      </c>
      <c r="F8086">
        <v>29</v>
      </c>
      <c r="G8086">
        <v>18.2351833333333</v>
      </c>
    </row>
    <row r="8087" spans="1:7" x14ac:dyDescent="0.35">
      <c r="A8087" t="s">
        <v>847</v>
      </c>
      <c r="B8087" t="s">
        <v>691</v>
      </c>
      <c r="C8087" s="83">
        <v>46109</v>
      </c>
      <c r="D8087" t="s">
        <v>295</v>
      </c>
      <c r="E8087" t="s">
        <v>302</v>
      </c>
      <c r="F8087">
        <v>16</v>
      </c>
      <c r="G8087">
        <v>9.0047999999999995</v>
      </c>
    </row>
    <row r="8088" spans="1:7" x14ac:dyDescent="0.35">
      <c r="A8088" t="s">
        <v>847</v>
      </c>
      <c r="B8088" t="s">
        <v>691</v>
      </c>
      <c r="C8088" s="83">
        <v>46109</v>
      </c>
      <c r="D8088" t="s">
        <v>299</v>
      </c>
      <c r="E8088" t="s">
        <v>296</v>
      </c>
      <c r="F8088">
        <v>74</v>
      </c>
      <c r="G8088">
        <v>39.381749999999997</v>
      </c>
    </row>
    <row r="8089" spans="1:7" x14ac:dyDescent="0.35">
      <c r="A8089" t="s">
        <v>847</v>
      </c>
      <c r="B8089" t="s">
        <v>691</v>
      </c>
      <c r="C8089" s="83">
        <v>46109</v>
      </c>
      <c r="D8089" t="s">
        <v>303</v>
      </c>
      <c r="E8089" t="s">
        <v>302</v>
      </c>
      <c r="F8089">
        <v>14</v>
      </c>
      <c r="G8089">
        <v>5.38601666666667</v>
      </c>
    </row>
    <row r="8090" spans="1:7" x14ac:dyDescent="0.35">
      <c r="A8090" t="s">
        <v>847</v>
      </c>
      <c r="B8090" t="s">
        <v>691</v>
      </c>
      <c r="C8090" s="83">
        <v>46109</v>
      </c>
      <c r="D8090" t="s">
        <v>310</v>
      </c>
      <c r="E8090" t="s">
        <v>311</v>
      </c>
      <c r="F8090">
        <v>18</v>
      </c>
      <c r="G8090">
        <v>34.922199999999997</v>
      </c>
    </row>
    <row r="8091" spans="1:7" x14ac:dyDescent="0.35">
      <c r="A8091" t="s">
        <v>847</v>
      </c>
      <c r="B8091" t="s">
        <v>691</v>
      </c>
      <c r="C8091" s="83">
        <v>46109</v>
      </c>
      <c r="D8091" t="s">
        <v>310</v>
      </c>
      <c r="E8091" t="s">
        <v>640</v>
      </c>
      <c r="F8091">
        <v>9</v>
      </c>
      <c r="G8091">
        <v>9.5555000000000003</v>
      </c>
    </row>
    <row r="8092" spans="1:7" x14ac:dyDescent="0.35">
      <c r="A8092" t="s">
        <v>847</v>
      </c>
      <c r="B8092" t="s">
        <v>691</v>
      </c>
      <c r="C8092" s="83">
        <v>46109</v>
      </c>
      <c r="D8092" t="s">
        <v>310</v>
      </c>
      <c r="E8092" t="s">
        <v>126</v>
      </c>
      <c r="F8092">
        <v>9</v>
      </c>
      <c r="G8092">
        <v>7.55981666666667</v>
      </c>
    </row>
    <row r="8093" spans="1:7" x14ac:dyDescent="0.35">
      <c r="A8093" t="s">
        <v>847</v>
      </c>
      <c r="B8093" t="s">
        <v>691</v>
      </c>
      <c r="C8093" s="83">
        <v>46109</v>
      </c>
      <c r="D8093" t="s">
        <v>313</v>
      </c>
      <c r="E8093" t="s">
        <v>126</v>
      </c>
      <c r="F8093">
        <v>47</v>
      </c>
      <c r="G8093">
        <v>235.53856666666701</v>
      </c>
    </row>
    <row r="8094" spans="1:7" x14ac:dyDescent="0.35">
      <c r="A8094" t="s">
        <v>847</v>
      </c>
      <c r="B8094" t="s">
        <v>691</v>
      </c>
      <c r="C8094" s="83">
        <v>46109</v>
      </c>
      <c r="D8094" t="s">
        <v>313</v>
      </c>
      <c r="E8094" t="s">
        <v>312</v>
      </c>
      <c r="F8094">
        <v>21</v>
      </c>
      <c r="G8094">
        <v>24.2343333333333</v>
      </c>
    </row>
    <row r="8095" spans="1:7" x14ac:dyDescent="0.35">
      <c r="A8095" t="s">
        <v>847</v>
      </c>
      <c r="B8095" t="s">
        <v>691</v>
      </c>
      <c r="C8095" s="83">
        <v>46109</v>
      </c>
      <c r="D8095" t="s">
        <v>313</v>
      </c>
      <c r="E8095" t="s">
        <v>311</v>
      </c>
      <c r="F8095">
        <v>15</v>
      </c>
      <c r="G8095">
        <v>39.648049999999998</v>
      </c>
    </row>
    <row r="8096" spans="1:7" x14ac:dyDescent="0.35">
      <c r="A8096" t="s">
        <v>847</v>
      </c>
      <c r="B8096" t="s">
        <v>691</v>
      </c>
      <c r="C8096" s="83">
        <v>46109</v>
      </c>
      <c r="D8096" t="s">
        <v>314</v>
      </c>
      <c r="E8096" t="s">
        <v>126</v>
      </c>
      <c r="F8096">
        <v>12</v>
      </c>
      <c r="G8096">
        <v>60.497466666666703</v>
      </c>
    </row>
    <row r="8097" spans="1:7" x14ac:dyDescent="0.35">
      <c r="A8097" t="s">
        <v>847</v>
      </c>
      <c r="B8097" t="s">
        <v>691</v>
      </c>
      <c r="C8097" s="83">
        <v>46109</v>
      </c>
      <c r="D8097" t="s">
        <v>314</v>
      </c>
      <c r="E8097" t="s">
        <v>312</v>
      </c>
      <c r="F8097">
        <v>9</v>
      </c>
      <c r="G8097">
        <v>118.42511666666699</v>
      </c>
    </row>
    <row r="8098" spans="1:7" x14ac:dyDescent="0.35">
      <c r="A8098" t="s">
        <v>847</v>
      </c>
      <c r="B8098" t="s">
        <v>691</v>
      </c>
      <c r="C8098" s="83">
        <v>46109</v>
      </c>
      <c r="D8098" t="s">
        <v>314</v>
      </c>
      <c r="E8098" t="s">
        <v>338</v>
      </c>
      <c r="F8098">
        <v>3</v>
      </c>
      <c r="G8098">
        <v>4.63073333333333</v>
      </c>
    </row>
    <row r="8099" spans="1:7" x14ac:dyDescent="0.35">
      <c r="A8099" t="s">
        <v>847</v>
      </c>
      <c r="B8099" t="s">
        <v>691</v>
      </c>
      <c r="C8099" s="83">
        <v>46109</v>
      </c>
      <c r="D8099" t="s">
        <v>317</v>
      </c>
      <c r="E8099" t="s">
        <v>323</v>
      </c>
      <c r="F8099">
        <v>3</v>
      </c>
      <c r="G8099">
        <v>0.62644999999999995</v>
      </c>
    </row>
    <row r="8100" spans="1:7" x14ac:dyDescent="0.35">
      <c r="A8100" t="s">
        <v>847</v>
      </c>
      <c r="B8100" t="s">
        <v>691</v>
      </c>
      <c r="C8100" s="83">
        <v>46109</v>
      </c>
      <c r="D8100" t="s">
        <v>317</v>
      </c>
      <c r="E8100" t="s">
        <v>792</v>
      </c>
      <c r="F8100">
        <v>2</v>
      </c>
      <c r="G8100">
        <v>1.40666666666667E-2</v>
      </c>
    </row>
    <row r="8101" spans="1:7" x14ac:dyDescent="0.35">
      <c r="A8101" t="s">
        <v>847</v>
      </c>
      <c r="B8101" t="s">
        <v>691</v>
      </c>
      <c r="C8101" s="83">
        <v>46109</v>
      </c>
      <c r="D8101" t="s">
        <v>317</v>
      </c>
      <c r="E8101" t="s">
        <v>319</v>
      </c>
      <c r="F8101">
        <v>2</v>
      </c>
      <c r="G8101">
        <v>1.7880833333333299</v>
      </c>
    </row>
    <row r="8102" spans="1:7" x14ac:dyDescent="0.35">
      <c r="A8102" t="s">
        <v>847</v>
      </c>
      <c r="B8102" t="s">
        <v>691</v>
      </c>
      <c r="C8102" s="83">
        <v>46110</v>
      </c>
      <c r="D8102" t="s">
        <v>295</v>
      </c>
      <c r="E8102" t="s">
        <v>296</v>
      </c>
      <c r="F8102">
        <v>33</v>
      </c>
      <c r="G8102">
        <v>15.642583333333301</v>
      </c>
    </row>
    <row r="8103" spans="1:7" x14ac:dyDescent="0.35">
      <c r="A8103" t="s">
        <v>847</v>
      </c>
      <c r="B8103" t="s">
        <v>691</v>
      </c>
      <c r="C8103" s="83">
        <v>46110</v>
      </c>
      <c r="D8103" t="s">
        <v>299</v>
      </c>
      <c r="E8103" t="s">
        <v>296</v>
      </c>
      <c r="F8103">
        <v>92</v>
      </c>
      <c r="G8103">
        <v>50.826183333333297</v>
      </c>
    </row>
    <row r="8104" spans="1:7" x14ac:dyDescent="0.35">
      <c r="A8104" t="s">
        <v>847</v>
      </c>
      <c r="B8104" t="s">
        <v>691</v>
      </c>
      <c r="C8104" s="83">
        <v>46110</v>
      </c>
      <c r="D8104" t="s">
        <v>310</v>
      </c>
      <c r="E8104" t="s">
        <v>126</v>
      </c>
      <c r="F8104">
        <v>10</v>
      </c>
      <c r="G8104">
        <v>13.762983333333301</v>
      </c>
    </row>
    <row r="8105" spans="1:7" x14ac:dyDescent="0.35">
      <c r="A8105" t="s">
        <v>847</v>
      </c>
      <c r="B8105" t="s">
        <v>691</v>
      </c>
      <c r="C8105" s="83">
        <v>46110</v>
      </c>
      <c r="D8105" t="s">
        <v>310</v>
      </c>
      <c r="E8105" t="s">
        <v>640</v>
      </c>
      <c r="F8105">
        <v>8</v>
      </c>
      <c r="G8105">
        <v>12.9839</v>
      </c>
    </row>
    <row r="8106" spans="1:7" x14ac:dyDescent="0.35">
      <c r="A8106" t="s">
        <v>847</v>
      </c>
      <c r="B8106" t="s">
        <v>691</v>
      </c>
      <c r="C8106" s="83">
        <v>46110</v>
      </c>
      <c r="D8106" t="s">
        <v>310</v>
      </c>
      <c r="E8106" t="s">
        <v>338</v>
      </c>
      <c r="F8106">
        <v>7</v>
      </c>
      <c r="G8106">
        <v>7.1163999999999996</v>
      </c>
    </row>
    <row r="8107" spans="1:7" x14ac:dyDescent="0.35">
      <c r="A8107" t="s">
        <v>847</v>
      </c>
      <c r="B8107" t="s">
        <v>691</v>
      </c>
      <c r="C8107" s="83">
        <v>46110</v>
      </c>
      <c r="D8107" t="s">
        <v>313</v>
      </c>
      <c r="E8107" t="s">
        <v>126</v>
      </c>
      <c r="F8107">
        <v>3</v>
      </c>
      <c r="G8107">
        <v>5.0921833333333302</v>
      </c>
    </row>
    <row r="8108" spans="1:7" x14ac:dyDescent="0.35">
      <c r="A8108" t="s">
        <v>847</v>
      </c>
      <c r="B8108" t="s">
        <v>691</v>
      </c>
      <c r="C8108" s="83">
        <v>46110</v>
      </c>
      <c r="D8108" t="s">
        <v>313</v>
      </c>
      <c r="E8108" t="s">
        <v>312</v>
      </c>
      <c r="F8108">
        <v>3</v>
      </c>
      <c r="G8108">
        <v>2.2193000000000001</v>
      </c>
    </row>
    <row r="8109" spans="1:7" x14ac:dyDescent="0.35">
      <c r="A8109" t="s">
        <v>847</v>
      </c>
      <c r="B8109" t="s">
        <v>691</v>
      </c>
      <c r="C8109" s="83">
        <v>46110</v>
      </c>
      <c r="D8109" t="s">
        <v>313</v>
      </c>
      <c r="E8109" t="s">
        <v>725</v>
      </c>
      <c r="F8109">
        <v>2</v>
      </c>
      <c r="G8109">
        <v>0.27115</v>
      </c>
    </row>
    <row r="8110" spans="1:7" x14ac:dyDescent="0.35">
      <c r="A8110" t="s">
        <v>847</v>
      </c>
      <c r="B8110" t="s">
        <v>691</v>
      </c>
      <c r="C8110" s="83">
        <v>46110</v>
      </c>
      <c r="D8110" t="s">
        <v>314</v>
      </c>
      <c r="E8110" t="s">
        <v>640</v>
      </c>
      <c r="F8110">
        <v>12</v>
      </c>
      <c r="G8110">
        <v>25.3494666666667</v>
      </c>
    </row>
    <row r="8111" spans="1:7" x14ac:dyDescent="0.35">
      <c r="A8111" t="s">
        <v>847</v>
      </c>
      <c r="B8111" t="s">
        <v>691</v>
      </c>
      <c r="C8111" s="83">
        <v>46110</v>
      </c>
      <c r="D8111" t="s">
        <v>314</v>
      </c>
      <c r="E8111" t="s">
        <v>312</v>
      </c>
      <c r="F8111">
        <v>11</v>
      </c>
      <c r="G8111">
        <v>7.4687000000000001</v>
      </c>
    </row>
    <row r="8112" spans="1:7" x14ac:dyDescent="0.35">
      <c r="A8112" t="s">
        <v>847</v>
      </c>
      <c r="B8112" t="s">
        <v>691</v>
      </c>
      <c r="C8112" s="83">
        <v>46110</v>
      </c>
      <c r="D8112" t="s">
        <v>314</v>
      </c>
      <c r="E8112" t="s">
        <v>126</v>
      </c>
      <c r="F8112">
        <v>7</v>
      </c>
      <c r="G8112">
        <v>15.0126666666667</v>
      </c>
    </row>
    <row r="8113" spans="1:7" x14ac:dyDescent="0.35">
      <c r="A8113" t="s">
        <v>847</v>
      </c>
      <c r="B8113" t="s">
        <v>691</v>
      </c>
      <c r="C8113" s="83">
        <v>46110</v>
      </c>
      <c r="D8113" t="s">
        <v>317</v>
      </c>
      <c r="E8113" t="s">
        <v>725</v>
      </c>
      <c r="F8113">
        <v>5</v>
      </c>
      <c r="G8113">
        <v>3.9113000000000002</v>
      </c>
    </row>
    <row r="8114" spans="1:7" x14ac:dyDescent="0.35">
      <c r="A8114" t="s">
        <v>847</v>
      </c>
      <c r="B8114" t="s">
        <v>691</v>
      </c>
      <c r="C8114" s="83">
        <v>46110</v>
      </c>
      <c r="D8114" t="s">
        <v>317</v>
      </c>
      <c r="E8114" t="s">
        <v>323</v>
      </c>
      <c r="F8114">
        <v>4</v>
      </c>
      <c r="G8114">
        <v>1.64346666666667</v>
      </c>
    </row>
    <row r="8115" spans="1:7" x14ac:dyDescent="0.35">
      <c r="A8115" t="s">
        <v>847</v>
      </c>
      <c r="B8115" t="s">
        <v>691</v>
      </c>
      <c r="C8115" s="83">
        <v>46110</v>
      </c>
      <c r="D8115" t="s">
        <v>317</v>
      </c>
      <c r="E8115" t="s">
        <v>319</v>
      </c>
      <c r="F8115">
        <v>2</v>
      </c>
      <c r="G8115">
        <v>19.294</v>
      </c>
    </row>
    <row r="8116" spans="1:7" x14ac:dyDescent="0.35">
      <c r="A8116" t="s">
        <v>847</v>
      </c>
      <c r="B8116" t="s">
        <v>691</v>
      </c>
      <c r="C8116" s="83">
        <v>46111</v>
      </c>
      <c r="D8116" t="s">
        <v>295</v>
      </c>
      <c r="E8116" t="s">
        <v>296</v>
      </c>
      <c r="F8116">
        <v>42</v>
      </c>
      <c r="G8116">
        <v>73.837149999999994</v>
      </c>
    </row>
    <row r="8117" spans="1:7" x14ac:dyDescent="0.35">
      <c r="A8117" t="s">
        <v>847</v>
      </c>
      <c r="B8117" t="s">
        <v>691</v>
      </c>
      <c r="C8117" s="83">
        <v>46111</v>
      </c>
      <c r="D8117" t="s">
        <v>295</v>
      </c>
      <c r="E8117" t="s">
        <v>302</v>
      </c>
      <c r="F8117">
        <v>17</v>
      </c>
      <c r="G8117">
        <v>4.4081333333333301</v>
      </c>
    </row>
    <row r="8118" spans="1:7" x14ac:dyDescent="0.35">
      <c r="A8118" t="s">
        <v>847</v>
      </c>
      <c r="B8118" t="s">
        <v>691</v>
      </c>
      <c r="C8118" s="83">
        <v>46111</v>
      </c>
      <c r="D8118" t="s">
        <v>295</v>
      </c>
      <c r="E8118" t="s">
        <v>831</v>
      </c>
      <c r="F8118">
        <v>11</v>
      </c>
      <c r="G8118">
        <v>7.0664833333333297</v>
      </c>
    </row>
    <row r="8119" spans="1:7" x14ac:dyDescent="0.35">
      <c r="A8119" t="s">
        <v>847</v>
      </c>
      <c r="B8119" t="s">
        <v>691</v>
      </c>
      <c r="C8119" s="83">
        <v>46111</v>
      </c>
      <c r="D8119" t="s">
        <v>299</v>
      </c>
      <c r="E8119" t="s">
        <v>296</v>
      </c>
      <c r="F8119">
        <v>97</v>
      </c>
      <c r="G8119">
        <v>48.793316666666698</v>
      </c>
    </row>
    <row r="8120" spans="1:7" x14ac:dyDescent="0.35">
      <c r="A8120" t="s">
        <v>847</v>
      </c>
      <c r="B8120" t="s">
        <v>691</v>
      </c>
      <c r="C8120" s="83">
        <v>46111</v>
      </c>
      <c r="D8120" t="s">
        <v>310</v>
      </c>
      <c r="E8120" t="s">
        <v>311</v>
      </c>
      <c r="F8120">
        <v>32</v>
      </c>
      <c r="G8120">
        <v>20.918616666666701</v>
      </c>
    </row>
    <row r="8121" spans="1:7" x14ac:dyDescent="0.35">
      <c r="A8121" t="s">
        <v>847</v>
      </c>
      <c r="B8121" t="s">
        <v>691</v>
      </c>
      <c r="C8121" s="83">
        <v>46111</v>
      </c>
      <c r="D8121" t="s">
        <v>310</v>
      </c>
      <c r="E8121" t="s">
        <v>312</v>
      </c>
      <c r="F8121">
        <v>7</v>
      </c>
      <c r="G8121">
        <v>2.5499333333333301</v>
      </c>
    </row>
    <row r="8122" spans="1:7" x14ac:dyDescent="0.35">
      <c r="A8122" t="s">
        <v>847</v>
      </c>
      <c r="B8122" t="s">
        <v>691</v>
      </c>
      <c r="C8122" s="83">
        <v>46111</v>
      </c>
      <c r="D8122" t="s">
        <v>310</v>
      </c>
      <c r="E8122" t="s">
        <v>126</v>
      </c>
      <c r="F8122">
        <v>7</v>
      </c>
      <c r="G8122">
        <v>10.4407333333333</v>
      </c>
    </row>
    <row r="8123" spans="1:7" x14ac:dyDescent="0.35">
      <c r="A8123" t="s">
        <v>847</v>
      </c>
      <c r="B8123" t="s">
        <v>691</v>
      </c>
      <c r="C8123" s="83">
        <v>46111</v>
      </c>
      <c r="D8123" t="s">
        <v>313</v>
      </c>
      <c r="E8123" t="s">
        <v>760</v>
      </c>
      <c r="F8123">
        <v>2</v>
      </c>
      <c r="G8123">
        <v>0.27731666666666699</v>
      </c>
    </row>
    <row r="8124" spans="1:7" x14ac:dyDescent="0.35">
      <c r="A8124" t="s">
        <v>847</v>
      </c>
      <c r="B8124" t="s">
        <v>691</v>
      </c>
      <c r="C8124" s="83">
        <v>46111</v>
      </c>
      <c r="D8124" t="s">
        <v>313</v>
      </c>
      <c r="E8124" t="s">
        <v>322</v>
      </c>
      <c r="F8124">
        <v>2</v>
      </c>
      <c r="G8124">
        <v>0.24886666666666701</v>
      </c>
    </row>
    <row r="8125" spans="1:7" x14ac:dyDescent="0.35">
      <c r="A8125" t="s">
        <v>847</v>
      </c>
      <c r="B8125" t="s">
        <v>691</v>
      </c>
      <c r="C8125" s="83">
        <v>46111</v>
      </c>
      <c r="D8125" t="s">
        <v>313</v>
      </c>
      <c r="E8125" t="s">
        <v>311</v>
      </c>
      <c r="F8125">
        <v>2</v>
      </c>
      <c r="G8125">
        <v>0.70188333333333297</v>
      </c>
    </row>
    <row r="8126" spans="1:7" x14ac:dyDescent="0.35">
      <c r="A8126" t="s">
        <v>847</v>
      </c>
      <c r="B8126" t="s">
        <v>691</v>
      </c>
      <c r="C8126" s="83">
        <v>46111</v>
      </c>
      <c r="D8126" t="s">
        <v>314</v>
      </c>
      <c r="E8126" t="s">
        <v>126</v>
      </c>
      <c r="F8126">
        <v>26</v>
      </c>
      <c r="G8126">
        <v>86.554733333333303</v>
      </c>
    </row>
    <row r="8127" spans="1:7" x14ac:dyDescent="0.35">
      <c r="A8127" t="s">
        <v>847</v>
      </c>
      <c r="B8127" t="s">
        <v>691</v>
      </c>
      <c r="C8127" s="83">
        <v>46111</v>
      </c>
      <c r="D8127" t="s">
        <v>314</v>
      </c>
      <c r="E8127" t="s">
        <v>312</v>
      </c>
      <c r="F8127">
        <v>20</v>
      </c>
      <c r="G8127">
        <v>26.7411833333333</v>
      </c>
    </row>
    <row r="8128" spans="1:7" x14ac:dyDescent="0.35">
      <c r="A8128" t="s">
        <v>847</v>
      </c>
      <c r="B8128" t="s">
        <v>691</v>
      </c>
      <c r="C8128" s="83">
        <v>46111</v>
      </c>
      <c r="D8128" t="s">
        <v>314</v>
      </c>
      <c r="E8128" t="s">
        <v>640</v>
      </c>
      <c r="F8128">
        <v>9</v>
      </c>
      <c r="G8128">
        <v>25.682366666666699</v>
      </c>
    </row>
    <row r="8129" spans="1:7" x14ac:dyDescent="0.35">
      <c r="A8129" t="s">
        <v>847</v>
      </c>
      <c r="B8129" t="s">
        <v>691</v>
      </c>
      <c r="C8129" s="83">
        <v>46111</v>
      </c>
      <c r="D8129" t="s">
        <v>317</v>
      </c>
      <c r="E8129" t="s">
        <v>725</v>
      </c>
      <c r="F8129">
        <v>3</v>
      </c>
      <c r="G8129">
        <v>4.0298166666666697</v>
      </c>
    </row>
    <row r="8130" spans="1:7" x14ac:dyDescent="0.35">
      <c r="A8130" t="s">
        <v>847</v>
      </c>
      <c r="B8130" t="s">
        <v>691</v>
      </c>
      <c r="C8130" s="83">
        <v>46111</v>
      </c>
      <c r="D8130" t="s">
        <v>317</v>
      </c>
      <c r="E8130" t="s">
        <v>323</v>
      </c>
      <c r="F8130">
        <v>3</v>
      </c>
      <c r="G8130">
        <v>1.34201666666667</v>
      </c>
    </row>
    <row r="8131" spans="1:7" x14ac:dyDescent="0.35">
      <c r="A8131" t="s">
        <v>847</v>
      </c>
      <c r="B8131" t="s">
        <v>691</v>
      </c>
      <c r="C8131" s="83">
        <v>46111</v>
      </c>
      <c r="D8131" t="s">
        <v>317</v>
      </c>
      <c r="E8131" t="s">
        <v>339</v>
      </c>
      <c r="F8131">
        <v>2</v>
      </c>
      <c r="G8131">
        <v>4.5271833333333298</v>
      </c>
    </row>
    <row r="8132" spans="1:7" x14ac:dyDescent="0.35">
      <c r="A8132" t="s">
        <v>847</v>
      </c>
      <c r="B8132" t="s">
        <v>691</v>
      </c>
      <c r="C8132" s="83">
        <v>46112</v>
      </c>
      <c r="D8132" t="s">
        <v>295</v>
      </c>
      <c r="E8132" t="s">
        <v>296</v>
      </c>
      <c r="F8132">
        <v>18</v>
      </c>
      <c r="G8132">
        <v>9.4301833333333303</v>
      </c>
    </row>
    <row r="8133" spans="1:7" x14ac:dyDescent="0.35">
      <c r="A8133" t="s">
        <v>847</v>
      </c>
      <c r="B8133" t="s">
        <v>691</v>
      </c>
      <c r="C8133" s="83">
        <v>46112</v>
      </c>
      <c r="D8133" t="s">
        <v>299</v>
      </c>
      <c r="E8133" t="s">
        <v>296</v>
      </c>
      <c r="F8133">
        <v>53</v>
      </c>
      <c r="G8133">
        <v>37.3274166666667</v>
      </c>
    </row>
    <row r="8134" spans="1:7" x14ac:dyDescent="0.35">
      <c r="A8134" t="s">
        <v>847</v>
      </c>
      <c r="B8134" t="s">
        <v>691</v>
      </c>
      <c r="C8134" s="83">
        <v>46112</v>
      </c>
      <c r="D8134" t="s">
        <v>309</v>
      </c>
      <c r="E8134" t="s">
        <v>344</v>
      </c>
      <c r="F8134">
        <v>22</v>
      </c>
      <c r="G8134">
        <v>11.1866</v>
      </c>
    </row>
    <row r="8135" spans="1:7" x14ac:dyDescent="0.35">
      <c r="A8135" t="s">
        <v>847</v>
      </c>
      <c r="B8135" t="s">
        <v>691</v>
      </c>
      <c r="C8135" s="83">
        <v>46112</v>
      </c>
      <c r="D8135" t="s">
        <v>310</v>
      </c>
      <c r="E8135" t="s">
        <v>126</v>
      </c>
      <c r="F8135">
        <v>23</v>
      </c>
      <c r="G8135">
        <v>33.138633333333303</v>
      </c>
    </row>
    <row r="8136" spans="1:7" x14ac:dyDescent="0.35">
      <c r="A8136" t="s">
        <v>847</v>
      </c>
      <c r="B8136" t="s">
        <v>691</v>
      </c>
      <c r="C8136" s="83">
        <v>46112</v>
      </c>
      <c r="D8136" t="s">
        <v>310</v>
      </c>
      <c r="E8136" t="s">
        <v>312</v>
      </c>
      <c r="F8136">
        <v>12</v>
      </c>
      <c r="G8136">
        <v>9.9807333333333297</v>
      </c>
    </row>
    <row r="8137" spans="1:7" x14ac:dyDescent="0.35">
      <c r="A8137" t="s">
        <v>847</v>
      </c>
      <c r="B8137" t="s">
        <v>691</v>
      </c>
      <c r="C8137" s="83">
        <v>46112</v>
      </c>
      <c r="D8137" t="s">
        <v>310</v>
      </c>
      <c r="E8137" t="s">
        <v>311</v>
      </c>
      <c r="F8137">
        <v>9</v>
      </c>
      <c r="G8137">
        <v>13.798066666666699</v>
      </c>
    </row>
    <row r="8138" spans="1:7" x14ac:dyDescent="0.35">
      <c r="A8138" t="s">
        <v>847</v>
      </c>
      <c r="B8138" t="s">
        <v>691</v>
      </c>
      <c r="C8138" s="83">
        <v>46112</v>
      </c>
      <c r="D8138" t="s">
        <v>313</v>
      </c>
      <c r="E8138" t="s">
        <v>347</v>
      </c>
      <c r="F8138">
        <v>2</v>
      </c>
      <c r="G8138">
        <v>0.41520000000000001</v>
      </c>
    </row>
    <row r="8139" spans="1:7" x14ac:dyDescent="0.35">
      <c r="A8139" t="s">
        <v>847</v>
      </c>
      <c r="B8139" t="s">
        <v>691</v>
      </c>
      <c r="C8139" s="83">
        <v>46112</v>
      </c>
      <c r="D8139" t="s">
        <v>313</v>
      </c>
      <c r="E8139" t="s">
        <v>322</v>
      </c>
      <c r="F8139">
        <v>2</v>
      </c>
      <c r="G8139">
        <v>0.39843333333333297</v>
      </c>
    </row>
    <row r="8140" spans="1:7" x14ac:dyDescent="0.35">
      <c r="A8140" t="s">
        <v>847</v>
      </c>
      <c r="B8140" t="s">
        <v>691</v>
      </c>
      <c r="C8140" s="83">
        <v>46112</v>
      </c>
      <c r="D8140" t="s">
        <v>313</v>
      </c>
      <c r="E8140" t="s">
        <v>316</v>
      </c>
      <c r="F8140">
        <v>2</v>
      </c>
      <c r="G8140">
        <v>1.18615</v>
      </c>
    </row>
    <row r="8141" spans="1:7" x14ac:dyDescent="0.35">
      <c r="A8141" t="s">
        <v>847</v>
      </c>
      <c r="B8141" t="s">
        <v>691</v>
      </c>
      <c r="C8141" s="83">
        <v>46112</v>
      </c>
      <c r="D8141" t="s">
        <v>314</v>
      </c>
      <c r="E8141" t="s">
        <v>312</v>
      </c>
      <c r="F8141">
        <v>63</v>
      </c>
      <c r="G8141">
        <v>181.602916666667</v>
      </c>
    </row>
    <row r="8142" spans="1:7" x14ac:dyDescent="0.35">
      <c r="A8142" t="s">
        <v>847</v>
      </c>
      <c r="B8142" t="s">
        <v>691</v>
      </c>
      <c r="C8142" s="83">
        <v>46112</v>
      </c>
      <c r="D8142" t="s">
        <v>314</v>
      </c>
      <c r="E8142" t="s">
        <v>126</v>
      </c>
      <c r="F8142">
        <v>25</v>
      </c>
      <c r="G8142">
        <v>103.710933333333</v>
      </c>
    </row>
    <row r="8143" spans="1:7" x14ac:dyDescent="0.35">
      <c r="A8143" t="s">
        <v>847</v>
      </c>
      <c r="B8143" t="s">
        <v>691</v>
      </c>
      <c r="C8143" s="83">
        <v>46112</v>
      </c>
      <c r="D8143" t="s">
        <v>314</v>
      </c>
      <c r="E8143" t="s">
        <v>316</v>
      </c>
      <c r="F8143">
        <v>6</v>
      </c>
      <c r="G8143">
        <v>2.7327833333333298</v>
      </c>
    </row>
    <row r="8144" spans="1:7" x14ac:dyDescent="0.35">
      <c r="A8144" t="s">
        <v>847</v>
      </c>
      <c r="B8144" t="s">
        <v>691</v>
      </c>
      <c r="C8144" s="83">
        <v>46112</v>
      </c>
      <c r="D8144" t="s">
        <v>317</v>
      </c>
      <c r="E8144" t="s">
        <v>339</v>
      </c>
      <c r="F8144">
        <v>3</v>
      </c>
      <c r="G8144">
        <v>3.1921499999999998</v>
      </c>
    </row>
    <row r="8145" spans="1:7" x14ac:dyDescent="0.35">
      <c r="A8145" t="s">
        <v>847</v>
      </c>
      <c r="B8145" t="s">
        <v>691</v>
      </c>
      <c r="C8145" s="83">
        <v>46112</v>
      </c>
      <c r="D8145" t="s">
        <v>317</v>
      </c>
      <c r="E8145" t="s">
        <v>725</v>
      </c>
      <c r="F8145">
        <v>2</v>
      </c>
      <c r="G8145">
        <v>1.1513</v>
      </c>
    </row>
    <row r="8146" spans="1:7" x14ac:dyDescent="0.35">
      <c r="A8146" t="s">
        <v>847</v>
      </c>
      <c r="B8146" t="s">
        <v>691</v>
      </c>
      <c r="C8146" s="83">
        <v>46112</v>
      </c>
      <c r="D8146" t="s">
        <v>317</v>
      </c>
      <c r="E8146" t="s">
        <v>323</v>
      </c>
      <c r="F8146">
        <v>2</v>
      </c>
      <c r="G8146">
        <v>0.110016666666667</v>
      </c>
    </row>
    <row r="8147" spans="1:7" x14ac:dyDescent="0.35">
      <c r="A8147" t="s">
        <v>847</v>
      </c>
      <c r="B8147" t="s">
        <v>691</v>
      </c>
      <c r="C8147" s="83">
        <v>46113</v>
      </c>
      <c r="D8147" t="s">
        <v>295</v>
      </c>
      <c r="E8147" t="s">
        <v>296</v>
      </c>
      <c r="F8147">
        <v>22</v>
      </c>
      <c r="G8147">
        <v>12.778833333333299</v>
      </c>
    </row>
    <row r="8148" spans="1:7" x14ac:dyDescent="0.35">
      <c r="A8148" t="s">
        <v>847</v>
      </c>
      <c r="B8148" t="s">
        <v>691</v>
      </c>
      <c r="C8148" s="83">
        <v>46113</v>
      </c>
      <c r="D8148" t="s">
        <v>299</v>
      </c>
      <c r="E8148" t="s">
        <v>296</v>
      </c>
      <c r="F8148">
        <v>53</v>
      </c>
      <c r="G8148">
        <v>31.1952833333333</v>
      </c>
    </row>
    <row r="8149" spans="1:7" x14ac:dyDescent="0.35">
      <c r="A8149" t="s">
        <v>847</v>
      </c>
      <c r="B8149" t="s">
        <v>691</v>
      </c>
      <c r="C8149" s="83">
        <v>46113</v>
      </c>
      <c r="D8149" t="s">
        <v>301</v>
      </c>
      <c r="E8149" t="s">
        <v>828</v>
      </c>
      <c r="F8149">
        <v>9</v>
      </c>
      <c r="G8149">
        <v>3.0621999999999998</v>
      </c>
    </row>
    <row r="8150" spans="1:7" x14ac:dyDescent="0.35">
      <c r="A8150" t="s">
        <v>847</v>
      </c>
      <c r="B8150" t="s">
        <v>691</v>
      </c>
      <c r="C8150" s="83">
        <v>46113</v>
      </c>
      <c r="D8150" t="s">
        <v>309</v>
      </c>
      <c r="E8150" t="s">
        <v>344</v>
      </c>
      <c r="F8150">
        <v>28</v>
      </c>
      <c r="G8150">
        <v>20.997916666666701</v>
      </c>
    </row>
    <row r="8151" spans="1:7" x14ac:dyDescent="0.35">
      <c r="A8151" t="s">
        <v>847</v>
      </c>
      <c r="B8151" t="s">
        <v>691</v>
      </c>
      <c r="C8151" s="83">
        <v>46113</v>
      </c>
      <c r="D8151" t="s">
        <v>310</v>
      </c>
      <c r="E8151" t="s">
        <v>311</v>
      </c>
      <c r="F8151">
        <v>21</v>
      </c>
      <c r="G8151">
        <v>25.0346333333333</v>
      </c>
    </row>
    <row r="8152" spans="1:7" x14ac:dyDescent="0.35">
      <c r="A8152" t="s">
        <v>847</v>
      </c>
      <c r="B8152" t="s">
        <v>691</v>
      </c>
      <c r="C8152" s="83">
        <v>46113</v>
      </c>
      <c r="D8152" t="s">
        <v>310</v>
      </c>
      <c r="E8152" t="s">
        <v>312</v>
      </c>
      <c r="F8152">
        <v>12</v>
      </c>
      <c r="G8152">
        <v>15.5633833333333</v>
      </c>
    </row>
    <row r="8153" spans="1:7" x14ac:dyDescent="0.35">
      <c r="A8153" t="s">
        <v>847</v>
      </c>
      <c r="B8153" t="s">
        <v>691</v>
      </c>
      <c r="C8153" s="83">
        <v>46113</v>
      </c>
      <c r="D8153" t="s">
        <v>310</v>
      </c>
      <c r="E8153" t="s">
        <v>333</v>
      </c>
      <c r="F8153">
        <v>7</v>
      </c>
      <c r="G8153">
        <v>17.6709666666667</v>
      </c>
    </row>
    <row r="8154" spans="1:7" x14ac:dyDescent="0.35">
      <c r="A8154" t="s">
        <v>847</v>
      </c>
      <c r="B8154" t="s">
        <v>691</v>
      </c>
      <c r="C8154" s="83">
        <v>46113</v>
      </c>
      <c r="D8154" t="s">
        <v>313</v>
      </c>
      <c r="E8154" t="s">
        <v>311</v>
      </c>
      <c r="F8154">
        <v>15</v>
      </c>
      <c r="G8154">
        <v>10.7220833333333</v>
      </c>
    </row>
    <row r="8155" spans="1:7" x14ac:dyDescent="0.35">
      <c r="A8155" t="s">
        <v>847</v>
      </c>
      <c r="B8155" t="s">
        <v>691</v>
      </c>
      <c r="C8155" s="83">
        <v>46113</v>
      </c>
      <c r="D8155" t="s">
        <v>313</v>
      </c>
      <c r="E8155" t="s">
        <v>347</v>
      </c>
      <c r="F8155">
        <v>4</v>
      </c>
      <c r="G8155">
        <v>1.09195</v>
      </c>
    </row>
    <row r="8156" spans="1:7" x14ac:dyDescent="0.35">
      <c r="A8156" t="s">
        <v>847</v>
      </c>
      <c r="B8156" t="s">
        <v>691</v>
      </c>
      <c r="C8156" s="83">
        <v>46113</v>
      </c>
      <c r="D8156" t="s">
        <v>313</v>
      </c>
      <c r="E8156" t="s">
        <v>316</v>
      </c>
      <c r="F8156">
        <v>3</v>
      </c>
      <c r="G8156">
        <v>0.44035000000000002</v>
      </c>
    </row>
    <row r="8157" spans="1:7" x14ac:dyDescent="0.35">
      <c r="A8157" t="s">
        <v>847</v>
      </c>
      <c r="B8157" t="s">
        <v>691</v>
      </c>
      <c r="C8157" s="83">
        <v>46113</v>
      </c>
      <c r="D8157" t="s">
        <v>314</v>
      </c>
      <c r="E8157" t="s">
        <v>312</v>
      </c>
      <c r="F8157">
        <v>14</v>
      </c>
      <c r="G8157">
        <v>24.92605</v>
      </c>
    </row>
    <row r="8158" spans="1:7" x14ac:dyDescent="0.35">
      <c r="A8158" t="s">
        <v>847</v>
      </c>
      <c r="B8158" t="s">
        <v>691</v>
      </c>
      <c r="C8158" s="83">
        <v>46113</v>
      </c>
      <c r="D8158" t="s">
        <v>314</v>
      </c>
      <c r="E8158" t="s">
        <v>126</v>
      </c>
      <c r="F8158">
        <v>6</v>
      </c>
      <c r="G8158">
        <v>17.163933333333301</v>
      </c>
    </row>
    <row r="8159" spans="1:7" x14ac:dyDescent="0.35">
      <c r="A8159" t="s">
        <v>847</v>
      </c>
      <c r="B8159" t="s">
        <v>691</v>
      </c>
      <c r="C8159" s="83">
        <v>46113</v>
      </c>
      <c r="D8159" t="s">
        <v>314</v>
      </c>
      <c r="E8159" t="s">
        <v>319</v>
      </c>
      <c r="F8159">
        <v>4</v>
      </c>
      <c r="G8159">
        <v>3.5866833333333301</v>
      </c>
    </row>
    <row r="8160" spans="1:7" x14ac:dyDescent="0.35">
      <c r="A8160" t="s">
        <v>847</v>
      </c>
      <c r="B8160" t="s">
        <v>691</v>
      </c>
      <c r="C8160" s="83">
        <v>46113</v>
      </c>
      <c r="D8160" t="s">
        <v>317</v>
      </c>
      <c r="E8160" t="s">
        <v>319</v>
      </c>
      <c r="F8160">
        <v>3</v>
      </c>
      <c r="G8160">
        <v>0.63614999999999999</v>
      </c>
    </row>
    <row r="8161" spans="1:7" x14ac:dyDescent="0.35">
      <c r="A8161" t="s">
        <v>847</v>
      </c>
      <c r="B8161" t="s">
        <v>691</v>
      </c>
      <c r="C8161" s="83">
        <v>46113</v>
      </c>
      <c r="D8161" t="s">
        <v>317</v>
      </c>
      <c r="E8161" t="s">
        <v>725</v>
      </c>
      <c r="F8161">
        <v>2</v>
      </c>
      <c r="G8161">
        <v>0.16914999999999999</v>
      </c>
    </row>
    <row r="8162" spans="1:7" x14ac:dyDescent="0.35">
      <c r="A8162" t="s">
        <v>847</v>
      </c>
      <c r="B8162" t="s">
        <v>691</v>
      </c>
      <c r="C8162" s="83">
        <v>46113</v>
      </c>
      <c r="D8162" t="s">
        <v>317</v>
      </c>
      <c r="E8162" t="s">
        <v>318</v>
      </c>
      <c r="F8162">
        <v>2</v>
      </c>
      <c r="G8162">
        <v>0.80553333333333299</v>
      </c>
    </row>
    <row r="8163" spans="1:7" x14ac:dyDescent="0.35">
      <c r="A8163" t="s">
        <v>847</v>
      </c>
      <c r="B8163" t="s">
        <v>691</v>
      </c>
      <c r="C8163" s="83">
        <v>46114</v>
      </c>
      <c r="D8163" t="s">
        <v>295</v>
      </c>
      <c r="E8163" t="s">
        <v>296</v>
      </c>
      <c r="F8163">
        <v>23</v>
      </c>
      <c r="G8163">
        <v>11.53485</v>
      </c>
    </row>
    <row r="8164" spans="1:7" x14ac:dyDescent="0.35">
      <c r="A8164" t="s">
        <v>847</v>
      </c>
      <c r="B8164" t="s">
        <v>691</v>
      </c>
      <c r="C8164" s="83">
        <v>46114</v>
      </c>
      <c r="D8164" t="s">
        <v>299</v>
      </c>
      <c r="E8164" t="s">
        <v>296</v>
      </c>
      <c r="F8164">
        <v>49</v>
      </c>
      <c r="G8164">
        <v>32.146316666666699</v>
      </c>
    </row>
    <row r="8165" spans="1:7" x14ac:dyDescent="0.35">
      <c r="A8165" t="s">
        <v>847</v>
      </c>
      <c r="B8165" t="s">
        <v>691</v>
      </c>
      <c r="C8165" s="83">
        <v>46114</v>
      </c>
      <c r="D8165" t="s">
        <v>310</v>
      </c>
      <c r="E8165" t="s">
        <v>311</v>
      </c>
      <c r="F8165">
        <v>23</v>
      </c>
      <c r="G8165">
        <v>23.20365</v>
      </c>
    </row>
    <row r="8166" spans="1:7" x14ac:dyDescent="0.35">
      <c r="A8166" t="s">
        <v>847</v>
      </c>
      <c r="B8166" t="s">
        <v>691</v>
      </c>
      <c r="C8166" s="83">
        <v>46114</v>
      </c>
      <c r="D8166" t="s">
        <v>310</v>
      </c>
      <c r="E8166" t="s">
        <v>126</v>
      </c>
      <c r="F8166">
        <v>8</v>
      </c>
      <c r="G8166">
        <v>13.6133333333333</v>
      </c>
    </row>
    <row r="8167" spans="1:7" x14ac:dyDescent="0.35">
      <c r="A8167" t="s">
        <v>847</v>
      </c>
      <c r="B8167" t="s">
        <v>691</v>
      </c>
      <c r="C8167" s="83">
        <v>46114</v>
      </c>
      <c r="D8167" t="s">
        <v>310</v>
      </c>
      <c r="E8167" t="s">
        <v>347</v>
      </c>
      <c r="F8167">
        <v>4</v>
      </c>
      <c r="G8167">
        <v>2.09913333333333</v>
      </c>
    </row>
    <row r="8168" spans="1:7" x14ac:dyDescent="0.35">
      <c r="A8168" t="s">
        <v>847</v>
      </c>
      <c r="B8168" t="s">
        <v>691</v>
      </c>
      <c r="C8168" s="83">
        <v>46114</v>
      </c>
      <c r="D8168" t="s">
        <v>313</v>
      </c>
      <c r="E8168" t="s">
        <v>311</v>
      </c>
      <c r="F8168">
        <v>11</v>
      </c>
      <c r="G8168">
        <v>7.8596500000000002</v>
      </c>
    </row>
    <row r="8169" spans="1:7" x14ac:dyDescent="0.35">
      <c r="A8169" t="s">
        <v>847</v>
      </c>
      <c r="B8169" t="s">
        <v>691</v>
      </c>
      <c r="C8169" s="83">
        <v>46114</v>
      </c>
      <c r="D8169" t="s">
        <v>313</v>
      </c>
      <c r="E8169" t="s">
        <v>126</v>
      </c>
      <c r="F8169">
        <v>7</v>
      </c>
      <c r="G8169">
        <v>43.214783333333301</v>
      </c>
    </row>
    <row r="8170" spans="1:7" x14ac:dyDescent="0.35">
      <c r="A8170" t="s">
        <v>847</v>
      </c>
      <c r="B8170" t="s">
        <v>691</v>
      </c>
      <c r="C8170" s="83">
        <v>46114</v>
      </c>
      <c r="D8170" t="s">
        <v>313</v>
      </c>
      <c r="E8170" t="s">
        <v>323</v>
      </c>
      <c r="F8170">
        <v>5</v>
      </c>
      <c r="G8170">
        <v>1.1839999999999999</v>
      </c>
    </row>
    <row r="8171" spans="1:7" x14ac:dyDescent="0.35">
      <c r="A8171" t="s">
        <v>847</v>
      </c>
      <c r="B8171" t="s">
        <v>691</v>
      </c>
      <c r="C8171" s="83">
        <v>46114</v>
      </c>
      <c r="D8171" t="s">
        <v>314</v>
      </c>
      <c r="E8171" t="s">
        <v>321</v>
      </c>
      <c r="F8171">
        <v>4</v>
      </c>
      <c r="G8171">
        <v>1.1353833333333301</v>
      </c>
    </row>
    <row r="8172" spans="1:7" x14ac:dyDescent="0.35">
      <c r="A8172" t="s">
        <v>847</v>
      </c>
      <c r="B8172" t="s">
        <v>691</v>
      </c>
      <c r="C8172" s="83">
        <v>46114</v>
      </c>
      <c r="D8172" t="s">
        <v>314</v>
      </c>
      <c r="E8172" t="s">
        <v>126</v>
      </c>
      <c r="F8172">
        <v>4</v>
      </c>
      <c r="G8172">
        <v>6.4478499999999999</v>
      </c>
    </row>
    <row r="8173" spans="1:7" x14ac:dyDescent="0.35">
      <c r="A8173" t="s">
        <v>847</v>
      </c>
      <c r="B8173" t="s">
        <v>691</v>
      </c>
      <c r="C8173" s="83">
        <v>46114</v>
      </c>
      <c r="D8173" t="s">
        <v>314</v>
      </c>
      <c r="E8173" t="s">
        <v>312</v>
      </c>
      <c r="F8173">
        <v>3</v>
      </c>
      <c r="G8173">
        <v>1.1759500000000001</v>
      </c>
    </row>
    <row r="8174" spans="1:7" x14ac:dyDescent="0.35">
      <c r="A8174" t="s">
        <v>847</v>
      </c>
      <c r="B8174" t="s">
        <v>691</v>
      </c>
      <c r="C8174" s="83">
        <v>46114</v>
      </c>
      <c r="D8174" t="s">
        <v>317</v>
      </c>
      <c r="E8174" t="s">
        <v>323</v>
      </c>
      <c r="F8174">
        <v>4</v>
      </c>
      <c r="G8174">
        <v>3.8619166666666702</v>
      </c>
    </row>
    <row r="8175" spans="1:7" x14ac:dyDescent="0.35">
      <c r="A8175" t="s">
        <v>847</v>
      </c>
      <c r="B8175" t="s">
        <v>691</v>
      </c>
      <c r="C8175" s="83">
        <v>46114</v>
      </c>
      <c r="D8175" t="s">
        <v>317</v>
      </c>
      <c r="E8175" t="s">
        <v>322</v>
      </c>
      <c r="F8175">
        <v>2</v>
      </c>
      <c r="G8175">
        <v>1.14371666666667</v>
      </c>
    </row>
    <row r="8176" spans="1:7" x14ac:dyDescent="0.35">
      <c r="A8176" t="s">
        <v>847</v>
      </c>
      <c r="B8176" t="s">
        <v>691</v>
      </c>
      <c r="C8176" s="83">
        <v>46114</v>
      </c>
      <c r="D8176" t="s">
        <v>317</v>
      </c>
      <c r="E8176" t="s">
        <v>339</v>
      </c>
      <c r="F8176">
        <v>2</v>
      </c>
      <c r="G8176">
        <v>1.25488333333333</v>
      </c>
    </row>
    <row r="8177" spans="1:7" x14ac:dyDescent="0.35">
      <c r="A8177" t="s">
        <v>847</v>
      </c>
      <c r="B8177" t="s">
        <v>691</v>
      </c>
      <c r="C8177" s="83">
        <v>46115</v>
      </c>
      <c r="D8177" t="s">
        <v>295</v>
      </c>
      <c r="E8177" t="s">
        <v>296</v>
      </c>
      <c r="F8177">
        <v>32</v>
      </c>
      <c r="G8177">
        <v>13.7220833333333</v>
      </c>
    </row>
    <row r="8178" spans="1:7" x14ac:dyDescent="0.35">
      <c r="A8178" t="s">
        <v>847</v>
      </c>
      <c r="B8178" t="s">
        <v>691</v>
      </c>
      <c r="C8178" s="83">
        <v>46115</v>
      </c>
      <c r="D8178" t="s">
        <v>299</v>
      </c>
      <c r="E8178" t="s">
        <v>296</v>
      </c>
      <c r="F8178">
        <v>41</v>
      </c>
      <c r="G8178">
        <v>29.1539</v>
      </c>
    </row>
    <row r="8179" spans="1:7" x14ac:dyDescent="0.35">
      <c r="A8179" t="s">
        <v>847</v>
      </c>
      <c r="B8179" t="s">
        <v>691</v>
      </c>
      <c r="C8179" s="83">
        <v>46115</v>
      </c>
      <c r="D8179" t="s">
        <v>301</v>
      </c>
      <c r="E8179" t="s">
        <v>302</v>
      </c>
      <c r="F8179">
        <v>8</v>
      </c>
      <c r="G8179">
        <v>3.05108333333333</v>
      </c>
    </row>
    <row r="8180" spans="1:7" x14ac:dyDescent="0.35">
      <c r="A8180" t="s">
        <v>847</v>
      </c>
      <c r="B8180" t="s">
        <v>691</v>
      </c>
      <c r="C8180" s="83">
        <v>46115</v>
      </c>
      <c r="D8180" t="s">
        <v>310</v>
      </c>
      <c r="E8180" t="s">
        <v>311</v>
      </c>
      <c r="F8180">
        <v>22</v>
      </c>
      <c r="G8180">
        <v>13.82795</v>
      </c>
    </row>
    <row r="8181" spans="1:7" x14ac:dyDescent="0.35">
      <c r="A8181" t="s">
        <v>847</v>
      </c>
      <c r="B8181" t="s">
        <v>691</v>
      </c>
      <c r="C8181" s="83">
        <v>46115</v>
      </c>
      <c r="D8181" t="s">
        <v>310</v>
      </c>
      <c r="E8181" t="s">
        <v>126</v>
      </c>
      <c r="F8181">
        <v>20</v>
      </c>
      <c r="G8181">
        <v>26.140933333333301</v>
      </c>
    </row>
    <row r="8182" spans="1:7" x14ac:dyDescent="0.35">
      <c r="A8182" t="s">
        <v>847</v>
      </c>
      <c r="B8182" t="s">
        <v>691</v>
      </c>
      <c r="C8182" s="83">
        <v>46115</v>
      </c>
      <c r="D8182" t="s">
        <v>310</v>
      </c>
      <c r="E8182" t="s">
        <v>772</v>
      </c>
      <c r="F8182">
        <v>3</v>
      </c>
      <c r="G8182">
        <v>4.8888666666666696</v>
      </c>
    </row>
    <row r="8183" spans="1:7" x14ac:dyDescent="0.35">
      <c r="A8183" t="s">
        <v>847</v>
      </c>
      <c r="B8183" t="s">
        <v>691</v>
      </c>
      <c r="C8183" s="83">
        <v>46115</v>
      </c>
      <c r="D8183" t="s">
        <v>313</v>
      </c>
      <c r="E8183" t="s">
        <v>311</v>
      </c>
      <c r="F8183">
        <v>26</v>
      </c>
      <c r="G8183">
        <v>22.3294</v>
      </c>
    </row>
    <row r="8184" spans="1:7" x14ac:dyDescent="0.35">
      <c r="A8184" t="s">
        <v>847</v>
      </c>
      <c r="B8184" t="s">
        <v>691</v>
      </c>
      <c r="C8184" s="83">
        <v>46115</v>
      </c>
      <c r="D8184" t="s">
        <v>313</v>
      </c>
      <c r="E8184" t="s">
        <v>347</v>
      </c>
      <c r="F8184">
        <v>4</v>
      </c>
      <c r="G8184">
        <v>0.83256666666666701</v>
      </c>
    </row>
    <row r="8185" spans="1:7" x14ac:dyDescent="0.35">
      <c r="A8185" t="s">
        <v>847</v>
      </c>
      <c r="B8185" t="s">
        <v>691</v>
      </c>
      <c r="C8185" s="83">
        <v>46115</v>
      </c>
      <c r="D8185" t="s">
        <v>313</v>
      </c>
      <c r="E8185" t="s">
        <v>316</v>
      </c>
      <c r="F8185">
        <v>4</v>
      </c>
      <c r="G8185">
        <v>1.98301666666667</v>
      </c>
    </row>
    <row r="8186" spans="1:7" x14ac:dyDescent="0.35">
      <c r="A8186" t="s">
        <v>847</v>
      </c>
      <c r="B8186" t="s">
        <v>691</v>
      </c>
      <c r="C8186" s="83">
        <v>46115</v>
      </c>
      <c r="D8186" t="s">
        <v>314</v>
      </c>
      <c r="E8186" t="s">
        <v>126</v>
      </c>
      <c r="F8186">
        <v>11</v>
      </c>
      <c r="G8186">
        <v>31.387533333333302</v>
      </c>
    </row>
    <row r="8187" spans="1:7" x14ac:dyDescent="0.35">
      <c r="A8187" t="s">
        <v>847</v>
      </c>
      <c r="B8187" t="s">
        <v>691</v>
      </c>
      <c r="C8187" s="83">
        <v>46115</v>
      </c>
      <c r="D8187" t="s">
        <v>314</v>
      </c>
      <c r="E8187" t="s">
        <v>312</v>
      </c>
      <c r="F8187">
        <v>6</v>
      </c>
      <c r="G8187">
        <v>3.0031166666666702</v>
      </c>
    </row>
    <row r="8188" spans="1:7" x14ac:dyDescent="0.35">
      <c r="A8188" t="s">
        <v>847</v>
      </c>
      <c r="B8188" t="s">
        <v>691</v>
      </c>
      <c r="C8188" s="83">
        <v>46115</v>
      </c>
      <c r="D8188" t="s">
        <v>314</v>
      </c>
      <c r="E8188" t="s">
        <v>835</v>
      </c>
      <c r="F8188">
        <v>6</v>
      </c>
      <c r="G8188">
        <v>26.164766666666701</v>
      </c>
    </row>
    <row r="8189" spans="1:7" x14ac:dyDescent="0.35">
      <c r="A8189" t="s">
        <v>847</v>
      </c>
      <c r="B8189" t="s">
        <v>691</v>
      </c>
      <c r="C8189" s="83">
        <v>46115</v>
      </c>
      <c r="D8189" t="s">
        <v>317</v>
      </c>
      <c r="E8189" t="s">
        <v>725</v>
      </c>
      <c r="F8189">
        <v>2</v>
      </c>
      <c r="G8189">
        <v>5.0533333333333298E-2</v>
      </c>
    </row>
    <row r="8190" spans="1:7" x14ac:dyDescent="0.35">
      <c r="A8190" t="s">
        <v>847</v>
      </c>
      <c r="B8190" t="s">
        <v>691</v>
      </c>
      <c r="C8190" s="83">
        <v>46115</v>
      </c>
      <c r="D8190" t="s">
        <v>317</v>
      </c>
      <c r="E8190" t="s">
        <v>319</v>
      </c>
      <c r="F8190">
        <v>2</v>
      </c>
      <c r="G8190">
        <v>0.220266666666667</v>
      </c>
    </row>
    <row r="8191" spans="1:7" x14ac:dyDescent="0.35">
      <c r="A8191" t="s">
        <v>847</v>
      </c>
      <c r="B8191" t="s">
        <v>691</v>
      </c>
      <c r="C8191" s="83">
        <v>46115</v>
      </c>
      <c r="D8191" t="s">
        <v>317</v>
      </c>
      <c r="E8191" t="s">
        <v>339</v>
      </c>
      <c r="F8191">
        <v>2</v>
      </c>
      <c r="G8191">
        <v>8.9332333333333303</v>
      </c>
    </row>
    <row r="8192" spans="1:7" x14ac:dyDescent="0.35">
      <c r="A8192" t="s">
        <v>847</v>
      </c>
      <c r="B8192" t="s">
        <v>691</v>
      </c>
      <c r="C8192" s="83">
        <v>46116</v>
      </c>
      <c r="D8192" t="s">
        <v>295</v>
      </c>
      <c r="E8192" t="s">
        <v>296</v>
      </c>
      <c r="F8192">
        <v>28</v>
      </c>
      <c r="G8192">
        <v>14.2896</v>
      </c>
    </row>
    <row r="8193" spans="1:7" x14ac:dyDescent="0.35">
      <c r="A8193" t="s">
        <v>847</v>
      </c>
      <c r="B8193" t="s">
        <v>691</v>
      </c>
      <c r="C8193" s="83">
        <v>46116</v>
      </c>
      <c r="D8193" t="s">
        <v>299</v>
      </c>
      <c r="E8193" t="s">
        <v>296</v>
      </c>
      <c r="F8193">
        <v>38</v>
      </c>
      <c r="G8193">
        <v>25.712883333333298</v>
      </c>
    </row>
    <row r="8194" spans="1:7" x14ac:dyDescent="0.35">
      <c r="A8194" t="s">
        <v>847</v>
      </c>
      <c r="B8194" t="s">
        <v>691</v>
      </c>
      <c r="C8194" s="83">
        <v>46116</v>
      </c>
      <c r="D8194" t="s">
        <v>301</v>
      </c>
      <c r="E8194" t="s">
        <v>302</v>
      </c>
      <c r="F8194">
        <v>18</v>
      </c>
      <c r="G8194">
        <v>13.7812</v>
      </c>
    </row>
    <row r="8195" spans="1:7" x14ac:dyDescent="0.35">
      <c r="A8195" t="s">
        <v>847</v>
      </c>
      <c r="B8195" t="s">
        <v>691</v>
      </c>
      <c r="C8195" s="83">
        <v>46116</v>
      </c>
      <c r="D8195" t="s">
        <v>303</v>
      </c>
      <c r="E8195" t="s">
        <v>302</v>
      </c>
      <c r="F8195">
        <v>7</v>
      </c>
      <c r="G8195">
        <v>2.6201166666666702</v>
      </c>
    </row>
    <row r="8196" spans="1:7" x14ac:dyDescent="0.35">
      <c r="A8196" t="s">
        <v>847</v>
      </c>
      <c r="B8196" t="s">
        <v>691</v>
      </c>
      <c r="C8196" s="83">
        <v>46116</v>
      </c>
      <c r="D8196" t="s">
        <v>309</v>
      </c>
      <c r="E8196" t="s">
        <v>344</v>
      </c>
      <c r="F8196">
        <v>24</v>
      </c>
      <c r="G8196">
        <v>14.692066666666699</v>
      </c>
    </row>
    <row r="8197" spans="1:7" x14ac:dyDescent="0.35">
      <c r="A8197" t="s">
        <v>847</v>
      </c>
      <c r="B8197" t="s">
        <v>691</v>
      </c>
      <c r="C8197" s="83">
        <v>46116</v>
      </c>
      <c r="D8197" t="s">
        <v>310</v>
      </c>
      <c r="E8197" t="s">
        <v>126</v>
      </c>
      <c r="F8197">
        <v>18</v>
      </c>
      <c r="G8197">
        <v>17.141383333333302</v>
      </c>
    </row>
    <row r="8198" spans="1:7" x14ac:dyDescent="0.35">
      <c r="A8198" t="s">
        <v>847</v>
      </c>
      <c r="B8198" t="s">
        <v>691</v>
      </c>
      <c r="C8198" s="83">
        <v>46116</v>
      </c>
      <c r="D8198" t="s">
        <v>310</v>
      </c>
      <c r="E8198" t="s">
        <v>338</v>
      </c>
      <c r="F8198">
        <v>3</v>
      </c>
      <c r="G8198">
        <v>1.3592500000000001</v>
      </c>
    </row>
    <row r="8199" spans="1:7" x14ac:dyDescent="0.35">
      <c r="A8199" t="s">
        <v>847</v>
      </c>
      <c r="B8199" t="s">
        <v>691</v>
      </c>
      <c r="C8199" s="83">
        <v>46116</v>
      </c>
      <c r="D8199" t="s">
        <v>310</v>
      </c>
      <c r="E8199" t="s">
        <v>311</v>
      </c>
      <c r="F8199">
        <v>3</v>
      </c>
      <c r="G8199">
        <v>89.400233333333304</v>
      </c>
    </row>
    <row r="8200" spans="1:7" x14ac:dyDescent="0.35">
      <c r="A8200" t="s">
        <v>847</v>
      </c>
      <c r="B8200" t="s">
        <v>691</v>
      </c>
      <c r="C8200" s="83">
        <v>46116</v>
      </c>
      <c r="D8200" t="s">
        <v>313</v>
      </c>
      <c r="E8200" t="s">
        <v>311</v>
      </c>
      <c r="F8200">
        <v>14</v>
      </c>
      <c r="G8200">
        <v>22.119599999999998</v>
      </c>
    </row>
    <row r="8201" spans="1:7" x14ac:dyDescent="0.35">
      <c r="A8201" t="s">
        <v>847</v>
      </c>
      <c r="B8201" t="s">
        <v>691</v>
      </c>
      <c r="C8201" s="83">
        <v>46116</v>
      </c>
      <c r="D8201" t="s">
        <v>313</v>
      </c>
      <c r="E8201" t="s">
        <v>312</v>
      </c>
      <c r="F8201">
        <v>5</v>
      </c>
      <c r="G8201">
        <v>23.17595</v>
      </c>
    </row>
    <row r="8202" spans="1:7" x14ac:dyDescent="0.35">
      <c r="A8202" t="s">
        <v>847</v>
      </c>
      <c r="B8202" t="s">
        <v>691</v>
      </c>
      <c r="C8202" s="83">
        <v>46116</v>
      </c>
      <c r="D8202" t="s">
        <v>313</v>
      </c>
      <c r="E8202" t="s">
        <v>126</v>
      </c>
      <c r="F8202">
        <v>4</v>
      </c>
      <c r="G8202">
        <v>7.0662166666666701</v>
      </c>
    </row>
    <row r="8203" spans="1:7" x14ac:dyDescent="0.35">
      <c r="A8203" t="s">
        <v>847</v>
      </c>
      <c r="B8203" t="s">
        <v>691</v>
      </c>
      <c r="C8203" s="83">
        <v>46116</v>
      </c>
      <c r="D8203" t="s">
        <v>314</v>
      </c>
      <c r="E8203" t="s">
        <v>316</v>
      </c>
      <c r="F8203">
        <v>13</v>
      </c>
      <c r="G8203">
        <v>6.65438333333333</v>
      </c>
    </row>
    <row r="8204" spans="1:7" x14ac:dyDescent="0.35">
      <c r="A8204" t="s">
        <v>847</v>
      </c>
      <c r="B8204" t="s">
        <v>691</v>
      </c>
      <c r="C8204" s="83">
        <v>46116</v>
      </c>
      <c r="D8204" t="s">
        <v>314</v>
      </c>
      <c r="E8204" t="s">
        <v>126</v>
      </c>
      <c r="F8204">
        <v>4</v>
      </c>
      <c r="G8204">
        <v>8.7072833333333293</v>
      </c>
    </row>
    <row r="8205" spans="1:7" x14ac:dyDescent="0.35">
      <c r="A8205" t="s">
        <v>847</v>
      </c>
      <c r="B8205" t="s">
        <v>691</v>
      </c>
      <c r="C8205" s="83">
        <v>46116</v>
      </c>
      <c r="D8205" t="s">
        <v>314</v>
      </c>
      <c r="E8205" t="s">
        <v>322</v>
      </c>
      <c r="F8205">
        <v>2</v>
      </c>
      <c r="G8205">
        <v>0.65190000000000003</v>
      </c>
    </row>
    <row r="8206" spans="1:7" x14ac:dyDescent="0.35">
      <c r="A8206" t="s">
        <v>847</v>
      </c>
      <c r="B8206" t="s">
        <v>691</v>
      </c>
      <c r="C8206" s="83">
        <v>46116</v>
      </c>
      <c r="D8206" t="s">
        <v>317</v>
      </c>
      <c r="E8206" t="s">
        <v>319</v>
      </c>
      <c r="F8206">
        <v>5</v>
      </c>
      <c r="G8206">
        <v>3.1009166666666701</v>
      </c>
    </row>
    <row r="8207" spans="1:7" x14ac:dyDescent="0.35">
      <c r="A8207" t="s">
        <v>847</v>
      </c>
      <c r="B8207" t="s">
        <v>691</v>
      </c>
      <c r="C8207" s="83">
        <v>46116</v>
      </c>
      <c r="D8207" t="s">
        <v>317</v>
      </c>
      <c r="E8207" t="s">
        <v>349</v>
      </c>
      <c r="F8207">
        <v>2</v>
      </c>
      <c r="G8207">
        <v>0.3896</v>
      </c>
    </row>
    <row r="8208" spans="1:7" x14ac:dyDescent="0.35">
      <c r="A8208" t="s">
        <v>847</v>
      </c>
      <c r="B8208" t="s">
        <v>691</v>
      </c>
      <c r="C8208" s="83">
        <v>46116</v>
      </c>
      <c r="D8208" t="s">
        <v>317</v>
      </c>
      <c r="E8208" t="s">
        <v>323</v>
      </c>
      <c r="F8208">
        <v>2</v>
      </c>
      <c r="G8208">
        <v>0.44829999999999998</v>
      </c>
    </row>
    <row r="8209" spans="1:7" x14ac:dyDescent="0.35">
      <c r="A8209" t="s">
        <v>847</v>
      </c>
      <c r="B8209" t="s">
        <v>691</v>
      </c>
      <c r="C8209" s="83">
        <v>46117</v>
      </c>
      <c r="D8209" t="s">
        <v>295</v>
      </c>
      <c r="E8209" t="s">
        <v>296</v>
      </c>
      <c r="F8209">
        <v>36</v>
      </c>
      <c r="G8209">
        <v>18.6186333333333</v>
      </c>
    </row>
    <row r="8210" spans="1:7" x14ac:dyDescent="0.35">
      <c r="A8210" t="s">
        <v>847</v>
      </c>
      <c r="B8210" t="s">
        <v>691</v>
      </c>
      <c r="C8210" s="83">
        <v>46117</v>
      </c>
      <c r="D8210" t="s">
        <v>295</v>
      </c>
      <c r="E8210" t="s">
        <v>302</v>
      </c>
      <c r="F8210">
        <v>25</v>
      </c>
      <c r="G8210">
        <v>12.2611166666667</v>
      </c>
    </row>
    <row r="8211" spans="1:7" x14ac:dyDescent="0.35">
      <c r="A8211" t="s">
        <v>847</v>
      </c>
      <c r="B8211" t="s">
        <v>691</v>
      </c>
      <c r="C8211" s="83">
        <v>46117</v>
      </c>
      <c r="D8211" t="s">
        <v>299</v>
      </c>
      <c r="E8211" t="s">
        <v>296</v>
      </c>
      <c r="F8211">
        <v>65</v>
      </c>
      <c r="G8211">
        <v>33.4696</v>
      </c>
    </row>
    <row r="8212" spans="1:7" x14ac:dyDescent="0.35">
      <c r="A8212" t="s">
        <v>847</v>
      </c>
      <c r="B8212" t="s">
        <v>691</v>
      </c>
      <c r="C8212" s="83">
        <v>46117</v>
      </c>
      <c r="D8212" t="s">
        <v>301</v>
      </c>
      <c r="E8212" t="s">
        <v>302</v>
      </c>
      <c r="F8212">
        <v>35</v>
      </c>
      <c r="G8212">
        <v>21.116966666666698</v>
      </c>
    </row>
    <row r="8213" spans="1:7" x14ac:dyDescent="0.35">
      <c r="A8213" t="s">
        <v>847</v>
      </c>
      <c r="B8213" t="s">
        <v>691</v>
      </c>
      <c r="C8213" s="83">
        <v>46117</v>
      </c>
      <c r="D8213" t="s">
        <v>303</v>
      </c>
      <c r="E8213" t="s">
        <v>302</v>
      </c>
      <c r="F8213">
        <v>19</v>
      </c>
      <c r="G8213">
        <v>5.8406000000000002</v>
      </c>
    </row>
    <row r="8214" spans="1:7" x14ac:dyDescent="0.35">
      <c r="A8214" t="s">
        <v>847</v>
      </c>
      <c r="B8214" t="s">
        <v>691</v>
      </c>
      <c r="C8214" s="83">
        <v>46117</v>
      </c>
      <c r="D8214" t="s">
        <v>309</v>
      </c>
      <c r="E8214" t="s">
        <v>344</v>
      </c>
      <c r="F8214">
        <v>59</v>
      </c>
      <c r="G8214">
        <v>29.187999999999999</v>
      </c>
    </row>
    <row r="8215" spans="1:7" x14ac:dyDescent="0.35">
      <c r="A8215" t="s">
        <v>847</v>
      </c>
      <c r="B8215" t="s">
        <v>691</v>
      </c>
      <c r="C8215" s="83">
        <v>46117</v>
      </c>
      <c r="D8215" t="s">
        <v>310</v>
      </c>
      <c r="E8215" t="s">
        <v>333</v>
      </c>
      <c r="F8215">
        <v>5</v>
      </c>
      <c r="G8215">
        <v>7.5479333333333303</v>
      </c>
    </row>
    <row r="8216" spans="1:7" x14ac:dyDescent="0.35">
      <c r="A8216" t="s">
        <v>847</v>
      </c>
      <c r="B8216" t="s">
        <v>691</v>
      </c>
      <c r="C8216" s="83">
        <v>46117</v>
      </c>
      <c r="D8216" t="s">
        <v>310</v>
      </c>
      <c r="E8216" t="s">
        <v>321</v>
      </c>
      <c r="F8216">
        <v>4</v>
      </c>
      <c r="G8216">
        <v>3.3420666666666698</v>
      </c>
    </row>
    <row r="8217" spans="1:7" x14ac:dyDescent="0.35">
      <c r="A8217" t="s">
        <v>847</v>
      </c>
      <c r="B8217" t="s">
        <v>691</v>
      </c>
      <c r="C8217" s="83">
        <v>46117</v>
      </c>
      <c r="D8217" t="s">
        <v>310</v>
      </c>
      <c r="E8217" t="s">
        <v>311</v>
      </c>
      <c r="F8217">
        <v>4</v>
      </c>
      <c r="G8217">
        <v>1.6103666666666701</v>
      </c>
    </row>
    <row r="8218" spans="1:7" x14ac:dyDescent="0.35">
      <c r="A8218" t="s">
        <v>847</v>
      </c>
      <c r="B8218" t="s">
        <v>691</v>
      </c>
      <c r="C8218" s="83">
        <v>46117</v>
      </c>
      <c r="D8218" t="s">
        <v>313</v>
      </c>
      <c r="E8218" t="s">
        <v>126</v>
      </c>
      <c r="F8218">
        <v>12</v>
      </c>
      <c r="G8218">
        <v>22.569299999999998</v>
      </c>
    </row>
    <row r="8219" spans="1:7" x14ac:dyDescent="0.35">
      <c r="A8219" t="s">
        <v>847</v>
      </c>
      <c r="B8219" t="s">
        <v>691</v>
      </c>
      <c r="C8219" s="83">
        <v>46117</v>
      </c>
      <c r="D8219" t="s">
        <v>313</v>
      </c>
      <c r="E8219" t="s">
        <v>349</v>
      </c>
      <c r="F8219">
        <v>3</v>
      </c>
      <c r="G8219">
        <v>0.81154999999999999</v>
      </c>
    </row>
    <row r="8220" spans="1:7" x14ac:dyDescent="0.35">
      <c r="A8220" t="s">
        <v>847</v>
      </c>
      <c r="B8220" t="s">
        <v>691</v>
      </c>
      <c r="C8220" s="83">
        <v>46117</v>
      </c>
      <c r="D8220" t="s">
        <v>313</v>
      </c>
      <c r="E8220" t="s">
        <v>322</v>
      </c>
      <c r="F8220">
        <v>3</v>
      </c>
      <c r="G8220">
        <v>2.1175333333333302</v>
      </c>
    </row>
    <row r="8221" spans="1:7" x14ac:dyDescent="0.35">
      <c r="A8221" t="s">
        <v>847</v>
      </c>
      <c r="B8221" t="s">
        <v>691</v>
      </c>
      <c r="C8221" s="83">
        <v>46117</v>
      </c>
      <c r="D8221" t="s">
        <v>314</v>
      </c>
      <c r="E8221" t="s">
        <v>312</v>
      </c>
      <c r="F8221">
        <v>14</v>
      </c>
      <c r="G8221">
        <v>18.310316666666701</v>
      </c>
    </row>
    <row r="8222" spans="1:7" x14ac:dyDescent="0.35">
      <c r="A8222" t="s">
        <v>847</v>
      </c>
      <c r="B8222" t="s">
        <v>691</v>
      </c>
      <c r="C8222" s="83">
        <v>46117</v>
      </c>
      <c r="D8222" t="s">
        <v>314</v>
      </c>
      <c r="E8222" t="s">
        <v>126</v>
      </c>
      <c r="F8222">
        <v>6</v>
      </c>
      <c r="G8222">
        <v>16.3228166666667</v>
      </c>
    </row>
    <row r="8223" spans="1:7" x14ac:dyDescent="0.35">
      <c r="A8223" t="s">
        <v>847</v>
      </c>
      <c r="B8223" t="s">
        <v>691</v>
      </c>
      <c r="C8223" s="83">
        <v>46117</v>
      </c>
      <c r="D8223" t="s">
        <v>314</v>
      </c>
      <c r="E8223" t="s">
        <v>316</v>
      </c>
      <c r="F8223">
        <v>6</v>
      </c>
      <c r="G8223">
        <v>1.6412166666666701</v>
      </c>
    </row>
    <row r="8224" spans="1:7" x14ac:dyDescent="0.35">
      <c r="A8224" t="s">
        <v>847</v>
      </c>
      <c r="B8224" t="s">
        <v>691</v>
      </c>
      <c r="C8224" s="83">
        <v>46117</v>
      </c>
      <c r="D8224" t="s">
        <v>317</v>
      </c>
      <c r="E8224" t="s">
        <v>319</v>
      </c>
      <c r="F8224">
        <v>2</v>
      </c>
      <c r="G8224">
        <v>1.72725</v>
      </c>
    </row>
    <row r="8225" spans="1:7" x14ac:dyDescent="0.35">
      <c r="A8225" t="s">
        <v>847</v>
      </c>
      <c r="B8225" t="s">
        <v>691</v>
      </c>
      <c r="C8225" s="83">
        <v>46117</v>
      </c>
      <c r="D8225" t="s">
        <v>317</v>
      </c>
      <c r="E8225" t="s">
        <v>322</v>
      </c>
      <c r="F8225">
        <v>2</v>
      </c>
      <c r="G8225">
        <v>2.8677666666666699</v>
      </c>
    </row>
    <row r="8226" spans="1:7" x14ac:dyDescent="0.35">
      <c r="A8226" t="s">
        <v>847</v>
      </c>
      <c r="B8226" t="s">
        <v>691</v>
      </c>
      <c r="C8226" s="83">
        <v>46117</v>
      </c>
      <c r="D8226" t="s">
        <v>317</v>
      </c>
      <c r="E8226" t="s">
        <v>323</v>
      </c>
      <c r="F8226">
        <v>2</v>
      </c>
      <c r="G8226">
        <v>1.75633333333333</v>
      </c>
    </row>
    <row r="8227" spans="1:7" x14ac:dyDescent="0.35">
      <c r="A8227" t="s">
        <v>847</v>
      </c>
      <c r="B8227" t="s">
        <v>691</v>
      </c>
      <c r="C8227" s="83">
        <v>46118</v>
      </c>
      <c r="D8227" t="s">
        <v>295</v>
      </c>
      <c r="E8227" t="s">
        <v>296</v>
      </c>
      <c r="F8227">
        <v>13</v>
      </c>
      <c r="G8227">
        <v>6.5546499999999996</v>
      </c>
    </row>
    <row r="8228" spans="1:7" x14ac:dyDescent="0.35">
      <c r="A8228" t="s">
        <v>847</v>
      </c>
      <c r="B8228" t="s">
        <v>691</v>
      </c>
      <c r="C8228" s="83">
        <v>46118</v>
      </c>
      <c r="D8228" t="s">
        <v>295</v>
      </c>
      <c r="E8228" t="s">
        <v>302</v>
      </c>
      <c r="F8228">
        <v>8</v>
      </c>
      <c r="G8228">
        <v>5.0842999999999998</v>
      </c>
    </row>
    <row r="8229" spans="1:7" x14ac:dyDescent="0.35">
      <c r="A8229" t="s">
        <v>847</v>
      </c>
      <c r="B8229" t="s">
        <v>691</v>
      </c>
      <c r="C8229" s="83">
        <v>46118</v>
      </c>
      <c r="D8229" t="s">
        <v>299</v>
      </c>
      <c r="E8229" t="s">
        <v>296</v>
      </c>
      <c r="F8229">
        <v>69</v>
      </c>
      <c r="G8229">
        <v>31.943083333333298</v>
      </c>
    </row>
    <row r="8230" spans="1:7" x14ac:dyDescent="0.35">
      <c r="A8230" t="s">
        <v>847</v>
      </c>
      <c r="B8230" t="s">
        <v>691</v>
      </c>
      <c r="C8230" s="83">
        <v>46118</v>
      </c>
      <c r="D8230" t="s">
        <v>301</v>
      </c>
      <c r="E8230" t="s">
        <v>302</v>
      </c>
      <c r="F8230">
        <v>22</v>
      </c>
      <c r="G8230">
        <v>9.8467333333333293</v>
      </c>
    </row>
    <row r="8231" spans="1:7" x14ac:dyDescent="0.35">
      <c r="A8231" t="s">
        <v>847</v>
      </c>
      <c r="B8231" t="s">
        <v>691</v>
      </c>
      <c r="C8231" s="83">
        <v>46118</v>
      </c>
      <c r="D8231" t="s">
        <v>303</v>
      </c>
      <c r="E8231" t="s">
        <v>302</v>
      </c>
      <c r="F8231">
        <v>13</v>
      </c>
      <c r="G8231">
        <v>2.9085000000000001</v>
      </c>
    </row>
    <row r="8232" spans="1:7" x14ac:dyDescent="0.35">
      <c r="A8232" t="s">
        <v>847</v>
      </c>
      <c r="B8232" t="s">
        <v>691</v>
      </c>
      <c r="C8232" s="83">
        <v>46118</v>
      </c>
      <c r="D8232" t="s">
        <v>309</v>
      </c>
      <c r="E8232" t="s">
        <v>344</v>
      </c>
      <c r="F8232">
        <v>60</v>
      </c>
      <c r="G8232">
        <v>36.974499999999999</v>
      </c>
    </row>
    <row r="8233" spans="1:7" x14ac:dyDescent="0.35">
      <c r="A8233" t="s">
        <v>847</v>
      </c>
      <c r="B8233" t="s">
        <v>691</v>
      </c>
      <c r="C8233" s="83">
        <v>46118</v>
      </c>
      <c r="D8233" t="s">
        <v>310</v>
      </c>
      <c r="E8233" t="s">
        <v>126</v>
      </c>
      <c r="F8233">
        <v>9</v>
      </c>
      <c r="G8233">
        <v>7.4868499999999996</v>
      </c>
    </row>
    <row r="8234" spans="1:7" x14ac:dyDescent="0.35">
      <c r="A8234" t="s">
        <v>847</v>
      </c>
      <c r="B8234" t="s">
        <v>691</v>
      </c>
      <c r="C8234" s="83">
        <v>46118</v>
      </c>
      <c r="D8234" t="s">
        <v>310</v>
      </c>
      <c r="E8234" t="s">
        <v>333</v>
      </c>
      <c r="F8234">
        <v>4</v>
      </c>
      <c r="G8234">
        <v>1.06528333333333</v>
      </c>
    </row>
    <row r="8235" spans="1:7" x14ac:dyDescent="0.35">
      <c r="A8235" t="s">
        <v>847</v>
      </c>
      <c r="B8235" t="s">
        <v>691</v>
      </c>
      <c r="C8235" s="83">
        <v>46118</v>
      </c>
      <c r="D8235" t="s">
        <v>310</v>
      </c>
      <c r="E8235" t="s">
        <v>338</v>
      </c>
      <c r="F8235">
        <v>3</v>
      </c>
      <c r="G8235">
        <v>6.8467166666666701</v>
      </c>
    </row>
    <row r="8236" spans="1:7" x14ac:dyDescent="0.35">
      <c r="A8236" t="s">
        <v>847</v>
      </c>
      <c r="B8236" t="s">
        <v>691</v>
      </c>
      <c r="C8236" s="83">
        <v>46118</v>
      </c>
      <c r="D8236" t="s">
        <v>313</v>
      </c>
      <c r="E8236" t="s">
        <v>311</v>
      </c>
      <c r="F8236">
        <v>28</v>
      </c>
      <c r="G8236">
        <v>18.5733833333333</v>
      </c>
    </row>
    <row r="8237" spans="1:7" x14ac:dyDescent="0.35">
      <c r="A8237" t="s">
        <v>847</v>
      </c>
      <c r="B8237" t="s">
        <v>691</v>
      </c>
      <c r="C8237" s="83">
        <v>46118</v>
      </c>
      <c r="D8237" t="s">
        <v>313</v>
      </c>
      <c r="E8237" t="s">
        <v>312</v>
      </c>
      <c r="F8237">
        <v>8</v>
      </c>
      <c r="G8237">
        <v>17.807033333333301</v>
      </c>
    </row>
    <row r="8238" spans="1:7" x14ac:dyDescent="0.35">
      <c r="A8238" t="s">
        <v>847</v>
      </c>
      <c r="B8238" t="s">
        <v>691</v>
      </c>
      <c r="C8238" s="83">
        <v>46118</v>
      </c>
      <c r="D8238" t="s">
        <v>313</v>
      </c>
      <c r="E8238" t="s">
        <v>347</v>
      </c>
      <c r="F8238">
        <v>5</v>
      </c>
      <c r="G8238">
        <v>1.8396999999999999</v>
      </c>
    </row>
    <row r="8239" spans="1:7" x14ac:dyDescent="0.35">
      <c r="A8239" t="s">
        <v>847</v>
      </c>
      <c r="B8239" t="s">
        <v>691</v>
      </c>
      <c r="C8239" s="83">
        <v>46118</v>
      </c>
      <c r="D8239" t="s">
        <v>314</v>
      </c>
      <c r="E8239" t="s">
        <v>126</v>
      </c>
      <c r="F8239">
        <v>4</v>
      </c>
      <c r="G8239">
        <v>6.8157333333333296</v>
      </c>
    </row>
    <row r="8240" spans="1:7" x14ac:dyDescent="0.35">
      <c r="A8240" t="s">
        <v>847</v>
      </c>
      <c r="B8240" t="s">
        <v>691</v>
      </c>
      <c r="C8240" s="83">
        <v>46118</v>
      </c>
      <c r="D8240" t="s">
        <v>314</v>
      </c>
      <c r="E8240" t="s">
        <v>316</v>
      </c>
      <c r="F8240">
        <v>3</v>
      </c>
      <c r="G8240">
        <v>1.2039166666666701</v>
      </c>
    </row>
    <row r="8241" spans="1:7" x14ac:dyDescent="0.35">
      <c r="A8241" t="s">
        <v>847</v>
      </c>
      <c r="B8241" t="s">
        <v>691</v>
      </c>
      <c r="C8241" s="83">
        <v>46118</v>
      </c>
      <c r="D8241" t="s">
        <v>314</v>
      </c>
      <c r="E8241" t="s">
        <v>321</v>
      </c>
      <c r="F8241">
        <v>3</v>
      </c>
      <c r="G8241">
        <v>2.3895499999999998</v>
      </c>
    </row>
    <row r="8242" spans="1:7" x14ac:dyDescent="0.35">
      <c r="A8242" t="s">
        <v>847</v>
      </c>
      <c r="B8242" t="s">
        <v>691</v>
      </c>
      <c r="C8242" s="83">
        <v>46118</v>
      </c>
      <c r="D8242" t="s">
        <v>317</v>
      </c>
      <c r="E8242" t="s">
        <v>322</v>
      </c>
      <c r="F8242">
        <v>3</v>
      </c>
      <c r="G8242">
        <v>1.60236666666667</v>
      </c>
    </row>
    <row r="8243" spans="1:7" x14ac:dyDescent="0.35">
      <c r="A8243" t="s">
        <v>847</v>
      </c>
      <c r="B8243" t="s">
        <v>691</v>
      </c>
      <c r="C8243" s="83">
        <v>46118</v>
      </c>
      <c r="D8243" t="s">
        <v>317</v>
      </c>
      <c r="E8243" t="s">
        <v>319</v>
      </c>
      <c r="F8243">
        <v>2</v>
      </c>
      <c r="G8243">
        <v>2.8904999999999998</v>
      </c>
    </row>
    <row r="8244" spans="1:7" x14ac:dyDescent="0.35">
      <c r="A8244" t="s">
        <v>847</v>
      </c>
      <c r="B8244" t="s">
        <v>691</v>
      </c>
      <c r="C8244" s="83">
        <v>46118</v>
      </c>
      <c r="D8244" t="s">
        <v>317</v>
      </c>
      <c r="E8244" t="s">
        <v>339</v>
      </c>
      <c r="F8244">
        <v>2</v>
      </c>
      <c r="G8244">
        <v>1.4757499999999999</v>
      </c>
    </row>
    <row r="8245" spans="1:7" x14ac:dyDescent="0.35">
      <c r="A8245" t="s">
        <v>847</v>
      </c>
      <c r="B8245" t="s">
        <v>691</v>
      </c>
      <c r="C8245" s="83">
        <v>46119</v>
      </c>
      <c r="D8245" t="s">
        <v>295</v>
      </c>
      <c r="E8245" t="s">
        <v>302</v>
      </c>
      <c r="F8245">
        <v>16</v>
      </c>
      <c r="G8245">
        <v>8.36628333333333</v>
      </c>
    </row>
    <row r="8246" spans="1:7" x14ac:dyDescent="0.35">
      <c r="A8246" t="s">
        <v>847</v>
      </c>
      <c r="B8246" t="s">
        <v>691</v>
      </c>
      <c r="C8246" s="83">
        <v>46119</v>
      </c>
      <c r="D8246" t="s">
        <v>299</v>
      </c>
      <c r="E8246" t="s">
        <v>296</v>
      </c>
      <c r="F8246">
        <v>86</v>
      </c>
      <c r="G8246">
        <v>47.275550000000003</v>
      </c>
    </row>
    <row r="8247" spans="1:7" x14ac:dyDescent="0.35">
      <c r="A8247" t="s">
        <v>847</v>
      </c>
      <c r="B8247" t="s">
        <v>691</v>
      </c>
      <c r="C8247" s="83">
        <v>46119</v>
      </c>
      <c r="D8247" t="s">
        <v>309</v>
      </c>
      <c r="E8247" t="s">
        <v>344</v>
      </c>
      <c r="F8247">
        <v>16</v>
      </c>
      <c r="G8247">
        <v>15.8440333333333</v>
      </c>
    </row>
    <row r="8248" spans="1:7" x14ac:dyDescent="0.35">
      <c r="A8248" t="s">
        <v>847</v>
      </c>
      <c r="B8248" t="s">
        <v>691</v>
      </c>
      <c r="C8248" s="83">
        <v>46119</v>
      </c>
      <c r="D8248" t="s">
        <v>310</v>
      </c>
      <c r="E8248" t="s">
        <v>333</v>
      </c>
      <c r="F8248">
        <v>15</v>
      </c>
      <c r="G8248">
        <v>15.2982833333333</v>
      </c>
    </row>
    <row r="8249" spans="1:7" x14ac:dyDescent="0.35">
      <c r="A8249" t="s">
        <v>847</v>
      </c>
      <c r="B8249" t="s">
        <v>691</v>
      </c>
      <c r="C8249" s="83">
        <v>46119</v>
      </c>
      <c r="D8249" t="s">
        <v>310</v>
      </c>
      <c r="E8249" t="s">
        <v>126</v>
      </c>
      <c r="F8249">
        <v>13</v>
      </c>
      <c r="G8249">
        <v>10.293283333333299</v>
      </c>
    </row>
    <row r="8250" spans="1:7" x14ac:dyDescent="0.35">
      <c r="A8250" t="s">
        <v>847</v>
      </c>
      <c r="B8250" t="s">
        <v>691</v>
      </c>
      <c r="C8250" s="83">
        <v>46119</v>
      </c>
      <c r="D8250" t="s">
        <v>310</v>
      </c>
      <c r="E8250" t="s">
        <v>321</v>
      </c>
      <c r="F8250">
        <v>9</v>
      </c>
      <c r="G8250">
        <v>4.2554833333333297</v>
      </c>
    </row>
    <row r="8251" spans="1:7" x14ac:dyDescent="0.35">
      <c r="A8251" t="s">
        <v>847</v>
      </c>
      <c r="B8251" t="s">
        <v>691</v>
      </c>
      <c r="C8251" s="83">
        <v>46119</v>
      </c>
      <c r="D8251" t="s">
        <v>313</v>
      </c>
      <c r="E8251" t="s">
        <v>126</v>
      </c>
      <c r="F8251">
        <v>7</v>
      </c>
      <c r="G8251">
        <v>9.7291833333333297</v>
      </c>
    </row>
    <row r="8252" spans="1:7" x14ac:dyDescent="0.35">
      <c r="A8252" t="s">
        <v>847</v>
      </c>
      <c r="B8252" t="s">
        <v>691</v>
      </c>
      <c r="C8252" s="83">
        <v>46119</v>
      </c>
      <c r="D8252" t="s">
        <v>313</v>
      </c>
      <c r="E8252" t="s">
        <v>311</v>
      </c>
      <c r="F8252">
        <v>6</v>
      </c>
      <c r="G8252">
        <v>15.4951333333333</v>
      </c>
    </row>
    <row r="8253" spans="1:7" x14ac:dyDescent="0.35">
      <c r="A8253" t="s">
        <v>847</v>
      </c>
      <c r="B8253" t="s">
        <v>691</v>
      </c>
      <c r="C8253" s="83">
        <v>46119</v>
      </c>
      <c r="D8253" t="s">
        <v>313</v>
      </c>
      <c r="E8253" t="s">
        <v>312</v>
      </c>
      <c r="F8253">
        <v>5</v>
      </c>
      <c r="G8253">
        <v>2.0269666666666701</v>
      </c>
    </row>
    <row r="8254" spans="1:7" x14ac:dyDescent="0.35">
      <c r="A8254" t="s">
        <v>847</v>
      </c>
      <c r="B8254" t="s">
        <v>691</v>
      </c>
      <c r="C8254" s="83">
        <v>46119</v>
      </c>
      <c r="D8254" t="s">
        <v>314</v>
      </c>
      <c r="E8254" t="s">
        <v>640</v>
      </c>
      <c r="F8254">
        <v>7</v>
      </c>
      <c r="G8254">
        <v>15.1371</v>
      </c>
    </row>
    <row r="8255" spans="1:7" x14ac:dyDescent="0.35">
      <c r="A8255" t="s">
        <v>847</v>
      </c>
      <c r="B8255" t="s">
        <v>691</v>
      </c>
      <c r="C8255" s="83">
        <v>46119</v>
      </c>
      <c r="D8255" t="s">
        <v>314</v>
      </c>
      <c r="E8255" t="s">
        <v>126</v>
      </c>
      <c r="F8255">
        <v>6</v>
      </c>
      <c r="G8255">
        <v>9.2171500000000002</v>
      </c>
    </row>
    <row r="8256" spans="1:7" x14ac:dyDescent="0.35">
      <c r="A8256" t="s">
        <v>847</v>
      </c>
      <c r="B8256" t="s">
        <v>691</v>
      </c>
      <c r="C8256" s="83">
        <v>46119</v>
      </c>
      <c r="D8256" t="s">
        <v>314</v>
      </c>
      <c r="E8256" t="s">
        <v>311</v>
      </c>
      <c r="F8256">
        <v>6</v>
      </c>
      <c r="G8256">
        <v>43.093083333333297</v>
      </c>
    </row>
    <row r="8257" spans="1:7" x14ac:dyDescent="0.35">
      <c r="A8257" t="s">
        <v>847</v>
      </c>
      <c r="B8257" t="s">
        <v>691</v>
      </c>
      <c r="C8257" s="83">
        <v>46119</v>
      </c>
      <c r="D8257" t="s">
        <v>317</v>
      </c>
      <c r="E8257" t="s">
        <v>792</v>
      </c>
      <c r="F8257">
        <v>2</v>
      </c>
      <c r="G8257">
        <v>0.45776666666666699</v>
      </c>
    </row>
    <row r="8258" spans="1:7" x14ac:dyDescent="0.35">
      <c r="A8258" t="s">
        <v>847</v>
      </c>
      <c r="B8258" t="s">
        <v>691</v>
      </c>
      <c r="C8258" s="83">
        <v>46119</v>
      </c>
      <c r="D8258" t="s">
        <v>317</v>
      </c>
      <c r="E8258" t="s">
        <v>825</v>
      </c>
      <c r="F8258">
        <v>2</v>
      </c>
      <c r="G8258">
        <v>0.55928333333333302</v>
      </c>
    </row>
    <row r="8259" spans="1:7" x14ac:dyDescent="0.35">
      <c r="A8259" t="s">
        <v>847</v>
      </c>
      <c r="B8259" t="s">
        <v>691</v>
      </c>
      <c r="C8259" s="83">
        <v>46119</v>
      </c>
      <c r="D8259" t="s">
        <v>317</v>
      </c>
      <c r="E8259" t="s">
        <v>323</v>
      </c>
      <c r="F8259">
        <v>2</v>
      </c>
      <c r="G8259">
        <v>2.2883833333333299</v>
      </c>
    </row>
    <row r="8260" spans="1:7" x14ac:dyDescent="0.35">
      <c r="A8260" t="s">
        <v>847</v>
      </c>
      <c r="B8260" t="s">
        <v>691</v>
      </c>
      <c r="C8260" s="83">
        <v>46120</v>
      </c>
      <c r="D8260" t="s">
        <v>295</v>
      </c>
      <c r="E8260" t="s">
        <v>296</v>
      </c>
      <c r="F8260">
        <v>21</v>
      </c>
      <c r="G8260">
        <v>11.644399999999999</v>
      </c>
    </row>
    <row r="8261" spans="1:7" x14ac:dyDescent="0.35">
      <c r="A8261" t="s">
        <v>847</v>
      </c>
      <c r="B8261" t="s">
        <v>691</v>
      </c>
      <c r="C8261" s="83">
        <v>46120</v>
      </c>
      <c r="D8261" t="s">
        <v>295</v>
      </c>
      <c r="E8261" t="s">
        <v>302</v>
      </c>
      <c r="F8261">
        <v>21</v>
      </c>
      <c r="G8261">
        <v>27.61065</v>
      </c>
    </row>
    <row r="8262" spans="1:7" x14ac:dyDescent="0.35">
      <c r="A8262" t="s">
        <v>847</v>
      </c>
      <c r="B8262" t="s">
        <v>691</v>
      </c>
      <c r="C8262" s="83">
        <v>46120</v>
      </c>
      <c r="D8262" t="s">
        <v>299</v>
      </c>
      <c r="E8262" t="s">
        <v>296</v>
      </c>
      <c r="F8262">
        <v>144</v>
      </c>
      <c r="G8262">
        <v>98.320383333333297</v>
      </c>
    </row>
    <row r="8263" spans="1:7" x14ac:dyDescent="0.35">
      <c r="A8263" t="s">
        <v>847</v>
      </c>
      <c r="B8263" t="s">
        <v>691</v>
      </c>
      <c r="C8263" s="83">
        <v>46120</v>
      </c>
      <c r="D8263" t="s">
        <v>310</v>
      </c>
      <c r="E8263" t="s">
        <v>321</v>
      </c>
      <c r="F8263">
        <v>6</v>
      </c>
      <c r="G8263">
        <v>2.3064833333333299</v>
      </c>
    </row>
    <row r="8264" spans="1:7" x14ac:dyDescent="0.35">
      <c r="A8264" t="s">
        <v>847</v>
      </c>
      <c r="B8264" t="s">
        <v>691</v>
      </c>
      <c r="C8264" s="83">
        <v>46120</v>
      </c>
      <c r="D8264" t="s">
        <v>310</v>
      </c>
      <c r="E8264" t="s">
        <v>312</v>
      </c>
      <c r="F8264">
        <v>6</v>
      </c>
      <c r="G8264">
        <v>5.0340833333333297</v>
      </c>
    </row>
    <row r="8265" spans="1:7" x14ac:dyDescent="0.35">
      <c r="A8265" t="s">
        <v>847</v>
      </c>
      <c r="B8265" t="s">
        <v>691</v>
      </c>
      <c r="C8265" s="83">
        <v>46120</v>
      </c>
      <c r="D8265" t="s">
        <v>310</v>
      </c>
      <c r="E8265" t="s">
        <v>311</v>
      </c>
      <c r="F8265">
        <v>5</v>
      </c>
      <c r="G8265">
        <v>11.86365</v>
      </c>
    </row>
    <row r="8266" spans="1:7" x14ac:dyDescent="0.35">
      <c r="A8266" t="s">
        <v>847</v>
      </c>
      <c r="B8266" t="s">
        <v>691</v>
      </c>
      <c r="C8266" s="83">
        <v>46120</v>
      </c>
      <c r="D8266" t="s">
        <v>313</v>
      </c>
      <c r="E8266" t="s">
        <v>312</v>
      </c>
      <c r="F8266">
        <v>9</v>
      </c>
      <c r="G8266">
        <v>6.2171000000000003</v>
      </c>
    </row>
    <row r="8267" spans="1:7" x14ac:dyDescent="0.35">
      <c r="A8267" t="s">
        <v>847</v>
      </c>
      <c r="B8267" t="s">
        <v>691</v>
      </c>
      <c r="C8267" s="83">
        <v>46120</v>
      </c>
      <c r="D8267" t="s">
        <v>313</v>
      </c>
      <c r="E8267" t="s">
        <v>640</v>
      </c>
      <c r="F8267">
        <v>5</v>
      </c>
      <c r="G8267">
        <v>5.8671333333333298</v>
      </c>
    </row>
    <row r="8268" spans="1:7" x14ac:dyDescent="0.35">
      <c r="A8268" t="s">
        <v>847</v>
      </c>
      <c r="B8268" t="s">
        <v>691</v>
      </c>
      <c r="C8268" s="83">
        <v>46120</v>
      </c>
      <c r="D8268" t="s">
        <v>313</v>
      </c>
      <c r="E8268" t="s">
        <v>126</v>
      </c>
      <c r="F8268">
        <v>3</v>
      </c>
      <c r="G8268">
        <v>3.3734500000000001</v>
      </c>
    </row>
    <row r="8269" spans="1:7" x14ac:dyDescent="0.35">
      <c r="A8269" t="s">
        <v>847</v>
      </c>
      <c r="B8269" t="s">
        <v>691</v>
      </c>
      <c r="C8269" s="83">
        <v>46120</v>
      </c>
      <c r="D8269" t="s">
        <v>314</v>
      </c>
      <c r="E8269" t="s">
        <v>126</v>
      </c>
      <c r="F8269">
        <v>20</v>
      </c>
      <c r="G8269">
        <v>50.504449999999999</v>
      </c>
    </row>
    <row r="8270" spans="1:7" x14ac:dyDescent="0.35">
      <c r="A8270" t="s">
        <v>847</v>
      </c>
      <c r="B8270" t="s">
        <v>691</v>
      </c>
      <c r="C8270" s="83">
        <v>46120</v>
      </c>
      <c r="D8270" t="s">
        <v>314</v>
      </c>
      <c r="E8270" t="s">
        <v>640</v>
      </c>
      <c r="F8270">
        <v>12</v>
      </c>
      <c r="G8270">
        <v>23.100633333333299</v>
      </c>
    </row>
    <row r="8271" spans="1:7" x14ac:dyDescent="0.35">
      <c r="A8271" t="s">
        <v>847</v>
      </c>
      <c r="B8271" t="s">
        <v>691</v>
      </c>
      <c r="C8271" s="83">
        <v>46120</v>
      </c>
      <c r="D8271" t="s">
        <v>314</v>
      </c>
      <c r="E8271" t="s">
        <v>316</v>
      </c>
      <c r="F8271">
        <v>7</v>
      </c>
      <c r="G8271">
        <v>4.4571166666666704</v>
      </c>
    </row>
    <row r="8272" spans="1:7" x14ac:dyDescent="0.35">
      <c r="A8272" t="s">
        <v>847</v>
      </c>
      <c r="B8272" t="s">
        <v>691</v>
      </c>
      <c r="C8272" s="83">
        <v>46120</v>
      </c>
      <c r="D8272" t="s">
        <v>317</v>
      </c>
      <c r="E8272" t="s">
        <v>319</v>
      </c>
      <c r="F8272">
        <v>2</v>
      </c>
      <c r="G8272">
        <v>0.31355</v>
      </c>
    </row>
    <row r="8273" spans="1:7" x14ac:dyDescent="0.35">
      <c r="A8273" t="s">
        <v>847</v>
      </c>
      <c r="B8273" t="s">
        <v>691</v>
      </c>
      <c r="C8273" s="83">
        <v>46120</v>
      </c>
      <c r="D8273" t="s">
        <v>317</v>
      </c>
      <c r="E8273" t="s">
        <v>322</v>
      </c>
      <c r="F8273">
        <v>2</v>
      </c>
      <c r="G8273">
        <v>1.28826666666667</v>
      </c>
    </row>
    <row r="8274" spans="1:7" x14ac:dyDescent="0.35">
      <c r="A8274" t="s">
        <v>847</v>
      </c>
      <c r="B8274" t="s">
        <v>691</v>
      </c>
      <c r="C8274" s="83">
        <v>46120</v>
      </c>
      <c r="D8274" t="s">
        <v>317</v>
      </c>
      <c r="E8274" t="s">
        <v>323</v>
      </c>
      <c r="F8274">
        <v>2</v>
      </c>
      <c r="G8274">
        <v>0.67664999999999997</v>
      </c>
    </row>
    <row r="8275" spans="1:7" x14ac:dyDescent="0.35">
      <c r="A8275" t="s">
        <v>847</v>
      </c>
      <c r="B8275" t="s">
        <v>691</v>
      </c>
      <c r="C8275" s="83">
        <v>46121</v>
      </c>
      <c r="D8275" t="s">
        <v>295</v>
      </c>
      <c r="E8275" t="s">
        <v>302</v>
      </c>
      <c r="F8275">
        <v>27</v>
      </c>
      <c r="G8275">
        <v>11.3425833333333</v>
      </c>
    </row>
    <row r="8276" spans="1:7" x14ac:dyDescent="0.35">
      <c r="A8276" t="s">
        <v>847</v>
      </c>
      <c r="B8276" t="s">
        <v>691</v>
      </c>
      <c r="C8276" s="83">
        <v>46121</v>
      </c>
      <c r="D8276" t="s">
        <v>295</v>
      </c>
      <c r="E8276" t="s">
        <v>296</v>
      </c>
      <c r="F8276">
        <v>26</v>
      </c>
      <c r="G8276">
        <v>9.1645166666666693</v>
      </c>
    </row>
    <row r="8277" spans="1:7" x14ac:dyDescent="0.35">
      <c r="A8277" t="s">
        <v>847</v>
      </c>
      <c r="B8277" t="s">
        <v>691</v>
      </c>
      <c r="C8277" s="83">
        <v>46121</v>
      </c>
      <c r="D8277" t="s">
        <v>299</v>
      </c>
      <c r="E8277" t="s">
        <v>296</v>
      </c>
      <c r="F8277">
        <v>131</v>
      </c>
      <c r="G8277">
        <v>56.257966666666697</v>
      </c>
    </row>
    <row r="8278" spans="1:7" x14ac:dyDescent="0.35">
      <c r="A8278" t="s">
        <v>847</v>
      </c>
      <c r="B8278" t="s">
        <v>691</v>
      </c>
      <c r="C8278" s="83">
        <v>46121</v>
      </c>
      <c r="D8278" t="s">
        <v>301</v>
      </c>
      <c r="E8278" t="s">
        <v>302</v>
      </c>
      <c r="F8278">
        <v>21</v>
      </c>
      <c r="G8278">
        <v>5.38185</v>
      </c>
    </row>
    <row r="8279" spans="1:7" x14ac:dyDescent="0.35">
      <c r="A8279" t="s">
        <v>847</v>
      </c>
      <c r="B8279" t="s">
        <v>691</v>
      </c>
      <c r="C8279" s="83">
        <v>46121</v>
      </c>
      <c r="D8279" t="s">
        <v>310</v>
      </c>
      <c r="E8279" t="s">
        <v>312</v>
      </c>
      <c r="F8279">
        <v>13</v>
      </c>
      <c r="G8279">
        <v>6.8828166666666704</v>
      </c>
    </row>
    <row r="8280" spans="1:7" x14ac:dyDescent="0.35">
      <c r="A8280" t="s">
        <v>847</v>
      </c>
      <c r="B8280" t="s">
        <v>691</v>
      </c>
      <c r="C8280" s="83">
        <v>46121</v>
      </c>
      <c r="D8280" t="s">
        <v>310</v>
      </c>
      <c r="E8280" t="s">
        <v>321</v>
      </c>
      <c r="F8280">
        <v>8</v>
      </c>
      <c r="G8280">
        <v>4.14326666666667</v>
      </c>
    </row>
    <row r="8281" spans="1:7" x14ac:dyDescent="0.35">
      <c r="A8281" t="s">
        <v>847</v>
      </c>
      <c r="B8281" t="s">
        <v>691</v>
      </c>
      <c r="C8281" s="83">
        <v>46121</v>
      </c>
      <c r="D8281" t="s">
        <v>310</v>
      </c>
      <c r="E8281" t="s">
        <v>316</v>
      </c>
      <c r="F8281">
        <v>6</v>
      </c>
      <c r="G8281">
        <v>2.7075166666666699</v>
      </c>
    </row>
    <row r="8282" spans="1:7" x14ac:dyDescent="0.35">
      <c r="A8282" t="s">
        <v>847</v>
      </c>
      <c r="B8282" t="s">
        <v>691</v>
      </c>
      <c r="C8282" s="83">
        <v>46121</v>
      </c>
      <c r="D8282" t="s">
        <v>313</v>
      </c>
      <c r="E8282" t="s">
        <v>640</v>
      </c>
      <c r="F8282">
        <v>12</v>
      </c>
      <c r="G8282">
        <v>20.991116666666699</v>
      </c>
    </row>
    <row r="8283" spans="1:7" x14ac:dyDescent="0.35">
      <c r="A8283" t="s">
        <v>847</v>
      </c>
      <c r="B8283" t="s">
        <v>691</v>
      </c>
      <c r="C8283" s="83">
        <v>46121</v>
      </c>
      <c r="D8283" t="s">
        <v>313</v>
      </c>
      <c r="E8283" t="s">
        <v>312</v>
      </c>
      <c r="F8283">
        <v>7</v>
      </c>
      <c r="G8283">
        <v>6.5608833333333303</v>
      </c>
    </row>
    <row r="8284" spans="1:7" x14ac:dyDescent="0.35">
      <c r="A8284" t="s">
        <v>847</v>
      </c>
      <c r="B8284" t="s">
        <v>691</v>
      </c>
      <c r="C8284" s="83">
        <v>46121</v>
      </c>
      <c r="D8284" t="s">
        <v>313</v>
      </c>
      <c r="E8284" t="s">
        <v>311</v>
      </c>
      <c r="F8284">
        <v>6</v>
      </c>
      <c r="G8284">
        <v>2.9406333333333299</v>
      </c>
    </row>
    <row r="8285" spans="1:7" x14ac:dyDescent="0.35">
      <c r="A8285" t="s">
        <v>847</v>
      </c>
      <c r="B8285" t="s">
        <v>691</v>
      </c>
      <c r="C8285" s="83">
        <v>46121</v>
      </c>
      <c r="D8285" t="s">
        <v>314</v>
      </c>
      <c r="E8285" t="s">
        <v>126</v>
      </c>
      <c r="F8285">
        <v>12</v>
      </c>
      <c r="G8285">
        <v>46.930016666666702</v>
      </c>
    </row>
    <row r="8286" spans="1:7" x14ac:dyDescent="0.35">
      <c r="A8286" t="s">
        <v>847</v>
      </c>
      <c r="B8286" t="s">
        <v>691</v>
      </c>
      <c r="C8286" s="83">
        <v>46121</v>
      </c>
      <c r="D8286" t="s">
        <v>314</v>
      </c>
      <c r="E8286" t="s">
        <v>316</v>
      </c>
      <c r="F8286">
        <v>8</v>
      </c>
      <c r="G8286">
        <v>4.8828500000000004</v>
      </c>
    </row>
    <row r="8287" spans="1:7" x14ac:dyDescent="0.35">
      <c r="A8287" t="s">
        <v>847</v>
      </c>
      <c r="B8287" t="s">
        <v>691</v>
      </c>
      <c r="C8287" s="83">
        <v>46121</v>
      </c>
      <c r="D8287" t="s">
        <v>314</v>
      </c>
      <c r="E8287" t="s">
        <v>640</v>
      </c>
      <c r="F8287">
        <v>4</v>
      </c>
      <c r="G8287">
        <v>21.381333333333298</v>
      </c>
    </row>
    <row r="8288" spans="1:7" x14ac:dyDescent="0.35">
      <c r="A8288" t="s">
        <v>847</v>
      </c>
      <c r="B8288" t="s">
        <v>691</v>
      </c>
      <c r="C8288" s="83">
        <v>46122</v>
      </c>
      <c r="D8288" t="s">
        <v>295</v>
      </c>
      <c r="E8288" t="s">
        <v>296</v>
      </c>
      <c r="F8288">
        <v>31</v>
      </c>
      <c r="G8288">
        <v>12.528600000000001</v>
      </c>
    </row>
    <row r="8289" spans="1:7" x14ac:dyDescent="0.35">
      <c r="A8289" t="s">
        <v>847</v>
      </c>
      <c r="B8289" t="s">
        <v>691</v>
      </c>
      <c r="C8289" s="83">
        <v>46122</v>
      </c>
      <c r="D8289" t="s">
        <v>295</v>
      </c>
      <c r="E8289" t="s">
        <v>302</v>
      </c>
      <c r="F8289">
        <v>19</v>
      </c>
      <c r="G8289">
        <v>11.412283333333299</v>
      </c>
    </row>
    <row r="8290" spans="1:7" x14ac:dyDescent="0.35">
      <c r="A8290" t="s">
        <v>847</v>
      </c>
      <c r="B8290" t="s">
        <v>691</v>
      </c>
      <c r="C8290" s="83">
        <v>46122</v>
      </c>
      <c r="D8290" t="s">
        <v>299</v>
      </c>
      <c r="E8290" t="s">
        <v>296</v>
      </c>
      <c r="F8290">
        <v>126</v>
      </c>
      <c r="G8290">
        <v>62.708683333333298</v>
      </c>
    </row>
    <row r="8291" spans="1:7" x14ac:dyDescent="0.35">
      <c r="A8291" t="s">
        <v>847</v>
      </c>
      <c r="B8291" t="s">
        <v>691</v>
      </c>
      <c r="C8291" s="83">
        <v>46122</v>
      </c>
      <c r="D8291" t="s">
        <v>301</v>
      </c>
      <c r="E8291" t="s">
        <v>302</v>
      </c>
      <c r="F8291">
        <v>38</v>
      </c>
      <c r="G8291">
        <v>18.5505</v>
      </c>
    </row>
    <row r="8292" spans="1:7" x14ac:dyDescent="0.35">
      <c r="A8292" t="s">
        <v>847</v>
      </c>
      <c r="B8292" t="s">
        <v>691</v>
      </c>
      <c r="C8292" s="83">
        <v>46122</v>
      </c>
      <c r="D8292" t="s">
        <v>303</v>
      </c>
      <c r="E8292" t="s">
        <v>302</v>
      </c>
      <c r="F8292">
        <v>15</v>
      </c>
      <c r="G8292">
        <v>9.8567833333333308</v>
      </c>
    </row>
    <row r="8293" spans="1:7" x14ac:dyDescent="0.35">
      <c r="A8293" t="s">
        <v>847</v>
      </c>
      <c r="B8293" t="s">
        <v>691</v>
      </c>
      <c r="C8293" s="83">
        <v>46122</v>
      </c>
      <c r="D8293" t="s">
        <v>310</v>
      </c>
      <c r="E8293" t="s">
        <v>311</v>
      </c>
      <c r="F8293">
        <v>21</v>
      </c>
      <c r="G8293">
        <v>13.183616666666699</v>
      </c>
    </row>
    <row r="8294" spans="1:7" x14ac:dyDescent="0.35">
      <c r="A8294" t="s">
        <v>847</v>
      </c>
      <c r="B8294" t="s">
        <v>691</v>
      </c>
      <c r="C8294" s="83">
        <v>46122</v>
      </c>
      <c r="D8294" t="s">
        <v>310</v>
      </c>
      <c r="E8294" t="s">
        <v>333</v>
      </c>
      <c r="F8294">
        <v>14</v>
      </c>
      <c r="G8294">
        <v>20.8688</v>
      </c>
    </row>
    <row r="8295" spans="1:7" x14ac:dyDescent="0.35">
      <c r="A8295" t="s">
        <v>847</v>
      </c>
      <c r="B8295" t="s">
        <v>691</v>
      </c>
      <c r="C8295" s="83">
        <v>46122</v>
      </c>
      <c r="D8295" t="s">
        <v>310</v>
      </c>
      <c r="E8295" t="s">
        <v>312</v>
      </c>
      <c r="F8295">
        <v>8</v>
      </c>
      <c r="G8295">
        <v>7.2907500000000001</v>
      </c>
    </row>
    <row r="8296" spans="1:7" x14ac:dyDescent="0.35">
      <c r="A8296" t="s">
        <v>847</v>
      </c>
      <c r="B8296" t="s">
        <v>691</v>
      </c>
      <c r="C8296" s="83">
        <v>46122</v>
      </c>
      <c r="D8296" t="s">
        <v>313</v>
      </c>
      <c r="E8296" t="s">
        <v>126</v>
      </c>
      <c r="F8296">
        <v>9</v>
      </c>
      <c r="G8296">
        <v>20.058316666666698</v>
      </c>
    </row>
    <row r="8297" spans="1:7" x14ac:dyDescent="0.35">
      <c r="A8297" t="s">
        <v>847</v>
      </c>
      <c r="B8297" t="s">
        <v>691</v>
      </c>
      <c r="C8297" s="83">
        <v>46122</v>
      </c>
      <c r="D8297" t="s">
        <v>313</v>
      </c>
      <c r="E8297" t="s">
        <v>640</v>
      </c>
      <c r="F8297">
        <v>6</v>
      </c>
      <c r="G8297">
        <v>10.0439166666667</v>
      </c>
    </row>
    <row r="8298" spans="1:7" x14ac:dyDescent="0.35">
      <c r="A8298" t="s">
        <v>847</v>
      </c>
      <c r="B8298" t="s">
        <v>691</v>
      </c>
      <c r="C8298" s="83">
        <v>46122</v>
      </c>
      <c r="D8298" t="s">
        <v>313</v>
      </c>
      <c r="E8298" t="s">
        <v>312</v>
      </c>
      <c r="F8298">
        <v>5</v>
      </c>
      <c r="G8298">
        <v>5.1276000000000002</v>
      </c>
    </row>
    <row r="8299" spans="1:7" x14ac:dyDescent="0.35">
      <c r="A8299" t="s">
        <v>847</v>
      </c>
      <c r="B8299" t="s">
        <v>691</v>
      </c>
      <c r="C8299" s="83">
        <v>46122</v>
      </c>
      <c r="D8299" t="s">
        <v>314</v>
      </c>
      <c r="E8299" t="s">
        <v>126</v>
      </c>
      <c r="F8299">
        <v>10</v>
      </c>
      <c r="G8299">
        <v>15.8716833333333</v>
      </c>
    </row>
    <row r="8300" spans="1:7" x14ac:dyDescent="0.35">
      <c r="A8300" t="s">
        <v>847</v>
      </c>
      <c r="B8300" t="s">
        <v>691</v>
      </c>
      <c r="C8300" s="83">
        <v>46122</v>
      </c>
      <c r="D8300" t="s">
        <v>314</v>
      </c>
      <c r="E8300" t="s">
        <v>827</v>
      </c>
      <c r="F8300">
        <v>9</v>
      </c>
      <c r="G8300">
        <v>21.260166666666699</v>
      </c>
    </row>
    <row r="8301" spans="1:7" x14ac:dyDescent="0.35">
      <c r="A8301" t="s">
        <v>847</v>
      </c>
      <c r="B8301" t="s">
        <v>691</v>
      </c>
      <c r="C8301" s="83">
        <v>46122</v>
      </c>
      <c r="D8301" t="s">
        <v>314</v>
      </c>
      <c r="E8301" t="s">
        <v>316</v>
      </c>
      <c r="F8301">
        <v>4</v>
      </c>
      <c r="G8301">
        <v>1.7281</v>
      </c>
    </row>
    <row r="8302" spans="1:7" x14ac:dyDescent="0.35">
      <c r="A8302" t="s">
        <v>847</v>
      </c>
      <c r="B8302" t="s">
        <v>691</v>
      </c>
      <c r="C8302" s="83">
        <v>46122</v>
      </c>
      <c r="D8302" t="s">
        <v>317</v>
      </c>
      <c r="E8302" t="s">
        <v>777</v>
      </c>
      <c r="F8302">
        <v>2</v>
      </c>
      <c r="G8302">
        <v>1.466</v>
      </c>
    </row>
    <row r="8303" spans="1:7" x14ac:dyDescent="0.35">
      <c r="A8303" t="s">
        <v>847</v>
      </c>
      <c r="B8303" t="s">
        <v>691</v>
      </c>
      <c r="C8303" s="83">
        <v>46123</v>
      </c>
      <c r="D8303" t="s">
        <v>295</v>
      </c>
      <c r="E8303" t="s">
        <v>296</v>
      </c>
      <c r="F8303">
        <v>22</v>
      </c>
      <c r="G8303">
        <v>12.753066666666699</v>
      </c>
    </row>
    <row r="8304" spans="1:7" x14ac:dyDescent="0.35">
      <c r="A8304" t="s">
        <v>847</v>
      </c>
      <c r="B8304" t="s">
        <v>691</v>
      </c>
      <c r="C8304" s="83">
        <v>46123</v>
      </c>
      <c r="D8304" t="s">
        <v>299</v>
      </c>
      <c r="E8304" t="s">
        <v>296</v>
      </c>
      <c r="F8304">
        <v>100</v>
      </c>
      <c r="G8304">
        <v>51.859483333333301</v>
      </c>
    </row>
    <row r="8305" spans="1:7" x14ac:dyDescent="0.35">
      <c r="A8305" t="s">
        <v>847</v>
      </c>
      <c r="B8305" t="s">
        <v>691</v>
      </c>
      <c r="C8305" s="83">
        <v>46123</v>
      </c>
      <c r="D8305" t="s">
        <v>301</v>
      </c>
      <c r="E8305" t="s">
        <v>637</v>
      </c>
      <c r="F8305">
        <v>13</v>
      </c>
      <c r="G8305">
        <v>5.8797499999999996</v>
      </c>
    </row>
    <row r="8306" spans="1:7" x14ac:dyDescent="0.35">
      <c r="A8306" t="s">
        <v>847</v>
      </c>
      <c r="B8306" t="s">
        <v>691</v>
      </c>
      <c r="C8306" s="83">
        <v>46123</v>
      </c>
      <c r="D8306" t="s">
        <v>303</v>
      </c>
      <c r="E8306" t="s">
        <v>302</v>
      </c>
      <c r="F8306">
        <v>19</v>
      </c>
      <c r="G8306">
        <v>8.3527333333333296</v>
      </c>
    </row>
    <row r="8307" spans="1:7" x14ac:dyDescent="0.35">
      <c r="A8307" t="s">
        <v>847</v>
      </c>
      <c r="B8307" t="s">
        <v>691</v>
      </c>
      <c r="C8307" s="83">
        <v>46123</v>
      </c>
      <c r="D8307" t="s">
        <v>310</v>
      </c>
      <c r="E8307" t="s">
        <v>311</v>
      </c>
      <c r="F8307">
        <v>9</v>
      </c>
      <c r="G8307">
        <v>6.2719666666666702</v>
      </c>
    </row>
    <row r="8308" spans="1:7" x14ac:dyDescent="0.35">
      <c r="A8308" t="s">
        <v>847</v>
      </c>
      <c r="B8308" t="s">
        <v>691</v>
      </c>
      <c r="C8308" s="83">
        <v>46123</v>
      </c>
      <c r="D8308" t="s">
        <v>310</v>
      </c>
      <c r="E8308" t="s">
        <v>333</v>
      </c>
      <c r="F8308">
        <v>9</v>
      </c>
      <c r="G8308">
        <v>2.9813166666666699</v>
      </c>
    </row>
    <row r="8309" spans="1:7" x14ac:dyDescent="0.35">
      <c r="A8309" t="s">
        <v>847</v>
      </c>
      <c r="B8309" t="s">
        <v>691</v>
      </c>
      <c r="C8309" s="83">
        <v>46123</v>
      </c>
      <c r="D8309" t="s">
        <v>310</v>
      </c>
      <c r="E8309" t="s">
        <v>316</v>
      </c>
      <c r="F8309">
        <v>6</v>
      </c>
      <c r="G8309">
        <v>3.8078500000000002</v>
      </c>
    </row>
    <row r="8310" spans="1:7" x14ac:dyDescent="0.35">
      <c r="A8310" t="s">
        <v>847</v>
      </c>
      <c r="B8310" t="s">
        <v>691</v>
      </c>
      <c r="C8310" s="83">
        <v>46123</v>
      </c>
      <c r="D8310" t="s">
        <v>313</v>
      </c>
      <c r="E8310" t="s">
        <v>311</v>
      </c>
      <c r="F8310">
        <v>9</v>
      </c>
      <c r="G8310">
        <v>10.139533333333301</v>
      </c>
    </row>
    <row r="8311" spans="1:7" x14ac:dyDescent="0.35">
      <c r="A8311" t="s">
        <v>847</v>
      </c>
      <c r="B8311" t="s">
        <v>691</v>
      </c>
      <c r="C8311" s="83">
        <v>46123</v>
      </c>
      <c r="D8311" t="s">
        <v>313</v>
      </c>
      <c r="E8311" t="s">
        <v>312</v>
      </c>
      <c r="F8311">
        <v>4</v>
      </c>
      <c r="G8311">
        <v>1.32791666666667</v>
      </c>
    </row>
    <row r="8312" spans="1:7" x14ac:dyDescent="0.35">
      <c r="A8312" t="s">
        <v>847</v>
      </c>
      <c r="B8312" t="s">
        <v>691</v>
      </c>
      <c r="C8312" s="83">
        <v>46123</v>
      </c>
      <c r="D8312" t="s">
        <v>313</v>
      </c>
      <c r="E8312" t="s">
        <v>316</v>
      </c>
      <c r="F8312">
        <v>4</v>
      </c>
      <c r="G8312">
        <v>1.0839000000000001</v>
      </c>
    </row>
    <row r="8313" spans="1:7" x14ac:dyDescent="0.35">
      <c r="A8313" t="s">
        <v>847</v>
      </c>
      <c r="B8313" t="s">
        <v>691</v>
      </c>
      <c r="C8313" s="83">
        <v>46123</v>
      </c>
      <c r="D8313" t="s">
        <v>314</v>
      </c>
      <c r="E8313" t="s">
        <v>126</v>
      </c>
      <c r="F8313">
        <v>9</v>
      </c>
      <c r="G8313">
        <v>24.548866666666701</v>
      </c>
    </row>
    <row r="8314" spans="1:7" x14ac:dyDescent="0.35">
      <c r="A8314" t="s">
        <v>847</v>
      </c>
      <c r="B8314" t="s">
        <v>691</v>
      </c>
      <c r="C8314" s="83">
        <v>46123</v>
      </c>
      <c r="D8314" t="s">
        <v>314</v>
      </c>
      <c r="E8314" t="s">
        <v>321</v>
      </c>
      <c r="F8314">
        <v>5</v>
      </c>
      <c r="G8314">
        <v>3.7776666666666698</v>
      </c>
    </row>
    <row r="8315" spans="1:7" x14ac:dyDescent="0.35">
      <c r="A8315" t="s">
        <v>847</v>
      </c>
      <c r="B8315" t="s">
        <v>691</v>
      </c>
      <c r="C8315" s="83">
        <v>46123</v>
      </c>
      <c r="D8315" t="s">
        <v>314</v>
      </c>
      <c r="E8315" t="s">
        <v>316</v>
      </c>
      <c r="F8315">
        <v>5</v>
      </c>
      <c r="G8315">
        <v>1.51688333333333</v>
      </c>
    </row>
    <row r="8316" spans="1:7" x14ac:dyDescent="0.35">
      <c r="A8316" t="s">
        <v>847</v>
      </c>
      <c r="B8316" t="s">
        <v>691</v>
      </c>
      <c r="C8316" s="83">
        <v>46123</v>
      </c>
      <c r="D8316" t="s">
        <v>317</v>
      </c>
      <c r="E8316" t="s">
        <v>322</v>
      </c>
      <c r="F8316">
        <v>2</v>
      </c>
      <c r="G8316">
        <v>0.54078333333333295</v>
      </c>
    </row>
    <row r="8317" spans="1:7" x14ac:dyDescent="0.35">
      <c r="A8317" t="s">
        <v>847</v>
      </c>
      <c r="B8317" t="s">
        <v>691</v>
      </c>
      <c r="C8317" s="83">
        <v>46124</v>
      </c>
      <c r="D8317" t="s">
        <v>295</v>
      </c>
      <c r="E8317" t="s">
        <v>296</v>
      </c>
      <c r="F8317">
        <v>15</v>
      </c>
      <c r="G8317">
        <v>6.1084333333333296</v>
      </c>
    </row>
    <row r="8318" spans="1:7" x14ac:dyDescent="0.35">
      <c r="A8318" t="s">
        <v>847</v>
      </c>
      <c r="B8318" t="s">
        <v>691</v>
      </c>
      <c r="C8318" s="83">
        <v>46124</v>
      </c>
      <c r="D8318" t="s">
        <v>295</v>
      </c>
      <c r="E8318" t="s">
        <v>828</v>
      </c>
      <c r="F8318">
        <v>14</v>
      </c>
      <c r="G8318">
        <v>20.890366666666701</v>
      </c>
    </row>
    <row r="8319" spans="1:7" x14ac:dyDescent="0.35">
      <c r="A8319" t="s">
        <v>847</v>
      </c>
      <c r="B8319" t="s">
        <v>691</v>
      </c>
      <c r="C8319" s="83">
        <v>46124</v>
      </c>
      <c r="D8319" t="s">
        <v>299</v>
      </c>
      <c r="E8319" t="s">
        <v>296</v>
      </c>
      <c r="F8319">
        <v>63</v>
      </c>
      <c r="G8319">
        <v>35.594283333333301</v>
      </c>
    </row>
    <row r="8320" spans="1:7" x14ac:dyDescent="0.35">
      <c r="A8320" t="s">
        <v>847</v>
      </c>
      <c r="B8320" t="s">
        <v>691</v>
      </c>
      <c r="C8320" s="83">
        <v>46124</v>
      </c>
      <c r="D8320" t="s">
        <v>301</v>
      </c>
      <c r="E8320" t="s">
        <v>302</v>
      </c>
      <c r="F8320">
        <v>14</v>
      </c>
      <c r="G8320">
        <v>6.5319166666666701</v>
      </c>
    </row>
    <row r="8321" spans="1:7" x14ac:dyDescent="0.35">
      <c r="A8321" t="s">
        <v>847</v>
      </c>
      <c r="B8321" t="s">
        <v>691</v>
      </c>
      <c r="C8321" s="83">
        <v>46124</v>
      </c>
      <c r="D8321" t="s">
        <v>310</v>
      </c>
      <c r="E8321" t="s">
        <v>338</v>
      </c>
      <c r="F8321">
        <v>13</v>
      </c>
      <c r="G8321">
        <v>33.436100000000003</v>
      </c>
    </row>
    <row r="8322" spans="1:7" x14ac:dyDescent="0.35">
      <c r="A8322" t="s">
        <v>847</v>
      </c>
      <c r="B8322" t="s">
        <v>691</v>
      </c>
      <c r="C8322" s="83">
        <v>46124</v>
      </c>
      <c r="D8322" t="s">
        <v>310</v>
      </c>
      <c r="E8322" t="s">
        <v>126</v>
      </c>
      <c r="F8322">
        <v>7</v>
      </c>
      <c r="G8322">
        <v>9.5776833333333293</v>
      </c>
    </row>
    <row r="8323" spans="1:7" x14ac:dyDescent="0.35">
      <c r="A8323" t="s">
        <v>847</v>
      </c>
      <c r="B8323" t="s">
        <v>691</v>
      </c>
      <c r="C8323" s="83">
        <v>46124</v>
      </c>
      <c r="D8323" t="s">
        <v>310</v>
      </c>
      <c r="E8323" t="s">
        <v>333</v>
      </c>
      <c r="F8323">
        <v>7</v>
      </c>
      <c r="G8323">
        <v>2.6576</v>
      </c>
    </row>
    <row r="8324" spans="1:7" x14ac:dyDescent="0.35">
      <c r="A8324" t="s">
        <v>847</v>
      </c>
      <c r="B8324" t="s">
        <v>691</v>
      </c>
      <c r="C8324" s="83">
        <v>46124</v>
      </c>
      <c r="D8324" t="s">
        <v>313</v>
      </c>
      <c r="E8324" t="s">
        <v>311</v>
      </c>
      <c r="F8324">
        <v>12</v>
      </c>
      <c r="G8324">
        <v>14.1925833333333</v>
      </c>
    </row>
    <row r="8325" spans="1:7" x14ac:dyDescent="0.35">
      <c r="A8325" t="s">
        <v>847</v>
      </c>
      <c r="B8325" t="s">
        <v>691</v>
      </c>
      <c r="C8325" s="83">
        <v>46124</v>
      </c>
      <c r="D8325" t="s">
        <v>313</v>
      </c>
      <c r="E8325" t="s">
        <v>312</v>
      </c>
      <c r="F8325">
        <v>10</v>
      </c>
      <c r="G8325">
        <v>8.03473333333333</v>
      </c>
    </row>
    <row r="8326" spans="1:7" x14ac:dyDescent="0.35">
      <c r="A8326" t="s">
        <v>847</v>
      </c>
      <c r="B8326" t="s">
        <v>691</v>
      </c>
      <c r="C8326" s="83">
        <v>46124</v>
      </c>
      <c r="D8326" t="s">
        <v>313</v>
      </c>
      <c r="E8326" t="s">
        <v>126</v>
      </c>
      <c r="F8326">
        <v>7</v>
      </c>
      <c r="G8326">
        <v>8.8005833333333303</v>
      </c>
    </row>
    <row r="8327" spans="1:7" x14ac:dyDescent="0.35">
      <c r="A8327" t="s">
        <v>847</v>
      </c>
      <c r="B8327" t="s">
        <v>691</v>
      </c>
      <c r="C8327" s="83">
        <v>46124</v>
      </c>
      <c r="D8327" t="s">
        <v>314</v>
      </c>
      <c r="E8327" t="s">
        <v>126</v>
      </c>
      <c r="F8327">
        <v>22</v>
      </c>
      <c r="G8327">
        <v>55.135933333333298</v>
      </c>
    </row>
    <row r="8328" spans="1:7" x14ac:dyDescent="0.35">
      <c r="A8328" t="s">
        <v>847</v>
      </c>
      <c r="B8328" t="s">
        <v>691</v>
      </c>
      <c r="C8328" s="83">
        <v>46124</v>
      </c>
      <c r="D8328" t="s">
        <v>314</v>
      </c>
      <c r="E8328" t="s">
        <v>312</v>
      </c>
      <c r="F8328">
        <v>13</v>
      </c>
      <c r="G8328">
        <v>7.5736999999999997</v>
      </c>
    </row>
    <row r="8329" spans="1:7" x14ac:dyDescent="0.35">
      <c r="A8329" t="s">
        <v>847</v>
      </c>
      <c r="B8329" t="s">
        <v>691</v>
      </c>
      <c r="C8329" s="83">
        <v>46124</v>
      </c>
      <c r="D8329" t="s">
        <v>314</v>
      </c>
      <c r="E8329" t="s">
        <v>321</v>
      </c>
      <c r="F8329">
        <v>5</v>
      </c>
      <c r="G8329">
        <v>2.5660333333333298</v>
      </c>
    </row>
    <row r="8330" spans="1:7" x14ac:dyDescent="0.35">
      <c r="A8330" t="s">
        <v>847</v>
      </c>
      <c r="B8330" t="s">
        <v>691</v>
      </c>
      <c r="C8330" s="83">
        <v>46124</v>
      </c>
      <c r="D8330" t="s">
        <v>317</v>
      </c>
      <c r="E8330" t="s">
        <v>319</v>
      </c>
      <c r="F8330">
        <v>2</v>
      </c>
      <c r="G8330">
        <v>0.771183333333333</v>
      </c>
    </row>
    <row r="8331" spans="1:7" x14ac:dyDescent="0.35">
      <c r="A8331" t="s">
        <v>847</v>
      </c>
      <c r="B8331" t="s">
        <v>691</v>
      </c>
      <c r="C8331" s="83">
        <v>46125</v>
      </c>
      <c r="D8331" t="s">
        <v>295</v>
      </c>
      <c r="E8331" t="s">
        <v>296</v>
      </c>
      <c r="F8331">
        <v>25</v>
      </c>
      <c r="G8331">
        <v>19.999849999999999</v>
      </c>
    </row>
    <row r="8332" spans="1:7" x14ac:dyDescent="0.35">
      <c r="A8332" t="s">
        <v>847</v>
      </c>
      <c r="B8332" t="s">
        <v>691</v>
      </c>
      <c r="C8332" s="83">
        <v>46125</v>
      </c>
      <c r="D8332" t="s">
        <v>295</v>
      </c>
      <c r="E8332" t="s">
        <v>302</v>
      </c>
      <c r="F8332">
        <v>21</v>
      </c>
      <c r="G8332">
        <v>13.691233333333299</v>
      </c>
    </row>
    <row r="8333" spans="1:7" x14ac:dyDescent="0.35">
      <c r="A8333" t="s">
        <v>847</v>
      </c>
      <c r="B8333" t="s">
        <v>691</v>
      </c>
      <c r="C8333" s="83">
        <v>46125</v>
      </c>
      <c r="D8333" t="s">
        <v>299</v>
      </c>
      <c r="E8333" t="s">
        <v>296</v>
      </c>
      <c r="F8333">
        <v>109</v>
      </c>
      <c r="G8333">
        <v>47.872016666666703</v>
      </c>
    </row>
    <row r="8334" spans="1:7" x14ac:dyDescent="0.35">
      <c r="A8334" t="s">
        <v>847</v>
      </c>
      <c r="B8334" t="s">
        <v>691</v>
      </c>
      <c r="C8334" s="83">
        <v>46125</v>
      </c>
      <c r="D8334" t="s">
        <v>301</v>
      </c>
      <c r="E8334" t="s">
        <v>302</v>
      </c>
      <c r="F8334">
        <v>10</v>
      </c>
      <c r="G8334">
        <v>3.6608333333333301</v>
      </c>
    </row>
    <row r="8335" spans="1:7" x14ac:dyDescent="0.35">
      <c r="A8335" t="s">
        <v>847</v>
      </c>
      <c r="B8335" t="s">
        <v>691</v>
      </c>
      <c r="C8335" s="83">
        <v>46125</v>
      </c>
      <c r="D8335" t="s">
        <v>309</v>
      </c>
      <c r="E8335" t="s">
        <v>344</v>
      </c>
      <c r="F8335">
        <v>38</v>
      </c>
      <c r="G8335">
        <v>32.560850000000002</v>
      </c>
    </row>
    <row r="8336" spans="1:7" x14ac:dyDescent="0.35">
      <c r="A8336" t="s">
        <v>847</v>
      </c>
      <c r="B8336" t="s">
        <v>691</v>
      </c>
      <c r="C8336" s="83">
        <v>46125</v>
      </c>
      <c r="D8336" t="s">
        <v>310</v>
      </c>
      <c r="E8336" t="s">
        <v>126</v>
      </c>
      <c r="F8336">
        <v>10</v>
      </c>
      <c r="G8336">
        <v>6.4984500000000001</v>
      </c>
    </row>
    <row r="8337" spans="1:7" x14ac:dyDescent="0.35">
      <c r="A8337" t="s">
        <v>847</v>
      </c>
      <c r="B8337" t="s">
        <v>691</v>
      </c>
      <c r="C8337" s="83">
        <v>46125</v>
      </c>
      <c r="D8337" t="s">
        <v>310</v>
      </c>
      <c r="E8337" t="s">
        <v>338</v>
      </c>
      <c r="F8337">
        <v>6</v>
      </c>
      <c r="G8337">
        <v>7.7631333333333297</v>
      </c>
    </row>
    <row r="8338" spans="1:7" x14ac:dyDescent="0.35">
      <c r="A8338" t="s">
        <v>847</v>
      </c>
      <c r="B8338" t="s">
        <v>691</v>
      </c>
      <c r="C8338" s="83">
        <v>46125</v>
      </c>
      <c r="D8338" t="s">
        <v>310</v>
      </c>
      <c r="E8338" t="s">
        <v>311</v>
      </c>
      <c r="F8338">
        <v>4</v>
      </c>
      <c r="G8338">
        <v>4.5178833333333301</v>
      </c>
    </row>
    <row r="8339" spans="1:7" x14ac:dyDescent="0.35">
      <c r="A8339" t="s">
        <v>847</v>
      </c>
      <c r="B8339" t="s">
        <v>691</v>
      </c>
      <c r="C8339" s="83">
        <v>46125</v>
      </c>
      <c r="D8339" t="s">
        <v>313</v>
      </c>
      <c r="E8339" t="s">
        <v>312</v>
      </c>
      <c r="F8339">
        <v>13</v>
      </c>
      <c r="G8339">
        <v>66.633516666666694</v>
      </c>
    </row>
    <row r="8340" spans="1:7" x14ac:dyDescent="0.35">
      <c r="A8340" t="s">
        <v>847</v>
      </c>
      <c r="B8340" t="s">
        <v>691</v>
      </c>
      <c r="C8340" s="83">
        <v>46125</v>
      </c>
      <c r="D8340" t="s">
        <v>313</v>
      </c>
      <c r="E8340" t="s">
        <v>126</v>
      </c>
      <c r="F8340">
        <v>5</v>
      </c>
      <c r="G8340">
        <v>10.246233333333301</v>
      </c>
    </row>
    <row r="8341" spans="1:7" x14ac:dyDescent="0.35">
      <c r="A8341" t="s">
        <v>847</v>
      </c>
      <c r="B8341" t="s">
        <v>691</v>
      </c>
      <c r="C8341" s="83">
        <v>46125</v>
      </c>
      <c r="D8341" t="s">
        <v>313</v>
      </c>
      <c r="E8341" t="s">
        <v>311</v>
      </c>
      <c r="F8341">
        <v>4</v>
      </c>
      <c r="G8341">
        <v>5.6173833333333301</v>
      </c>
    </row>
    <row r="8342" spans="1:7" x14ac:dyDescent="0.35">
      <c r="A8342" t="s">
        <v>847</v>
      </c>
      <c r="B8342" t="s">
        <v>691</v>
      </c>
      <c r="C8342" s="83">
        <v>46125</v>
      </c>
      <c r="D8342" t="s">
        <v>314</v>
      </c>
      <c r="E8342" t="s">
        <v>126</v>
      </c>
      <c r="F8342">
        <v>21</v>
      </c>
      <c r="G8342">
        <v>75.473650000000006</v>
      </c>
    </row>
    <row r="8343" spans="1:7" x14ac:dyDescent="0.35">
      <c r="A8343" t="s">
        <v>847</v>
      </c>
      <c r="B8343" t="s">
        <v>691</v>
      </c>
      <c r="C8343" s="83">
        <v>46125</v>
      </c>
      <c r="D8343" t="s">
        <v>314</v>
      </c>
      <c r="E8343" t="s">
        <v>312</v>
      </c>
      <c r="F8343">
        <v>19</v>
      </c>
      <c r="G8343">
        <v>13.3478166666667</v>
      </c>
    </row>
    <row r="8344" spans="1:7" x14ac:dyDescent="0.35">
      <c r="A8344" t="s">
        <v>847</v>
      </c>
      <c r="B8344" t="s">
        <v>691</v>
      </c>
      <c r="C8344" s="83">
        <v>46125</v>
      </c>
      <c r="D8344" t="s">
        <v>314</v>
      </c>
      <c r="E8344" t="s">
        <v>322</v>
      </c>
      <c r="F8344">
        <v>3</v>
      </c>
      <c r="G8344">
        <v>1.5581</v>
      </c>
    </row>
    <row r="8345" spans="1:7" x14ac:dyDescent="0.35">
      <c r="A8345" t="s">
        <v>847</v>
      </c>
      <c r="B8345" t="s">
        <v>691</v>
      </c>
      <c r="C8345" s="83">
        <v>46125</v>
      </c>
      <c r="D8345" t="s">
        <v>317</v>
      </c>
      <c r="E8345" t="s">
        <v>339</v>
      </c>
      <c r="F8345">
        <v>2</v>
      </c>
      <c r="G8345">
        <v>1.8794833333333301</v>
      </c>
    </row>
    <row r="8346" spans="1:7" x14ac:dyDescent="0.35">
      <c r="A8346" t="s">
        <v>847</v>
      </c>
      <c r="B8346" t="s">
        <v>691</v>
      </c>
      <c r="C8346" s="83">
        <v>46126</v>
      </c>
      <c r="D8346" t="s">
        <v>295</v>
      </c>
      <c r="E8346" t="s">
        <v>296</v>
      </c>
      <c r="F8346">
        <v>24</v>
      </c>
      <c r="G8346">
        <v>20.353483333333301</v>
      </c>
    </row>
    <row r="8347" spans="1:7" x14ac:dyDescent="0.35">
      <c r="A8347" t="s">
        <v>847</v>
      </c>
      <c r="B8347" t="s">
        <v>691</v>
      </c>
      <c r="C8347" s="83">
        <v>46126</v>
      </c>
      <c r="D8347" t="s">
        <v>299</v>
      </c>
      <c r="E8347" t="s">
        <v>296</v>
      </c>
      <c r="F8347">
        <v>100</v>
      </c>
      <c r="G8347">
        <v>47.626616666666699</v>
      </c>
    </row>
    <row r="8348" spans="1:7" x14ac:dyDescent="0.35">
      <c r="A8348" t="s">
        <v>847</v>
      </c>
      <c r="B8348" t="s">
        <v>691</v>
      </c>
      <c r="C8348" s="83">
        <v>46126</v>
      </c>
      <c r="D8348" t="s">
        <v>310</v>
      </c>
      <c r="E8348" t="s">
        <v>347</v>
      </c>
      <c r="F8348">
        <v>13</v>
      </c>
      <c r="G8348">
        <v>8.0143833333333294</v>
      </c>
    </row>
    <row r="8349" spans="1:7" x14ac:dyDescent="0.35">
      <c r="A8349" t="s">
        <v>847</v>
      </c>
      <c r="B8349" t="s">
        <v>691</v>
      </c>
      <c r="C8349" s="83">
        <v>46126</v>
      </c>
      <c r="D8349" t="s">
        <v>310</v>
      </c>
      <c r="E8349" t="s">
        <v>311</v>
      </c>
      <c r="F8349">
        <v>6</v>
      </c>
      <c r="G8349">
        <v>2.4454333333333298</v>
      </c>
    </row>
    <row r="8350" spans="1:7" x14ac:dyDescent="0.35">
      <c r="A8350" t="s">
        <v>847</v>
      </c>
      <c r="B8350" t="s">
        <v>691</v>
      </c>
      <c r="C8350" s="83">
        <v>46126</v>
      </c>
      <c r="D8350" t="s">
        <v>310</v>
      </c>
      <c r="E8350" t="s">
        <v>734</v>
      </c>
      <c r="F8350">
        <v>5</v>
      </c>
      <c r="G8350">
        <v>2.67933333333333</v>
      </c>
    </row>
    <row r="8351" spans="1:7" x14ac:dyDescent="0.35">
      <c r="A8351" t="s">
        <v>847</v>
      </c>
      <c r="B8351" t="s">
        <v>691</v>
      </c>
      <c r="C8351" s="83">
        <v>46126</v>
      </c>
      <c r="D8351" t="s">
        <v>313</v>
      </c>
      <c r="E8351" t="s">
        <v>312</v>
      </c>
      <c r="F8351">
        <v>4</v>
      </c>
      <c r="G8351">
        <v>1.9056</v>
      </c>
    </row>
    <row r="8352" spans="1:7" x14ac:dyDescent="0.35">
      <c r="A8352" t="s">
        <v>847</v>
      </c>
      <c r="B8352" t="s">
        <v>691</v>
      </c>
      <c r="C8352" s="83">
        <v>46126</v>
      </c>
      <c r="D8352" t="s">
        <v>313</v>
      </c>
      <c r="E8352" t="s">
        <v>311</v>
      </c>
      <c r="F8352">
        <v>4</v>
      </c>
      <c r="G8352">
        <v>3.1031833333333299</v>
      </c>
    </row>
    <row r="8353" spans="1:7" x14ac:dyDescent="0.35">
      <c r="A8353" t="s">
        <v>847</v>
      </c>
      <c r="B8353" t="s">
        <v>691</v>
      </c>
      <c r="C8353" s="83">
        <v>46126</v>
      </c>
      <c r="D8353" t="s">
        <v>313</v>
      </c>
      <c r="E8353" t="s">
        <v>316</v>
      </c>
      <c r="F8353">
        <v>3</v>
      </c>
      <c r="G8353">
        <v>0.76171666666666704</v>
      </c>
    </row>
    <row r="8354" spans="1:7" x14ac:dyDescent="0.35">
      <c r="A8354" t="s">
        <v>847</v>
      </c>
      <c r="B8354" t="s">
        <v>691</v>
      </c>
      <c r="C8354" s="83">
        <v>46126</v>
      </c>
      <c r="D8354" t="s">
        <v>314</v>
      </c>
      <c r="E8354" t="s">
        <v>312</v>
      </c>
      <c r="F8354">
        <v>29</v>
      </c>
      <c r="G8354">
        <v>22.3461</v>
      </c>
    </row>
    <row r="8355" spans="1:7" x14ac:dyDescent="0.35">
      <c r="A8355" t="s">
        <v>847</v>
      </c>
      <c r="B8355" t="s">
        <v>691</v>
      </c>
      <c r="C8355" s="83">
        <v>46126</v>
      </c>
      <c r="D8355" t="s">
        <v>314</v>
      </c>
      <c r="E8355" t="s">
        <v>126</v>
      </c>
      <c r="F8355">
        <v>9</v>
      </c>
      <c r="G8355">
        <v>14.7772666666667</v>
      </c>
    </row>
    <row r="8356" spans="1:7" x14ac:dyDescent="0.35">
      <c r="A8356" t="s">
        <v>847</v>
      </c>
      <c r="B8356" t="s">
        <v>691</v>
      </c>
      <c r="C8356" s="83">
        <v>46126</v>
      </c>
      <c r="D8356" t="s">
        <v>314</v>
      </c>
      <c r="E8356" t="s">
        <v>321</v>
      </c>
      <c r="F8356">
        <v>5</v>
      </c>
      <c r="G8356">
        <v>1.8513666666666699</v>
      </c>
    </row>
    <row r="8357" spans="1:7" x14ac:dyDescent="0.35">
      <c r="A8357" t="s">
        <v>847</v>
      </c>
      <c r="B8357" t="s">
        <v>691</v>
      </c>
      <c r="C8357" s="83">
        <v>46127</v>
      </c>
      <c r="D8357" t="s">
        <v>295</v>
      </c>
      <c r="E8357" t="s">
        <v>296</v>
      </c>
      <c r="F8357">
        <v>27</v>
      </c>
      <c r="G8357">
        <v>11.9379666666667</v>
      </c>
    </row>
    <row r="8358" spans="1:7" x14ac:dyDescent="0.35">
      <c r="A8358" t="s">
        <v>847</v>
      </c>
      <c r="B8358" t="s">
        <v>691</v>
      </c>
      <c r="C8358" s="83">
        <v>46127</v>
      </c>
      <c r="D8358" t="s">
        <v>299</v>
      </c>
      <c r="E8358" t="s">
        <v>296</v>
      </c>
      <c r="F8358">
        <v>60</v>
      </c>
      <c r="G8358">
        <v>40.6987666666667</v>
      </c>
    </row>
    <row r="8359" spans="1:7" x14ac:dyDescent="0.35">
      <c r="A8359" t="s">
        <v>847</v>
      </c>
      <c r="B8359" t="s">
        <v>691</v>
      </c>
      <c r="C8359" s="83">
        <v>46127</v>
      </c>
      <c r="D8359" t="s">
        <v>301</v>
      </c>
      <c r="E8359" t="s">
        <v>302</v>
      </c>
      <c r="F8359">
        <v>5</v>
      </c>
      <c r="G8359">
        <v>0.98155000000000003</v>
      </c>
    </row>
    <row r="8360" spans="1:7" x14ac:dyDescent="0.35">
      <c r="A8360" t="s">
        <v>847</v>
      </c>
      <c r="B8360" t="s">
        <v>691</v>
      </c>
      <c r="C8360" s="83">
        <v>46127</v>
      </c>
      <c r="D8360" t="s">
        <v>310</v>
      </c>
      <c r="E8360" t="s">
        <v>311</v>
      </c>
      <c r="F8360">
        <v>6</v>
      </c>
      <c r="G8360">
        <v>4.4449666666666703</v>
      </c>
    </row>
    <row r="8361" spans="1:7" x14ac:dyDescent="0.35">
      <c r="A8361" t="s">
        <v>847</v>
      </c>
      <c r="B8361" t="s">
        <v>691</v>
      </c>
      <c r="C8361" s="83">
        <v>46127</v>
      </c>
      <c r="D8361" t="s">
        <v>310</v>
      </c>
      <c r="E8361" t="s">
        <v>126</v>
      </c>
      <c r="F8361">
        <v>6</v>
      </c>
      <c r="G8361">
        <v>5.0578333333333303</v>
      </c>
    </row>
    <row r="8362" spans="1:7" x14ac:dyDescent="0.35">
      <c r="A8362" t="s">
        <v>847</v>
      </c>
      <c r="B8362" t="s">
        <v>691</v>
      </c>
      <c r="C8362" s="83">
        <v>46127</v>
      </c>
      <c r="D8362" t="s">
        <v>310</v>
      </c>
      <c r="E8362" t="s">
        <v>316</v>
      </c>
      <c r="F8362">
        <v>4</v>
      </c>
      <c r="G8362">
        <v>1.27091666666667</v>
      </c>
    </row>
    <row r="8363" spans="1:7" x14ac:dyDescent="0.35">
      <c r="A8363" t="s">
        <v>847</v>
      </c>
      <c r="B8363" t="s">
        <v>691</v>
      </c>
      <c r="C8363" s="83">
        <v>46127</v>
      </c>
      <c r="D8363" t="s">
        <v>313</v>
      </c>
      <c r="E8363" t="s">
        <v>311</v>
      </c>
      <c r="F8363">
        <v>12</v>
      </c>
      <c r="G8363">
        <v>11.013733333333301</v>
      </c>
    </row>
    <row r="8364" spans="1:7" x14ac:dyDescent="0.35">
      <c r="A8364" t="s">
        <v>847</v>
      </c>
      <c r="B8364" t="s">
        <v>691</v>
      </c>
      <c r="C8364" s="83">
        <v>46127</v>
      </c>
      <c r="D8364" t="s">
        <v>313</v>
      </c>
      <c r="E8364" t="s">
        <v>126</v>
      </c>
      <c r="F8364">
        <v>5</v>
      </c>
      <c r="G8364">
        <v>29.290299999999998</v>
      </c>
    </row>
    <row r="8365" spans="1:7" x14ac:dyDescent="0.35">
      <c r="A8365" t="s">
        <v>847</v>
      </c>
      <c r="B8365" t="s">
        <v>691</v>
      </c>
      <c r="C8365" s="83">
        <v>46127</v>
      </c>
      <c r="D8365" t="s">
        <v>313</v>
      </c>
      <c r="E8365" t="s">
        <v>734</v>
      </c>
      <c r="F8365">
        <v>2</v>
      </c>
      <c r="G8365">
        <v>0.16088333333333299</v>
      </c>
    </row>
    <row r="8366" spans="1:7" x14ac:dyDescent="0.35">
      <c r="A8366" t="s">
        <v>847</v>
      </c>
      <c r="B8366" t="s">
        <v>691</v>
      </c>
      <c r="C8366" s="83">
        <v>46127</v>
      </c>
      <c r="D8366" t="s">
        <v>314</v>
      </c>
      <c r="E8366" t="s">
        <v>126</v>
      </c>
      <c r="F8366">
        <v>19</v>
      </c>
      <c r="G8366">
        <v>39.193566666666698</v>
      </c>
    </row>
    <row r="8367" spans="1:7" x14ac:dyDescent="0.35">
      <c r="A8367" t="s">
        <v>847</v>
      </c>
      <c r="B8367" t="s">
        <v>691</v>
      </c>
      <c r="C8367" s="83">
        <v>46127</v>
      </c>
      <c r="D8367" t="s">
        <v>314</v>
      </c>
      <c r="E8367" t="s">
        <v>312</v>
      </c>
      <c r="F8367">
        <v>8</v>
      </c>
      <c r="G8367">
        <v>6.7393666666666698</v>
      </c>
    </row>
    <row r="8368" spans="1:7" x14ac:dyDescent="0.35">
      <c r="A8368" t="s">
        <v>847</v>
      </c>
      <c r="B8368" t="s">
        <v>691</v>
      </c>
      <c r="C8368" s="83">
        <v>46127</v>
      </c>
      <c r="D8368" t="s">
        <v>314</v>
      </c>
      <c r="E8368" t="s">
        <v>339</v>
      </c>
      <c r="F8368">
        <v>3</v>
      </c>
      <c r="G8368">
        <v>1.5841833333333299</v>
      </c>
    </row>
    <row r="8369" spans="1:7" x14ac:dyDescent="0.35">
      <c r="A8369" t="s">
        <v>847</v>
      </c>
      <c r="B8369" t="s">
        <v>691</v>
      </c>
      <c r="C8369" s="83">
        <v>46128</v>
      </c>
      <c r="D8369" t="s">
        <v>295</v>
      </c>
      <c r="E8369" t="s">
        <v>296</v>
      </c>
      <c r="F8369">
        <v>21</v>
      </c>
      <c r="G8369">
        <v>9.2902833333333295</v>
      </c>
    </row>
    <row r="8370" spans="1:7" x14ac:dyDescent="0.35">
      <c r="A8370" t="s">
        <v>847</v>
      </c>
      <c r="B8370" t="s">
        <v>691</v>
      </c>
      <c r="C8370" s="83">
        <v>46128</v>
      </c>
      <c r="D8370" t="s">
        <v>295</v>
      </c>
      <c r="E8370" t="s">
        <v>302</v>
      </c>
      <c r="F8370">
        <v>11</v>
      </c>
      <c r="G8370">
        <v>9.2365666666666595</v>
      </c>
    </row>
    <row r="8371" spans="1:7" x14ac:dyDescent="0.35">
      <c r="A8371" t="s">
        <v>847</v>
      </c>
      <c r="B8371" t="s">
        <v>691</v>
      </c>
      <c r="C8371" s="83">
        <v>46128</v>
      </c>
      <c r="D8371" t="s">
        <v>299</v>
      </c>
      <c r="E8371" t="s">
        <v>296</v>
      </c>
      <c r="F8371">
        <v>30</v>
      </c>
      <c r="G8371">
        <v>23.500633333333301</v>
      </c>
    </row>
    <row r="8372" spans="1:7" x14ac:dyDescent="0.35">
      <c r="A8372" t="s">
        <v>847</v>
      </c>
      <c r="B8372" t="s">
        <v>691</v>
      </c>
      <c r="C8372" s="83">
        <v>46128</v>
      </c>
      <c r="D8372" t="s">
        <v>301</v>
      </c>
      <c r="E8372" t="s">
        <v>302</v>
      </c>
      <c r="F8372">
        <v>10</v>
      </c>
      <c r="G8372">
        <v>6.1209666666666704</v>
      </c>
    </row>
    <row r="8373" spans="1:7" x14ac:dyDescent="0.35">
      <c r="A8373" t="s">
        <v>847</v>
      </c>
      <c r="B8373" t="s">
        <v>691</v>
      </c>
      <c r="C8373" s="83">
        <v>46128</v>
      </c>
      <c r="D8373" t="s">
        <v>310</v>
      </c>
      <c r="E8373" t="s">
        <v>311</v>
      </c>
      <c r="F8373">
        <v>36</v>
      </c>
      <c r="G8373">
        <v>23.801166666666699</v>
      </c>
    </row>
    <row r="8374" spans="1:7" x14ac:dyDescent="0.35">
      <c r="A8374" t="s">
        <v>847</v>
      </c>
      <c r="B8374" t="s">
        <v>691</v>
      </c>
      <c r="C8374" s="83">
        <v>46128</v>
      </c>
      <c r="D8374" t="s">
        <v>310</v>
      </c>
      <c r="E8374" t="s">
        <v>347</v>
      </c>
      <c r="F8374">
        <v>9</v>
      </c>
      <c r="G8374">
        <v>3.6280000000000001</v>
      </c>
    </row>
    <row r="8375" spans="1:7" x14ac:dyDescent="0.35">
      <c r="A8375" t="s">
        <v>847</v>
      </c>
      <c r="B8375" t="s">
        <v>691</v>
      </c>
      <c r="C8375" s="83">
        <v>46128</v>
      </c>
      <c r="D8375" t="s">
        <v>310</v>
      </c>
      <c r="E8375" t="s">
        <v>312</v>
      </c>
      <c r="F8375">
        <v>5</v>
      </c>
      <c r="G8375">
        <v>34.227849999999997</v>
      </c>
    </row>
    <row r="8376" spans="1:7" x14ac:dyDescent="0.35">
      <c r="A8376" t="s">
        <v>847</v>
      </c>
      <c r="B8376" t="s">
        <v>691</v>
      </c>
      <c r="C8376" s="83">
        <v>46128</v>
      </c>
      <c r="D8376" t="s">
        <v>313</v>
      </c>
      <c r="E8376" t="s">
        <v>126</v>
      </c>
      <c r="F8376">
        <v>10</v>
      </c>
      <c r="G8376">
        <v>20.2211833333333</v>
      </c>
    </row>
    <row r="8377" spans="1:7" x14ac:dyDescent="0.35">
      <c r="A8377" t="s">
        <v>847</v>
      </c>
      <c r="B8377" t="s">
        <v>691</v>
      </c>
      <c r="C8377" s="83">
        <v>46128</v>
      </c>
      <c r="D8377" t="s">
        <v>313</v>
      </c>
      <c r="E8377" t="s">
        <v>312</v>
      </c>
      <c r="F8377">
        <v>9</v>
      </c>
      <c r="G8377">
        <v>18.546316666666701</v>
      </c>
    </row>
    <row r="8378" spans="1:7" x14ac:dyDescent="0.35">
      <c r="A8378" t="s">
        <v>847</v>
      </c>
      <c r="B8378" t="s">
        <v>691</v>
      </c>
      <c r="C8378" s="83">
        <v>46128</v>
      </c>
      <c r="D8378" t="s">
        <v>313</v>
      </c>
      <c r="E8378" t="s">
        <v>316</v>
      </c>
      <c r="F8378">
        <v>8</v>
      </c>
      <c r="G8378">
        <v>3.6620499999999998</v>
      </c>
    </row>
    <row r="8379" spans="1:7" x14ac:dyDescent="0.35">
      <c r="A8379" t="s">
        <v>847</v>
      </c>
      <c r="B8379" t="s">
        <v>691</v>
      </c>
      <c r="C8379" s="83">
        <v>46128</v>
      </c>
      <c r="D8379" t="s">
        <v>314</v>
      </c>
      <c r="E8379" t="s">
        <v>312</v>
      </c>
      <c r="F8379">
        <v>4</v>
      </c>
      <c r="G8379">
        <v>1.9910333333333301</v>
      </c>
    </row>
    <row r="8380" spans="1:7" x14ac:dyDescent="0.35">
      <c r="A8380" t="s">
        <v>847</v>
      </c>
      <c r="B8380" t="s">
        <v>691</v>
      </c>
      <c r="C8380" s="83">
        <v>46128</v>
      </c>
      <c r="D8380" t="s">
        <v>314</v>
      </c>
      <c r="E8380" t="s">
        <v>311</v>
      </c>
      <c r="F8380">
        <v>2</v>
      </c>
      <c r="G8380">
        <v>5.8619333333333303</v>
      </c>
    </row>
    <row r="8381" spans="1:7" x14ac:dyDescent="0.35">
      <c r="A8381" t="s">
        <v>847</v>
      </c>
      <c r="B8381" t="s">
        <v>691</v>
      </c>
      <c r="C8381" s="83">
        <v>46128</v>
      </c>
      <c r="D8381" t="s">
        <v>317</v>
      </c>
      <c r="E8381" t="s">
        <v>322</v>
      </c>
      <c r="F8381">
        <v>3</v>
      </c>
      <c r="G8381">
        <v>0.83113333333333295</v>
      </c>
    </row>
    <row r="8382" spans="1:7" x14ac:dyDescent="0.35">
      <c r="A8382" t="s">
        <v>847</v>
      </c>
      <c r="B8382" t="s">
        <v>691</v>
      </c>
      <c r="C8382" s="83">
        <v>46128</v>
      </c>
      <c r="D8382" t="s">
        <v>317</v>
      </c>
      <c r="E8382" t="s">
        <v>772</v>
      </c>
      <c r="F8382">
        <v>2</v>
      </c>
      <c r="G8382">
        <v>1.0776333333333299</v>
      </c>
    </row>
    <row r="8383" spans="1:7" x14ac:dyDescent="0.35">
      <c r="A8383" t="s">
        <v>847</v>
      </c>
      <c r="B8383" t="s">
        <v>691</v>
      </c>
      <c r="C8383" s="83">
        <v>46128</v>
      </c>
      <c r="D8383" t="s">
        <v>317</v>
      </c>
      <c r="E8383" t="s">
        <v>349</v>
      </c>
      <c r="F8383">
        <v>1</v>
      </c>
      <c r="G8383">
        <v>0.85516666666666696</v>
      </c>
    </row>
    <row r="8384" spans="1:7" x14ac:dyDescent="0.35">
      <c r="A8384" t="s">
        <v>847</v>
      </c>
      <c r="B8384" t="s">
        <v>691</v>
      </c>
      <c r="C8384" s="83">
        <v>46129</v>
      </c>
      <c r="D8384" t="s">
        <v>295</v>
      </c>
      <c r="E8384" t="s">
        <v>302</v>
      </c>
      <c r="F8384">
        <v>21</v>
      </c>
      <c r="G8384">
        <v>10.843450000000001</v>
      </c>
    </row>
    <row r="8385" spans="1:7" x14ac:dyDescent="0.35">
      <c r="A8385" t="s">
        <v>847</v>
      </c>
      <c r="B8385" t="s">
        <v>691</v>
      </c>
      <c r="C8385" s="83">
        <v>46129</v>
      </c>
      <c r="D8385" t="s">
        <v>295</v>
      </c>
      <c r="E8385" t="s">
        <v>296</v>
      </c>
      <c r="F8385">
        <v>14</v>
      </c>
      <c r="G8385">
        <v>3.6986500000000002</v>
      </c>
    </row>
    <row r="8386" spans="1:7" x14ac:dyDescent="0.35">
      <c r="A8386" t="s">
        <v>847</v>
      </c>
      <c r="B8386" t="s">
        <v>691</v>
      </c>
      <c r="C8386" s="83">
        <v>46129</v>
      </c>
      <c r="D8386" t="s">
        <v>299</v>
      </c>
      <c r="E8386" t="s">
        <v>296</v>
      </c>
      <c r="F8386">
        <v>107</v>
      </c>
      <c r="G8386">
        <v>54.716999999999999</v>
      </c>
    </row>
    <row r="8387" spans="1:7" x14ac:dyDescent="0.35">
      <c r="A8387" t="s">
        <v>847</v>
      </c>
      <c r="B8387" t="s">
        <v>691</v>
      </c>
      <c r="C8387" s="83">
        <v>46129</v>
      </c>
      <c r="D8387" t="s">
        <v>301</v>
      </c>
      <c r="E8387" t="s">
        <v>302</v>
      </c>
      <c r="F8387">
        <v>29</v>
      </c>
      <c r="G8387">
        <v>22.379300000000001</v>
      </c>
    </row>
    <row r="8388" spans="1:7" x14ac:dyDescent="0.35">
      <c r="A8388" t="s">
        <v>847</v>
      </c>
      <c r="B8388" t="s">
        <v>691</v>
      </c>
      <c r="C8388" s="83">
        <v>46129</v>
      </c>
      <c r="D8388" t="s">
        <v>310</v>
      </c>
      <c r="E8388" t="s">
        <v>311</v>
      </c>
      <c r="F8388">
        <v>10</v>
      </c>
      <c r="G8388">
        <v>8.8154666666666692</v>
      </c>
    </row>
    <row r="8389" spans="1:7" x14ac:dyDescent="0.35">
      <c r="A8389" t="s">
        <v>847</v>
      </c>
      <c r="B8389" t="s">
        <v>691</v>
      </c>
      <c r="C8389" s="83">
        <v>46129</v>
      </c>
      <c r="D8389" t="s">
        <v>310</v>
      </c>
      <c r="E8389" t="s">
        <v>321</v>
      </c>
      <c r="F8389">
        <v>8</v>
      </c>
      <c r="G8389">
        <v>2.3476333333333299</v>
      </c>
    </row>
    <row r="8390" spans="1:7" x14ac:dyDescent="0.35">
      <c r="A8390" t="s">
        <v>847</v>
      </c>
      <c r="B8390" t="s">
        <v>691</v>
      </c>
      <c r="C8390" s="83">
        <v>46129</v>
      </c>
      <c r="D8390" t="s">
        <v>310</v>
      </c>
      <c r="E8390" t="s">
        <v>640</v>
      </c>
      <c r="F8390">
        <v>8</v>
      </c>
      <c r="G8390">
        <v>8.5688833333333303</v>
      </c>
    </row>
    <row r="8391" spans="1:7" x14ac:dyDescent="0.35">
      <c r="A8391" t="s">
        <v>847</v>
      </c>
      <c r="B8391" t="s">
        <v>691</v>
      </c>
      <c r="C8391" s="83">
        <v>46129</v>
      </c>
      <c r="D8391" t="s">
        <v>313</v>
      </c>
      <c r="E8391" t="s">
        <v>312</v>
      </c>
      <c r="F8391">
        <v>23</v>
      </c>
      <c r="G8391">
        <v>17.290700000000001</v>
      </c>
    </row>
    <row r="8392" spans="1:7" x14ac:dyDescent="0.35">
      <c r="A8392" t="s">
        <v>847</v>
      </c>
      <c r="B8392" t="s">
        <v>691</v>
      </c>
      <c r="C8392" s="83">
        <v>46129</v>
      </c>
      <c r="D8392" t="s">
        <v>313</v>
      </c>
      <c r="E8392" t="s">
        <v>640</v>
      </c>
      <c r="F8392">
        <v>7</v>
      </c>
      <c r="G8392">
        <v>10.9940833333333</v>
      </c>
    </row>
    <row r="8393" spans="1:7" x14ac:dyDescent="0.35">
      <c r="A8393" t="s">
        <v>847</v>
      </c>
      <c r="B8393" t="s">
        <v>691</v>
      </c>
      <c r="C8393" s="83">
        <v>46129</v>
      </c>
      <c r="D8393" t="s">
        <v>313</v>
      </c>
      <c r="E8393" t="s">
        <v>311</v>
      </c>
      <c r="F8393">
        <v>6</v>
      </c>
      <c r="G8393">
        <v>3.56115</v>
      </c>
    </row>
    <row r="8394" spans="1:7" x14ac:dyDescent="0.35">
      <c r="A8394" t="s">
        <v>847</v>
      </c>
      <c r="B8394" t="s">
        <v>691</v>
      </c>
      <c r="C8394" s="83">
        <v>46129</v>
      </c>
      <c r="D8394" t="s">
        <v>314</v>
      </c>
      <c r="E8394" t="s">
        <v>640</v>
      </c>
      <c r="F8394">
        <v>8</v>
      </c>
      <c r="G8394">
        <v>41.717416666666701</v>
      </c>
    </row>
    <row r="8395" spans="1:7" x14ac:dyDescent="0.35">
      <c r="A8395" t="s">
        <v>847</v>
      </c>
      <c r="B8395" t="s">
        <v>691</v>
      </c>
      <c r="C8395" s="83">
        <v>46129</v>
      </c>
      <c r="D8395" t="s">
        <v>314</v>
      </c>
      <c r="E8395" t="s">
        <v>312</v>
      </c>
      <c r="F8395">
        <v>7</v>
      </c>
      <c r="G8395">
        <v>4.7554999999999996</v>
      </c>
    </row>
    <row r="8396" spans="1:7" x14ac:dyDescent="0.35">
      <c r="A8396" t="s">
        <v>847</v>
      </c>
      <c r="B8396" t="s">
        <v>691</v>
      </c>
      <c r="C8396" s="83">
        <v>46129</v>
      </c>
      <c r="D8396" t="s">
        <v>314</v>
      </c>
      <c r="E8396" t="s">
        <v>316</v>
      </c>
      <c r="F8396">
        <v>5</v>
      </c>
      <c r="G8396">
        <v>1.3742666666666701</v>
      </c>
    </row>
    <row r="8397" spans="1:7" x14ac:dyDescent="0.35">
      <c r="A8397" t="s">
        <v>847</v>
      </c>
      <c r="B8397" t="s">
        <v>691</v>
      </c>
      <c r="C8397" s="83">
        <v>46129</v>
      </c>
      <c r="D8397" t="s">
        <v>317</v>
      </c>
      <c r="E8397" t="s">
        <v>777</v>
      </c>
      <c r="F8397">
        <v>4</v>
      </c>
      <c r="G8397">
        <v>1.8318333333333301</v>
      </c>
    </row>
    <row r="8398" spans="1:7" x14ac:dyDescent="0.35">
      <c r="A8398" t="s">
        <v>847</v>
      </c>
      <c r="B8398" t="s">
        <v>691</v>
      </c>
      <c r="C8398" s="83">
        <v>46129</v>
      </c>
      <c r="D8398" t="s">
        <v>317</v>
      </c>
      <c r="E8398" t="s">
        <v>318</v>
      </c>
      <c r="F8398">
        <v>2</v>
      </c>
      <c r="G8398">
        <v>0.21211666666666701</v>
      </c>
    </row>
    <row r="8399" spans="1:7" x14ac:dyDescent="0.35">
      <c r="A8399" t="s">
        <v>847</v>
      </c>
      <c r="B8399" t="s">
        <v>691</v>
      </c>
      <c r="C8399" s="83">
        <v>46129</v>
      </c>
      <c r="D8399" t="s">
        <v>317</v>
      </c>
      <c r="E8399" t="s">
        <v>339</v>
      </c>
      <c r="F8399">
        <v>2</v>
      </c>
      <c r="G8399">
        <v>0.67413333333333303</v>
      </c>
    </row>
    <row r="8400" spans="1:7" x14ac:dyDescent="0.35">
      <c r="A8400" t="s">
        <v>847</v>
      </c>
      <c r="B8400" t="s">
        <v>691</v>
      </c>
      <c r="C8400" s="83">
        <v>46130</v>
      </c>
      <c r="D8400" t="s">
        <v>295</v>
      </c>
      <c r="E8400" t="s">
        <v>296</v>
      </c>
      <c r="F8400">
        <v>24</v>
      </c>
      <c r="G8400">
        <v>16.641766666666701</v>
      </c>
    </row>
    <row r="8401" spans="1:7" x14ac:dyDescent="0.35">
      <c r="A8401" t="s">
        <v>847</v>
      </c>
      <c r="B8401" t="s">
        <v>691</v>
      </c>
      <c r="C8401" s="83">
        <v>46130</v>
      </c>
      <c r="D8401" t="s">
        <v>295</v>
      </c>
      <c r="E8401" t="s">
        <v>302</v>
      </c>
      <c r="F8401">
        <v>12</v>
      </c>
      <c r="G8401">
        <v>7.9116</v>
      </c>
    </row>
    <row r="8402" spans="1:7" x14ac:dyDescent="0.35">
      <c r="A8402" t="s">
        <v>847</v>
      </c>
      <c r="B8402" t="s">
        <v>691</v>
      </c>
      <c r="C8402" s="83">
        <v>46130</v>
      </c>
      <c r="D8402" t="s">
        <v>299</v>
      </c>
      <c r="E8402" t="s">
        <v>296</v>
      </c>
      <c r="F8402">
        <v>62</v>
      </c>
      <c r="G8402">
        <v>41.9133833333333</v>
      </c>
    </row>
    <row r="8403" spans="1:7" x14ac:dyDescent="0.35">
      <c r="A8403" t="s">
        <v>847</v>
      </c>
      <c r="B8403" t="s">
        <v>691</v>
      </c>
      <c r="C8403" s="83">
        <v>46130</v>
      </c>
      <c r="D8403" t="s">
        <v>301</v>
      </c>
      <c r="E8403" t="s">
        <v>302</v>
      </c>
      <c r="F8403">
        <v>17</v>
      </c>
      <c r="G8403">
        <v>9.7670999999999992</v>
      </c>
    </row>
    <row r="8404" spans="1:7" x14ac:dyDescent="0.35">
      <c r="A8404" t="s">
        <v>847</v>
      </c>
      <c r="B8404" t="s">
        <v>691</v>
      </c>
      <c r="C8404" s="83">
        <v>46130</v>
      </c>
      <c r="D8404" t="s">
        <v>310</v>
      </c>
      <c r="E8404" t="s">
        <v>338</v>
      </c>
      <c r="F8404">
        <v>15</v>
      </c>
      <c r="G8404">
        <v>29.271249999999998</v>
      </c>
    </row>
    <row r="8405" spans="1:7" x14ac:dyDescent="0.35">
      <c r="A8405" t="s">
        <v>847</v>
      </c>
      <c r="B8405" t="s">
        <v>691</v>
      </c>
      <c r="C8405" s="83">
        <v>46130</v>
      </c>
      <c r="D8405" t="s">
        <v>310</v>
      </c>
      <c r="E8405" t="s">
        <v>640</v>
      </c>
      <c r="F8405">
        <v>7</v>
      </c>
      <c r="G8405">
        <v>9.5455000000000005</v>
      </c>
    </row>
    <row r="8406" spans="1:7" x14ac:dyDescent="0.35">
      <c r="A8406" t="s">
        <v>847</v>
      </c>
      <c r="B8406" t="s">
        <v>691</v>
      </c>
      <c r="C8406" s="83">
        <v>46130</v>
      </c>
      <c r="D8406" t="s">
        <v>310</v>
      </c>
      <c r="E8406" t="s">
        <v>312</v>
      </c>
      <c r="F8406">
        <v>5</v>
      </c>
      <c r="G8406">
        <v>1.4437833333333301</v>
      </c>
    </row>
    <row r="8407" spans="1:7" x14ac:dyDescent="0.35">
      <c r="A8407" t="s">
        <v>847</v>
      </c>
      <c r="B8407" t="s">
        <v>691</v>
      </c>
      <c r="C8407" s="83">
        <v>46130</v>
      </c>
      <c r="D8407" t="s">
        <v>313</v>
      </c>
      <c r="E8407" t="s">
        <v>312</v>
      </c>
      <c r="F8407">
        <v>16</v>
      </c>
      <c r="G8407">
        <v>7.8500833333333304</v>
      </c>
    </row>
    <row r="8408" spans="1:7" x14ac:dyDescent="0.35">
      <c r="A8408" t="s">
        <v>847</v>
      </c>
      <c r="B8408" t="s">
        <v>691</v>
      </c>
      <c r="C8408" s="83">
        <v>46130</v>
      </c>
      <c r="D8408" t="s">
        <v>313</v>
      </c>
      <c r="E8408" t="s">
        <v>640</v>
      </c>
      <c r="F8408">
        <v>7</v>
      </c>
      <c r="G8408">
        <v>14.83685</v>
      </c>
    </row>
    <row r="8409" spans="1:7" x14ac:dyDescent="0.35">
      <c r="A8409" t="s">
        <v>847</v>
      </c>
      <c r="B8409" t="s">
        <v>691</v>
      </c>
      <c r="C8409" s="83">
        <v>46130</v>
      </c>
      <c r="D8409" t="s">
        <v>313</v>
      </c>
      <c r="E8409" t="s">
        <v>311</v>
      </c>
      <c r="F8409">
        <v>5</v>
      </c>
      <c r="G8409">
        <v>2.5130666666666701</v>
      </c>
    </row>
    <row r="8410" spans="1:7" x14ac:dyDescent="0.35">
      <c r="A8410" t="s">
        <v>847</v>
      </c>
      <c r="B8410" t="s">
        <v>691</v>
      </c>
      <c r="C8410" s="83">
        <v>46130</v>
      </c>
      <c r="D8410" t="s">
        <v>314</v>
      </c>
      <c r="E8410" t="s">
        <v>640</v>
      </c>
      <c r="F8410">
        <v>9</v>
      </c>
      <c r="G8410">
        <v>28.7648333333333</v>
      </c>
    </row>
    <row r="8411" spans="1:7" x14ac:dyDescent="0.35">
      <c r="A8411" t="s">
        <v>847</v>
      </c>
      <c r="B8411" t="s">
        <v>691</v>
      </c>
      <c r="C8411" s="83">
        <v>46130</v>
      </c>
      <c r="D8411" t="s">
        <v>314</v>
      </c>
      <c r="E8411" t="s">
        <v>126</v>
      </c>
      <c r="F8411">
        <v>5</v>
      </c>
      <c r="G8411">
        <v>8.4236500000000003</v>
      </c>
    </row>
    <row r="8412" spans="1:7" x14ac:dyDescent="0.35">
      <c r="A8412" t="s">
        <v>847</v>
      </c>
      <c r="B8412" t="s">
        <v>691</v>
      </c>
      <c r="C8412" s="83">
        <v>46130</v>
      </c>
      <c r="D8412" t="s">
        <v>314</v>
      </c>
      <c r="E8412" t="s">
        <v>338</v>
      </c>
      <c r="F8412">
        <v>3</v>
      </c>
      <c r="G8412">
        <v>5.01108333333333</v>
      </c>
    </row>
    <row r="8413" spans="1:7" x14ac:dyDescent="0.35">
      <c r="A8413" t="s">
        <v>847</v>
      </c>
      <c r="B8413" t="s">
        <v>691</v>
      </c>
      <c r="C8413" s="83">
        <v>46130</v>
      </c>
      <c r="D8413" t="s">
        <v>317</v>
      </c>
      <c r="E8413" t="s">
        <v>319</v>
      </c>
      <c r="F8413">
        <v>3</v>
      </c>
      <c r="G8413">
        <v>21.4592666666667</v>
      </c>
    </row>
    <row r="8414" spans="1:7" x14ac:dyDescent="0.35">
      <c r="A8414" t="s">
        <v>847</v>
      </c>
      <c r="B8414" t="s">
        <v>691</v>
      </c>
      <c r="C8414" s="83">
        <v>46130</v>
      </c>
      <c r="D8414" t="s">
        <v>317</v>
      </c>
      <c r="E8414" t="s">
        <v>322</v>
      </c>
      <c r="F8414">
        <v>2</v>
      </c>
      <c r="G8414">
        <v>0.50970000000000004</v>
      </c>
    </row>
    <row r="8415" spans="1:7" x14ac:dyDescent="0.35">
      <c r="A8415" t="s">
        <v>847</v>
      </c>
      <c r="B8415" t="s">
        <v>691</v>
      </c>
      <c r="C8415" s="83">
        <v>46130</v>
      </c>
      <c r="D8415" t="s">
        <v>317</v>
      </c>
      <c r="E8415" t="s">
        <v>339</v>
      </c>
      <c r="F8415">
        <v>2</v>
      </c>
      <c r="G8415">
        <v>3.2636833333333302</v>
      </c>
    </row>
    <row r="8416" spans="1:7" x14ac:dyDescent="0.35">
      <c r="A8416" t="s">
        <v>847</v>
      </c>
      <c r="B8416" t="s">
        <v>691</v>
      </c>
      <c r="C8416" s="83">
        <v>46131</v>
      </c>
      <c r="D8416" t="s">
        <v>295</v>
      </c>
      <c r="E8416" t="s">
        <v>296</v>
      </c>
      <c r="F8416">
        <v>29</v>
      </c>
      <c r="G8416">
        <v>10.7999166666667</v>
      </c>
    </row>
    <row r="8417" spans="1:7" x14ac:dyDescent="0.35">
      <c r="A8417" t="s">
        <v>847</v>
      </c>
      <c r="B8417" t="s">
        <v>691</v>
      </c>
      <c r="C8417" s="83">
        <v>46131</v>
      </c>
      <c r="D8417" t="s">
        <v>295</v>
      </c>
      <c r="E8417" t="s">
        <v>302</v>
      </c>
      <c r="F8417">
        <v>9</v>
      </c>
      <c r="G8417">
        <v>6.8537999999999997</v>
      </c>
    </row>
    <row r="8418" spans="1:7" x14ac:dyDescent="0.35">
      <c r="A8418" t="s">
        <v>847</v>
      </c>
      <c r="B8418" t="s">
        <v>691</v>
      </c>
      <c r="C8418" s="83">
        <v>46131</v>
      </c>
      <c r="D8418" t="s">
        <v>299</v>
      </c>
      <c r="E8418" t="s">
        <v>296</v>
      </c>
      <c r="F8418">
        <v>52</v>
      </c>
      <c r="G8418">
        <v>29.869700000000002</v>
      </c>
    </row>
    <row r="8419" spans="1:7" x14ac:dyDescent="0.35">
      <c r="A8419" t="s">
        <v>847</v>
      </c>
      <c r="B8419" t="s">
        <v>691</v>
      </c>
      <c r="C8419" s="83">
        <v>46131</v>
      </c>
      <c r="D8419" t="s">
        <v>301</v>
      </c>
      <c r="E8419" t="s">
        <v>302</v>
      </c>
      <c r="F8419">
        <v>16</v>
      </c>
      <c r="G8419">
        <v>11.057116666666699</v>
      </c>
    </row>
    <row r="8420" spans="1:7" x14ac:dyDescent="0.35">
      <c r="A8420" t="s">
        <v>847</v>
      </c>
      <c r="B8420" t="s">
        <v>691</v>
      </c>
      <c r="C8420" s="83">
        <v>46131</v>
      </c>
      <c r="D8420" t="s">
        <v>310</v>
      </c>
      <c r="E8420" t="s">
        <v>316</v>
      </c>
      <c r="F8420">
        <v>4</v>
      </c>
      <c r="G8420">
        <v>2.7528666666666699</v>
      </c>
    </row>
    <row r="8421" spans="1:7" x14ac:dyDescent="0.35">
      <c r="A8421" t="s">
        <v>847</v>
      </c>
      <c r="B8421" t="s">
        <v>691</v>
      </c>
      <c r="C8421" s="83">
        <v>46131</v>
      </c>
      <c r="D8421" t="s">
        <v>310</v>
      </c>
      <c r="E8421" t="s">
        <v>640</v>
      </c>
      <c r="F8421">
        <v>2</v>
      </c>
      <c r="G8421">
        <v>2.54416666666667</v>
      </c>
    </row>
    <row r="8422" spans="1:7" x14ac:dyDescent="0.35">
      <c r="A8422" t="s">
        <v>847</v>
      </c>
      <c r="B8422" t="s">
        <v>691</v>
      </c>
      <c r="C8422" s="83">
        <v>46131</v>
      </c>
      <c r="D8422" t="s">
        <v>310</v>
      </c>
      <c r="E8422" t="s">
        <v>311</v>
      </c>
      <c r="F8422">
        <v>2</v>
      </c>
      <c r="G8422">
        <v>0.766133333333333</v>
      </c>
    </row>
    <row r="8423" spans="1:7" x14ac:dyDescent="0.35">
      <c r="A8423" t="s">
        <v>847</v>
      </c>
      <c r="B8423" t="s">
        <v>691</v>
      </c>
      <c r="C8423" s="83">
        <v>46131</v>
      </c>
      <c r="D8423" t="s">
        <v>313</v>
      </c>
      <c r="E8423" t="s">
        <v>640</v>
      </c>
      <c r="F8423">
        <v>5</v>
      </c>
      <c r="G8423">
        <v>9.0475666666666594</v>
      </c>
    </row>
    <row r="8424" spans="1:7" x14ac:dyDescent="0.35">
      <c r="A8424" t="s">
        <v>847</v>
      </c>
      <c r="B8424" t="s">
        <v>691</v>
      </c>
      <c r="C8424" s="83">
        <v>46131</v>
      </c>
      <c r="D8424" t="s">
        <v>313</v>
      </c>
      <c r="E8424" t="s">
        <v>338</v>
      </c>
      <c r="F8424">
        <v>4</v>
      </c>
      <c r="G8424">
        <v>5.7261666666666704</v>
      </c>
    </row>
    <row r="8425" spans="1:7" x14ac:dyDescent="0.35">
      <c r="A8425" t="s">
        <v>847</v>
      </c>
      <c r="B8425" t="s">
        <v>691</v>
      </c>
      <c r="C8425" s="83">
        <v>46131</v>
      </c>
      <c r="D8425" t="s">
        <v>313</v>
      </c>
      <c r="E8425" t="s">
        <v>126</v>
      </c>
      <c r="F8425">
        <v>4</v>
      </c>
      <c r="G8425">
        <v>17.052350000000001</v>
      </c>
    </row>
    <row r="8426" spans="1:7" x14ac:dyDescent="0.35">
      <c r="A8426" t="s">
        <v>847</v>
      </c>
      <c r="B8426" t="s">
        <v>691</v>
      </c>
      <c r="C8426" s="83">
        <v>46131</v>
      </c>
      <c r="D8426" t="s">
        <v>314</v>
      </c>
      <c r="E8426" t="s">
        <v>827</v>
      </c>
      <c r="F8426">
        <v>4</v>
      </c>
      <c r="G8426">
        <v>12.1672833333333</v>
      </c>
    </row>
    <row r="8427" spans="1:7" x14ac:dyDescent="0.35">
      <c r="A8427" t="s">
        <v>847</v>
      </c>
      <c r="B8427" t="s">
        <v>691</v>
      </c>
      <c r="C8427" s="83">
        <v>46131</v>
      </c>
      <c r="D8427" t="s">
        <v>314</v>
      </c>
      <c r="E8427" t="s">
        <v>640</v>
      </c>
      <c r="F8427">
        <v>4</v>
      </c>
      <c r="G8427">
        <v>5.5805833333333297</v>
      </c>
    </row>
    <row r="8428" spans="1:7" x14ac:dyDescent="0.35">
      <c r="A8428" t="s">
        <v>847</v>
      </c>
      <c r="B8428" t="s">
        <v>691</v>
      </c>
      <c r="C8428" s="83">
        <v>46131</v>
      </c>
      <c r="D8428" t="s">
        <v>314</v>
      </c>
      <c r="E8428" t="s">
        <v>321</v>
      </c>
      <c r="F8428">
        <v>2</v>
      </c>
      <c r="G8428">
        <v>2.19281666666667</v>
      </c>
    </row>
    <row r="8429" spans="1:7" x14ac:dyDescent="0.35">
      <c r="A8429" t="s">
        <v>847</v>
      </c>
      <c r="B8429" t="s">
        <v>691</v>
      </c>
      <c r="C8429" s="83">
        <v>46131</v>
      </c>
      <c r="D8429" t="s">
        <v>317</v>
      </c>
      <c r="E8429" t="s">
        <v>319</v>
      </c>
      <c r="F8429">
        <v>4</v>
      </c>
      <c r="G8429">
        <v>12.1997</v>
      </c>
    </row>
    <row r="8430" spans="1:7" x14ac:dyDescent="0.35">
      <c r="A8430" t="s">
        <v>847</v>
      </c>
      <c r="B8430" t="s">
        <v>691</v>
      </c>
      <c r="C8430" s="83">
        <v>46131</v>
      </c>
      <c r="D8430" t="s">
        <v>317</v>
      </c>
      <c r="E8430" t="s">
        <v>777</v>
      </c>
      <c r="F8430">
        <v>2</v>
      </c>
      <c r="G8430">
        <v>0.342733333333333</v>
      </c>
    </row>
    <row r="8431" spans="1:7" x14ac:dyDescent="0.35">
      <c r="A8431" t="s">
        <v>847</v>
      </c>
      <c r="B8431" t="s">
        <v>691</v>
      </c>
      <c r="C8431" s="83">
        <v>46131</v>
      </c>
      <c r="D8431" t="s">
        <v>317</v>
      </c>
      <c r="E8431" t="s">
        <v>339</v>
      </c>
      <c r="F8431">
        <v>2</v>
      </c>
      <c r="G8431">
        <v>1.2219833333333301</v>
      </c>
    </row>
    <row r="8432" spans="1:7" x14ac:dyDescent="0.35">
      <c r="A8432" t="s">
        <v>847</v>
      </c>
      <c r="B8432" t="s">
        <v>691</v>
      </c>
      <c r="C8432" s="83">
        <v>46132</v>
      </c>
      <c r="D8432" t="s">
        <v>295</v>
      </c>
      <c r="E8432" t="s">
        <v>296</v>
      </c>
      <c r="F8432">
        <v>16</v>
      </c>
      <c r="G8432">
        <v>5.7493666666666696</v>
      </c>
    </row>
    <row r="8433" spans="1:7" x14ac:dyDescent="0.35">
      <c r="A8433" t="s">
        <v>847</v>
      </c>
      <c r="B8433" t="s">
        <v>691</v>
      </c>
      <c r="C8433" s="83">
        <v>46132</v>
      </c>
      <c r="D8433" t="s">
        <v>299</v>
      </c>
      <c r="E8433" t="s">
        <v>296</v>
      </c>
      <c r="F8433">
        <v>40</v>
      </c>
      <c r="G8433">
        <v>34.3890666666667</v>
      </c>
    </row>
    <row r="8434" spans="1:7" x14ac:dyDescent="0.35">
      <c r="A8434" t="s">
        <v>847</v>
      </c>
      <c r="B8434" t="s">
        <v>691</v>
      </c>
      <c r="C8434" s="83">
        <v>46132</v>
      </c>
      <c r="D8434" t="s">
        <v>301</v>
      </c>
      <c r="E8434" t="s">
        <v>302</v>
      </c>
      <c r="F8434">
        <v>31</v>
      </c>
      <c r="G8434">
        <v>20.879016666666701</v>
      </c>
    </row>
    <row r="8435" spans="1:7" x14ac:dyDescent="0.35">
      <c r="A8435" t="s">
        <v>847</v>
      </c>
      <c r="B8435" t="s">
        <v>691</v>
      </c>
      <c r="C8435" s="83">
        <v>46132</v>
      </c>
      <c r="D8435" t="s">
        <v>309</v>
      </c>
      <c r="E8435" t="s">
        <v>344</v>
      </c>
      <c r="F8435">
        <v>15</v>
      </c>
      <c r="G8435">
        <v>7.0374333333333299</v>
      </c>
    </row>
    <row r="8436" spans="1:7" x14ac:dyDescent="0.35">
      <c r="A8436" t="s">
        <v>847</v>
      </c>
      <c r="B8436" t="s">
        <v>691</v>
      </c>
      <c r="C8436" s="83">
        <v>46132</v>
      </c>
      <c r="D8436" t="s">
        <v>310</v>
      </c>
      <c r="E8436" t="s">
        <v>316</v>
      </c>
      <c r="F8436">
        <v>5</v>
      </c>
      <c r="G8436">
        <v>8.34643333333333</v>
      </c>
    </row>
    <row r="8437" spans="1:7" x14ac:dyDescent="0.35">
      <c r="A8437" t="s">
        <v>847</v>
      </c>
      <c r="B8437" t="s">
        <v>691</v>
      </c>
      <c r="C8437" s="83">
        <v>46132</v>
      </c>
      <c r="D8437" t="s">
        <v>310</v>
      </c>
      <c r="E8437" t="s">
        <v>338</v>
      </c>
      <c r="F8437">
        <v>4</v>
      </c>
      <c r="G8437">
        <v>1.8454333333333299</v>
      </c>
    </row>
    <row r="8438" spans="1:7" x14ac:dyDescent="0.35">
      <c r="A8438" t="s">
        <v>847</v>
      </c>
      <c r="B8438" t="s">
        <v>691</v>
      </c>
      <c r="C8438" s="83">
        <v>46132</v>
      </c>
      <c r="D8438" t="s">
        <v>310</v>
      </c>
      <c r="E8438" t="s">
        <v>311</v>
      </c>
      <c r="F8438">
        <v>2</v>
      </c>
      <c r="G8438">
        <v>8.6967499999999998</v>
      </c>
    </row>
    <row r="8439" spans="1:7" x14ac:dyDescent="0.35">
      <c r="A8439" t="s">
        <v>847</v>
      </c>
      <c r="B8439" t="s">
        <v>691</v>
      </c>
      <c r="C8439" s="83">
        <v>46132</v>
      </c>
      <c r="D8439" t="s">
        <v>313</v>
      </c>
      <c r="E8439" t="s">
        <v>311</v>
      </c>
      <c r="F8439">
        <v>14</v>
      </c>
      <c r="G8439">
        <v>9.6113833333333307</v>
      </c>
    </row>
    <row r="8440" spans="1:7" x14ac:dyDescent="0.35">
      <c r="A8440" t="s">
        <v>847</v>
      </c>
      <c r="B8440" t="s">
        <v>691</v>
      </c>
      <c r="C8440" s="83">
        <v>46132</v>
      </c>
      <c r="D8440" t="s">
        <v>313</v>
      </c>
      <c r="E8440" t="s">
        <v>312</v>
      </c>
      <c r="F8440">
        <v>4</v>
      </c>
      <c r="G8440">
        <v>2.1053833333333301</v>
      </c>
    </row>
    <row r="8441" spans="1:7" x14ac:dyDescent="0.35">
      <c r="A8441" t="s">
        <v>847</v>
      </c>
      <c r="B8441" t="s">
        <v>691</v>
      </c>
      <c r="C8441" s="83">
        <v>46132</v>
      </c>
      <c r="D8441" t="s">
        <v>313</v>
      </c>
      <c r="E8441" t="s">
        <v>338</v>
      </c>
      <c r="F8441">
        <v>2</v>
      </c>
      <c r="G8441">
        <v>1.6016333333333299</v>
      </c>
    </row>
    <row r="8442" spans="1:7" x14ac:dyDescent="0.35">
      <c r="A8442" t="s">
        <v>847</v>
      </c>
      <c r="B8442" t="s">
        <v>691</v>
      </c>
      <c r="C8442" s="83">
        <v>46132</v>
      </c>
      <c r="D8442" t="s">
        <v>314</v>
      </c>
      <c r="E8442" t="s">
        <v>312</v>
      </c>
      <c r="F8442">
        <v>8</v>
      </c>
      <c r="G8442">
        <v>6.6192500000000001</v>
      </c>
    </row>
    <row r="8443" spans="1:7" x14ac:dyDescent="0.35">
      <c r="A8443" t="s">
        <v>847</v>
      </c>
      <c r="B8443" t="s">
        <v>691</v>
      </c>
      <c r="C8443" s="83">
        <v>46132</v>
      </c>
      <c r="D8443" t="s">
        <v>314</v>
      </c>
      <c r="E8443" t="s">
        <v>640</v>
      </c>
      <c r="F8443">
        <v>6</v>
      </c>
      <c r="G8443">
        <v>18.488333333333301</v>
      </c>
    </row>
    <row r="8444" spans="1:7" x14ac:dyDescent="0.35">
      <c r="A8444" t="s">
        <v>847</v>
      </c>
      <c r="B8444" t="s">
        <v>691</v>
      </c>
      <c r="C8444" s="83">
        <v>46132</v>
      </c>
      <c r="D8444" t="s">
        <v>314</v>
      </c>
      <c r="E8444" t="s">
        <v>316</v>
      </c>
      <c r="F8444">
        <v>4</v>
      </c>
      <c r="G8444">
        <v>3.4480166666666698</v>
      </c>
    </row>
    <row r="8445" spans="1:7" x14ac:dyDescent="0.35">
      <c r="A8445" t="s">
        <v>847</v>
      </c>
      <c r="B8445" t="s">
        <v>691</v>
      </c>
      <c r="C8445" s="83">
        <v>46132</v>
      </c>
      <c r="D8445" t="s">
        <v>317</v>
      </c>
      <c r="E8445" t="s">
        <v>319</v>
      </c>
      <c r="F8445">
        <v>3</v>
      </c>
      <c r="G8445">
        <v>11.170450000000001</v>
      </c>
    </row>
    <row r="8446" spans="1:7" x14ac:dyDescent="0.35">
      <c r="A8446" t="s">
        <v>847</v>
      </c>
      <c r="B8446" t="s">
        <v>691</v>
      </c>
      <c r="C8446" s="83">
        <v>46132</v>
      </c>
      <c r="D8446" t="s">
        <v>317</v>
      </c>
      <c r="E8446" t="s">
        <v>792</v>
      </c>
      <c r="F8446">
        <v>2</v>
      </c>
      <c r="G8446">
        <v>1.4076833333333301</v>
      </c>
    </row>
    <row r="8447" spans="1:7" x14ac:dyDescent="0.35">
      <c r="A8447" t="s">
        <v>847</v>
      </c>
      <c r="B8447" t="s">
        <v>691</v>
      </c>
      <c r="C8447" s="83">
        <v>46132</v>
      </c>
      <c r="D8447" t="s">
        <v>317</v>
      </c>
      <c r="E8447" t="s">
        <v>339</v>
      </c>
      <c r="F8447">
        <v>2</v>
      </c>
      <c r="G8447">
        <v>0.57625000000000004</v>
      </c>
    </row>
    <row r="8448" spans="1:7" x14ac:dyDescent="0.35">
      <c r="A8448" t="s">
        <v>847</v>
      </c>
      <c r="B8448" t="s">
        <v>691</v>
      </c>
      <c r="C8448" s="83">
        <v>46133</v>
      </c>
      <c r="D8448" t="s">
        <v>295</v>
      </c>
      <c r="E8448" t="s">
        <v>296</v>
      </c>
      <c r="F8448">
        <v>23</v>
      </c>
      <c r="G8448">
        <v>10.203433333333299</v>
      </c>
    </row>
    <row r="8449" spans="1:7" x14ac:dyDescent="0.35">
      <c r="A8449" t="s">
        <v>847</v>
      </c>
      <c r="B8449" t="s">
        <v>691</v>
      </c>
      <c r="C8449" s="83">
        <v>46133</v>
      </c>
      <c r="D8449" t="s">
        <v>295</v>
      </c>
      <c r="E8449" t="s">
        <v>302</v>
      </c>
      <c r="F8449">
        <v>11</v>
      </c>
      <c r="G8449">
        <v>9.5864999999999991</v>
      </c>
    </row>
    <row r="8450" spans="1:7" x14ac:dyDescent="0.35">
      <c r="A8450" t="s">
        <v>847</v>
      </c>
      <c r="B8450" t="s">
        <v>691</v>
      </c>
      <c r="C8450" s="83">
        <v>46133</v>
      </c>
      <c r="D8450" t="s">
        <v>299</v>
      </c>
      <c r="E8450" t="s">
        <v>296</v>
      </c>
      <c r="F8450">
        <v>31</v>
      </c>
      <c r="G8450">
        <v>26.025233333333301</v>
      </c>
    </row>
    <row r="8451" spans="1:7" x14ac:dyDescent="0.35">
      <c r="A8451" t="s">
        <v>847</v>
      </c>
      <c r="B8451" t="s">
        <v>691</v>
      </c>
      <c r="C8451" s="83">
        <v>46133</v>
      </c>
      <c r="D8451" t="s">
        <v>301</v>
      </c>
      <c r="E8451" t="s">
        <v>296</v>
      </c>
      <c r="F8451">
        <v>14</v>
      </c>
      <c r="G8451">
        <v>8.6671666666666702</v>
      </c>
    </row>
    <row r="8452" spans="1:7" x14ac:dyDescent="0.35">
      <c r="A8452" t="s">
        <v>847</v>
      </c>
      <c r="B8452" t="s">
        <v>691</v>
      </c>
      <c r="C8452" s="83">
        <v>46133</v>
      </c>
      <c r="D8452" t="s">
        <v>310</v>
      </c>
      <c r="E8452" t="s">
        <v>126</v>
      </c>
      <c r="F8452">
        <v>15</v>
      </c>
      <c r="G8452">
        <v>22.089066666666699</v>
      </c>
    </row>
    <row r="8453" spans="1:7" x14ac:dyDescent="0.35">
      <c r="A8453" t="s">
        <v>847</v>
      </c>
      <c r="B8453" t="s">
        <v>691</v>
      </c>
      <c r="C8453" s="83">
        <v>46133</v>
      </c>
      <c r="D8453" t="s">
        <v>310</v>
      </c>
      <c r="E8453" t="s">
        <v>311</v>
      </c>
      <c r="F8453">
        <v>12</v>
      </c>
      <c r="G8453">
        <v>38.667183333333298</v>
      </c>
    </row>
    <row r="8454" spans="1:7" x14ac:dyDescent="0.35">
      <c r="A8454" t="s">
        <v>847</v>
      </c>
      <c r="B8454" t="s">
        <v>691</v>
      </c>
      <c r="C8454" s="83">
        <v>46133</v>
      </c>
      <c r="D8454" t="s">
        <v>310</v>
      </c>
      <c r="E8454" t="s">
        <v>312</v>
      </c>
      <c r="F8454">
        <v>5</v>
      </c>
      <c r="G8454">
        <v>3.94126666666667</v>
      </c>
    </row>
    <row r="8455" spans="1:7" x14ac:dyDescent="0.35">
      <c r="A8455" t="s">
        <v>847</v>
      </c>
      <c r="B8455" t="s">
        <v>691</v>
      </c>
      <c r="C8455" s="83">
        <v>46133</v>
      </c>
      <c r="D8455" t="s">
        <v>313</v>
      </c>
      <c r="E8455" t="s">
        <v>311</v>
      </c>
      <c r="F8455">
        <v>35</v>
      </c>
      <c r="G8455">
        <v>266.61736666666701</v>
      </c>
    </row>
    <row r="8456" spans="1:7" x14ac:dyDescent="0.35">
      <c r="A8456" t="s">
        <v>847</v>
      </c>
      <c r="B8456" t="s">
        <v>691</v>
      </c>
      <c r="C8456" s="83">
        <v>46133</v>
      </c>
      <c r="D8456" t="s">
        <v>313</v>
      </c>
      <c r="E8456" t="s">
        <v>347</v>
      </c>
      <c r="F8456">
        <v>12</v>
      </c>
      <c r="G8456">
        <v>7.4124166666666698</v>
      </c>
    </row>
    <row r="8457" spans="1:7" x14ac:dyDescent="0.35">
      <c r="A8457" t="s">
        <v>847</v>
      </c>
      <c r="B8457" t="s">
        <v>691</v>
      </c>
      <c r="C8457" s="83">
        <v>46133</v>
      </c>
      <c r="D8457" t="s">
        <v>313</v>
      </c>
      <c r="E8457" t="s">
        <v>774</v>
      </c>
      <c r="F8457">
        <v>2</v>
      </c>
      <c r="G8457">
        <v>5.9233333333333298E-2</v>
      </c>
    </row>
    <row r="8458" spans="1:7" x14ac:dyDescent="0.35">
      <c r="A8458" t="s">
        <v>847</v>
      </c>
      <c r="B8458" t="s">
        <v>691</v>
      </c>
      <c r="C8458" s="83">
        <v>46133</v>
      </c>
      <c r="D8458" t="s">
        <v>314</v>
      </c>
      <c r="E8458" t="s">
        <v>312</v>
      </c>
      <c r="F8458">
        <v>12</v>
      </c>
      <c r="G8458">
        <v>62.720883333333298</v>
      </c>
    </row>
    <row r="8459" spans="1:7" x14ac:dyDescent="0.35">
      <c r="A8459" t="s">
        <v>847</v>
      </c>
      <c r="B8459" t="s">
        <v>691</v>
      </c>
      <c r="C8459" s="83">
        <v>46133</v>
      </c>
      <c r="D8459" t="s">
        <v>314</v>
      </c>
      <c r="E8459" t="s">
        <v>640</v>
      </c>
      <c r="F8459">
        <v>5</v>
      </c>
      <c r="G8459">
        <v>12.474933333333301</v>
      </c>
    </row>
    <row r="8460" spans="1:7" x14ac:dyDescent="0.35">
      <c r="A8460" t="s">
        <v>847</v>
      </c>
      <c r="B8460" t="s">
        <v>691</v>
      </c>
      <c r="C8460" s="83">
        <v>46133</v>
      </c>
      <c r="D8460" t="s">
        <v>314</v>
      </c>
      <c r="E8460" t="s">
        <v>126</v>
      </c>
      <c r="F8460">
        <v>4</v>
      </c>
      <c r="G8460">
        <v>8.1936999999999998</v>
      </c>
    </row>
    <row r="8461" spans="1:7" x14ac:dyDescent="0.35">
      <c r="A8461" t="s">
        <v>847</v>
      </c>
      <c r="B8461" t="s">
        <v>691</v>
      </c>
      <c r="C8461" s="83">
        <v>46133</v>
      </c>
      <c r="D8461" t="s">
        <v>317</v>
      </c>
      <c r="E8461" t="s">
        <v>322</v>
      </c>
      <c r="F8461">
        <v>5</v>
      </c>
      <c r="G8461">
        <v>0.66606666666666703</v>
      </c>
    </row>
    <row r="8462" spans="1:7" x14ac:dyDescent="0.35">
      <c r="A8462" t="s">
        <v>847</v>
      </c>
      <c r="B8462" t="s">
        <v>691</v>
      </c>
      <c r="C8462" s="83">
        <v>46133</v>
      </c>
      <c r="D8462" t="s">
        <v>317</v>
      </c>
      <c r="E8462" t="s">
        <v>772</v>
      </c>
      <c r="F8462">
        <v>4</v>
      </c>
      <c r="G8462">
        <v>32.00385</v>
      </c>
    </row>
    <row r="8463" spans="1:7" x14ac:dyDescent="0.35">
      <c r="A8463" t="s">
        <v>847</v>
      </c>
      <c r="B8463" t="s">
        <v>691</v>
      </c>
      <c r="C8463" s="83">
        <v>46133</v>
      </c>
      <c r="D8463" t="s">
        <v>317</v>
      </c>
      <c r="E8463" t="s">
        <v>319</v>
      </c>
      <c r="F8463">
        <v>2</v>
      </c>
      <c r="G8463">
        <v>0.57608333333333295</v>
      </c>
    </row>
    <row r="8464" spans="1:7" x14ac:dyDescent="0.35">
      <c r="A8464" t="s">
        <v>847</v>
      </c>
      <c r="B8464" t="s">
        <v>691</v>
      </c>
      <c r="C8464" s="83">
        <v>46134</v>
      </c>
      <c r="D8464" t="s">
        <v>295</v>
      </c>
      <c r="E8464" t="s">
        <v>296</v>
      </c>
      <c r="F8464">
        <v>27</v>
      </c>
      <c r="G8464">
        <v>15.9554666666667</v>
      </c>
    </row>
    <row r="8465" spans="1:7" x14ac:dyDescent="0.35">
      <c r="A8465" t="s">
        <v>847</v>
      </c>
      <c r="B8465" t="s">
        <v>691</v>
      </c>
      <c r="C8465" s="83">
        <v>46134</v>
      </c>
      <c r="D8465" t="s">
        <v>295</v>
      </c>
      <c r="E8465" t="s">
        <v>836</v>
      </c>
      <c r="F8465">
        <v>18</v>
      </c>
      <c r="G8465">
        <v>24.643166666666701</v>
      </c>
    </row>
    <row r="8466" spans="1:7" x14ac:dyDescent="0.35">
      <c r="A8466" t="s">
        <v>847</v>
      </c>
      <c r="B8466" t="s">
        <v>691</v>
      </c>
      <c r="C8466" s="83">
        <v>46134</v>
      </c>
      <c r="D8466" t="s">
        <v>295</v>
      </c>
      <c r="E8466" t="s">
        <v>302</v>
      </c>
      <c r="F8466">
        <v>14</v>
      </c>
      <c r="G8466">
        <v>9.5648999999999997</v>
      </c>
    </row>
    <row r="8467" spans="1:7" x14ac:dyDescent="0.35">
      <c r="A8467" t="s">
        <v>847</v>
      </c>
      <c r="B8467" t="s">
        <v>691</v>
      </c>
      <c r="C8467" s="83">
        <v>46134</v>
      </c>
      <c r="D8467" t="s">
        <v>299</v>
      </c>
      <c r="E8467" t="s">
        <v>296</v>
      </c>
      <c r="F8467">
        <v>48</v>
      </c>
      <c r="G8467">
        <v>34.979016666666702</v>
      </c>
    </row>
    <row r="8468" spans="1:7" x14ac:dyDescent="0.35">
      <c r="A8468" t="s">
        <v>847</v>
      </c>
      <c r="B8468" t="s">
        <v>691</v>
      </c>
      <c r="C8468" s="83">
        <v>46134</v>
      </c>
      <c r="D8468" t="s">
        <v>310</v>
      </c>
      <c r="E8468" t="s">
        <v>126</v>
      </c>
      <c r="F8468">
        <v>34</v>
      </c>
      <c r="G8468">
        <v>30.0242</v>
      </c>
    </row>
    <row r="8469" spans="1:7" x14ac:dyDescent="0.35">
      <c r="A8469" t="s">
        <v>847</v>
      </c>
      <c r="B8469" t="s">
        <v>691</v>
      </c>
      <c r="C8469" s="83">
        <v>46134</v>
      </c>
      <c r="D8469" t="s">
        <v>310</v>
      </c>
      <c r="E8469" t="s">
        <v>312</v>
      </c>
      <c r="F8469">
        <v>10</v>
      </c>
      <c r="G8469">
        <v>8.1807833333333395</v>
      </c>
    </row>
    <row r="8470" spans="1:7" x14ac:dyDescent="0.35">
      <c r="A8470" t="s">
        <v>847</v>
      </c>
      <c r="B8470" t="s">
        <v>691</v>
      </c>
      <c r="C8470" s="83">
        <v>46134</v>
      </c>
      <c r="D8470" t="s">
        <v>310</v>
      </c>
      <c r="E8470" t="s">
        <v>311</v>
      </c>
      <c r="F8470">
        <v>8</v>
      </c>
      <c r="G8470">
        <v>6.7258333333333304</v>
      </c>
    </row>
    <row r="8471" spans="1:7" x14ac:dyDescent="0.35">
      <c r="A8471" t="s">
        <v>847</v>
      </c>
      <c r="B8471" t="s">
        <v>691</v>
      </c>
      <c r="C8471" s="83">
        <v>46134</v>
      </c>
      <c r="D8471" t="s">
        <v>313</v>
      </c>
      <c r="E8471" t="s">
        <v>311</v>
      </c>
      <c r="F8471">
        <v>7</v>
      </c>
      <c r="G8471">
        <v>48.389883333333302</v>
      </c>
    </row>
    <row r="8472" spans="1:7" x14ac:dyDescent="0.35">
      <c r="A8472" t="s">
        <v>847</v>
      </c>
      <c r="B8472" t="s">
        <v>691</v>
      </c>
      <c r="C8472" s="83">
        <v>46134</v>
      </c>
      <c r="D8472" t="s">
        <v>313</v>
      </c>
      <c r="E8472" t="s">
        <v>126</v>
      </c>
      <c r="F8472">
        <v>4</v>
      </c>
      <c r="G8472">
        <v>10.8449666666667</v>
      </c>
    </row>
    <row r="8473" spans="1:7" x14ac:dyDescent="0.35">
      <c r="A8473" t="s">
        <v>847</v>
      </c>
      <c r="B8473" t="s">
        <v>691</v>
      </c>
      <c r="C8473" s="83">
        <v>46134</v>
      </c>
      <c r="D8473" t="s">
        <v>313</v>
      </c>
      <c r="E8473" t="s">
        <v>319</v>
      </c>
      <c r="F8473">
        <v>4</v>
      </c>
      <c r="G8473">
        <v>1.3542666666666701</v>
      </c>
    </row>
    <row r="8474" spans="1:7" x14ac:dyDescent="0.35">
      <c r="A8474" t="s">
        <v>847</v>
      </c>
      <c r="B8474" t="s">
        <v>691</v>
      </c>
      <c r="C8474" s="83">
        <v>46134</v>
      </c>
      <c r="D8474" t="s">
        <v>314</v>
      </c>
      <c r="E8474" t="s">
        <v>126</v>
      </c>
      <c r="F8474">
        <v>17</v>
      </c>
      <c r="G8474">
        <v>53.771000000000001</v>
      </c>
    </row>
    <row r="8475" spans="1:7" x14ac:dyDescent="0.35">
      <c r="A8475" t="s">
        <v>847</v>
      </c>
      <c r="B8475" t="s">
        <v>691</v>
      </c>
      <c r="C8475" s="83">
        <v>46134</v>
      </c>
      <c r="D8475" t="s">
        <v>314</v>
      </c>
      <c r="E8475" t="s">
        <v>312</v>
      </c>
      <c r="F8475">
        <v>6</v>
      </c>
      <c r="G8475">
        <v>19.7511166666667</v>
      </c>
    </row>
    <row r="8476" spans="1:7" x14ac:dyDescent="0.35">
      <c r="A8476" t="s">
        <v>847</v>
      </c>
      <c r="B8476" t="s">
        <v>691</v>
      </c>
      <c r="C8476" s="83">
        <v>46134</v>
      </c>
      <c r="D8476" t="s">
        <v>314</v>
      </c>
      <c r="E8476" t="s">
        <v>322</v>
      </c>
      <c r="F8476">
        <v>5</v>
      </c>
      <c r="G8476">
        <v>5.7489166666666698</v>
      </c>
    </row>
    <row r="8477" spans="1:7" x14ac:dyDescent="0.35">
      <c r="A8477" t="s">
        <v>847</v>
      </c>
      <c r="B8477" t="s">
        <v>691</v>
      </c>
      <c r="C8477" s="83">
        <v>46134</v>
      </c>
      <c r="D8477" t="s">
        <v>317</v>
      </c>
      <c r="E8477" t="s">
        <v>319</v>
      </c>
      <c r="F8477">
        <v>3</v>
      </c>
      <c r="G8477">
        <v>3.0087666666666699</v>
      </c>
    </row>
    <row r="8478" spans="1:7" x14ac:dyDescent="0.35">
      <c r="A8478" t="s">
        <v>847</v>
      </c>
      <c r="B8478" t="s">
        <v>691</v>
      </c>
      <c r="C8478" s="83">
        <v>46134</v>
      </c>
      <c r="D8478" t="s">
        <v>317</v>
      </c>
      <c r="E8478" t="s">
        <v>322</v>
      </c>
      <c r="F8478">
        <v>3</v>
      </c>
      <c r="G8478">
        <v>2.9559166666666701</v>
      </c>
    </row>
    <row r="8479" spans="1:7" x14ac:dyDescent="0.35">
      <c r="A8479" t="s">
        <v>847</v>
      </c>
      <c r="B8479" t="s">
        <v>691</v>
      </c>
      <c r="C8479" s="83">
        <v>46134</v>
      </c>
      <c r="D8479" t="s">
        <v>317</v>
      </c>
      <c r="E8479" t="s">
        <v>777</v>
      </c>
      <c r="F8479">
        <v>2</v>
      </c>
      <c r="G8479">
        <v>8.4826666666666704</v>
      </c>
    </row>
    <row r="8480" spans="1:7" x14ac:dyDescent="0.35">
      <c r="A8480" t="s">
        <v>847</v>
      </c>
      <c r="B8480" t="s">
        <v>691</v>
      </c>
      <c r="C8480" s="83">
        <v>46135</v>
      </c>
      <c r="D8480" t="s">
        <v>295</v>
      </c>
      <c r="E8480" t="s">
        <v>296</v>
      </c>
      <c r="F8480">
        <v>38</v>
      </c>
      <c r="G8480">
        <v>42.469050000000003</v>
      </c>
    </row>
    <row r="8481" spans="1:7" x14ac:dyDescent="0.35">
      <c r="A8481" t="s">
        <v>847</v>
      </c>
      <c r="B8481" t="s">
        <v>691</v>
      </c>
      <c r="C8481" s="83">
        <v>46135</v>
      </c>
      <c r="D8481" t="s">
        <v>295</v>
      </c>
      <c r="E8481" t="s">
        <v>302</v>
      </c>
      <c r="F8481">
        <v>9</v>
      </c>
      <c r="G8481">
        <v>3.1116333333333301</v>
      </c>
    </row>
    <row r="8482" spans="1:7" x14ac:dyDescent="0.35">
      <c r="A8482" t="s">
        <v>847</v>
      </c>
      <c r="B8482" t="s">
        <v>691</v>
      </c>
      <c r="C8482" s="83">
        <v>46135</v>
      </c>
      <c r="D8482" t="s">
        <v>299</v>
      </c>
      <c r="E8482" t="s">
        <v>296</v>
      </c>
      <c r="F8482">
        <v>58</v>
      </c>
      <c r="G8482">
        <v>31.583916666666699</v>
      </c>
    </row>
    <row r="8483" spans="1:7" x14ac:dyDescent="0.35">
      <c r="A8483" t="s">
        <v>847</v>
      </c>
      <c r="B8483" t="s">
        <v>691</v>
      </c>
      <c r="C8483" s="83">
        <v>46135</v>
      </c>
      <c r="D8483" t="s">
        <v>310</v>
      </c>
      <c r="E8483" t="s">
        <v>311</v>
      </c>
      <c r="F8483">
        <v>25</v>
      </c>
      <c r="G8483">
        <v>20.84395</v>
      </c>
    </row>
    <row r="8484" spans="1:7" x14ac:dyDescent="0.35">
      <c r="A8484" t="s">
        <v>847</v>
      </c>
      <c r="B8484" t="s">
        <v>691</v>
      </c>
      <c r="C8484" s="83">
        <v>46135</v>
      </c>
      <c r="D8484" t="s">
        <v>310</v>
      </c>
      <c r="E8484" t="s">
        <v>126</v>
      </c>
      <c r="F8484">
        <v>17</v>
      </c>
      <c r="G8484">
        <v>23.4952166666667</v>
      </c>
    </row>
    <row r="8485" spans="1:7" x14ac:dyDescent="0.35">
      <c r="A8485" t="s">
        <v>847</v>
      </c>
      <c r="B8485" t="s">
        <v>691</v>
      </c>
      <c r="C8485" s="83">
        <v>46135</v>
      </c>
      <c r="D8485" t="s">
        <v>310</v>
      </c>
      <c r="E8485" t="s">
        <v>312</v>
      </c>
      <c r="F8485">
        <v>11</v>
      </c>
      <c r="G8485">
        <v>9.8350166666666698</v>
      </c>
    </row>
    <row r="8486" spans="1:7" x14ac:dyDescent="0.35">
      <c r="A8486" t="s">
        <v>847</v>
      </c>
      <c r="B8486" t="s">
        <v>691</v>
      </c>
      <c r="C8486" s="83">
        <v>46135</v>
      </c>
      <c r="D8486" t="s">
        <v>313</v>
      </c>
      <c r="E8486" t="s">
        <v>311</v>
      </c>
      <c r="F8486">
        <v>8</v>
      </c>
      <c r="G8486">
        <v>5.0363166666666697</v>
      </c>
    </row>
    <row r="8487" spans="1:7" x14ac:dyDescent="0.35">
      <c r="A8487" t="s">
        <v>847</v>
      </c>
      <c r="B8487" t="s">
        <v>691</v>
      </c>
      <c r="C8487" s="83">
        <v>46135</v>
      </c>
      <c r="D8487" t="s">
        <v>313</v>
      </c>
      <c r="E8487" t="s">
        <v>347</v>
      </c>
      <c r="F8487">
        <v>3</v>
      </c>
      <c r="G8487">
        <v>0.56855</v>
      </c>
    </row>
    <row r="8488" spans="1:7" x14ac:dyDescent="0.35">
      <c r="A8488" t="s">
        <v>847</v>
      </c>
      <c r="B8488" t="s">
        <v>691</v>
      </c>
      <c r="C8488" s="83">
        <v>46135</v>
      </c>
      <c r="D8488" t="s">
        <v>313</v>
      </c>
      <c r="E8488" t="s">
        <v>316</v>
      </c>
      <c r="F8488">
        <v>3</v>
      </c>
      <c r="G8488">
        <v>0.84488333333333299</v>
      </c>
    </row>
    <row r="8489" spans="1:7" x14ac:dyDescent="0.35">
      <c r="A8489" t="s">
        <v>847</v>
      </c>
      <c r="B8489" t="s">
        <v>691</v>
      </c>
      <c r="C8489" s="83">
        <v>46135</v>
      </c>
      <c r="D8489" t="s">
        <v>314</v>
      </c>
      <c r="E8489" t="s">
        <v>126</v>
      </c>
      <c r="F8489">
        <v>15</v>
      </c>
      <c r="G8489">
        <v>51.579916666666698</v>
      </c>
    </row>
    <row r="8490" spans="1:7" x14ac:dyDescent="0.35">
      <c r="A8490" t="s">
        <v>847</v>
      </c>
      <c r="B8490" t="s">
        <v>691</v>
      </c>
      <c r="C8490" s="83">
        <v>46135</v>
      </c>
      <c r="D8490" t="s">
        <v>314</v>
      </c>
      <c r="E8490" t="s">
        <v>312</v>
      </c>
      <c r="F8490">
        <v>8</v>
      </c>
      <c r="G8490">
        <v>6.5264333333333298</v>
      </c>
    </row>
    <row r="8491" spans="1:7" x14ac:dyDescent="0.35">
      <c r="A8491" t="s">
        <v>847</v>
      </c>
      <c r="B8491" t="s">
        <v>691</v>
      </c>
      <c r="C8491" s="83">
        <v>46135</v>
      </c>
      <c r="D8491" t="s">
        <v>314</v>
      </c>
      <c r="E8491" t="s">
        <v>316</v>
      </c>
      <c r="F8491">
        <v>4</v>
      </c>
      <c r="G8491">
        <v>1.28656666666667</v>
      </c>
    </row>
    <row r="8492" spans="1:7" x14ac:dyDescent="0.35">
      <c r="A8492" t="s">
        <v>847</v>
      </c>
      <c r="B8492" t="s">
        <v>691</v>
      </c>
      <c r="C8492" s="83">
        <v>46135</v>
      </c>
      <c r="D8492" t="s">
        <v>317</v>
      </c>
      <c r="E8492" t="s">
        <v>322</v>
      </c>
      <c r="F8492">
        <v>5</v>
      </c>
      <c r="G8492">
        <v>15.1918333333333</v>
      </c>
    </row>
    <row r="8493" spans="1:7" x14ac:dyDescent="0.35">
      <c r="A8493" t="s">
        <v>847</v>
      </c>
      <c r="B8493" t="s">
        <v>691</v>
      </c>
      <c r="C8493" s="83">
        <v>46135</v>
      </c>
      <c r="D8493" t="s">
        <v>317</v>
      </c>
      <c r="E8493" t="s">
        <v>319</v>
      </c>
      <c r="F8493">
        <v>4</v>
      </c>
      <c r="G8493">
        <v>5.2940833333333304</v>
      </c>
    </row>
    <row r="8494" spans="1:7" x14ac:dyDescent="0.35">
      <c r="A8494" t="s">
        <v>847</v>
      </c>
      <c r="B8494" t="s">
        <v>691</v>
      </c>
      <c r="C8494" s="83">
        <v>46135</v>
      </c>
      <c r="D8494" t="s">
        <v>317</v>
      </c>
      <c r="E8494" t="s">
        <v>339</v>
      </c>
      <c r="F8494">
        <v>3</v>
      </c>
      <c r="G8494">
        <v>3.4832000000000001</v>
      </c>
    </row>
    <row r="8495" spans="1:7" x14ac:dyDescent="0.35">
      <c r="A8495" t="s">
        <v>847</v>
      </c>
      <c r="B8495" t="s">
        <v>691</v>
      </c>
      <c r="C8495" s="83">
        <v>46136</v>
      </c>
      <c r="D8495" t="s">
        <v>295</v>
      </c>
      <c r="E8495" t="s">
        <v>296</v>
      </c>
      <c r="F8495">
        <v>38</v>
      </c>
      <c r="G8495">
        <v>21.1627166666667</v>
      </c>
    </row>
    <row r="8496" spans="1:7" x14ac:dyDescent="0.35">
      <c r="A8496" t="s">
        <v>847</v>
      </c>
      <c r="B8496" t="s">
        <v>691</v>
      </c>
      <c r="C8496" s="83">
        <v>46136</v>
      </c>
      <c r="D8496" t="s">
        <v>299</v>
      </c>
      <c r="E8496" t="s">
        <v>296</v>
      </c>
      <c r="F8496">
        <v>64</v>
      </c>
      <c r="G8496">
        <v>33.725333333333303</v>
      </c>
    </row>
    <row r="8497" spans="1:7" x14ac:dyDescent="0.35">
      <c r="A8497" t="s">
        <v>847</v>
      </c>
      <c r="B8497" t="s">
        <v>691</v>
      </c>
      <c r="C8497" s="83">
        <v>46136</v>
      </c>
      <c r="D8497" t="s">
        <v>309</v>
      </c>
      <c r="E8497" t="s">
        <v>344</v>
      </c>
      <c r="F8497">
        <v>25</v>
      </c>
      <c r="G8497">
        <v>17.43845</v>
      </c>
    </row>
    <row r="8498" spans="1:7" x14ac:dyDescent="0.35">
      <c r="A8498" t="s">
        <v>847</v>
      </c>
      <c r="B8498" t="s">
        <v>691</v>
      </c>
      <c r="C8498" s="83">
        <v>46136</v>
      </c>
      <c r="D8498" t="s">
        <v>310</v>
      </c>
      <c r="E8498" t="s">
        <v>311</v>
      </c>
      <c r="F8498">
        <v>22</v>
      </c>
      <c r="G8498">
        <v>33.893716666666698</v>
      </c>
    </row>
    <row r="8499" spans="1:7" x14ac:dyDescent="0.35">
      <c r="A8499" t="s">
        <v>847</v>
      </c>
      <c r="B8499" t="s">
        <v>691</v>
      </c>
      <c r="C8499" s="83">
        <v>46136</v>
      </c>
      <c r="D8499" t="s">
        <v>310</v>
      </c>
      <c r="E8499" t="s">
        <v>321</v>
      </c>
      <c r="F8499">
        <v>5</v>
      </c>
      <c r="G8499">
        <v>2.0713833333333298</v>
      </c>
    </row>
    <row r="8500" spans="1:7" x14ac:dyDescent="0.35">
      <c r="A8500" t="s">
        <v>847</v>
      </c>
      <c r="B8500" t="s">
        <v>691</v>
      </c>
      <c r="C8500" s="83">
        <v>46136</v>
      </c>
      <c r="D8500" t="s">
        <v>310</v>
      </c>
      <c r="E8500" t="s">
        <v>316</v>
      </c>
      <c r="F8500">
        <v>5</v>
      </c>
      <c r="G8500">
        <v>3.4795500000000001</v>
      </c>
    </row>
    <row r="8501" spans="1:7" x14ac:dyDescent="0.35">
      <c r="A8501" t="s">
        <v>847</v>
      </c>
      <c r="B8501" t="s">
        <v>691</v>
      </c>
      <c r="C8501" s="83">
        <v>46136</v>
      </c>
      <c r="D8501" t="s">
        <v>313</v>
      </c>
      <c r="E8501" t="s">
        <v>311</v>
      </c>
      <c r="F8501">
        <v>10</v>
      </c>
      <c r="G8501">
        <v>13.55415</v>
      </c>
    </row>
    <row r="8502" spans="1:7" x14ac:dyDescent="0.35">
      <c r="A8502" t="s">
        <v>847</v>
      </c>
      <c r="B8502" t="s">
        <v>691</v>
      </c>
      <c r="C8502" s="83">
        <v>46136</v>
      </c>
      <c r="D8502" t="s">
        <v>313</v>
      </c>
      <c r="E8502" t="s">
        <v>347</v>
      </c>
      <c r="F8502">
        <v>4</v>
      </c>
      <c r="G8502">
        <v>0.97628333333333295</v>
      </c>
    </row>
    <row r="8503" spans="1:7" x14ac:dyDescent="0.35">
      <c r="A8503" t="s">
        <v>847</v>
      </c>
      <c r="B8503" t="s">
        <v>691</v>
      </c>
      <c r="C8503" s="83">
        <v>46136</v>
      </c>
      <c r="D8503" t="s">
        <v>313</v>
      </c>
      <c r="E8503" t="s">
        <v>312</v>
      </c>
      <c r="F8503">
        <v>4</v>
      </c>
      <c r="G8503">
        <v>9.2117166666666694</v>
      </c>
    </row>
    <row r="8504" spans="1:7" x14ac:dyDescent="0.35">
      <c r="A8504" t="s">
        <v>847</v>
      </c>
      <c r="B8504" t="s">
        <v>691</v>
      </c>
      <c r="C8504" s="83">
        <v>46136</v>
      </c>
      <c r="D8504" t="s">
        <v>314</v>
      </c>
      <c r="E8504" t="s">
        <v>126</v>
      </c>
      <c r="F8504">
        <v>12</v>
      </c>
      <c r="G8504">
        <v>25.234066666666699</v>
      </c>
    </row>
    <row r="8505" spans="1:7" x14ac:dyDescent="0.35">
      <c r="A8505" t="s">
        <v>847</v>
      </c>
      <c r="B8505" t="s">
        <v>691</v>
      </c>
      <c r="C8505" s="83">
        <v>46136</v>
      </c>
      <c r="D8505" t="s">
        <v>314</v>
      </c>
      <c r="E8505" t="s">
        <v>316</v>
      </c>
      <c r="F8505">
        <v>4</v>
      </c>
      <c r="G8505">
        <v>2.8760500000000002</v>
      </c>
    </row>
    <row r="8506" spans="1:7" x14ac:dyDescent="0.35">
      <c r="A8506" t="s">
        <v>847</v>
      </c>
      <c r="B8506" t="s">
        <v>691</v>
      </c>
      <c r="C8506" s="83">
        <v>46136</v>
      </c>
      <c r="D8506" t="s">
        <v>314</v>
      </c>
      <c r="E8506" t="s">
        <v>312</v>
      </c>
      <c r="F8506">
        <v>4</v>
      </c>
      <c r="G8506">
        <v>8.8889999999999993</v>
      </c>
    </row>
    <row r="8507" spans="1:7" x14ac:dyDescent="0.35">
      <c r="A8507" t="s">
        <v>847</v>
      </c>
      <c r="B8507" t="s">
        <v>691</v>
      </c>
      <c r="C8507" s="83">
        <v>46136</v>
      </c>
      <c r="D8507" t="s">
        <v>317</v>
      </c>
      <c r="E8507" t="s">
        <v>339</v>
      </c>
      <c r="F8507">
        <v>13</v>
      </c>
      <c r="G8507">
        <v>20.815666666666701</v>
      </c>
    </row>
    <row r="8508" spans="1:7" x14ac:dyDescent="0.35">
      <c r="A8508" t="s">
        <v>847</v>
      </c>
      <c r="B8508" t="s">
        <v>691</v>
      </c>
      <c r="C8508" s="83">
        <v>46136</v>
      </c>
      <c r="D8508" t="s">
        <v>317</v>
      </c>
      <c r="E8508" t="s">
        <v>319</v>
      </c>
      <c r="F8508">
        <v>4</v>
      </c>
      <c r="G8508">
        <v>1.39543333333333</v>
      </c>
    </row>
    <row r="8509" spans="1:7" x14ac:dyDescent="0.35">
      <c r="A8509" t="s">
        <v>847</v>
      </c>
      <c r="B8509" t="s">
        <v>691</v>
      </c>
      <c r="C8509" s="83">
        <v>46136</v>
      </c>
      <c r="D8509" t="s">
        <v>317</v>
      </c>
      <c r="E8509" t="s">
        <v>318</v>
      </c>
      <c r="F8509">
        <v>2</v>
      </c>
      <c r="G8509">
        <v>1.7946166666666701</v>
      </c>
    </row>
    <row r="8510" spans="1:7" x14ac:dyDescent="0.35">
      <c r="A8510" t="s">
        <v>847</v>
      </c>
      <c r="B8510" t="s">
        <v>691</v>
      </c>
      <c r="C8510" s="83">
        <v>46137</v>
      </c>
      <c r="D8510" t="s">
        <v>295</v>
      </c>
      <c r="E8510" t="s">
        <v>296</v>
      </c>
      <c r="F8510">
        <v>52</v>
      </c>
      <c r="G8510">
        <v>22.500683333333299</v>
      </c>
    </row>
    <row r="8511" spans="1:7" x14ac:dyDescent="0.35">
      <c r="A8511" t="s">
        <v>847</v>
      </c>
      <c r="B8511" t="s">
        <v>691</v>
      </c>
      <c r="C8511" s="83">
        <v>46137</v>
      </c>
      <c r="D8511" t="s">
        <v>295</v>
      </c>
      <c r="E8511" t="s">
        <v>302</v>
      </c>
      <c r="F8511">
        <v>14</v>
      </c>
      <c r="G8511">
        <v>12.88015</v>
      </c>
    </row>
    <row r="8512" spans="1:7" x14ac:dyDescent="0.35">
      <c r="A8512" t="s">
        <v>847</v>
      </c>
      <c r="B8512" t="s">
        <v>691</v>
      </c>
      <c r="C8512" s="83">
        <v>46137</v>
      </c>
      <c r="D8512" t="s">
        <v>299</v>
      </c>
      <c r="E8512" t="s">
        <v>296</v>
      </c>
      <c r="F8512">
        <v>64</v>
      </c>
      <c r="G8512">
        <v>48.223500000000001</v>
      </c>
    </row>
    <row r="8513" spans="1:7" x14ac:dyDescent="0.35">
      <c r="A8513" t="s">
        <v>847</v>
      </c>
      <c r="B8513" t="s">
        <v>691</v>
      </c>
      <c r="C8513" s="83">
        <v>46137</v>
      </c>
      <c r="D8513" t="s">
        <v>310</v>
      </c>
      <c r="E8513" t="s">
        <v>126</v>
      </c>
      <c r="F8513">
        <v>14</v>
      </c>
      <c r="G8513">
        <v>14.7514</v>
      </c>
    </row>
    <row r="8514" spans="1:7" x14ac:dyDescent="0.35">
      <c r="A8514" t="s">
        <v>847</v>
      </c>
      <c r="B8514" t="s">
        <v>691</v>
      </c>
      <c r="C8514" s="83">
        <v>46137</v>
      </c>
      <c r="D8514" t="s">
        <v>310</v>
      </c>
      <c r="E8514" t="s">
        <v>311</v>
      </c>
      <c r="F8514">
        <v>4</v>
      </c>
      <c r="G8514">
        <v>4.0155666666666701</v>
      </c>
    </row>
    <row r="8515" spans="1:7" x14ac:dyDescent="0.35">
      <c r="A8515" t="s">
        <v>847</v>
      </c>
      <c r="B8515" t="s">
        <v>691</v>
      </c>
      <c r="C8515" s="83">
        <v>46137</v>
      </c>
      <c r="D8515" t="s">
        <v>310</v>
      </c>
      <c r="E8515" t="s">
        <v>316</v>
      </c>
      <c r="F8515">
        <v>3</v>
      </c>
      <c r="G8515">
        <v>1.40028333333333</v>
      </c>
    </row>
    <row r="8516" spans="1:7" x14ac:dyDescent="0.35">
      <c r="A8516" t="s">
        <v>847</v>
      </c>
      <c r="B8516" t="s">
        <v>691</v>
      </c>
      <c r="C8516" s="83">
        <v>46137</v>
      </c>
      <c r="D8516" t="s">
        <v>313</v>
      </c>
      <c r="E8516" t="s">
        <v>316</v>
      </c>
      <c r="F8516">
        <v>9</v>
      </c>
      <c r="G8516">
        <v>129.16884999999999</v>
      </c>
    </row>
    <row r="8517" spans="1:7" x14ac:dyDescent="0.35">
      <c r="A8517" t="s">
        <v>847</v>
      </c>
      <c r="B8517" t="s">
        <v>694</v>
      </c>
      <c r="C8517" s="83"/>
      <c r="F8517">
        <v>142086</v>
      </c>
      <c r="G8517">
        <v>214923.184333982</v>
      </c>
    </row>
    <row r="8518" spans="1:7" x14ac:dyDescent="0.35">
      <c r="A8518" t="s">
        <v>847</v>
      </c>
      <c r="B8518" t="s">
        <v>691</v>
      </c>
      <c r="C8518" s="83">
        <v>46137</v>
      </c>
      <c r="D8518" t="s">
        <v>313</v>
      </c>
      <c r="E8518" t="s">
        <v>312</v>
      </c>
      <c r="F8518">
        <v>7</v>
      </c>
      <c r="G8518">
        <v>19.880700000000001</v>
      </c>
    </row>
    <row r="8519" spans="1:7" x14ac:dyDescent="0.35">
      <c r="A8519" t="s">
        <v>847</v>
      </c>
      <c r="B8519" t="s">
        <v>691</v>
      </c>
      <c r="C8519" s="83">
        <v>46137</v>
      </c>
      <c r="D8519" t="s">
        <v>313</v>
      </c>
      <c r="E8519" t="s">
        <v>347</v>
      </c>
      <c r="F8519">
        <v>2</v>
      </c>
      <c r="G8519">
        <v>0.12715000000000001</v>
      </c>
    </row>
    <row r="8520" spans="1:7" x14ac:dyDescent="0.35">
      <c r="A8520" t="s">
        <v>847</v>
      </c>
      <c r="B8520" t="s">
        <v>691</v>
      </c>
      <c r="C8520" s="83">
        <v>46137</v>
      </c>
      <c r="D8520" t="s">
        <v>314</v>
      </c>
      <c r="E8520" t="s">
        <v>126</v>
      </c>
      <c r="F8520">
        <v>32</v>
      </c>
      <c r="G8520">
        <v>151.95128333333301</v>
      </c>
    </row>
    <row r="8521" spans="1:7" x14ac:dyDescent="0.35">
      <c r="A8521" t="s">
        <v>847</v>
      </c>
      <c r="B8521" t="s">
        <v>691</v>
      </c>
      <c r="C8521" s="83">
        <v>46137</v>
      </c>
      <c r="D8521" t="s">
        <v>314</v>
      </c>
      <c r="E8521" t="s">
        <v>338</v>
      </c>
      <c r="F8521">
        <v>7</v>
      </c>
      <c r="G8521">
        <v>8.2408833333333291</v>
      </c>
    </row>
    <row r="8522" spans="1:7" x14ac:dyDescent="0.35">
      <c r="A8522" t="s">
        <v>847</v>
      </c>
      <c r="B8522" t="s">
        <v>691</v>
      </c>
      <c r="C8522" s="83">
        <v>46137</v>
      </c>
      <c r="D8522" t="s">
        <v>314</v>
      </c>
      <c r="E8522" t="s">
        <v>348</v>
      </c>
      <c r="F8522">
        <v>6</v>
      </c>
      <c r="G8522">
        <v>38.094149999999999</v>
      </c>
    </row>
    <row r="8523" spans="1:7" x14ac:dyDescent="0.35">
      <c r="A8523" t="s">
        <v>847</v>
      </c>
      <c r="B8523" t="s">
        <v>691</v>
      </c>
      <c r="C8523" s="83">
        <v>46137</v>
      </c>
      <c r="D8523" t="s">
        <v>317</v>
      </c>
      <c r="E8523" t="s">
        <v>323</v>
      </c>
      <c r="F8523">
        <v>2</v>
      </c>
      <c r="G8523">
        <v>0.68721666666666703</v>
      </c>
    </row>
    <row r="8524" spans="1:7" x14ac:dyDescent="0.35">
      <c r="A8524" t="s">
        <v>847</v>
      </c>
      <c r="B8524" t="s">
        <v>691</v>
      </c>
      <c r="C8524" s="83">
        <v>46138</v>
      </c>
      <c r="D8524" t="s">
        <v>295</v>
      </c>
      <c r="E8524" t="s">
        <v>296</v>
      </c>
      <c r="F8524">
        <v>62</v>
      </c>
      <c r="G8524">
        <v>28.928850000000001</v>
      </c>
    </row>
    <row r="8525" spans="1:7" x14ac:dyDescent="0.35">
      <c r="A8525" t="s">
        <v>847</v>
      </c>
      <c r="B8525" t="s">
        <v>691</v>
      </c>
      <c r="C8525" s="83">
        <v>46138</v>
      </c>
      <c r="D8525" t="s">
        <v>295</v>
      </c>
      <c r="E8525" t="s">
        <v>302</v>
      </c>
      <c r="F8525">
        <v>10</v>
      </c>
      <c r="G8525">
        <v>7.7207499999999998</v>
      </c>
    </row>
    <row r="8526" spans="1:7" x14ac:dyDescent="0.35">
      <c r="A8526" t="s">
        <v>847</v>
      </c>
      <c r="B8526" t="s">
        <v>691</v>
      </c>
      <c r="C8526" s="83">
        <v>46138</v>
      </c>
      <c r="D8526" t="s">
        <v>299</v>
      </c>
      <c r="E8526" t="s">
        <v>296</v>
      </c>
      <c r="F8526">
        <v>54</v>
      </c>
      <c r="G8526">
        <v>35.751116666666697</v>
      </c>
    </row>
    <row r="8527" spans="1:7" x14ac:dyDescent="0.35">
      <c r="A8527" t="s">
        <v>847</v>
      </c>
      <c r="B8527" t="s">
        <v>691</v>
      </c>
      <c r="C8527" s="83">
        <v>46138</v>
      </c>
      <c r="D8527" t="s">
        <v>310</v>
      </c>
      <c r="E8527" t="s">
        <v>126</v>
      </c>
      <c r="F8527">
        <v>9</v>
      </c>
      <c r="G8527">
        <v>5.9341833333333298</v>
      </c>
    </row>
    <row r="8528" spans="1:7" x14ac:dyDescent="0.35">
      <c r="A8528" t="s">
        <v>847</v>
      </c>
      <c r="B8528" t="s">
        <v>691</v>
      </c>
      <c r="C8528" s="83">
        <v>46138</v>
      </c>
      <c r="D8528" t="s">
        <v>310</v>
      </c>
      <c r="E8528" t="s">
        <v>311</v>
      </c>
      <c r="F8528">
        <v>4</v>
      </c>
      <c r="G8528">
        <v>2.13703333333333</v>
      </c>
    </row>
    <row r="8529" spans="1:7" x14ac:dyDescent="0.35">
      <c r="A8529" t="s">
        <v>847</v>
      </c>
      <c r="B8529" t="s">
        <v>691</v>
      </c>
      <c r="C8529" s="83">
        <v>46138</v>
      </c>
      <c r="D8529" t="s">
        <v>310</v>
      </c>
      <c r="E8529" t="s">
        <v>312</v>
      </c>
      <c r="F8529">
        <v>3</v>
      </c>
      <c r="G8529">
        <v>1.50443333333333</v>
      </c>
    </row>
    <row r="8530" spans="1:7" x14ac:dyDescent="0.35">
      <c r="A8530" t="s">
        <v>847</v>
      </c>
      <c r="B8530" t="s">
        <v>691</v>
      </c>
      <c r="C8530" s="83">
        <v>46138</v>
      </c>
      <c r="D8530" t="s">
        <v>313</v>
      </c>
      <c r="E8530" t="s">
        <v>312</v>
      </c>
      <c r="F8530">
        <v>10</v>
      </c>
      <c r="G8530">
        <v>18.905583333333301</v>
      </c>
    </row>
    <row r="8531" spans="1:7" x14ac:dyDescent="0.35">
      <c r="A8531" t="s">
        <v>847</v>
      </c>
      <c r="B8531" t="s">
        <v>691</v>
      </c>
      <c r="C8531" s="83">
        <v>46138</v>
      </c>
      <c r="D8531" t="s">
        <v>313</v>
      </c>
      <c r="E8531" t="s">
        <v>347</v>
      </c>
      <c r="F8531">
        <v>10</v>
      </c>
      <c r="G8531">
        <v>4.1666166666666697</v>
      </c>
    </row>
    <row r="8532" spans="1:7" x14ac:dyDescent="0.35">
      <c r="A8532" t="s">
        <v>847</v>
      </c>
      <c r="B8532" t="s">
        <v>691</v>
      </c>
      <c r="C8532" s="83">
        <v>46138</v>
      </c>
      <c r="D8532" t="s">
        <v>313</v>
      </c>
      <c r="E8532" t="s">
        <v>126</v>
      </c>
      <c r="F8532">
        <v>9</v>
      </c>
      <c r="G8532">
        <v>18.182233333333301</v>
      </c>
    </row>
    <row r="8533" spans="1:7" x14ac:dyDescent="0.35">
      <c r="A8533" t="s">
        <v>847</v>
      </c>
      <c r="B8533" t="s">
        <v>691</v>
      </c>
      <c r="C8533" s="83">
        <v>46138</v>
      </c>
      <c r="D8533" t="s">
        <v>314</v>
      </c>
      <c r="E8533" t="s">
        <v>126</v>
      </c>
      <c r="F8533">
        <v>17</v>
      </c>
      <c r="G8533">
        <v>32.649383333333297</v>
      </c>
    </row>
    <row r="8534" spans="1:7" x14ac:dyDescent="0.35">
      <c r="A8534" t="s">
        <v>847</v>
      </c>
      <c r="B8534" t="s">
        <v>691</v>
      </c>
      <c r="C8534" s="83">
        <v>46138</v>
      </c>
      <c r="D8534" t="s">
        <v>314</v>
      </c>
      <c r="E8534" t="s">
        <v>338</v>
      </c>
      <c r="F8534">
        <v>4</v>
      </c>
      <c r="G8534">
        <v>4.3790500000000003</v>
      </c>
    </row>
    <row r="8535" spans="1:7" x14ac:dyDescent="0.35">
      <c r="A8535" t="s">
        <v>847</v>
      </c>
      <c r="B8535" t="s">
        <v>691</v>
      </c>
      <c r="C8535" s="83">
        <v>46138</v>
      </c>
      <c r="D8535" t="s">
        <v>314</v>
      </c>
      <c r="E8535" t="s">
        <v>348</v>
      </c>
      <c r="F8535">
        <v>4</v>
      </c>
      <c r="G8535">
        <v>3.9211666666666698</v>
      </c>
    </row>
    <row r="8536" spans="1:7" x14ac:dyDescent="0.35">
      <c r="A8536" t="s">
        <v>847</v>
      </c>
      <c r="B8536" t="s">
        <v>691</v>
      </c>
      <c r="C8536" s="83">
        <v>46138</v>
      </c>
      <c r="D8536" t="s">
        <v>317</v>
      </c>
      <c r="E8536" t="s">
        <v>825</v>
      </c>
      <c r="F8536">
        <v>2</v>
      </c>
      <c r="G8536">
        <v>0.34671666666666701</v>
      </c>
    </row>
    <row r="8537" spans="1:7" x14ac:dyDescent="0.35">
      <c r="A8537" t="s">
        <v>847</v>
      </c>
      <c r="B8537" t="s">
        <v>691</v>
      </c>
      <c r="C8537" s="83">
        <v>46138</v>
      </c>
      <c r="D8537" t="s">
        <v>317</v>
      </c>
      <c r="E8537" t="s">
        <v>318</v>
      </c>
      <c r="F8537">
        <v>2</v>
      </c>
      <c r="G8537">
        <v>0.37291666666666701</v>
      </c>
    </row>
    <row r="8538" spans="1:7" x14ac:dyDescent="0.35">
      <c r="A8538" t="s">
        <v>847</v>
      </c>
      <c r="B8538" t="s">
        <v>691</v>
      </c>
      <c r="C8538" s="83">
        <v>46139</v>
      </c>
      <c r="D8538" t="s">
        <v>295</v>
      </c>
      <c r="E8538" t="s">
        <v>296</v>
      </c>
      <c r="F8538">
        <v>32</v>
      </c>
      <c r="G8538">
        <v>17.891116666666701</v>
      </c>
    </row>
    <row r="8539" spans="1:7" x14ac:dyDescent="0.35">
      <c r="A8539" t="s">
        <v>847</v>
      </c>
      <c r="B8539" t="s">
        <v>691</v>
      </c>
      <c r="C8539" s="83">
        <v>46139</v>
      </c>
      <c r="D8539" t="s">
        <v>295</v>
      </c>
      <c r="E8539" t="s">
        <v>302</v>
      </c>
      <c r="F8539">
        <v>12</v>
      </c>
      <c r="G8539">
        <v>9.8366166666666697</v>
      </c>
    </row>
    <row r="8540" spans="1:7" x14ac:dyDescent="0.35">
      <c r="A8540" t="s">
        <v>847</v>
      </c>
      <c r="B8540" t="s">
        <v>691</v>
      </c>
      <c r="C8540" s="83">
        <v>46139</v>
      </c>
      <c r="D8540" t="s">
        <v>299</v>
      </c>
      <c r="E8540" t="s">
        <v>296</v>
      </c>
      <c r="F8540">
        <v>59</v>
      </c>
      <c r="G8540">
        <v>35.5702833333333</v>
      </c>
    </row>
    <row r="8541" spans="1:7" x14ac:dyDescent="0.35">
      <c r="A8541" t="s">
        <v>847</v>
      </c>
      <c r="B8541" t="s">
        <v>691</v>
      </c>
      <c r="C8541" s="83">
        <v>46139</v>
      </c>
      <c r="D8541" t="s">
        <v>301</v>
      </c>
      <c r="E8541" t="s">
        <v>302</v>
      </c>
      <c r="F8541">
        <v>9</v>
      </c>
      <c r="G8541">
        <v>4.9118666666666702</v>
      </c>
    </row>
    <row r="8542" spans="1:7" x14ac:dyDescent="0.35">
      <c r="A8542" t="s">
        <v>847</v>
      </c>
      <c r="B8542" t="s">
        <v>691</v>
      </c>
      <c r="C8542" s="83">
        <v>46139</v>
      </c>
      <c r="D8542" t="s">
        <v>310</v>
      </c>
      <c r="E8542" t="s">
        <v>126</v>
      </c>
      <c r="F8542">
        <v>5</v>
      </c>
      <c r="G8542">
        <v>3.7433333333333301</v>
      </c>
    </row>
    <row r="8543" spans="1:7" x14ac:dyDescent="0.35">
      <c r="A8543" t="s">
        <v>847</v>
      </c>
      <c r="B8543" t="s">
        <v>691</v>
      </c>
      <c r="C8543" s="83">
        <v>46139</v>
      </c>
      <c r="D8543" t="s">
        <v>310</v>
      </c>
      <c r="E8543" t="s">
        <v>311</v>
      </c>
      <c r="F8543">
        <v>4</v>
      </c>
      <c r="G8543">
        <v>2.4404166666666698</v>
      </c>
    </row>
    <row r="8544" spans="1:7" x14ac:dyDescent="0.35">
      <c r="A8544" t="s">
        <v>847</v>
      </c>
      <c r="B8544" t="s">
        <v>691</v>
      </c>
      <c r="C8544" s="83">
        <v>46139</v>
      </c>
      <c r="D8544" t="s">
        <v>310</v>
      </c>
      <c r="E8544" t="s">
        <v>734</v>
      </c>
      <c r="F8544">
        <v>2</v>
      </c>
      <c r="G8544">
        <v>0.47699999999999998</v>
      </c>
    </row>
    <row r="8545" spans="1:7" x14ac:dyDescent="0.35">
      <c r="A8545" t="s">
        <v>847</v>
      </c>
      <c r="B8545" t="s">
        <v>691</v>
      </c>
      <c r="C8545" s="83">
        <v>46139</v>
      </c>
      <c r="D8545" t="s">
        <v>313</v>
      </c>
      <c r="E8545" t="s">
        <v>311</v>
      </c>
      <c r="F8545">
        <v>41</v>
      </c>
      <c r="G8545">
        <v>33.612966666666701</v>
      </c>
    </row>
    <row r="8546" spans="1:7" x14ac:dyDescent="0.35">
      <c r="A8546" t="s">
        <v>847</v>
      </c>
      <c r="B8546" t="s">
        <v>691</v>
      </c>
      <c r="C8546" s="83">
        <v>46139</v>
      </c>
      <c r="D8546" t="s">
        <v>313</v>
      </c>
      <c r="E8546" t="s">
        <v>347</v>
      </c>
      <c r="F8546">
        <v>17</v>
      </c>
      <c r="G8546">
        <v>12.632350000000001</v>
      </c>
    </row>
    <row r="8547" spans="1:7" x14ac:dyDescent="0.35">
      <c r="A8547" t="s">
        <v>847</v>
      </c>
      <c r="B8547" t="s">
        <v>691</v>
      </c>
      <c r="C8547" s="83">
        <v>46139</v>
      </c>
      <c r="D8547" t="s">
        <v>313</v>
      </c>
      <c r="E8547" t="s">
        <v>126</v>
      </c>
      <c r="F8547">
        <v>8</v>
      </c>
      <c r="G8547">
        <v>18.319883333333301</v>
      </c>
    </row>
    <row r="8548" spans="1:7" x14ac:dyDescent="0.35">
      <c r="A8548" t="s">
        <v>847</v>
      </c>
      <c r="B8548" t="s">
        <v>691</v>
      </c>
      <c r="C8548" s="83">
        <v>46139</v>
      </c>
      <c r="D8548" t="s">
        <v>314</v>
      </c>
      <c r="E8548" t="s">
        <v>126</v>
      </c>
      <c r="F8548">
        <v>5</v>
      </c>
      <c r="G8548">
        <v>6.9957500000000001</v>
      </c>
    </row>
    <row r="8549" spans="1:7" x14ac:dyDescent="0.35">
      <c r="A8549" t="s">
        <v>847</v>
      </c>
      <c r="B8549" t="s">
        <v>691</v>
      </c>
      <c r="C8549" s="83">
        <v>46139</v>
      </c>
      <c r="D8549" t="s">
        <v>314</v>
      </c>
      <c r="E8549" t="s">
        <v>316</v>
      </c>
      <c r="F8549">
        <v>2</v>
      </c>
      <c r="G8549">
        <v>0.1183</v>
      </c>
    </row>
    <row r="8550" spans="1:7" x14ac:dyDescent="0.35">
      <c r="A8550" t="s">
        <v>847</v>
      </c>
      <c r="B8550" t="s">
        <v>691</v>
      </c>
      <c r="C8550" s="83">
        <v>46139</v>
      </c>
      <c r="D8550" t="s">
        <v>314</v>
      </c>
      <c r="E8550" t="s">
        <v>311</v>
      </c>
      <c r="F8550">
        <v>1</v>
      </c>
      <c r="G8550">
        <v>4.66353333333333</v>
      </c>
    </row>
    <row r="8551" spans="1:7" x14ac:dyDescent="0.35">
      <c r="A8551" t="s">
        <v>847</v>
      </c>
      <c r="B8551" t="s">
        <v>691</v>
      </c>
      <c r="C8551" s="83">
        <v>46139</v>
      </c>
      <c r="D8551" t="s">
        <v>317</v>
      </c>
      <c r="E8551" t="s">
        <v>323</v>
      </c>
      <c r="F8551">
        <v>3</v>
      </c>
      <c r="G8551">
        <v>0.66968333333333296</v>
      </c>
    </row>
    <row r="8552" spans="1:7" x14ac:dyDescent="0.35">
      <c r="A8552" t="s">
        <v>847</v>
      </c>
      <c r="B8552" t="s">
        <v>691</v>
      </c>
      <c r="C8552" s="83">
        <v>46139</v>
      </c>
      <c r="D8552" t="s">
        <v>317</v>
      </c>
      <c r="E8552" t="s">
        <v>319</v>
      </c>
      <c r="F8552">
        <v>2</v>
      </c>
      <c r="G8552">
        <v>0.35521666666666701</v>
      </c>
    </row>
    <row r="8553" spans="1:7" x14ac:dyDescent="0.35">
      <c r="A8553" t="s">
        <v>847</v>
      </c>
      <c r="B8553" t="s">
        <v>691</v>
      </c>
      <c r="C8553" s="83">
        <v>46139</v>
      </c>
      <c r="D8553" t="s">
        <v>317</v>
      </c>
      <c r="E8553" t="s">
        <v>339</v>
      </c>
      <c r="F8553">
        <v>2</v>
      </c>
      <c r="G8553">
        <v>0.28756666666666703</v>
      </c>
    </row>
    <row r="8554" spans="1:7" x14ac:dyDescent="0.35">
      <c r="A8554" t="s">
        <v>847</v>
      </c>
      <c r="B8554" t="s">
        <v>691</v>
      </c>
      <c r="C8554" s="83">
        <v>46140</v>
      </c>
      <c r="D8554" t="s">
        <v>295</v>
      </c>
      <c r="E8554" t="s">
        <v>296</v>
      </c>
      <c r="F8554">
        <v>17</v>
      </c>
      <c r="G8554">
        <v>16.7864</v>
      </c>
    </row>
    <row r="8555" spans="1:7" x14ac:dyDescent="0.35">
      <c r="A8555" t="s">
        <v>847</v>
      </c>
      <c r="B8555" t="s">
        <v>691</v>
      </c>
      <c r="C8555" s="83">
        <v>46140</v>
      </c>
      <c r="D8555" t="s">
        <v>295</v>
      </c>
      <c r="E8555" t="s">
        <v>302</v>
      </c>
      <c r="F8555">
        <v>15</v>
      </c>
      <c r="G8555">
        <v>13.132733333333301</v>
      </c>
    </row>
    <row r="8556" spans="1:7" x14ac:dyDescent="0.35">
      <c r="A8556" t="s">
        <v>847</v>
      </c>
      <c r="B8556" t="s">
        <v>691</v>
      </c>
      <c r="C8556" s="83">
        <v>46140</v>
      </c>
      <c r="D8556" t="s">
        <v>299</v>
      </c>
      <c r="E8556" t="s">
        <v>296</v>
      </c>
      <c r="F8556">
        <v>33</v>
      </c>
      <c r="G8556">
        <v>23.45955</v>
      </c>
    </row>
    <row r="8557" spans="1:7" x14ac:dyDescent="0.35">
      <c r="A8557" t="s">
        <v>847</v>
      </c>
      <c r="B8557" t="s">
        <v>691</v>
      </c>
      <c r="C8557" s="83">
        <v>46140</v>
      </c>
      <c r="D8557" t="s">
        <v>310</v>
      </c>
      <c r="E8557" t="s">
        <v>826</v>
      </c>
      <c r="F8557">
        <v>6</v>
      </c>
      <c r="G8557">
        <v>6.1507500000000004</v>
      </c>
    </row>
    <row r="8558" spans="1:7" x14ac:dyDescent="0.35">
      <c r="A8558" t="s">
        <v>847</v>
      </c>
      <c r="B8558" t="s">
        <v>691</v>
      </c>
      <c r="C8558" s="83">
        <v>46140</v>
      </c>
      <c r="D8558" t="s">
        <v>310</v>
      </c>
      <c r="E8558" t="s">
        <v>333</v>
      </c>
      <c r="F8558">
        <v>5</v>
      </c>
      <c r="G8558">
        <v>30.378316666666699</v>
      </c>
    </row>
    <row r="8559" spans="1:7" x14ac:dyDescent="0.35">
      <c r="A8559" t="s">
        <v>847</v>
      </c>
      <c r="B8559" t="s">
        <v>691</v>
      </c>
      <c r="C8559" s="83">
        <v>46140</v>
      </c>
      <c r="D8559" t="s">
        <v>310</v>
      </c>
      <c r="E8559" t="s">
        <v>311</v>
      </c>
      <c r="F8559">
        <v>5</v>
      </c>
      <c r="G8559">
        <v>20.4788</v>
      </c>
    </row>
    <row r="8560" spans="1:7" x14ac:dyDescent="0.35">
      <c r="A8560" t="s">
        <v>847</v>
      </c>
      <c r="B8560" t="s">
        <v>691</v>
      </c>
      <c r="C8560" s="83">
        <v>46140</v>
      </c>
      <c r="D8560" t="s">
        <v>313</v>
      </c>
      <c r="E8560" t="s">
        <v>347</v>
      </c>
      <c r="F8560">
        <v>7</v>
      </c>
      <c r="G8560">
        <v>6.8604333333333303</v>
      </c>
    </row>
    <row r="8561" spans="1:7" x14ac:dyDescent="0.35">
      <c r="A8561" t="s">
        <v>847</v>
      </c>
      <c r="B8561" t="s">
        <v>691</v>
      </c>
      <c r="C8561" s="83">
        <v>46140</v>
      </c>
      <c r="D8561" t="s">
        <v>313</v>
      </c>
      <c r="E8561" t="s">
        <v>311</v>
      </c>
      <c r="F8561">
        <v>6</v>
      </c>
      <c r="G8561">
        <v>3.5766666666666702</v>
      </c>
    </row>
    <row r="8562" spans="1:7" x14ac:dyDescent="0.35">
      <c r="A8562" t="s">
        <v>847</v>
      </c>
      <c r="B8562" t="s">
        <v>691</v>
      </c>
      <c r="C8562" s="83">
        <v>46140</v>
      </c>
      <c r="D8562" t="s">
        <v>313</v>
      </c>
      <c r="E8562" t="s">
        <v>126</v>
      </c>
      <c r="F8562">
        <v>3</v>
      </c>
      <c r="G8562">
        <v>6.8499499999999998</v>
      </c>
    </row>
    <row r="8563" spans="1:7" x14ac:dyDescent="0.35">
      <c r="A8563" t="s">
        <v>847</v>
      </c>
      <c r="B8563" t="s">
        <v>691</v>
      </c>
      <c r="C8563" s="83">
        <v>46140</v>
      </c>
      <c r="D8563" t="s">
        <v>314</v>
      </c>
      <c r="E8563" t="s">
        <v>126</v>
      </c>
      <c r="F8563">
        <v>2</v>
      </c>
      <c r="G8563">
        <v>2.2056</v>
      </c>
    </row>
    <row r="8564" spans="1:7" x14ac:dyDescent="0.35">
      <c r="A8564" t="s">
        <v>847</v>
      </c>
      <c r="B8564" t="s">
        <v>691</v>
      </c>
      <c r="C8564" s="83">
        <v>46140</v>
      </c>
      <c r="D8564" t="s">
        <v>314</v>
      </c>
      <c r="E8564" t="s">
        <v>311</v>
      </c>
      <c r="F8564">
        <v>2</v>
      </c>
      <c r="G8564">
        <v>2.2232833333333302</v>
      </c>
    </row>
    <row r="8565" spans="1:7" x14ac:dyDescent="0.35">
      <c r="A8565" t="s">
        <v>847</v>
      </c>
      <c r="B8565" t="s">
        <v>691</v>
      </c>
      <c r="C8565" s="83">
        <v>46140</v>
      </c>
      <c r="D8565" t="s">
        <v>317</v>
      </c>
      <c r="E8565" t="s">
        <v>318</v>
      </c>
      <c r="F8565">
        <v>2</v>
      </c>
      <c r="G8565">
        <v>1.2486666666666699</v>
      </c>
    </row>
    <row r="8566" spans="1:7" x14ac:dyDescent="0.35">
      <c r="A8566" t="s">
        <v>847</v>
      </c>
      <c r="B8566" t="s">
        <v>691</v>
      </c>
      <c r="C8566" s="83">
        <v>46140</v>
      </c>
      <c r="D8566" t="s">
        <v>317</v>
      </c>
      <c r="E8566" t="s">
        <v>322</v>
      </c>
      <c r="F8566">
        <v>2</v>
      </c>
      <c r="G8566">
        <v>0.39584999999999998</v>
      </c>
    </row>
    <row r="8567" spans="1:7" x14ac:dyDescent="0.35">
      <c r="A8567" t="s">
        <v>847</v>
      </c>
      <c r="B8567" t="s">
        <v>691</v>
      </c>
      <c r="C8567" s="83">
        <v>46140</v>
      </c>
      <c r="D8567" t="s">
        <v>317</v>
      </c>
      <c r="E8567" t="s">
        <v>339</v>
      </c>
      <c r="F8567">
        <v>2</v>
      </c>
      <c r="G8567">
        <v>1.4731666666666701</v>
      </c>
    </row>
    <row r="8568" spans="1:7" x14ac:dyDescent="0.35">
      <c r="A8568" t="s">
        <v>847</v>
      </c>
      <c r="B8568" t="s">
        <v>691</v>
      </c>
      <c r="C8568" s="83">
        <v>46141</v>
      </c>
      <c r="D8568" t="s">
        <v>295</v>
      </c>
      <c r="E8568" t="s">
        <v>296</v>
      </c>
      <c r="F8568">
        <v>36</v>
      </c>
      <c r="G8568">
        <v>15.7870833333333</v>
      </c>
    </row>
    <row r="8569" spans="1:7" x14ac:dyDescent="0.35">
      <c r="A8569" t="s">
        <v>847</v>
      </c>
      <c r="B8569" t="s">
        <v>691</v>
      </c>
      <c r="C8569" s="83">
        <v>46141</v>
      </c>
      <c r="D8569" t="s">
        <v>299</v>
      </c>
      <c r="E8569" t="s">
        <v>296</v>
      </c>
      <c r="F8569">
        <v>68</v>
      </c>
      <c r="G8569">
        <v>39.950449999999996</v>
      </c>
    </row>
    <row r="8570" spans="1:7" x14ac:dyDescent="0.35">
      <c r="A8570" t="s">
        <v>847</v>
      </c>
      <c r="B8570" t="s">
        <v>691</v>
      </c>
      <c r="C8570" s="83">
        <v>46141</v>
      </c>
      <c r="D8570" t="s">
        <v>301</v>
      </c>
      <c r="E8570" t="s">
        <v>302</v>
      </c>
      <c r="F8570">
        <v>7</v>
      </c>
      <c r="G8570">
        <v>1.1344666666666701</v>
      </c>
    </row>
    <row r="8571" spans="1:7" x14ac:dyDescent="0.35">
      <c r="A8571" t="s">
        <v>847</v>
      </c>
      <c r="B8571" t="s">
        <v>691</v>
      </c>
      <c r="C8571" s="83">
        <v>46141</v>
      </c>
      <c r="D8571" t="s">
        <v>303</v>
      </c>
      <c r="E8571" t="s">
        <v>828</v>
      </c>
      <c r="F8571">
        <v>25</v>
      </c>
      <c r="G8571">
        <v>10.346916666666701</v>
      </c>
    </row>
    <row r="8572" spans="1:7" x14ac:dyDescent="0.35">
      <c r="A8572" t="s">
        <v>847</v>
      </c>
      <c r="B8572" t="s">
        <v>691</v>
      </c>
      <c r="C8572" s="83">
        <v>46141</v>
      </c>
      <c r="D8572" t="s">
        <v>310</v>
      </c>
      <c r="E8572" t="s">
        <v>311</v>
      </c>
      <c r="F8572">
        <v>27</v>
      </c>
      <c r="G8572">
        <v>33.042749999999998</v>
      </c>
    </row>
    <row r="8573" spans="1:7" x14ac:dyDescent="0.35">
      <c r="A8573" t="s">
        <v>847</v>
      </c>
      <c r="B8573" t="s">
        <v>691</v>
      </c>
      <c r="C8573" s="83">
        <v>46141</v>
      </c>
      <c r="D8573" t="s">
        <v>310</v>
      </c>
      <c r="E8573" t="s">
        <v>312</v>
      </c>
      <c r="F8573">
        <v>8</v>
      </c>
      <c r="G8573">
        <v>9.3958833333333303</v>
      </c>
    </row>
    <row r="8574" spans="1:7" x14ac:dyDescent="0.35">
      <c r="A8574" t="s">
        <v>847</v>
      </c>
      <c r="B8574" t="s">
        <v>691</v>
      </c>
      <c r="C8574" s="83">
        <v>46141</v>
      </c>
      <c r="D8574" t="s">
        <v>310</v>
      </c>
      <c r="E8574" t="s">
        <v>640</v>
      </c>
      <c r="F8574">
        <v>8</v>
      </c>
      <c r="G8574">
        <v>40.743933333333302</v>
      </c>
    </row>
    <row r="8575" spans="1:7" x14ac:dyDescent="0.35">
      <c r="A8575" t="s">
        <v>847</v>
      </c>
      <c r="B8575" t="s">
        <v>691</v>
      </c>
      <c r="C8575" s="83">
        <v>46141</v>
      </c>
      <c r="D8575" t="s">
        <v>313</v>
      </c>
      <c r="E8575" t="s">
        <v>311</v>
      </c>
      <c r="F8575">
        <v>31</v>
      </c>
      <c r="G8575">
        <v>52.739849999999997</v>
      </c>
    </row>
    <row r="8576" spans="1:7" x14ac:dyDescent="0.35">
      <c r="A8576" t="s">
        <v>847</v>
      </c>
      <c r="B8576" t="s">
        <v>691</v>
      </c>
      <c r="C8576" s="83">
        <v>46141</v>
      </c>
      <c r="D8576" t="s">
        <v>313</v>
      </c>
      <c r="E8576" t="s">
        <v>347</v>
      </c>
      <c r="F8576">
        <v>14</v>
      </c>
      <c r="G8576">
        <v>14.592750000000001</v>
      </c>
    </row>
    <row r="8577" spans="1:7" x14ac:dyDescent="0.35">
      <c r="A8577" t="s">
        <v>847</v>
      </c>
      <c r="B8577" t="s">
        <v>691</v>
      </c>
      <c r="C8577" s="83">
        <v>46141</v>
      </c>
      <c r="D8577" t="s">
        <v>313</v>
      </c>
      <c r="E8577" t="s">
        <v>126</v>
      </c>
      <c r="F8577">
        <v>8</v>
      </c>
      <c r="G8577">
        <v>55.999450000000003</v>
      </c>
    </row>
    <row r="8578" spans="1:7" x14ac:dyDescent="0.35">
      <c r="A8578" t="s">
        <v>847</v>
      </c>
      <c r="B8578" t="s">
        <v>691</v>
      </c>
      <c r="C8578" s="83">
        <v>46141</v>
      </c>
      <c r="D8578" t="s">
        <v>314</v>
      </c>
      <c r="E8578" t="s">
        <v>640</v>
      </c>
      <c r="F8578">
        <v>16</v>
      </c>
      <c r="G8578">
        <v>70.915766666666698</v>
      </c>
    </row>
    <row r="8579" spans="1:7" x14ac:dyDescent="0.35">
      <c r="A8579" t="s">
        <v>847</v>
      </c>
      <c r="B8579" t="s">
        <v>691</v>
      </c>
      <c r="C8579" s="83">
        <v>46141</v>
      </c>
      <c r="D8579" t="s">
        <v>314</v>
      </c>
      <c r="E8579" t="s">
        <v>311</v>
      </c>
      <c r="F8579">
        <v>11</v>
      </c>
      <c r="G8579">
        <v>198.45763333333301</v>
      </c>
    </row>
    <row r="8580" spans="1:7" x14ac:dyDescent="0.35">
      <c r="A8580" t="s">
        <v>847</v>
      </c>
      <c r="B8580" t="s">
        <v>691</v>
      </c>
      <c r="C8580" s="83">
        <v>46141</v>
      </c>
      <c r="D8580" t="s">
        <v>314</v>
      </c>
      <c r="E8580" t="s">
        <v>312</v>
      </c>
      <c r="F8580">
        <v>6</v>
      </c>
      <c r="G8580">
        <v>6.0516333333333296</v>
      </c>
    </row>
    <row r="8581" spans="1:7" x14ac:dyDescent="0.35">
      <c r="A8581" t="s">
        <v>847</v>
      </c>
      <c r="B8581" t="s">
        <v>691</v>
      </c>
      <c r="C8581" s="83">
        <v>46141</v>
      </c>
      <c r="D8581" t="s">
        <v>317</v>
      </c>
      <c r="E8581" t="s">
        <v>322</v>
      </c>
      <c r="F8581">
        <v>4</v>
      </c>
      <c r="G8581">
        <v>3.5807000000000002</v>
      </c>
    </row>
    <row r="8582" spans="1:7" x14ac:dyDescent="0.35">
      <c r="A8582" t="s">
        <v>847</v>
      </c>
      <c r="B8582" t="s">
        <v>691</v>
      </c>
      <c r="C8582" s="83">
        <v>46141</v>
      </c>
      <c r="D8582" t="s">
        <v>317</v>
      </c>
      <c r="E8582" t="s">
        <v>319</v>
      </c>
      <c r="F8582">
        <v>2</v>
      </c>
      <c r="G8582">
        <v>0.40955000000000003</v>
      </c>
    </row>
    <row r="8583" spans="1:7" x14ac:dyDescent="0.35">
      <c r="A8583" t="s">
        <v>847</v>
      </c>
      <c r="B8583" t="s">
        <v>691</v>
      </c>
      <c r="C8583" s="83">
        <v>46141</v>
      </c>
      <c r="D8583" t="s">
        <v>317</v>
      </c>
      <c r="E8583" t="s">
        <v>339</v>
      </c>
      <c r="F8583">
        <v>2</v>
      </c>
      <c r="G8583">
        <v>2.1193666666666702</v>
      </c>
    </row>
    <row r="8584" spans="1:7" x14ac:dyDescent="0.35">
      <c r="A8584" t="s">
        <v>847</v>
      </c>
      <c r="B8584" t="s">
        <v>691</v>
      </c>
      <c r="C8584" s="83">
        <v>46142</v>
      </c>
      <c r="D8584" t="s">
        <v>295</v>
      </c>
      <c r="E8584" t="s">
        <v>296</v>
      </c>
      <c r="F8584">
        <v>61</v>
      </c>
      <c r="G8584">
        <v>38.358033333333303</v>
      </c>
    </row>
    <row r="8585" spans="1:7" x14ac:dyDescent="0.35">
      <c r="A8585" t="s">
        <v>847</v>
      </c>
      <c r="B8585" t="s">
        <v>691</v>
      </c>
      <c r="C8585" s="83">
        <v>46142</v>
      </c>
      <c r="D8585" t="s">
        <v>295</v>
      </c>
      <c r="E8585" t="s">
        <v>302</v>
      </c>
      <c r="F8585">
        <v>35</v>
      </c>
      <c r="G8585">
        <v>14.23705</v>
      </c>
    </row>
    <row r="8586" spans="1:7" x14ac:dyDescent="0.35">
      <c r="A8586" t="s">
        <v>847</v>
      </c>
      <c r="B8586" t="s">
        <v>691</v>
      </c>
      <c r="C8586" s="83">
        <v>46142</v>
      </c>
      <c r="D8586" t="s">
        <v>299</v>
      </c>
      <c r="E8586" t="s">
        <v>296</v>
      </c>
      <c r="F8586">
        <v>25</v>
      </c>
      <c r="G8586">
        <v>20.6306166666667</v>
      </c>
    </row>
    <row r="8587" spans="1:7" x14ac:dyDescent="0.35">
      <c r="A8587" t="s">
        <v>847</v>
      </c>
      <c r="B8587" t="s">
        <v>691</v>
      </c>
      <c r="C8587" s="83">
        <v>46142</v>
      </c>
      <c r="D8587" t="s">
        <v>299</v>
      </c>
      <c r="E8587" t="s">
        <v>828</v>
      </c>
      <c r="F8587">
        <v>22</v>
      </c>
      <c r="G8587">
        <v>11.840583333333299</v>
      </c>
    </row>
    <row r="8588" spans="1:7" x14ac:dyDescent="0.35">
      <c r="A8588" t="s">
        <v>847</v>
      </c>
      <c r="B8588" t="s">
        <v>691</v>
      </c>
      <c r="C8588" s="83">
        <v>46142</v>
      </c>
      <c r="D8588" t="s">
        <v>301</v>
      </c>
      <c r="E8588" t="s">
        <v>302</v>
      </c>
      <c r="F8588">
        <v>6</v>
      </c>
      <c r="G8588">
        <v>2.3690500000000001</v>
      </c>
    </row>
    <row r="8589" spans="1:7" x14ac:dyDescent="0.35">
      <c r="A8589" t="s">
        <v>847</v>
      </c>
      <c r="B8589" t="s">
        <v>691</v>
      </c>
      <c r="C8589" s="83">
        <v>46142</v>
      </c>
      <c r="D8589" t="s">
        <v>310</v>
      </c>
      <c r="E8589" t="s">
        <v>311</v>
      </c>
      <c r="F8589">
        <v>38</v>
      </c>
      <c r="G8589">
        <v>83.831966666666702</v>
      </c>
    </row>
    <row r="8590" spans="1:7" x14ac:dyDescent="0.35">
      <c r="A8590" t="s">
        <v>847</v>
      </c>
      <c r="B8590" t="s">
        <v>691</v>
      </c>
      <c r="C8590" s="83">
        <v>46142</v>
      </c>
      <c r="D8590" t="s">
        <v>310</v>
      </c>
      <c r="E8590" t="s">
        <v>640</v>
      </c>
      <c r="F8590">
        <v>12</v>
      </c>
      <c r="G8590">
        <v>19.2147166666667</v>
      </c>
    </row>
    <row r="8591" spans="1:7" x14ac:dyDescent="0.35">
      <c r="A8591" t="s">
        <v>847</v>
      </c>
      <c r="B8591" t="s">
        <v>691</v>
      </c>
      <c r="C8591" s="83">
        <v>46142</v>
      </c>
      <c r="D8591" t="s">
        <v>310</v>
      </c>
      <c r="E8591" t="s">
        <v>312</v>
      </c>
      <c r="F8591">
        <v>11</v>
      </c>
      <c r="G8591">
        <v>9.7377666666666691</v>
      </c>
    </row>
    <row r="8592" spans="1:7" x14ac:dyDescent="0.35">
      <c r="A8592" t="s">
        <v>847</v>
      </c>
      <c r="B8592" t="s">
        <v>691</v>
      </c>
      <c r="C8592" s="83">
        <v>46142</v>
      </c>
      <c r="D8592" t="s">
        <v>313</v>
      </c>
      <c r="E8592" t="s">
        <v>311</v>
      </c>
      <c r="F8592">
        <v>78</v>
      </c>
      <c r="G8592">
        <v>127.057216666667</v>
      </c>
    </row>
    <row r="8593" spans="1:7" x14ac:dyDescent="0.35">
      <c r="A8593" t="s">
        <v>847</v>
      </c>
      <c r="B8593" t="s">
        <v>691</v>
      </c>
      <c r="C8593" s="83">
        <v>46142</v>
      </c>
      <c r="D8593" t="s">
        <v>313</v>
      </c>
      <c r="E8593" t="s">
        <v>640</v>
      </c>
      <c r="F8593">
        <v>5</v>
      </c>
      <c r="G8593">
        <v>7.6849166666666697</v>
      </c>
    </row>
    <row r="8594" spans="1:7" x14ac:dyDescent="0.35">
      <c r="A8594" t="s">
        <v>847</v>
      </c>
      <c r="B8594" t="s">
        <v>691</v>
      </c>
      <c r="C8594" s="83">
        <v>46142</v>
      </c>
      <c r="D8594" t="s">
        <v>313</v>
      </c>
      <c r="E8594" t="s">
        <v>322</v>
      </c>
      <c r="F8594">
        <v>3</v>
      </c>
      <c r="G8594">
        <v>4.9925666666666704</v>
      </c>
    </row>
    <row r="8595" spans="1:7" x14ac:dyDescent="0.35">
      <c r="A8595" t="s">
        <v>847</v>
      </c>
      <c r="B8595" t="s">
        <v>691</v>
      </c>
      <c r="C8595" s="83">
        <v>46142</v>
      </c>
      <c r="D8595" t="s">
        <v>314</v>
      </c>
      <c r="E8595" t="s">
        <v>640</v>
      </c>
      <c r="F8595">
        <v>21</v>
      </c>
      <c r="G8595">
        <v>74.884900000000002</v>
      </c>
    </row>
    <row r="8596" spans="1:7" x14ac:dyDescent="0.35">
      <c r="A8596" t="s">
        <v>847</v>
      </c>
      <c r="B8596" t="s">
        <v>691</v>
      </c>
      <c r="C8596" s="83">
        <v>46142</v>
      </c>
      <c r="D8596" t="s">
        <v>314</v>
      </c>
      <c r="E8596" t="s">
        <v>312</v>
      </c>
      <c r="F8596">
        <v>18</v>
      </c>
      <c r="G8596">
        <v>16.216366666666701</v>
      </c>
    </row>
    <row r="8597" spans="1:7" x14ac:dyDescent="0.35">
      <c r="A8597" t="s">
        <v>847</v>
      </c>
      <c r="B8597" t="s">
        <v>691</v>
      </c>
      <c r="C8597" s="83">
        <v>46142</v>
      </c>
      <c r="D8597" t="s">
        <v>314</v>
      </c>
      <c r="E8597" t="s">
        <v>126</v>
      </c>
      <c r="F8597">
        <v>8</v>
      </c>
      <c r="G8597">
        <v>26.760200000000001</v>
      </c>
    </row>
    <row r="8598" spans="1:7" x14ac:dyDescent="0.35">
      <c r="A8598" t="s">
        <v>847</v>
      </c>
      <c r="B8598" t="s">
        <v>691</v>
      </c>
      <c r="C8598" s="83">
        <v>46142</v>
      </c>
      <c r="D8598" t="s">
        <v>317</v>
      </c>
      <c r="E8598" t="s">
        <v>825</v>
      </c>
      <c r="F8598">
        <v>2</v>
      </c>
      <c r="G8598">
        <v>0.31343333333333301</v>
      </c>
    </row>
    <row r="8599" spans="1:7" x14ac:dyDescent="0.35">
      <c r="A8599" t="s">
        <v>847</v>
      </c>
      <c r="B8599" t="s">
        <v>691</v>
      </c>
      <c r="C8599" s="83">
        <v>46142</v>
      </c>
      <c r="D8599" t="s">
        <v>317</v>
      </c>
      <c r="E8599" t="s">
        <v>319</v>
      </c>
      <c r="F8599">
        <v>2</v>
      </c>
      <c r="G8599">
        <v>1.2391333333333301</v>
      </c>
    </row>
    <row r="8600" spans="1:7" x14ac:dyDescent="0.35">
      <c r="A8600" t="s">
        <v>847</v>
      </c>
      <c r="B8600" t="s">
        <v>691</v>
      </c>
      <c r="C8600" s="83">
        <v>46142</v>
      </c>
      <c r="D8600" t="s">
        <v>317</v>
      </c>
      <c r="E8600" t="s">
        <v>339</v>
      </c>
      <c r="F8600">
        <v>2</v>
      </c>
      <c r="G8600">
        <v>14.91835</v>
      </c>
    </row>
    <row r="8601" spans="1:7" x14ac:dyDescent="0.35">
      <c r="A8601" t="s">
        <v>847</v>
      </c>
      <c r="B8601" t="s">
        <v>691</v>
      </c>
      <c r="C8601" s="83">
        <v>46143</v>
      </c>
      <c r="D8601" t="s">
        <v>295</v>
      </c>
      <c r="E8601" t="s">
        <v>296</v>
      </c>
      <c r="F8601">
        <v>59</v>
      </c>
      <c r="G8601">
        <v>53.351233333333298</v>
      </c>
    </row>
    <row r="8602" spans="1:7" x14ac:dyDescent="0.35">
      <c r="A8602" t="s">
        <v>847</v>
      </c>
      <c r="B8602" t="s">
        <v>691</v>
      </c>
      <c r="C8602" s="83">
        <v>46143</v>
      </c>
      <c r="D8602" t="s">
        <v>295</v>
      </c>
      <c r="E8602" t="s">
        <v>302</v>
      </c>
      <c r="F8602">
        <v>10</v>
      </c>
      <c r="G8602">
        <v>6.8105500000000001</v>
      </c>
    </row>
    <row r="8603" spans="1:7" x14ac:dyDescent="0.35">
      <c r="A8603" t="s">
        <v>847</v>
      </c>
      <c r="B8603" t="s">
        <v>691</v>
      </c>
      <c r="C8603" s="83">
        <v>46143</v>
      </c>
      <c r="D8603" t="s">
        <v>299</v>
      </c>
      <c r="E8603" t="s">
        <v>296</v>
      </c>
      <c r="F8603">
        <v>56</v>
      </c>
      <c r="G8603">
        <v>28.157399999999999</v>
      </c>
    </row>
    <row r="8604" spans="1:7" x14ac:dyDescent="0.35">
      <c r="A8604" t="s">
        <v>847</v>
      </c>
      <c r="B8604" t="s">
        <v>691</v>
      </c>
      <c r="C8604" s="83">
        <v>46143</v>
      </c>
      <c r="D8604" t="s">
        <v>310</v>
      </c>
      <c r="E8604" t="s">
        <v>311</v>
      </c>
      <c r="F8604">
        <v>17</v>
      </c>
      <c r="G8604">
        <v>28.503299999999999</v>
      </c>
    </row>
    <row r="8605" spans="1:7" x14ac:dyDescent="0.35">
      <c r="A8605" t="s">
        <v>847</v>
      </c>
      <c r="B8605" t="s">
        <v>691</v>
      </c>
      <c r="C8605" s="83">
        <v>46143</v>
      </c>
      <c r="D8605" t="s">
        <v>310</v>
      </c>
      <c r="E8605" t="s">
        <v>126</v>
      </c>
      <c r="F8605">
        <v>9</v>
      </c>
      <c r="G8605">
        <v>11.429816666666699</v>
      </c>
    </row>
    <row r="8606" spans="1:7" x14ac:dyDescent="0.35">
      <c r="A8606" t="s">
        <v>847</v>
      </c>
      <c r="B8606" t="s">
        <v>691</v>
      </c>
      <c r="C8606" s="83">
        <v>46143</v>
      </c>
      <c r="D8606" t="s">
        <v>310</v>
      </c>
      <c r="E8606" t="s">
        <v>321</v>
      </c>
      <c r="F8606">
        <v>5</v>
      </c>
      <c r="G8606">
        <v>2.375</v>
      </c>
    </row>
    <row r="8607" spans="1:7" x14ac:dyDescent="0.35">
      <c r="A8607" t="s">
        <v>847</v>
      </c>
      <c r="B8607" t="s">
        <v>691</v>
      </c>
      <c r="C8607" s="83">
        <v>46143</v>
      </c>
      <c r="D8607" t="s">
        <v>313</v>
      </c>
      <c r="E8607" t="s">
        <v>311</v>
      </c>
      <c r="F8607">
        <v>74</v>
      </c>
      <c r="G8607">
        <v>140.23341666666701</v>
      </c>
    </row>
    <row r="8608" spans="1:7" x14ac:dyDescent="0.35">
      <c r="A8608" t="s">
        <v>847</v>
      </c>
      <c r="B8608" t="s">
        <v>691</v>
      </c>
      <c r="C8608" s="83">
        <v>46143</v>
      </c>
      <c r="D8608" t="s">
        <v>313</v>
      </c>
      <c r="E8608" t="s">
        <v>312</v>
      </c>
      <c r="F8608">
        <v>7</v>
      </c>
      <c r="G8608">
        <v>3.0791833333333298</v>
      </c>
    </row>
    <row r="8609" spans="1:7" x14ac:dyDescent="0.35">
      <c r="A8609" t="s">
        <v>847</v>
      </c>
      <c r="B8609" t="s">
        <v>691</v>
      </c>
      <c r="C8609" s="83">
        <v>46143</v>
      </c>
      <c r="D8609" t="s">
        <v>313</v>
      </c>
      <c r="E8609" t="s">
        <v>640</v>
      </c>
      <c r="F8609">
        <v>7</v>
      </c>
      <c r="G8609">
        <v>8.8796166666666707</v>
      </c>
    </row>
    <row r="8610" spans="1:7" x14ac:dyDescent="0.35">
      <c r="A8610" t="s">
        <v>847</v>
      </c>
      <c r="B8610" t="s">
        <v>691</v>
      </c>
      <c r="C8610" s="83">
        <v>46143</v>
      </c>
      <c r="D8610" t="s">
        <v>314</v>
      </c>
      <c r="E8610" t="s">
        <v>312</v>
      </c>
      <c r="F8610">
        <v>17</v>
      </c>
      <c r="G8610">
        <v>13.27075</v>
      </c>
    </row>
    <row r="8611" spans="1:7" x14ac:dyDescent="0.35">
      <c r="A8611" t="s">
        <v>847</v>
      </c>
      <c r="B8611" t="s">
        <v>691</v>
      </c>
      <c r="C8611" s="83">
        <v>46143</v>
      </c>
      <c r="D8611" t="s">
        <v>314</v>
      </c>
      <c r="E8611" t="s">
        <v>640</v>
      </c>
      <c r="F8611">
        <v>15</v>
      </c>
      <c r="G8611">
        <v>54.868133333333297</v>
      </c>
    </row>
    <row r="8612" spans="1:7" x14ac:dyDescent="0.35">
      <c r="A8612" t="s">
        <v>847</v>
      </c>
      <c r="B8612" t="s">
        <v>691</v>
      </c>
      <c r="C8612" s="83">
        <v>46143</v>
      </c>
      <c r="D8612" t="s">
        <v>314</v>
      </c>
      <c r="E8612" t="s">
        <v>830</v>
      </c>
      <c r="F8612">
        <v>3</v>
      </c>
      <c r="G8612">
        <v>2.5968</v>
      </c>
    </row>
    <row r="8613" spans="1:7" x14ac:dyDescent="0.35">
      <c r="A8613" t="s">
        <v>847</v>
      </c>
      <c r="B8613" t="s">
        <v>691</v>
      </c>
      <c r="C8613" s="83">
        <v>46143</v>
      </c>
      <c r="D8613" t="s">
        <v>317</v>
      </c>
      <c r="E8613" t="s">
        <v>319</v>
      </c>
      <c r="F8613">
        <v>4</v>
      </c>
      <c r="G8613">
        <v>107.94301666666701</v>
      </c>
    </row>
    <row r="8614" spans="1:7" x14ac:dyDescent="0.35">
      <c r="A8614" t="s">
        <v>847</v>
      </c>
      <c r="B8614" t="s">
        <v>691</v>
      </c>
      <c r="C8614" s="83">
        <v>46143</v>
      </c>
      <c r="D8614" t="s">
        <v>317</v>
      </c>
      <c r="E8614" t="s">
        <v>792</v>
      </c>
      <c r="F8614">
        <v>3</v>
      </c>
      <c r="G8614">
        <v>2.3807999999999998</v>
      </c>
    </row>
    <row r="8615" spans="1:7" x14ac:dyDescent="0.35">
      <c r="A8615" t="s">
        <v>847</v>
      </c>
      <c r="B8615" t="s">
        <v>691</v>
      </c>
      <c r="C8615" s="83">
        <v>46143</v>
      </c>
      <c r="D8615" t="s">
        <v>317</v>
      </c>
      <c r="E8615" t="s">
        <v>339</v>
      </c>
      <c r="F8615">
        <v>2</v>
      </c>
      <c r="G8615">
        <v>3.9623166666666698</v>
      </c>
    </row>
    <row r="8616" spans="1:7" x14ac:dyDescent="0.35">
      <c r="A8616" t="s">
        <v>847</v>
      </c>
      <c r="B8616" t="s">
        <v>691</v>
      </c>
      <c r="C8616" s="83">
        <v>46144</v>
      </c>
      <c r="D8616" t="s">
        <v>295</v>
      </c>
      <c r="E8616" t="s">
        <v>296</v>
      </c>
      <c r="F8616">
        <v>98</v>
      </c>
      <c r="G8616">
        <v>67.773666666666699</v>
      </c>
    </row>
    <row r="8617" spans="1:7" x14ac:dyDescent="0.35">
      <c r="A8617" t="s">
        <v>847</v>
      </c>
      <c r="B8617" t="s">
        <v>691</v>
      </c>
      <c r="C8617" s="83">
        <v>46144</v>
      </c>
      <c r="D8617" t="s">
        <v>299</v>
      </c>
      <c r="E8617" t="s">
        <v>296</v>
      </c>
      <c r="F8617">
        <v>51</v>
      </c>
      <c r="G8617">
        <v>23.141100000000002</v>
      </c>
    </row>
    <row r="8618" spans="1:7" x14ac:dyDescent="0.35">
      <c r="A8618" t="s">
        <v>847</v>
      </c>
      <c r="B8618" t="s">
        <v>691</v>
      </c>
      <c r="C8618" s="83">
        <v>46144</v>
      </c>
      <c r="D8618" t="s">
        <v>303</v>
      </c>
      <c r="E8618" t="s">
        <v>828</v>
      </c>
      <c r="F8618">
        <v>23</v>
      </c>
      <c r="G8618">
        <v>14.579316666666699</v>
      </c>
    </row>
    <row r="8619" spans="1:7" x14ac:dyDescent="0.35">
      <c r="A8619" t="s">
        <v>847</v>
      </c>
      <c r="B8619" t="s">
        <v>691</v>
      </c>
      <c r="C8619" s="83">
        <v>46144</v>
      </c>
      <c r="D8619" t="s">
        <v>310</v>
      </c>
      <c r="E8619" t="s">
        <v>311</v>
      </c>
      <c r="F8619">
        <v>25</v>
      </c>
      <c r="G8619">
        <v>61.875083333333301</v>
      </c>
    </row>
    <row r="8620" spans="1:7" x14ac:dyDescent="0.35">
      <c r="A8620" t="s">
        <v>847</v>
      </c>
      <c r="B8620" t="s">
        <v>691</v>
      </c>
      <c r="C8620" s="83">
        <v>46144</v>
      </c>
      <c r="D8620" t="s">
        <v>310</v>
      </c>
      <c r="E8620" t="s">
        <v>347</v>
      </c>
      <c r="F8620">
        <v>3</v>
      </c>
      <c r="G8620">
        <v>7.7769833333333303</v>
      </c>
    </row>
    <row r="8621" spans="1:7" x14ac:dyDescent="0.35">
      <c r="A8621" t="s">
        <v>847</v>
      </c>
      <c r="B8621" t="s">
        <v>691</v>
      </c>
      <c r="C8621" s="83">
        <v>46144</v>
      </c>
      <c r="D8621" t="s">
        <v>310</v>
      </c>
      <c r="E8621" t="s">
        <v>777</v>
      </c>
      <c r="F8621">
        <v>2</v>
      </c>
      <c r="G8621">
        <v>0.86614999999999998</v>
      </c>
    </row>
    <row r="8622" spans="1:7" x14ac:dyDescent="0.35">
      <c r="A8622" t="s">
        <v>847</v>
      </c>
      <c r="B8622" t="s">
        <v>691</v>
      </c>
      <c r="C8622" s="83">
        <v>46144</v>
      </c>
      <c r="D8622" t="s">
        <v>313</v>
      </c>
      <c r="E8622" t="s">
        <v>311</v>
      </c>
      <c r="F8622">
        <v>25</v>
      </c>
      <c r="G8622">
        <v>31.442716666666701</v>
      </c>
    </row>
    <row r="8623" spans="1:7" x14ac:dyDescent="0.35">
      <c r="A8623" t="s">
        <v>847</v>
      </c>
      <c r="B8623" t="s">
        <v>691</v>
      </c>
      <c r="C8623" s="83">
        <v>46144</v>
      </c>
      <c r="D8623" t="s">
        <v>313</v>
      </c>
      <c r="E8623" t="s">
        <v>126</v>
      </c>
      <c r="F8623">
        <v>8</v>
      </c>
      <c r="G8623">
        <v>21.33315</v>
      </c>
    </row>
    <row r="8624" spans="1:7" x14ac:dyDescent="0.35">
      <c r="A8624" t="s">
        <v>847</v>
      </c>
      <c r="B8624" t="s">
        <v>691</v>
      </c>
      <c r="C8624" s="83">
        <v>46144</v>
      </c>
      <c r="D8624" t="s">
        <v>313</v>
      </c>
      <c r="E8624" t="s">
        <v>337</v>
      </c>
      <c r="F8624">
        <v>3</v>
      </c>
      <c r="G8624">
        <v>2.8250500000000001</v>
      </c>
    </row>
    <row r="8625" spans="1:7" x14ac:dyDescent="0.35">
      <c r="A8625" t="s">
        <v>847</v>
      </c>
      <c r="B8625" t="s">
        <v>691</v>
      </c>
      <c r="C8625" s="83">
        <v>46144</v>
      </c>
      <c r="D8625" t="s">
        <v>314</v>
      </c>
      <c r="E8625" t="s">
        <v>640</v>
      </c>
      <c r="F8625">
        <v>14</v>
      </c>
      <c r="G8625">
        <v>29.575533333333301</v>
      </c>
    </row>
    <row r="8626" spans="1:7" x14ac:dyDescent="0.35">
      <c r="A8626" t="s">
        <v>847</v>
      </c>
      <c r="B8626" t="s">
        <v>691</v>
      </c>
      <c r="C8626" s="83">
        <v>46144</v>
      </c>
      <c r="D8626" t="s">
        <v>314</v>
      </c>
      <c r="E8626" t="s">
        <v>760</v>
      </c>
      <c r="F8626">
        <v>5</v>
      </c>
      <c r="G8626">
        <v>1.67773333333333</v>
      </c>
    </row>
    <row r="8627" spans="1:7" x14ac:dyDescent="0.35">
      <c r="A8627" t="s">
        <v>847</v>
      </c>
      <c r="B8627" t="s">
        <v>691</v>
      </c>
      <c r="C8627" s="83">
        <v>46144</v>
      </c>
      <c r="D8627" t="s">
        <v>314</v>
      </c>
      <c r="E8627" t="s">
        <v>830</v>
      </c>
      <c r="F8627">
        <v>5</v>
      </c>
      <c r="G8627">
        <v>1.7842166666666699</v>
      </c>
    </row>
    <row r="8628" spans="1:7" x14ac:dyDescent="0.35">
      <c r="A8628" t="s">
        <v>847</v>
      </c>
      <c r="B8628" t="s">
        <v>691</v>
      </c>
      <c r="C8628" s="83">
        <v>46144</v>
      </c>
      <c r="D8628" t="s">
        <v>317</v>
      </c>
      <c r="E8628" t="s">
        <v>318</v>
      </c>
      <c r="F8628">
        <v>2</v>
      </c>
      <c r="G8628">
        <v>0.22800000000000001</v>
      </c>
    </row>
    <row r="8629" spans="1:7" x14ac:dyDescent="0.35">
      <c r="A8629" t="s">
        <v>847</v>
      </c>
      <c r="B8629" t="s">
        <v>691</v>
      </c>
      <c r="C8629" s="83">
        <v>46144</v>
      </c>
      <c r="D8629" t="s">
        <v>317</v>
      </c>
      <c r="E8629" t="s">
        <v>319</v>
      </c>
      <c r="F8629">
        <v>2</v>
      </c>
      <c r="G8629">
        <v>0.50573333333333303</v>
      </c>
    </row>
    <row r="8630" spans="1:7" x14ac:dyDescent="0.35">
      <c r="A8630" t="s">
        <v>847</v>
      </c>
      <c r="B8630" t="s">
        <v>691</v>
      </c>
      <c r="C8630" s="83">
        <v>46145</v>
      </c>
      <c r="D8630" t="s">
        <v>295</v>
      </c>
      <c r="E8630" t="s">
        <v>296</v>
      </c>
      <c r="F8630">
        <v>119</v>
      </c>
      <c r="G8630">
        <v>62.429466666666698</v>
      </c>
    </row>
    <row r="8631" spans="1:7" x14ac:dyDescent="0.35">
      <c r="A8631" t="s">
        <v>847</v>
      </c>
      <c r="B8631" t="s">
        <v>691</v>
      </c>
      <c r="C8631" s="83">
        <v>46145</v>
      </c>
      <c r="D8631" t="s">
        <v>299</v>
      </c>
      <c r="E8631" t="s">
        <v>296</v>
      </c>
      <c r="F8631">
        <v>32</v>
      </c>
      <c r="G8631">
        <v>21.464366666666699</v>
      </c>
    </row>
    <row r="8632" spans="1:7" x14ac:dyDescent="0.35">
      <c r="A8632" t="s">
        <v>847</v>
      </c>
      <c r="B8632" t="s">
        <v>691</v>
      </c>
      <c r="C8632" s="83">
        <v>46145</v>
      </c>
      <c r="D8632" t="s">
        <v>301</v>
      </c>
      <c r="E8632" t="s">
        <v>302</v>
      </c>
      <c r="F8632">
        <v>16</v>
      </c>
      <c r="G8632">
        <v>12.583600000000001</v>
      </c>
    </row>
    <row r="8633" spans="1:7" x14ac:dyDescent="0.35">
      <c r="A8633" t="s">
        <v>847</v>
      </c>
      <c r="B8633" t="s">
        <v>691</v>
      </c>
      <c r="C8633" s="83">
        <v>46145</v>
      </c>
      <c r="D8633" t="s">
        <v>310</v>
      </c>
      <c r="E8633" t="s">
        <v>311</v>
      </c>
      <c r="F8633">
        <v>8</v>
      </c>
      <c r="G8633">
        <v>11.48095</v>
      </c>
    </row>
    <row r="8634" spans="1:7" x14ac:dyDescent="0.35">
      <c r="A8634" t="s">
        <v>847</v>
      </c>
      <c r="B8634" t="s">
        <v>691</v>
      </c>
      <c r="C8634" s="83">
        <v>46145</v>
      </c>
      <c r="D8634" t="s">
        <v>310</v>
      </c>
      <c r="E8634" t="s">
        <v>333</v>
      </c>
      <c r="F8634">
        <v>5</v>
      </c>
      <c r="G8634">
        <v>1.11161666666667</v>
      </c>
    </row>
    <row r="8635" spans="1:7" x14ac:dyDescent="0.35">
      <c r="A8635" t="s">
        <v>847</v>
      </c>
      <c r="B8635" t="s">
        <v>691</v>
      </c>
      <c r="C8635" s="83">
        <v>46145</v>
      </c>
      <c r="D8635" t="s">
        <v>310</v>
      </c>
      <c r="E8635" t="s">
        <v>126</v>
      </c>
      <c r="F8635">
        <v>4</v>
      </c>
      <c r="G8635">
        <v>2.9051166666666699</v>
      </c>
    </row>
    <row r="8636" spans="1:7" x14ac:dyDescent="0.35">
      <c r="A8636" t="s">
        <v>847</v>
      </c>
      <c r="B8636" t="s">
        <v>691</v>
      </c>
      <c r="C8636" s="83">
        <v>46145</v>
      </c>
      <c r="D8636" t="s">
        <v>313</v>
      </c>
      <c r="E8636" t="s">
        <v>311</v>
      </c>
      <c r="F8636">
        <v>22</v>
      </c>
      <c r="G8636">
        <v>33.709766666666702</v>
      </c>
    </row>
    <row r="8637" spans="1:7" x14ac:dyDescent="0.35">
      <c r="A8637" t="s">
        <v>847</v>
      </c>
      <c r="B8637" t="s">
        <v>691</v>
      </c>
      <c r="C8637" s="83">
        <v>46145</v>
      </c>
      <c r="D8637" t="s">
        <v>313</v>
      </c>
      <c r="E8637" t="s">
        <v>126</v>
      </c>
      <c r="F8637">
        <v>17</v>
      </c>
      <c r="G8637">
        <v>48.968666666666699</v>
      </c>
    </row>
    <row r="8638" spans="1:7" x14ac:dyDescent="0.35">
      <c r="A8638" t="s">
        <v>847</v>
      </c>
      <c r="B8638" t="s">
        <v>691</v>
      </c>
      <c r="C8638" s="83">
        <v>46145</v>
      </c>
      <c r="D8638" t="s">
        <v>313</v>
      </c>
      <c r="E8638" t="s">
        <v>347</v>
      </c>
      <c r="F8638">
        <v>5</v>
      </c>
      <c r="G8638">
        <v>7.5587499999999999</v>
      </c>
    </row>
    <row r="8639" spans="1:7" x14ac:dyDescent="0.35">
      <c r="A8639" t="s">
        <v>847</v>
      </c>
      <c r="B8639" t="s">
        <v>691</v>
      </c>
      <c r="C8639" s="83">
        <v>46145</v>
      </c>
      <c r="D8639" t="s">
        <v>314</v>
      </c>
      <c r="E8639" t="s">
        <v>640</v>
      </c>
      <c r="F8639">
        <v>16</v>
      </c>
      <c r="G8639">
        <v>26.365366666666699</v>
      </c>
    </row>
    <row r="8640" spans="1:7" x14ac:dyDescent="0.35">
      <c r="A8640" t="s">
        <v>847</v>
      </c>
      <c r="B8640" t="s">
        <v>691</v>
      </c>
      <c r="C8640" s="83">
        <v>46145</v>
      </c>
      <c r="D8640" t="s">
        <v>314</v>
      </c>
      <c r="E8640" t="s">
        <v>126</v>
      </c>
      <c r="F8640">
        <v>5</v>
      </c>
      <c r="G8640">
        <v>10.762366666666701</v>
      </c>
    </row>
    <row r="8641" spans="1:7" x14ac:dyDescent="0.35">
      <c r="A8641" t="s">
        <v>847</v>
      </c>
      <c r="B8641" t="s">
        <v>691</v>
      </c>
      <c r="C8641" s="83">
        <v>46145</v>
      </c>
      <c r="D8641" t="s">
        <v>314</v>
      </c>
      <c r="E8641" t="s">
        <v>322</v>
      </c>
      <c r="F8641">
        <v>3</v>
      </c>
      <c r="G8641">
        <v>1.6636166666666701</v>
      </c>
    </row>
    <row r="8642" spans="1:7" x14ac:dyDescent="0.35">
      <c r="A8642" t="s">
        <v>847</v>
      </c>
      <c r="B8642" t="s">
        <v>691</v>
      </c>
      <c r="C8642" s="83">
        <v>46145</v>
      </c>
      <c r="D8642" t="s">
        <v>317</v>
      </c>
      <c r="E8642" t="s">
        <v>319</v>
      </c>
      <c r="F8642">
        <v>5</v>
      </c>
      <c r="G8642">
        <v>7.6990499999999997</v>
      </c>
    </row>
    <row r="8643" spans="1:7" x14ac:dyDescent="0.35">
      <c r="A8643" t="s">
        <v>847</v>
      </c>
      <c r="B8643" t="s">
        <v>691</v>
      </c>
      <c r="C8643" s="83">
        <v>46145</v>
      </c>
      <c r="D8643" t="s">
        <v>317</v>
      </c>
      <c r="E8643" t="s">
        <v>318</v>
      </c>
      <c r="F8643">
        <v>2</v>
      </c>
      <c r="G8643">
        <v>0.484866666666667</v>
      </c>
    </row>
    <row r="8644" spans="1:7" x14ac:dyDescent="0.35">
      <c r="A8644" t="s">
        <v>847</v>
      </c>
      <c r="B8644" t="s">
        <v>691</v>
      </c>
      <c r="C8644" s="83">
        <v>46146</v>
      </c>
      <c r="D8644" t="s">
        <v>295</v>
      </c>
      <c r="E8644" t="s">
        <v>296</v>
      </c>
      <c r="F8644">
        <v>145</v>
      </c>
      <c r="G8644">
        <v>57.081783333333298</v>
      </c>
    </row>
    <row r="8645" spans="1:7" x14ac:dyDescent="0.35">
      <c r="A8645" t="s">
        <v>847</v>
      </c>
      <c r="B8645" t="s">
        <v>691</v>
      </c>
      <c r="C8645" s="83">
        <v>46146</v>
      </c>
      <c r="D8645" t="s">
        <v>299</v>
      </c>
      <c r="E8645" t="s">
        <v>296</v>
      </c>
      <c r="F8645">
        <v>73</v>
      </c>
      <c r="G8645">
        <v>37.0056333333333</v>
      </c>
    </row>
    <row r="8646" spans="1:7" x14ac:dyDescent="0.35">
      <c r="A8646" t="s">
        <v>847</v>
      </c>
      <c r="B8646" t="s">
        <v>691</v>
      </c>
      <c r="C8646" s="83">
        <v>46146</v>
      </c>
      <c r="D8646" t="s">
        <v>301</v>
      </c>
      <c r="E8646" t="s">
        <v>302</v>
      </c>
      <c r="F8646">
        <v>15</v>
      </c>
      <c r="G8646">
        <v>8.98475</v>
      </c>
    </row>
    <row r="8647" spans="1:7" x14ac:dyDescent="0.35">
      <c r="A8647" t="s">
        <v>847</v>
      </c>
      <c r="B8647" t="s">
        <v>691</v>
      </c>
      <c r="C8647" s="83">
        <v>46146</v>
      </c>
      <c r="D8647" t="s">
        <v>310</v>
      </c>
      <c r="E8647" t="s">
        <v>311</v>
      </c>
      <c r="F8647">
        <v>11</v>
      </c>
      <c r="G8647">
        <v>26.938783333333301</v>
      </c>
    </row>
    <row r="8648" spans="1:7" x14ac:dyDescent="0.35">
      <c r="A8648" t="s">
        <v>847</v>
      </c>
      <c r="B8648" t="s">
        <v>691</v>
      </c>
      <c r="C8648" s="83">
        <v>46146</v>
      </c>
      <c r="D8648" t="s">
        <v>310</v>
      </c>
      <c r="E8648" t="s">
        <v>126</v>
      </c>
      <c r="F8648">
        <v>8</v>
      </c>
      <c r="G8648">
        <v>13.0238</v>
      </c>
    </row>
    <row r="8649" spans="1:7" x14ac:dyDescent="0.35">
      <c r="A8649" t="s">
        <v>847</v>
      </c>
      <c r="B8649" t="s">
        <v>691</v>
      </c>
      <c r="C8649" s="83">
        <v>46146</v>
      </c>
      <c r="D8649" t="s">
        <v>310</v>
      </c>
      <c r="E8649" t="s">
        <v>312</v>
      </c>
      <c r="F8649">
        <v>5</v>
      </c>
      <c r="G8649">
        <v>14.984450000000001</v>
      </c>
    </row>
    <row r="8650" spans="1:7" x14ac:dyDescent="0.35">
      <c r="A8650" t="s">
        <v>847</v>
      </c>
      <c r="B8650" t="s">
        <v>691</v>
      </c>
      <c r="C8650" s="83">
        <v>46146</v>
      </c>
      <c r="D8650" t="s">
        <v>313</v>
      </c>
      <c r="E8650" t="s">
        <v>126</v>
      </c>
      <c r="F8650">
        <v>6</v>
      </c>
      <c r="G8650">
        <v>8.1408166666666695</v>
      </c>
    </row>
    <row r="8651" spans="1:7" x14ac:dyDescent="0.35">
      <c r="A8651" t="s">
        <v>847</v>
      </c>
      <c r="B8651" t="s">
        <v>691</v>
      </c>
      <c r="C8651" s="83">
        <v>46146</v>
      </c>
      <c r="D8651" t="s">
        <v>313</v>
      </c>
      <c r="E8651" t="s">
        <v>311</v>
      </c>
      <c r="F8651">
        <v>5</v>
      </c>
      <c r="G8651">
        <v>2.6397499999999998</v>
      </c>
    </row>
    <row r="8652" spans="1:7" x14ac:dyDescent="0.35">
      <c r="A8652" t="s">
        <v>847</v>
      </c>
      <c r="B8652" t="s">
        <v>691</v>
      </c>
      <c r="C8652" s="83">
        <v>46146</v>
      </c>
      <c r="D8652" t="s">
        <v>313</v>
      </c>
      <c r="E8652" t="s">
        <v>312</v>
      </c>
      <c r="F8652">
        <v>4</v>
      </c>
      <c r="G8652">
        <v>9.6278166666666696</v>
      </c>
    </row>
    <row r="8653" spans="1:7" x14ac:dyDescent="0.35">
      <c r="A8653" t="s">
        <v>847</v>
      </c>
      <c r="B8653" t="s">
        <v>691</v>
      </c>
      <c r="C8653" s="83">
        <v>46146</v>
      </c>
      <c r="D8653" t="s">
        <v>314</v>
      </c>
      <c r="E8653" t="s">
        <v>312</v>
      </c>
      <c r="F8653">
        <v>5</v>
      </c>
      <c r="G8653">
        <v>2.0795499999999998</v>
      </c>
    </row>
    <row r="8654" spans="1:7" x14ac:dyDescent="0.35">
      <c r="A8654" t="s">
        <v>847</v>
      </c>
      <c r="B8654" t="s">
        <v>691</v>
      </c>
      <c r="C8654" s="83">
        <v>46146</v>
      </c>
      <c r="D8654" t="s">
        <v>314</v>
      </c>
      <c r="E8654" t="s">
        <v>322</v>
      </c>
      <c r="F8654">
        <v>2</v>
      </c>
      <c r="G8654">
        <v>2.09145</v>
      </c>
    </row>
    <row r="8655" spans="1:7" x14ac:dyDescent="0.35">
      <c r="A8655" t="s">
        <v>847</v>
      </c>
      <c r="B8655" t="s">
        <v>691</v>
      </c>
      <c r="C8655" s="83">
        <v>46146</v>
      </c>
      <c r="D8655" t="s">
        <v>314</v>
      </c>
      <c r="E8655" t="s">
        <v>770</v>
      </c>
      <c r="F8655">
        <v>2</v>
      </c>
      <c r="G8655">
        <v>3.22196666666667</v>
      </c>
    </row>
    <row r="8656" spans="1:7" x14ac:dyDescent="0.35">
      <c r="A8656" t="s">
        <v>847</v>
      </c>
      <c r="B8656" t="s">
        <v>691</v>
      </c>
      <c r="C8656" s="83">
        <v>46146</v>
      </c>
      <c r="D8656" t="s">
        <v>317</v>
      </c>
      <c r="E8656" t="s">
        <v>318</v>
      </c>
      <c r="F8656">
        <v>2</v>
      </c>
      <c r="G8656">
        <v>8.6186166666666697</v>
      </c>
    </row>
    <row r="8657" spans="1:7" x14ac:dyDescent="0.35">
      <c r="A8657" t="s">
        <v>847</v>
      </c>
      <c r="B8657" t="s">
        <v>691</v>
      </c>
      <c r="C8657" s="83">
        <v>46146</v>
      </c>
      <c r="D8657" t="s">
        <v>317</v>
      </c>
      <c r="E8657" t="s">
        <v>339</v>
      </c>
      <c r="F8657">
        <v>2</v>
      </c>
      <c r="G8657">
        <v>0.98663333333333303</v>
      </c>
    </row>
    <row r="8658" spans="1:7" x14ac:dyDescent="0.35">
      <c r="A8658" t="s">
        <v>847</v>
      </c>
      <c r="B8658" t="s">
        <v>691</v>
      </c>
      <c r="C8658" s="83">
        <v>46147</v>
      </c>
      <c r="D8658" t="s">
        <v>295</v>
      </c>
      <c r="E8658" t="s">
        <v>296</v>
      </c>
      <c r="F8658">
        <v>71</v>
      </c>
      <c r="G8658">
        <v>22.154583333333299</v>
      </c>
    </row>
    <row r="8659" spans="1:7" x14ac:dyDescent="0.35">
      <c r="A8659" t="s">
        <v>847</v>
      </c>
      <c r="B8659" t="s">
        <v>691</v>
      </c>
      <c r="C8659" s="83">
        <v>46147</v>
      </c>
      <c r="D8659" t="s">
        <v>299</v>
      </c>
      <c r="E8659" t="s">
        <v>296</v>
      </c>
      <c r="F8659">
        <v>81</v>
      </c>
      <c r="G8659">
        <v>31.7076833333333</v>
      </c>
    </row>
    <row r="8660" spans="1:7" x14ac:dyDescent="0.35">
      <c r="A8660" t="s">
        <v>847</v>
      </c>
      <c r="B8660" t="s">
        <v>691</v>
      </c>
      <c r="C8660" s="83">
        <v>46147</v>
      </c>
      <c r="D8660" t="s">
        <v>301</v>
      </c>
      <c r="E8660" t="s">
        <v>302</v>
      </c>
      <c r="F8660">
        <v>18</v>
      </c>
      <c r="G8660">
        <v>10.0650333333333</v>
      </c>
    </row>
    <row r="8661" spans="1:7" x14ac:dyDescent="0.35">
      <c r="A8661" t="s">
        <v>847</v>
      </c>
      <c r="B8661" t="s">
        <v>691</v>
      </c>
      <c r="C8661" s="83">
        <v>46147</v>
      </c>
      <c r="D8661" t="s">
        <v>310</v>
      </c>
      <c r="E8661" t="s">
        <v>311</v>
      </c>
      <c r="F8661">
        <v>9</v>
      </c>
      <c r="G8661">
        <v>15.306483333333301</v>
      </c>
    </row>
    <row r="8662" spans="1:7" x14ac:dyDescent="0.35">
      <c r="A8662" t="s">
        <v>847</v>
      </c>
      <c r="B8662" t="s">
        <v>691</v>
      </c>
      <c r="C8662" s="83">
        <v>46147</v>
      </c>
      <c r="D8662" t="s">
        <v>310</v>
      </c>
      <c r="E8662" t="s">
        <v>321</v>
      </c>
      <c r="F8662">
        <v>4</v>
      </c>
      <c r="G8662">
        <v>2.1502166666666702</v>
      </c>
    </row>
    <row r="8663" spans="1:7" x14ac:dyDescent="0.35">
      <c r="A8663" t="s">
        <v>847</v>
      </c>
      <c r="B8663" t="s">
        <v>691</v>
      </c>
      <c r="C8663" s="83">
        <v>46147</v>
      </c>
      <c r="D8663" t="s">
        <v>310</v>
      </c>
      <c r="E8663" t="s">
        <v>826</v>
      </c>
      <c r="F8663">
        <v>3</v>
      </c>
      <c r="G8663">
        <v>0.50446666666666695</v>
      </c>
    </row>
    <row r="8664" spans="1:7" x14ac:dyDescent="0.35">
      <c r="A8664" t="s">
        <v>847</v>
      </c>
      <c r="B8664" t="s">
        <v>691</v>
      </c>
      <c r="C8664" s="83">
        <v>46147</v>
      </c>
      <c r="D8664" t="s">
        <v>313</v>
      </c>
      <c r="E8664" t="s">
        <v>311</v>
      </c>
      <c r="F8664">
        <v>19</v>
      </c>
      <c r="G8664">
        <v>23.0203666666667</v>
      </c>
    </row>
    <row r="8665" spans="1:7" x14ac:dyDescent="0.35">
      <c r="A8665" t="s">
        <v>847</v>
      </c>
      <c r="B8665" t="s">
        <v>691</v>
      </c>
      <c r="C8665" s="83">
        <v>46147</v>
      </c>
      <c r="D8665" t="s">
        <v>313</v>
      </c>
      <c r="E8665" t="s">
        <v>126</v>
      </c>
      <c r="F8665">
        <v>7</v>
      </c>
      <c r="G8665">
        <v>12.8220166666667</v>
      </c>
    </row>
    <row r="8666" spans="1:7" x14ac:dyDescent="0.35">
      <c r="A8666" t="s">
        <v>847</v>
      </c>
      <c r="B8666" t="s">
        <v>691</v>
      </c>
      <c r="C8666" s="83">
        <v>46147</v>
      </c>
      <c r="D8666" t="s">
        <v>313</v>
      </c>
      <c r="E8666" t="s">
        <v>347</v>
      </c>
      <c r="F8666">
        <v>5</v>
      </c>
      <c r="G8666">
        <v>2.0128666666666701</v>
      </c>
    </row>
    <row r="8667" spans="1:7" x14ac:dyDescent="0.35">
      <c r="A8667" t="s">
        <v>847</v>
      </c>
      <c r="B8667" t="s">
        <v>691</v>
      </c>
      <c r="C8667" s="83">
        <v>46147</v>
      </c>
      <c r="D8667" t="s">
        <v>314</v>
      </c>
      <c r="E8667" t="s">
        <v>126</v>
      </c>
      <c r="F8667">
        <v>4</v>
      </c>
      <c r="G8667">
        <v>9.8742833333333309</v>
      </c>
    </row>
    <row r="8668" spans="1:7" x14ac:dyDescent="0.35">
      <c r="A8668" t="s">
        <v>847</v>
      </c>
      <c r="B8668" t="s">
        <v>691</v>
      </c>
      <c r="C8668" s="83">
        <v>46147</v>
      </c>
      <c r="D8668" t="s">
        <v>314</v>
      </c>
      <c r="E8668" t="s">
        <v>827</v>
      </c>
      <c r="F8668">
        <v>3</v>
      </c>
      <c r="G8668">
        <v>1.6886333333333301</v>
      </c>
    </row>
    <row r="8669" spans="1:7" x14ac:dyDescent="0.35">
      <c r="A8669" t="s">
        <v>847</v>
      </c>
      <c r="B8669" t="s">
        <v>691</v>
      </c>
      <c r="C8669" s="83">
        <v>46147</v>
      </c>
      <c r="D8669" t="s">
        <v>314</v>
      </c>
      <c r="E8669" t="s">
        <v>311</v>
      </c>
      <c r="F8669">
        <v>3</v>
      </c>
      <c r="G8669">
        <v>19.8108166666667</v>
      </c>
    </row>
    <row r="8670" spans="1:7" x14ac:dyDescent="0.35">
      <c r="A8670" t="s">
        <v>847</v>
      </c>
      <c r="B8670" t="s">
        <v>691</v>
      </c>
      <c r="C8670" s="83">
        <v>46147</v>
      </c>
      <c r="D8670" t="s">
        <v>317</v>
      </c>
      <c r="E8670" t="s">
        <v>318</v>
      </c>
      <c r="F8670">
        <v>3</v>
      </c>
      <c r="G8670">
        <v>19.551116666666701</v>
      </c>
    </row>
    <row r="8671" spans="1:7" x14ac:dyDescent="0.35">
      <c r="A8671" t="s">
        <v>847</v>
      </c>
      <c r="B8671" t="s">
        <v>691</v>
      </c>
      <c r="C8671" s="83">
        <v>46147</v>
      </c>
      <c r="D8671" t="s">
        <v>317</v>
      </c>
      <c r="E8671" t="s">
        <v>339</v>
      </c>
      <c r="F8671">
        <v>3</v>
      </c>
      <c r="G8671">
        <v>76.698916666666705</v>
      </c>
    </row>
    <row r="8672" spans="1:7" x14ac:dyDescent="0.35">
      <c r="A8672" t="s">
        <v>847</v>
      </c>
      <c r="B8672" t="s">
        <v>691</v>
      </c>
      <c r="C8672" s="83">
        <v>46147</v>
      </c>
      <c r="D8672" t="s">
        <v>317</v>
      </c>
      <c r="E8672" t="s">
        <v>322</v>
      </c>
      <c r="F8672">
        <v>2</v>
      </c>
      <c r="G8672">
        <v>1.65208333333333</v>
      </c>
    </row>
    <row r="8673" spans="1:7" x14ac:dyDescent="0.35">
      <c r="A8673" t="s">
        <v>847</v>
      </c>
      <c r="B8673" t="s">
        <v>691</v>
      </c>
      <c r="C8673" s="83">
        <v>46148</v>
      </c>
      <c r="D8673" t="s">
        <v>295</v>
      </c>
      <c r="E8673" t="s">
        <v>296</v>
      </c>
      <c r="F8673">
        <v>64</v>
      </c>
      <c r="G8673">
        <v>29.625299999999999</v>
      </c>
    </row>
    <row r="8674" spans="1:7" x14ac:dyDescent="0.35">
      <c r="A8674" t="s">
        <v>847</v>
      </c>
      <c r="B8674" t="s">
        <v>691</v>
      </c>
      <c r="C8674" s="83">
        <v>46148</v>
      </c>
      <c r="D8674" t="s">
        <v>299</v>
      </c>
      <c r="E8674" t="s">
        <v>296</v>
      </c>
      <c r="F8674">
        <v>61</v>
      </c>
      <c r="G8674">
        <v>38.940583333333301</v>
      </c>
    </row>
    <row r="8675" spans="1:7" x14ac:dyDescent="0.35">
      <c r="A8675" t="s">
        <v>847</v>
      </c>
      <c r="B8675" t="s">
        <v>691</v>
      </c>
      <c r="C8675" s="83">
        <v>46148</v>
      </c>
      <c r="D8675" t="s">
        <v>301</v>
      </c>
      <c r="E8675" t="s">
        <v>302</v>
      </c>
      <c r="F8675">
        <v>21</v>
      </c>
      <c r="G8675">
        <v>9.2001833333333298</v>
      </c>
    </row>
    <row r="8676" spans="1:7" x14ac:dyDescent="0.35">
      <c r="A8676" t="s">
        <v>847</v>
      </c>
      <c r="B8676" t="s">
        <v>691</v>
      </c>
      <c r="C8676" s="83">
        <v>46148</v>
      </c>
      <c r="D8676" t="s">
        <v>309</v>
      </c>
      <c r="E8676" t="s">
        <v>344</v>
      </c>
      <c r="F8676">
        <v>58</v>
      </c>
      <c r="G8676">
        <v>38.618683333333301</v>
      </c>
    </row>
    <row r="8677" spans="1:7" x14ac:dyDescent="0.35">
      <c r="A8677" t="s">
        <v>847</v>
      </c>
      <c r="B8677" t="s">
        <v>691</v>
      </c>
      <c r="C8677" s="83">
        <v>46148</v>
      </c>
      <c r="D8677" t="s">
        <v>310</v>
      </c>
      <c r="E8677" t="s">
        <v>333</v>
      </c>
      <c r="F8677">
        <v>3</v>
      </c>
      <c r="G8677">
        <v>1.52761666666667</v>
      </c>
    </row>
    <row r="8678" spans="1:7" x14ac:dyDescent="0.35">
      <c r="A8678" t="s">
        <v>847</v>
      </c>
      <c r="B8678" t="s">
        <v>691</v>
      </c>
      <c r="C8678" s="83">
        <v>46148</v>
      </c>
      <c r="D8678" t="s">
        <v>310</v>
      </c>
      <c r="E8678" t="s">
        <v>347</v>
      </c>
      <c r="F8678">
        <v>3</v>
      </c>
      <c r="G8678">
        <v>1.02643333333333</v>
      </c>
    </row>
    <row r="8679" spans="1:7" x14ac:dyDescent="0.35">
      <c r="A8679" t="s">
        <v>847</v>
      </c>
      <c r="B8679" t="s">
        <v>691</v>
      </c>
      <c r="C8679" s="83">
        <v>46148</v>
      </c>
      <c r="D8679" t="s">
        <v>310</v>
      </c>
      <c r="E8679" t="s">
        <v>311</v>
      </c>
      <c r="F8679">
        <v>3</v>
      </c>
      <c r="G8679">
        <v>1.6045499999999999</v>
      </c>
    </row>
    <row r="8680" spans="1:7" x14ac:dyDescent="0.35">
      <c r="A8680" t="s">
        <v>847</v>
      </c>
      <c r="B8680" t="s">
        <v>691</v>
      </c>
      <c r="C8680" s="83">
        <v>46148</v>
      </c>
      <c r="D8680" t="s">
        <v>313</v>
      </c>
      <c r="E8680" t="s">
        <v>311</v>
      </c>
      <c r="F8680">
        <v>10</v>
      </c>
      <c r="G8680">
        <v>6.4982166666666696</v>
      </c>
    </row>
    <row r="8681" spans="1:7" x14ac:dyDescent="0.35">
      <c r="A8681" t="s">
        <v>847</v>
      </c>
      <c r="B8681" t="s">
        <v>691</v>
      </c>
      <c r="C8681" s="83">
        <v>46148</v>
      </c>
      <c r="D8681" t="s">
        <v>313</v>
      </c>
      <c r="E8681" t="s">
        <v>126</v>
      </c>
      <c r="F8681">
        <v>10</v>
      </c>
      <c r="G8681">
        <v>15.488099999999999</v>
      </c>
    </row>
    <row r="8682" spans="1:7" x14ac:dyDescent="0.35">
      <c r="A8682" t="s">
        <v>847</v>
      </c>
      <c r="B8682" t="s">
        <v>691</v>
      </c>
      <c r="C8682" s="83">
        <v>46148</v>
      </c>
      <c r="D8682" t="s">
        <v>313</v>
      </c>
      <c r="E8682" t="s">
        <v>312</v>
      </c>
      <c r="F8682">
        <v>8</v>
      </c>
      <c r="G8682">
        <v>5.7537500000000001</v>
      </c>
    </row>
    <row r="8683" spans="1:7" x14ac:dyDescent="0.35">
      <c r="A8683" t="s">
        <v>847</v>
      </c>
      <c r="B8683" t="s">
        <v>691</v>
      </c>
      <c r="C8683" s="83">
        <v>46148</v>
      </c>
      <c r="D8683" t="s">
        <v>314</v>
      </c>
      <c r="E8683" t="s">
        <v>312</v>
      </c>
      <c r="F8683">
        <v>3</v>
      </c>
      <c r="G8683">
        <v>0.79044999999999999</v>
      </c>
    </row>
    <row r="8684" spans="1:7" x14ac:dyDescent="0.35">
      <c r="A8684" t="s">
        <v>847</v>
      </c>
      <c r="B8684" t="s">
        <v>691</v>
      </c>
      <c r="C8684" s="83">
        <v>46148</v>
      </c>
      <c r="D8684" t="s">
        <v>314</v>
      </c>
      <c r="E8684" t="s">
        <v>321</v>
      </c>
      <c r="F8684">
        <v>2</v>
      </c>
      <c r="G8684">
        <v>0.24506666666666699</v>
      </c>
    </row>
    <row r="8685" spans="1:7" x14ac:dyDescent="0.35">
      <c r="A8685" t="s">
        <v>847</v>
      </c>
      <c r="B8685" t="s">
        <v>691</v>
      </c>
      <c r="C8685" s="83">
        <v>46148</v>
      </c>
      <c r="D8685" t="s">
        <v>314</v>
      </c>
      <c r="E8685" t="s">
        <v>778</v>
      </c>
      <c r="F8685">
        <v>2</v>
      </c>
      <c r="G8685">
        <v>0.23971666666666699</v>
      </c>
    </row>
    <row r="8686" spans="1:7" x14ac:dyDescent="0.35">
      <c r="A8686" t="s">
        <v>847</v>
      </c>
      <c r="B8686" t="s">
        <v>691</v>
      </c>
      <c r="C8686" s="83">
        <v>46149</v>
      </c>
      <c r="D8686" t="s">
        <v>295</v>
      </c>
      <c r="E8686" t="s">
        <v>296</v>
      </c>
      <c r="F8686">
        <v>45</v>
      </c>
      <c r="G8686">
        <v>23.521066666666702</v>
      </c>
    </row>
    <row r="8687" spans="1:7" x14ac:dyDescent="0.35">
      <c r="A8687" t="s">
        <v>847</v>
      </c>
      <c r="B8687" t="s">
        <v>691</v>
      </c>
      <c r="C8687" s="83">
        <v>46149</v>
      </c>
      <c r="D8687" t="s">
        <v>295</v>
      </c>
      <c r="E8687" t="s">
        <v>302</v>
      </c>
      <c r="F8687">
        <v>11</v>
      </c>
      <c r="G8687">
        <v>5.0684333333333296</v>
      </c>
    </row>
    <row r="8688" spans="1:7" x14ac:dyDescent="0.35">
      <c r="A8688" t="s">
        <v>847</v>
      </c>
      <c r="B8688" t="s">
        <v>691</v>
      </c>
      <c r="C8688" s="83">
        <v>46149</v>
      </c>
      <c r="D8688" t="s">
        <v>299</v>
      </c>
      <c r="E8688" t="s">
        <v>296</v>
      </c>
      <c r="F8688">
        <v>45</v>
      </c>
      <c r="G8688">
        <v>23.222449999999998</v>
      </c>
    </row>
    <row r="8689" spans="1:7" x14ac:dyDescent="0.35">
      <c r="A8689" t="s">
        <v>847</v>
      </c>
      <c r="B8689" t="s">
        <v>691</v>
      </c>
      <c r="C8689" s="83">
        <v>46149</v>
      </c>
      <c r="D8689" t="s">
        <v>310</v>
      </c>
      <c r="E8689" t="s">
        <v>126</v>
      </c>
      <c r="F8689">
        <v>5</v>
      </c>
      <c r="G8689">
        <v>6.4341333333333299</v>
      </c>
    </row>
    <row r="8690" spans="1:7" x14ac:dyDescent="0.35">
      <c r="A8690" t="s">
        <v>847</v>
      </c>
      <c r="B8690" t="s">
        <v>691</v>
      </c>
      <c r="C8690" s="83">
        <v>46149</v>
      </c>
      <c r="D8690" t="s">
        <v>310</v>
      </c>
      <c r="E8690" t="s">
        <v>311</v>
      </c>
      <c r="F8690">
        <v>4</v>
      </c>
      <c r="G8690">
        <v>2.4953166666666702</v>
      </c>
    </row>
    <row r="8691" spans="1:7" x14ac:dyDescent="0.35">
      <c r="A8691" t="s">
        <v>847</v>
      </c>
      <c r="B8691" t="s">
        <v>691</v>
      </c>
      <c r="C8691" s="83">
        <v>46149</v>
      </c>
      <c r="D8691" t="s">
        <v>310</v>
      </c>
      <c r="E8691" t="s">
        <v>312</v>
      </c>
      <c r="F8691">
        <v>3</v>
      </c>
      <c r="G8691">
        <v>110.669316666667</v>
      </c>
    </row>
    <row r="8692" spans="1:7" x14ac:dyDescent="0.35">
      <c r="A8692" t="s">
        <v>847</v>
      </c>
      <c r="B8692" t="s">
        <v>691</v>
      </c>
      <c r="C8692" s="83">
        <v>46149</v>
      </c>
      <c r="D8692" t="s">
        <v>313</v>
      </c>
      <c r="E8692" t="s">
        <v>312</v>
      </c>
      <c r="F8692">
        <v>5</v>
      </c>
      <c r="G8692">
        <v>3.2536166666666699</v>
      </c>
    </row>
    <row r="8693" spans="1:7" x14ac:dyDescent="0.35">
      <c r="A8693" t="s">
        <v>847</v>
      </c>
      <c r="B8693" t="s">
        <v>691</v>
      </c>
      <c r="C8693" s="83">
        <v>46149</v>
      </c>
      <c r="D8693" t="s">
        <v>313</v>
      </c>
      <c r="E8693" t="s">
        <v>347</v>
      </c>
      <c r="F8693">
        <v>3</v>
      </c>
      <c r="G8693">
        <v>2.0144333333333302</v>
      </c>
    </row>
    <row r="8694" spans="1:7" x14ac:dyDescent="0.35">
      <c r="A8694" t="s">
        <v>847</v>
      </c>
      <c r="B8694" t="s">
        <v>691</v>
      </c>
      <c r="C8694" s="83">
        <v>46149</v>
      </c>
      <c r="D8694" t="s">
        <v>313</v>
      </c>
      <c r="E8694" t="s">
        <v>322</v>
      </c>
      <c r="F8694">
        <v>3</v>
      </c>
      <c r="G8694">
        <v>1.7961166666666699</v>
      </c>
    </row>
    <row r="8695" spans="1:7" x14ac:dyDescent="0.35">
      <c r="A8695" t="s">
        <v>847</v>
      </c>
      <c r="B8695" t="s">
        <v>691</v>
      </c>
      <c r="C8695" s="83">
        <v>46149</v>
      </c>
      <c r="D8695" t="s">
        <v>314</v>
      </c>
      <c r="E8695" t="s">
        <v>126</v>
      </c>
      <c r="F8695">
        <v>7</v>
      </c>
      <c r="G8695">
        <v>17.365449999999999</v>
      </c>
    </row>
    <row r="8696" spans="1:7" x14ac:dyDescent="0.35">
      <c r="A8696" t="s">
        <v>847</v>
      </c>
      <c r="B8696" t="s">
        <v>691</v>
      </c>
      <c r="C8696" s="83">
        <v>46149</v>
      </c>
      <c r="D8696" t="s">
        <v>314</v>
      </c>
      <c r="E8696" t="s">
        <v>734</v>
      </c>
      <c r="F8696">
        <v>2</v>
      </c>
      <c r="G8696">
        <v>0.30185000000000001</v>
      </c>
    </row>
    <row r="8697" spans="1:7" x14ac:dyDescent="0.35">
      <c r="A8697" t="s">
        <v>847</v>
      </c>
      <c r="B8697" t="s">
        <v>691</v>
      </c>
      <c r="C8697" s="83">
        <v>46149</v>
      </c>
      <c r="D8697" t="s">
        <v>314</v>
      </c>
      <c r="E8697" t="s">
        <v>772</v>
      </c>
      <c r="F8697">
        <v>2</v>
      </c>
      <c r="G8697">
        <v>0.49911666666666699</v>
      </c>
    </row>
    <row r="8698" spans="1:7" x14ac:dyDescent="0.35">
      <c r="A8698" t="s">
        <v>847</v>
      </c>
      <c r="B8698" t="s">
        <v>691</v>
      </c>
      <c r="C8698" s="83">
        <v>46149</v>
      </c>
      <c r="D8698" t="s">
        <v>317</v>
      </c>
      <c r="E8698" t="s">
        <v>322</v>
      </c>
      <c r="F8698">
        <v>3</v>
      </c>
      <c r="G8698">
        <v>0.74138333333333295</v>
      </c>
    </row>
    <row r="8699" spans="1:7" x14ac:dyDescent="0.35">
      <c r="A8699" t="s">
        <v>847</v>
      </c>
      <c r="B8699" t="s">
        <v>691</v>
      </c>
      <c r="C8699" s="83">
        <v>46149</v>
      </c>
      <c r="D8699" t="s">
        <v>317</v>
      </c>
      <c r="E8699" t="s">
        <v>725</v>
      </c>
      <c r="F8699">
        <v>2</v>
      </c>
      <c r="G8699">
        <v>0.32023333333333298</v>
      </c>
    </row>
    <row r="8700" spans="1:7" x14ac:dyDescent="0.35">
      <c r="A8700" t="s">
        <v>847</v>
      </c>
      <c r="B8700" t="s">
        <v>691</v>
      </c>
      <c r="C8700" s="83">
        <v>46149</v>
      </c>
      <c r="D8700" t="s">
        <v>317</v>
      </c>
      <c r="E8700" t="s">
        <v>323</v>
      </c>
      <c r="F8700">
        <v>2</v>
      </c>
      <c r="G8700">
        <v>0.494966666666667</v>
      </c>
    </row>
    <row r="8701" spans="1:7" x14ac:dyDescent="0.35">
      <c r="A8701" t="s">
        <v>847</v>
      </c>
      <c r="B8701" t="s">
        <v>691</v>
      </c>
      <c r="C8701" s="83">
        <v>46150</v>
      </c>
      <c r="D8701" t="s">
        <v>295</v>
      </c>
      <c r="E8701" t="s">
        <v>296</v>
      </c>
      <c r="F8701">
        <v>47</v>
      </c>
      <c r="G8701">
        <v>26.313316666666701</v>
      </c>
    </row>
    <row r="8702" spans="1:7" x14ac:dyDescent="0.35">
      <c r="A8702" t="s">
        <v>847</v>
      </c>
      <c r="B8702" t="s">
        <v>691</v>
      </c>
      <c r="C8702" s="83">
        <v>46150</v>
      </c>
      <c r="D8702" t="s">
        <v>295</v>
      </c>
      <c r="E8702" t="s">
        <v>302</v>
      </c>
      <c r="F8702">
        <v>14</v>
      </c>
      <c r="G8702">
        <v>5.2151333333333296</v>
      </c>
    </row>
    <row r="8703" spans="1:7" x14ac:dyDescent="0.35">
      <c r="A8703" t="s">
        <v>847</v>
      </c>
      <c r="B8703" t="s">
        <v>691</v>
      </c>
      <c r="C8703" s="83">
        <v>46150</v>
      </c>
      <c r="D8703" t="s">
        <v>299</v>
      </c>
      <c r="E8703" t="s">
        <v>296</v>
      </c>
      <c r="F8703">
        <v>41</v>
      </c>
      <c r="G8703">
        <v>22.428066666666702</v>
      </c>
    </row>
    <row r="8704" spans="1:7" x14ac:dyDescent="0.35">
      <c r="A8704" t="s">
        <v>847</v>
      </c>
      <c r="B8704" t="s">
        <v>691</v>
      </c>
      <c r="C8704" s="83">
        <v>46150</v>
      </c>
      <c r="D8704" t="s">
        <v>310</v>
      </c>
      <c r="E8704" t="s">
        <v>311</v>
      </c>
      <c r="F8704">
        <v>5</v>
      </c>
      <c r="G8704">
        <v>2.3861500000000002</v>
      </c>
    </row>
    <row r="8705" spans="1:7" x14ac:dyDescent="0.35">
      <c r="A8705" t="s">
        <v>847</v>
      </c>
      <c r="B8705" t="s">
        <v>691</v>
      </c>
      <c r="C8705" s="83">
        <v>46150</v>
      </c>
      <c r="D8705" t="s">
        <v>310</v>
      </c>
      <c r="E8705" t="s">
        <v>321</v>
      </c>
      <c r="F8705">
        <v>3</v>
      </c>
      <c r="G8705">
        <v>1.97173333333333</v>
      </c>
    </row>
    <row r="8706" spans="1:7" x14ac:dyDescent="0.35">
      <c r="A8706" t="s">
        <v>847</v>
      </c>
      <c r="B8706" t="s">
        <v>691</v>
      </c>
      <c r="C8706" s="83">
        <v>46150</v>
      </c>
      <c r="D8706" t="s">
        <v>310</v>
      </c>
      <c r="E8706" t="s">
        <v>126</v>
      </c>
      <c r="F8706">
        <v>3</v>
      </c>
      <c r="G8706">
        <v>1.63978333333333</v>
      </c>
    </row>
    <row r="8707" spans="1:7" x14ac:dyDescent="0.35">
      <c r="A8707" t="s">
        <v>847</v>
      </c>
      <c r="B8707" t="s">
        <v>691</v>
      </c>
      <c r="C8707" s="83">
        <v>46150</v>
      </c>
      <c r="D8707" t="s">
        <v>313</v>
      </c>
      <c r="E8707" t="s">
        <v>312</v>
      </c>
      <c r="F8707">
        <v>18</v>
      </c>
      <c r="G8707">
        <v>11.775966666666701</v>
      </c>
    </row>
    <row r="8708" spans="1:7" x14ac:dyDescent="0.35">
      <c r="A8708" t="s">
        <v>847</v>
      </c>
      <c r="B8708" t="s">
        <v>691</v>
      </c>
      <c r="C8708" s="83">
        <v>46150</v>
      </c>
      <c r="D8708" t="s">
        <v>313</v>
      </c>
      <c r="E8708" t="s">
        <v>322</v>
      </c>
      <c r="F8708">
        <v>8</v>
      </c>
      <c r="G8708">
        <v>7.7454666666666698</v>
      </c>
    </row>
    <row r="8709" spans="1:7" x14ac:dyDescent="0.35">
      <c r="A8709" t="s">
        <v>847</v>
      </c>
      <c r="B8709" t="s">
        <v>691</v>
      </c>
      <c r="C8709" s="83">
        <v>46150</v>
      </c>
      <c r="D8709" t="s">
        <v>313</v>
      </c>
      <c r="E8709" t="s">
        <v>126</v>
      </c>
      <c r="F8709">
        <v>6</v>
      </c>
      <c r="G8709">
        <v>11.543799999999999</v>
      </c>
    </row>
    <row r="8710" spans="1:7" x14ac:dyDescent="0.35">
      <c r="A8710" t="s">
        <v>847</v>
      </c>
      <c r="B8710" t="s">
        <v>691</v>
      </c>
      <c r="C8710" s="83">
        <v>46150</v>
      </c>
      <c r="D8710" t="s">
        <v>314</v>
      </c>
      <c r="E8710" t="s">
        <v>835</v>
      </c>
      <c r="F8710">
        <v>8</v>
      </c>
      <c r="G8710">
        <v>133.61406666666699</v>
      </c>
    </row>
    <row r="8711" spans="1:7" x14ac:dyDescent="0.35">
      <c r="A8711" t="s">
        <v>847</v>
      </c>
      <c r="B8711" t="s">
        <v>691</v>
      </c>
      <c r="C8711" s="83">
        <v>46150</v>
      </c>
      <c r="D8711" t="s">
        <v>314</v>
      </c>
      <c r="E8711" t="s">
        <v>312</v>
      </c>
      <c r="F8711">
        <v>4</v>
      </c>
      <c r="G8711">
        <v>0.98029999999999995</v>
      </c>
    </row>
    <row r="8712" spans="1:7" x14ac:dyDescent="0.35">
      <c r="A8712" t="s">
        <v>847</v>
      </c>
      <c r="B8712" t="s">
        <v>691</v>
      </c>
      <c r="C8712" s="83">
        <v>46150</v>
      </c>
      <c r="D8712" t="s">
        <v>314</v>
      </c>
      <c r="E8712" t="s">
        <v>126</v>
      </c>
      <c r="F8712">
        <v>3</v>
      </c>
      <c r="G8712">
        <v>47.920299999999997</v>
      </c>
    </row>
    <row r="8713" spans="1:7" x14ac:dyDescent="0.35">
      <c r="A8713" t="s">
        <v>847</v>
      </c>
      <c r="B8713" t="s">
        <v>691</v>
      </c>
      <c r="C8713" s="83">
        <v>46150</v>
      </c>
      <c r="D8713" t="s">
        <v>317</v>
      </c>
      <c r="E8713" t="s">
        <v>339</v>
      </c>
      <c r="F8713">
        <v>5</v>
      </c>
      <c r="G8713">
        <v>32.154733333333297</v>
      </c>
    </row>
    <row r="8714" spans="1:7" x14ac:dyDescent="0.35">
      <c r="A8714" t="s">
        <v>847</v>
      </c>
      <c r="B8714" t="s">
        <v>691</v>
      </c>
      <c r="C8714" s="83">
        <v>46150</v>
      </c>
      <c r="D8714" t="s">
        <v>317</v>
      </c>
      <c r="E8714" t="s">
        <v>725</v>
      </c>
      <c r="F8714">
        <v>2</v>
      </c>
      <c r="G8714">
        <v>0.25346666666666701</v>
      </c>
    </row>
    <row r="8715" spans="1:7" x14ac:dyDescent="0.35">
      <c r="A8715" t="s">
        <v>847</v>
      </c>
      <c r="B8715" t="s">
        <v>691</v>
      </c>
      <c r="C8715" s="83">
        <v>46150</v>
      </c>
      <c r="D8715" t="s">
        <v>317</v>
      </c>
      <c r="E8715" t="s">
        <v>319</v>
      </c>
      <c r="F8715">
        <v>2</v>
      </c>
      <c r="G8715">
        <v>1.2736499999999999</v>
      </c>
    </row>
    <row r="8716" spans="1:7" x14ac:dyDescent="0.35">
      <c r="A8716" t="s">
        <v>847</v>
      </c>
      <c r="B8716" t="s">
        <v>691</v>
      </c>
      <c r="C8716" s="83">
        <v>46151</v>
      </c>
      <c r="D8716" t="s">
        <v>295</v>
      </c>
      <c r="E8716" t="s">
        <v>296</v>
      </c>
      <c r="F8716">
        <v>55</v>
      </c>
      <c r="G8716">
        <v>27.5477666666667</v>
      </c>
    </row>
    <row r="8717" spans="1:7" x14ac:dyDescent="0.35">
      <c r="A8717" t="s">
        <v>847</v>
      </c>
      <c r="B8717" t="s">
        <v>691</v>
      </c>
      <c r="C8717" s="83">
        <v>46151</v>
      </c>
      <c r="D8717" t="s">
        <v>295</v>
      </c>
      <c r="E8717" t="s">
        <v>302</v>
      </c>
      <c r="F8717">
        <v>16</v>
      </c>
      <c r="G8717">
        <v>6.94586666666667</v>
      </c>
    </row>
    <row r="8718" spans="1:7" x14ac:dyDescent="0.35">
      <c r="A8718" t="s">
        <v>847</v>
      </c>
      <c r="B8718" t="s">
        <v>691</v>
      </c>
      <c r="C8718" s="83">
        <v>46151</v>
      </c>
      <c r="D8718" t="s">
        <v>299</v>
      </c>
      <c r="E8718" t="s">
        <v>296</v>
      </c>
      <c r="F8718">
        <v>54</v>
      </c>
      <c r="G8718">
        <v>35.649650000000001</v>
      </c>
    </row>
    <row r="8719" spans="1:7" x14ac:dyDescent="0.35">
      <c r="A8719" t="s">
        <v>847</v>
      </c>
      <c r="B8719" t="s">
        <v>691</v>
      </c>
      <c r="C8719" s="83">
        <v>46151</v>
      </c>
      <c r="D8719" t="s">
        <v>310</v>
      </c>
      <c r="E8719" t="s">
        <v>126</v>
      </c>
      <c r="F8719">
        <v>5</v>
      </c>
      <c r="G8719">
        <v>4.36208333333333</v>
      </c>
    </row>
    <row r="8720" spans="1:7" x14ac:dyDescent="0.35">
      <c r="A8720" t="s">
        <v>847</v>
      </c>
      <c r="B8720" t="s">
        <v>691</v>
      </c>
      <c r="C8720" s="83">
        <v>46151</v>
      </c>
      <c r="D8720" t="s">
        <v>310</v>
      </c>
      <c r="E8720" t="s">
        <v>333</v>
      </c>
      <c r="F8720">
        <v>3</v>
      </c>
      <c r="G8720">
        <v>77.789683333333301</v>
      </c>
    </row>
    <row r="8721" spans="1:7" x14ac:dyDescent="0.35">
      <c r="A8721" t="s">
        <v>847</v>
      </c>
      <c r="B8721" t="s">
        <v>691</v>
      </c>
      <c r="C8721" s="83">
        <v>46151</v>
      </c>
      <c r="D8721" t="s">
        <v>310</v>
      </c>
      <c r="E8721" t="s">
        <v>316</v>
      </c>
      <c r="F8721">
        <v>3</v>
      </c>
      <c r="G8721">
        <v>3.29193333333333</v>
      </c>
    </row>
    <row r="8722" spans="1:7" x14ac:dyDescent="0.35">
      <c r="A8722" t="s">
        <v>847</v>
      </c>
      <c r="B8722" t="s">
        <v>691</v>
      </c>
      <c r="C8722" s="83">
        <v>46151</v>
      </c>
      <c r="D8722" t="s">
        <v>313</v>
      </c>
      <c r="E8722" t="s">
        <v>311</v>
      </c>
      <c r="F8722">
        <v>4</v>
      </c>
      <c r="G8722">
        <v>2.6511666666666698</v>
      </c>
    </row>
    <row r="8723" spans="1:7" x14ac:dyDescent="0.35">
      <c r="A8723" t="s">
        <v>847</v>
      </c>
      <c r="B8723" t="s">
        <v>691</v>
      </c>
      <c r="C8723" s="83">
        <v>46151</v>
      </c>
      <c r="D8723" t="s">
        <v>313</v>
      </c>
      <c r="E8723" t="s">
        <v>316</v>
      </c>
      <c r="F8723">
        <v>4</v>
      </c>
      <c r="G8723">
        <v>2.97318333333333</v>
      </c>
    </row>
    <row r="8724" spans="1:7" x14ac:dyDescent="0.35">
      <c r="A8724" t="s">
        <v>847</v>
      </c>
      <c r="B8724" t="s">
        <v>691</v>
      </c>
      <c r="C8724" s="83">
        <v>46151</v>
      </c>
      <c r="D8724" t="s">
        <v>313</v>
      </c>
      <c r="E8724" t="s">
        <v>126</v>
      </c>
      <c r="F8724">
        <v>3</v>
      </c>
      <c r="G8724">
        <v>3.6963499999999998</v>
      </c>
    </row>
    <row r="8725" spans="1:7" x14ac:dyDescent="0.35">
      <c r="A8725" t="s">
        <v>847</v>
      </c>
      <c r="B8725" t="s">
        <v>691</v>
      </c>
      <c r="C8725" s="83">
        <v>46151</v>
      </c>
      <c r="D8725" t="s">
        <v>314</v>
      </c>
      <c r="E8725" t="s">
        <v>835</v>
      </c>
      <c r="F8725">
        <v>2</v>
      </c>
      <c r="G8725">
        <v>150.41466666666699</v>
      </c>
    </row>
    <row r="8726" spans="1:7" x14ac:dyDescent="0.35">
      <c r="A8726" t="s">
        <v>847</v>
      </c>
      <c r="B8726" t="s">
        <v>691</v>
      </c>
      <c r="C8726" s="83">
        <v>46151</v>
      </c>
      <c r="D8726" t="s">
        <v>314</v>
      </c>
      <c r="E8726" t="s">
        <v>311</v>
      </c>
      <c r="F8726">
        <v>1</v>
      </c>
      <c r="G8726">
        <v>5.54765</v>
      </c>
    </row>
    <row r="8727" spans="1:7" x14ac:dyDescent="0.35">
      <c r="A8727" t="s">
        <v>847</v>
      </c>
      <c r="B8727" t="s">
        <v>691</v>
      </c>
      <c r="C8727" s="83">
        <v>46151</v>
      </c>
      <c r="D8727" t="s">
        <v>317</v>
      </c>
      <c r="E8727" t="s">
        <v>322</v>
      </c>
      <c r="F8727">
        <v>4</v>
      </c>
      <c r="G8727">
        <v>9.5658666666666701</v>
      </c>
    </row>
    <row r="8728" spans="1:7" x14ac:dyDescent="0.35">
      <c r="A8728" t="s">
        <v>847</v>
      </c>
      <c r="B8728" t="s">
        <v>691</v>
      </c>
      <c r="C8728" s="83">
        <v>46151</v>
      </c>
      <c r="D8728" t="s">
        <v>317</v>
      </c>
      <c r="E8728" t="s">
        <v>319</v>
      </c>
      <c r="F8728">
        <v>2</v>
      </c>
      <c r="G8728">
        <v>0.169383333333333</v>
      </c>
    </row>
    <row r="8729" spans="1:7" x14ac:dyDescent="0.35">
      <c r="A8729" t="s">
        <v>847</v>
      </c>
      <c r="B8729" t="s">
        <v>691</v>
      </c>
      <c r="C8729" s="83">
        <v>46151</v>
      </c>
      <c r="D8729" t="s">
        <v>317</v>
      </c>
      <c r="E8729" t="s">
        <v>339</v>
      </c>
      <c r="F8729">
        <v>2</v>
      </c>
      <c r="G8729">
        <v>1.4146333333333301</v>
      </c>
    </row>
    <row r="8730" spans="1:7" x14ac:dyDescent="0.35">
      <c r="A8730" t="s">
        <v>847</v>
      </c>
      <c r="B8730" t="s">
        <v>691</v>
      </c>
      <c r="C8730" s="83">
        <v>46152</v>
      </c>
      <c r="D8730" t="s">
        <v>295</v>
      </c>
      <c r="E8730" t="s">
        <v>296</v>
      </c>
      <c r="F8730">
        <v>51</v>
      </c>
      <c r="G8730">
        <v>28.177533333333301</v>
      </c>
    </row>
    <row r="8731" spans="1:7" x14ac:dyDescent="0.35">
      <c r="A8731" t="s">
        <v>847</v>
      </c>
      <c r="B8731" t="s">
        <v>691</v>
      </c>
      <c r="C8731" s="83">
        <v>46152</v>
      </c>
      <c r="D8731" t="s">
        <v>299</v>
      </c>
      <c r="E8731" t="s">
        <v>296</v>
      </c>
      <c r="F8731">
        <v>66</v>
      </c>
      <c r="G8731">
        <v>35.866633333333297</v>
      </c>
    </row>
    <row r="8732" spans="1:7" x14ac:dyDescent="0.35">
      <c r="A8732" t="s">
        <v>847</v>
      </c>
      <c r="B8732" t="s">
        <v>691</v>
      </c>
      <c r="C8732" s="83">
        <v>46152</v>
      </c>
      <c r="D8732" t="s">
        <v>309</v>
      </c>
      <c r="E8732" t="s">
        <v>344</v>
      </c>
      <c r="F8732">
        <v>16</v>
      </c>
      <c r="G8732">
        <v>4.7612333333333297</v>
      </c>
    </row>
    <row r="8733" spans="1:7" x14ac:dyDescent="0.35">
      <c r="A8733" t="s">
        <v>847</v>
      </c>
      <c r="B8733" t="s">
        <v>691</v>
      </c>
      <c r="C8733" s="83">
        <v>46152</v>
      </c>
      <c r="D8733" t="s">
        <v>310</v>
      </c>
      <c r="E8733" t="s">
        <v>126</v>
      </c>
      <c r="F8733">
        <v>9</v>
      </c>
      <c r="G8733">
        <v>6.3009333333333304</v>
      </c>
    </row>
    <row r="8734" spans="1:7" x14ac:dyDescent="0.35">
      <c r="A8734" t="s">
        <v>847</v>
      </c>
      <c r="B8734" t="s">
        <v>691</v>
      </c>
      <c r="C8734" s="83">
        <v>46152</v>
      </c>
      <c r="D8734" t="s">
        <v>310</v>
      </c>
      <c r="E8734" t="s">
        <v>312</v>
      </c>
      <c r="F8734">
        <v>5</v>
      </c>
      <c r="G8734">
        <v>1.7135</v>
      </c>
    </row>
    <row r="8735" spans="1:7" x14ac:dyDescent="0.35">
      <c r="A8735" t="s">
        <v>847</v>
      </c>
      <c r="B8735" t="s">
        <v>691</v>
      </c>
      <c r="C8735" s="83">
        <v>46152</v>
      </c>
      <c r="D8735" t="s">
        <v>310</v>
      </c>
      <c r="E8735" t="s">
        <v>311</v>
      </c>
      <c r="F8735">
        <v>5</v>
      </c>
      <c r="G8735">
        <v>2.1341666666666699</v>
      </c>
    </row>
    <row r="8736" spans="1:7" x14ac:dyDescent="0.35">
      <c r="A8736" t="s">
        <v>847</v>
      </c>
      <c r="B8736" t="s">
        <v>691</v>
      </c>
      <c r="C8736" s="83">
        <v>46152</v>
      </c>
      <c r="D8736" t="s">
        <v>313</v>
      </c>
      <c r="E8736" t="s">
        <v>311</v>
      </c>
      <c r="F8736">
        <v>6</v>
      </c>
      <c r="G8736">
        <v>15.8042833333333</v>
      </c>
    </row>
    <row r="8737" spans="1:7" x14ac:dyDescent="0.35">
      <c r="A8737" t="s">
        <v>847</v>
      </c>
      <c r="B8737" t="s">
        <v>691</v>
      </c>
      <c r="C8737" s="83">
        <v>46152</v>
      </c>
      <c r="D8737" t="s">
        <v>313</v>
      </c>
      <c r="E8737" t="s">
        <v>126</v>
      </c>
      <c r="F8737">
        <v>2</v>
      </c>
      <c r="G8737">
        <v>3.8068</v>
      </c>
    </row>
    <row r="8738" spans="1:7" x14ac:dyDescent="0.35">
      <c r="A8738" t="s">
        <v>847</v>
      </c>
      <c r="B8738" t="s">
        <v>691</v>
      </c>
      <c r="C8738" s="83">
        <v>46152</v>
      </c>
      <c r="D8738" t="s">
        <v>313</v>
      </c>
      <c r="E8738" t="s">
        <v>347</v>
      </c>
      <c r="F8738">
        <v>2</v>
      </c>
      <c r="G8738">
        <v>0.77728333333333299</v>
      </c>
    </row>
    <row r="8739" spans="1:7" x14ac:dyDescent="0.35">
      <c r="A8739" t="s">
        <v>847</v>
      </c>
      <c r="B8739" t="s">
        <v>691</v>
      </c>
      <c r="C8739" s="83">
        <v>46152</v>
      </c>
      <c r="D8739" t="s">
        <v>314</v>
      </c>
      <c r="E8739" t="s">
        <v>126</v>
      </c>
      <c r="F8739">
        <v>8</v>
      </c>
      <c r="G8739">
        <v>18.485749999999999</v>
      </c>
    </row>
    <row r="8740" spans="1:7" x14ac:dyDescent="0.35">
      <c r="A8740" t="s">
        <v>847</v>
      </c>
      <c r="B8740" t="s">
        <v>691</v>
      </c>
      <c r="C8740" s="83">
        <v>46152</v>
      </c>
      <c r="D8740" t="s">
        <v>314</v>
      </c>
      <c r="E8740" t="s">
        <v>316</v>
      </c>
      <c r="F8740">
        <v>5</v>
      </c>
      <c r="G8740">
        <v>2.4704333333333302</v>
      </c>
    </row>
    <row r="8741" spans="1:7" x14ac:dyDescent="0.35">
      <c r="A8741" t="s">
        <v>847</v>
      </c>
      <c r="B8741" t="s">
        <v>691</v>
      </c>
      <c r="C8741" s="83">
        <v>46152</v>
      </c>
      <c r="D8741" t="s">
        <v>314</v>
      </c>
      <c r="E8741" t="s">
        <v>772</v>
      </c>
      <c r="F8741">
        <v>2</v>
      </c>
      <c r="G8741">
        <v>1.91458333333333</v>
      </c>
    </row>
    <row r="8742" spans="1:7" x14ac:dyDescent="0.35">
      <c r="A8742" t="s">
        <v>847</v>
      </c>
      <c r="B8742" t="s">
        <v>691</v>
      </c>
      <c r="C8742" s="83">
        <v>46153</v>
      </c>
      <c r="D8742" t="s">
        <v>295</v>
      </c>
      <c r="E8742" t="s">
        <v>296</v>
      </c>
      <c r="F8742">
        <v>46</v>
      </c>
      <c r="G8742">
        <v>19.9085</v>
      </c>
    </row>
    <row r="8743" spans="1:7" x14ac:dyDescent="0.35">
      <c r="A8743" t="s">
        <v>847</v>
      </c>
      <c r="B8743" t="s">
        <v>691</v>
      </c>
      <c r="C8743" s="83">
        <v>46153</v>
      </c>
      <c r="D8743" t="s">
        <v>299</v>
      </c>
      <c r="E8743" t="s">
        <v>296</v>
      </c>
      <c r="F8743">
        <v>36</v>
      </c>
      <c r="G8743">
        <v>12.663833333333301</v>
      </c>
    </row>
    <row r="8744" spans="1:7" x14ac:dyDescent="0.35">
      <c r="A8744" t="s">
        <v>847</v>
      </c>
      <c r="B8744" t="s">
        <v>691</v>
      </c>
      <c r="C8744" s="83">
        <v>46153</v>
      </c>
      <c r="D8744" t="s">
        <v>310</v>
      </c>
      <c r="E8744" t="s">
        <v>312</v>
      </c>
      <c r="F8744">
        <v>12</v>
      </c>
      <c r="G8744">
        <v>4.0214833333333297</v>
      </c>
    </row>
    <row r="8745" spans="1:7" x14ac:dyDescent="0.35">
      <c r="A8745" t="s">
        <v>847</v>
      </c>
      <c r="B8745" t="s">
        <v>691</v>
      </c>
      <c r="C8745" s="83">
        <v>46153</v>
      </c>
      <c r="D8745" t="s">
        <v>310</v>
      </c>
      <c r="E8745" t="s">
        <v>311</v>
      </c>
      <c r="F8745">
        <v>6</v>
      </c>
      <c r="G8745">
        <v>3.3666499999999999</v>
      </c>
    </row>
    <row r="8746" spans="1:7" x14ac:dyDescent="0.35">
      <c r="A8746" t="s">
        <v>847</v>
      </c>
      <c r="B8746" t="s">
        <v>691</v>
      </c>
      <c r="C8746" s="83">
        <v>46153</v>
      </c>
      <c r="D8746" t="s">
        <v>310</v>
      </c>
      <c r="E8746" t="s">
        <v>126</v>
      </c>
      <c r="F8746">
        <v>3</v>
      </c>
      <c r="G8746">
        <v>0.883083333333333</v>
      </c>
    </row>
    <row r="8747" spans="1:7" x14ac:dyDescent="0.35">
      <c r="A8747" t="s">
        <v>847</v>
      </c>
      <c r="B8747" t="s">
        <v>691</v>
      </c>
      <c r="C8747" s="83">
        <v>46153</v>
      </c>
      <c r="D8747" t="s">
        <v>313</v>
      </c>
      <c r="E8747" t="s">
        <v>311</v>
      </c>
      <c r="F8747">
        <v>2</v>
      </c>
      <c r="G8747">
        <v>2.9333</v>
      </c>
    </row>
    <row r="8748" spans="1:7" x14ac:dyDescent="0.35">
      <c r="A8748" t="s">
        <v>847</v>
      </c>
      <c r="B8748" t="s">
        <v>691</v>
      </c>
      <c r="C8748" s="83">
        <v>46153</v>
      </c>
      <c r="D8748" t="s">
        <v>313</v>
      </c>
      <c r="E8748" t="s">
        <v>837</v>
      </c>
      <c r="F8748">
        <v>2</v>
      </c>
      <c r="G8748">
        <v>132.47624999999999</v>
      </c>
    </row>
    <row r="8749" spans="1:7" x14ac:dyDescent="0.35">
      <c r="A8749" t="s">
        <v>847</v>
      </c>
      <c r="B8749" t="s">
        <v>691</v>
      </c>
      <c r="C8749" s="83">
        <v>46153</v>
      </c>
      <c r="D8749" t="s">
        <v>313</v>
      </c>
      <c r="E8749" t="s">
        <v>316</v>
      </c>
      <c r="F8749">
        <v>2</v>
      </c>
      <c r="G8749">
        <v>0.14355000000000001</v>
      </c>
    </row>
    <row r="8750" spans="1:7" x14ac:dyDescent="0.35">
      <c r="A8750" t="s">
        <v>847</v>
      </c>
      <c r="B8750" t="s">
        <v>691</v>
      </c>
      <c r="C8750" s="83">
        <v>46153</v>
      </c>
      <c r="D8750" t="s">
        <v>314</v>
      </c>
      <c r="E8750" t="s">
        <v>316</v>
      </c>
      <c r="F8750">
        <v>2</v>
      </c>
      <c r="G8750">
        <v>0.42901666666666699</v>
      </c>
    </row>
    <row r="8751" spans="1:7" x14ac:dyDescent="0.35">
      <c r="A8751" t="s">
        <v>847</v>
      </c>
      <c r="B8751" t="s">
        <v>691</v>
      </c>
      <c r="C8751" s="83">
        <v>46153</v>
      </c>
      <c r="D8751" t="s">
        <v>314</v>
      </c>
      <c r="E8751" t="s">
        <v>347</v>
      </c>
      <c r="F8751">
        <v>2</v>
      </c>
      <c r="G8751">
        <v>1.01271666666667</v>
      </c>
    </row>
    <row r="8752" spans="1:7" x14ac:dyDescent="0.35">
      <c r="A8752" t="s">
        <v>847</v>
      </c>
      <c r="B8752" t="s">
        <v>691</v>
      </c>
      <c r="C8752" s="83">
        <v>46153</v>
      </c>
      <c r="D8752" t="s">
        <v>314</v>
      </c>
      <c r="E8752" t="s">
        <v>319</v>
      </c>
      <c r="F8752">
        <v>2</v>
      </c>
      <c r="G8752">
        <v>1.1083833333333299</v>
      </c>
    </row>
    <row r="8753" spans="1:7" x14ac:dyDescent="0.35">
      <c r="A8753" t="s">
        <v>847</v>
      </c>
      <c r="B8753" t="s">
        <v>691</v>
      </c>
      <c r="C8753" s="83">
        <v>46153</v>
      </c>
      <c r="D8753" t="s">
        <v>317</v>
      </c>
      <c r="E8753" t="s">
        <v>339</v>
      </c>
      <c r="F8753">
        <v>2</v>
      </c>
      <c r="G8753">
        <v>1.1500666666666699</v>
      </c>
    </row>
    <row r="8754" spans="1:7" x14ac:dyDescent="0.35">
      <c r="A8754" t="s">
        <v>847</v>
      </c>
      <c r="B8754" t="s">
        <v>691</v>
      </c>
      <c r="C8754" s="83">
        <v>46154</v>
      </c>
      <c r="D8754" t="s">
        <v>295</v>
      </c>
      <c r="E8754" t="s">
        <v>296</v>
      </c>
      <c r="F8754">
        <v>108</v>
      </c>
      <c r="G8754">
        <v>58.172966666666703</v>
      </c>
    </row>
    <row r="8755" spans="1:7" x14ac:dyDescent="0.35">
      <c r="A8755" t="s">
        <v>847</v>
      </c>
      <c r="B8755" t="s">
        <v>691</v>
      </c>
      <c r="C8755" s="83">
        <v>46154</v>
      </c>
      <c r="D8755" t="s">
        <v>299</v>
      </c>
      <c r="E8755" t="s">
        <v>296</v>
      </c>
      <c r="F8755">
        <v>52</v>
      </c>
      <c r="G8755">
        <v>24.790033333333302</v>
      </c>
    </row>
    <row r="8756" spans="1:7" x14ac:dyDescent="0.35">
      <c r="A8756" t="s">
        <v>847</v>
      </c>
      <c r="B8756" t="s">
        <v>691</v>
      </c>
      <c r="C8756" s="83">
        <v>46154</v>
      </c>
      <c r="D8756" t="s">
        <v>310</v>
      </c>
      <c r="E8756" t="s">
        <v>312</v>
      </c>
      <c r="F8756">
        <v>21</v>
      </c>
      <c r="G8756">
        <v>29.662649999999999</v>
      </c>
    </row>
    <row r="8757" spans="1:7" x14ac:dyDescent="0.35">
      <c r="A8757" t="s">
        <v>847</v>
      </c>
      <c r="B8757" t="s">
        <v>691</v>
      </c>
      <c r="C8757" s="83">
        <v>46154</v>
      </c>
      <c r="D8757" t="s">
        <v>310</v>
      </c>
      <c r="E8757" t="s">
        <v>311</v>
      </c>
      <c r="F8757">
        <v>8</v>
      </c>
      <c r="G8757">
        <v>16.930666666666699</v>
      </c>
    </row>
    <row r="8758" spans="1:7" x14ac:dyDescent="0.35">
      <c r="A8758" t="s">
        <v>847</v>
      </c>
      <c r="B8758" t="s">
        <v>691</v>
      </c>
      <c r="C8758" s="83">
        <v>46154</v>
      </c>
      <c r="D8758" t="s">
        <v>310</v>
      </c>
      <c r="E8758" t="s">
        <v>126</v>
      </c>
      <c r="F8758">
        <v>5</v>
      </c>
      <c r="G8758">
        <v>2.4277166666666701</v>
      </c>
    </row>
    <row r="8759" spans="1:7" x14ac:dyDescent="0.35">
      <c r="A8759" t="s">
        <v>847</v>
      </c>
      <c r="B8759" t="s">
        <v>691</v>
      </c>
      <c r="C8759" s="83">
        <v>46154</v>
      </c>
      <c r="D8759" t="s">
        <v>313</v>
      </c>
      <c r="E8759" t="s">
        <v>126</v>
      </c>
      <c r="F8759">
        <v>5</v>
      </c>
      <c r="G8759">
        <v>7.3748833333333303</v>
      </c>
    </row>
    <row r="8760" spans="1:7" x14ac:dyDescent="0.35">
      <c r="A8760" t="s">
        <v>847</v>
      </c>
      <c r="B8760" t="s">
        <v>691</v>
      </c>
      <c r="C8760" s="83">
        <v>46154</v>
      </c>
      <c r="D8760" t="s">
        <v>313</v>
      </c>
      <c r="E8760" t="s">
        <v>316</v>
      </c>
      <c r="F8760">
        <v>5</v>
      </c>
      <c r="G8760">
        <v>2.3902000000000001</v>
      </c>
    </row>
    <row r="8761" spans="1:7" x14ac:dyDescent="0.35">
      <c r="A8761" t="s">
        <v>847</v>
      </c>
      <c r="B8761" t="s">
        <v>691</v>
      </c>
      <c r="C8761" s="83">
        <v>46154</v>
      </c>
      <c r="D8761" t="s">
        <v>313</v>
      </c>
      <c r="E8761" t="s">
        <v>822</v>
      </c>
      <c r="F8761">
        <v>2</v>
      </c>
      <c r="G8761">
        <v>5.28311666666667</v>
      </c>
    </row>
    <row r="8762" spans="1:7" x14ac:dyDescent="0.35">
      <c r="A8762" t="s">
        <v>847</v>
      </c>
      <c r="B8762" t="s">
        <v>691</v>
      </c>
      <c r="C8762" s="83">
        <v>46154</v>
      </c>
      <c r="D8762" t="s">
        <v>314</v>
      </c>
      <c r="E8762" t="s">
        <v>321</v>
      </c>
      <c r="F8762">
        <v>4</v>
      </c>
      <c r="G8762">
        <v>3.6617833333333301</v>
      </c>
    </row>
    <row r="8763" spans="1:7" x14ac:dyDescent="0.35">
      <c r="A8763" t="s">
        <v>847</v>
      </c>
      <c r="B8763" t="s">
        <v>691</v>
      </c>
      <c r="C8763" s="83">
        <v>46154</v>
      </c>
      <c r="D8763" t="s">
        <v>314</v>
      </c>
      <c r="E8763" t="s">
        <v>316</v>
      </c>
      <c r="F8763">
        <v>2</v>
      </c>
      <c r="G8763">
        <v>0.17695</v>
      </c>
    </row>
    <row r="8764" spans="1:7" x14ac:dyDescent="0.35">
      <c r="A8764" t="s">
        <v>847</v>
      </c>
      <c r="B8764" t="s">
        <v>691</v>
      </c>
      <c r="C8764" s="83">
        <v>46154</v>
      </c>
      <c r="D8764" t="s">
        <v>317</v>
      </c>
      <c r="E8764" t="s">
        <v>319</v>
      </c>
      <c r="F8764">
        <v>2</v>
      </c>
      <c r="G8764">
        <v>2.3831000000000002</v>
      </c>
    </row>
    <row r="8765" spans="1:7" x14ac:dyDescent="0.35">
      <c r="A8765" t="s">
        <v>847</v>
      </c>
      <c r="B8765" t="s">
        <v>691</v>
      </c>
      <c r="C8765" s="83">
        <v>46154</v>
      </c>
      <c r="D8765" t="s">
        <v>317</v>
      </c>
      <c r="E8765" t="s">
        <v>323</v>
      </c>
      <c r="F8765">
        <v>2</v>
      </c>
      <c r="G8765">
        <v>0.51871666666666705</v>
      </c>
    </row>
    <row r="8766" spans="1:7" x14ac:dyDescent="0.35">
      <c r="A8766" t="s">
        <v>847</v>
      </c>
      <c r="B8766" t="s">
        <v>691</v>
      </c>
      <c r="C8766" s="83">
        <v>46155</v>
      </c>
      <c r="D8766" t="s">
        <v>295</v>
      </c>
      <c r="E8766" t="s">
        <v>296</v>
      </c>
      <c r="F8766">
        <v>63</v>
      </c>
      <c r="G8766">
        <v>35.08755</v>
      </c>
    </row>
    <row r="8767" spans="1:7" x14ac:dyDescent="0.35">
      <c r="A8767" t="s">
        <v>847</v>
      </c>
      <c r="B8767" t="s">
        <v>691</v>
      </c>
      <c r="C8767" s="83">
        <v>46155</v>
      </c>
      <c r="D8767" t="s">
        <v>299</v>
      </c>
      <c r="E8767" t="s">
        <v>296</v>
      </c>
      <c r="F8767">
        <v>42</v>
      </c>
      <c r="G8767">
        <v>18.850516666666699</v>
      </c>
    </row>
    <row r="8768" spans="1:7" x14ac:dyDescent="0.35">
      <c r="A8768" t="s">
        <v>847</v>
      </c>
      <c r="B8768" t="s">
        <v>691</v>
      </c>
      <c r="C8768" s="83">
        <v>46155</v>
      </c>
      <c r="D8768" t="s">
        <v>303</v>
      </c>
      <c r="E8768" t="s">
        <v>302</v>
      </c>
      <c r="F8768">
        <v>17</v>
      </c>
      <c r="G8768">
        <v>13.953900000000001</v>
      </c>
    </row>
    <row r="8769" spans="1:7" x14ac:dyDescent="0.35">
      <c r="A8769" t="s">
        <v>847</v>
      </c>
      <c r="B8769" t="s">
        <v>691</v>
      </c>
      <c r="C8769" s="83">
        <v>46155</v>
      </c>
      <c r="D8769" t="s">
        <v>310</v>
      </c>
      <c r="E8769" t="s">
        <v>311</v>
      </c>
      <c r="F8769">
        <v>30</v>
      </c>
      <c r="G8769">
        <v>19.2176333333333</v>
      </c>
    </row>
    <row r="8770" spans="1:7" x14ac:dyDescent="0.35">
      <c r="A8770" t="s">
        <v>847</v>
      </c>
      <c r="B8770" t="s">
        <v>691</v>
      </c>
      <c r="C8770" s="83">
        <v>46155</v>
      </c>
      <c r="D8770" t="s">
        <v>310</v>
      </c>
      <c r="E8770" t="s">
        <v>312</v>
      </c>
      <c r="F8770">
        <v>25</v>
      </c>
      <c r="G8770">
        <v>10.6404</v>
      </c>
    </row>
    <row r="8771" spans="1:7" x14ac:dyDescent="0.35">
      <c r="A8771" t="s">
        <v>847</v>
      </c>
      <c r="B8771" t="s">
        <v>691</v>
      </c>
      <c r="C8771" s="83">
        <v>46155</v>
      </c>
      <c r="D8771" t="s">
        <v>310</v>
      </c>
      <c r="E8771" t="s">
        <v>333</v>
      </c>
      <c r="F8771">
        <v>9</v>
      </c>
      <c r="G8771">
        <v>6.7779166666666697</v>
      </c>
    </row>
    <row r="8772" spans="1:7" x14ac:dyDescent="0.35">
      <c r="A8772" t="s">
        <v>847</v>
      </c>
      <c r="B8772" t="s">
        <v>691</v>
      </c>
      <c r="C8772" s="83">
        <v>46155</v>
      </c>
      <c r="D8772" t="s">
        <v>313</v>
      </c>
      <c r="E8772" t="s">
        <v>126</v>
      </c>
      <c r="F8772">
        <v>5</v>
      </c>
      <c r="G8772">
        <v>7.9228666666666703</v>
      </c>
    </row>
    <row r="8773" spans="1:7" x14ac:dyDescent="0.35">
      <c r="A8773" t="s">
        <v>847</v>
      </c>
      <c r="B8773" t="s">
        <v>691</v>
      </c>
      <c r="C8773" s="83">
        <v>46155</v>
      </c>
      <c r="D8773" t="s">
        <v>313</v>
      </c>
      <c r="E8773" t="s">
        <v>312</v>
      </c>
      <c r="F8773">
        <v>5</v>
      </c>
      <c r="G8773">
        <v>8.2148166666666693</v>
      </c>
    </row>
    <row r="8774" spans="1:7" x14ac:dyDescent="0.35">
      <c r="A8774" t="s">
        <v>847</v>
      </c>
      <c r="B8774" t="s">
        <v>691</v>
      </c>
      <c r="C8774" s="83">
        <v>46155</v>
      </c>
      <c r="D8774" t="s">
        <v>313</v>
      </c>
      <c r="E8774" t="s">
        <v>311</v>
      </c>
      <c r="F8774">
        <v>5</v>
      </c>
      <c r="G8774">
        <v>3.65316666666667</v>
      </c>
    </row>
    <row r="8775" spans="1:7" x14ac:dyDescent="0.35">
      <c r="A8775" t="s">
        <v>847</v>
      </c>
      <c r="B8775" t="s">
        <v>691</v>
      </c>
      <c r="C8775" s="83">
        <v>46155</v>
      </c>
      <c r="D8775" t="s">
        <v>314</v>
      </c>
      <c r="E8775" t="s">
        <v>316</v>
      </c>
      <c r="F8775">
        <v>2</v>
      </c>
      <c r="G8775">
        <v>0.37163333333333298</v>
      </c>
    </row>
    <row r="8776" spans="1:7" x14ac:dyDescent="0.35">
      <c r="A8776" t="s">
        <v>847</v>
      </c>
      <c r="B8776" t="s">
        <v>691</v>
      </c>
      <c r="C8776" s="83">
        <v>46155</v>
      </c>
      <c r="D8776" t="s">
        <v>314</v>
      </c>
      <c r="E8776" t="s">
        <v>347</v>
      </c>
      <c r="F8776">
        <v>2</v>
      </c>
      <c r="G8776">
        <v>0.45484999999999998</v>
      </c>
    </row>
    <row r="8777" spans="1:7" x14ac:dyDescent="0.35">
      <c r="A8777" t="s">
        <v>847</v>
      </c>
      <c r="B8777" t="s">
        <v>691</v>
      </c>
      <c r="C8777" s="83">
        <v>46155</v>
      </c>
      <c r="D8777" t="s">
        <v>314</v>
      </c>
      <c r="E8777" t="s">
        <v>312</v>
      </c>
      <c r="F8777">
        <v>2</v>
      </c>
      <c r="G8777">
        <v>0.55673333333333297</v>
      </c>
    </row>
    <row r="8778" spans="1:7" x14ac:dyDescent="0.35">
      <c r="A8778" t="s">
        <v>847</v>
      </c>
      <c r="B8778" t="s">
        <v>691</v>
      </c>
      <c r="C8778" s="83">
        <v>46155</v>
      </c>
      <c r="D8778" t="s">
        <v>317</v>
      </c>
      <c r="E8778" t="s">
        <v>319</v>
      </c>
      <c r="F8778">
        <v>4</v>
      </c>
      <c r="G8778">
        <v>1.8350166666666701</v>
      </c>
    </row>
    <row r="8779" spans="1:7" x14ac:dyDescent="0.35">
      <c r="A8779" t="s">
        <v>847</v>
      </c>
      <c r="B8779" t="s">
        <v>691</v>
      </c>
      <c r="C8779" s="83">
        <v>46155</v>
      </c>
      <c r="D8779" t="s">
        <v>317</v>
      </c>
      <c r="E8779" t="s">
        <v>315</v>
      </c>
      <c r="F8779">
        <v>2</v>
      </c>
      <c r="G8779">
        <v>1.6752</v>
      </c>
    </row>
    <row r="8780" spans="1:7" x14ac:dyDescent="0.35">
      <c r="A8780" t="s">
        <v>847</v>
      </c>
      <c r="B8780" t="s">
        <v>691</v>
      </c>
      <c r="C8780" s="83">
        <v>46155</v>
      </c>
      <c r="D8780" t="s">
        <v>317</v>
      </c>
      <c r="E8780" t="s">
        <v>339</v>
      </c>
      <c r="F8780">
        <v>2</v>
      </c>
      <c r="G8780">
        <v>1.10628333333333</v>
      </c>
    </row>
    <row r="8781" spans="1:7" x14ac:dyDescent="0.35">
      <c r="A8781" t="s">
        <v>847</v>
      </c>
      <c r="B8781" t="s">
        <v>691</v>
      </c>
      <c r="C8781" s="83">
        <v>46156</v>
      </c>
      <c r="D8781" t="s">
        <v>295</v>
      </c>
      <c r="E8781" t="s">
        <v>296</v>
      </c>
      <c r="F8781">
        <v>56</v>
      </c>
      <c r="G8781">
        <v>26.0869</v>
      </c>
    </row>
    <row r="8782" spans="1:7" x14ac:dyDescent="0.35">
      <c r="A8782" t="s">
        <v>847</v>
      </c>
      <c r="B8782" t="s">
        <v>691</v>
      </c>
      <c r="C8782" s="83">
        <v>46156</v>
      </c>
      <c r="D8782" t="s">
        <v>299</v>
      </c>
      <c r="E8782" t="s">
        <v>296</v>
      </c>
      <c r="F8782">
        <v>65</v>
      </c>
      <c r="G8782">
        <v>27.1450833333333</v>
      </c>
    </row>
    <row r="8783" spans="1:7" x14ac:dyDescent="0.35">
      <c r="A8783" t="s">
        <v>847</v>
      </c>
      <c r="B8783" t="s">
        <v>691</v>
      </c>
      <c r="C8783" s="83">
        <v>46156</v>
      </c>
      <c r="D8783" t="s">
        <v>310</v>
      </c>
      <c r="E8783" t="s">
        <v>312</v>
      </c>
      <c r="F8783">
        <v>9</v>
      </c>
      <c r="G8783">
        <v>6.3827833333333297</v>
      </c>
    </row>
    <row r="8784" spans="1:7" x14ac:dyDescent="0.35">
      <c r="A8784" t="s">
        <v>847</v>
      </c>
      <c r="B8784" t="s">
        <v>691</v>
      </c>
      <c r="C8784" s="83">
        <v>46156</v>
      </c>
      <c r="D8784" t="s">
        <v>310</v>
      </c>
      <c r="E8784" t="s">
        <v>311</v>
      </c>
      <c r="F8784">
        <v>5</v>
      </c>
      <c r="G8784">
        <v>2.36283333333333</v>
      </c>
    </row>
    <row r="8785" spans="1:7" x14ac:dyDescent="0.35">
      <c r="A8785" t="s">
        <v>847</v>
      </c>
      <c r="B8785" t="s">
        <v>691</v>
      </c>
      <c r="C8785" s="83">
        <v>46156</v>
      </c>
      <c r="D8785" t="s">
        <v>310</v>
      </c>
      <c r="E8785" t="s">
        <v>333</v>
      </c>
      <c r="F8785">
        <v>4</v>
      </c>
      <c r="G8785">
        <v>1.6647000000000001</v>
      </c>
    </row>
    <row r="8786" spans="1:7" x14ac:dyDescent="0.35">
      <c r="A8786" t="s">
        <v>847</v>
      </c>
      <c r="B8786" t="s">
        <v>691</v>
      </c>
      <c r="C8786" s="83">
        <v>46156</v>
      </c>
      <c r="D8786" t="s">
        <v>313</v>
      </c>
      <c r="E8786" t="s">
        <v>316</v>
      </c>
      <c r="F8786">
        <v>4</v>
      </c>
      <c r="G8786">
        <v>1.1447499999999999</v>
      </c>
    </row>
    <row r="8787" spans="1:7" x14ac:dyDescent="0.35">
      <c r="A8787" t="s">
        <v>847</v>
      </c>
      <c r="B8787" t="s">
        <v>691</v>
      </c>
      <c r="C8787" s="83">
        <v>46156</v>
      </c>
      <c r="D8787" t="s">
        <v>313</v>
      </c>
      <c r="E8787" t="s">
        <v>323</v>
      </c>
      <c r="F8787">
        <v>3</v>
      </c>
      <c r="G8787">
        <v>0.85016666666666696</v>
      </c>
    </row>
    <row r="8788" spans="1:7" x14ac:dyDescent="0.35">
      <c r="A8788" t="s">
        <v>847</v>
      </c>
      <c r="B8788" t="s">
        <v>691</v>
      </c>
      <c r="C8788" s="83">
        <v>46156</v>
      </c>
      <c r="D8788" t="s">
        <v>313</v>
      </c>
      <c r="E8788" t="s">
        <v>311</v>
      </c>
      <c r="F8788">
        <v>3</v>
      </c>
      <c r="G8788">
        <v>2.2576000000000001</v>
      </c>
    </row>
    <row r="8789" spans="1:7" x14ac:dyDescent="0.35">
      <c r="A8789" t="s">
        <v>847</v>
      </c>
      <c r="B8789" t="s">
        <v>691</v>
      </c>
      <c r="C8789" s="83">
        <v>46156</v>
      </c>
      <c r="D8789" t="s">
        <v>314</v>
      </c>
      <c r="E8789" t="s">
        <v>321</v>
      </c>
      <c r="F8789">
        <v>9</v>
      </c>
      <c r="G8789">
        <v>3.1525666666666701</v>
      </c>
    </row>
    <row r="8790" spans="1:7" x14ac:dyDescent="0.35">
      <c r="A8790" t="s">
        <v>847</v>
      </c>
      <c r="B8790" t="s">
        <v>691</v>
      </c>
      <c r="C8790" s="83">
        <v>46156</v>
      </c>
      <c r="D8790" t="s">
        <v>314</v>
      </c>
      <c r="E8790" t="s">
        <v>126</v>
      </c>
      <c r="F8790">
        <v>2</v>
      </c>
      <c r="G8790">
        <v>1.27301666666667</v>
      </c>
    </row>
    <row r="8791" spans="1:7" x14ac:dyDescent="0.35">
      <c r="A8791" t="s">
        <v>847</v>
      </c>
      <c r="B8791" t="s">
        <v>691</v>
      </c>
      <c r="C8791" s="83">
        <v>46156</v>
      </c>
      <c r="D8791" t="s">
        <v>314</v>
      </c>
      <c r="E8791" t="s">
        <v>312</v>
      </c>
      <c r="F8791">
        <v>2</v>
      </c>
      <c r="G8791">
        <v>0.97733333333333305</v>
      </c>
    </row>
    <row r="8792" spans="1:7" x14ac:dyDescent="0.35">
      <c r="A8792" t="s">
        <v>847</v>
      </c>
      <c r="B8792" t="s">
        <v>691</v>
      </c>
      <c r="C8792" s="83">
        <v>46157</v>
      </c>
      <c r="D8792" t="s">
        <v>295</v>
      </c>
      <c r="E8792" t="s">
        <v>296</v>
      </c>
      <c r="F8792">
        <v>59</v>
      </c>
      <c r="G8792">
        <v>28.408733333333299</v>
      </c>
    </row>
    <row r="8793" spans="1:7" x14ac:dyDescent="0.35">
      <c r="A8793" t="s">
        <v>847</v>
      </c>
      <c r="B8793" t="s">
        <v>691</v>
      </c>
      <c r="C8793" s="83">
        <v>46157</v>
      </c>
      <c r="D8793" t="s">
        <v>295</v>
      </c>
      <c r="E8793" t="s">
        <v>302</v>
      </c>
      <c r="F8793">
        <v>10</v>
      </c>
      <c r="G8793">
        <v>3.1276000000000002</v>
      </c>
    </row>
    <row r="8794" spans="1:7" x14ac:dyDescent="0.35">
      <c r="A8794" t="s">
        <v>847</v>
      </c>
      <c r="B8794" t="s">
        <v>691</v>
      </c>
      <c r="C8794" s="83">
        <v>46157</v>
      </c>
      <c r="D8794" t="s">
        <v>299</v>
      </c>
      <c r="E8794" t="s">
        <v>296</v>
      </c>
      <c r="F8794">
        <v>79</v>
      </c>
      <c r="G8794">
        <v>35.213500000000003</v>
      </c>
    </row>
    <row r="8795" spans="1:7" x14ac:dyDescent="0.35">
      <c r="A8795" t="s">
        <v>847</v>
      </c>
      <c r="B8795" t="s">
        <v>691</v>
      </c>
      <c r="C8795" s="83">
        <v>46157</v>
      </c>
      <c r="D8795" t="s">
        <v>310</v>
      </c>
      <c r="E8795" t="s">
        <v>311</v>
      </c>
      <c r="F8795">
        <v>15</v>
      </c>
      <c r="G8795">
        <v>15.4766833333333</v>
      </c>
    </row>
    <row r="8796" spans="1:7" x14ac:dyDescent="0.35">
      <c r="A8796" t="s">
        <v>847</v>
      </c>
      <c r="B8796" t="s">
        <v>691</v>
      </c>
      <c r="C8796" s="83">
        <v>46157</v>
      </c>
      <c r="D8796" t="s">
        <v>310</v>
      </c>
      <c r="E8796" t="s">
        <v>312</v>
      </c>
      <c r="F8796">
        <v>10</v>
      </c>
      <c r="G8796">
        <v>26.941316666666701</v>
      </c>
    </row>
    <row r="8797" spans="1:7" x14ac:dyDescent="0.35">
      <c r="A8797" t="s">
        <v>847</v>
      </c>
      <c r="B8797" t="s">
        <v>691</v>
      </c>
      <c r="C8797" s="83">
        <v>46157</v>
      </c>
      <c r="D8797" t="s">
        <v>310</v>
      </c>
      <c r="E8797" t="s">
        <v>126</v>
      </c>
      <c r="F8797">
        <v>9</v>
      </c>
      <c r="G8797">
        <v>23.434349999999998</v>
      </c>
    </row>
    <row r="8798" spans="1:7" x14ac:dyDescent="0.35">
      <c r="A8798" t="s">
        <v>847</v>
      </c>
      <c r="B8798" t="s">
        <v>691</v>
      </c>
      <c r="C8798" s="83">
        <v>46157</v>
      </c>
      <c r="D8798" t="s">
        <v>313</v>
      </c>
      <c r="E8798" t="s">
        <v>311</v>
      </c>
      <c r="F8798">
        <v>4</v>
      </c>
      <c r="G8798">
        <v>2.93041666666667</v>
      </c>
    </row>
    <row r="8799" spans="1:7" x14ac:dyDescent="0.35">
      <c r="A8799" t="s">
        <v>847</v>
      </c>
      <c r="B8799" t="s">
        <v>691</v>
      </c>
      <c r="C8799" s="83">
        <v>46157</v>
      </c>
      <c r="D8799" t="s">
        <v>313</v>
      </c>
      <c r="E8799" t="s">
        <v>347</v>
      </c>
      <c r="F8799">
        <v>2</v>
      </c>
      <c r="G8799">
        <v>2.4462999999999999</v>
      </c>
    </row>
    <row r="8800" spans="1:7" x14ac:dyDescent="0.35">
      <c r="A8800" t="s">
        <v>847</v>
      </c>
      <c r="B8800" t="s">
        <v>691</v>
      </c>
      <c r="C8800" s="83">
        <v>46157</v>
      </c>
      <c r="D8800" t="s">
        <v>313</v>
      </c>
      <c r="E8800" t="s">
        <v>316</v>
      </c>
      <c r="F8800">
        <v>2</v>
      </c>
      <c r="G8800">
        <v>0.62339999999999995</v>
      </c>
    </row>
    <row r="8801" spans="1:7" x14ac:dyDescent="0.35">
      <c r="A8801" t="s">
        <v>847</v>
      </c>
      <c r="B8801" t="s">
        <v>691</v>
      </c>
      <c r="C8801" s="83">
        <v>46157</v>
      </c>
      <c r="D8801" t="s">
        <v>314</v>
      </c>
      <c r="E8801" t="s">
        <v>321</v>
      </c>
      <c r="F8801">
        <v>6</v>
      </c>
      <c r="G8801">
        <v>4.3030999999999997</v>
      </c>
    </row>
    <row r="8802" spans="1:7" x14ac:dyDescent="0.35">
      <c r="A8802" t="s">
        <v>847</v>
      </c>
      <c r="B8802" t="s">
        <v>691</v>
      </c>
      <c r="C8802" s="83">
        <v>46157</v>
      </c>
      <c r="D8802" t="s">
        <v>314</v>
      </c>
      <c r="E8802" t="s">
        <v>126</v>
      </c>
      <c r="F8802">
        <v>4</v>
      </c>
      <c r="G8802">
        <v>20.511566666666699</v>
      </c>
    </row>
    <row r="8803" spans="1:7" x14ac:dyDescent="0.35">
      <c r="A8803" t="s">
        <v>847</v>
      </c>
      <c r="B8803" t="s">
        <v>691</v>
      </c>
      <c r="C8803" s="83">
        <v>46157</v>
      </c>
      <c r="D8803" t="s">
        <v>314</v>
      </c>
      <c r="E8803" t="s">
        <v>316</v>
      </c>
      <c r="F8803">
        <v>3</v>
      </c>
      <c r="G8803">
        <v>0.27463333333333301</v>
      </c>
    </row>
    <row r="8804" spans="1:7" x14ac:dyDescent="0.35">
      <c r="A8804" t="s">
        <v>847</v>
      </c>
      <c r="B8804" t="s">
        <v>691</v>
      </c>
      <c r="C8804" s="83">
        <v>46157</v>
      </c>
      <c r="D8804" t="s">
        <v>317</v>
      </c>
      <c r="E8804" t="s">
        <v>792</v>
      </c>
      <c r="F8804">
        <v>2</v>
      </c>
      <c r="G8804">
        <v>0.10125000000000001</v>
      </c>
    </row>
    <row r="8805" spans="1:7" x14ac:dyDescent="0.35">
      <c r="A8805" t="s">
        <v>847</v>
      </c>
      <c r="B8805" t="s">
        <v>691</v>
      </c>
      <c r="C8805" s="83">
        <v>46157</v>
      </c>
      <c r="D8805" t="s">
        <v>317</v>
      </c>
      <c r="E8805" t="s">
        <v>319</v>
      </c>
      <c r="F8805">
        <v>2</v>
      </c>
      <c r="G8805">
        <v>1.43211666666667</v>
      </c>
    </row>
    <row r="8806" spans="1:7" x14ac:dyDescent="0.35">
      <c r="A8806" t="s">
        <v>847</v>
      </c>
      <c r="B8806" t="s">
        <v>691</v>
      </c>
      <c r="C8806" s="83">
        <v>46158</v>
      </c>
      <c r="D8806" t="s">
        <v>295</v>
      </c>
      <c r="E8806" t="s">
        <v>296</v>
      </c>
      <c r="F8806">
        <v>47</v>
      </c>
      <c r="G8806">
        <v>22.116133333333298</v>
      </c>
    </row>
    <row r="8807" spans="1:7" x14ac:dyDescent="0.35">
      <c r="A8807" t="s">
        <v>847</v>
      </c>
      <c r="B8807" t="s">
        <v>691</v>
      </c>
      <c r="C8807" s="83">
        <v>46158</v>
      </c>
      <c r="D8807" t="s">
        <v>299</v>
      </c>
      <c r="E8807" t="s">
        <v>296</v>
      </c>
      <c r="F8807">
        <v>65</v>
      </c>
      <c r="G8807">
        <v>29.674633333333301</v>
      </c>
    </row>
    <row r="8808" spans="1:7" x14ac:dyDescent="0.35">
      <c r="A8808" t="s">
        <v>847</v>
      </c>
      <c r="B8808" t="s">
        <v>691</v>
      </c>
      <c r="C8808" s="83">
        <v>46158</v>
      </c>
      <c r="D8808" t="s">
        <v>309</v>
      </c>
      <c r="E8808" t="s">
        <v>344</v>
      </c>
      <c r="F8808">
        <v>25</v>
      </c>
      <c r="G8808">
        <v>30.628550000000001</v>
      </c>
    </row>
    <row r="8809" spans="1:7" x14ac:dyDescent="0.35">
      <c r="A8809" t="s">
        <v>847</v>
      </c>
      <c r="B8809" t="s">
        <v>691</v>
      </c>
      <c r="C8809" s="83">
        <v>46158</v>
      </c>
      <c r="D8809" t="s">
        <v>310</v>
      </c>
      <c r="E8809" t="s">
        <v>312</v>
      </c>
      <c r="F8809">
        <v>17</v>
      </c>
      <c r="G8809">
        <v>13.0237833333333</v>
      </c>
    </row>
    <row r="8810" spans="1:7" x14ac:dyDescent="0.35">
      <c r="A8810" t="s">
        <v>847</v>
      </c>
      <c r="B8810" t="s">
        <v>691</v>
      </c>
      <c r="C8810" s="83">
        <v>46158</v>
      </c>
      <c r="D8810" t="s">
        <v>310</v>
      </c>
      <c r="E8810" t="s">
        <v>333</v>
      </c>
      <c r="F8810">
        <v>17</v>
      </c>
      <c r="G8810">
        <v>89.914166666666702</v>
      </c>
    </row>
    <row r="8811" spans="1:7" x14ac:dyDescent="0.35">
      <c r="A8811" t="s">
        <v>847</v>
      </c>
      <c r="B8811" t="s">
        <v>691</v>
      </c>
      <c r="C8811" s="83">
        <v>46158</v>
      </c>
      <c r="D8811" t="s">
        <v>310</v>
      </c>
      <c r="E8811" t="s">
        <v>126</v>
      </c>
      <c r="F8811">
        <v>15</v>
      </c>
      <c r="G8811">
        <v>17.546033333333298</v>
      </c>
    </row>
    <row r="8812" spans="1:7" x14ac:dyDescent="0.35">
      <c r="A8812" t="s">
        <v>847</v>
      </c>
      <c r="B8812" t="s">
        <v>691</v>
      </c>
      <c r="C8812" s="83">
        <v>46158</v>
      </c>
      <c r="D8812" t="s">
        <v>313</v>
      </c>
      <c r="E8812" t="s">
        <v>311</v>
      </c>
      <c r="F8812">
        <v>33</v>
      </c>
      <c r="G8812">
        <v>43.050883333333303</v>
      </c>
    </row>
    <row r="8813" spans="1:7" x14ac:dyDescent="0.35">
      <c r="A8813" t="s">
        <v>847</v>
      </c>
      <c r="B8813" t="s">
        <v>691</v>
      </c>
      <c r="C8813" s="83">
        <v>46158</v>
      </c>
      <c r="D8813" t="s">
        <v>313</v>
      </c>
      <c r="E8813" t="s">
        <v>312</v>
      </c>
      <c r="F8813">
        <v>3</v>
      </c>
      <c r="G8813">
        <v>3.7988666666666702</v>
      </c>
    </row>
    <row r="8814" spans="1:7" x14ac:dyDescent="0.35">
      <c r="A8814" t="s">
        <v>847</v>
      </c>
      <c r="B8814" t="s">
        <v>691</v>
      </c>
      <c r="C8814" s="83">
        <v>46158</v>
      </c>
      <c r="D8814" t="s">
        <v>313</v>
      </c>
      <c r="E8814" t="s">
        <v>316</v>
      </c>
      <c r="F8814">
        <v>2</v>
      </c>
      <c r="G8814">
        <v>6.7100000000000007E-2</v>
      </c>
    </row>
    <row r="8815" spans="1:7" x14ac:dyDescent="0.35">
      <c r="A8815" t="s">
        <v>847</v>
      </c>
      <c r="B8815" t="s">
        <v>691</v>
      </c>
      <c r="C8815" s="83">
        <v>46158</v>
      </c>
      <c r="D8815" t="s">
        <v>314</v>
      </c>
      <c r="E8815" t="s">
        <v>126</v>
      </c>
      <c r="F8815">
        <v>10</v>
      </c>
      <c r="G8815">
        <v>30.1986833333333</v>
      </c>
    </row>
    <row r="8816" spans="1:7" x14ac:dyDescent="0.35">
      <c r="A8816" t="s">
        <v>847</v>
      </c>
      <c r="B8816" t="s">
        <v>691</v>
      </c>
      <c r="C8816" s="83">
        <v>46158</v>
      </c>
      <c r="D8816" t="s">
        <v>314</v>
      </c>
      <c r="E8816" t="s">
        <v>312</v>
      </c>
      <c r="F8816">
        <v>5</v>
      </c>
      <c r="G8816">
        <v>7.0347999999999997</v>
      </c>
    </row>
    <row r="8817" spans="1:7" x14ac:dyDescent="0.35">
      <c r="A8817" t="s">
        <v>847</v>
      </c>
      <c r="B8817" t="s">
        <v>691</v>
      </c>
      <c r="C8817" s="83">
        <v>46158</v>
      </c>
      <c r="D8817" t="s">
        <v>314</v>
      </c>
      <c r="E8817" t="s">
        <v>348</v>
      </c>
      <c r="F8817">
        <v>3</v>
      </c>
      <c r="G8817">
        <v>5.6751833333333304</v>
      </c>
    </row>
    <row r="8818" spans="1:7" x14ac:dyDescent="0.35">
      <c r="A8818" t="s">
        <v>847</v>
      </c>
      <c r="B8818" t="s">
        <v>691</v>
      </c>
      <c r="C8818" s="83">
        <v>46158</v>
      </c>
      <c r="D8818" t="s">
        <v>317</v>
      </c>
      <c r="E8818" t="s">
        <v>323</v>
      </c>
      <c r="F8818">
        <v>6</v>
      </c>
      <c r="G8818">
        <v>9.8285666666666707</v>
      </c>
    </row>
    <row r="8819" spans="1:7" x14ac:dyDescent="0.35">
      <c r="A8819" t="s">
        <v>847</v>
      </c>
      <c r="B8819" t="s">
        <v>691</v>
      </c>
      <c r="C8819" s="83">
        <v>46158</v>
      </c>
      <c r="D8819" t="s">
        <v>317</v>
      </c>
      <c r="E8819" t="s">
        <v>774</v>
      </c>
      <c r="F8819">
        <v>4</v>
      </c>
      <c r="G8819">
        <v>4.6398000000000001</v>
      </c>
    </row>
    <row r="8820" spans="1:7" x14ac:dyDescent="0.35">
      <c r="A8820" t="s">
        <v>847</v>
      </c>
      <c r="B8820" t="s">
        <v>691</v>
      </c>
      <c r="C8820" s="83">
        <v>46158</v>
      </c>
      <c r="D8820" t="s">
        <v>317</v>
      </c>
      <c r="E8820" t="s">
        <v>339</v>
      </c>
      <c r="F8820">
        <v>2</v>
      </c>
      <c r="G8820">
        <v>0.25159999999999999</v>
      </c>
    </row>
    <row r="8821" spans="1:7" x14ac:dyDescent="0.35">
      <c r="A8821" t="s">
        <v>847</v>
      </c>
      <c r="B8821" t="s">
        <v>691</v>
      </c>
      <c r="C8821" s="83">
        <v>46159</v>
      </c>
      <c r="D8821" t="s">
        <v>295</v>
      </c>
      <c r="E8821" t="s">
        <v>296</v>
      </c>
      <c r="F8821">
        <v>45</v>
      </c>
      <c r="G8821">
        <v>23.159099999999999</v>
      </c>
    </row>
    <row r="8822" spans="1:7" x14ac:dyDescent="0.35">
      <c r="A8822" t="s">
        <v>847</v>
      </c>
      <c r="B8822" t="s">
        <v>691</v>
      </c>
      <c r="C8822" s="83">
        <v>46159</v>
      </c>
      <c r="D8822" t="s">
        <v>299</v>
      </c>
      <c r="E8822" t="s">
        <v>296</v>
      </c>
      <c r="F8822">
        <v>72</v>
      </c>
      <c r="G8822">
        <v>25.236066666666702</v>
      </c>
    </row>
    <row r="8823" spans="1:7" x14ac:dyDescent="0.35">
      <c r="A8823" t="s">
        <v>847</v>
      </c>
      <c r="B8823" t="s">
        <v>691</v>
      </c>
      <c r="C8823" s="83">
        <v>46159</v>
      </c>
      <c r="D8823" t="s">
        <v>309</v>
      </c>
      <c r="E8823" t="s">
        <v>344</v>
      </c>
      <c r="F8823">
        <v>27</v>
      </c>
      <c r="G8823">
        <v>9.5364166666666694</v>
      </c>
    </row>
    <row r="8824" spans="1:7" x14ac:dyDescent="0.35">
      <c r="A8824" t="s">
        <v>847</v>
      </c>
      <c r="B8824" t="s">
        <v>691</v>
      </c>
      <c r="C8824" s="83">
        <v>46159</v>
      </c>
      <c r="D8824" t="s">
        <v>310</v>
      </c>
      <c r="E8824" t="s">
        <v>126</v>
      </c>
      <c r="F8824">
        <v>18</v>
      </c>
      <c r="G8824">
        <v>14.4500166666667</v>
      </c>
    </row>
    <row r="8825" spans="1:7" x14ac:dyDescent="0.35">
      <c r="A8825" t="s">
        <v>847</v>
      </c>
      <c r="B8825" t="s">
        <v>691</v>
      </c>
      <c r="C8825" s="83">
        <v>46159</v>
      </c>
      <c r="D8825" t="s">
        <v>310</v>
      </c>
      <c r="E8825" t="s">
        <v>311</v>
      </c>
      <c r="F8825">
        <v>16</v>
      </c>
      <c r="G8825">
        <v>14.9331666666667</v>
      </c>
    </row>
    <row r="8826" spans="1:7" x14ac:dyDescent="0.35">
      <c r="A8826" t="s">
        <v>847</v>
      </c>
      <c r="B8826" t="s">
        <v>691</v>
      </c>
      <c r="C8826" s="83">
        <v>46159</v>
      </c>
      <c r="D8826" t="s">
        <v>310</v>
      </c>
      <c r="E8826" t="s">
        <v>312</v>
      </c>
      <c r="F8826">
        <v>10</v>
      </c>
      <c r="G8826">
        <v>11.9495</v>
      </c>
    </row>
    <row r="8827" spans="1:7" x14ac:dyDescent="0.35">
      <c r="A8827" t="s">
        <v>847</v>
      </c>
      <c r="B8827" t="s">
        <v>691</v>
      </c>
      <c r="C8827" s="83">
        <v>46159</v>
      </c>
      <c r="D8827" t="s">
        <v>313</v>
      </c>
      <c r="E8827" t="s">
        <v>311</v>
      </c>
      <c r="F8827">
        <v>30</v>
      </c>
      <c r="G8827">
        <v>38.095550000000003</v>
      </c>
    </row>
    <row r="8828" spans="1:7" x14ac:dyDescent="0.35">
      <c r="A8828" t="s">
        <v>847</v>
      </c>
      <c r="B8828" t="s">
        <v>691</v>
      </c>
      <c r="C8828" s="83">
        <v>46159</v>
      </c>
      <c r="D8828" t="s">
        <v>313</v>
      </c>
      <c r="E8828" t="s">
        <v>126</v>
      </c>
      <c r="F8828">
        <v>13</v>
      </c>
      <c r="G8828">
        <v>22.725549999999998</v>
      </c>
    </row>
    <row r="8829" spans="1:7" x14ac:dyDescent="0.35">
      <c r="A8829" t="s">
        <v>847</v>
      </c>
      <c r="B8829" t="s">
        <v>691</v>
      </c>
      <c r="C8829" s="83">
        <v>46159</v>
      </c>
      <c r="D8829" t="s">
        <v>313</v>
      </c>
      <c r="E8829" t="s">
        <v>640</v>
      </c>
      <c r="F8829">
        <v>9</v>
      </c>
      <c r="G8829">
        <v>10.988516666666699</v>
      </c>
    </row>
    <row r="8830" spans="1:7" x14ac:dyDescent="0.35">
      <c r="A8830" t="s">
        <v>847</v>
      </c>
      <c r="B8830" t="s">
        <v>691</v>
      </c>
      <c r="C8830" s="83">
        <v>46159</v>
      </c>
      <c r="D8830" t="s">
        <v>314</v>
      </c>
      <c r="E8830" t="s">
        <v>126</v>
      </c>
      <c r="F8830">
        <v>15</v>
      </c>
      <c r="G8830">
        <v>32.581016666666699</v>
      </c>
    </row>
    <row r="8831" spans="1:7" x14ac:dyDescent="0.35">
      <c r="A8831" t="s">
        <v>847</v>
      </c>
      <c r="B8831" t="s">
        <v>691</v>
      </c>
      <c r="C8831" s="83">
        <v>46159</v>
      </c>
      <c r="D8831" t="s">
        <v>314</v>
      </c>
      <c r="E8831" t="s">
        <v>338</v>
      </c>
      <c r="F8831">
        <v>3</v>
      </c>
      <c r="G8831">
        <v>5.2821333333333298</v>
      </c>
    </row>
    <row r="8832" spans="1:7" x14ac:dyDescent="0.35">
      <c r="A8832" t="s">
        <v>847</v>
      </c>
      <c r="B8832" t="s">
        <v>691</v>
      </c>
      <c r="C8832" s="83">
        <v>46159</v>
      </c>
      <c r="D8832" t="s">
        <v>314</v>
      </c>
      <c r="E8832" t="s">
        <v>312</v>
      </c>
      <c r="F8832">
        <v>3</v>
      </c>
      <c r="G8832">
        <v>1.95461666666667</v>
      </c>
    </row>
    <row r="8833" spans="1:7" x14ac:dyDescent="0.35">
      <c r="A8833" t="s">
        <v>847</v>
      </c>
      <c r="B8833" t="s">
        <v>691</v>
      </c>
      <c r="C8833" s="83">
        <v>46159</v>
      </c>
      <c r="D8833" t="s">
        <v>317</v>
      </c>
      <c r="E8833" t="s">
        <v>323</v>
      </c>
      <c r="F8833">
        <v>2</v>
      </c>
      <c r="G8833">
        <v>0.94579999999999997</v>
      </c>
    </row>
    <row r="8834" spans="1:7" x14ac:dyDescent="0.35">
      <c r="A8834" t="s">
        <v>847</v>
      </c>
      <c r="B8834" t="s">
        <v>691</v>
      </c>
      <c r="C8834" s="83">
        <v>46159</v>
      </c>
      <c r="D8834" t="s">
        <v>317</v>
      </c>
      <c r="E8834" t="s">
        <v>322</v>
      </c>
      <c r="F8834">
        <v>2</v>
      </c>
      <c r="G8834">
        <v>0.80321666666666702</v>
      </c>
    </row>
    <row r="8835" spans="1:7" x14ac:dyDescent="0.35">
      <c r="A8835" t="s">
        <v>847</v>
      </c>
      <c r="B8835" t="s">
        <v>691</v>
      </c>
      <c r="C8835" s="83">
        <v>46159</v>
      </c>
      <c r="D8835" t="s">
        <v>317</v>
      </c>
      <c r="E8835" t="s">
        <v>339</v>
      </c>
      <c r="F8835">
        <v>1</v>
      </c>
      <c r="G8835">
        <v>5.3829000000000002</v>
      </c>
    </row>
    <row r="8836" spans="1:7" x14ac:dyDescent="0.35">
      <c r="A8836" t="s">
        <v>847</v>
      </c>
      <c r="B8836" t="s">
        <v>691</v>
      </c>
      <c r="C8836" s="83">
        <v>46160</v>
      </c>
      <c r="D8836" t="s">
        <v>295</v>
      </c>
      <c r="E8836" t="s">
        <v>296</v>
      </c>
      <c r="F8836">
        <v>33</v>
      </c>
      <c r="G8836">
        <v>15.569233333333299</v>
      </c>
    </row>
    <row r="8837" spans="1:7" x14ac:dyDescent="0.35">
      <c r="A8837" t="s">
        <v>847</v>
      </c>
      <c r="B8837" t="s">
        <v>691</v>
      </c>
      <c r="C8837" s="83">
        <v>46160</v>
      </c>
      <c r="D8837" t="s">
        <v>299</v>
      </c>
      <c r="E8837" t="s">
        <v>296</v>
      </c>
      <c r="F8837">
        <v>79</v>
      </c>
      <c r="G8837">
        <v>33.220599999999997</v>
      </c>
    </row>
    <row r="8838" spans="1:7" x14ac:dyDescent="0.35">
      <c r="A8838" t="s">
        <v>847</v>
      </c>
      <c r="B8838" t="s">
        <v>691</v>
      </c>
      <c r="C8838" s="83">
        <v>46160</v>
      </c>
      <c r="D8838" t="s">
        <v>309</v>
      </c>
      <c r="E8838" t="s">
        <v>344</v>
      </c>
      <c r="F8838">
        <v>26</v>
      </c>
      <c r="G8838">
        <v>27.024233333333299</v>
      </c>
    </row>
    <row r="8839" spans="1:7" x14ac:dyDescent="0.35">
      <c r="A8839" t="s">
        <v>847</v>
      </c>
      <c r="B8839" t="s">
        <v>691</v>
      </c>
      <c r="C8839" s="83">
        <v>46160</v>
      </c>
      <c r="D8839" t="s">
        <v>310</v>
      </c>
      <c r="E8839" t="s">
        <v>312</v>
      </c>
      <c r="F8839">
        <v>27</v>
      </c>
      <c r="G8839">
        <v>19.409749999999999</v>
      </c>
    </row>
    <row r="8840" spans="1:7" x14ac:dyDescent="0.35">
      <c r="A8840" t="s">
        <v>847</v>
      </c>
      <c r="B8840" t="s">
        <v>691</v>
      </c>
      <c r="C8840" s="83">
        <v>46160</v>
      </c>
      <c r="D8840" t="s">
        <v>310</v>
      </c>
      <c r="E8840" t="s">
        <v>311</v>
      </c>
      <c r="F8840">
        <v>21</v>
      </c>
      <c r="G8840">
        <v>13.7613166666667</v>
      </c>
    </row>
    <row r="8841" spans="1:7" x14ac:dyDescent="0.35">
      <c r="A8841" t="s">
        <v>847</v>
      </c>
      <c r="B8841" t="s">
        <v>691</v>
      </c>
      <c r="C8841" s="83">
        <v>46160</v>
      </c>
      <c r="D8841" t="s">
        <v>310</v>
      </c>
      <c r="E8841" t="s">
        <v>333</v>
      </c>
      <c r="F8841">
        <v>14</v>
      </c>
      <c r="G8841">
        <v>5.8443833333333304</v>
      </c>
    </row>
    <row r="8842" spans="1:7" x14ac:dyDescent="0.35">
      <c r="A8842" t="s">
        <v>847</v>
      </c>
      <c r="B8842" t="s">
        <v>691</v>
      </c>
      <c r="C8842" s="83">
        <v>46160</v>
      </c>
      <c r="D8842" t="s">
        <v>313</v>
      </c>
      <c r="E8842" t="s">
        <v>640</v>
      </c>
      <c r="F8842">
        <v>9</v>
      </c>
      <c r="G8842">
        <v>16.216483333333301</v>
      </c>
    </row>
    <row r="8843" spans="1:7" x14ac:dyDescent="0.35">
      <c r="A8843" t="s">
        <v>847</v>
      </c>
      <c r="B8843" t="s">
        <v>691</v>
      </c>
      <c r="C8843" s="83">
        <v>46160</v>
      </c>
      <c r="D8843" t="s">
        <v>313</v>
      </c>
      <c r="E8843" t="s">
        <v>312</v>
      </c>
      <c r="F8843">
        <v>6</v>
      </c>
      <c r="G8843">
        <v>8.0211833333333296</v>
      </c>
    </row>
    <row r="8844" spans="1:7" x14ac:dyDescent="0.35">
      <c r="A8844" t="s">
        <v>847</v>
      </c>
      <c r="B8844" t="s">
        <v>691</v>
      </c>
      <c r="C8844" s="83">
        <v>46160</v>
      </c>
      <c r="D8844" t="s">
        <v>313</v>
      </c>
      <c r="E8844" t="s">
        <v>311</v>
      </c>
      <c r="F8844">
        <v>5</v>
      </c>
      <c r="G8844">
        <v>4.4984999999999999</v>
      </c>
    </row>
    <row r="8845" spans="1:7" x14ac:dyDescent="0.35">
      <c r="A8845" t="s">
        <v>847</v>
      </c>
      <c r="B8845" t="s">
        <v>691</v>
      </c>
      <c r="C8845" s="83">
        <v>46160</v>
      </c>
      <c r="D8845" t="s">
        <v>314</v>
      </c>
      <c r="E8845" t="s">
        <v>312</v>
      </c>
      <c r="F8845">
        <v>10</v>
      </c>
      <c r="G8845">
        <v>7.484</v>
      </c>
    </row>
    <row r="8846" spans="1:7" x14ac:dyDescent="0.35">
      <c r="A8846" t="s">
        <v>847</v>
      </c>
      <c r="B8846" t="s">
        <v>691</v>
      </c>
      <c r="C8846" s="83">
        <v>46160</v>
      </c>
      <c r="D8846" t="s">
        <v>314</v>
      </c>
      <c r="E8846" t="s">
        <v>126</v>
      </c>
      <c r="F8846">
        <v>9</v>
      </c>
      <c r="G8846">
        <v>20.655183333333301</v>
      </c>
    </row>
    <row r="8847" spans="1:7" x14ac:dyDescent="0.35">
      <c r="A8847" t="s">
        <v>847</v>
      </c>
      <c r="B8847" t="s">
        <v>691</v>
      </c>
      <c r="C8847" s="83">
        <v>46160</v>
      </c>
      <c r="D8847" t="s">
        <v>314</v>
      </c>
      <c r="E8847" t="s">
        <v>338</v>
      </c>
      <c r="F8847">
        <v>7</v>
      </c>
      <c r="G8847">
        <v>19.304349999999999</v>
      </c>
    </row>
    <row r="8848" spans="1:7" x14ac:dyDescent="0.35">
      <c r="A8848" t="s">
        <v>847</v>
      </c>
      <c r="B8848" t="s">
        <v>691</v>
      </c>
      <c r="C8848" s="83">
        <v>46160</v>
      </c>
      <c r="D8848" t="s">
        <v>317</v>
      </c>
      <c r="E8848" t="s">
        <v>323</v>
      </c>
      <c r="F8848">
        <v>3</v>
      </c>
      <c r="G8848">
        <v>1.0255333333333301</v>
      </c>
    </row>
    <row r="8849" spans="1:7" x14ac:dyDescent="0.35">
      <c r="A8849" t="s">
        <v>847</v>
      </c>
      <c r="B8849" t="s">
        <v>691</v>
      </c>
      <c r="C8849" s="83">
        <v>46160</v>
      </c>
      <c r="D8849" t="s">
        <v>317</v>
      </c>
      <c r="E8849" t="s">
        <v>777</v>
      </c>
      <c r="F8849">
        <v>2</v>
      </c>
      <c r="G8849">
        <v>0.30320000000000003</v>
      </c>
    </row>
    <row r="8850" spans="1:7" x14ac:dyDescent="0.35">
      <c r="A8850" t="s">
        <v>847</v>
      </c>
      <c r="B8850" t="s">
        <v>691</v>
      </c>
      <c r="C8850" s="83">
        <v>46160</v>
      </c>
      <c r="D8850" t="s">
        <v>317</v>
      </c>
      <c r="E8850" t="s">
        <v>322</v>
      </c>
      <c r="F8850">
        <v>2</v>
      </c>
      <c r="G8850">
        <v>14.12725</v>
      </c>
    </row>
    <row r="8851" spans="1:7" x14ac:dyDescent="0.35">
      <c r="A8851" t="s">
        <v>847</v>
      </c>
      <c r="B8851" t="s">
        <v>691</v>
      </c>
      <c r="C8851" s="83">
        <v>46161</v>
      </c>
      <c r="D8851" t="s">
        <v>295</v>
      </c>
      <c r="E8851" t="s">
        <v>296</v>
      </c>
      <c r="F8851">
        <v>38</v>
      </c>
      <c r="G8851">
        <v>13.861166666666699</v>
      </c>
    </row>
    <row r="8852" spans="1:7" x14ac:dyDescent="0.35">
      <c r="A8852" t="s">
        <v>847</v>
      </c>
      <c r="B8852" t="s">
        <v>691</v>
      </c>
      <c r="C8852" s="83">
        <v>46161</v>
      </c>
      <c r="D8852" t="s">
        <v>299</v>
      </c>
      <c r="E8852" t="s">
        <v>296</v>
      </c>
      <c r="F8852">
        <v>42</v>
      </c>
      <c r="G8852">
        <v>23.6932333333333</v>
      </c>
    </row>
    <row r="8853" spans="1:7" x14ac:dyDescent="0.35">
      <c r="A8853" t="s">
        <v>847</v>
      </c>
      <c r="B8853" t="s">
        <v>691</v>
      </c>
      <c r="C8853" s="83">
        <v>46161</v>
      </c>
      <c r="D8853" t="s">
        <v>309</v>
      </c>
      <c r="E8853" t="s">
        <v>344</v>
      </c>
      <c r="F8853">
        <v>32</v>
      </c>
      <c r="G8853">
        <v>25.066316666666701</v>
      </c>
    </row>
    <row r="8854" spans="1:7" x14ac:dyDescent="0.35">
      <c r="A8854" t="s">
        <v>847</v>
      </c>
      <c r="B8854" t="s">
        <v>691</v>
      </c>
      <c r="C8854" s="83">
        <v>46161</v>
      </c>
      <c r="D8854" t="s">
        <v>310</v>
      </c>
      <c r="E8854" t="s">
        <v>640</v>
      </c>
      <c r="F8854">
        <v>10</v>
      </c>
      <c r="G8854">
        <v>16.727916666666701</v>
      </c>
    </row>
    <row r="8855" spans="1:7" x14ac:dyDescent="0.35">
      <c r="A8855" t="s">
        <v>847</v>
      </c>
      <c r="B8855" t="s">
        <v>691</v>
      </c>
      <c r="C8855" s="83">
        <v>46161</v>
      </c>
      <c r="D8855" t="s">
        <v>310</v>
      </c>
      <c r="E8855" t="s">
        <v>333</v>
      </c>
      <c r="F8855">
        <v>7</v>
      </c>
      <c r="G8855">
        <v>78.507116666666704</v>
      </c>
    </row>
    <row r="8856" spans="1:7" x14ac:dyDescent="0.35">
      <c r="A8856" t="s">
        <v>847</v>
      </c>
      <c r="B8856" t="s">
        <v>691</v>
      </c>
      <c r="C8856" s="83">
        <v>46161</v>
      </c>
      <c r="D8856" t="s">
        <v>310</v>
      </c>
      <c r="E8856" t="s">
        <v>126</v>
      </c>
      <c r="F8856">
        <v>5</v>
      </c>
      <c r="G8856">
        <v>1.80358333333333</v>
      </c>
    </row>
    <row r="8857" spans="1:7" x14ac:dyDescent="0.35">
      <c r="A8857" t="s">
        <v>847</v>
      </c>
      <c r="B8857" t="s">
        <v>691</v>
      </c>
      <c r="C8857" s="83">
        <v>46161</v>
      </c>
      <c r="D8857" t="s">
        <v>313</v>
      </c>
      <c r="E8857" t="s">
        <v>126</v>
      </c>
      <c r="F8857">
        <v>8</v>
      </c>
      <c r="G8857">
        <v>93.190299999999993</v>
      </c>
    </row>
    <row r="8858" spans="1:7" x14ac:dyDescent="0.35">
      <c r="A8858" t="s">
        <v>847</v>
      </c>
      <c r="B8858" t="s">
        <v>691</v>
      </c>
      <c r="C8858" s="83">
        <v>46161</v>
      </c>
      <c r="D8858" t="s">
        <v>313</v>
      </c>
      <c r="E8858" t="s">
        <v>640</v>
      </c>
      <c r="F8858">
        <v>6</v>
      </c>
      <c r="G8858">
        <v>13.8957833333333</v>
      </c>
    </row>
    <row r="8859" spans="1:7" x14ac:dyDescent="0.35">
      <c r="A8859" t="s">
        <v>847</v>
      </c>
      <c r="B8859" t="s">
        <v>691</v>
      </c>
      <c r="C8859" s="83">
        <v>46161</v>
      </c>
      <c r="D8859" t="s">
        <v>313</v>
      </c>
      <c r="E8859" t="s">
        <v>311</v>
      </c>
      <c r="F8859">
        <v>6</v>
      </c>
      <c r="G8859">
        <v>60.520699999999998</v>
      </c>
    </row>
    <row r="8860" spans="1:7" x14ac:dyDescent="0.35">
      <c r="A8860" t="s">
        <v>847</v>
      </c>
      <c r="B8860" t="s">
        <v>691</v>
      </c>
      <c r="C8860" s="83">
        <v>46161</v>
      </c>
      <c r="D8860" t="s">
        <v>314</v>
      </c>
      <c r="E8860" t="s">
        <v>126</v>
      </c>
      <c r="F8860">
        <v>11</v>
      </c>
      <c r="G8860">
        <v>28.126933333333302</v>
      </c>
    </row>
    <row r="8861" spans="1:7" x14ac:dyDescent="0.35">
      <c r="A8861" t="s">
        <v>847</v>
      </c>
      <c r="B8861" t="s">
        <v>691</v>
      </c>
      <c r="C8861" s="83">
        <v>46161</v>
      </c>
      <c r="D8861" t="s">
        <v>314</v>
      </c>
      <c r="E8861" t="s">
        <v>338</v>
      </c>
      <c r="F8861">
        <v>5</v>
      </c>
      <c r="G8861">
        <v>7.9159499999999996</v>
      </c>
    </row>
    <row r="8862" spans="1:7" x14ac:dyDescent="0.35">
      <c r="A8862" t="s">
        <v>847</v>
      </c>
      <c r="B8862" t="s">
        <v>691</v>
      </c>
      <c r="C8862" s="83">
        <v>46161</v>
      </c>
      <c r="D8862" t="s">
        <v>314</v>
      </c>
      <c r="E8862" t="s">
        <v>640</v>
      </c>
      <c r="F8862">
        <v>4</v>
      </c>
      <c r="G8862">
        <v>5.1547499999999999</v>
      </c>
    </row>
    <row r="8863" spans="1:7" x14ac:dyDescent="0.35">
      <c r="A8863" t="s">
        <v>847</v>
      </c>
      <c r="B8863" t="s">
        <v>691</v>
      </c>
      <c r="C8863" s="83">
        <v>46161</v>
      </c>
      <c r="D8863" t="s">
        <v>317</v>
      </c>
      <c r="E8863" t="s">
        <v>319</v>
      </c>
      <c r="F8863">
        <v>2</v>
      </c>
      <c r="G8863">
        <v>49.2654</v>
      </c>
    </row>
    <row r="8864" spans="1:7" x14ac:dyDescent="0.35">
      <c r="A8864" t="s">
        <v>847</v>
      </c>
      <c r="B8864" t="s">
        <v>691</v>
      </c>
      <c r="C8864" s="83">
        <v>46161</v>
      </c>
      <c r="D8864" t="s">
        <v>317</v>
      </c>
      <c r="E8864" t="s">
        <v>339</v>
      </c>
      <c r="F8864">
        <v>2</v>
      </c>
      <c r="G8864">
        <v>1.4759166666666701</v>
      </c>
    </row>
    <row r="8865" spans="1:7" x14ac:dyDescent="0.35">
      <c r="A8865" t="s">
        <v>847</v>
      </c>
      <c r="B8865" t="s">
        <v>691</v>
      </c>
      <c r="C8865" s="83">
        <v>46162</v>
      </c>
      <c r="D8865" t="s">
        <v>295</v>
      </c>
      <c r="E8865" t="s">
        <v>296</v>
      </c>
      <c r="F8865">
        <v>41</v>
      </c>
      <c r="G8865">
        <v>20.247983333333298</v>
      </c>
    </row>
    <row r="8866" spans="1:7" x14ac:dyDescent="0.35">
      <c r="A8866" t="s">
        <v>847</v>
      </c>
      <c r="B8866" t="s">
        <v>691</v>
      </c>
      <c r="C8866" s="83">
        <v>46162</v>
      </c>
      <c r="D8866" t="s">
        <v>299</v>
      </c>
      <c r="E8866" t="s">
        <v>296</v>
      </c>
      <c r="F8866">
        <v>38</v>
      </c>
      <c r="G8866">
        <v>21.017800000000001</v>
      </c>
    </row>
    <row r="8867" spans="1:7" x14ac:dyDescent="0.35">
      <c r="A8867" t="s">
        <v>847</v>
      </c>
      <c r="B8867" t="s">
        <v>691</v>
      </c>
      <c r="C8867" s="83">
        <v>46162</v>
      </c>
      <c r="D8867" t="s">
        <v>310</v>
      </c>
      <c r="E8867" t="s">
        <v>333</v>
      </c>
      <c r="F8867">
        <v>9</v>
      </c>
      <c r="G8867">
        <v>7.2614333333333301</v>
      </c>
    </row>
    <row r="8868" spans="1:7" x14ac:dyDescent="0.35">
      <c r="A8868" t="s">
        <v>847</v>
      </c>
      <c r="B8868" t="s">
        <v>691</v>
      </c>
      <c r="C8868" s="83">
        <v>46162</v>
      </c>
      <c r="D8868" t="s">
        <v>310</v>
      </c>
      <c r="E8868" t="s">
        <v>126</v>
      </c>
      <c r="F8868">
        <v>8</v>
      </c>
      <c r="G8868">
        <v>9.2233166666666708</v>
      </c>
    </row>
    <row r="8869" spans="1:7" x14ac:dyDescent="0.35">
      <c r="A8869" t="s">
        <v>847</v>
      </c>
      <c r="B8869" t="s">
        <v>691</v>
      </c>
      <c r="C8869" s="83">
        <v>46162</v>
      </c>
      <c r="D8869" t="s">
        <v>310</v>
      </c>
      <c r="E8869" t="s">
        <v>640</v>
      </c>
      <c r="F8869">
        <v>4</v>
      </c>
      <c r="G8869">
        <v>7.0239166666666701</v>
      </c>
    </row>
    <row r="8870" spans="1:7" x14ac:dyDescent="0.35">
      <c r="A8870" t="s">
        <v>847</v>
      </c>
      <c r="B8870" t="s">
        <v>691</v>
      </c>
      <c r="C8870" s="83">
        <v>46162</v>
      </c>
      <c r="D8870" t="s">
        <v>313</v>
      </c>
      <c r="E8870" t="s">
        <v>126</v>
      </c>
      <c r="F8870">
        <v>16</v>
      </c>
      <c r="G8870">
        <v>32.367316666666703</v>
      </c>
    </row>
    <row r="8871" spans="1:7" x14ac:dyDescent="0.35">
      <c r="A8871" t="s">
        <v>847</v>
      </c>
      <c r="B8871" t="s">
        <v>691</v>
      </c>
      <c r="C8871" s="83">
        <v>46162</v>
      </c>
      <c r="D8871" t="s">
        <v>313</v>
      </c>
      <c r="E8871" t="s">
        <v>640</v>
      </c>
      <c r="F8871">
        <v>8</v>
      </c>
      <c r="G8871">
        <v>13.6676</v>
      </c>
    </row>
    <row r="8872" spans="1:7" x14ac:dyDescent="0.35">
      <c r="A8872" t="s">
        <v>847</v>
      </c>
      <c r="B8872" t="s">
        <v>691</v>
      </c>
      <c r="C8872" s="83">
        <v>46162</v>
      </c>
      <c r="D8872" t="s">
        <v>313</v>
      </c>
      <c r="E8872" t="s">
        <v>311</v>
      </c>
      <c r="F8872">
        <v>2</v>
      </c>
      <c r="G8872">
        <v>0.74171666666666702</v>
      </c>
    </row>
    <row r="8873" spans="1:7" x14ac:dyDescent="0.35">
      <c r="A8873" t="s">
        <v>847</v>
      </c>
      <c r="B8873" t="s">
        <v>691</v>
      </c>
      <c r="C8873" s="83">
        <v>46162</v>
      </c>
      <c r="D8873" t="s">
        <v>314</v>
      </c>
      <c r="E8873" t="s">
        <v>126</v>
      </c>
      <c r="F8873">
        <v>8</v>
      </c>
      <c r="G8873">
        <v>19.478183333333298</v>
      </c>
    </row>
    <row r="8874" spans="1:7" x14ac:dyDescent="0.35">
      <c r="A8874" t="s">
        <v>847</v>
      </c>
      <c r="B8874" t="s">
        <v>691</v>
      </c>
      <c r="C8874" s="83">
        <v>46162</v>
      </c>
      <c r="D8874" t="s">
        <v>314</v>
      </c>
      <c r="E8874" t="s">
        <v>640</v>
      </c>
      <c r="F8874">
        <v>8</v>
      </c>
      <c r="G8874">
        <v>21.083216666666701</v>
      </c>
    </row>
    <row r="8875" spans="1:7" x14ac:dyDescent="0.35">
      <c r="A8875" t="s">
        <v>847</v>
      </c>
      <c r="B8875" t="s">
        <v>691</v>
      </c>
      <c r="C8875" s="83">
        <v>46162</v>
      </c>
      <c r="D8875" t="s">
        <v>314</v>
      </c>
      <c r="E8875" t="s">
        <v>312</v>
      </c>
      <c r="F8875">
        <v>7</v>
      </c>
      <c r="G8875">
        <v>16.320083333333301</v>
      </c>
    </row>
    <row r="8876" spans="1:7" x14ac:dyDescent="0.35">
      <c r="A8876" t="s">
        <v>847</v>
      </c>
      <c r="B8876" t="s">
        <v>691</v>
      </c>
      <c r="C8876" s="83">
        <v>46162</v>
      </c>
      <c r="D8876" t="s">
        <v>317</v>
      </c>
      <c r="E8876" t="s">
        <v>323</v>
      </c>
      <c r="F8876">
        <v>3</v>
      </c>
      <c r="G8876">
        <v>1.111</v>
      </c>
    </row>
    <row r="8877" spans="1:7" x14ac:dyDescent="0.35">
      <c r="A8877" t="s">
        <v>847</v>
      </c>
      <c r="B8877" t="s">
        <v>691</v>
      </c>
      <c r="C8877" s="83">
        <v>46162</v>
      </c>
      <c r="D8877" t="s">
        <v>317</v>
      </c>
      <c r="E8877" t="s">
        <v>319</v>
      </c>
      <c r="F8877">
        <v>2</v>
      </c>
      <c r="G8877">
        <v>3.0930833333333299</v>
      </c>
    </row>
    <row r="8878" spans="1:7" x14ac:dyDescent="0.35">
      <c r="A8878" t="s">
        <v>847</v>
      </c>
      <c r="B8878" t="s">
        <v>691</v>
      </c>
      <c r="C8878" s="83">
        <v>46162</v>
      </c>
      <c r="D8878" t="s">
        <v>317</v>
      </c>
      <c r="E8878" t="s">
        <v>339</v>
      </c>
      <c r="F8878">
        <v>2</v>
      </c>
      <c r="G8878">
        <v>0.53886666666666705</v>
      </c>
    </row>
    <row r="8879" spans="1:7" x14ac:dyDescent="0.35">
      <c r="A8879" t="s">
        <v>847</v>
      </c>
      <c r="B8879" t="s">
        <v>691</v>
      </c>
      <c r="C8879" s="83">
        <v>46163</v>
      </c>
      <c r="D8879" t="s">
        <v>295</v>
      </c>
      <c r="E8879" t="s">
        <v>296</v>
      </c>
      <c r="F8879">
        <v>76</v>
      </c>
      <c r="G8879">
        <v>49.042900000000003</v>
      </c>
    </row>
    <row r="8880" spans="1:7" x14ac:dyDescent="0.35">
      <c r="A8880" t="s">
        <v>847</v>
      </c>
      <c r="B8880" t="s">
        <v>691</v>
      </c>
      <c r="C8880" s="83">
        <v>46163</v>
      </c>
      <c r="D8880" t="s">
        <v>299</v>
      </c>
      <c r="E8880" t="s">
        <v>296</v>
      </c>
      <c r="F8880">
        <v>50</v>
      </c>
      <c r="G8880">
        <v>34.036683333333301</v>
      </c>
    </row>
    <row r="8881" spans="1:7" x14ac:dyDescent="0.35">
      <c r="A8881" t="s">
        <v>847</v>
      </c>
      <c r="B8881" t="s">
        <v>691</v>
      </c>
      <c r="C8881" s="83">
        <v>46163</v>
      </c>
      <c r="D8881" t="s">
        <v>303</v>
      </c>
      <c r="E8881" t="s">
        <v>302</v>
      </c>
      <c r="F8881">
        <v>9</v>
      </c>
      <c r="G8881">
        <v>7.3605833333333299</v>
      </c>
    </row>
    <row r="8882" spans="1:7" x14ac:dyDescent="0.35">
      <c r="A8882" t="s">
        <v>847</v>
      </c>
      <c r="B8882" t="s">
        <v>691</v>
      </c>
      <c r="C8882" s="83">
        <v>46163</v>
      </c>
      <c r="D8882" t="s">
        <v>309</v>
      </c>
      <c r="E8882" t="s">
        <v>344</v>
      </c>
      <c r="F8882">
        <v>14</v>
      </c>
      <c r="G8882">
        <v>12.2684</v>
      </c>
    </row>
    <row r="8883" spans="1:7" x14ac:dyDescent="0.35">
      <c r="A8883" t="s">
        <v>847</v>
      </c>
      <c r="B8883" t="s">
        <v>691</v>
      </c>
      <c r="C8883" s="83">
        <v>46163</v>
      </c>
      <c r="D8883" t="s">
        <v>310</v>
      </c>
      <c r="E8883" t="s">
        <v>311</v>
      </c>
      <c r="F8883">
        <v>29</v>
      </c>
      <c r="G8883">
        <v>56.210183333333298</v>
      </c>
    </row>
    <row r="8884" spans="1:7" x14ac:dyDescent="0.35">
      <c r="A8884" t="s">
        <v>847</v>
      </c>
      <c r="B8884" t="s">
        <v>691</v>
      </c>
      <c r="C8884" s="83">
        <v>46163</v>
      </c>
      <c r="D8884" t="s">
        <v>310</v>
      </c>
      <c r="E8884" t="s">
        <v>338</v>
      </c>
      <c r="F8884">
        <v>8</v>
      </c>
      <c r="G8884">
        <v>13.6663833333333</v>
      </c>
    </row>
    <row r="8885" spans="1:7" x14ac:dyDescent="0.35">
      <c r="A8885" t="s">
        <v>847</v>
      </c>
      <c r="B8885" t="s">
        <v>691</v>
      </c>
      <c r="C8885" s="83">
        <v>46163</v>
      </c>
      <c r="D8885" t="s">
        <v>310</v>
      </c>
      <c r="E8885" t="s">
        <v>312</v>
      </c>
      <c r="F8885">
        <v>8</v>
      </c>
      <c r="G8885">
        <v>8.3452833333333292</v>
      </c>
    </row>
    <row r="8886" spans="1:7" x14ac:dyDescent="0.35">
      <c r="A8886" t="s">
        <v>847</v>
      </c>
      <c r="B8886" t="s">
        <v>691</v>
      </c>
      <c r="C8886" s="83">
        <v>46163</v>
      </c>
      <c r="D8886" t="s">
        <v>313</v>
      </c>
      <c r="E8886" t="s">
        <v>311</v>
      </c>
      <c r="F8886">
        <v>18</v>
      </c>
      <c r="G8886">
        <v>18.758283333333299</v>
      </c>
    </row>
    <row r="8887" spans="1:7" x14ac:dyDescent="0.35">
      <c r="A8887" t="s">
        <v>847</v>
      </c>
      <c r="B8887" t="s">
        <v>691</v>
      </c>
      <c r="C8887" s="83">
        <v>46163</v>
      </c>
      <c r="D8887" t="s">
        <v>313</v>
      </c>
      <c r="E8887" t="s">
        <v>126</v>
      </c>
      <c r="F8887">
        <v>10</v>
      </c>
      <c r="G8887">
        <v>28.891916666666699</v>
      </c>
    </row>
    <row r="8888" spans="1:7" x14ac:dyDescent="0.35">
      <c r="A8888" t="s">
        <v>847</v>
      </c>
      <c r="B8888" t="s">
        <v>691</v>
      </c>
      <c r="C8888" s="83">
        <v>46163</v>
      </c>
      <c r="D8888" t="s">
        <v>313</v>
      </c>
      <c r="E8888" t="s">
        <v>316</v>
      </c>
      <c r="F8888">
        <v>5</v>
      </c>
      <c r="G8888">
        <v>1.7904166666666701</v>
      </c>
    </row>
    <row r="8889" spans="1:7" x14ac:dyDescent="0.35">
      <c r="A8889" t="s">
        <v>847</v>
      </c>
      <c r="B8889" t="s">
        <v>691</v>
      </c>
      <c r="C8889" s="83">
        <v>46163</v>
      </c>
      <c r="D8889" t="s">
        <v>314</v>
      </c>
      <c r="E8889" t="s">
        <v>640</v>
      </c>
      <c r="F8889">
        <v>6</v>
      </c>
      <c r="G8889">
        <v>6.4725666666666699</v>
      </c>
    </row>
    <row r="8890" spans="1:7" x14ac:dyDescent="0.35">
      <c r="A8890" t="s">
        <v>847</v>
      </c>
      <c r="B8890" t="s">
        <v>691</v>
      </c>
      <c r="C8890" s="83">
        <v>46163</v>
      </c>
      <c r="D8890" t="s">
        <v>314</v>
      </c>
      <c r="E8890" t="s">
        <v>316</v>
      </c>
      <c r="F8890">
        <v>5</v>
      </c>
      <c r="G8890">
        <v>1.72908333333333</v>
      </c>
    </row>
    <row r="8891" spans="1:7" x14ac:dyDescent="0.35">
      <c r="A8891" t="s">
        <v>847</v>
      </c>
      <c r="B8891" t="s">
        <v>691</v>
      </c>
      <c r="C8891" s="83">
        <v>46163</v>
      </c>
      <c r="D8891" t="s">
        <v>314</v>
      </c>
      <c r="E8891" t="s">
        <v>126</v>
      </c>
      <c r="F8891">
        <v>4</v>
      </c>
      <c r="G8891">
        <v>11.3432</v>
      </c>
    </row>
    <row r="8892" spans="1:7" x14ac:dyDescent="0.35">
      <c r="A8892" t="s">
        <v>847</v>
      </c>
      <c r="B8892" t="s">
        <v>691</v>
      </c>
      <c r="C8892" s="83">
        <v>46163</v>
      </c>
      <c r="D8892" t="s">
        <v>317</v>
      </c>
      <c r="E8892" t="s">
        <v>339</v>
      </c>
      <c r="F8892">
        <v>3</v>
      </c>
      <c r="G8892">
        <v>2.2579833333333301</v>
      </c>
    </row>
    <row r="8893" spans="1:7" x14ac:dyDescent="0.35">
      <c r="A8893" t="s">
        <v>847</v>
      </c>
      <c r="B8893" t="s">
        <v>691</v>
      </c>
      <c r="C8893" s="83">
        <v>46163</v>
      </c>
      <c r="D8893" t="s">
        <v>317</v>
      </c>
      <c r="E8893" t="s">
        <v>825</v>
      </c>
      <c r="F8893">
        <v>2</v>
      </c>
      <c r="G8893">
        <v>0.47821666666666701</v>
      </c>
    </row>
    <row r="8894" spans="1:7" x14ac:dyDescent="0.35">
      <c r="A8894" t="s">
        <v>847</v>
      </c>
      <c r="B8894" t="s">
        <v>691</v>
      </c>
      <c r="C8894" s="83">
        <v>46164</v>
      </c>
      <c r="D8894" t="s">
        <v>295</v>
      </c>
      <c r="E8894" t="s">
        <v>296</v>
      </c>
      <c r="F8894">
        <v>56</v>
      </c>
      <c r="G8894">
        <v>24.0215666666667</v>
      </c>
    </row>
    <row r="8895" spans="1:7" x14ac:dyDescent="0.35">
      <c r="A8895" t="s">
        <v>847</v>
      </c>
      <c r="B8895" t="s">
        <v>691</v>
      </c>
      <c r="C8895" s="83">
        <v>46164</v>
      </c>
      <c r="D8895" t="s">
        <v>295</v>
      </c>
      <c r="E8895" t="s">
        <v>302</v>
      </c>
      <c r="F8895">
        <v>11</v>
      </c>
      <c r="G8895">
        <v>5.1051833333333301</v>
      </c>
    </row>
    <row r="8896" spans="1:7" x14ac:dyDescent="0.35">
      <c r="A8896" t="s">
        <v>847</v>
      </c>
      <c r="B8896" t="s">
        <v>691</v>
      </c>
      <c r="C8896" s="83">
        <v>46164</v>
      </c>
      <c r="D8896" t="s">
        <v>299</v>
      </c>
      <c r="E8896" t="s">
        <v>296</v>
      </c>
      <c r="F8896">
        <v>107</v>
      </c>
      <c r="G8896">
        <v>52.446916666666702</v>
      </c>
    </row>
    <row r="8897" spans="1:7" x14ac:dyDescent="0.35">
      <c r="A8897" t="s">
        <v>847</v>
      </c>
      <c r="B8897" t="s">
        <v>691</v>
      </c>
      <c r="C8897" s="83">
        <v>46164</v>
      </c>
      <c r="D8897" t="s">
        <v>301</v>
      </c>
      <c r="E8897" t="s">
        <v>302</v>
      </c>
      <c r="F8897">
        <v>22</v>
      </c>
      <c r="G8897">
        <v>10.078383333333299</v>
      </c>
    </row>
    <row r="8898" spans="1:7" x14ac:dyDescent="0.35">
      <c r="A8898" t="s">
        <v>847</v>
      </c>
      <c r="B8898" t="s">
        <v>691</v>
      </c>
      <c r="C8898" s="83">
        <v>46164</v>
      </c>
      <c r="D8898" t="s">
        <v>310</v>
      </c>
      <c r="E8898" t="s">
        <v>312</v>
      </c>
      <c r="F8898">
        <v>13</v>
      </c>
      <c r="G8898">
        <v>6.7124333333333297</v>
      </c>
    </row>
    <row r="8899" spans="1:7" x14ac:dyDescent="0.35">
      <c r="A8899" t="s">
        <v>847</v>
      </c>
      <c r="B8899" t="s">
        <v>691</v>
      </c>
      <c r="C8899" s="83">
        <v>46164</v>
      </c>
      <c r="D8899" t="s">
        <v>310</v>
      </c>
      <c r="E8899" t="s">
        <v>640</v>
      </c>
      <c r="F8899">
        <v>11</v>
      </c>
      <c r="G8899">
        <v>17.3350333333333</v>
      </c>
    </row>
    <row r="8900" spans="1:7" x14ac:dyDescent="0.35">
      <c r="A8900" t="s">
        <v>847</v>
      </c>
      <c r="B8900" t="s">
        <v>691</v>
      </c>
      <c r="C8900" s="83">
        <v>46164</v>
      </c>
      <c r="D8900" t="s">
        <v>310</v>
      </c>
      <c r="E8900" t="s">
        <v>126</v>
      </c>
      <c r="F8900">
        <v>10</v>
      </c>
      <c r="G8900">
        <v>6.44281666666667</v>
      </c>
    </row>
    <row r="8901" spans="1:7" x14ac:dyDescent="0.35">
      <c r="A8901" t="s">
        <v>847</v>
      </c>
      <c r="B8901" t="s">
        <v>691</v>
      </c>
      <c r="C8901" s="83">
        <v>46164</v>
      </c>
      <c r="D8901" t="s">
        <v>313</v>
      </c>
      <c r="E8901" t="s">
        <v>311</v>
      </c>
      <c r="F8901">
        <v>7</v>
      </c>
      <c r="G8901">
        <v>13.8730833333333</v>
      </c>
    </row>
    <row r="8902" spans="1:7" x14ac:dyDescent="0.35">
      <c r="A8902" t="s">
        <v>847</v>
      </c>
      <c r="B8902" t="s">
        <v>691</v>
      </c>
      <c r="C8902" s="83">
        <v>46164</v>
      </c>
      <c r="D8902" t="s">
        <v>313</v>
      </c>
      <c r="E8902" t="s">
        <v>316</v>
      </c>
      <c r="F8902">
        <v>2</v>
      </c>
      <c r="G8902">
        <v>0.48104999999999998</v>
      </c>
    </row>
    <row r="8903" spans="1:7" x14ac:dyDescent="0.35">
      <c r="A8903" t="s">
        <v>847</v>
      </c>
      <c r="B8903" t="s">
        <v>691</v>
      </c>
      <c r="C8903" s="83">
        <v>46164</v>
      </c>
      <c r="D8903" t="s">
        <v>314</v>
      </c>
      <c r="E8903" t="s">
        <v>126</v>
      </c>
      <c r="F8903">
        <v>5</v>
      </c>
      <c r="G8903">
        <v>4.5918999999999999</v>
      </c>
    </row>
    <row r="8904" spans="1:7" x14ac:dyDescent="0.35">
      <c r="A8904" t="s">
        <v>847</v>
      </c>
      <c r="B8904" t="s">
        <v>691</v>
      </c>
      <c r="C8904" s="83">
        <v>46164</v>
      </c>
      <c r="D8904" t="s">
        <v>314</v>
      </c>
      <c r="E8904" t="s">
        <v>640</v>
      </c>
      <c r="F8904">
        <v>3</v>
      </c>
      <c r="G8904">
        <v>3.2792500000000002</v>
      </c>
    </row>
    <row r="8905" spans="1:7" x14ac:dyDescent="0.35">
      <c r="A8905" t="s">
        <v>847</v>
      </c>
      <c r="B8905" t="s">
        <v>691</v>
      </c>
      <c r="C8905" s="83">
        <v>46164</v>
      </c>
      <c r="D8905" t="s">
        <v>314</v>
      </c>
      <c r="E8905" t="s">
        <v>312</v>
      </c>
      <c r="F8905">
        <v>2</v>
      </c>
      <c r="G8905">
        <v>2.2746</v>
      </c>
    </row>
    <row r="8906" spans="1:7" x14ac:dyDescent="0.35">
      <c r="A8906" t="s">
        <v>847</v>
      </c>
      <c r="B8906" t="s">
        <v>691</v>
      </c>
      <c r="C8906" s="83">
        <v>46164</v>
      </c>
      <c r="D8906" t="s">
        <v>317</v>
      </c>
      <c r="E8906" t="s">
        <v>339</v>
      </c>
      <c r="F8906">
        <v>2</v>
      </c>
      <c r="G8906">
        <v>1.67655</v>
      </c>
    </row>
    <row r="8907" spans="1:7" x14ac:dyDescent="0.35">
      <c r="A8907" t="s">
        <v>847</v>
      </c>
      <c r="B8907" t="s">
        <v>691</v>
      </c>
      <c r="C8907" s="83">
        <v>46165</v>
      </c>
      <c r="D8907" t="s">
        <v>295</v>
      </c>
      <c r="E8907" t="s">
        <v>296</v>
      </c>
      <c r="F8907">
        <v>53</v>
      </c>
      <c r="G8907">
        <v>31.586116666666701</v>
      </c>
    </row>
    <row r="8908" spans="1:7" x14ac:dyDescent="0.35">
      <c r="A8908" t="s">
        <v>847</v>
      </c>
      <c r="B8908" t="s">
        <v>691</v>
      </c>
      <c r="C8908" s="83">
        <v>46165</v>
      </c>
      <c r="D8908" t="s">
        <v>295</v>
      </c>
      <c r="E8908" t="s">
        <v>302</v>
      </c>
      <c r="F8908">
        <v>13</v>
      </c>
      <c r="G8908">
        <v>16.363516666666701</v>
      </c>
    </row>
    <row r="8909" spans="1:7" x14ac:dyDescent="0.35">
      <c r="A8909" t="s">
        <v>847</v>
      </c>
      <c r="B8909" t="s">
        <v>691</v>
      </c>
      <c r="C8909" s="83">
        <v>46165</v>
      </c>
      <c r="D8909" t="s">
        <v>295</v>
      </c>
      <c r="E8909" t="s">
        <v>828</v>
      </c>
      <c r="F8909">
        <v>11</v>
      </c>
      <c r="G8909">
        <v>7.7217500000000001</v>
      </c>
    </row>
    <row r="8910" spans="1:7" x14ac:dyDescent="0.35">
      <c r="A8910" t="s">
        <v>847</v>
      </c>
      <c r="B8910" t="s">
        <v>691</v>
      </c>
      <c r="C8910" s="83">
        <v>46165</v>
      </c>
      <c r="D8910" t="s">
        <v>299</v>
      </c>
      <c r="E8910" t="s">
        <v>296</v>
      </c>
      <c r="F8910">
        <v>60</v>
      </c>
      <c r="G8910">
        <v>31.515283333333301</v>
      </c>
    </row>
    <row r="8911" spans="1:7" x14ac:dyDescent="0.35">
      <c r="A8911" t="s">
        <v>847</v>
      </c>
      <c r="B8911" t="s">
        <v>691</v>
      </c>
      <c r="C8911" s="83">
        <v>46165</v>
      </c>
      <c r="D8911" t="s">
        <v>310</v>
      </c>
      <c r="E8911" t="s">
        <v>333</v>
      </c>
      <c r="F8911">
        <v>11</v>
      </c>
      <c r="G8911">
        <v>304.59710000000001</v>
      </c>
    </row>
    <row r="8912" spans="1:7" x14ac:dyDescent="0.35">
      <c r="A8912" t="s">
        <v>847</v>
      </c>
      <c r="B8912" t="s">
        <v>691</v>
      </c>
      <c r="C8912" s="83">
        <v>46165</v>
      </c>
      <c r="D8912" t="s">
        <v>310</v>
      </c>
      <c r="E8912" t="s">
        <v>126</v>
      </c>
      <c r="F8912">
        <v>7</v>
      </c>
      <c r="G8912">
        <v>4.5052500000000002</v>
      </c>
    </row>
    <row r="8913" spans="1:7" x14ac:dyDescent="0.35">
      <c r="A8913" t="s">
        <v>847</v>
      </c>
      <c r="B8913" t="s">
        <v>691</v>
      </c>
      <c r="C8913" s="83">
        <v>46165</v>
      </c>
      <c r="D8913" t="s">
        <v>310</v>
      </c>
      <c r="E8913" t="s">
        <v>760</v>
      </c>
      <c r="F8913">
        <v>5</v>
      </c>
      <c r="G8913">
        <v>32.9896666666667</v>
      </c>
    </row>
    <row r="8914" spans="1:7" x14ac:dyDescent="0.35">
      <c r="A8914" t="s">
        <v>847</v>
      </c>
      <c r="B8914" t="s">
        <v>691</v>
      </c>
      <c r="C8914" s="83">
        <v>46165</v>
      </c>
      <c r="D8914" t="s">
        <v>313</v>
      </c>
      <c r="E8914" t="s">
        <v>126</v>
      </c>
      <c r="F8914">
        <v>19</v>
      </c>
      <c r="G8914">
        <v>75.344416666666703</v>
      </c>
    </row>
    <row r="8915" spans="1:7" x14ac:dyDescent="0.35">
      <c r="A8915" t="s">
        <v>847</v>
      </c>
      <c r="B8915" t="s">
        <v>691</v>
      </c>
      <c r="C8915" s="83">
        <v>46165</v>
      </c>
      <c r="D8915" t="s">
        <v>313</v>
      </c>
      <c r="E8915" t="s">
        <v>311</v>
      </c>
      <c r="F8915">
        <v>13</v>
      </c>
      <c r="G8915">
        <v>15.546150000000001</v>
      </c>
    </row>
    <row r="8916" spans="1:7" x14ac:dyDescent="0.35">
      <c r="A8916" t="s">
        <v>847</v>
      </c>
      <c r="B8916" t="s">
        <v>691</v>
      </c>
      <c r="C8916" s="83">
        <v>46165</v>
      </c>
      <c r="D8916" t="s">
        <v>313</v>
      </c>
      <c r="E8916" t="s">
        <v>312</v>
      </c>
      <c r="F8916">
        <v>4</v>
      </c>
      <c r="G8916">
        <v>1.63801666666667</v>
      </c>
    </row>
    <row r="8917" spans="1:7" x14ac:dyDescent="0.35">
      <c r="A8917" t="s">
        <v>847</v>
      </c>
      <c r="B8917" t="s">
        <v>691</v>
      </c>
      <c r="C8917" s="83">
        <v>46165</v>
      </c>
      <c r="D8917" t="s">
        <v>314</v>
      </c>
      <c r="E8917" t="s">
        <v>321</v>
      </c>
      <c r="F8917">
        <v>2</v>
      </c>
      <c r="G8917">
        <v>4.1833333333333299E-2</v>
      </c>
    </row>
    <row r="8918" spans="1:7" x14ac:dyDescent="0.35">
      <c r="A8918" t="s">
        <v>847</v>
      </c>
      <c r="B8918" t="s">
        <v>691</v>
      </c>
      <c r="C8918" s="83">
        <v>46165</v>
      </c>
      <c r="D8918" t="s">
        <v>314</v>
      </c>
      <c r="E8918" t="s">
        <v>322</v>
      </c>
      <c r="F8918">
        <v>2</v>
      </c>
      <c r="G8918">
        <v>0.48928333333333301</v>
      </c>
    </row>
    <row r="8919" spans="1:7" x14ac:dyDescent="0.35">
      <c r="A8919" t="s">
        <v>847</v>
      </c>
      <c r="B8919" t="s">
        <v>691</v>
      </c>
      <c r="C8919" s="83">
        <v>46165</v>
      </c>
      <c r="D8919" t="s">
        <v>314</v>
      </c>
      <c r="E8919" t="s">
        <v>316</v>
      </c>
      <c r="F8919">
        <v>2</v>
      </c>
      <c r="G8919">
        <v>0.48159999999999997</v>
      </c>
    </row>
    <row r="8920" spans="1:7" x14ac:dyDescent="0.35">
      <c r="A8920" t="s">
        <v>847</v>
      </c>
      <c r="B8920" t="s">
        <v>691</v>
      </c>
      <c r="C8920" s="83">
        <v>46165</v>
      </c>
      <c r="D8920" t="s">
        <v>317</v>
      </c>
      <c r="E8920" t="s">
        <v>319</v>
      </c>
      <c r="F8920">
        <v>2</v>
      </c>
      <c r="G8920">
        <v>0.14785000000000001</v>
      </c>
    </row>
    <row r="8921" spans="1:7" x14ac:dyDescent="0.35">
      <c r="A8921" t="s">
        <v>847</v>
      </c>
      <c r="B8921" t="s">
        <v>691</v>
      </c>
      <c r="C8921" s="83">
        <v>46166</v>
      </c>
      <c r="D8921" t="s">
        <v>295</v>
      </c>
      <c r="E8921" t="s">
        <v>296</v>
      </c>
      <c r="F8921">
        <v>60</v>
      </c>
      <c r="G8921">
        <v>26.8298666666667</v>
      </c>
    </row>
    <row r="8922" spans="1:7" x14ac:dyDescent="0.35">
      <c r="A8922" t="s">
        <v>847</v>
      </c>
      <c r="B8922" t="s">
        <v>691</v>
      </c>
      <c r="C8922" s="83">
        <v>46166</v>
      </c>
      <c r="D8922" t="s">
        <v>299</v>
      </c>
      <c r="E8922" t="s">
        <v>296</v>
      </c>
      <c r="F8922">
        <v>75</v>
      </c>
      <c r="G8922">
        <v>28.3969666666667</v>
      </c>
    </row>
    <row r="8923" spans="1:7" x14ac:dyDescent="0.35">
      <c r="A8923" t="s">
        <v>847</v>
      </c>
      <c r="B8923" t="s">
        <v>691</v>
      </c>
      <c r="C8923" s="83">
        <v>46166</v>
      </c>
      <c r="D8923" t="s">
        <v>299</v>
      </c>
      <c r="E8923" t="s">
        <v>302</v>
      </c>
      <c r="F8923">
        <v>24</v>
      </c>
      <c r="G8923">
        <v>13.3944333333333</v>
      </c>
    </row>
    <row r="8924" spans="1:7" x14ac:dyDescent="0.35">
      <c r="A8924" t="s">
        <v>847</v>
      </c>
      <c r="B8924" t="s">
        <v>691</v>
      </c>
      <c r="C8924" s="83">
        <v>46166</v>
      </c>
      <c r="D8924" t="s">
        <v>309</v>
      </c>
      <c r="E8924" t="s">
        <v>344</v>
      </c>
      <c r="F8924">
        <v>16</v>
      </c>
      <c r="G8924">
        <v>9.9189166666666697</v>
      </c>
    </row>
    <row r="8925" spans="1:7" x14ac:dyDescent="0.35">
      <c r="A8925" t="s">
        <v>847</v>
      </c>
      <c r="B8925" t="s">
        <v>691</v>
      </c>
      <c r="C8925" s="83">
        <v>46166</v>
      </c>
      <c r="D8925" t="s">
        <v>310</v>
      </c>
      <c r="E8925" t="s">
        <v>311</v>
      </c>
      <c r="F8925">
        <v>41</v>
      </c>
      <c r="G8925">
        <v>23.2818</v>
      </c>
    </row>
    <row r="8926" spans="1:7" x14ac:dyDescent="0.35">
      <c r="A8926" t="s">
        <v>847</v>
      </c>
      <c r="B8926" t="s">
        <v>691</v>
      </c>
      <c r="C8926" s="83">
        <v>46166</v>
      </c>
      <c r="D8926" t="s">
        <v>310</v>
      </c>
      <c r="E8926" t="s">
        <v>126</v>
      </c>
      <c r="F8926">
        <v>22</v>
      </c>
      <c r="G8926">
        <v>20.5233833333333</v>
      </c>
    </row>
    <row r="8927" spans="1:7" x14ac:dyDescent="0.35">
      <c r="A8927" t="s">
        <v>847</v>
      </c>
      <c r="B8927" t="s">
        <v>691</v>
      </c>
      <c r="C8927" s="83">
        <v>46166</v>
      </c>
      <c r="D8927" t="s">
        <v>310</v>
      </c>
      <c r="E8927" t="s">
        <v>312</v>
      </c>
      <c r="F8927">
        <v>17</v>
      </c>
      <c r="G8927">
        <v>9.1796666666666695</v>
      </c>
    </row>
    <row r="8928" spans="1:7" x14ac:dyDescent="0.35">
      <c r="A8928" t="s">
        <v>847</v>
      </c>
      <c r="B8928" t="s">
        <v>691</v>
      </c>
      <c r="C8928" s="83">
        <v>46166</v>
      </c>
      <c r="D8928" t="s">
        <v>313</v>
      </c>
      <c r="E8928" t="s">
        <v>126</v>
      </c>
      <c r="F8928">
        <v>26</v>
      </c>
      <c r="G8928">
        <v>168.31678333333301</v>
      </c>
    </row>
    <row r="8929" spans="1:7" x14ac:dyDescent="0.35">
      <c r="A8929" t="s">
        <v>847</v>
      </c>
      <c r="B8929" t="s">
        <v>691</v>
      </c>
      <c r="C8929" s="83">
        <v>46166</v>
      </c>
      <c r="D8929" t="s">
        <v>313</v>
      </c>
      <c r="E8929" t="s">
        <v>312</v>
      </c>
      <c r="F8929">
        <v>12</v>
      </c>
      <c r="G8929">
        <v>29.214549999999999</v>
      </c>
    </row>
    <row r="8930" spans="1:7" x14ac:dyDescent="0.35">
      <c r="A8930" t="s">
        <v>847</v>
      </c>
      <c r="B8930" t="s">
        <v>691</v>
      </c>
      <c r="C8930" s="83">
        <v>46166</v>
      </c>
      <c r="D8930" t="s">
        <v>313</v>
      </c>
      <c r="E8930" t="s">
        <v>311</v>
      </c>
      <c r="F8930">
        <v>11</v>
      </c>
      <c r="G8930">
        <v>6.7215833333333297</v>
      </c>
    </row>
    <row r="8931" spans="1:7" x14ac:dyDescent="0.35">
      <c r="A8931" t="s">
        <v>847</v>
      </c>
      <c r="B8931" t="s">
        <v>691</v>
      </c>
      <c r="C8931" s="83">
        <v>46166</v>
      </c>
      <c r="D8931" t="s">
        <v>314</v>
      </c>
      <c r="E8931" t="s">
        <v>126</v>
      </c>
      <c r="F8931">
        <v>4</v>
      </c>
      <c r="G8931">
        <v>12.309516666666701</v>
      </c>
    </row>
    <row r="8932" spans="1:7" x14ac:dyDescent="0.35">
      <c r="A8932" t="s">
        <v>847</v>
      </c>
      <c r="B8932" t="s">
        <v>691</v>
      </c>
      <c r="C8932" s="83">
        <v>46166</v>
      </c>
      <c r="D8932" t="s">
        <v>314</v>
      </c>
      <c r="E8932" t="s">
        <v>348</v>
      </c>
      <c r="F8932">
        <v>3</v>
      </c>
      <c r="G8932">
        <v>2.1772666666666698</v>
      </c>
    </row>
    <row r="8933" spans="1:7" x14ac:dyDescent="0.35">
      <c r="A8933" t="s">
        <v>847</v>
      </c>
      <c r="B8933" t="s">
        <v>691</v>
      </c>
      <c r="C8933" s="83">
        <v>46166</v>
      </c>
      <c r="D8933" t="s">
        <v>314</v>
      </c>
      <c r="E8933" t="s">
        <v>321</v>
      </c>
      <c r="F8933">
        <v>2</v>
      </c>
      <c r="G8933">
        <v>0.35526666666666701</v>
      </c>
    </row>
    <row r="8934" spans="1:7" x14ac:dyDescent="0.35">
      <c r="A8934" t="s">
        <v>847</v>
      </c>
      <c r="B8934" t="s">
        <v>691</v>
      </c>
      <c r="C8934" s="83">
        <v>46166</v>
      </c>
      <c r="D8934" t="s">
        <v>317</v>
      </c>
      <c r="E8934" t="s">
        <v>319</v>
      </c>
      <c r="F8934">
        <v>3</v>
      </c>
      <c r="G8934">
        <v>1.4640500000000001</v>
      </c>
    </row>
    <row r="8935" spans="1:7" x14ac:dyDescent="0.35">
      <c r="A8935" t="s">
        <v>847</v>
      </c>
      <c r="B8935" t="s">
        <v>691</v>
      </c>
      <c r="C8935" s="83">
        <v>46166</v>
      </c>
      <c r="D8935" t="s">
        <v>317</v>
      </c>
      <c r="E8935" t="s">
        <v>800</v>
      </c>
      <c r="F8935">
        <v>2</v>
      </c>
      <c r="G8935">
        <v>0.41311666666666702</v>
      </c>
    </row>
    <row r="8936" spans="1:7" x14ac:dyDescent="0.35">
      <c r="A8936" t="s">
        <v>847</v>
      </c>
      <c r="B8936" t="s">
        <v>691</v>
      </c>
      <c r="C8936" s="83">
        <v>46166</v>
      </c>
      <c r="D8936" t="s">
        <v>317</v>
      </c>
      <c r="E8936" t="s">
        <v>318</v>
      </c>
      <c r="F8936">
        <v>2</v>
      </c>
      <c r="G8936">
        <v>2.2178833333333299</v>
      </c>
    </row>
    <row r="8937" spans="1:7" x14ac:dyDescent="0.35">
      <c r="A8937" t="s">
        <v>847</v>
      </c>
      <c r="B8937" t="s">
        <v>691</v>
      </c>
      <c r="C8937" s="83">
        <v>46167</v>
      </c>
      <c r="D8937" t="s">
        <v>295</v>
      </c>
      <c r="E8937" t="s">
        <v>296</v>
      </c>
      <c r="F8937">
        <v>64</v>
      </c>
      <c r="G8937">
        <v>37.011600000000001</v>
      </c>
    </row>
    <row r="8938" spans="1:7" x14ac:dyDescent="0.35">
      <c r="A8938" t="s">
        <v>847</v>
      </c>
      <c r="B8938" t="s">
        <v>691</v>
      </c>
      <c r="C8938" s="83">
        <v>46167</v>
      </c>
      <c r="D8938" t="s">
        <v>295</v>
      </c>
      <c r="E8938" t="s">
        <v>302</v>
      </c>
      <c r="F8938">
        <v>11</v>
      </c>
      <c r="G8938">
        <v>3.74678333333333</v>
      </c>
    </row>
    <row r="8939" spans="1:7" x14ac:dyDescent="0.35">
      <c r="A8939" t="s">
        <v>847</v>
      </c>
      <c r="B8939" t="s">
        <v>691</v>
      </c>
      <c r="C8939" s="83">
        <v>46167</v>
      </c>
      <c r="D8939" t="s">
        <v>299</v>
      </c>
      <c r="E8939" t="s">
        <v>296</v>
      </c>
      <c r="F8939">
        <v>85</v>
      </c>
      <c r="G8939">
        <v>38.7089833333333</v>
      </c>
    </row>
    <row r="8940" spans="1:7" x14ac:dyDescent="0.35">
      <c r="A8940" t="s">
        <v>847</v>
      </c>
      <c r="B8940" t="s">
        <v>691</v>
      </c>
      <c r="C8940" s="83">
        <v>46167</v>
      </c>
      <c r="D8940" t="s">
        <v>301</v>
      </c>
      <c r="E8940" t="s">
        <v>302</v>
      </c>
      <c r="F8940">
        <v>42</v>
      </c>
      <c r="G8940">
        <v>27.090250000000001</v>
      </c>
    </row>
    <row r="8941" spans="1:7" x14ac:dyDescent="0.35">
      <c r="A8941" t="s">
        <v>847</v>
      </c>
      <c r="B8941" t="s">
        <v>691</v>
      </c>
      <c r="C8941" s="83">
        <v>46167</v>
      </c>
      <c r="D8941" t="s">
        <v>310</v>
      </c>
      <c r="E8941" t="s">
        <v>311</v>
      </c>
      <c r="F8941">
        <v>34</v>
      </c>
      <c r="G8941">
        <v>19.077733333333299</v>
      </c>
    </row>
    <row r="8942" spans="1:7" x14ac:dyDescent="0.35">
      <c r="A8942" t="s">
        <v>847</v>
      </c>
      <c r="B8942" t="s">
        <v>691</v>
      </c>
      <c r="C8942" s="83">
        <v>46167</v>
      </c>
      <c r="D8942" t="s">
        <v>310</v>
      </c>
      <c r="E8942" t="s">
        <v>126</v>
      </c>
      <c r="F8942">
        <v>19</v>
      </c>
      <c r="G8942">
        <v>21.5187833333333</v>
      </c>
    </row>
    <row r="8943" spans="1:7" x14ac:dyDescent="0.35">
      <c r="A8943" t="s">
        <v>847</v>
      </c>
      <c r="B8943" t="s">
        <v>691</v>
      </c>
      <c r="C8943" s="83">
        <v>46167</v>
      </c>
      <c r="D8943" t="s">
        <v>310</v>
      </c>
      <c r="E8943" t="s">
        <v>312</v>
      </c>
      <c r="F8943">
        <v>15</v>
      </c>
      <c r="G8943">
        <v>10.8805666666667</v>
      </c>
    </row>
    <row r="8944" spans="1:7" x14ac:dyDescent="0.35">
      <c r="A8944" t="s">
        <v>847</v>
      </c>
      <c r="B8944" t="s">
        <v>691</v>
      </c>
      <c r="C8944" s="83">
        <v>46167</v>
      </c>
      <c r="D8944" t="s">
        <v>313</v>
      </c>
      <c r="E8944" t="s">
        <v>126</v>
      </c>
      <c r="F8944">
        <v>8</v>
      </c>
      <c r="G8944">
        <v>12.4844666666667</v>
      </c>
    </row>
    <row r="8945" spans="1:7" x14ac:dyDescent="0.35">
      <c r="A8945" t="s">
        <v>847</v>
      </c>
      <c r="B8945" t="s">
        <v>691</v>
      </c>
      <c r="C8945" s="83">
        <v>46167</v>
      </c>
      <c r="D8945" t="s">
        <v>313</v>
      </c>
      <c r="E8945" t="s">
        <v>311</v>
      </c>
      <c r="F8945">
        <v>7</v>
      </c>
      <c r="G8945">
        <v>36.911250000000003</v>
      </c>
    </row>
    <row r="8946" spans="1:7" x14ac:dyDescent="0.35">
      <c r="A8946" t="s">
        <v>847</v>
      </c>
      <c r="B8946" t="s">
        <v>691</v>
      </c>
      <c r="C8946" s="83">
        <v>46167</v>
      </c>
      <c r="D8946" t="s">
        <v>313</v>
      </c>
      <c r="E8946" t="s">
        <v>347</v>
      </c>
      <c r="F8946">
        <v>3</v>
      </c>
      <c r="G8946">
        <v>1.1839833333333301</v>
      </c>
    </row>
    <row r="8947" spans="1:7" x14ac:dyDescent="0.35">
      <c r="A8947" t="s">
        <v>847</v>
      </c>
      <c r="B8947" t="s">
        <v>691</v>
      </c>
      <c r="C8947" s="83">
        <v>46167</v>
      </c>
      <c r="D8947" t="s">
        <v>314</v>
      </c>
      <c r="E8947" t="s">
        <v>316</v>
      </c>
      <c r="F8947">
        <v>7</v>
      </c>
      <c r="G8947">
        <v>3.2427999999999999</v>
      </c>
    </row>
    <row r="8948" spans="1:7" x14ac:dyDescent="0.35">
      <c r="A8948" t="s">
        <v>847</v>
      </c>
      <c r="B8948" t="s">
        <v>691</v>
      </c>
      <c r="C8948" s="83">
        <v>46167</v>
      </c>
      <c r="D8948" t="s">
        <v>314</v>
      </c>
      <c r="E8948" t="s">
        <v>126</v>
      </c>
      <c r="F8948">
        <v>3</v>
      </c>
      <c r="G8948">
        <v>4.4616666666666704</v>
      </c>
    </row>
    <row r="8949" spans="1:7" x14ac:dyDescent="0.35">
      <c r="A8949" t="s">
        <v>847</v>
      </c>
      <c r="B8949" t="s">
        <v>691</v>
      </c>
      <c r="C8949" s="83">
        <v>46167</v>
      </c>
      <c r="D8949" t="s">
        <v>314</v>
      </c>
      <c r="E8949" t="s">
        <v>347</v>
      </c>
      <c r="F8949">
        <v>2</v>
      </c>
      <c r="G8949">
        <v>0.68301666666666705</v>
      </c>
    </row>
    <row r="8950" spans="1:7" x14ac:dyDescent="0.35">
      <c r="A8950" t="s">
        <v>847</v>
      </c>
      <c r="B8950" t="s">
        <v>691</v>
      </c>
      <c r="C8950" s="83">
        <v>46167</v>
      </c>
      <c r="D8950" t="s">
        <v>317</v>
      </c>
      <c r="E8950" t="s">
        <v>319</v>
      </c>
      <c r="F8950">
        <v>4</v>
      </c>
      <c r="G8950">
        <v>181.89695</v>
      </c>
    </row>
    <row r="8951" spans="1:7" x14ac:dyDescent="0.35">
      <c r="A8951" t="s">
        <v>847</v>
      </c>
      <c r="B8951" t="s">
        <v>691</v>
      </c>
      <c r="C8951" s="83">
        <v>46167</v>
      </c>
      <c r="D8951" t="s">
        <v>317</v>
      </c>
      <c r="E8951" t="s">
        <v>318</v>
      </c>
      <c r="F8951">
        <v>2</v>
      </c>
      <c r="G8951">
        <v>1.0600333333333301</v>
      </c>
    </row>
    <row r="8952" spans="1:7" x14ac:dyDescent="0.35">
      <c r="A8952" t="s">
        <v>847</v>
      </c>
      <c r="B8952" t="s">
        <v>691</v>
      </c>
      <c r="C8952" s="83">
        <v>46167</v>
      </c>
      <c r="D8952" t="s">
        <v>317</v>
      </c>
      <c r="E8952" t="s">
        <v>322</v>
      </c>
      <c r="F8952">
        <v>2</v>
      </c>
      <c r="G8952">
        <v>0.94608333333333305</v>
      </c>
    </row>
    <row r="8953" spans="1:7" x14ac:dyDescent="0.35">
      <c r="A8953" t="s">
        <v>847</v>
      </c>
      <c r="B8953" t="s">
        <v>691</v>
      </c>
      <c r="C8953" s="83">
        <v>46168</v>
      </c>
      <c r="D8953" t="s">
        <v>295</v>
      </c>
      <c r="E8953" t="s">
        <v>296</v>
      </c>
      <c r="F8953">
        <v>80</v>
      </c>
      <c r="G8953">
        <v>38.416400000000003</v>
      </c>
    </row>
    <row r="8954" spans="1:7" x14ac:dyDescent="0.35">
      <c r="A8954" t="s">
        <v>847</v>
      </c>
      <c r="B8954" t="s">
        <v>691</v>
      </c>
      <c r="C8954" s="83">
        <v>46168</v>
      </c>
      <c r="D8954" t="s">
        <v>299</v>
      </c>
      <c r="E8954" t="s">
        <v>296</v>
      </c>
      <c r="F8954">
        <v>115</v>
      </c>
      <c r="G8954">
        <v>55.465916666666701</v>
      </c>
    </row>
    <row r="8955" spans="1:7" x14ac:dyDescent="0.35">
      <c r="A8955" t="s">
        <v>847</v>
      </c>
      <c r="B8955" t="s">
        <v>691</v>
      </c>
      <c r="C8955" s="83">
        <v>46168</v>
      </c>
      <c r="D8955" t="s">
        <v>301</v>
      </c>
      <c r="E8955" t="s">
        <v>302</v>
      </c>
      <c r="F8955">
        <v>18</v>
      </c>
      <c r="G8955">
        <v>8.2808499999999992</v>
      </c>
    </row>
    <row r="8956" spans="1:7" x14ac:dyDescent="0.35">
      <c r="A8956" t="s">
        <v>847</v>
      </c>
      <c r="B8956" t="s">
        <v>691</v>
      </c>
      <c r="C8956" s="83">
        <v>46168</v>
      </c>
      <c r="D8956" t="s">
        <v>303</v>
      </c>
      <c r="E8956" t="s">
        <v>302</v>
      </c>
      <c r="F8956">
        <v>12</v>
      </c>
      <c r="G8956">
        <v>4.5085166666666696</v>
      </c>
    </row>
    <row r="8957" spans="1:7" x14ac:dyDescent="0.35">
      <c r="A8957" t="s">
        <v>847</v>
      </c>
      <c r="B8957" t="s">
        <v>691</v>
      </c>
      <c r="C8957" s="83">
        <v>46168</v>
      </c>
      <c r="D8957" t="s">
        <v>310</v>
      </c>
      <c r="E8957" t="s">
        <v>126</v>
      </c>
      <c r="F8957">
        <v>11</v>
      </c>
      <c r="G8957">
        <v>9.2276166666666697</v>
      </c>
    </row>
    <row r="8958" spans="1:7" x14ac:dyDescent="0.35">
      <c r="A8958" t="s">
        <v>847</v>
      </c>
      <c r="B8958" t="s">
        <v>691</v>
      </c>
      <c r="C8958" s="83">
        <v>46168</v>
      </c>
      <c r="D8958" t="s">
        <v>310</v>
      </c>
      <c r="E8958" t="s">
        <v>312</v>
      </c>
      <c r="F8958">
        <v>11</v>
      </c>
      <c r="G8958">
        <v>18.051083333333299</v>
      </c>
    </row>
    <row r="8959" spans="1:7" x14ac:dyDescent="0.35">
      <c r="A8959" t="s">
        <v>847</v>
      </c>
      <c r="B8959" t="s">
        <v>691</v>
      </c>
      <c r="C8959" s="83">
        <v>46168</v>
      </c>
      <c r="D8959" t="s">
        <v>310</v>
      </c>
      <c r="E8959" t="s">
        <v>311</v>
      </c>
      <c r="F8959">
        <v>9</v>
      </c>
      <c r="G8959">
        <v>5.3072999999999997</v>
      </c>
    </row>
    <row r="8960" spans="1:7" x14ac:dyDescent="0.35">
      <c r="A8960" t="s">
        <v>847</v>
      </c>
      <c r="B8960" t="s">
        <v>691</v>
      </c>
      <c r="C8960" s="83">
        <v>46168</v>
      </c>
      <c r="D8960" t="s">
        <v>313</v>
      </c>
      <c r="E8960" t="s">
        <v>311</v>
      </c>
      <c r="F8960">
        <v>5</v>
      </c>
      <c r="G8960">
        <v>1.6208</v>
      </c>
    </row>
    <row r="8961" spans="1:7" x14ac:dyDescent="0.35">
      <c r="A8961" t="s">
        <v>847</v>
      </c>
      <c r="B8961" t="s">
        <v>691</v>
      </c>
      <c r="C8961" s="83">
        <v>46168</v>
      </c>
      <c r="D8961" t="s">
        <v>313</v>
      </c>
      <c r="E8961" t="s">
        <v>725</v>
      </c>
      <c r="F8961">
        <v>4</v>
      </c>
      <c r="G8961">
        <v>3.8411666666666702</v>
      </c>
    </row>
    <row r="8962" spans="1:7" x14ac:dyDescent="0.35">
      <c r="A8962" t="s">
        <v>847</v>
      </c>
      <c r="B8962" t="s">
        <v>691</v>
      </c>
      <c r="C8962" s="83">
        <v>46168</v>
      </c>
      <c r="D8962" t="s">
        <v>313</v>
      </c>
      <c r="E8962" t="s">
        <v>316</v>
      </c>
      <c r="F8962">
        <v>4</v>
      </c>
      <c r="G8962">
        <v>5.0023499999999999</v>
      </c>
    </row>
    <row r="8963" spans="1:7" x14ac:dyDescent="0.35">
      <c r="A8963" t="s">
        <v>847</v>
      </c>
      <c r="B8963" t="s">
        <v>691</v>
      </c>
      <c r="C8963" s="83">
        <v>46168</v>
      </c>
      <c r="D8963" t="s">
        <v>314</v>
      </c>
      <c r="E8963" t="s">
        <v>312</v>
      </c>
      <c r="F8963">
        <v>7</v>
      </c>
      <c r="G8963">
        <v>5.71835</v>
      </c>
    </row>
    <row r="8964" spans="1:7" x14ac:dyDescent="0.35">
      <c r="A8964" t="s">
        <v>847</v>
      </c>
      <c r="B8964" t="s">
        <v>691</v>
      </c>
      <c r="C8964" s="83">
        <v>46168</v>
      </c>
      <c r="D8964" t="s">
        <v>314</v>
      </c>
      <c r="E8964" t="s">
        <v>316</v>
      </c>
      <c r="F8964">
        <v>3</v>
      </c>
      <c r="G8964">
        <v>1.4635499999999999</v>
      </c>
    </row>
    <row r="8965" spans="1:7" x14ac:dyDescent="0.35">
      <c r="A8965" t="s">
        <v>847</v>
      </c>
      <c r="B8965" t="s">
        <v>691</v>
      </c>
      <c r="C8965" s="83">
        <v>46168</v>
      </c>
      <c r="D8965" t="s">
        <v>314</v>
      </c>
      <c r="E8965" t="s">
        <v>311</v>
      </c>
      <c r="F8965">
        <v>2</v>
      </c>
      <c r="G8965">
        <v>3.9916666666666698</v>
      </c>
    </row>
    <row r="8966" spans="1:7" x14ac:dyDescent="0.35">
      <c r="A8966" t="s">
        <v>847</v>
      </c>
      <c r="B8966" t="s">
        <v>691</v>
      </c>
      <c r="C8966" s="83">
        <v>46168</v>
      </c>
      <c r="D8966" t="s">
        <v>317</v>
      </c>
      <c r="E8966" t="s">
        <v>319</v>
      </c>
      <c r="F8966">
        <v>4</v>
      </c>
      <c r="G8966">
        <v>41.8393333333333</v>
      </c>
    </row>
    <row r="8967" spans="1:7" x14ac:dyDescent="0.35">
      <c r="A8967" t="s">
        <v>847</v>
      </c>
      <c r="B8967" t="s">
        <v>691</v>
      </c>
      <c r="C8967" s="83">
        <v>46168</v>
      </c>
      <c r="D8967" t="s">
        <v>317</v>
      </c>
      <c r="E8967" t="s">
        <v>339</v>
      </c>
      <c r="F8967">
        <v>3</v>
      </c>
      <c r="G8967">
        <v>74.678066666666695</v>
      </c>
    </row>
    <row r="8968" spans="1:7" x14ac:dyDescent="0.35">
      <c r="A8968" t="s">
        <v>847</v>
      </c>
      <c r="B8968" t="s">
        <v>691</v>
      </c>
      <c r="C8968" s="83">
        <v>46168</v>
      </c>
      <c r="D8968" t="s">
        <v>317</v>
      </c>
      <c r="E8968" t="s">
        <v>322</v>
      </c>
      <c r="F8968">
        <v>2</v>
      </c>
      <c r="G8968">
        <v>3.9449999999999999E-2</v>
      </c>
    </row>
    <row r="8969" spans="1:7" x14ac:dyDescent="0.35">
      <c r="A8969" t="s">
        <v>847</v>
      </c>
      <c r="B8969" t="s">
        <v>691</v>
      </c>
      <c r="C8969" s="83">
        <v>46169</v>
      </c>
      <c r="D8969" t="s">
        <v>295</v>
      </c>
      <c r="E8969" t="s">
        <v>296</v>
      </c>
      <c r="F8969">
        <v>115</v>
      </c>
      <c r="G8969">
        <v>71.479683333333298</v>
      </c>
    </row>
    <row r="8970" spans="1:7" x14ac:dyDescent="0.35">
      <c r="A8970" t="s">
        <v>847</v>
      </c>
      <c r="B8970" t="s">
        <v>691</v>
      </c>
      <c r="C8970" s="83">
        <v>46169</v>
      </c>
      <c r="D8970" t="s">
        <v>299</v>
      </c>
      <c r="E8970" t="s">
        <v>296</v>
      </c>
      <c r="F8970">
        <v>66</v>
      </c>
      <c r="G8970">
        <v>26.255183333333299</v>
      </c>
    </row>
    <row r="8971" spans="1:7" x14ac:dyDescent="0.35">
      <c r="A8971" t="s">
        <v>847</v>
      </c>
      <c r="B8971" t="s">
        <v>691</v>
      </c>
      <c r="C8971" s="83">
        <v>46169</v>
      </c>
      <c r="D8971" t="s">
        <v>301</v>
      </c>
      <c r="E8971" t="s">
        <v>302</v>
      </c>
      <c r="F8971">
        <v>10</v>
      </c>
      <c r="G8971">
        <v>6.8981333333333303</v>
      </c>
    </row>
    <row r="8972" spans="1:7" x14ac:dyDescent="0.35">
      <c r="A8972" t="s">
        <v>847</v>
      </c>
      <c r="B8972" t="s">
        <v>691</v>
      </c>
      <c r="C8972" s="83">
        <v>46169</v>
      </c>
      <c r="D8972" t="s">
        <v>310</v>
      </c>
      <c r="E8972" t="s">
        <v>311</v>
      </c>
      <c r="F8972">
        <v>10</v>
      </c>
      <c r="G8972">
        <v>106.82344999999999</v>
      </c>
    </row>
    <row r="8973" spans="1:7" x14ac:dyDescent="0.35">
      <c r="A8973" t="s">
        <v>847</v>
      </c>
      <c r="B8973" t="s">
        <v>691</v>
      </c>
      <c r="C8973" s="83">
        <v>46169</v>
      </c>
      <c r="D8973" t="s">
        <v>310</v>
      </c>
      <c r="E8973" t="s">
        <v>312</v>
      </c>
      <c r="F8973">
        <v>6</v>
      </c>
      <c r="G8973">
        <v>1.1386166666666699</v>
      </c>
    </row>
    <row r="8974" spans="1:7" x14ac:dyDescent="0.35">
      <c r="A8974" t="s">
        <v>847</v>
      </c>
      <c r="B8974" t="s">
        <v>691</v>
      </c>
      <c r="C8974" s="83">
        <v>46169</v>
      </c>
      <c r="D8974" t="s">
        <v>310</v>
      </c>
      <c r="E8974" t="s">
        <v>126</v>
      </c>
      <c r="F8974">
        <v>3</v>
      </c>
      <c r="G8974">
        <v>1.0011666666666701</v>
      </c>
    </row>
    <row r="8975" spans="1:7" x14ac:dyDescent="0.35">
      <c r="A8975" t="s">
        <v>847</v>
      </c>
      <c r="B8975" t="s">
        <v>691</v>
      </c>
      <c r="C8975" s="83">
        <v>46169</v>
      </c>
      <c r="D8975" t="s">
        <v>313</v>
      </c>
      <c r="E8975" t="s">
        <v>312</v>
      </c>
      <c r="F8975">
        <v>14</v>
      </c>
      <c r="G8975">
        <v>15.138249999999999</v>
      </c>
    </row>
    <row r="8976" spans="1:7" x14ac:dyDescent="0.35">
      <c r="A8976" t="s">
        <v>847</v>
      </c>
      <c r="B8976" t="s">
        <v>691</v>
      </c>
      <c r="C8976" s="83">
        <v>46169</v>
      </c>
      <c r="D8976" t="s">
        <v>313</v>
      </c>
      <c r="E8976" t="s">
        <v>126</v>
      </c>
      <c r="F8976">
        <v>11</v>
      </c>
      <c r="G8976">
        <v>23.374316666666701</v>
      </c>
    </row>
    <row r="8977" spans="1:7" x14ac:dyDescent="0.35">
      <c r="A8977" t="s">
        <v>847</v>
      </c>
      <c r="B8977" t="s">
        <v>691</v>
      </c>
      <c r="C8977" s="83">
        <v>46169</v>
      </c>
      <c r="D8977" t="s">
        <v>313</v>
      </c>
      <c r="E8977" t="s">
        <v>311</v>
      </c>
      <c r="F8977">
        <v>9</v>
      </c>
      <c r="G8977">
        <v>6.4528833333333298</v>
      </c>
    </row>
    <row r="8978" spans="1:7" x14ac:dyDescent="0.35">
      <c r="A8978" t="s">
        <v>847</v>
      </c>
      <c r="B8978" t="s">
        <v>691</v>
      </c>
      <c r="C8978" s="83">
        <v>46169</v>
      </c>
      <c r="D8978" t="s">
        <v>314</v>
      </c>
      <c r="E8978" t="s">
        <v>312</v>
      </c>
      <c r="F8978">
        <v>11</v>
      </c>
      <c r="G8978">
        <v>7.0986500000000001</v>
      </c>
    </row>
    <row r="8979" spans="1:7" x14ac:dyDescent="0.35">
      <c r="A8979" t="s">
        <v>847</v>
      </c>
      <c r="B8979" t="s">
        <v>691</v>
      </c>
      <c r="C8979" s="83">
        <v>46169</v>
      </c>
      <c r="D8979" t="s">
        <v>314</v>
      </c>
      <c r="E8979" t="s">
        <v>316</v>
      </c>
      <c r="F8979">
        <v>6</v>
      </c>
      <c r="G8979">
        <v>2.9393333333333298</v>
      </c>
    </row>
    <row r="8980" spans="1:7" x14ac:dyDescent="0.35">
      <c r="A8980" t="s">
        <v>847</v>
      </c>
      <c r="B8980" t="s">
        <v>691</v>
      </c>
      <c r="C8980" s="83">
        <v>46169</v>
      </c>
      <c r="D8980" t="s">
        <v>314</v>
      </c>
      <c r="E8980" t="s">
        <v>311</v>
      </c>
      <c r="F8980">
        <v>2</v>
      </c>
      <c r="G8980">
        <v>11.5471</v>
      </c>
    </row>
    <row r="8981" spans="1:7" x14ac:dyDescent="0.35">
      <c r="A8981" t="s">
        <v>847</v>
      </c>
      <c r="B8981" t="s">
        <v>691</v>
      </c>
      <c r="C8981" s="83">
        <v>46169</v>
      </c>
      <c r="D8981" t="s">
        <v>317</v>
      </c>
      <c r="E8981" t="s">
        <v>323</v>
      </c>
      <c r="F8981">
        <v>4</v>
      </c>
      <c r="G8981">
        <v>3.1577166666666701</v>
      </c>
    </row>
    <row r="8982" spans="1:7" x14ac:dyDescent="0.35">
      <c r="A8982" t="s">
        <v>847</v>
      </c>
      <c r="B8982" t="s">
        <v>691</v>
      </c>
      <c r="C8982" s="83">
        <v>46169</v>
      </c>
      <c r="D8982" t="s">
        <v>317</v>
      </c>
      <c r="E8982" t="s">
        <v>319</v>
      </c>
      <c r="F8982">
        <v>3</v>
      </c>
      <c r="G8982">
        <v>4.6983166666666696</v>
      </c>
    </row>
    <row r="8983" spans="1:7" x14ac:dyDescent="0.35">
      <c r="A8983" t="s">
        <v>847</v>
      </c>
      <c r="B8983" t="s">
        <v>691</v>
      </c>
      <c r="C8983" s="83">
        <v>46169</v>
      </c>
      <c r="D8983" t="s">
        <v>317</v>
      </c>
      <c r="E8983" t="s">
        <v>322</v>
      </c>
      <c r="F8983">
        <v>2</v>
      </c>
      <c r="G8983">
        <v>0.634033333333333</v>
      </c>
    </row>
    <row r="8984" spans="1:7" x14ac:dyDescent="0.35">
      <c r="A8984" t="s">
        <v>847</v>
      </c>
      <c r="B8984" t="s">
        <v>691</v>
      </c>
      <c r="C8984" s="83">
        <v>46170</v>
      </c>
      <c r="D8984" t="s">
        <v>295</v>
      </c>
      <c r="E8984" t="s">
        <v>296</v>
      </c>
      <c r="F8984">
        <v>149</v>
      </c>
      <c r="G8984">
        <v>73.492783333333307</v>
      </c>
    </row>
    <row r="8985" spans="1:7" x14ac:dyDescent="0.35">
      <c r="A8985" t="s">
        <v>847</v>
      </c>
      <c r="B8985" t="s">
        <v>691</v>
      </c>
      <c r="C8985" s="83">
        <v>46170</v>
      </c>
      <c r="D8985" t="s">
        <v>295</v>
      </c>
      <c r="E8985" t="s">
        <v>302</v>
      </c>
      <c r="F8985">
        <v>33</v>
      </c>
      <c r="G8985">
        <v>27.543866666666698</v>
      </c>
    </row>
    <row r="8986" spans="1:7" x14ac:dyDescent="0.35">
      <c r="A8986" t="s">
        <v>847</v>
      </c>
      <c r="B8986" t="s">
        <v>691</v>
      </c>
      <c r="C8986" s="83">
        <v>46170</v>
      </c>
      <c r="D8986" t="s">
        <v>299</v>
      </c>
      <c r="E8986" t="s">
        <v>296</v>
      </c>
      <c r="F8986">
        <v>39</v>
      </c>
      <c r="G8986">
        <v>16.722950000000001</v>
      </c>
    </row>
    <row r="8987" spans="1:7" x14ac:dyDescent="0.35">
      <c r="A8987" t="s">
        <v>847</v>
      </c>
      <c r="B8987" t="s">
        <v>691</v>
      </c>
      <c r="C8987" s="83">
        <v>46170</v>
      </c>
      <c r="D8987" t="s">
        <v>301</v>
      </c>
      <c r="E8987" t="s">
        <v>302</v>
      </c>
      <c r="F8987">
        <v>10</v>
      </c>
      <c r="G8987">
        <v>3.43251666666667</v>
      </c>
    </row>
    <row r="8988" spans="1:7" x14ac:dyDescent="0.35">
      <c r="A8988" t="s">
        <v>847</v>
      </c>
      <c r="B8988" t="s">
        <v>691</v>
      </c>
      <c r="C8988" s="83">
        <v>46170</v>
      </c>
      <c r="D8988" t="s">
        <v>310</v>
      </c>
      <c r="E8988" t="s">
        <v>338</v>
      </c>
      <c r="F8988">
        <v>8</v>
      </c>
      <c r="G8988">
        <v>42.166766666666703</v>
      </c>
    </row>
    <row r="8989" spans="1:7" x14ac:dyDescent="0.35">
      <c r="A8989" t="s">
        <v>847</v>
      </c>
      <c r="B8989" t="s">
        <v>691</v>
      </c>
      <c r="C8989" s="83">
        <v>46170</v>
      </c>
      <c r="D8989" t="s">
        <v>310</v>
      </c>
      <c r="E8989" t="s">
        <v>126</v>
      </c>
      <c r="F8989">
        <v>5</v>
      </c>
      <c r="G8989">
        <v>24.041366666666701</v>
      </c>
    </row>
    <row r="8990" spans="1:7" x14ac:dyDescent="0.35">
      <c r="A8990" t="s">
        <v>847</v>
      </c>
      <c r="B8990" t="s">
        <v>691</v>
      </c>
      <c r="C8990" s="83">
        <v>46170</v>
      </c>
      <c r="D8990" t="s">
        <v>310</v>
      </c>
      <c r="E8990" t="s">
        <v>321</v>
      </c>
      <c r="F8990">
        <v>3</v>
      </c>
      <c r="G8990">
        <v>1.1105833333333299</v>
      </c>
    </row>
    <row r="8991" spans="1:7" x14ac:dyDescent="0.35">
      <c r="A8991" t="s">
        <v>847</v>
      </c>
      <c r="B8991" t="s">
        <v>691</v>
      </c>
      <c r="C8991" s="83">
        <v>46170</v>
      </c>
      <c r="D8991" t="s">
        <v>313</v>
      </c>
      <c r="E8991" t="s">
        <v>311</v>
      </c>
      <c r="F8991">
        <v>6</v>
      </c>
      <c r="G8991">
        <v>10.2001166666667</v>
      </c>
    </row>
    <row r="8992" spans="1:7" x14ac:dyDescent="0.35">
      <c r="A8992" t="s">
        <v>847</v>
      </c>
      <c r="B8992" t="s">
        <v>691</v>
      </c>
      <c r="C8992" s="83">
        <v>46170</v>
      </c>
      <c r="D8992" t="s">
        <v>313</v>
      </c>
      <c r="E8992" t="s">
        <v>316</v>
      </c>
      <c r="F8992">
        <v>3</v>
      </c>
      <c r="G8992">
        <v>0.40593333333333298</v>
      </c>
    </row>
    <row r="8993" spans="1:7" x14ac:dyDescent="0.35">
      <c r="A8993" t="s">
        <v>847</v>
      </c>
      <c r="B8993" t="s">
        <v>691</v>
      </c>
      <c r="C8993" s="83">
        <v>46170</v>
      </c>
      <c r="D8993" t="s">
        <v>313</v>
      </c>
      <c r="E8993" t="s">
        <v>126</v>
      </c>
      <c r="F8993">
        <v>3</v>
      </c>
      <c r="G8993">
        <v>7.7530333333333301</v>
      </c>
    </row>
    <row r="8994" spans="1:7" x14ac:dyDescent="0.35">
      <c r="A8994" t="s">
        <v>847</v>
      </c>
      <c r="B8994" t="s">
        <v>691</v>
      </c>
      <c r="C8994" s="83">
        <v>46170</v>
      </c>
      <c r="D8994" t="s">
        <v>314</v>
      </c>
      <c r="E8994" t="s">
        <v>126</v>
      </c>
      <c r="F8994">
        <v>15</v>
      </c>
      <c r="G8994">
        <v>41.822966666666701</v>
      </c>
    </row>
    <row r="8995" spans="1:7" x14ac:dyDescent="0.35">
      <c r="A8995" t="s">
        <v>847</v>
      </c>
      <c r="B8995" t="s">
        <v>691</v>
      </c>
      <c r="C8995" s="83">
        <v>46170</v>
      </c>
      <c r="D8995" t="s">
        <v>314</v>
      </c>
      <c r="E8995" t="s">
        <v>312</v>
      </c>
      <c r="F8995">
        <v>10</v>
      </c>
      <c r="G8995">
        <v>5.0159500000000001</v>
      </c>
    </row>
    <row r="8996" spans="1:7" x14ac:dyDescent="0.35">
      <c r="A8996" t="s">
        <v>847</v>
      </c>
      <c r="B8996" t="s">
        <v>691</v>
      </c>
      <c r="C8996" s="83">
        <v>46170</v>
      </c>
      <c r="D8996" t="s">
        <v>314</v>
      </c>
      <c r="E8996" t="s">
        <v>338</v>
      </c>
      <c r="F8996">
        <v>7</v>
      </c>
      <c r="G8996">
        <v>12.591333333333299</v>
      </c>
    </row>
    <row r="8997" spans="1:7" x14ac:dyDescent="0.35">
      <c r="A8997" t="s">
        <v>847</v>
      </c>
      <c r="B8997" t="s">
        <v>691</v>
      </c>
      <c r="C8997" s="83">
        <v>46170</v>
      </c>
      <c r="D8997" t="s">
        <v>317</v>
      </c>
      <c r="E8997" t="s">
        <v>835</v>
      </c>
      <c r="F8997">
        <v>6</v>
      </c>
      <c r="G8997">
        <v>77.731949999999998</v>
      </c>
    </row>
    <row r="8998" spans="1:7" x14ac:dyDescent="0.35">
      <c r="A8998" t="s">
        <v>847</v>
      </c>
      <c r="B8998" t="s">
        <v>691</v>
      </c>
      <c r="C8998" s="83">
        <v>46170</v>
      </c>
      <c r="D8998" t="s">
        <v>317</v>
      </c>
      <c r="E8998" t="s">
        <v>318</v>
      </c>
      <c r="F8998">
        <v>2</v>
      </c>
      <c r="G8998">
        <v>0.30398333333333299</v>
      </c>
    </row>
    <row r="8999" spans="1:7" x14ac:dyDescent="0.35">
      <c r="A8999" t="s">
        <v>847</v>
      </c>
      <c r="B8999" t="s">
        <v>691</v>
      </c>
      <c r="C8999" s="83">
        <v>46171</v>
      </c>
      <c r="D8999" t="s">
        <v>295</v>
      </c>
      <c r="E8999" t="s">
        <v>296</v>
      </c>
      <c r="F8999">
        <v>94</v>
      </c>
      <c r="G8999">
        <v>42.881316666666699</v>
      </c>
    </row>
    <row r="9000" spans="1:7" x14ac:dyDescent="0.35">
      <c r="A9000" t="s">
        <v>847</v>
      </c>
      <c r="B9000" t="s">
        <v>691</v>
      </c>
      <c r="C9000" s="83">
        <v>46171</v>
      </c>
      <c r="D9000" t="s">
        <v>299</v>
      </c>
      <c r="E9000" t="s">
        <v>296</v>
      </c>
      <c r="F9000">
        <v>44</v>
      </c>
      <c r="G9000">
        <v>16.788049999999998</v>
      </c>
    </row>
    <row r="9001" spans="1:7" x14ac:dyDescent="0.35">
      <c r="A9001" t="s">
        <v>847</v>
      </c>
      <c r="B9001" t="s">
        <v>691</v>
      </c>
      <c r="C9001" s="83">
        <v>46171</v>
      </c>
      <c r="D9001" t="s">
        <v>301</v>
      </c>
      <c r="E9001" t="s">
        <v>296</v>
      </c>
      <c r="F9001">
        <v>35</v>
      </c>
      <c r="G9001">
        <v>21.656833333333299</v>
      </c>
    </row>
    <row r="9002" spans="1:7" x14ac:dyDescent="0.35">
      <c r="A9002" t="s">
        <v>847</v>
      </c>
      <c r="B9002" t="s">
        <v>691</v>
      </c>
      <c r="C9002" s="83">
        <v>46171</v>
      </c>
      <c r="D9002" t="s">
        <v>301</v>
      </c>
      <c r="E9002" t="s">
        <v>836</v>
      </c>
      <c r="F9002">
        <v>19</v>
      </c>
      <c r="G9002">
        <v>16.661799999999999</v>
      </c>
    </row>
    <row r="9003" spans="1:7" x14ac:dyDescent="0.35">
      <c r="A9003" t="s">
        <v>847</v>
      </c>
      <c r="B9003" t="s">
        <v>691</v>
      </c>
      <c r="C9003" s="83">
        <v>46171</v>
      </c>
      <c r="D9003" t="s">
        <v>310</v>
      </c>
      <c r="E9003" t="s">
        <v>126</v>
      </c>
      <c r="F9003">
        <v>34</v>
      </c>
      <c r="G9003">
        <v>31.5202833333333</v>
      </c>
    </row>
    <row r="9004" spans="1:7" x14ac:dyDescent="0.35">
      <c r="A9004" t="s">
        <v>847</v>
      </c>
      <c r="B9004" t="s">
        <v>691</v>
      </c>
      <c r="C9004" s="83">
        <v>46171</v>
      </c>
      <c r="D9004" t="s">
        <v>310</v>
      </c>
      <c r="E9004" t="s">
        <v>311</v>
      </c>
      <c r="F9004">
        <v>4</v>
      </c>
      <c r="G9004">
        <v>10.0248666666667</v>
      </c>
    </row>
    <row r="9005" spans="1:7" x14ac:dyDescent="0.35">
      <c r="A9005" t="s">
        <v>847</v>
      </c>
      <c r="B9005" t="s">
        <v>691</v>
      </c>
      <c r="C9005" s="83">
        <v>46171</v>
      </c>
      <c r="D9005" t="s">
        <v>310</v>
      </c>
      <c r="E9005" t="s">
        <v>316</v>
      </c>
      <c r="F9005">
        <v>3</v>
      </c>
      <c r="G9005">
        <v>0.86480000000000001</v>
      </c>
    </row>
    <row r="9006" spans="1:7" x14ac:dyDescent="0.35">
      <c r="A9006" t="s">
        <v>847</v>
      </c>
      <c r="B9006" t="s">
        <v>691</v>
      </c>
      <c r="C9006" s="83">
        <v>46171</v>
      </c>
      <c r="D9006" t="s">
        <v>313</v>
      </c>
      <c r="E9006" t="s">
        <v>312</v>
      </c>
      <c r="F9006">
        <v>10</v>
      </c>
      <c r="G9006">
        <v>21.0116333333333</v>
      </c>
    </row>
    <row r="9007" spans="1:7" x14ac:dyDescent="0.35">
      <c r="A9007" t="s">
        <v>847</v>
      </c>
      <c r="B9007" t="s">
        <v>691</v>
      </c>
      <c r="C9007" s="83">
        <v>46171</v>
      </c>
      <c r="D9007" t="s">
        <v>313</v>
      </c>
      <c r="E9007" t="s">
        <v>348</v>
      </c>
      <c r="F9007">
        <v>10</v>
      </c>
      <c r="G9007">
        <v>20.056916666666702</v>
      </c>
    </row>
    <row r="9008" spans="1:7" x14ac:dyDescent="0.35">
      <c r="A9008" t="s">
        <v>847</v>
      </c>
      <c r="B9008" t="s">
        <v>691</v>
      </c>
      <c r="C9008" s="83">
        <v>46171</v>
      </c>
      <c r="D9008" t="s">
        <v>313</v>
      </c>
      <c r="E9008" t="s">
        <v>338</v>
      </c>
      <c r="F9008">
        <v>9</v>
      </c>
      <c r="G9008">
        <v>3.36</v>
      </c>
    </row>
    <row r="9009" spans="1:7" x14ac:dyDescent="0.35">
      <c r="A9009" t="s">
        <v>847</v>
      </c>
      <c r="B9009" t="s">
        <v>691</v>
      </c>
      <c r="C9009" s="83">
        <v>46171</v>
      </c>
      <c r="D9009" t="s">
        <v>314</v>
      </c>
      <c r="E9009" t="s">
        <v>312</v>
      </c>
      <c r="F9009">
        <v>37</v>
      </c>
      <c r="G9009">
        <v>34.641633333333303</v>
      </c>
    </row>
    <row r="9010" spans="1:7" x14ac:dyDescent="0.35">
      <c r="A9010" t="s">
        <v>847</v>
      </c>
      <c r="B9010" t="s">
        <v>691</v>
      </c>
      <c r="C9010" s="83">
        <v>46171</v>
      </c>
      <c r="D9010" t="s">
        <v>314</v>
      </c>
      <c r="E9010" t="s">
        <v>126</v>
      </c>
      <c r="F9010">
        <v>16</v>
      </c>
      <c r="G9010">
        <v>42.795216666666697</v>
      </c>
    </row>
    <row r="9011" spans="1:7" x14ac:dyDescent="0.35">
      <c r="A9011" t="s">
        <v>847</v>
      </c>
      <c r="B9011" t="s">
        <v>691</v>
      </c>
      <c r="C9011" s="83">
        <v>46171</v>
      </c>
      <c r="D9011" t="s">
        <v>314</v>
      </c>
      <c r="E9011" t="s">
        <v>316</v>
      </c>
      <c r="F9011">
        <v>6</v>
      </c>
      <c r="G9011">
        <v>2.8143500000000001</v>
      </c>
    </row>
    <row r="9012" spans="1:7" x14ac:dyDescent="0.35">
      <c r="A9012" t="s">
        <v>847</v>
      </c>
      <c r="B9012" t="s">
        <v>691</v>
      </c>
      <c r="C9012" s="83">
        <v>46172</v>
      </c>
      <c r="D9012" t="s">
        <v>295</v>
      </c>
      <c r="E9012" t="s">
        <v>296</v>
      </c>
      <c r="F9012">
        <v>266</v>
      </c>
      <c r="G9012">
        <v>117.286016666667</v>
      </c>
    </row>
    <row r="9013" spans="1:7" x14ac:dyDescent="0.35">
      <c r="A9013" t="s">
        <v>847</v>
      </c>
      <c r="B9013" t="s">
        <v>691</v>
      </c>
      <c r="C9013" s="83">
        <v>46172</v>
      </c>
      <c r="D9013" t="s">
        <v>295</v>
      </c>
      <c r="E9013" t="s">
        <v>302</v>
      </c>
      <c r="F9013">
        <v>19</v>
      </c>
      <c r="G9013">
        <v>14.340816666666701</v>
      </c>
    </row>
    <row r="9014" spans="1:7" x14ac:dyDescent="0.35">
      <c r="A9014" t="s">
        <v>847</v>
      </c>
      <c r="B9014" t="s">
        <v>691</v>
      </c>
      <c r="C9014" s="83">
        <v>46172</v>
      </c>
      <c r="D9014" t="s">
        <v>299</v>
      </c>
      <c r="E9014" t="s">
        <v>296</v>
      </c>
      <c r="F9014">
        <v>104</v>
      </c>
      <c r="G9014">
        <v>42.271533333333302</v>
      </c>
    </row>
    <row r="9015" spans="1:7" x14ac:dyDescent="0.35">
      <c r="A9015" t="s">
        <v>847</v>
      </c>
      <c r="B9015" t="s">
        <v>691</v>
      </c>
      <c r="C9015" s="83">
        <v>46172</v>
      </c>
      <c r="D9015" t="s">
        <v>301</v>
      </c>
      <c r="E9015" t="s">
        <v>296</v>
      </c>
      <c r="F9015">
        <v>44</v>
      </c>
      <c r="G9015">
        <v>28.5991</v>
      </c>
    </row>
    <row r="9016" spans="1:7" x14ac:dyDescent="0.35">
      <c r="A9016" t="s">
        <v>847</v>
      </c>
      <c r="B9016" t="s">
        <v>691</v>
      </c>
      <c r="C9016" s="83">
        <v>46172</v>
      </c>
      <c r="D9016" t="s">
        <v>310</v>
      </c>
      <c r="E9016" t="s">
        <v>126</v>
      </c>
      <c r="F9016">
        <v>37</v>
      </c>
      <c r="G9016">
        <v>63.766449999999999</v>
      </c>
    </row>
    <row r="9017" spans="1:7" x14ac:dyDescent="0.35">
      <c r="A9017" t="s">
        <v>847</v>
      </c>
      <c r="B9017" t="s">
        <v>691</v>
      </c>
      <c r="C9017" s="83">
        <v>46172</v>
      </c>
      <c r="D9017" t="s">
        <v>310</v>
      </c>
      <c r="E9017" t="s">
        <v>657</v>
      </c>
      <c r="F9017">
        <v>5</v>
      </c>
      <c r="G9017">
        <v>2.7641</v>
      </c>
    </row>
    <row r="9018" spans="1:7" x14ac:dyDescent="0.35">
      <c r="A9018" t="s">
        <v>847</v>
      </c>
      <c r="B9018" t="s">
        <v>694</v>
      </c>
      <c r="C9018" s="83"/>
      <c r="F9018">
        <v>142086</v>
      </c>
      <c r="G9018">
        <v>214923.184333982</v>
      </c>
    </row>
    <row r="9019" spans="1:7" x14ac:dyDescent="0.35">
      <c r="A9019" t="s">
        <v>847</v>
      </c>
      <c r="B9019" t="s">
        <v>691</v>
      </c>
      <c r="C9019" s="83">
        <v>46172</v>
      </c>
      <c r="D9019" t="s">
        <v>310</v>
      </c>
      <c r="E9019" t="s">
        <v>311</v>
      </c>
      <c r="F9019">
        <v>5</v>
      </c>
      <c r="G9019">
        <v>2.3940333333333301</v>
      </c>
    </row>
    <row r="9020" spans="1:7" x14ac:dyDescent="0.35">
      <c r="A9020" t="s">
        <v>847</v>
      </c>
      <c r="B9020" t="s">
        <v>691</v>
      </c>
      <c r="C9020" s="83">
        <v>46172</v>
      </c>
      <c r="D9020" t="s">
        <v>313</v>
      </c>
      <c r="E9020" t="s">
        <v>338</v>
      </c>
      <c r="F9020">
        <v>30</v>
      </c>
      <c r="G9020">
        <v>15.289400000000001</v>
      </c>
    </row>
    <row r="9021" spans="1:7" x14ac:dyDescent="0.35">
      <c r="A9021" t="s">
        <v>847</v>
      </c>
      <c r="B9021" t="s">
        <v>691</v>
      </c>
      <c r="C9021" s="83">
        <v>46172</v>
      </c>
      <c r="D9021" t="s">
        <v>313</v>
      </c>
      <c r="E9021" t="s">
        <v>322</v>
      </c>
      <c r="F9021">
        <v>5</v>
      </c>
      <c r="G9021">
        <v>1.3057666666666701</v>
      </c>
    </row>
    <row r="9022" spans="1:7" x14ac:dyDescent="0.35">
      <c r="A9022" t="s">
        <v>847</v>
      </c>
      <c r="B9022" t="s">
        <v>691</v>
      </c>
      <c r="C9022" s="83">
        <v>46172</v>
      </c>
      <c r="D9022" t="s">
        <v>313</v>
      </c>
      <c r="E9022" t="s">
        <v>126</v>
      </c>
      <c r="F9022">
        <v>5</v>
      </c>
      <c r="G9022">
        <v>12.4951333333333</v>
      </c>
    </row>
    <row r="9023" spans="1:7" x14ac:dyDescent="0.35">
      <c r="A9023" t="s">
        <v>847</v>
      </c>
      <c r="B9023" t="s">
        <v>691</v>
      </c>
      <c r="C9023" s="83">
        <v>46172</v>
      </c>
      <c r="D9023" t="s">
        <v>314</v>
      </c>
      <c r="E9023" t="s">
        <v>126</v>
      </c>
      <c r="F9023">
        <v>16</v>
      </c>
      <c r="G9023">
        <v>29.882733333333299</v>
      </c>
    </row>
    <row r="9024" spans="1:7" x14ac:dyDescent="0.35">
      <c r="A9024" t="s">
        <v>847</v>
      </c>
      <c r="B9024" t="s">
        <v>691</v>
      </c>
      <c r="C9024" s="83">
        <v>46172</v>
      </c>
      <c r="D9024" t="s">
        <v>314</v>
      </c>
      <c r="E9024" t="s">
        <v>348</v>
      </c>
      <c r="F9024">
        <v>7</v>
      </c>
      <c r="G9024">
        <v>11.771183333333299</v>
      </c>
    </row>
    <row r="9025" spans="1:7" x14ac:dyDescent="0.35">
      <c r="A9025" t="s">
        <v>847</v>
      </c>
      <c r="B9025" t="s">
        <v>691</v>
      </c>
      <c r="C9025" s="83">
        <v>46172</v>
      </c>
      <c r="D9025" t="s">
        <v>314</v>
      </c>
      <c r="E9025" t="s">
        <v>827</v>
      </c>
      <c r="F9025">
        <v>6</v>
      </c>
      <c r="G9025">
        <v>25.8521</v>
      </c>
    </row>
    <row r="9026" spans="1:7" x14ac:dyDescent="0.35">
      <c r="A9026" t="s">
        <v>847</v>
      </c>
      <c r="B9026" t="s">
        <v>691</v>
      </c>
      <c r="C9026" s="83">
        <v>46172</v>
      </c>
      <c r="D9026" t="s">
        <v>317</v>
      </c>
      <c r="E9026" t="s">
        <v>323</v>
      </c>
      <c r="F9026">
        <v>3</v>
      </c>
      <c r="G9026">
        <v>7.0364666666666702</v>
      </c>
    </row>
    <row r="9027" spans="1:7" x14ac:dyDescent="0.35">
      <c r="A9027" t="s">
        <v>847</v>
      </c>
      <c r="B9027" t="s">
        <v>691</v>
      </c>
      <c r="C9027" s="83">
        <v>46172</v>
      </c>
      <c r="D9027" t="s">
        <v>317</v>
      </c>
      <c r="E9027" t="s">
        <v>339</v>
      </c>
      <c r="F9027">
        <v>2</v>
      </c>
      <c r="G9027">
        <v>3.5985833333333299</v>
      </c>
    </row>
    <row r="9028" spans="1:7" x14ac:dyDescent="0.35">
      <c r="A9028" t="s">
        <v>847</v>
      </c>
      <c r="B9028" t="s">
        <v>691</v>
      </c>
      <c r="C9028" s="83">
        <v>46173</v>
      </c>
      <c r="D9028" t="s">
        <v>295</v>
      </c>
      <c r="E9028" t="s">
        <v>296</v>
      </c>
      <c r="F9028">
        <v>105</v>
      </c>
      <c r="G9028">
        <v>61.368566666666702</v>
      </c>
    </row>
    <row r="9029" spans="1:7" x14ac:dyDescent="0.35">
      <c r="A9029" t="s">
        <v>847</v>
      </c>
      <c r="B9029" t="s">
        <v>691</v>
      </c>
      <c r="C9029" s="83">
        <v>46173</v>
      </c>
      <c r="D9029" t="s">
        <v>299</v>
      </c>
      <c r="E9029" t="s">
        <v>296</v>
      </c>
      <c r="F9029">
        <v>34</v>
      </c>
      <c r="G9029">
        <v>15.9479333333333</v>
      </c>
    </row>
    <row r="9030" spans="1:7" x14ac:dyDescent="0.35">
      <c r="A9030" t="s">
        <v>847</v>
      </c>
      <c r="B9030" t="s">
        <v>691</v>
      </c>
      <c r="C9030" s="83">
        <v>46173</v>
      </c>
      <c r="D9030" t="s">
        <v>301</v>
      </c>
      <c r="E9030" t="s">
        <v>296</v>
      </c>
      <c r="F9030">
        <v>18</v>
      </c>
      <c r="G9030">
        <v>9.6911666666666694</v>
      </c>
    </row>
    <row r="9031" spans="1:7" x14ac:dyDescent="0.35">
      <c r="A9031" t="s">
        <v>847</v>
      </c>
      <c r="B9031" t="s">
        <v>691</v>
      </c>
      <c r="C9031" s="83">
        <v>46173</v>
      </c>
      <c r="D9031" t="s">
        <v>310</v>
      </c>
      <c r="E9031" t="s">
        <v>126</v>
      </c>
      <c r="F9031">
        <v>20</v>
      </c>
      <c r="G9031">
        <v>37.779216666666699</v>
      </c>
    </row>
    <row r="9032" spans="1:7" x14ac:dyDescent="0.35">
      <c r="A9032" t="s">
        <v>847</v>
      </c>
      <c r="B9032" t="s">
        <v>691</v>
      </c>
      <c r="C9032" s="83">
        <v>46173</v>
      </c>
      <c r="D9032" t="s">
        <v>310</v>
      </c>
      <c r="E9032" t="s">
        <v>312</v>
      </c>
      <c r="F9032">
        <v>6</v>
      </c>
      <c r="G9032">
        <v>3.8206000000000002</v>
      </c>
    </row>
    <row r="9033" spans="1:7" x14ac:dyDescent="0.35">
      <c r="A9033" t="s">
        <v>847</v>
      </c>
      <c r="B9033" t="s">
        <v>691</v>
      </c>
      <c r="C9033" s="83">
        <v>46173</v>
      </c>
      <c r="D9033" t="s">
        <v>310</v>
      </c>
      <c r="E9033" t="s">
        <v>311</v>
      </c>
      <c r="F9033">
        <v>6</v>
      </c>
      <c r="G9033">
        <v>1.71025</v>
      </c>
    </row>
    <row r="9034" spans="1:7" x14ac:dyDescent="0.35">
      <c r="A9034" t="s">
        <v>847</v>
      </c>
      <c r="B9034" t="s">
        <v>691</v>
      </c>
      <c r="C9034" s="83">
        <v>46173</v>
      </c>
      <c r="D9034" t="s">
        <v>313</v>
      </c>
      <c r="E9034" t="s">
        <v>126</v>
      </c>
      <c r="F9034">
        <v>12</v>
      </c>
      <c r="G9034">
        <v>37.593933333333297</v>
      </c>
    </row>
    <row r="9035" spans="1:7" x14ac:dyDescent="0.35">
      <c r="A9035" t="s">
        <v>847</v>
      </c>
      <c r="B9035" t="s">
        <v>691</v>
      </c>
      <c r="C9035" s="83">
        <v>46173</v>
      </c>
      <c r="D9035" t="s">
        <v>313</v>
      </c>
      <c r="E9035" t="s">
        <v>311</v>
      </c>
      <c r="F9035">
        <v>9</v>
      </c>
      <c r="G9035">
        <v>8.9771333333333292</v>
      </c>
    </row>
    <row r="9036" spans="1:7" x14ac:dyDescent="0.35">
      <c r="A9036" t="s">
        <v>847</v>
      </c>
      <c r="B9036" t="s">
        <v>691</v>
      </c>
      <c r="C9036" s="83">
        <v>46173</v>
      </c>
      <c r="D9036" t="s">
        <v>313</v>
      </c>
      <c r="E9036" t="s">
        <v>338</v>
      </c>
      <c r="F9036">
        <v>5</v>
      </c>
      <c r="G9036">
        <v>3.2065666666666699</v>
      </c>
    </row>
    <row r="9037" spans="1:7" x14ac:dyDescent="0.35">
      <c r="A9037" t="s">
        <v>847</v>
      </c>
      <c r="B9037" t="s">
        <v>691</v>
      </c>
      <c r="C9037" s="83">
        <v>46173</v>
      </c>
      <c r="D9037" t="s">
        <v>314</v>
      </c>
      <c r="E9037" t="s">
        <v>126</v>
      </c>
      <c r="F9037">
        <v>14</v>
      </c>
      <c r="G9037">
        <v>36.690766666666697</v>
      </c>
    </row>
    <row r="9038" spans="1:7" x14ac:dyDescent="0.35">
      <c r="A9038" t="s">
        <v>847</v>
      </c>
      <c r="B9038" t="s">
        <v>691</v>
      </c>
      <c r="C9038" s="83">
        <v>46173</v>
      </c>
      <c r="D9038" t="s">
        <v>314</v>
      </c>
      <c r="E9038" t="s">
        <v>827</v>
      </c>
      <c r="F9038">
        <v>4</v>
      </c>
      <c r="G9038">
        <v>4.8186166666666699</v>
      </c>
    </row>
    <row r="9039" spans="1:7" x14ac:dyDescent="0.35">
      <c r="A9039" t="s">
        <v>847</v>
      </c>
      <c r="B9039" t="s">
        <v>691</v>
      </c>
      <c r="C9039" s="83">
        <v>46173</v>
      </c>
      <c r="D9039" t="s">
        <v>314</v>
      </c>
      <c r="E9039" t="s">
        <v>316</v>
      </c>
      <c r="F9039">
        <v>4</v>
      </c>
      <c r="G9039">
        <v>1.0327166666666701</v>
      </c>
    </row>
    <row r="9040" spans="1:7" x14ac:dyDescent="0.35">
      <c r="A9040" t="s">
        <v>847</v>
      </c>
      <c r="B9040" t="s">
        <v>691</v>
      </c>
      <c r="C9040" s="83">
        <v>46173</v>
      </c>
      <c r="D9040" t="s">
        <v>317</v>
      </c>
      <c r="E9040" t="s">
        <v>725</v>
      </c>
      <c r="F9040">
        <v>2</v>
      </c>
      <c r="G9040">
        <v>0.11876666666666701</v>
      </c>
    </row>
    <row r="9041" spans="1:7" x14ac:dyDescent="0.35">
      <c r="A9041" t="s">
        <v>847</v>
      </c>
      <c r="B9041" t="s">
        <v>691</v>
      </c>
      <c r="C9041" s="83">
        <v>46173</v>
      </c>
      <c r="D9041" t="s">
        <v>317</v>
      </c>
      <c r="E9041" t="s">
        <v>792</v>
      </c>
      <c r="F9041">
        <v>2</v>
      </c>
      <c r="G9041">
        <v>0.87893333333333301</v>
      </c>
    </row>
    <row r="9042" spans="1:7" x14ac:dyDescent="0.35">
      <c r="A9042" t="s">
        <v>847</v>
      </c>
      <c r="B9042" t="s">
        <v>691</v>
      </c>
      <c r="C9042" s="83">
        <v>46174</v>
      </c>
      <c r="D9042" t="s">
        <v>295</v>
      </c>
      <c r="E9042" t="s">
        <v>296</v>
      </c>
      <c r="F9042">
        <v>37</v>
      </c>
      <c r="G9042">
        <v>35.931100000000001</v>
      </c>
    </row>
    <row r="9043" spans="1:7" x14ac:dyDescent="0.35">
      <c r="A9043" t="s">
        <v>847</v>
      </c>
      <c r="B9043" t="s">
        <v>691</v>
      </c>
      <c r="C9043" s="83">
        <v>46174</v>
      </c>
      <c r="D9043" t="s">
        <v>299</v>
      </c>
      <c r="E9043" t="s">
        <v>296</v>
      </c>
      <c r="F9043">
        <v>21</v>
      </c>
      <c r="G9043">
        <v>27.585366666666701</v>
      </c>
    </row>
    <row r="9044" spans="1:7" x14ac:dyDescent="0.35">
      <c r="A9044" t="s">
        <v>847</v>
      </c>
      <c r="B9044" t="s">
        <v>691</v>
      </c>
      <c r="C9044" s="83">
        <v>46174</v>
      </c>
      <c r="D9044" t="s">
        <v>305</v>
      </c>
      <c r="E9044" t="s">
        <v>344</v>
      </c>
      <c r="F9044">
        <v>3</v>
      </c>
      <c r="G9044">
        <v>2.3344666666666698</v>
      </c>
    </row>
    <row r="9045" spans="1:7" x14ac:dyDescent="0.35">
      <c r="A9045" t="s">
        <v>847</v>
      </c>
      <c r="B9045" t="s">
        <v>691</v>
      </c>
      <c r="C9045" s="83">
        <v>46174</v>
      </c>
      <c r="D9045" t="s">
        <v>310</v>
      </c>
      <c r="E9045" t="s">
        <v>126</v>
      </c>
      <c r="F9045">
        <v>5</v>
      </c>
      <c r="G9045">
        <v>1151.3755000000001</v>
      </c>
    </row>
    <row r="9046" spans="1:7" x14ac:dyDescent="0.35">
      <c r="A9046" t="s">
        <v>847</v>
      </c>
      <c r="B9046" t="s">
        <v>691</v>
      </c>
      <c r="C9046" s="83">
        <v>46174</v>
      </c>
      <c r="D9046" t="s">
        <v>310</v>
      </c>
      <c r="E9046" t="s">
        <v>311</v>
      </c>
      <c r="F9046">
        <v>3</v>
      </c>
      <c r="G9046">
        <v>1.2466999999999999</v>
      </c>
    </row>
    <row r="9047" spans="1:7" x14ac:dyDescent="0.35">
      <c r="A9047" t="s">
        <v>847</v>
      </c>
      <c r="B9047" t="s">
        <v>691</v>
      </c>
      <c r="C9047" s="83">
        <v>46174</v>
      </c>
      <c r="D9047" t="s">
        <v>310</v>
      </c>
      <c r="E9047" t="s">
        <v>312</v>
      </c>
      <c r="F9047">
        <v>2</v>
      </c>
      <c r="G9047">
        <v>1.81873333333333</v>
      </c>
    </row>
    <row r="9048" spans="1:7" x14ac:dyDescent="0.35">
      <c r="A9048" t="s">
        <v>847</v>
      </c>
      <c r="B9048" t="s">
        <v>691</v>
      </c>
      <c r="C9048" s="83">
        <v>46174</v>
      </c>
      <c r="D9048" t="s">
        <v>313</v>
      </c>
      <c r="E9048" t="s">
        <v>311</v>
      </c>
      <c r="F9048">
        <v>4</v>
      </c>
      <c r="G9048">
        <v>8.5559499999999993</v>
      </c>
    </row>
    <row r="9049" spans="1:7" x14ac:dyDescent="0.35">
      <c r="A9049" t="s">
        <v>847</v>
      </c>
      <c r="B9049" t="s">
        <v>691</v>
      </c>
      <c r="C9049" s="83">
        <v>46174</v>
      </c>
      <c r="D9049" t="s">
        <v>313</v>
      </c>
      <c r="E9049" t="s">
        <v>347</v>
      </c>
      <c r="F9049">
        <v>3</v>
      </c>
      <c r="G9049">
        <v>16.272849999999998</v>
      </c>
    </row>
    <row r="9050" spans="1:7" x14ac:dyDescent="0.35">
      <c r="A9050" t="s">
        <v>847</v>
      </c>
      <c r="B9050" t="s">
        <v>691</v>
      </c>
      <c r="C9050" s="83">
        <v>46175</v>
      </c>
      <c r="D9050" t="s">
        <v>310</v>
      </c>
      <c r="E9050" t="s">
        <v>126</v>
      </c>
      <c r="F9050">
        <v>1</v>
      </c>
      <c r="G9050">
        <v>714.18798333333302</v>
      </c>
    </row>
    <row r="9051" spans="1:7" x14ac:dyDescent="0.35">
      <c r="A9051" t="s">
        <v>847</v>
      </c>
      <c r="B9051" t="s">
        <v>691</v>
      </c>
      <c r="C9051" s="83">
        <v>46178</v>
      </c>
      <c r="D9051" t="s">
        <v>295</v>
      </c>
      <c r="E9051" t="s">
        <v>296</v>
      </c>
      <c r="F9051">
        <v>28</v>
      </c>
      <c r="G9051">
        <v>10.3684333333333</v>
      </c>
    </row>
    <row r="9052" spans="1:7" x14ac:dyDescent="0.35">
      <c r="A9052" t="s">
        <v>847</v>
      </c>
      <c r="B9052" t="s">
        <v>691</v>
      </c>
      <c r="C9052" s="83">
        <v>46178</v>
      </c>
      <c r="D9052" t="s">
        <v>295</v>
      </c>
      <c r="E9052" t="s">
        <v>828</v>
      </c>
      <c r="F9052">
        <v>25</v>
      </c>
      <c r="G9052">
        <v>17.802433333333301</v>
      </c>
    </row>
    <row r="9053" spans="1:7" x14ac:dyDescent="0.35">
      <c r="A9053" t="s">
        <v>847</v>
      </c>
      <c r="B9053" t="s">
        <v>691</v>
      </c>
      <c r="C9053" s="83">
        <v>46178</v>
      </c>
      <c r="D9053" t="s">
        <v>299</v>
      </c>
      <c r="E9053" t="s">
        <v>296</v>
      </c>
      <c r="F9053">
        <v>29</v>
      </c>
      <c r="G9053">
        <v>161.762216666667</v>
      </c>
    </row>
    <row r="9054" spans="1:7" x14ac:dyDescent="0.35">
      <c r="A9054" t="s">
        <v>847</v>
      </c>
      <c r="B9054" t="s">
        <v>691</v>
      </c>
      <c r="C9054" s="83">
        <v>46178</v>
      </c>
      <c r="D9054" t="s">
        <v>301</v>
      </c>
      <c r="E9054" t="s">
        <v>296</v>
      </c>
      <c r="F9054">
        <v>21</v>
      </c>
      <c r="G9054">
        <v>104.2581</v>
      </c>
    </row>
    <row r="9055" spans="1:7" x14ac:dyDescent="0.35">
      <c r="A9055" t="s">
        <v>847</v>
      </c>
      <c r="B9055" t="s">
        <v>691</v>
      </c>
      <c r="C9055" s="83">
        <v>46179</v>
      </c>
      <c r="D9055" t="s">
        <v>295</v>
      </c>
      <c r="E9055" t="s">
        <v>296</v>
      </c>
      <c r="F9055">
        <v>242</v>
      </c>
      <c r="G9055">
        <v>100.704966666667</v>
      </c>
    </row>
    <row r="9056" spans="1:7" x14ac:dyDescent="0.35">
      <c r="A9056" t="s">
        <v>847</v>
      </c>
      <c r="B9056" t="s">
        <v>691</v>
      </c>
      <c r="C9056" s="83">
        <v>46179</v>
      </c>
      <c r="D9056" t="s">
        <v>295</v>
      </c>
      <c r="E9056" t="s">
        <v>828</v>
      </c>
      <c r="F9056">
        <v>9</v>
      </c>
      <c r="G9056">
        <v>5.0343166666666699</v>
      </c>
    </row>
    <row r="9057" spans="1:7" x14ac:dyDescent="0.35">
      <c r="A9057" t="s">
        <v>847</v>
      </c>
      <c r="B9057" t="s">
        <v>691</v>
      </c>
      <c r="C9057" s="83">
        <v>46179</v>
      </c>
      <c r="D9057" t="s">
        <v>299</v>
      </c>
      <c r="E9057" t="s">
        <v>296</v>
      </c>
      <c r="F9057">
        <v>61</v>
      </c>
      <c r="G9057">
        <v>39.968766666666703</v>
      </c>
    </row>
    <row r="9058" spans="1:7" x14ac:dyDescent="0.35">
      <c r="A9058" t="s">
        <v>847</v>
      </c>
      <c r="B9058" t="s">
        <v>691</v>
      </c>
      <c r="C9058" s="83">
        <v>46179</v>
      </c>
      <c r="D9058" t="s">
        <v>301</v>
      </c>
      <c r="E9058" t="s">
        <v>296</v>
      </c>
      <c r="F9058">
        <v>65</v>
      </c>
      <c r="G9058">
        <v>207.53121666666701</v>
      </c>
    </row>
    <row r="9059" spans="1:7" x14ac:dyDescent="0.35">
      <c r="A9059" t="s">
        <v>847</v>
      </c>
      <c r="B9059" t="s">
        <v>691</v>
      </c>
      <c r="C9059" s="83">
        <v>46179</v>
      </c>
      <c r="D9059" t="s">
        <v>301</v>
      </c>
      <c r="E9059" t="s">
        <v>302</v>
      </c>
      <c r="F9059">
        <v>12</v>
      </c>
      <c r="G9059">
        <v>4.6530166666666704</v>
      </c>
    </row>
    <row r="9060" spans="1:7" x14ac:dyDescent="0.35">
      <c r="A9060" t="s">
        <v>847</v>
      </c>
      <c r="B9060" t="s">
        <v>691</v>
      </c>
      <c r="C9060" s="83">
        <v>46179</v>
      </c>
      <c r="D9060" t="s">
        <v>303</v>
      </c>
      <c r="E9060" t="s">
        <v>302</v>
      </c>
      <c r="F9060">
        <v>45</v>
      </c>
      <c r="G9060">
        <v>21.828849999999999</v>
      </c>
    </row>
    <row r="9061" spans="1:7" x14ac:dyDescent="0.35">
      <c r="A9061" t="s">
        <v>847</v>
      </c>
      <c r="B9061" t="s">
        <v>691</v>
      </c>
      <c r="C9061" s="83">
        <v>46180</v>
      </c>
      <c r="D9061" t="s">
        <v>295</v>
      </c>
      <c r="E9061" t="s">
        <v>296</v>
      </c>
      <c r="F9061">
        <v>297</v>
      </c>
      <c r="G9061">
        <v>94.303316666666603</v>
      </c>
    </row>
    <row r="9062" spans="1:7" x14ac:dyDescent="0.35">
      <c r="A9062" t="s">
        <v>847</v>
      </c>
      <c r="B9062" t="s">
        <v>691</v>
      </c>
      <c r="C9062" s="83">
        <v>46180</v>
      </c>
      <c r="D9062" t="s">
        <v>295</v>
      </c>
      <c r="E9062" t="s">
        <v>302</v>
      </c>
      <c r="F9062">
        <v>10</v>
      </c>
      <c r="G9062">
        <v>8.8134166666666705</v>
      </c>
    </row>
    <row r="9063" spans="1:7" x14ac:dyDescent="0.35">
      <c r="A9063" t="s">
        <v>847</v>
      </c>
      <c r="B9063" t="s">
        <v>691</v>
      </c>
      <c r="C9063" s="83">
        <v>46180</v>
      </c>
      <c r="D9063" t="s">
        <v>299</v>
      </c>
      <c r="E9063" t="s">
        <v>296</v>
      </c>
      <c r="F9063">
        <v>56</v>
      </c>
      <c r="G9063">
        <v>26.065833333333298</v>
      </c>
    </row>
    <row r="9064" spans="1:7" x14ac:dyDescent="0.35">
      <c r="A9064" t="s">
        <v>847</v>
      </c>
      <c r="B9064" t="s">
        <v>691</v>
      </c>
      <c r="C9064" s="83">
        <v>46180</v>
      </c>
      <c r="D9064" t="s">
        <v>301</v>
      </c>
      <c r="E9064" t="s">
        <v>296</v>
      </c>
      <c r="F9064">
        <v>34</v>
      </c>
      <c r="G9064">
        <v>11.11805</v>
      </c>
    </row>
    <row r="9065" spans="1:7" x14ac:dyDescent="0.35">
      <c r="A9065" t="s">
        <v>847</v>
      </c>
      <c r="B9065" t="s">
        <v>691</v>
      </c>
      <c r="C9065" s="83">
        <v>46180</v>
      </c>
      <c r="D9065" t="s">
        <v>301</v>
      </c>
      <c r="E9065" t="s">
        <v>302</v>
      </c>
      <c r="F9065">
        <v>9</v>
      </c>
      <c r="G9065">
        <v>3.2496833333333299</v>
      </c>
    </row>
    <row r="9066" spans="1:7" x14ac:dyDescent="0.35">
      <c r="A9066" t="s">
        <v>847</v>
      </c>
      <c r="B9066" t="s">
        <v>691</v>
      </c>
      <c r="C9066" s="83">
        <v>46180</v>
      </c>
      <c r="D9066" t="s">
        <v>303</v>
      </c>
      <c r="E9066" t="s">
        <v>302</v>
      </c>
      <c r="F9066">
        <v>85</v>
      </c>
      <c r="G9066">
        <v>36.168799999999997</v>
      </c>
    </row>
    <row r="9067" spans="1:7" x14ac:dyDescent="0.35">
      <c r="A9067" t="s">
        <v>847</v>
      </c>
      <c r="B9067" t="s">
        <v>691</v>
      </c>
      <c r="C9067" s="83">
        <v>46180</v>
      </c>
      <c r="D9067" t="s">
        <v>309</v>
      </c>
      <c r="E9067" t="s">
        <v>344</v>
      </c>
      <c r="F9067">
        <v>14</v>
      </c>
      <c r="G9067">
        <v>6.3309833333333296</v>
      </c>
    </row>
    <row r="9068" spans="1:7" x14ac:dyDescent="0.35">
      <c r="A9068" t="s">
        <v>847</v>
      </c>
      <c r="B9068" t="s">
        <v>691</v>
      </c>
      <c r="C9068" s="83">
        <v>46180</v>
      </c>
      <c r="D9068" t="s">
        <v>310</v>
      </c>
      <c r="E9068" t="s">
        <v>333</v>
      </c>
      <c r="F9068">
        <v>1</v>
      </c>
      <c r="G9068">
        <v>604.80163333333303</v>
      </c>
    </row>
    <row r="9069" spans="1:7" x14ac:dyDescent="0.35">
      <c r="A9069" t="s">
        <v>847</v>
      </c>
      <c r="B9069" t="s">
        <v>691</v>
      </c>
      <c r="C9069" s="83">
        <v>46180</v>
      </c>
      <c r="D9069" t="s">
        <v>310</v>
      </c>
      <c r="E9069" t="s">
        <v>826</v>
      </c>
      <c r="F9069">
        <v>1</v>
      </c>
      <c r="G9069">
        <v>44.244316666666698</v>
      </c>
    </row>
    <row r="9070" spans="1:7" x14ac:dyDescent="0.35">
      <c r="A9070" t="s">
        <v>847</v>
      </c>
      <c r="B9070" t="s">
        <v>691</v>
      </c>
      <c r="C9070" s="83">
        <v>46180</v>
      </c>
      <c r="D9070" t="s">
        <v>310</v>
      </c>
      <c r="E9070" t="s">
        <v>126</v>
      </c>
      <c r="F9070">
        <v>1</v>
      </c>
      <c r="G9070">
        <v>2.5749999999999999E-2</v>
      </c>
    </row>
    <row r="9071" spans="1:7" x14ac:dyDescent="0.35">
      <c r="A9071" t="s">
        <v>847</v>
      </c>
      <c r="B9071" t="s">
        <v>691</v>
      </c>
      <c r="C9071" s="83">
        <v>46181</v>
      </c>
      <c r="D9071" t="s">
        <v>295</v>
      </c>
      <c r="E9071" t="s">
        <v>296</v>
      </c>
      <c r="F9071">
        <v>155</v>
      </c>
      <c r="G9071">
        <v>55.742249999999999</v>
      </c>
    </row>
    <row r="9072" spans="1:7" x14ac:dyDescent="0.35">
      <c r="A9072" t="s">
        <v>847</v>
      </c>
      <c r="B9072" t="s">
        <v>691</v>
      </c>
      <c r="C9072" s="83">
        <v>46181</v>
      </c>
      <c r="D9072" t="s">
        <v>299</v>
      </c>
      <c r="E9072" t="s">
        <v>296</v>
      </c>
      <c r="F9072">
        <v>61</v>
      </c>
      <c r="G9072">
        <v>19.195033333333299</v>
      </c>
    </row>
    <row r="9073" spans="1:7" x14ac:dyDescent="0.35">
      <c r="A9073" t="s">
        <v>847</v>
      </c>
      <c r="B9073" t="s">
        <v>691</v>
      </c>
      <c r="C9073" s="83">
        <v>46181</v>
      </c>
      <c r="D9073" t="s">
        <v>299</v>
      </c>
      <c r="E9073" t="s">
        <v>831</v>
      </c>
      <c r="F9073">
        <v>10</v>
      </c>
      <c r="G9073">
        <v>7.1686333333333296</v>
      </c>
    </row>
    <row r="9074" spans="1:7" x14ac:dyDescent="0.35">
      <c r="A9074" t="s">
        <v>847</v>
      </c>
      <c r="B9074" t="s">
        <v>691</v>
      </c>
      <c r="C9074" s="83">
        <v>46181</v>
      </c>
      <c r="D9074" t="s">
        <v>301</v>
      </c>
      <c r="E9074" t="s">
        <v>296</v>
      </c>
      <c r="F9074">
        <v>44</v>
      </c>
      <c r="G9074">
        <v>10.90015</v>
      </c>
    </row>
    <row r="9075" spans="1:7" x14ac:dyDescent="0.35">
      <c r="A9075" t="s">
        <v>847</v>
      </c>
      <c r="B9075" t="s">
        <v>691</v>
      </c>
      <c r="C9075" s="83">
        <v>46181</v>
      </c>
      <c r="D9075" t="s">
        <v>303</v>
      </c>
      <c r="E9075" t="s">
        <v>302</v>
      </c>
      <c r="F9075">
        <v>59</v>
      </c>
      <c r="G9075">
        <v>22.316766666666702</v>
      </c>
    </row>
    <row r="9076" spans="1:7" x14ac:dyDescent="0.35">
      <c r="A9076" t="s">
        <v>847</v>
      </c>
      <c r="B9076" t="s">
        <v>691</v>
      </c>
      <c r="C9076" s="83">
        <v>46181</v>
      </c>
      <c r="D9076" t="s">
        <v>310</v>
      </c>
      <c r="E9076" t="s">
        <v>333</v>
      </c>
      <c r="F9076">
        <v>1</v>
      </c>
      <c r="G9076">
        <v>1440</v>
      </c>
    </row>
    <row r="9077" spans="1:7" x14ac:dyDescent="0.35">
      <c r="A9077" t="s">
        <v>847</v>
      </c>
      <c r="B9077" t="s">
        <v>691</v>
      </c>
      <c r="C9077" s="83">
        <v>46182</v>
      </c>
      <c r="D9077" t="s">
        <v>295</v>
      </c>
      <c r="E9077" t="s">
        <v>296</v>
      </c>
      <c r="F9077">
        <v>235</v>
      </c>
      <c r="G9077">
        <v>98.633283333333296</v>
      </c>
    </row>
    <row r="9078" spans="1:7" x14ac:dyDescent="0.35">
      <c r="A9078" t="s">
        <v>847</v>
      </c>
      <c r="B9078" t="s">
        <v>691</v>
      </c>
      <c r="C9078" s="83">
        <v>46182</v>
      </c>
      <c r="D9078" t="s">
        <v>299</v>
      </c>
      <c r="E9078" t="s">
        <v>296</v>
      </c>
      <c r="F9078">
        <v>60</v>
      </c>
      <c r="G9078">
        <v>31.096416666666698</v>
      </c>
    </row>
    <row r="9079" spans="1:7" x14ac:dyDescent="0.35">
      <c r="A9079" t="s">
        <v>847</v>
      </c>
      <c r="B9079" t="s">
        <v>691</v>
      </c>
      <c r="C9079" s="83">
        <v>46182</v>
      </c>
      <c r="D9079" t="s">
        <v>303</v>
      </c>
      <c r="E9079" t="s">
        <v>302</v>
      </c>
      <c r="F9079">
        <v>32</v>
      </c>
      <c r="G9079">
        <v>11.507400000000001</v>
      </c>
    </row>
    <row r="9080" spans="1:7" x14ac:dyDescent="0.35">
      <c r="A9080" t="s">
        <v>847</v>
      </c>
      <c r="B9080" t="s">
        <v>691</v>
      </c>
      <c r="C9080" s="83">
        <v>46182</v>
      </c>
      <c r="D9080" t="s">
        <v>310</v>
      </c>
      <c r="E9080" t="s">
        <v>333</v>
      </c>
      <c r="F9080">
        <v>1</v>
      </c>
      <c r="G9080">
        <v>901.65008333333299</v>
      </c>
    </row>
    <row r="9081" spans="1:7" x14ac:dyDescent="0.35">
      <c r="A9081" t="s">
        <v>847</v>
      </c>
      <c r="B9081" t="s">
        <v>691</v>
      </c>
      <c r="C9081" s="83">
        <v>46182</v>
      </c>
      <c r="D9081" t="s">
        <v>310</v>
      </c>
      <c r="E9081" t="s">
        <v>826</v>
      </c>
      <c r="F9081">
        <v>1</v>
      </c>
      <c r="G9081">
        <v>25.781083333333299</v>
      </c>
    </row>
    <row r="9082" spans="1:7" x14ac:dyDescent="0.35">
      <c r="A9082" t="s">
        <v>847</v>
      </c>
      <c r="B9082" t="s">
        <v>691</v>
      </c>
      <c r="C9082" s="83">
        <v>46183</v>
      </c>
      <c r="D9082" t="s">
        <v>295</v>
      </c>
      <c r="E9082" t="s">
        <v>296</v>
      </c>
      <c r="F9082">
        <v>232</v>
      </c>
      <c r="G9082">
        <v>72.452299999999994</v>
      </c>
    </row>
    <row r="9083" spans="1:7" x14ac:dyDescent="0.35">
      <c r="A9083" t="s">
        <v>847</v>
      </c>
      <c r="B9083" t="s">
        <v>691</v>
      </c>
      <c r="C9083" s="83">
        <v>46183</v>
      </c>
      <c r="D9083" t="s">
        <v>295</v>
      </c>
      <c r="E9083" t="s">
        <v>302</v>
      </c>
      <c r="F9083">
        <v>16</v>
      </c>
      <c r="G9083">
        <v>5.4551333333333298</v>
      </c>
    </row>
    <row r="9084" spans="1:7" x14ac:dyDescent="0.35">
      <c r="A9084" t="s">
        <v>847</v>
      </c>
      <c r="B9084" t="s">
        <v>691</v>
      </c>
      <c r="C9084" s="83">
        <v>46183</v>
      </c>
      <c r="D9084" t="s">
        <v>299</v>
      </c>
      <c r="E9084" t="s">
        <v>296</v>
      </c>
      <c r="F9084">
        <v>46</v>
      </c>
      <c r="G9084">
        <v>14.301733333333299</v>
      </c>
    </row>
    <row r="9085" spans="1:7" x14ac:dyDescent="0.35">
      <c r="A9085" t="s">
        <v>847</v>
      </c>
      <c r="B9085" t="s">
        <v>691</v>
      </c>
      <c r="C9085" s="83">
        <v>46183</v>
      </c>
      <c r="D9085" t="s">
        <v>303</v>
      </c>
      <c r="E9085" t="s">
        <v>302</v>
      </c>
      <c r="F9085">
        <v>18</v>
      </c>
      <c r="G9085">
        <v>8.4967000000000006</v>
      </c>
    </row>
    <row r="9086" spans="1:7" x14ac:dyDescent="0.35">
      <c r="A9086" t="s">
        <v>847</v>
      </c>
      <c r="B9086" t="s">
        <v>691</v>
      </c>
      <c r="C9086" s="83">
        <v>46183</v>
      </c>
      <c r="D9086" t="s">
        <v>310</v>
      </c>
      <c r="E9086" t="s">
        <v>333</v>
      </c>
      <c r="F9086">
        <v>1</v>
      </c>
      <c r="G9086">
        <v>943.68705</v>
      </c>
    </row>
    <row r="9087" spans="1:7" x14ac:dyDescent="0.35">
      <c r="A9087" t="s">
        <v>847</v>
      </c>
      <c r="B9087" t="s">
        <v>691</v>
      </c>
      <c r="C9087" s="83">
        <v>46184</v>
      </c>
      <c r="D9087" t="s">
        <v>295</v>
      </c>
      <c r="E9087" t="s">
        <v>296</v>
      </c>
      <c r="F9087">
        <v>115</v>
      </c>
      <c r="G9087">
        <v>45.4023166666667</v>
      </c>
    </row>
    <row r="9088" spans="1:7" x14ac:dyDescent="0.35">
      <c r="A9088" t="s">
        <v>847</v>
      </c>
      <c r="B9088" t="s">
        <v>691</v>
      </c>
      <c r="C9088" s="83">
        <v>46184</v>
      </c>
      <c r="D9088" t="s">
        <v>299</v>
      </c>
      <c r="E9088" t="s">
        <v>296</v>
      </c>
      <c r="F9088">
        <v>28</v>
      </c>
      <c r="G9088">
        <v>10.2310833333333</v>
      </c>
    </row>
    <row r="9089" spans="1:7" x14ac:dyDescent="0.35">
      <c r="A9089" t="s">
        <v>847</v>
      </c>
      <c r="B9089" t="s">
        <v>691</v>
      </c>
      <c r="C9089" s="83">
        <v>46184</v>
      </c>
      <c r="D9089" t="s">
        <v>301</v>
      </c>
      <c r="E9089" t="s">
        <v>296</v>
      </c>
      <c r="F9089">
        <v>12</v>
      </c>
      <c r="G9089">
        <v>5.7921500000000004</v>
      </c>
    </row>
    <row r="9090" spans="1:7" x14ac:dyDescent="0.35">
      <c r="A9090" t="s">
        <v>847</v>
      </c>
      <c r="B9090" t="s">
        <v>691</v>
      </c>
      <c r="C9090" s="83">
        <v>46184</v>
      </c>
      <c r="D9090" t="s">
        <v>301</v>
      </c>
      <c r="E9090" t="s">
        <v>302</v>
      </c>
      <c r="F9090">
        <v>8</v>
      </c>
      <c r="G9090">
        <v>4.7466833333333298</v>
      </c>
    </row>
    <row r="9091" spans="1:7" x14ac:dyDescent="0.35">
      <c r="A9091" t="s">
        <v>847</v>
      </c>
      <c r="B9091" t="s">
        <v>691</v>
      </c>
      <c r="C9091" s="83">
        <v>46184</v>
      </c>
      <c r="D9091" t="s">
        <v>303</v>
      </c>
      <c r="E9091" t="s">
        <v>302</v>
      </c>
      <c r="F9091">
        <v>21</v>
      </c>
      <c r="G9091">
        <v>64.351816666666707</v>
      </c>
    </row>
    <row r="9092" spans="1:7" x14ac:dyDescent="0.35">
      <c r="A9092" t="s">
        <v>847</v>
      </c>
      <c r="B9092" t="s">
        <v>691</v>
      </c>
      <c r="C9092" s="83">
        <v>46184</v>
      </c>
      <c r="D9092" t="s">
        <v>310</v>
      </c>
      <c r="E9092" t="s">
        <v>333</v>
      </c>
      <c r="F9092">
        <v>1</v>
      </c>
      <c r="G9092">
        <v>1440</v>
      </c>
    </row>
    <row r="9093" spans="1:7" x14ac:dyDescent="0.35">
      <c r="A9093" t="s">
        <v>847</v>
      </c>
      <c r="B9093" t="s">
        <v>691</v>
      </c>
      <c r="C9093" s="83">
        <v>46185</v>
      </c>
      <c r="D9093" t="s">
        <v>295</v>
      </c>
      <c r="E9093" t="s">
        <v>296</v>
      </c>
      <c r="F9093">
        <v>136</v>
      </c>
      <c r="G9093">
        <v>41.703850000000003</v>
      </c>
    </row>
    <row r="9094" spans="1:7" x14ac:dyDescent="0.35">
      <c r="A9094" t="s">
        <v>847</v>
      </c>
      <c r="B9094" t="s">
        <v>691</v>
      </c>
      <c r="C9094" s="83">
        <v>46185</v>
      </c>
      <c r="D9094" t="s">
        <v>295</v>
      </c>
      <c r="E9094" t="s">
        <v>828</v>
      </c>
      <c r="F9094">
        <v>12</v>
      </c>
      <c r="G9094">
        <v>5.2401666666666697</v>
      </c>
    </row>
    <row r="9095" spans="1:7" x14ac:dyDescent="0.35">
      <c r="A9095" t="s">
        <v>847</v>
      </c>
      <c r="B9095" t="s">
        <v>691</v>
      </c>
      <c r="C9095" s="83">
        <v>46185</v>
      </c>
      <c r="D9095" t="s">
        <v>299</v>
      </c>
      <c r="E9095" t="s">
        <v>296</v>
      </c>
      <c r="F9095">
        <v>29</v>
      </c>
      <c r="G9095">
        <v>11.2300666666667</v>
      </c>
    </row>
    <row r="9096" spans="1:7" x14ac:dyDescent="0.35">
      <c r="A9096" t="s">
        <v>847</v>
      </c>
      <c r="B9096" t="s">
        <v>691</v>
      </c>
      <c r="C9096" s="83">
        <v>46185</v>
      </c>
      <c r="D9096" t="s">
        <v>301</v>
      </c>
      <c r="E9096" t="s">
        <v>296</v>
      </c>
      <c r="F9096">
        <v>31</v>
      </c>
      <c r="G9096">
        <v>12.295450000000001</v>
      </c>
    </row>
    <row r="9097" spans="1:7" x14ac:dyDescent="0.35">
      <c r="A9097" t="s">
        <v>847</v>
      </c>
      <c r="B9097" t="s">
        <v>691</v>
      </c>
      <c r="C9097" s="83">
        <v>46185</v>
      </c>
      <c r="D9097" t="s">
        <v>303</v>
      </c>
      <c r="E9097" t="s">
        <v>302</v>
      </c>
      <c r="F9097">
        <v>22</v>
      </c>
      <c r="G9097">
        <v>25.7952333333333</v>
      </c>
    </row>
    <row r="9098" spans="1:7" x14ac:dyDescent="0.35">
      <c r="A9098" t="s">
        <v>847</v>
      </c>
      <c r="B9098" t="s">
        <v>691</v>
      </c>
      <c r="C9098" s="83">
        <v>46185</v>
      </c>
      <c r="D9098" t="s">
        <v>303</v>
      </c>
      <c r="E9098" t="s">
        <v>828</v>
      </c>
      <c r="F9098">
        <v>13</v>
      </c>
      <c r="G9098">
        <v>3.7528000000000001</v>
      </c>
    </row>
    <row r="9099" spans="1:7" x14ac:dyDescent="0.35">
      <c r="A9099" t="s">
        <v>847</v>
      </c>
      <c r="B9099" t="s">
        <v>691</v>
      </c>
      <c r="C9099" s="83">
        <v>46185</v>
      </c>
      <c r="D9099" t="s">
        <v>310</v>
      </c>
      <c r="E9099" t="s">
        <v>333</v>
      </c>
      <c r="F9099">
        <v>1</v>
      </c>
      <c r="G9099">
        <v>1284.8222166666701</v>
      </c>
    </row>
    <row r="9100" spans="1:7" x14ac:dyDescent="0.35">
      <c r="A9100" t="s">
        <v>847</v>
      </c>
      <c r="B9100" t="s">
        <v>691</v>
      </c>
      <c r="C9100" s="83">
        <v>46185</v>
      </c>
      <c r="D9100" t="s">
        <v>310</v>
      </c>
      <c r="E9100" t="s">
        <v>826</v>
      </c>
      <c r="F9100">
        <v>1</v>
      </c>
      <c r="G9100">
        <v>102.50085</v>
      </c>
    </row>
    <row r="9101" spans="1:7" x14ac:dyDescent="0.35">
      <c r="A9101" t="s">
        <v>847</v>
      </c>
      <c r="B9101" t="s">
        <v>691</v>
      </c>
      <c r="C9101" s="83">
        <v>46186</v>
      </c>
      <c r="D9101" t="s">
        <v>295</v>
      </c>
      <c r="E9101" t="s">
        <v>296</v>
      </c>
      <c r="F9101">
        <v>118</v>
      </c>
      <c r="G9101">
        <v>59.309849999999997</v>
      </c>
    </row>
    <row r="9102" spans="1:7" x14ac:dyDescent="0.35">
      <c r="A9102" t="s">
        <v>847</v>
      </c>
      <c r="B9102" t="s">
        <v>691</v>
      </c>
      <c r="C9102" s="83">
        <v>46186</v>
      </c>
      <c r="D9102" t="s">
        <v>295</v>
      </c>
      <c r="E9102" t="s">
        <v>828</v>
      </c>
      <c r="F9102">
        <v>11</v>
      </c>
      <c r="G9102">
        <v>6.0549666666666697</v>
      </c>
    </row>
    <row r="9103" spans="1:7" x14ac:dyDescent="0.35">
      <c r="A9103" t="s">
        <v>847</v>
      </c>
      <c r="B9103" t="s">
        <v>691</v>
      </c>
      <c r="C9103" s="83">
        <v>46186</v>
      </c>
      <c r="D9103" t="s">
        <v>299</v>
      </c>
      <c r="E9103" t="s">
        <v>296</v>
      </c>
      <c r="F9103">
        <v>49</v>
      </c>
      <c r="G9103">
        <v>27.768550000000001</v>
      </c>
    </row>
    <row r="9104" spans="1:7" x14ac:dyDescent="0.35">
      <c r="A9104" t="s">
        <v>847</v>
      </c>
      <c r="B9104" t="s">
        <v>691</v>
      </c>
      <c r="C9104" s="83">
        <v>46186</v>
      </c>
      <c r="D9104" t="s">
        <v>303</v>
      </c>
      <c r="E9104" t="s">
        <v>637</v>
      </c>
      <c r="F9104">
        <v>44</v>
      </c>
      <c r="G9104">
        <v>22.963333333333299</v>
      </c>
    </row>
    <row r="9105" spans="1:7" x14ac:dyDescent="0.35">
      <c r="A9105" t="s">
        <v>847</v>
      </c>
      <c r="B9105" t="s">
        <v>691</v>
      </c>
      <c r="C9105" s="83">
        <v>46186</v>
      </c>
      <c r="D9105" t="s">
        <v>303</v>
      </c>
      <c r="E9105" t="s">
        <v>302</v>
      </c>
      <c r="F9105">
        <v>29</v>
      </c>
      <c r="G9105">
        <v>15.7746666666667</v>
      </c>
    </row>
    <row r="9106" spans="1:7" x14ac:dyDescent="0.35">
      <c r="A9106" t="s">
        <v>847</v>
      </c>
      <c r="B9106" t="s">
        <v>691</v>
      </c>
      <c r="C9106" s="83">
        <v>46186</v>
      </c>
      <c r="D9106" t="s">
        <v>310</v>
      </c>
      <c r="E9106" t="s">
        <v>126</v>
      </c>
      <c r="F9106">
        <v>11</v>
      </c>
      <c r="G9106">
        <v>17.3126</v>
      </c>
    </row>
    <row r="9107" spans="1:7" x14ac:dyDescent="0.35">
      <c r="A9107" t="s">
        <v>847</v>
      </c>
      <c r="B9107" t="s">
        <v>691</v>
      </c>
      <c r="C9107" s="83">
        <v>46186</v>
      </c>
      <c r="D9107" t="s">
        <v>310</v>
      </c>
      <c r="E9107" t="s">
        <v>321</v>
      </c>
      <c r="F9107">
        <v>5</v>
      </c>
      <c r="G9107">
        <v>4.3783500000000002</v>
      </c>
    </row>
    <row r="9108" spans="1:7" x14ac:dyDescent="0.35">
      <c r="A9108" t="s">
        <v>847</v>
      </c>
      <c r="B9108" t="s">
        <v>691</v>
      </c>
      <c r="C9108" s="83">
        <v>46186</v>
      </c>
      <c r="D9108" t="s">
        <v>310</v>
      </c>
      <c r="E9108" t="s">
        <v>338</v>
      </c>
      <c r="F9108">
        <v>4</v>
      </c>
      <c r="G9108">
        <v>6.3114499999999998</v>
      </c>
    </row>
    <row r="9109" spans="1:7" x14ac:dyDescent="0.35">
      <c r="A9109" t="s">
        <v>847</v>
      </c>
      <c r="B9109" t="s">
        <v>691</v>
      </c>
      <c r="C9109" s="83">
        <v>46186</v>
      </c>
      <c r="D9109" t="s">
        <v>313</v>
      </c>
      <c r="E9109" t="s">
        <v>126</v>
      </c>
      <c r="F9109">
        <v>17</v>
      </c>
      <c r="G9109">
        <v>47.521833333333298</v>
      </c>
    </row>
    <row r="9110" spans="1:7" x14ac:dyDescent="0.35">
      <c r="A9110" t="s">
        <v>847</v>
      </c>
      <c r="B9110" t="s">
        <v>691</v>
      </c>
      <c r="C9110" s="83">
        <v>46186</v>
      </c>
      <c r="D9110" t="s">
        <v>313</v>
      </c>
      <c r="E9110" t="s">
        <v>657</v>
      </c>
      <c r="F9110">
        <v>3</v>
      </c>
      <c r="G9110">
        <v>5.4451833333333299</v>
      </c>
    </row>
    <row r="9111" spans="1:7" x14ac:dyDescent="0.35">
      <c r="A9111" t="s">
        <v>847</v>
      </c>
      <c r="B9111" t="s">
        <v>691</v>
      </c>
      <c r="C9111" s="83">
        <v>46186</v>
      </c>
      <c r="D9111" t="s">
        <v>313</v>
      </c>
      <c r="E9111" t="s">
        <v>322</v>
      </c>
      <c r="F9111">
        <v>2</v>
      </c>
      <c r="G9111">
        <v>1.1732499999999999</v>
      </c>
    </row>
    <row r="9112" spans="1:7" x14ac:dyDescent="0.35">
      <c r="A9112" t="s">
        <v>847</v>
      </c>
      <c r="B9112" t="s">
        <v>691</v>
      </c>
      <c r="C9112" s="83">
        <v>46186</v>
      </c>
      <c r="D9112" t="s">
        <v>314</v>
      </c>
      <c r="E9112" t="s">
        <v>312</v>
      </c>
      <c r="F9112">
        <v>4</v>
      </c>
      <c r="G9112">
        <v>19.21415</v>
      </c>
    </row>
    <row r="9113" spans="1:7" x14ac:dyDescent="0.35">
      <c r="A9113" t="s">
        <v>847</v>
      </c>
      <c r="B9113" t="s">
        <v>691</v>
      </c>
      <c r="C9113" s="83">
        <v>46186</v>
      </c>
      <c r="D9113" t="s">
        <v>314</v>
      </c>
      <c r="E9113" t="s">
        <v>348</v>
      </c>
      <c r="F9113">
        <v>3</v>
      </c>
      <c r="G9113">
        <v>3.51508333333333</v>
      </c>
    </row>
    <row r="9114" spans="1:7" x14ac:dyDescent="0.35">
      <c r="A9114" t="s">
        <v>847</v>
      </c>
      <c r="B9114" t="s">
        <v>691</v>
      </c>
      <c r="C9114" s="83">
        <v>46186</v>
      </c>
      <c r="D9114" t="s">
        <v>314</v>
      </c>
      <c r="E9114" t="s">
        <v>316</v>
      </c>
      <c r="F9114">
        <v>2</v>
      </c>
      <c r="G9114">
        <v>1.52606666666667</v>
      </c>
    </row>
    <row r="9115" spans="1:7" x14ac:dyDescent="0.35">
      <c r="A9115" t="s">
        <v>847</v>
      </c>
      <c r="B9115" t="s">
        <v>691</v>
      </c>
      <c r="C9115" s="83">
        <v>46186</v>
      </c>
      <c r="D9115" t="s">
        <v>317</v>
      </c>
      <c r="E9115" t="s">
        <v>323</v>
      </c>
      <c r="F9115">
        <v>3</v>
      </c>
      <c r="G9115">
        <v>36.986216666666699</v>
      </c>
    </row>
    <row r="9116" spans="1:7" x14ac:dyDescent="0.35">
      <c r="A9116" t="s">
        <v>847</v>
      </c>
      <c r="B9116" t="s">
        <v>691</v>
      </c>
      <c r="C9116" s="83">
        <v>46186</v>
      </c>
      <c r="D9116" t="s">
        <v>317</v>
      </c>
      <c r="E9116" t="s">
        <v>725</v>
      </c>
      <c r="F9116">
        <v>2</v>
      </c>
      <c r="G9116">
        <v>3.3494000000000002</v>
      </c>
    </row>
    <row r="9117" spans="1:7" x14ac:dyDescent="0.35">
      <c r="A9117" t="s">
        <v>847</v>
      </c>
      <c r="B9117" t="s">
        <v>691</v>
      </c>
      <c r="C9117" s="83">
        <v>46186</v>
      </c>
      <c r="D9117" t="s">
        <v>317</v>
      </c>
      <c r="E9117" t="s">
        <v>319</v>
      </c>
      <c r="F9117">
        <v>2</v>
      </c>
      <c r="G9117">
        <v>0.32876666666666698</v>
      </c>
    </row>
    <row r="9118" spans="1:7" x14ac:dyDescent="0.35">
      <c r="A9118" t="s">
        <v>847</v>
      </c>
      <c r="B9118" t="s">
        <v>691</v>
      </c>
      <c r="C9118" s="83">
        <v>46187</v>
      </c>
      <c r="D9118" t="s">
        <v>295</v>
      </c>
      <c r="E9118" t="s">
        <v>296</v>
      </c>
      <c r="F9118">
        <v>107</v>
      </c>
      <c r="G9118">
        <v>47.465683333333303</v>
      </c>
    </row>
    <row r="9119" spans="1:7" x14ac:dyDescent="0.35">
      <c r="A9119" t="s">
        <v>847</v>
      </c>
      <c r="B9119" t="s">
        <v>691</v>
      </c>
      <c r="C9119" s="83">
        <v>46187</v>
      </c>
      <c r="D9119" t="s">
        <v>299</v>
      </c>
      <c r="E9119" t="s">
        <v>296</v>
      </c>
      <c r="F9119">
        <v>73</v>
      </c>
      <c r="G9119">
        <v>51.692</v>
      </c>
    </row>
    <row r="9120" spans="1:7" x14ac:dyDescent="0.35">
      <c r="A9120" t="s">
        <v>847</v>
      </c>
      <c r="B9120" t="s">
        <v>691</v>
      </c>
      <c r="C9120" s="83">
        <v>46187</v>
      </c>
      <c r="D9120" t="s">
        <v>303</v>
      </c>
      <c r="E9120" t="s">
        <v>302</v>
      </c>
      <c r="F9120">
        <v>20</v>
      </c>
      <c r="G9120">
        <v>11.7398666666667</v>
      </c>
    </row>
    <row r="9121" spans="1:7" x14ac:dyDescent="0.35">
      <c r="A9121" t="s">
        <v>847</v>
      </c>
      <c r="B9121" t="s">
        <v>691</v>
      </c>
      <c r="C9121" s="83">
        <v>46187</v>
      </c>
      <c r="D9121" t="s">
        <v>310</v>
      </c>
      <c r="E9121" t="s">
        <v>311</v>
      </c>
      <c r="F9121">
        <v>7</v>
      </c>
      <c r="G9121">
        <v>67.267183333333307</v>
      </c>
    </row>
    <row r="9122" spans="1:7" x14ac:dyDescent="0.35">
      <c r="A9122" t="s">
        <v>847</v>
      </c>
      <c r="B9122" t="s">
        <v>691</v>
      </c>
      <c r="C9122" s="83">
        <v>46187</v>
      </c>
      <c r="D9122" t="s">
        <v>310</v>
      </c>
      <c r="E9122" t="s">
        <v>126</v>
      </c>
      <c r="F9122">
        <v>6</v>
      </c>
      <c r="G9122">
        <v>4.8227500000000001</v>
      </c>
    </row>
    <row r="9123" spans="1:7" x14ac:dyDescent="0.35">
      <c r="A9123" t="s">
        <v>847</v>
      </c>
      <c r="B9123" t="s">
        <v>691</v>
      </c>
      <c r="C9123" s="83">
        <v>46187</v>
      </c>
      <c r="D9123" t="s">
        <v>310</v>
      </c>
      <c r="E9123" t="s">
        <v>316</v>
      </c>
      <c r="F9123">
        <v>5</v>
      </c>
      <c r="G9123">
        <v>3.9801166666666701</v>
      </c>
    </row>
    <row r="9124" spans="1:7" x14ac:dyDescent="0.35">
      <c r="A9124" t="s">
        <v>847</v>
      </c>
      <c r="B9124" t="s">
        <v>691</v>
      </c>
      <c r="C9124" s="83">
        <v>46187</v>
      </c>
      <c r="D9124" t="s">
        <v>313</v>
      </c>
      <c r="E9124" t="s">
        <v>126</v>
      </c>
      <c r="F9124">
        <v>8</v>
      </c>
      <c r="G9124">
        <v>17.1175833333333</v>
      </c>
    </row>
    <row r="9125" spans="1:7" x14ac:dyDescent="0.35">
      <c r="A9125" t="s">
        <v>847</v>
      </c>
      <c r="B9125" t="s">
        <v>691</v>
      </c>
      <c r="C9125" s="83">
        <v>46187</v>
      </c>
      <c r="D9125" t="s">
        <v>313</v>
      </c>
      <c r="E9125" t="s">
        <v>311</v>
      </c>
      <c r="F9125">
        <v>7</v>
      </c>
      <c r="G9125">
        <v>19.7725333333333</v>
      </c>
    </row>
    <row r="9126" spans="1:7" x14ac:dyDescent="0.35">
      <c r="A9126" t="s">
        <v>847</v>
      </c>
      <c r="B9126" t="s">
        <v>691</v>
      </c>
      <c r="C9126" s="83">
        <v>46187</v>
      </c>
      <c r="D9126" t="s">
        <v>313</v>
      </c>
      <c r="E9126" t="s">
        <v>338</v>
      </c>
      <c r="F9126">
        <v>5</v>
      </c>
      <c r="G9126">
        <v>6.9888500000000002</v>
      </c>
    </row>
    <row r="9127" spans="1:7" x14ac:dyDescent="0.35">
      <c r="A9127" t="s">
        <v>847</v>
      </c>
      <c r="B9127" t="s">
        <v>691</v>
      </c>
      <c r="C9127" s="83">
        <v>46187</v>
      </c>
      <c r="D9127" t="s">
        <v>314</v>
      </c>
      <c r="E9127" t="s">
        <v>126</v>
      </c>
      <c r="F9127">
        <v>3</v>
      </c>
      <c r="G9127">
        <v>10.2852333333333</v>
      </c>
    </row>
    <row r="9128" spans="1:7" x14ac:dyDescent="0.35">
      <c r="A9128" t="s">
        <v>847</v>
      </c>
      <c r="B9128" t="s">
        <v>691</v>
      </c>
      <c r="C9128" s="83">
        <v>46187</v>
      </c>
      <c r="D9128" t="s">
        <v>314</v>
      </c>
      <c r="E9128" t="s">
        <v>312</v>
      </c>
      <c r="F9128">
        <v>3</v>
      </c>
      <c r="G9128">
        <v>18.105783333333299</v>
      </c>
    </row>
    <row r="9129" spans="1:7" x14ac:dyDescent="0.35">
      <c r="A9129" t="s">
        <v>847</v>
      </c>
      <c r="B9129" t="s">
        <v>691</v>
      </c>
      <c r="C9129" s="83">
        <v>46187</v>
      </c>
      <c r="D9129" t="s">
        <v>314</v>
      </c>
      <c r="E9129" t="s">
        <v>322</v>
      </c>
      <c r="F9129">
        <v>2</v>
      </c>
      <c r="G9129">
        <v>0.52170000000000005</v>
      </c>
    </row>
    <row r="9130" spans="1:7" x14ac:dyDescent="0.35">
      <c r="A9130" t="s">
        <v>847</v>
      </c>
      <c r="B9130" t="s">
        <v>691</v>
      </c>
      <c r="C9130" s="83">
        <v>46188</v>
      </c>
      <c r="D9130" t="s">
        <v>295</v>
      </c>
      <c r="E9130" t="s">
        <v>296</v>
      </c>
      <c r="F9130">
        <v>112</v>
      </c>
      <c r="G9130">
        <v>60.432000000000002</v>
      </c>
    </row>
    <row r="9131" spans="1:7" x14ac:dyDescent="0.35">
      <c r="A9131" t="s">
        <v>847</v>
      </c>
      <c r="B9131" t="s">
        <v>691</v>
      </c>
      <c r="C9131" s="83">
        <v>46188</v>
      </c>
      <c r="D9131" t="s">
        <v>295</v>
      </c>
      <c r="E9131" t="s">
        <v>302</v>
      </c>
      <c r="F9131">
        <v>33</v>
      </c>
      <c r="G9131">
        <v>20.84515</v>
      </c>
    </row>
    <row r="9132" spans="1:7" x14ac:dyDescent="0.35">
      <c r="A9132" t="s">
        <v>847</v>
      </c>
      <c r="B9132" t="s">
        <v>691</v>
      </c>
      <c r="C9132" s="83">
        <v>46188</v>
      </c>
      <c r="D9132" t="s">
        <v>299</v>
      </c>
      <c r="E9132" t="s">
        <v>296</v>
      </c>
      <c r="F9132">
        <v>84</v>
      </c>
      <c r="G9132">
        <v>53.225583333333297</v>
      </c>
    </row>
    <row r="9133" spans="1:7" x14ac:dyDescent="0.35">
      <c r="A9133" t="s">
        <v>847</v>
      </c>
      <c r="B9133" t="s">
        <v>691</v>
      </c>
      <c r="C9133" s="83">
        <v>46188</v>
      </c>
      <c r="D9133" t="s">
        <v>301</v>
      </c>
      <c r="E9133" t="s">
        <v>296</v>
      </c>
      <c r="F9133">
        <v>40</v>
      </c>
      <c r="G9133">
        <v>24.173183333333299</v>
      </c>
    </row>
    <row r="9134" spans="1:7" x14ac:dyDescent="0.35">
      <c r="A9134" t="s">
        <v>847</v>
      </c>
      <c r="B9134" t="s">
        <v>691</v>
      </c>
      <c r="C9134" s="83">
        <v>46188</v>
      </c>
      <c r="D9134" t="s">
        <v>303</v>
      </c>
      <c r="E9134" t="s">
        <v>302</v>
      </c>
      <c r="F9134">
        <v>41</v>
      </c>
      <c r="G9134">
        <v>14.317833333333301</v>
      </c>
    </row>
    <row r="9135" spans="1:7" x14ac:dyDescent="0.35">
      <c r="A9135" t="s">
        <v>847</v>
      </c>
      <c r="B9135" t="s">
        <v>691</v>
      </c>
      <c r="C9135" s="83">
        <v>46188</v>
      </c>
      <c r="D9135" t="s">
        <v>303</v>
      </c>
      <c r="E9135" t="s">
        <v>637</v>
      </c>
      <c r="F9135">
        <v>20</v>
      </c>
      <c r="G9135">
        <v>11.218299999999999</v>
      </c>
    </row>
    <row r="9136" spans="1:7" x14ac:dyDescent="0.35">
      <c r="A9136" t="s">
        <v>847</v>
      </c>
      <c r="B9136" t="s">
        <v>691</v>
      </c>
      <c r="C9136" s="83">
        <v>46188</v>
      </c>
      <c r="D9136" t="s">
        <v>310</v>
      </c>
      <c r="E9136" t="s">
        <v>312</v>
      </c>
      <c r="F9136">
        <v>4</v>
      </c>
      <c r="G9136">
        <v>3.7810000000000001</v>
      </c>
    </row>
    <row r="9137" spans="1:7" x14ac:dyDescent="0.35">
      <c r="A9137" t="s">
        <v>847</v>
      </c>
      <c r="B9137" t="s">
        <v>691</v>
      </c>
      <c r="C9137" s="83">
        <v>46188</v>
      </c>
      <c r="D9137" t="s">
        <v>310</v>
      </c>
      <c r="E9137" t="s">
        <v>311</v>
      </c>
      <c r="F9137">
        <v>4</v>
      </c>
      <c r="G9137">
        <v>26.5558333333333</v>
      </c>
    </row>
    <row r="9138" spans="1:7" x14ac:dyDescent="0.35">
      <c r="A9138" t="s">
        <v>847</v>
      </c>
      <c r="B9138" t="s">
        <v>691</v>
      </c>
      <c r="C9138" s="83">
        <v>46188</v>
      </c>
      <c r="D9138" t="s">
        <v>310</v>
      </c>
      <c r="E9138" t="s">
        <v>316</v>
      </c>
      <c r="F9138">
        <v>4</v>
      </c>
      <c r="G9138">
        <v>7.2578666666666702</v>
      </c>
    </row>
    <row r="9139" spans="1:7" x14ac:dyDescent="0.35">
      <c r="A9139" t="s">
        <v>847</v>
      </c>
      <c r="B9139" t="s">
        <v>691</v>
      </c>
      <c r="C9139" s="83">
        <v>46188</v>
      </c>
      <c r="D9139" t="s">
        <v>313</v>
      </c>
      <c r="E9139" t="s">
        <v>126</v>
      </c>
      <c r="F9139">
        <v>16</v>
      </c>
      <c r="G9139">
        <v>51.695166666666701</v>
      </c>
    </row>
    <row r="9140" spans="1:7" x14ac:dyDescent="0.35">
      <c r="A9140" t="s">
        <v>847</v>
      </c>
      <c r="B9140" t="s">
        <v>691</v>
      </c>
      <c r="C9140" s="83">
        <v>46188</v>
      </c>
      <c r="D9140" t="s">
        <v>313</v>
      </c>
      <c r="E9140" t="s">
        <v>311</v>
      </c>
      <c r="F9140">
        <v>4</v>
      </c>
      <c r="G9140">
        <v>2.0069833333333298</v>
      </c>
    </row>
    <row r="9141" spans="1:7" x14ac:dyDescent="0.35">
      <c r="A9141" t="s">
        <v>847</v>
      </c>
      <c r="B9141" t="s">
        <v>691</v>
      </c>
      <c r="C9141" s="83">
        <v>46188</v>
      </c>
      <c r="D9141" t="s">
        <v>313</v>
      </c>
      <c r="E9141" t="s">
        <v>338</v>
      </c>
      <c r="F9141">
        <v>3</v>
      </c>
      <c r="G9141">
        <v>1.4685666666666699</v>
      </c>
    </row>
    <row r="9142" spans="1:7" x14ac:dyDescent="0.35">
      <c r="A9142" t="s">
        <v>847</v>
      </c>
      <c r="B9142" t="s">
        <v>691</v>
      </c>
      <c r="C9142" s="83">
        <v>46188</v>
      </c>
      <c r="D9142" t="s">
        <v>314</v>
      </c>
      <c r="E9142" t="s">
        <v>312</v>
      </c>
      <c r="F9142">
        <v>14</v>
      </c>
      <c r="G9142">
        <v>17.1872333333333</v>
      </c>
    </row>
    <row r="9143" spans="1:7" x14ac:dyDescent="0.35">
      <c r="A9143" t="s">
        <v>847</v>
      </c>
      <c r="B9143" t="s">
        <v>691</v>
      </c>
      <c r="C9143" s="83">
        <v>46188</v>
      </c>
      <c r="D9143" t="s">
        <v>314</v>
      </c>
      <c r="E9143" t="s">
        <v>126</v>
      </c>
      <c r="F9143">
        <v>10</v>
      </c>
      <c r="G9143">
        <v>25.810749999999999</v>
      </c>
    </row>
    <row r="9144" spans="1:7" x14ac:dyDescent="0.35">
      <c r="A9144" t="s">
        <v>847</v>
      </c>
      <c r="B9144" t="s">
        <v>691</v>
      </c>
      <c r="C9144" s="83">
        <v>46188</v>
      </c>
      <c r="D9144" t="s">
        <v>314</v>
      </c>
      <c r="E9144" t="s">
        <v>827</v>
      </c>
      <c r="F9144">
        <v>6</v>
      </c>
      <c r="G9144">
        <v>19.031749999999999</v>
      </c>
    </row>
    <row r="9145" spans="1:7" x14ac:dyDescent="0.35">
      <c r="A9145" t="s">
        <v>847</v>
      </c>
      <c r="B9145" t="s">
        <v>691</v>
      </c>
      <c r="C9145" s="83">
        <v>46188</v>
      </c>
      <c r="D9145" t="s">
        <v>317</v>
      </c>
      <c r="E9145" t="s">
        <v>319</v>
      </c>
      <c r="F9145">
        <v>2</v>
      </c>
      <c r="G9145">
        <v>1.37035</v>
      </c>
    </row>
    <row r="9146" spans="1:7" x14ac:dyDescent="0.35">
      <c r="A9146" t="s">
        <v>847</v>
      </c>
      <c r="B9146" t="s">
        <v>691</v>
      </c>
      <c r="C9146" s="83">
        <v>46188</v>
      </c>
      <c r="D9146" t="s">
        <v>317</v>
      </c>
      <c r="E9146" t="s">
        <v>323</v>
      </c>
      <c r="F9146">
        <v>2</v>
      </c>
      <c r="G9146">
        <v>4.0710833333333296</v>
      </c>
    </row>
    <row r="9147" spans="1:7" x14ac:dyDescent="0.35">
      <c r="A9147" t="s">
        <v>847</v>
      </c>
      <c r="B9147" t="s">
        <v>691</v>
      </c>
      <c r="C9147" s="83">
        <v>46189</v>
      </c>
      <c r="D9147" t="s">
        <v>295</v>
      </c>
      <c r="E9147" t="s">
        <v>296</v>
      </c>
      <c r="F9147">
        <v>87</v>
      </c>
      <c r="G9147">
        <v>34.081533333333297</v>
      </c>
    </row>
    <row r="9148" spans="1:7" x14ac:dyDescent="0.35">
      <c r="A9148" t="s">
        <v>847</v>
      </c>
      <c r="B9148" t="s">
        <v>691</v>
      </c>
      <c r="C9148" s="83">
        <v>46189</v>
      </c>
      <c r="D9148" t="s">
        <v>299</v>
      </c>
      <c r="E9148" t="s">
        <v>296</v>
      </c>
      <c r="F9148">
        <v>79</v>
      </c>
      <c r="G9148">
        <v>43.712666666666699</v>
      </c>
    </row>
    <row r="9149" spans="1:7" x14ac:dyDescent="0.35">
      <c r="A9149" t="s">
        <v>847</v>
      </c>
      <c r="B9149" t="s">
        <v>691</v>
      </c>
      <c r="C9149" s="83">
        <v>46189</v>
      </c>
      <c r="D9149" t="s">
        <v>301</v>
      </c>
      <c r="E9149" t="s">
        <v>296</v>
      </c>
      <c r="F9149">
        <v>35</v>
      </c>
      <c r="G9149">
        <v>18.065266666666702</v>
      </c>
    </row>
    <row r="9150" spans="1:7" x14ac:dyDescent="0.35">
      <c r="A9150" t="s">
        <v>847</v>
      </c>
      <c r="B9150" t="s">
        <v>691</v>
      </c>
      <c r="C9150" s="83">
        <v>46189</v>
      </c>
      <c r="D9150" t="s">
        <v>303</v>
      </c>
      <c r="E9150" t="s">
        <v>302</v>
      </c>
      <c r="F9150">
        <v>70</v>
      </c>
      <c r="G9150">
        <v>27.270600000000002</v>
      </c>
    </row>
    <row r="9151" spans="1:7" x14ac:dyDescent="0.35">
      <c r="A9151" t="s">
        <v>847</v>
      </c>
      <c r="B9151" t="s">
        <v>691</v>
      </c>
      <c r="C9151" s="83">
        <v>46189</v>
      </c>
      <c r="D9151" t="s">
        <v>303</v>
      </c>
      <c r="E9151" t="s">
        <v>637</v>
      </c>
      <c r="F9151">
        <v>27</v>
      </c>
      <c r="G9151">
        <v>11.4775333333333</v>
      </c>
    </row>
    <row r="9152" spans="1:7" x14ac:dyDescent="0.35">
      <c r="A9152" t="s">
        <v>847</v>
      </c>
      <c r="B9152" t="s">
        <v>691</v>
      </c>
      <c r="C9152" s="83">
        <v>46189</v>
      </c>
      <c r="D9152" t="s">
        <v>310</v>
      </c>
      <c r="E9152" t="s">
        <v>311</v>
      </c>
      <c r="F9152">
        <v>17</v>
      </c>
      <c r="G9152">
        <v>9.2649166666666698</v>
      </c>
    </row>
    <row r="9153" spans="1:7" x14ac:dyDescent="0.35">
      <c r="A9153" t="s">
        <v>847</v>
      </c>
      <c r="B9153" t="s">
        <v>691</v>
      </c>
      <c r="C9153" s="83">
        <v>46189</v>
      </c>
      <c r="D9153" t="s">
        <v>310</v>
      </c>
      <c r="E9153" t="s">
        <v>126</v>
      </c>
      <c r="F9153">
        <v>16</v>
      </c>
      <c r="G9153">
        <v>15.639150000000001</v>
      </c>
    </row>
    <row r="9154" spans="1:7" x14ac:dyDescent="0.35">
      <c r="A9154" t="s">
        <v>847</v>
      </c>
      <c r="B9154" t="s">
        <v>691</v>
      </c>
      <c r="C9154" s="83">
        <v>46189</v>
      </c>
      <c r="D9154" t="s">
        <v>310</v>
      </c>
      <c r="E9154" t="s">
        <v>312</v>
      </c>
      <c r="F9154">
        <v>8</v>
      </c>
      <c r="G9154">
        <v>1.67801666666667</v>
      </c>
    </row>
    <row r="9155" spans="1:7" x14ac:dyDescent="0.35">
      <c r="A9155" t="s">
        <v>847</v>
      </c>
      <c r="B9155" t="s">
        <v>691</v>
      </c>
      <c r="C9155" s="83">
        <v>46189</v>
      </c>
      <c r="D9155" t="s">
        <v>313</v>
      </c>
      <c r="E9155" t="s">
        <v>126</v>
      </c>
      <c r="F9155">
        <v>16</v>
      </c>
      <c r="G9155">
        <v>31.039816666666699</v>
      </c>
    </row>
    <row r="9156" spans="1:7" x14ac:dyDescent="0.35">
      <c r="A9156" t="s">
        <v>847</v>
      </c>
      <c r="B9156" t="s">
        <v>691</v>
      </c>
      <c r="C9156" s="83">
        <v>46189</v>
      </c>
      <c r="D9156" t="s">
        <v>313</v>
      </c>
      <c r="E9156" t="s">
        <v>311</v>
      </c>
      <c r="F9156">
        <v>9</v>
      </c>
      <c r="G9156">
        <v>12.6815833333333</v>
      </c>
    </row>
    <row r="9157" spans="1:7" x14ac:dyDescent="0.35">
      <c r="A9157" t="s">
        <v>847</v>
      </c>
      <c r="B9157" t="s">
        <v>691</v>
      </c>
      <c r="C9157" s="83">
        <v>46189</v>
      </c>
      <c r="D9157" t="s">
        <v>313</v>
      </c>
      <c r="E9157" t="s">
        <v>657</v>
      </c>
      <c r="F9157">
        <v>5</v>
      </c>
      <c r="G9157">
        <v>8.6400333333333297</v>
      </c>
    </row>
    <row r="9158" spans="1:7" x14ac:dyDescent="0.35">
      <c r="A9158" t="s">
        <v>847</v>
      </c>
      <c r="B9158" t="s">
        <v>691</v>
      </c>
      <c r="C9158" s="83">
        <v>46189</v>
      </c>
      <c r="D9158" t="s">
        <v>314</v>
      </c>
      <c r="E9158" t="s">
        <v>323</v>
      </c>
      <c r="F9158">
        <v>6</v>
      </c>
      <c r="G9158">
        <v>22.201650000000001</v>
      </c>
    </row>
    <row r="9159" spans="1:7" x14ac:dyDescent="0.35">
      <c r="A9159" t="s">
        <v>847</v>
      </c>
      <c r="B9159" t="s">
        <v>691</v>
      </c>
      <c r="C9159" s="83">
        <v>46189</v>
      </c>
      <c r="D9159" t="s">
        <v>314</v>
      </c>
      <c r="E9159" t="s">
        <v>312</v>
      </c>
      <c r="F9159">
        <v>6</v>
      </c>
      <c r="G9159">
        <v>25.265616666666698</v>
      </c>
    </row>
    <row r="9160" spans="1:7" x14ac:dyDescent="0.35">
      <c r="A9160" t="s">
        <v>847</v>
      </c>
      <c r="B9160" t="s">
        <v>691</v>
      </c>
      <c r="C9160" s="83">
        <v>46189</v>
      </c>
      <c r="D9160" t="s">
        <v>314</v>
      </c>
      <c r="E9160" t="s">
        <v>827</v>
      </c>
      <c r="F9160">
        <v>4</v>
      </c>
      <c r="G9160">
        <v>10.4621333333333</v>
      </c>
    </row>
    <row r="9161" spans="1:7" x14ac:dyDescent="0.35">
      <c r="A9161" t="s">
        <v>847</v>
      </c>
      <c r="B9161" t="s">
        <v>691</v>
      </c>
      <c r="C9161" s="83">
        <v>46189</v>
      </c>
      <c r="D9161" t="s">
        <v>317</v>
      </c>
      <c r="E9161" t="s">
        <v>323</v>
      </c>
      <c r="F9161">
        <v>3</v>
      </c>
      <c r="G9161">
        <v>0.18245</v>
      </c>
    </row>
    <row r="9162" spans="1:7" x14ac:dyDescent="0.35">
      <c r="A9162" t="s">
        <v>847</v>
      </c>
      <c r="B9162" t="s">
        <v>691</v>
      </c>
      <c r="C9162" s="83">
        <v>46190</v>
      </c>
      <c r="D9162" t="s">
        <v>295</v>
      </c>
      <c r="E9162" t="s">
        <v>296</v>
      </c>
      <c r="F9162">
        <v>58</v>
      </c>
      <c r="G9162">
        <v>24.8127666666667</v>
      </c>
    </row>
    <row r="9163" spans="1:7" x14ac:dyDescent="0.35">
      <c r="A9163" t="s">
        <v>847</v>
      </c>
      <c r="B9163" t="s">
        <v>691</v>
      </c>
      <c r="C9163" s="83">
        <v>46190</v>
      </c>
      <c r="D9163" t="s">
        <v>299</v>
      </c>
      <c r="E9163" t="s">
        <v>296</v>
      </c>
      <c r="F9163">
        <v>65</v>
      </c>
      <c r="G9163">
        <v>31.227416666666699</v>
      </c>
    </row>
    <row r="9164" spans="1:7" x14ac:dyDescent="0.35">
      <c r="A9164" t="s">
        <v>847</v>
      </c>
      <c r="B9164" t="s">
        <v>691</v>
      </c>
      <c r="C9164" s="83">
        <v>46190</v>
      </c>
      <c r="D9164" t="s">
        <v>301</v>
      </c>
      <c r="E9164" t="s">
        <v>296</v>
      </c>
      <c r="F9164">
        <v>32</v>
      </c>
      <c r="G9164">
        <v>17.565899999999999</v>
      </c>
    </row>
    <row r="9165" spans="1:7" x14ac:dyDescent="0.35">
      <c r="A9165" t="s">
        <v>847</v>
      </c>
      <c r="B9165" t="s">
        <v>691</v>
      </c>
      <c r="C9165" s="83">
        <v>46190</v>
      </c>
      <c r="D9165" t="s">
        <v>303</v>
      </c>
      <c r="E9165" t="s">
        <v>637</v>
      </c>
      <c r="F9165">
        <v>40</v>
      </c>
      <c r="G9165">
        <v>32.784999999999997</v>
      </c>
    </row>
    <row r="9166" spans="1:7" x14ac:dyDescent="0.35">
      <c r="A9166" t="s">
        <v>847</v>
      </c>
      <c r="B9166" t="s">
        <v>691</v>
      </c>
      <c r="C9166" s="83">
        <v>46190</v>
      </c>
      <c r="D9166" t="s">
        <v>303</v>
      </c>
      <c r="E9166" t="s">
        <v>302</v>
      </c>
      <c r="F9166">
        <v>28</v>
      </c>
      <c r="G9166">
        <v>7.2919499999999999</v>
      </c>
    </row>
    <row r="9167" spans="1:7" x14ac:dyDescent="0.35">
      <c r="A9167" t="s">
        <v>847</v>
      </c>
      <c r="B9167" t="s">
        <v>691</v>
      </c>
      <c r="C9167" s="83">
        <v>46190</v>
      </c>
      <c r="D9167" t="s">
        <v>310</v>
      </c>
      <c r="E9167" t="s">
        <v>337</v>
      </c>
      <c r="F9167">
        <v>8</v>
      </c>
      <c r="G9167">
        <v>98.627216666666698</v>
      </c>
    </row>
    <row r="9168" spans="1:7" x14ac:dyDescent="0.35">
      <c r="A9168" t="s">
        <v>847</v>
      </c>
      <c r="B9168" t="s">
        <v>691</v>
      </c>
      <c r="C9168" s="83">
        <v>46190</v>
      </c>
      <c r="D9168" t="s">
        <v>310</v>
      </c>
      <c r="E9168" t="s">
        <v>311</v>
      </c>
      <c r="F9168">
        <v>6</v>
      </c>
      <c r="G9168">
        <v>3.3767999999999998</v>
      </c>
    </row>
    <row r="9169" spans="1:7" x14ac:dyDescent="0.35">
      <c r="A9169" t="s">
        <v>847</v>
      </c>
      <c r="B9169" t="s">
        <v>691</v>
      </c>
      <c r="C9169" s="83">
        <v>46190</v>
      </c>
      <c r="D9169" t="s">
        <v>310</v>
      </c>
      <c r="E9169" t="s">
        <v>338</v>
      </c>
      <c r="F9169">
        <v>4</v>
      </c>
      <c r="G9169">
        <v>3.17205</v>
      </c>
    </row>
    <row r="9170" spans="1:7" x14ac:dyDescent="0.35">
      <c r="A9170" t="s">
        <v>847</v>
      </c>
      <c r="B9170" t="s">
        <v>691</v>
      </c>
      <c r="C9170" s="83">
        <v>46190</v>
      </c>
      <c r="D9170" t="s">
        <v>313</v>
      </c>
      <c r="E9170" t="s">
        <v>126</v>
      </c>
      <c r="F9170">
        <v>20</v>
      </c>
      <c r="G9170">
        <v>95.714433333333304</v>
      </c>
    </row>
    <row r="9171" spans="1:7" x14ac:dyDescent="0.35">
      <c r="A9171" t="s">
        <v>847</v>
      </c>
      <c r="B9171" t="s">
        <v>691</v>
      </c>
      <c r="C9171" s="83">
        <v>46190</v>
      </c>
      <c r="D9171" t="s">
        <v>313</v>
      </c>
      <c r="E9171" t="s">
        <v>311</v>
      </c>
      <c r="F9171">
        <v>7</v>
      </c>
      <c r="G9171">
        <v>10.5537833333333</v>
      </c>
    </row>
    <row r="9172" spans="1:7" x14ac:dyDescent="0.35">
      <c r="A9172" t="s">
        <v>847</v>
      </c>
      <c r="B9172" t="s">
        <v>691</v>
      </c>
      <c r="C9172" s="83">
        <v>46190</v>
      </c>
      <c r="D9172" t="s">
        <v>313</v>
      </c>
      <c r="E9172" t="s">
        <v>347</v>
      </c>
      <c r="F9172">
        <v>4</v>
      </c>
      <c r="G9172">
        <v>1.5757333333333301</v>
      </c>
    </row>
    <row r="9173" spans="1:7" x14ac:dyDescent="0.35">
      <c r="A9173" t="s">
        <v>847</v>
      </c>
      <c r="B9173" t="s">
        <v>691</v>
      </c>
      <c r="C9173" s="83">
        <v>46190</v>
      </c>
      <c r="D9173" t="s">
        <v>314</v>
      </c>
      <c r="E9173" t="s">
        <v>827</v>
      </c>
      <c r="F9173">
        <v>7</v>
      </c>
      <c r="G9173">
        <v>19.694900000000001</v>
      </c>
    </row>
    <row r="9174" spans="1:7" x14ac:dyDescent="0.35">
      <c r="A9174" t="s">
        <v>847</v>
      </c>
      <c r="B9174" t="s">
        <v>691</v>
      </c>
      <c r="C9174" s="83">
        <v>46190</v>
      </c>
      <c r="D9174" t="s">
        <v>314</v>
      </c>
      <c r="E9174" t="s">
        <v>323</v>
      </c>
      <c r="F9174">
        <v>3</v>
      </c>
      <c r="G9174">
        <v>5.7120666666666704</v>
      </c>
    </row>
    <row r="9175" spans="1:7" x14ac:dyDescent="0.35">
      <c r="A9175" t="s">
        <v>847</v>
      </c>
      <c r="B9175" t="s">
        <v>691</v>
      </c>
      <c r="C9175" s="83">
        <v>46190</v>
      </c>
      <c r="D9175" t="s">
        <v>314</v>
      </c>
      <c r="E9175" t="s">
        <v>319</v>
      </c>
      <c r="F9175">
        <v>2</v>
      </c>
      <c r="G9175">
        <v>36.675683333333303</v>
      </c>
    </row>
    <row r="9176" spans="1:7" x14ac:dyDescent="0.35">
      <c r="A9176" t="s">
        <v>847</v>
      </c>
      <c r="B9176" t="s">
        <v>691</v>
      </c>
      <c r="C9176" s="83">
        <v>46191</v>
      </c>
      <c r="D9176" t="s">
        <v>295</v>
      </c>
      <c r="E9176" t="s">
        <v>296</v>
      </c>
      <c r="F9176">
        <v>50</v>
      </c>
      <c r="G9176">
        <v>28.033049999999999</v>
      </c>
    </row>
    <row r="9177" spans="1:7" x14ac:dyDescent="0.35">
      <c r="A9177" t="s">
        <v>847</v>
      </c>
      <c r="B9177" t="s">
        <v>691</v>
      </c>
      <c r="C9177" s="83">
        <v>46191</v>
      </c>
      <c r="D9177" t="s">
        <v>299</v>
      </c>
      <c r="E9177" t="s">
        <v>296</v>
      </c>
      <c r="F9177">
        <v>74</v>
      </c>
      <c r="G9177">
        <v>59.814116666666699</v>
      </c>
    </row>
    <row r="9178" spans="1:7" x14ac:dyDescent="0.35">
      <c r="A9178" t="s">
        <v>847</v>
      </c>
      <c r="B9178" t="s">
        <v>691</v>
      </c>
      <c r="C9178" s="83">
        <v>46191</v>
      </c>
      <c r="D9178" t="s">
        <v>301</v>
      </c>
      <c r="E9178" t="s">
        <v>296</v>
      </c>
      <c r="F9178">
        <v>43</v>
      </c>
      <c r="G9178">
        <v>29.5170833333333</v>
      </c>
    </row>
    <row r="9179" spans="1:7" x14ac:dyDescent="0.35">
      <c r="A9179" t="s">
        <v>847</v>
      </c>
      <c r="B9179" t="s">
        <v>691</v>
      </c>
      <c r="C9179" s="83">
        <v>46191</v>
      </c>
      <c r="D9179" t="s">
        <v>303</v>
      </c>
      <c r="E9179" t="s">
        <v>302</v>
      </c>
      <c r="F9179">
        <v>69</v>
      </c>
      <c r="G9179">
        <v>24.186666666666699</v>
      </c>
    </row>
    <row r="9180" spans="1:7" x14ac:dyDescent="0.35">
      <c r="A9180" t="s">
        <v>847</v>
      </c>
      <c r="B9180" t="s">
        <v>691</v>
      </c>
      <c r="C9180" s="83">
        <v>46191</v>
      </c>
      <c r="D9180" t="s">
        <v>310</v>
      </c>
      <c r="E9180" t="s">
        <v>311</v>
      </c>
      <c r="F9180">
        <v>18</v>
      </c>
      <c r="G9180">
        <v>27.7841666666667</v>
      </c>
    </row>
    <row r="9181" spans="1:7" x14ac:dyDescent="0.35">
      <c r="A9181" t="s">
        <v>847</v>
      </c>
      <c r="B9181" t="s">
        <v>691</v>
      </c>
      <c r="C9181" s="83">
        <v>46191</v>
      </c>
      <c r="D9181" t="s">
        <v>310</v>
      </c>
      <c r="E9181" t="s">
        <v>338</v>
      </c>
      <c r="F9181">
        <v>8</v>
      </c>
      <c r="G9181">
        <v>8.61355</v>
      </c>
    </row>
    <row r="9182" spans="1:7" x14ac:dyDescent="0.35">
      <c r="A9182" t="s">
        <v>847</v>
      </c>
      <c r="B9182" t="s">
        <v>691</v>
      </c>
      <c r="C9182" s="83">
        <v>46191</v>
      </c>
      <c r="D9182" t="s">
        <v>310</v>
      </c>
      <c r="E9182" t="s">
        <v>312</v>
      </c>
      <c r="F9182">
        <v>7</v>
      </c>
      <c r="G9182">
        <v>6.5462166666666697</v>
      </c>
    </row>
    <row r="9183" spans="1:7" x14ac:dyDescent="0.35">
      <c r="A9183" t="s">
        <v>847</v>
      </c>
      <c r="B9183" t="s">
        <v>691</v>
      </c>
      <c r="C9183" s="83">
        <v>46191</v>
      </c>
      <c r="D9183" t="s">
        <v>313</v>
      </c>
      <c r="E9183" t="s">
        <v>126</v>
      </c>
      <c r="F9183">
        <v>9</v>
      </c>
      <c r="G9183">
        <v>25.336033333333301</v>
      </c>
    </row>
    <row r="9184" spans="1:7" x14ac:dyDescent="0.35">
      <c r="A9184" t="s">
        <v>847</v>
      </c>
      <c r="B9184" t="s">
        <v>691</v>
      </c>
      <c r="C9184" s="83">
        <v>46191</v>
      </c>
      <c r="D9184" t="s">
        <v>313</v>
      </c>
      <c r="E9184" t="s">
        <v>322</v>
      </c>
      <c r="F9184">
        <v>3</v>
      </c>
      <c r="G9184">
        <v>2.0990500000000001</v>
      </c>
    </row>
    <row r="9185" spans="1:7" x14ac:dyDescent="0.35">
      <c r="A9185" t="s">
        <v>847</v>
      </c>
      <c r="B9185" t="s">
        <v>691</v>
      </c>
      <c r="C9185" s="83">
        <v>46191</v>
      </c>
      <c r="D9185" t="s">
        <v>313</v>
      </c>
      <c r="E9185" t="s">
        <v>311</v>
      </c>
      <c r="F9185">
        <v>3</v>
      </c>
      <c r="G9185">
        <v>1.4120999999999999</v>
      </c>
    </row>
    <row r="9186" spans="1:7" x14ac:dyDescent="0.35">
      <c r="A9186" t="s">
        <v>847</v>
      </c>
      <c r="B9186" t="s">
        <v>691</v>
      </c>
      <c r="C9186" s="83">
        <v>46191</v>
      </c>
      <c r="D9186" t="s">
        <v>314</v>
      </c>
      <c r="E9186" t="s">
        <v>126</v>
      </c>
      <c r="F9186">
        <v>14</v>
      </c>
      <c r="G9186">
        <v>44.3006666666667</v>
      </c>
    </row>
    <row r="9187" spans="1:7" x14ac:dyDescent="0.35">
      <c r="A9187" t="s">
        <v>847</v>
      </c>
      <c r="B9187" t="s">
        <v>691</v>
      </c>
      <c r="C9187" s="83">
        <v>46191</v>
      </c>
      <c r="D9187" t="s">
        <v>314</v>
      </c>
      <c r="E9187" t="s">
        <v>312</v>
      </c>
      <c r="F9187">
        <v>9</v>
      </c>
      <c r="G9187">
        <v>8.5265333333333295</v>
      </c>
    </row>
    <row r="9188" spans="1:7" x14ac:dyDescent="0.35">
      <c r="A9188" t="s">
        <v>847</v>
      </c>
      <c r="B9188" t="s">
        <v>691</v>
      </c>
      <c r="C9188" s="83">
        <v>46191</v>
      </c>
      <c r="D9188" t="s">
        <v>314</v>
      </c>
      <c r="E9188" t="s">
        <v>657</v>
      </c>
      <c r="F9188">
        <v>3</v>
      </c>
      <c r="G9188">
        <v>21.23265</v>
      </c>
    </row>
    <row r="9189" spans="1:7" x14ac:dyDescent="0.35">
      <c r="A9189" t="s">
        <v>847</v>
      </c>
      <c r="B9189" t="s">
        <v>691</v>
      </c>
      <c r="C9189" s="83">
        <v>46191</v>
      </c>
      <c r="D9189" t="s">
        <v>317</v>
      </c>
      <c r="E9189" t="s">
        <v>792</v>
      </c>
      <c r="F9189">
        <v>3</v>
      </c>
      <c r="G9189">
        <v>0.86333333333333295</v>
      </c>
    </row>
    <row r="9190" spans="1:7" x14ac:dyDescent="0.35">
      <c r="A9190" t="s">
        <v>847</v>
      </c>
      <c r="B9190" t="s">
        <v>691</v>
      </c>
      <c r="C9190" s="83">
        <v>46192</v>
      </c>
      <c r="D9190" t="s">
        <v>295</v>
      </c>
      <c r="E9190" t="s">
        <v>296</v>
      </c>
      <c r="F9190">
        <v>54</v>
      </c>
      <c r="G9190">
        <v>22.912466666666699</v>
      </c>
    </row>
    <row r="9191" spans="1:7" x14ac:dyDescent="0.35">
      <c r="A9191" t="s">
        <v>847</v>
      </c>
      <c r="B9191" t="s">
        <v>691</v>
      </c>
      <c r="C9191" s="83">
        <v>46192</v>
      </c>
      <c r="D9191" t="s">
        <v>295</v>
      </c>
      <c r="E9191" t="s">
        <v>302</v>
      </c>
      <c r="F9191">
        <v>13</v>
      </c>
      <c r="G9191">
        <v>7.6811999999999996</v>
      </c>
    </row>
    <row r="9192" spans="1:7" x14ac:dyDescent="0.35">
      <c r="A9192" t="s">
        <v>847</v>
      </c>
      <c r="B9192" t="s">
        <v>691</v>
      </c>
      <c r="C9192" s="83">
        <v>46192</v>
      </c>
      <c r="D9192" t="s">
        <v>299</v>
      </c>
      <c r="E9192" t="s">
        <v>296</v>
      </c>
      <c r="F9192">
        <v>84</v>
      </c>
      <c r="G9192">
        <v>48.851366666666699</v>
      </c>
    </row>
    <row r="9193" spans="1:7" x14ac:dyDescent="0.35">
      <c r="A9193" t="s">
        <v>847</v>
      </c>
      <c r="B9193" t="s">
        <v>691</v>
      </c>
      <c r="C9193" s="83">
        <v>46192</v>
      </c>
      <c r="D9193" t="s">
        <v>301</v>
      </c>
      <c r="E9193" t="s">
        <v>296</v>
      </c>
      <c r="F9193">
        <v>31</v>
      </c>
      <c r="G9193">
        <v>15.74785</v>
      </c>
    </row>
    <row r="9194" spans="1:7" x14ac:dyDescent="0.35">
      <c r="A9194" t="s">
        <v>847</v>
      </c>
      <c r="B9194" t="s">
        <v>691</v>
      </c>
      <c r="C9194" s="83">
        <v>46192</v>
      </c>
      <c r="D9194" t="s">
        <v>310</v>
      </c>
      <c r="E9194" t="s">
        <v>311</v>
      </c>
      <c r="F9194">
        <v>13</v>
      </c>
      <c r="G9194">
        <v>29.06345</v>
      </c>
    </row>
    <row r="9195" spans="1:7" x14ac:dyDescent="0.35">
      <c r="A9195" t="s">
        <v>847</v>
      </c>
      <c r="B9195" t="s">
        <v>691</v>
      </c>
      <c r="C9195" s="83">
        <v>46192</v>
      </c>
      <c r="D9195" t="s">
        <v>310</v>
      </c>
      <c r="E9195" t="s">
        <v>126</v>
      </c>
      <c r="F9195">
        <v>11</v>
      </c>
      <c r="G9195">
        <v>16.661366666666702</v>
      </c>
    </row>
    <row r="9196" spans="1:7" x14ac:dyDescent="0.35">
      <c r="A9196" t="s">
        <v>847</v>
      </c>
      <c r="B9196" t="s">
        <v>691</v>
      </c>
      <c r="C9196" s="83">
        <v>46192</v>
      </c>
      <c r="D9196" t="s">
        <v>310</v>
      </c>
      <c r="E9196" t="s">
        <v>312</v>
      </c>
      <c r="F9196">
        <v>3</v>
      </c>
      <c r="G9196">
        <v>0.80966666666666698</v>
      </c>
    </row>
    <row r="9197" spans="1:7" x14ac:dyDescent="0.35">
      <c r="A9197" t="s">
        <v>847</v>
      </c>
      <c r="B9197" t="s">
        <v>691</v>
      </c>
      <c r="C9197" s="83">
        <v>46192</v>
      </c>
      <c r="D9197" t="s">
        <v>313</v>
      </c>
      <c r="E9197" t="s">
        <v>126</v>
      </c>
      <c r="F9197">
        <v>10</v>
      </c>
      <c r="G9197">
        <v>20.654</v>
      </c>
    </row>
    <row r="9198" spans="1:7" x14ac:dyDescent="0.35">
      <c r="A9198" t="s">
        <v>847</v>
      </c>
      <c r="B9198" t="s">
        <v>691</v>
      </c>
      <c r="C9198" s="83">
        <v>46192</v>
      </c>
      <c r="D9198" t="s">
        <v>313</v>
      </c>
      <c r="E9198" t="s">
        <v>338</v>
      </c>
      <c r="F9198">
        <v>7</v>
      </c>
      <c r="G9198">
        <v>35.369566666666699</v>
      </c>
    </row>
    <row r="9199" spans="1:7" x14ac:dyDescent="0.35">
      <c r="A9199" t="s">
        <v>847</v>
      </c>
      <c r="B9199" t="s">
        <v>691</v>
      </c>
      <c r="C9199" s="83">
        <v>46192</v>
      </c>
      <c r="D9199" t="s">
        <v>313</v>
      </c>
      <c r="E9199" t="s">
        <v>838</v>
      </c>
      <c r="F9199">
        <v>5</v>
      </c>
      <c r="G9199">
        <v>1.39781666666667</v>
      </c>
    </row>
    <row r="9200" spans="1:7" x14ac:dyDescent="0.35">
      <c r="A9200" t="s">
        <v>847</v>
      </c>
      <c r="B9200" t="s">
        <v>691</v>
      </c>
      <c r="C9200" s="83">
        <v>46192</v>
      </c>
      <c r="D9200" t="s">
        <v>314</v>
      </c>
      <c r="E9200" t="s">
        <v>126</v>
      </c>
      <c r="F9200">
        <v>11</v>
      </c>
      <c r="G9200">
        <v>20.153933333333299</v>
      </c>
    </row>
    <row r="9201" spans="1:7" x14ac:dyDescent="0.35">
      <c r="A9201" t="s">
        <v>847</v>
      </c>
      <c r="B9201" t="s">
        <v>691</v>
      </c>
      <c r="C9201" s="83">
        <v>46192</v>
      </c>
      <c r="D9201" t="s">
        <v>314</v>
      </c>
      <c r="E9201" t="s">
        <v>827</v>
      </c>
      <c r="F9201">
        <v>9</v>
      </c>
      <c r="G9201">
        <v>111.341433333333</v>
      </c>
    </row>
    <row r="9202" spans="1:7" x14ac:dyDescent="0.35">
      <c r="A9202" t="s">
        <v>847</v>
      </c>
      <c r="B9202" t="s">
        <v>691</v>
      </c>
      <c r="C9202" s="83">
        <v>46192</v>
      </c>
      <c r="D9202" t="s">
        <v>314</v>
      </c>
      <c r="E9202" t="s">
        <v>321</v>
      </c>
      <c r="F9202">
        <v>5</v>
      </c>
      <c r="G9202">
        <v>10.2864</v>
      </c>
    </row>
    <row r="9203" spans="1:7" x14ac:dyDescent="0.35">
      <c r="A9203" t="s">
        <v>847</v>
      </c>
      <c r="B9203" t="s">
        <v>691</v>
      </c>
      <c r="C9203" s="83">
        <v>46192</v>
      </c>
      <c r="D9203" t="s">
        <v>317</v>
      </c>
      <c r="E9203" t="s">
        <v>792</v>
      </c>
      <c r="F9203">
        <v>2</v>
      </c>
      <c r="G9203">
        <v>1.1721333333333299</v>
      </c>
    </row>
    <row r="9204" spans="1:7" x14ac:dyDescent="0.35">
      <c r="A9204" t="s">
        <v>847</v>
      </c>
      <c r="B9204" t="s">
        <v>691</v>
      </c>
      <c r="C9204" s="83">
        <v>46192</v>
      </c>
      <c r="D9204" t="s">
        <v>317</v>
      </c>
      <c r="E9204" t="s">
        <v>339</v>
      </c>
      <c r="F9204">
        <v>2</v>
      </c>
      <c r="G9204">
        <v>5.5207833333333296</v>
      </c>
    </row>
    <row r="9205" spans="1:7" x14ac:dyDescent="0.35">
      <c r="A9205" t="s">
        <v>847</v>
      </c>
      <c r="B9205" t="s">
        <v>691</v>
      </c>
      <c r="C9205" s="83">
        <v>46193</v>
      </c>
      <c r="D9205" t="s">
        <v>295</v>
      </c>
      <c r="E9205" t="s">
        <v>296</v>
      </c>
      <c r="F9205">
        <v>26</v>
      </c>
      <c r="G9205">
        <v>13.3080833333333</v>
      </c>
    </row>
    <row r="9206" spans="1:7" x14ac:dyDescent="0.35">
      <c r="A9206" t="s">
        <v>847</v>
      </c>
      <c r="B9206" t="s">
        <v>691</v>
      </c>
      <c r="C9206" s="83">
        <v>46193</v>
      </c>
      <c r="D9206" t="s">
        <v>299</v>
      </c>
      <c r="E9206" t="s">
        <v>296</v>
      </c>
      <c r="F9206">
        <v>95</v>
      </c>
      <c r="G9206">
        <v>57.996916666666699</v>
      </c>
    </row>
    <row r="9207" spans="1:7" x14ac:dyDescent="0.35">
      <c r="A9207" t="s">
        <v>847</v>
      </c>
      <c r="B9207" t="s">
        <v>691</v>
      </c>
      <c r="C9207" s="83">
        <v>46193</v>
      </c>
      <c r="D9207" t="s">
        <v>299</v>
      </c>
      <c r="E9207" t="s">
        <v>302</v>
      </c>
      <c r="F9207">
        <v>23</v>
      </c>
      <c r="G9207">
        <v>21.984033333333301</v>
      </c>
    </row>
    <row r="9208" spans="1:7" x14ac:dyDescent="0.35">
      <c r="A9208" t="s">
        <v>847</v>
      </c>
      <c r="B9208" t="s">
        <v>691</v>
      </c>
      <c r="C9208" s="83">
        <v>46193</v>
      </c>
      <c r="D9208" t="s">
        <v>301</v>
      </c>
      <c r="E9208" t="s">
        <v>296</v>
      </c>
      <c r="F9208">
        <v>27</v>
      </c>
      <c r="G9208">
        <v>16.129616666666699</v>
      </c>
    </row>
    <row r="9209" spans="1:7" x14ac:dyDescent="0.35">
      <c r="A9209" t="s">
        <v>847</v>
      </c>
      <c r="B9209" t="s">
        <v>691</v>
      </c>
      <c r="C9209" s="83">
        <v>46193</v>
      </c>
      <c r="D9209" t="s">
        <v>303</v>
      </c>
      <c r="E9209" t="s">
        <v>637</v>
      </c>
      <c r="F9209">
        <v>8</v>
      </c>
      <c r="G9209">
        <v>10.434749999999999</v>
      </c>
    </row>
    <row r="9210" spans="1:7" x14ac:dyDescent="0.35">
      <c r="A9210" t="s">
        <v>847</v>
      </c>
      <c r="B9210" t="s">
        <v>691</v>
      </c>
      <c r="C9210" s="83">
        <v>46193</v>
      </c>
      <c r="D9210" t="s">
        <v>310</v>
      </c>
      <c r="E9210" t="s">
        <v>311</v>
      </c>
      <c r="F9210">
        <v>3</v>
      </c>
      <c r="G9210">
        <v>2.0553166666666698</v>
      </c>
    </row>
    <row r="9211" spans="1:7" x14ac:dyDescent="0.35">
      <c r="A9211" t="s">
        <v>847</v>
      </c>
      <c r="B9211" t="s">
        <v>691</v>
      </c>
      <c r="C9211" s="83">
        <v>46193</v>
      </c>
      <c r="D9211" t="s">
        <v>310</v>
      </c>
      <c r="E9211" t="s">
        <v>126</v>
      </c>
      <c r="F9211">
        <v>3</v>
      </c>
      <c r="G9211">
        <v>8.7382166666666699</v>
      </c>
    </row>
    <row r="9212" spans="1:7" x14ac:dyDescent="0.35">
      <c r="A9212" t="s">
        <v>847</v>
      </c>
      <c r="B9212" t="s">
        <v>691</v>
      </c>
      <c r="C9212" s="83">
        <v>46193</v>
      </c>
      <c r="D9212" t="s">
        <v>310</v>
      </c>
      <c r="E9212" t="s">
        <v>316</v>
      </c>
      <c r="F9212">
        <v>2</v>
      </c>
      <c r="G9212">
        <v>0.118566666666667</v>
      </c>
    </row>
    <row r="9213" spans="1:7" x14ac:dyDescent="0.35">
      <c r="A9213" t="s">
        <v>847</v>
      </c>
      <c r="B9213" t="s">
        <v>691</v>
      </c>
      <c r="C9213" s="83">
        <v>46193</v>
      </c>
      <c r="D9213" t="s">
        <v>313</v>
      </c>
      <c r="E9213" t="s">
        <v>347</v>
      </c>
      <c r="F9213">
        <v>2</v>
      </c>
      <c r="G9213">
        <v>8.7222500000000007</v>
      </c>
    </row>
    <row r="9214" spans="1:7" x14ac:dyDescent="0.35">
      <c r="A9214" t="s">
        <v>847</v>
      </c>
      <c r="B9214" t="s">
        <v>691</v>
      </c>
      <c r="C9214" s="83">
        <v>46193</v>
      </c>
      <c r="D9214" t="s">
        <v>313</v>
      </c>
      <c r="E9214" t="s">
        <v>312</v>
      </c>
      <c r="F9214">
        <v>2</v>
      </c>
      <c r="G9214">
        <v>1.7790333333333299</v>
      </c>
    </row>
    <row r="9215" spans="1:7" x14ac:dyDescent="0.35">
      <c r="A9215" t="s">
        <v>847</v>
      </c>
      <c r="B9215" t="s">
        <v>691</v>
      </c>
      <c r="C9215" s="83">
        <v>46193</v>
      </c>
      <c r="D9215" t="s">
        <v>313</v>
      </c>
      <c r="E9215" t="s">
        <v>311</v>
      </c>
      <c r="F9215">
        <v>2</v>
      </c>
      <c r="G9215">
        <v>3.1654</v>
      </c>
    </row>
    <row r="9216" spans="1:7" x14ac:dyDescent="0.35">
      <c r="A9216" t="s">
        <v>847</v>
      </c>
      <c r="B9216" t="s">
        <v>691</v>
      </c>
      <c r="C9216" s="83">
        <v>46193</v>
      </c>
      <c r="D9216" t="s">
        <v>314</v>
      </c>
      <c r="E9216" t="s">
        <v>126</v>
      </c>
      <c r="F9216">
        <v>8</v>
      </c>
      <c r="G9216">
        <v>40.049433333333297</v>
      </c>
    </row>
    <row r="9217" spans="1:7" x14ac:dyDescent="0.35">
      <c r="A9217" t="s">
        <v>847</v>
      </c>
      <c r="B9217" t="s">
        <v>691</v>
      </c>
      <c r="C9217" s="83">
        <v>46193</v>
      </c>
      <c r="D9217" t="s">
        <v>314</v>
      </c>
      <c r="E9217" t="s">
        <v>348</v>
      </c>
      <c r="F9217">
        <v>3</v>
      </c>
      <c r="G9217">
        <v>6.5670333333333302</v>
      </c>
    </row>
    <row r="9218" spans="1:7" x14ac:dyDescent="0.35">
      <c r="A9218" t="s">
        <v>847</v>
      </c>
      <c r="B9218" t="s">
        <v>691</v>
      </c>
      <c r="C9218" s="83">
        <v>46193</v>
      </c>
      <c r="D9218" t="s">
        <v>314</v>
      </c>
      <c r="E9218" t="s">
        <v>311</v>
      </c>
      <c r="F9218">
        <v>2</v>
      </c>
      <c r="G9218">
        <v>4.0387333333333304</v>
      </c>
    </row>
    <row r="9219" spans="1:7" x14ac:dyDescent="0.35">
      <c r="A9219" t="s">
        <v>847</v>
      </c>
      <c r="B9219" t="s">
        <v>691</v>
      </c>
      <c r="C9219" s="83">
        <v>46193</v>
      </c>
      <c r="D9219" t="s">
        <v>317</v>
      </c>
      <c r="E9219" t="s">
        <v>318</v>
      </c>
      <c r="F9219">
        <v>2</v>
      </c>
      <c r="G9219">
        <v>0.67166666666666697</v>
      </c>
    </row>
    <row r="9220" spans="1:7" x14ac:dyDescent="0.35">
      <c r="A9220" t="s">
        <v>847</v>
      </c>
      <c r="B9220" t="s">
        <v>691</v>
      </c>
      <c r="C9220" s="83">
        <v>46193</v>
      </c>
      <c r="D9220" t="s">
        <v>317</v>
      </c>
      <c r="E9220" t="s">
        <v>319</v>
      </c>
      <c r="F9220">
        <v>2</v>
      </c>
      <c r="G9220">
        <v>0.34281666666666699</v>
      </c>
    </row>
    <row r="9221" spans="1:7" x14ac:dyDescent="0.35">
      <c r="A9221" t="s">
        <v>847</v>
      </c>
      <c r="B9221" t="s">
        <v>691</v>
      </c>
      <c r="C9221" s="83">
        <v>46194</v>
      </c>
      <c r="D9221" t="s">
        <v>295</v>
      </c>
      <c r="E9221" t="s">
        <v>302</v>
      </c>
      <c r="F9221">
        <v>28</v>
      </c>
      <c r="G9221">
        <v>12.8733166666667</v>
      </c>
    </row>
    <row r="9222" spans="1:7" x14ac:dyDescent="0.35">
      <c r="A9222" t="s">
        <v>847</v>
      </c>
      <c r="B9222" t="s">
        <v>691</v>
      </c>
      <c r="C9222" s="83">
        <v>46194</v>
      </c>
      <c r="D9222" t="s">
        <v>295</v>
      </c>
      <c r="E9222" t="s">
        <v>296</v>
      </c>
      <c r="F9222">
        <v>26</v>
      </c>
      <c r="G9222">
        <v>17.9619</v>
      </c>
    </row>
    <row r="9223" spans="1:7" x14ac:dyDescent="0.35">
      <c r="A9223" t="s">
        <v>847</v>
      </c>
      <c r="B9223" t="s">
        <v>691</v>
      </c>
      <c r="C9223" s="83">
        <v>46194</v>
      </c>
      <c r="D9223" t="s">
        <v>299</v>
      </c>
      <c r="E9223" t="s">
        <v>296</v>
      </c>
      <c r="F9223">
        <v>149</v>
      </c>
      <c r="G9223">
        <v>60.515266666666697</v>
      </c>
    </row>
    <row r="9224" spans="1:7" x14ac:dyDescent="0.35">
      <c r="A9224" t="s">
        <v>847</v>
      </c>
      <c r="B9224" t="s">
        <v>691</v>
      </c>
      <c r="C9224" s="83">
        <v>46194</v>
      </c>
      <c r="D9224" t="s">
        <v>301</v>
      </c>
      <c r="E9224" t="s">
        <v>296</v>
      </c>
      <c r="F9224">
        <v>38</v>
      </c>
      <c r="G9224">
        <v>18.386516666666701</v>
      </c>
    </row>
    <row r="9225" spans="1:7" x14ac:dyDescent="0.35">
      <c r="A9225" t="s">
        <v>847</v>
      </c>
      <c r="B9225" t="s">
        <v>691</v>
      </c>
      <c r="C9225" s="83">
        <v>46194</v>
      </c>
      <c r="D9225" t="s">
        <v>310</v>
      </c>
      <c r="E9225" t="s">
        <v>311</v>
      </c>
      <c r="F9225">
        <v>11</v>
      </c>
      <c r="G9225">
        <v>7.7132666666666703</v>
      </c>
    </row>
    <row r="9226" spans="1:7" x14ac:dyDescent="0.35">
      <c r="A9226" t="s">
        <v>847</v>
      </c>
      <c r="B9226" t="s">
        <v>691</v>
      </c>
      <c r="C9226" s="83">
        <v>46194</v>
      </c>
      <c r="D9226" t="s">
        <v>310</v>
      </c>
      <c r="E9226" t="s">
        <v>126</v>
      </c>
      <c r="F9226">
        <v>9</v>
      </c>
      <c r="G9226">
        <v>9.1535833333333301</v>
      </c>
    </row>
    <row r="9227" spans="1:7" x14ac:dyDescent="0.35">
      <c r="A9227" t="s">
        <v>847</v>
      </c>
      <c r="B9227" t="s">
        <v>691</v>
      </c>
      <c r="C9227" s="83">
        <v>46194</v>
      </c>
      <c r="D9227" t="s">
        <v>310</v>
      </c>
      <c r="E9227" t="s">
        <v>338</v>
      </c>
      <c r="F9227">
        <v>8</v>
      </c>
      <c r="G9227">
        <v>9.1711833333333299</v>
      </c>
    </row>
    <row r="9228" spans="1:7" x14ac:dyDescent="0.35">
      <c r="A9228" t="s">
        <v>847</v>
      </c>
      <c r="B9228" t="s">
        <v>691</v>
      </c>
      <c r="C9228" s="83">
        <v>46194</v>
      </c>
      <c r="D9228" t="s">
        <v>313</v>
      </c>
      <c r="E9228" t="s">
        <v>338</v>
      </c>
      <c r="F9228">
        <v>9</v>
      </c>
      <c r="G9228">
        <v>17.715900000000001</v>
      </c>
    </row>
    <row r="9229" spans="1:7" x14ac:dyDescent="0.35">
      <c r="A9229" t="s">
        <v>847</v>
      </c>
      <c r="B9229" t="s">
        <v>691</v>
      </c>
      <c r="C9229" s="83">
        <v>46194</v>
      </c>
      <c r="D9229" t="s">
        <v>313</v>
      </c>
      <c r="E9229" t="s">
        <v>311</v>
      </c>
      <c r="F9229">
        <v>6</v>
      </c>
      <c r="G9229">
        <v>3.6740666666666701</v>
      </c>
    </row>
    <row r="9230" spans="1:7" x14ac:dyDescent="0.35">
      <c r="A9230" t="s">
        <v>847</v>
      </c>
      <c r="B9230" t="s">
        <v>691</v>
      </c>
      <c r="C9230" s="83">
        <v>46194</v>
      </c>
      <c r="D9230" t="s">
        <v>313</v>
      </c>
      <c r="E9230" t="s">
        <v>316</v>
      </c>
      <c r="F9230">
        <v>4</v>
      </c>
      <c r="G9230">
        <v>2.6213333333333302</v>
      </c>
    </row>
    <row r="9231" spans="1:7" x14ac:dyDescent="0.35">
      <c r="A9231" t="s">
        <v>847</v>
      </c>
      <c r="B9231" t="s">
        <v>691</v>
      </c>
      <c r="C9231" s="83">
        <v>46194</v>
      </c>
      <c r="D9231" t="s">
        <v>314</v>
      </c>
      <c r="E9231" t="s">
        <v>126</v>
      </c>
      <c r="F9231">
        <v>15</v>
      </c>
      <c r="G9231">
        <v>48.7361</v>
      </c>
    </row>
    <row r="9232" spans="1:7" x14ac:dyDescent="0.35">
      <c r="A9232" t="s">
        <v>847</v>
      </c>
      <c r="B9232" t="s">
        <v>691</v>
      </c>
      <c r="C9232" s="83">
        <v>46194</v>
      </c>
      <c r="D9232" t="s">
        <v>314</v>
      </c>
      <c r="E9232" t="s">
        <v>321</v>
      </c>
      <c r="F9232">
        <v>5</v>
      </c>
      <c r="G9232">
        <v>9.8766999999999996</v>
      </c>
    </row>
    <row r="9233" spans="1:7" x14ac:dyDescent="0.35">
      <c r="A9233" t="s">
        <v>847</v>
      </c>
      <c r="B9233" t="s">
        <v>691</v>
      </c>
      <c r="C9233" s="83">
        <v>46194</v>
      </c>
      <c r="D9233" t="s">
        <v>314</v>
      </c>
      <c r="E9233" t="s">
        <v>347</v>
      </c>
      <c r="F9233">
        <v>3</v>
      </c>
      <c r="G9233">
        <v>0.69174999999999998</v>
      </c>
    </row>
    <row r="9234" spans="1:7" x14ac:dyDescent="0.35">
      <c r="A9234" t="s">
        <v>847</v>
      </c>
      <c r="B9234" t="s">
        <v>691</v>
      </c>
      <c r="C9234" s="83">
        <v>46194</v>
      </c>
      <c r="D9234" t="s">
        <v>317</v>
      </c>
      <c r="E9234" t="s">
        <v>318</v>
      </c>
      <c r="F9234">
        <v>3</v>
      </c>
      <c r="G9234">
        <v>1.1387166666666699</v>
      </c>
    </row>
    <row r="9235" spans="1:7" x14ac:dyDescent="0.35">
      <c r="A9235" t="s">
        <v>847</v>
      </c>
      <c r="B9235" t="s">
        <v>691</v>
      </c>
      <c r="C9235" s="83">
        <v>46194</v>
      </c>
      <c r="D9235" t="s">
        <v>317</v>
      </c>
      <c r="E9235" t="s">
        <v>319</v>
      </c>
      <c r="F9235">
        <v>2</v>
      </c>
      <c r="G9235">
        <v>0.62253333333333305</v>
      </c>
    </row>
    <row r="9236" spans="1:7" x14ac:dyDescent="0.35">
      <c r="A9236" t="s">
        <v>847</v>
      </c>
      <c r="B9236" t="s">
        <v>691</v>
      </c>
      <c r="C9236" s="83">
        <v>46194</v>
      </c>
      <c r="D9236" t="s">
        <v>317</v>
      </c>
      <c r="E9236" t="s">
        <v>339</v>
      </c>
      <c r="F9236">
        <v>2</v>
      </c>
      <c r="G9236">
        <v>0.44724999999999998</v>
      </c>
    </row>
    <row r="9237" spans="1:7" x14ac:dyDescent="0.35">
      <c r="A9237" t="s">
        <v>847</v>
      </c>
      <c r="B9237" t="s">
        <v>691</v>
      </c>
      <c r="C9237" s="83">
        <v>46195</v>
      </c>
      <c r="D9237" t="s">
        <v>295</v>
      </c>
      <c r="E9237" t="s">
        <v>296</v>
      </c>
      <c r="F9237">
        <v>18</v>
      </c>
      <c r="G9237">
        <v>8.8886833333333293</v>
      </c>
    </row>
    <row r="9238" spans="1:7" x14ac:dyDescent="0.35">
      <c r="A9238" t="s">
        <v>847</v>
      </c>
      <c r="B9238" t="s">
        <v>691</v>
      </c>
      <c r="C9238" s="83">
        <v>46195</v>
      </c>
      <c r="D9238" t="s">
        <v>299</v>
      </c>
      <c r="E9238" t="s">
        <v>296</v>
      </c>
      <c r="F9238">
        <v>124</v>
      </c>
      <c r="G9238">
        <v>63.963716666666699</v>
      </c>
    </row>
    <row r="9239" spans="1:7" x14ac:dyDescent="0.35">
      <c r="A9239" t="s">
        <v>847</v>
      </c>
      <c r="B9239" t="s">
        <v>691</v>
      </c>
      <c r="C9239" s="83">
        <v>46195</v>
      </c>
      <c r="D9239" t="s">
        <v>301</v>
      </c>
      <c r="E9239" t="s">
        <v>296</v>
      </c>
      <c r="F9239">
        <v>44</v>
      </c>
      <c r="G9239">
        <v>17.311683333333299</v>
      </c>
    </row>
    <row r="9240" spans="1:7" x14ac:dyDescent="0.35">
      <c r="A9240" t="s">
        <v>847</v>
      </c>
      <c r="B9240" t="s">
        <v>691</v>
      </c>
      <c r="C9240" s="83">
        <v>46195</v>
      </c>
      <c r="D9240" t="s">
        <v>309</v>
      </c>
      <c r="E9240" t="s">
        <v>344</v>
      </c>
      <c r="F9240">
        <v>51</v>
      </c>
      <c r="G9240">
        <v>32.032433333333302</v>
      </c>
    </row>
    <row r="9241" spans="1:7" x14ac:dyDescent="0.35">
      <c r="A9241" t="s">
        <v>847</v>
      </c>
      <c r="B9241" t="s">
        <v>691</v>
      </c>
      <c r="C9241" s="83">
        <v>46195</v>
      </c>
      <c r="D9241" t="s">
        <v>310</v>
      </c>
      <c r="E9241" t="s">
        <v>311</v>
      </c>
      <c r="F9241">
        <v>14</v>
      </c>
      <c r="G9241">
        <v>8.0347166666666698</v>
      </c>
    </row>
    <row r="9242" spans="1:7" x14ac:dyDescent="0.35">
      <c r="A9242" t="s">
        <v>847</v>
      </c>
      <c r="B9242" t="s">
        <v>691</v>
      </c>
      <c r="C9242" s="83">
        <v>46195</v>
      </c>
      <c r="D9242" t="s">
        <v>310</v>
      </c>
      <c r="E9242" t="s">
        <v>126</v>
      </c>
      <c r="F9242">
        <v>14</v>
      </c>
      <c r="G9242">
        <v>11.65615</v>
      </c>
    </row>
    <row r="9243" spans="1:7" x14ac:dyDescent="0.35">
      <c r="A9243" t="s">
        <v>847</v>
      </c>
      <c r="B9243" t="s">
        <v>691</v>
      </c>
      <c r="C9243" s="83">
        <v>46195</v>
      </c>
      <c r="D9243" t="s">
        <v>310</v>
      </c>
      <c r="E9243" t="s">
        <v>312</v>
      </c>
      <c r="F9243">
        <v>13</v>
      </c>
      <c r="G9243">
        <v>10.3828333333333</v>
      </c>
    </row>
    <row r="9244" spans="1:7" x14ac:dyDescent="0.35">
      <c r="A9244" t="s">
        <v>847</v>
      </c>
      <c r="B9244" t="s">
        <v>691</v>
      </c>
      <c r="C9244" s="83">
        <v>46195</v>
      </c>
      <c r="D9244" t="s">
        <v>313</v>
      </c>
      <c r="E9244" t="s">
        <v>126</v>
      </c>
      <c r="F9244">
        <v>13</v>
      </c>
      <c r="G9244">
        <v>67.703933333333296</v>
      </c>
    </row>
    <row r="9245" spans="1:7" x14ac:dyDescent="0.35">
      <c r="A9245" t="s">
        <v>847</v>
      </c>
      <c r="B9245" t="s">
        <v>691</v>
      </c>
      <c r="C9245" s="83">
        <v>46195</v>
      </c>
      <c r="D9245" t="s">
        <v>313</v>
      </c>
      <c r="E9245" t="s">
        <v>338</v>
      </c>
      <c r="F9245">
        <v>9</v>
      </c>
      <c r="G9245">
        <v>6.2263833333333301</v>
      </c>
    </row>
    <row r="9246" spans="1:7" x14ac:dyDescent="0.35">
      <c r="A9246" t="s">
        <v>847</v>
      </c>
      <c r="B9246" t="s">
        <v>691</v>
      </c>
      <c r="C9246" s="83">
        <v>46195</v>
      </c>
      <c r="D9246" t="s">
        <v>313</v>
      </c>
      <c r="E9246" t="s">
        <v>311</v>
      </c>
      <c r="F9246">
        <v>8</v>
      </c>
      <c r="G9246">
        <v>4.2293833333333302</v>
      </c>
    </row>
    <row r="9247" spans="1:7" x14ac:dyDescent="0.35">
      <c r="A9247" t="s">
        <v>847</v>
      </c>
      <c r="B9247" t="s">
        <v>691</v>
      </c>
      <c r="C9247" s="83">
        <v>46195</v>
      </c>
      <c r="D9247" t="s">
        <v>314</v>
      </c>
      <c r="E9247" t="s">
        <v>312</v>
      </c>
      <c r="F9247">
        <v>9</v>
      </c>
      <c r="G9247">
        <v>11.10075</v>
      </c>
    </row>
    <row r="9248" spans="1:7" x14ac:dyDescent="0.35">
      <c r="A9248" t="s">
        <v>847</v>
      </c>
      <c r="B9248" t="s">
        <v>691</v>
      </c>
      <c r="C9248" s="83">
        <v>46195</v>
      </c>
      <c r="D9248" t="s">
        <v>314</v>
      </c>
      <c r="E9248" t="s">
        <v>126</v>
      </c>
      <c r="F9248">
        <v>7</v>
      </c>
      <c r="G9248">
        <v>68.436916666666704</v>
      </c>
    </row>
    <row r="9249" spans="1:7" x14ac:dyDescent="0.35">
      <c r="A9249" t="s">
        <v>847</v>
      </c>
      <c r="B9249" t="s">
        <v>691</v>
      </c>
      <c r="C9249" s="83">
        <v>46195</v>
      </c>
      <c r="D9249" t="s">
        <v>314</v>
      </c>
      <c r="E9249" t="s">
        <v>316</v>
      </c>
      <c r="F9249">
        <v>3</v>
      </c>
      <c r="G9249">
        <v>1.3593</v>
      </c>
    </row>
    <row r="9250" spans="1:7" x14ac:dyDescent="0.35">
      <c r="A9250" t="s">
        <v>847</v>
      </c>
      <c r="B9250" t="s">
        <v>691</v>
      </c>
      <c r="C9250" s="83">
        <v>46195</v>
      </c>
      <c r="D9250" t="s">
        <v>317</v>
      </c>
      <c r="E9250" t="s">
        <v>318</v>
      </c>
      <c r="F9250">
        <v>2</v>
      </c>
      <c r="G9250">
        <v>0.43858333333333299</v>
      </c>
    </row>
    <row r="9251" spans="1:7" x14ac:dyDescent="0.35">
      <c r="A9251" t="s">
        <v>847</v>
      </c>
      <c r="B9251" t="s">
        <v>691</v>
      </c>
      <c r="C9251" s="83">
        <v>46195</v>
      </c>
      <c r="D9251" t="s">
        <v>317</v>
      </c>
      <c r="E9251" t="s">
        <v>323</v>
      </c>
      <c r="F9251">
        <v>2</v>
      </c>
      <c r="G9251">
        <v>0.143666666666667</v>
      </c>
    </row>
    <row r="9252" spans="1:7" x14ac:dyDescent="0.35">
      <c r="A9252" t="s">
        <v>847</v>
      </c>
      <c r="B9252" t="s">
        <v>691</v>
      </c>
      <c r="C9252" s="83">
        <v>46196</v>
      </c>
      <c r="D9252" t="s">
        <v>295</v>
      </c>
      <c r="E9252" t="s">
        <v>296</v>
      </c>
      <c r="F9252">
        <v>20</v>
      </c>
      <c r="G9252">
        <v>17.7718666666667</v>
      </c>
    </row>
    <row r="9253" spans="1:7" x14ac:dyDescent="0.35">
      <c r="A9253" t="s">
        <v>847</v>
      </c>
      <c r="B9253" t="s">
        <v>691</v>
      </c>
      <c r="C9253" s="83">
        <v>46196</v>
      </c>
      <c r="D9253" t="s">
        <v>299</v>
      </c>
      <c r="E9253" t="s">
        <v>296</v>
      </c>
      <c r="F9253">
        <v>163</v>
      </c>
      <c r="G9253">
        <v>123.4494</v>
      </c>
    </row>
    <row r="9254" spans="1:7" x14ac:dyDescent="0.35">
      <c r="A9254" t="s">
        <v>847</v>
      </c>
      <c r="B9254" t="s">
        <v>691</v>
      </c>
      <c r="C9254" s="83">
        <v>46196</v>
      </c>
      <c r="D9254" t="s">
        <v>301</v>
      </c>
      <c r="E9254" t="s">
        <v>296</v>
      </c>
      <c r="F9254">
        <v>44</v>
      </c>
      <c r="G9254">
        <v>20.989899999999999</v>
      </c>
    </row>
    <row r="9255" spans="1:7" x14ac:dyDescent="0.35">
      <c r="A9255" t="s">
        <v>847</v>
      </c>
      <c r="B9255" t="s">
        <v>691</v>
      </c>
      <c r="C9255" s="83">
        <v>46196</v>
      </c>
      <c r="D9255" t="s">
        <v>310</v>
      </c>
      <c r="E9255" t="s">
        <v>312</v>
      </c>
      <c r="F9255">
        <v>15</v>
      </c>
      <c r="G9255">
        <v>19.636883333333301</v>
      </c>
    </row>
    <row r="9256" spans="1:7" x14ac:dyDescent="0.35">
      <c r="A9256" t="s">
        <v>847</v>
      </c>
      <c r="B9256" t="s">
        <v>691</v>
      </c>
      <c r="C9256" s="83">
        <v>46196</v>
      </c>
      <c r="D9256" t="s">
        <v>310</v>
      </c>
      <c r="E9256" t="s">
        <v>640</v>
      </c>
      <c r="F9256">
        <v>11</v>
      </c>
      <c r="G9256">
        <v>15.0925666666667</v>
      </c>
    </row>
    <row r="9257" spans="1:7" x14ac:dyDescent="0.35">
      <c r="A9257" t="s">
        <v>847</v>
      </c>
      <c r="B9257" t="s">
        <v>691</v>
      </c>
      <c r="C9257" s="83">
        <v>46196</v>
      </c>
      <c r="D9257" t="s">
        <v>310</v>
      </c>
      <c r="E9257" t="s">
        <v>311</v>
      </c>
      <c r="F9257">
        <v>10</v>
      </c>
      <c r="G9257">
        <v>11.5407333333333</v>
      </c>
    </row>
    <row r="9258" spans="1:7" x14ac:dyDescent="0.35">
      <c r="A9258" t="s">
        <v>847</v>
      </c>
      <c r="B9258" t="s">
        <v>691</v>
      </c>
      <c r="C9258" s="83">
        <v>46196</v>
      </c>
      <c r="D9258" t="s">
        <v>313</v>
      </c>
      <c r="E9258" t="s">
        <v>312</v>
      </c>
      <c r="F9258">
        <v>12</v>
      </c>
      <c r="G9258">
        <v>10.8700666666667</v>
      </c>
    </row>
    <row r="9259" spans="1:7" x14ac:dyDescent="0.35">
      <c r="A9259" t="s">
        <v>847</v>
      </c>
      <c r="B9259" t="s">
        <v>691</v>
      </c>
      <c r="C9259" s="83">
        <v>46196</v>
      </c>
      <c r="D9259" t="s">
        <v>313</v>
      </c>
      <c r="E9259" t="s">
        <v>311</v>
      </c>
      <c r="F9259">
        <v>7</v>
      </c>
      <c r="G9259">
        <v>18.668150000000001</v>
      </c>
    </row>
    <row r="9260" spans="1:7" x14ac:dyDescent="0.35">
      <c r="A9260" t="s">
        <v>847</v>
      </c>
      <c r="B9260" t="s">
        <v>691</v>
      </c>
      <c r="C9260" s="83">
        <v>46196</v>
      </c>
      <c r="D9260" t="s">
        <v>313</v>
      </c>
      <c r="E9260" t="s">
        <v>126</v>
      </c>
      <c r="F9260">
        <v>4</v>
      </c>
      <c r="G9260">
        <v>9.5647500000000001</v>
      </c>
    </row>
    <row r="9261" spans="1:7" x14ac:dyDescent="0.35">
      <c r="A9261" t="s">
        <v>847</v>
      </c>
      <c r="B9261" t="s">
        <v>691</v>
      </c>
      <c r="C9261" s="83">
        <v>46196</v>
      </c>
      <c r="D9261" t="s">
        <v>314</v>
      </c>
      <c r="E9261" t="s">
        <v>126</v>
      </c>
      <c r="F9261">
        <v>19</v>
      </c>
      <c r="G9261">
        <v>60.415133333333301</v>
      </c>
    </row>
    <row r="9262" spans="1:7" x14ac:dyDescent="0.35">
      <c r="A9262" t="s">
        <v>847</v>
      </c>
      <c r="B9262" t="s">
        <v>691</v>
      </c>
      <c r="C9262" s="83">
        <v>46196</v>
      </c>
      <c r="D9262" t="s">
        <v>314</v>
      </c>
      <c r="E9262" t="s">
        <v>312</v>
      </c>
      <c r="F9262">
        <v>11</v>
      </c>
      <c r="G9262">
        <v>12.703150000000001</v>
      </c>
    </row>
    <row r="9263" spans="1:7" x14ac:dyDescent="0.35">
      <c r="A9263" t="s">
        <v>847</v>
      </c>
      <c r="B9263" t="s">
        <v>691</v>
      </c>
      <c r="C9263" s="83">
        <v>46196</v>
      </c>
      <c r="D9263" t="s">
        <v>314</v>
      </c>
      <c r="E9263" t="s">
        <v>311</v>
      </c>
      <c r="F9263">
        <v>4</v>
      </c>
      <c r="G9263">
        <v>34.688049999999997</v>
      </c>
    </row>
    <row r="9264" spans="1:7" x14ac:dyDescent="0.35">
      <c r="A9264" t="s">
        <v>847</v>
      </c>
      <c r="B9264" t="s">
        <v>691</v>
      </c>
      <c r="C9264" s="83">
        <v>46196</v>
      </c>
      <c r="D9264" t="s">
        <v>317</v>
      </c>
      <c r="E9264" t="s">
        <v>774</v>
      </c>
      <c r="F9264">
        <v>2</v>
      </c>
      <c r="G9264">
        <v>0.45356666666666701</v>
      </c>
    </row>
    <row r="9265" spans="1:7" x14ac:dyDescent="0.35">
      <c r="A9265" t="s">
        <v>847</v>
      </c>
      <c r="B9265" t="s">
        <v>691</v>
      </c>
      <c r="C9265" s="83">
        <v>46197</v>
      </c>
      <c r="D9265" t="s">
        <v>295</v>
      </c>
      <c r="E9265" t="s">
        <v>296</v>
      </c>
      <c r="F9265">
        <v>19</v>
      </c>
      <c r="G9265">
        <v>13.10735</v>
      </c>
    </row>
    <row r="9266" spans="1:7" x14ac:dyDescent="0.35">
      <c r="A9266" t="s">
        <v>847</v>
      </c>
      <c r="B9266" t="s">
        <v>691</v>
      </c>
      <c r="C9266" s="83">
        <v>46197</v>
      </c>
      <c r="D9266" t="s">
        <v>299</v>
      </c>
      <c r="E9266" t="s">
        <v>296</v>
      </c>
      <c r="F9266">
        <v>149</v>
      </c>
      <c r="G9266">
        <v>78.962583333333299</v>
      </c>
    </row>
    <row r="9267" spans="1:7" x14ac:dyDescent="0.35">
      <c r="A9267" t="s">
        <v>847</v>
      </c>
      <c r="B9267" t="s">
        <v>691</v>
      </c>
      <c r="C9267" s="83">
        <v>46197</v>
      </c>
      <c r="D9267" t="s">
        <v>301</v>
      </c>
      <c r="E9267" t="s">
        <v>828</v>
      </c>
      <c r="F9267">
        <v>14</v>
      </c>
      <c r="G9267">
        <v>10.2326</v>
      </c>
    </row>
    <row r="9268" spans="1:7" x14ac:dyDescent="0.35">
      <c r="A9268" t="s">
        <v>847</v>
      </c>
      <c r="B9268" t="s">
        <v>691</v>
      </c>
      <c r="C9268" s="83">
        <v>46197</v>
      </c>
      <c r="D9268" t="s">
        <v>303</v>
      </c>
      <c r="E9268" t="s">
        <v>637</v>
      </c>
      <c r="F9268">
        <v>10</v>
      </c>
      <c r="G9268">
        <v>14.06705</v>
      </c>
    </row>
    <row r="9269" spans="1:7" x14ac:dyDescent="0.35">
      <c r="A9269" t="s">
        <v>847</v>
      </c>
      <c r="B9269" t="s">
        <v>691</v>
      </c>
      <c r="C9269" s="83">
        <v>46197</v>
      </c>
      <c r="D9269" t="s">
        <v>310</v>
      </c>
      <c r="E9269" t="s">
        <v>126</v>
      </c>
      <c r="F9269">
        <v>28</v>
      </c>
      <c r="G9269">
        <v>42.797966666666703</v>
      </c>
    </row>
    <row r="9270" spans="1:7" x14ac:dyDescent="0.35">
      <c r="A9270" t="s">
        <v>847</v>
      </c>
      <c r="B9270" t="s">
        <v>691</v>
      </c>
      <c r="C9270" s="83">
        <v>46197</v>
      </c>
      <c r="D9270" t="s">
        <v>310</v>
      </c>
      <c r="E9270" t="s">
        <v>640</v>
      </c>
      <c r="F9270">
        <v>21</v>
      </c>
      <c r="G9270">
        <v>35.180583333333303</v>
      </c>
    </row>
    <row r="9271" spans="1:7" x14ac:dyDescent="0.35">
      <c r="A9271" t="s">
        <v>847</v>
      </c>
      <c r="B9271" t="s">
        <v>691</v>
      </c>
      <c r="C9271" s="83">
        <v>46197</v>
      </c>
      <c r="D9271" t="s">
        <v>310</v>
      </c>
      <c r="E9271" t="s">
        <v>312</v>
      </c>
      <c r="F9271">
        <v>9</v>
      </c>
      <c r="G9271">
        <v>9.7339500000000001</v>
      </c>
    </row>
    <row r="9272" spans="1:7" x14ac:dyDescent="0.35">
      <c r="A9272" t="s">
        <v>847</v>
      </c>
      <c r="B9272" t="s">
        <v>691</v>
      </c>
      <c r="C9272" s="83">
        <v>46197</v>
      </c>
      <c r="D9272" t="s">
        <v>313</v>
      </c>
      <c r="E9272" t="s">
        <v>311</v>
      </c>
      <c r="F9272">
        <v>23</v>
      </c>
      <c r="G9272">
        <v>21.299316666666702</v>
      </c>
    </row>
    <row r="9273" spans="1:7" x14ac:dyDescent="0.35">
      <c r="A9273" t="s">
        <v>847</v>
      </c>
      <c r="B9273" t="s">
        <v>691</v>
      </c>
      <c r="C9273" s="83">
        <v>46197</v>
      </c>
      <c r="D9273" t="s">
        <v>313</v>
      </c>
      <c r="E9273" t="s">
        <v>640</v>
      </c>
      <c r="F9273">
        <v>7</v>
      </c>
      <c r="G9273">
        <v>13.3715166666667</v>
      </c>
    </row>
    <row r="9274" spans="1:7" x14ac:dyDescent="0.35">
      <c r="A9274" t="s">
        <v>847</v>
      </c>
      <c r="B9274" t="s">
        <v>691</v>
      </c>
      <c r="C9274" s="83">
        <v>46197</v>
      </c>
      <c r="D9274" t="s">
        <v>313</v>
      </c>
      <c r="E9274" t="s">
        <v>312</v>
      </c>
      <c r="F9274">
        <v>6</v>
      </c>
      <c r="G9274">
        <v>4.6675333333333304</v>
      </c>
    </row>
    <row r="9275" spans="1:7" x14ac:dyDescent="0.35">
      <c r="A9275" t="s">
        <v>847</v>
      </c>
      <c r="B9275" t="s">
        <v>691</v>
      </c>
      <c r="C9275" s="83">
        <v>46197</v>
      </c>
      <c r="D9275" t="s">
        <v>314</v>
      </c>
      <c r="E9275" t="s">
        <v>126</v>
      </c>
      <c r="F9275">
        <v>7</v>
      </c>
      <c r="G9275">
        <v>12.5829</v>
      </c>
    </row>
    <row r="9276" spans="1:7" x14ac:dyDescent="0.35">
      <c r="A9276" t="s">
        <v>847</v>
      </c>
      <c r="B9276" t="s">
        <v>691</v>
      </c>
      <c r="C9276" s="83">
        <v>46197</v>
      </c>
      <c r="D9276" t="s">
        <v>314</v>
      </c>
      <c r="E9276" t="s">
        <v>312</v>
      </c>
      <c r="F9276">
        <v>4</v>
      </c>
      <c r="G9276">
        <v>2.4293499999999999</v>
      </c>
    </row>
    <row r="9277" spans="1:7" x14ac:dyDescent="0.35">
      <c r="A9277" t="s">
        <v>847</v>
      </c>
      <c r="B9277" t="s">
        <v>691</v>
      </c>
      <c r="C9277" s="83">
        <v>46197</v>
      </c>
      <c r="D9277" t="s">
        <v>314</v>
      </c>
      <c r="E9277" t="s">
        <v>640</v>
      </c>
      <c r="F9277">
        <v>3</v>
      </c>
      <c r="G9277">
        <v>3.4451999999999998</v>
      </c>
    </row>
    <row r="9278" spans="1:7" x14ac:dyDescent="0.35">
      <c r="A9278" t="s">
        <v>847</v>
      </c>
      <c r="B9278" t="s">
        <v>691</v>
      </c>
      <c r="C9278" s="83">
        <v>46197</v>
      </c>
      <c r="D9278" t="s">
        <v>317</v>
      </c>
      <c r="E9278" t="s">
        <v>323</v>
      </c>
      <c r="F9278">
        <v>3</v>
      </c>
      <c r="G9278">
        <v>1.4837</v>
      </c>
    </row>
    <row r="9279" spans="1:7" x14ac:dyDescent="0.35">
      <c r="A9279" t="s">
        <v>847</v>
      </c>
      <c r="B9279" t="s">
        <v>691</v>
      </c>
      <c r="C9279" s="83">
        <v>46197</v>
      </c>
      <c r="D9279" t="s">
        <v>317</v>
      </c>
      <c r="E9279" t="s">
        <v>339</v>
      </c>
      <c r="F9279">
        <v>3</v>
      </c>
      <c r="G9279">
        <v>1.36638333333333</v>
      </c>
    </row>
    <row r="9280" spans="1:7" x14ac:dyDescent="0.35">
      <c r="A9280" t="s">
        <v>847</v>
      </c>
      <c r="B9280" t="s">
        <v>691</v>
      </c>
      <c r="C9280" s="83">
        <v>46197</v>
      </c>
      <c r="D9280" t="s">
        <v>317</v>
      </c>
      <c r="E9280" t="s">
        <v>318</v>
      </c>
      <c r="F9280">
        <v>2</v>
      </c>
      <c r="G9280">
        <v>0.77878333333333305</v>
      </c>
    </row>
    <row r="9281" spans="1:7" x14ac:dyDescent="0.35">
      <c r="A9281" t="s">
        <v>847</v>
      </c>
      <c r="B9281" t="s">
        <v>691</v>
      </c>
      <c r="C9281" s="83">
        <v>46198</v>
      </c>
      <c r="D9281" t="s">
        <v>295</v>
      </c>
      <c r="E9281" t="s">
        <v>296</v>
      </c>
      <c r="F9281">
        <v>44</v>
      </c>
      <c r="G9281">
        <v>18.371583333333302</v>
      </c>
    </row>
    <row r="9282" spans="1:7" x14ac:dyDescent="0.35">
      <c r="A9282" t="s">
        <v>847</v>
      </c>
      <c r="B9282" t="s">
        <v>691</v>
      </c>
      <c r="C9282" s="83">
        <v>46198</v>
      </c>
      <c r="D9282" t="s">
        <v>299</v>
      </c>
      <c r="E9282" t="s">
        <v>296</v>
      </c>
      <c r="F9282">
        <v>103</v>
      </c>
      <c r="G9282">
        <v>56.087699999999998</v>
      </c>
    </row>
    <row r="9283" spans="1:7" x14ac:dyDescent="0.35">
      <c r="A9283" t="s">
        <v>847</v>
      </c>
      <c r="B9283" t="s">
        <v>691</v>
      </c>
      <c r="C9283" s="83">
        <v>46198</v>
      </c>
      <c r="D9283" t="s">
        <v>301</v>
      </c>
      <c r="E9283" t="s">
        <v>296</v>
      </c>
      <c r="F9283">
        <v>20</v>
      </c>
      <c r="G9283">
        <v>12.7722</v>
      </c>
    </row>
    <row r="9284" spans="1:7" x14ac:dyDescent="0.35">
      <c r="A9284" t="s">
        <v>847</v>
      </c>
      <c r="B9284" t="s">
        <v>691</v>
      </c>
      <c r="C9284" s="83">
        <v>46198</v>
      </c>
      <c r="D9284" t="s">
        <v>303</v>
      </c>
      <c r="E9284" t="s">
        <v>302</v>
      </c>
      <c r="F9284">
        <v>10</v>
      </c>
      <c r="G9284">
        <v>2.3859333333333299</v>
      </c>
    </row>
    <row r="9285" spans="1:7" x14ac:dyDescent="0.35">
      <c r="A9285" t="s">
        <v>847</v>
      </c>
      <c r="B9285" t="s">
        <v>691</v>
      </c>
      <c r="C9285" s="83">
        <v>46198</v>
      </c>
      <c r="D9285" t="s">
        <v>310</v>
      </c>
      <c r="E9285" t="s">
        <v>126</v>
      </c>
      <c r="F9285">
        <v>11</v>
      </c>
      <c r="G9285">
        <v>30.787649999999999</v>
      </c>
    </row>
    <row r="9286" spans="1:7" x14ac:dyDescent="0.35">
      <c r="A9286" t="s">
        <v>847</v>
      </c>
      <c r="B9286" t="s">
        <v>691</v>
      </c>
      <c r="C9286" s="83">
        <v>46198</v>
      </c>
      <c r="D9286" t="s">
        <v>310</v>
      </c>
      <c r="E9286" t="s">
        <v>311</v>
      </c>
      <c r="F9286">
        <v>7</v>
      </c>
      <c r="G9286">
        <v>4.3268333333333304</v>
      </c>
    </row>
    <row r="9287" spans="1:7" x14ac:dyDescent="0.35">
      <c r="A9287" t="s">
        <v>847</v>
      </c>
      <c r="B9287" t="s">
        <v>691</v>
      </c>
      <c r="C9287" s="83">
        <v>46198</v>
      </c>
      <c r="D9287" t="s">
        <v>310</v>
      </c>
      <c r="E9287" t="s">
        <v>640</v>
      </c>
      <c r="F9287">
        <v>5</v>
      </c>
      <c r="G9287">
        <v>176.07886666666701</v>
      </c>
    </row>
    <row r="9288" spans="1:7" x14ac:dyDescent="0.35">
      <c r="A9288" t="s">
        <v>847</v>
      </c>
      <c r="B9288" t="s">
        <v>691</v>
      </c>
      <c r="C9288" s="83">
        <v>46198</v>
      </c>
      <c r="D9288" t="s">
        <v>313</v>
      </c>
      <c r="E9288" t="s">
        <v>311</v>
      </c>
      <c r="F9288">
        <v>6</v>
      </c>
      <c r="G9288">
        <v>4.9006333333333298</v>
      </c>
    </row>
    <row r="9289" spans="1:7" x14ac:dyDescent="0.35">
      <c r="A9289" t="s">
        <v>847</v>
      </c>
      <c r="B9289" t="s">
        <v>691</v>
      </c>
      <c r="C9289" s="83">
        <v>46198</v>
      </c>
      <c r="D9289" t="s">
        <v>313</v>
      </c>
      <c r="E9289" t="s">
        <v>640</v>
      </c>
      <c r="F9289">
        <v>3</v>
      </c>
      <c r="G9289">
        <v>3.4396833333333299</v>
      </c>
    </row>
    <row r="9290" spans="1:7" x14ac:dyDescent="0.35">
      <c r="A9290" t="s">
        <v>847</v>
      </c>
      <c r="B9290" t="s">
        <v>691</v>
      </c>
      <c r="C9290" s="83">
        <v>46198</v>
      </c>
      <c r="D9290" t="s">
        <v>313</v>
      </c>
      <c r="E9290" t="s">
        <v>316</v>
      </c>
      <c r="F9290">
        <v>3</v>
      </c>
      <c r="G9290">
        <v>1.0626833333333301</v>
      </c>
    </row>
    <row r="9291" spans="1:7" x14ac:dyDescent="0.35">
      <c r="A9291" t="s">
        <v>847</v>
      </c>
      <c r="B9291" t="s">
        <v>691</v>
      </c>
      <c r="C9291" s="83">
        <v>46198</v>
      </c>
      <c r="D9291" t="s">
        <v>314</v>
      </c>
      <c r="E9291" t="s">
        <v>126</v>
      </c>
      <c r="F9291">
        <v>12</v>
      </c>
      <c r="G9291">
        <v>29.623433333333299</v>
      </c>
    </row>
    <row r="9292" spans="1:7" x14ac:dyDescent="0.35">
      <c r="A9292" t="s">
        <v>847</v>
      </c>
      <c r="B9292" t="s">
        <v>691</v>
      </c>
      <c r="C9292" s="83">
        <v>46198</v>
      </c>
      <c r="D9292" t="s">
        <v>314</v>
      </c>
      <c r="E9292" t="s">
        <v>316</v>
      </c>
      <c r="F9292">
        <v>7</v>
      </c>
      <c r="G9292">
        <v>2.4175166666666699</v>
      </c>
    </row>
    <row r="9293" spans="1:7" x14ac:dyDescent="0.35">
      <c r="A9293" t="s">
        <v>847</v>
      </c>
      <c r="B9293" t="s">
        <v>691</v>
      </c>
      <c r="C9293" s="83">
        <v>46198</v>
      </c>
      <c r="D9293" t="s">
        <v>314</v>
      </c>
      <c r="E9293" t="s">
        <v>640</v>
      </c>
      <c r="F9293">
        <v>5</v>
      </c>
      <c r="G9293">
        <v>8.1940166666666698</v>
      </c>
    </row>
    <row r="9294" spans="1:7" x14ac:dyDescent="0.35">
      <c r="A9294" t="s">
        <v>847</v>
      </c>
      <c r="B9294" t="s">
        <v>691</v>
      </c>
      <c r="C9294" s="83">
        <v>46198</v>
      </c>
      <c r="D9294" t="s">
        <v>317</v>
      </c>
      <c r="E9294" t="s">
        <v>323</v>
      </c>
      <c r="F9294">
        <v>2</v>
      </c>
      <c r="G9294">
        <v>1.2458833333333299</v>
      </c>
    </row>
    <row r="9295" spans="1:7" x14ac:dyDescent="0.35">
      <c r="A9295" t="s">
        <v>847</v>
      </c>
      <c r="B9295" t="s">
        <v>691</v>
      </c>
      <c r="C9295" s="83">
        <v>46199</v>
      </c>
      <c r="D9295" t="s">
        <v>295</v>
      </c>
      <c r="E9295" t="s">
        <v>296</v>
      </c>
      <c r="F9295">
        <v>66</v>
      </c>
      <c r="G9295">
        <v>30.992750000000001</v>
      </c>
    </row>
    <row r="9296" spans="1:7" x14ac:dyDescent="0.35">
      <c r="A9296" t="s">
        <v>847</v>
      </c>
      <c r="B9296" t="s">
        <v>691</v>
      </c>
      <c r="C9296" s="83">
        <v>46199</v>
      </c>
      <c r="D9296" t="s">
        <v>299</v>
      </c>
      <c r="E9296" t="s">
        <v>296</v>
      </c>
      <c r="F9296">
        <v>106</v>
      </c>
      <c r="G9296">
        <v>53.773233333333302</v>
      </c>
    </row>
    <row r="9297" spans="1:7" x14ac:dyDescent="0.35">
      <c r="A9297" t="s">
        <v>847</v>
      </c>
      <c r="B9297" t="s">
        <v>691</v>
      </c>
      <c r="C9297" s="83">
        <v>46199</v>
      </c>
      <c r="D9297" t="s">
        <v>301</v>
      </c>
      <c r="E9297" t="s">
        <v>296</v>
      </c>
      <c r="F9297">
        <v>17</v>
      </c>
      <c r="G9297">
        <v>7.5152666666666699</v>
      </c>
    </row>
    <row r="9298" spans="1:7" x14ac:dyDescent="0.35">
      <c r="A9298" t="s">
        <v>847</v>
      </c>
      <c r="B9298" t="s">
        <v>691</v>
      </c>
      <c r="C9298" s="83">
        <v>46199</v>
      </c>
      <c r="D9298" t="s">
        <v>303</v>
      </c>
      <c r="E9298" t="s">
        <v>302</v>
      </c>
      <c r="F9298">
        <v>13</v>
      </c>
      <c r="G9298">
        <v>4.4057333333333304</v>
      </c>
    </row>
    <row r="9299" spans="1:7" x14ac:dyDescent="0.35">
      <c r="A9299" t="s">
        <v>847</v>
      </c>
      <c r="B9299" t="s">
        <v>691</v>
      </c>
      <c r="C9299" s="83">
        <v>46199</v>
      </c>
      <c r="D9299" t="s">
        <v>310</v>
      </c>
      <c r="E9299" t="s">
        <v>640</v>
      </c>
      <c r="F9299">
        <v>8</v>
      </c>
      <c r="G9299">
        <v>20.4225666666667</v>
      </c>
    </row>
    <row r="9300" spans="1:7" x14ac:dyDescent="0.35">
      <c r="A9300" t="s">
        <v>847</v>
      </c>
      <c r="B9300" t="s">
        <v>691</v>
      </c>
      <c r="C9300" s="83">
        <v>46199</v>
      </c>
      <c r="D9300" t="s">
        <v>310</v>
      </c>
      <c r="E9300" t="s">
        <v>126</v>
      </c>
      <c r="F9300">
        <v>8</v>
      </c>
      <c r="G9300">
        <v>31.630700000000001</v>
      </c>
    </row>
    <row r="9301" spans="1:7" x14ac:dyDescent="0.35">
      <c r="A9301" t="s">
        <v>847</v>
      </c>
      <c r="B9301" t="s">
        <v>691</v>
      </c>
      <c r="C9301" s="83">
        <v>46199</v>
      </c>
      <c r="D9301" t="s">
        <v>310</v>
      </c>
      <c r="E9301" t="s">
        <v>338</v>
      </c>
      <c r="F9301">
        <v>4</v>
      </c>
      <c r="G9301">
        <v>4.27823333333333</v>
      </c>
    </row>
    <row r="9302" spans="1:7" x14ac:dyDescent="0.35">
      <c r="A9302" t="s">
        <v>847</v>
      </c>
      <c r="B9302" t="s">
        <v>691</v>
      </c>
      <c r="C9302" s="83">
        <v>46199</v>
      </c>
      <c r="D9302" t="s">
        <v>313</v>
      </c>
      <c r="E9302" t="s">
        <v>311</v>
      </c>
      <c r="F9302">
        <v>5</v>
      </c>
      <c r="G9302">
        <v>1.5146500000000001</v>
      </c>
    </row>
    <row r="9303" spans="1:7" x14ac:dyDescent="0.35">
      <c r="A9303" t="s">
        <v>847</v>
      </c>
      <c r="B9303" t="s">
        <v>691</v>
      </c>
      <c r="C9303" s="83">
        <v>46199</v>
      </c>
      <c r="D9303" t="s">
        <v>313</v>
      </c>
      <c r="E9303" t="s">
        <v>658</v>
      </c>
      <c r="F9303">
        <v>3</v>
      </c>
      <c r="G9303">
        <v>9.5840666666666703</v>
      </c>
    </row>
    <row r="9304" spans="1:7" x14ac:dyDescent="0.35">
      <c r="A9304" t="s">
        <v>847</v>
      </c>
      <c r="B9304" t="s">
        <v>691</v>
      </c>
      <c r="C9304" s="83">
        <v>46199</v>
      </c>
      <c r="D9304" t="s">
        <v>313</v>
      </c>
      <c r="E9304" t="s">
        <v>316</v>
      </c>
      <c r="F9304">
        <v>3</v>
      </c>
      <c r="G9304">
        <v>1.4703333333333299</v>
      </c>
    </row>
    <row r="9305" spans="1:7" x14ac:dyDescent="0.35">
      <c r="A9305" t="s">
        <v>847</v>
      </c>
      <c r="B9305" t="s">
        <v>691</v>
      </c>
      <c r="C9305" s="83">
        <v>46199</v>
      </c>
      <c r="D9305" t="s">
        <v>314</v>
      </c>
      <c r="E9305" t="s">
        <v>312</v>
      </c>
      <c r="F9305">
        <v>9</v>
      </c>
      <c r="G9305">
        <v>8.3355499999999996</v>
      </c>
    </row>
    <row r="9306" spans="1:7" x14ac:dyDescent="0.35">
      <c r="A9306" t="s">
        <v>847</v>
      </c>
      <c r="B9306" t="s">
        <v>691</v>
      </c>
      <c r="C9306" s="83">
        <v>46199</v>
      </c>
      <c r="D9306" t="s">
        <v>314</v>
      </c>
      <c r="E9306" t="s">
        <v>640</v>
      </c>
      <c r="F9306">
        <v>6</v>
      </c>
      <c r="G9306">
        <v>18.0111833333333</v>
      </c>
    </row>
    <row r="9307" spans="1:7" x14ac:dyDescent="0.35">
      <c r="A9307" t="s">
        <v>847</v>
      </c>
      <c r="B9307" t="s">
        <v>691</v>
      </c>
      <c r="C9307" s="83">
        <v>46199</v>
      </c>
      <c r="D9307" t="s">
        <v>314</v>
      </c>
      <c r="E9307" t="s">
        <v>126</v>
      </c>
      <c r="F9307">
        <v>4</v>
      </c>
      <c r="G9307">
        <v>4.8116000000000003</v>
      </c>
    </row>
    <row r="9308" spans="1:7" x14ac:dyDescent="0.35">
      <c r="A9308" t="s">
        <v>847</v>
      </c>
      <c r="B9308" t="s">
        <v>691</v>
      </c>
      <c r="C9308" s="83">
        <v>46199</v>
      </c>
      <c r="D9308" t="s">
        <v>317</v>
      </c>
      <c r="E9308" t="s">
        <v>318</v>
      </c>
      <c r="F9308">
        <v>2</v>
      </c>
      <c r="G9308">
        <v>3.5241333333333298</v>
      </c>
    </row>
    <row r="9309" spans="1:7" x14ac:dyDescent="0.35">
      <c r="A9309" t="s">
        <v>847</v>
      </c>
      <c r="B9309" t="s">
        <v>691</v>
      </c>
      <c r="C9309" s="83">
        <v>46199</v>
      </c>
      <c r="D9309" t="s">
        <v>317</v>
      </c>
      <c r="E9309" t="s">
        <v>319</v>
      </c>
      <c r="F9309">
        <v>2</v>
      </c>
      <c r="G9309">
        <v>0.93798333333333295</v>
      </c>
    </row>
    <row r="9310" spans="1:7" x14ac:dyDescent="0.35">
      <c r="A9310" t="s">
        <v>847</v>
      </c>
      <c r="B9310" t="s">
        <v>691</v>
      </c>
      <c r="C9310" s="83">
        <v>46200</v>
      </c>
      <c r="D9310" t="s">
        <v>295</v>
      </c>
      <c r="E9310" t="s">
        <v>296</v>
      </c>
      <c r="F9310">
        <v>52</v>
      </c>
      <c r="G9310">
        <v>32.261166666666703</v>
      </c>
    </row>
    <row r="9311" spans="1:7" x14ac:dyDescent="0.35">
      <c r="A9311" t="s">
        <v>847</v>
      </c>
      <c r="B9311" t="s">
        <v>691</v>
      </c>
      <c r="C9311" s="83">
        <v>46200</v>
      </c>
      <c r="D9311" t="s">
        <v>299</v>
      </c>
      <c r="E9311" t="s">
        <v>296</v>
      </c>
      <c r="F9311">
        <v>67</v>
      </c>
      <c r="G9311">
        <v>34.800383333333301</v>
      </c>
    </row>
    <row r="9312" spans="1:7" x14ac:dyDescent="0.35">
      <c r="A9312" t="s">
        <v>847</v>
      </c>
      <c r="B9312" t="s">
        <v>691</v>
      </c>
      <c r="C9312" s="83">
        <v>46200</v>
      </c>
      <c r="D9312" t="s">
        <v>301</v>
      </c>
      <c r="E9312" t="s">
        <v>828</v>
      </c>
      <c r="F9312">
        <v>13</v>
      </c>
      <c r="G9312">
        <v>4.1942333333333304</v>
      </c>
    </row>
    <row r="9313" spans="1:7" x14ac:dyDescent="0.35">
      <c r="A9313" t="s">
        <v>847</v>
      </c>
      <c r="B9313" t="s">
        <v>691</v>
      </c>
      <c r="C9313" s="83">
        <v>46200</v>
      </c>
      <c r="D9313" t="s">
        <v>310</v>
      </c>
      <c r="E9313" t="s">
        <v>126</v>
      </c>
      <c r="F9313">
        <v>14</v>
      </c>
      <c r="G9313">
        <v>12.9109833333333</v>
      </c>
    </row>
    <row r="9314" spans="1:7" x14ac:dyDescent="0.35">
      <c r="A9314" t="s">
        <v>847</v>
      </c>
      <c r="B9314" t="s">
        <v>691</v>
      </c>
      <c r="C9314" s="83">
        <v>46200</v>
      </c>
      <c r="D9314" t="s">
        <v>310</v>
      </c>
      <c r="E9314" t="s">
        <v>311</v>
      </c>
      <c r="F9314">
        <v>6</v>
      </c>
      <c r="G9314">
        <v>5.0857333333333301</v>
      </c>
    </row>
    <row r="9315" spans="1:7" x14ac:dyDescent="0.35">
      <c r="A9315" t="s">
        <v>847</v>
      </c>
      <c r="B9315" t="s">
        <v>691</v>
      </c>
      <c r="C9315" s="83">
        <v>46200</v>
      </c>
      <c r="D9315" t="s">
        <v>310</v>
      </c>
      <c r="E9315" t="s">
        <v>338</v>
      </c>
      <c r="F9315">
        <v>5</v>
      </c>
      <c r="G9315">
        <v>4.2106833333333302</v>
      </c>
    </row>
    <row r="9316" spans="1:7" x14ac:dyDescent="0.35">
      <c r="A9316" t="s">
        <v>847</v>
      </c>
      <c r="B9316" t="s">
        <v>691</v>
      </c>
      <c r="C9316" s="83">
        <v>46200</v>
      </c>
      <c r="D9316" t="s">
        <v>313</v>
      </c>
      <c r="E9316" t="s">
        <v>316</v>
      </c>
      <c r="F9316">
        <v>9</v>
      </c>
      <c r="G9316">
        <v>9.8485499999999995</v>
      </c>
    </row>
    <row r="9317" spans="1:7" x14ac:dyDescent="0.35">
      <c r="A9317" t="s">
        <v>847</v>
      </c>
      <c r="B9317" t="s">
        <v>691</v>
      </c>
      <c r="C9317" s="83">
        <v>46200</v>
      </c>
      <c r="D9317" t="s">
        <v>313</v>
      </c>
      <c r="E9317" t="s">
        <v>312</v>
      </c>
      <c r="F9317">
        <v>5</v>
      </c>
      <c r="G9317">
        <v>16.892783333333298</v>
      </c>
    </row>
    <row r="9318" spans="1:7" x14ac:dyDescent="0.35">
      <c r="A9318" t="s">
        <v>847</v>
      </c>
      <c r="B9318" t="s">
        <v>691</v>
      </c>
      <c r="C9318" s="83">
        <v>46200</v>
      </c>
      <c r="D9318" t="s">
        <v>313</v>
      </c>
      <c r="E9318" t="s">
        <v>311</v>
      </c>
      <c r="F9318">
        <v>3</v>
      </c>
      <c r="G9318">
        <v>0.90153333333333296</v>
      </c>
    </row>
    <row r="9319" spans="1:7" x14ac:dyDescent="0.35">
      <c r="A9319" t="s">
        <v>847</v>
      </c>
      <c r="B9319" t="s">
        <v>691</v>
      </c>
      <c r="C9319" s="83">
        <v>46200</v>
      </c>
      <c r="D9319" t="s">
        <v>314</v>
      </c>
      <c r="E9319" t="s">
        <v>640</v>
      </c>
      <c r="F9319">
        <v>9</v>
      </c>
      <c r="G9319">
        <v>14.3864</v>
      </c>
    </row>
    <row r="9320" spans="1:7" x14ac:dyDescent="0.35">
      <c r="A9320" t="s">
        <v>847</v>
      </c>
      <c r="B9320" t="s">
        <v>691</v>
      </c>
      <c r="C9320" s="83">
        <v>46200</v>
      </c>
      <c r="D9320" t="s">
        <v>314</v>
      </c>
      <c r="E9320" t="s">
        <v>126</v>
      </c>
      <c r="F9320">
        <v>4</v>
      </c>
      <c r="G9320">
        <v>6.5832666666666704</v>
      </c>
    </row>
    <row r="9321" spans="1:7" x14ac:dyDescent="0.35">
      <c r="A9321" t="s">
        <v>847</v>
      </c>
      <c r="B9321" t="s">
        <v>691</v>
      </c>
      <c r="C9321" s="83">
        <v>46200</v>
      </c>
      <c r="D9321" t="s">
        <v>314</v>
      </c>
      <c r="E9321" t="s">
        <v>316</v>
      </c>
      <c r="F9321">
        <v>4</v>
      </c>
      <c r="G9321">
        <v>3.3425833333333301</v>
      </c>
    </row>
    <row r="9322" spans="1:7" x14ac:dyDescent="0.35">
      <c r="A9322" t="s">
        <v>847</v>
      </c>
      <c r="B9322" t="s">
        <v>691</v>
      </c>
      <c r="C9322" s="83">
        <v>46200</v>
      </c>
      <c r="D9322" t="s">
        <v>317</v>
      </c>
      <c r="E9322" t="s">
        <v>725</v>
      </c>
      <c r="F9322">
        <v>2</v>
      </c>
      <c r="G9322">
        <v>0.57340000000000002</v>
      </c>
    </row>
    <row r="9323" spans="1:7" x14ac:dyDescent="0.35">
      <c r="A9323" t="s">
        <v>847</v>
      </c>
      <c r="B9323" t="s">
        <v>691</v>
      </c>
      <c r="C9323" s="83">
        <v>46200</v>
      </c>
      <c r="D9323" t="s">
        <v>317</v>
      </c>
      <c r="E9323" t="s">
        <v>322</v>
      </c>
      <c r="F9323">
        <v>2</v>
      </c>
      <c r="G9323">
        <v>0.68705000000000005</v>
      </c>
    </row>
    <row r="9324" spans="1:7" x14ac:dyDescent="0.35">
      <c r="A9324" t="s">
        <v>847</v>
      </c>
      <c r="B9324" t="s">
        <v>691</v>
      </c>
      <c r="C9324" s="83">
        <v>46201</v>
      </c>
      <c r="D9324" t="s">
        <v>295</v>
      </c>
      <c r="E9324" t="s">
        <v>296</v>
      </c>
      <c r="F9324">
        <v>46</v>
      </c>
      <c r="G9324">
        <v>27.308616666666701</v>
      </c>
    </row>
    <row r="9325" spans="1:7" x14ac:dyDescent="0.35">
      <c r="A9325" t="s">
        <v>847</v>
      </c>
      <c r="B9325" t="s">
        <v>691</v>
      </c>
      <c r="C9325" s="83">
        <v>46201</v>
      </c>
      <c r="D9325" t="s">
        <v>299</v>
      </c>
      <c r="E9325" t="s">
        <v>296</v>
      </c>
      <c r="F9325">
        <v>60</v>
      </c>
      <c r="G9325">
        <v>50.647066666666703</v>
      </c>
    </row>
    <row r="9326" spans="1:7" x14ac:dyDescent="0.35">
      <c r="A9326" t="s">
        <v>847</v>
      </c>
      <c r="B9326" t="s">
        <v>691</v>
      </c>
      <c r="C9326" s="83">
        <v>46201</v>
      </c>
      <c r="D9326" t="s">
        <v>301</v>
      </c>
      <c r="E9326" t="s">
        <v>296</v>
      </c>
      <c r="F9326">
        <v>16</v>
      </c>
      <c r="G9326">
        <v>15.7201166666667</v>
      </c>
    </row>
    <row r="9327" spans="1:7" x14ac:dyDescent="0.35">
      <c r="A9327" t="s">
        <v>847</v>
      </c>
      <c r="B9327" t="s">
        <v>691</v>
      </c>
      <c r="C9327" s="83">
        <v>46201</v>
      </c>
      <c r="D9327" t="s">
        <v>310</v>
      </c>
      <c r="E9327" t="s">
        <v>311</v>
      </c>
      <c r="F9327">
        <v>10</v>
      </c>
      <c r="G9327">
        <v>4.7745333333333297</v>
      </c>
    </row>
    <row r="9328" spans="1:7" x14ac:dyDescent="0.35">
      <c r="A9328" t="s">
        <v>847</v>
      </c>
      <c r="B9328" t="s">
        <v>691</v>
      </c>
      <c r="C9328" s="83">
        <v>46201</v>
      </c>
      <c r="D9328" t="s">
        <v>310</v>
      </c>
      <c r="E9328" t="s">
        <v>126</v>
      </c>
      <c r="F9328">
        <v>8</v>
      </c>
      <c r="G9328">
        <v>4.60436666666667</v>
      </c>
    </row>
    <row r="9329" spans="1:7" x14ac:dyDescent="0.35">
      <c r="A9329" t="s">
        <v>847</v>
      </c>
      <c r="B9329" t="s">
        <v>691</v>
      </c>
      <c r="C9329" s="83">
        <v>46201</v>
      </c>
      <c r="D9329" t="s">
        <v>310</v>
      </c>
      <c r="E9329" t="s">
        <v>312</v>
      </c>
      <c r="F9329">
        <v>3</v>
      </c>
      <c r="G9329">
        <v>1.7857333333333301</v>
      </c>
    </row>
    <row r="9330" spans="1:7" x14ac:dyDescent="0.35">
      <c r="A9330" t="s">
        <v>847</v>
      </c>
      <c r="B9330" t="s">
        <v>691</v>
      </c>
      <c r="C9330" s="83">
        <v>46201</v>
      </c>
      <c r="D9330" t="s">
        <v>313</v>
      </c>
      <c r="E9330" t="s">
        <v>311</v>
      </c>
      <c r="F9330">
        <v>3</v>
      </c>
      <c r="G9330">
        <v>1.5771500000000001</v>
      </c>
    </row>
    <row r="9331" spans="1:7" x14ac:dyDescent="0.35">
      <c r="A9331" t="s">
        <v>847</v>
      </c>
      <c r="B9331" t="s">
        <v>691</v>
      </c>
      <c r="C9331" s="83">
        <v>46201</v>
      </c>
      <c r="D9331" t="s">
        <v>313</v>
      </c>
      <c r="E9331" t="s">
        <v>347</v>
      </c>
      <c r="F9331">
        <v>2</v>
      </c>
      <c r="G9331">
        <v>3.8153999999999999</v>
      </c>
    </row>
    <row r="9332" spans="1:7" x14ac:dyDescent="0.35">
      <c r="A9332" t="s">
        <v>847</v>
      </c>
      <c r="B9332" t="s">
        <v>691</v>
      </c>
      <c r="C9332" s="83">
        <v>46201</v>
      </c>
      <c r="D9332" t="s">
        <v>313</v>
      </c>
      <c r="E9332" t="s">
        <v>316</v>
      </c>
      <c r="F9332">
        <v>2</v>
      </c>
      <c r="G9332">
        <v>0.38779999999999998</v>
      </c>
    </row>
    <row r="9333" spans="1:7" x14ac:dyDescent="0.35">
      <c r="A9333" t="s">
        <v>847</v>
      </c>
      <c r="B9333" t="s">
        <v>691</v>
      </c>
      <c r="C9333" s="83">
        <v>46201</v>
      </c>
      <c r="D9333" t="s">
        <v>314</v>
      </c>
      <c r="E9333" t="s">
        <v>640</v>
      </c>
      <c r="F9333">
        <v>22</v>
      </c>
      <c r="G9333">
        <v>106.65493333333301</v>
      </c>
    </row>
    <row r="9334" spans="1:7" x14ac:dyDescent="0.35">
      <c r="A9334" t="s">
        <v>847</v>
      </c>
      <c r="B9334" t="s">
        <v>691</v>
      </c>
      <c r="C9334" s="83">
        <v>46201</v>
      </c>
      <c r="D9334" t="s">
        <v>314</v>
      </c>
      <c r="E9334" t="s">
        <v>126</v>
      </c>
      <c r="F9334">
        <v>12</v>
      </c>
      <c r="G9334">
        <v>25.923466666666702</v>
      </c>
    </row>
    <row r="9335" spans="1:7" x14ac:dyDescent="0.35">
      <c r="A9335" t="s">
        <v>847</v>
      </c>
      <c r="B9335" t="s">
        <v>691</v>
      </c>
      <c r="C9335" s="83">
        <v>46201</v>
      </c>
      <c r="D9335" t="s">
        <v>314</v>
      </c>
      <c r="E9335" t="s">
        <v>322</v>
      </c>
      <c r="F9335">
        <v>7</v>
      </c>
      <c r="G9335">
        <v>16.637983333333299</v>
      </c>
    </row>
    <row r="9336" spans="1:7" x14ac:dyDescent="0.35">
      <c r="A9336" t="s">
        <v>847</v>
      </c>
      <c r="B9336" t="s">
        <v>691</v>
      </c>
      <c r="C9336" s="83">
        <v>46201</v>
      </c>
      <c r="D9336" t="s">
        <v>317</v>
      </c>
      <c r="E9336" t="s">
        <v>322</v>
      </c>
      <c r="F9336">
        <v>3</v>
      </c>
      <c r="G9336">
        <v>1.8047166666666701</v>
      </c>
    </row>
    <row r="9337" spans="1:7" x14ac:dyDescent="0.35">
      <c r="A9337" t="s">
        <v>847</v>
      </c>
      <c r="B9337" t="s">
        <v>691</v>
      </c>
      <c r="C9337" s="83">
        <v>46201</v>
      </c>
      <c r="D9337" t="s">
        <v>317</v>
      </c>
      <c r="E9337" t="s">
        <v>319</v>
      </c>
      <c r="F9337">
        <v>2</v>
      </c>
      <c r="G9337">
        <v>0.65806666666666702</v>
      </c>
    </row>
    <row r="9338" spans="1:7" x14ac:dyDescent="0.35">
      <c r="A9338" t="s">
        <v>847</v>
      </c>
      <c r="B9338" t="s">
        <v>691</v>
      </c>
      <c r="C9338" s="83">
        <v>46201</v>
      </c>
      <c r="D9338" t="s">
        <v>317</v>
      </c>
      <c r="E9338" t="s">
        <v>339</v>
      </c>
      <c r="F9338">
        <v>2</v>
      </c>
      <c r="G9338">
        <v>0.58846666666666703</v>
      </c>
    </row>
    <row r="9339" spans="1:7" x14ac:dyDescent="0.35">
      <c r="A9339" t="s">
        <v>847</v>
      </c>
      <c r="B9339" t="s">
        <v>691</v>
      </c>
      <c r="C9339" s="83">
        <v>46202</v>
      </c>
      <c r="D9339" t="s">
        <v>295</v>
      </c>
      <c r="E9339" t="s">
        <v>296</v>
      </c>
      <c r="F9339">
        <v>57</v>
      </c>
      <c r="G9339">
        <v>21.643983333333299</v>
      </c>
    </row>
    <row r="9340" spans="1:7" x14ac:dyDescent="0.35">
      <c r="A9340" t="s">
        <v>847</v>
      </c>
      <c r="B9340" t="s">
        <v>691</v>
      </c>
      <c r="C9340" s="83">
        <v>46202</v>
      </c>
      <c r="D9340" t="s">
        <v>299</v>
      </c>
      <c r="E9340" t="s">
        <v>296</v>
      </c>
      <c r="F9340">
        <v>40</v>
      </c>
      <c r="G9340">
        <v>28.875166666666701</v>
      </c>
    </row>
    <row r="9341" spans="1:7" x14ac:dyDescent="0.35">
      <c r="A9341" t="s">
        <v>847</v>
      </c>
      <c r="B9341" t="s">
        <v>691</v>
      </c>
      <c r="C9341" s="83">
        <v>46202</v>
      </c>
      <c r="D9341" t="s">
        <v>310</v>
      </c>
      <c r="E9341" t="s">
        <v>640</v>
      </c>
      <c r="F9341">
        <v>7</v>
      </c>
      <c r="G9341">
        <v>6.2104333333333299</v>
      </c>
    </row>
    <row r="9342" spans="1:7" x14ac:dyDescent="0.35">
      <c r="A9342" t="s">
        <v>847</v>
      </c>
      <c r="B9342" t="s">
        <v>691</v>
      </c>
      <c r="C9342" s="83">
        <v>46202</v>
      </c>
      <c r="D9342" t="s">
        <v>310</v>
      </c>
      <c r="E9342" t="s">
        <v>126</v>
      </c>
      <c r="F9342">
        <v>7</v>
      </c>
      <c r="G9342">
        <v>6.6033166666666698</v>
      </c>
    </row>
    <row r="9343" spans="1:7" x14ac:dyDescent="0.35">
      <c r="A9343" t="s">
        <v>847</v>
      </c>
      <c r="B9343" t="s">
        <v>691</v>
      </c>
      <c r="C9343" s="83">
        <v>46202</v>
      </c>
      <c r="D9343" t="s">
        <v>310</v>
      </c>
      <c r="E9343" t="s">
        <v>333</v>
      </c>
      <c r="F9343">
        <v>5</v>
      </c>
      <c r="G9343">
        <v>3.6731333333333298</v>
      </c>
    </row>
    <row r="9344" spans="1:7" x14ac:dyDescent="0.35">
      <c r="A9344" t="s">
        <v>847</v>
      </c>
      <c r="B9344" t="s">
        <v>691</v>
      </c>
      <c r="C9344" s="83">
        <v>46202</v>
      </c>
      <c r="D9344" t="s">
        <v>313</v>
      </c>
      <c r="E9344" t="s">
        <v>640</v>
      </c>
      <c r="F9344">
        <v>11</v>
      </c>
      <c r="G9344">
        <v>20.6389</v>
      </c>
    </row>
    <row r="9345" spans="1:7" x14ac:dyDescent="0.35">
      <c r="A9345" t="s">
        <v>847</v>
      </c>
      <c r="B9345" t="s">
        <v>691</v>
      </c>
      <c r="C9345" s="83">
        <v>46202</v>
      </c>
      <c r="D9345" t="s">
        <v>313</v>
      </c>
      <c r="E9345" t="s">
        <v>338</v>
      </c>
      <c r="F9345">
        <v>5</v>
      </c>
      <c r="G9345">
        <v>6.2752333333333299</v>
      </c>
    </row>
    <row r="9346" spans="1:7" x14ac:dyDescent="0.35">
      <c r="A9346" t="s">
        <v>847</v>
      </c>
      <c r="B9346" t="s">
        <v>691</v>
      </c>
      <c r="C9346" s="83">
        <v>46202</v>
      </c>
      <c r="D9346" t="s">
        <v>313</v>
      </c>
      <c r="E9346" t="s">
        <v>311</v>
      </c>
      <c r="F9346">
        <v>4</v>
      </c>
      <c r="G9346">
        <v>3.3415499999999998</v>
      </c>
    </row>
    <row r="9347" spans="1:7" x14ac:dyDescent="0.35">
      <c r="A9347" t="s">
        <v>847</v>
      </c>
      <c r="B9347" t="s">
        <v>691</v>
      </c>
      <c r="C9347" s="83">
        <v>46202</v>
      </c>
      <c r="D9347" t="s">
        <v>314</v>
      </c>
      <c r="E9347" t="s">
        <v>126</v>
      </c>
      <c r="F9347">
        <v>17</v>
      </c>
      <c r="G9347">
        <v>93.663799999999995</v>
      </c>
    </row>
    <row r="9348" spans="1:7" x14ac:dyDescent="0.35">
      <c r="A9348" t="s">
        <v>847</v>
      </c>
      <c r="B9348" t="s">
        <v>691</v>
      </c>
      <c r="C9348" s="83">
        <v>46202</v>
      </c>
      <c r="D9348" t="s">
        <v>314</v>
      </c>
      <c r="E9348" t="s">
        <v>640</v>
      </c>
      <c r="F9348">
        <v>16</v>
      </c>
      <c r="G9348">
        <v>51.144216666666701</v>
      </c>
    </row>
    <row r="9349" spans="1:7" x14ac:dyDescent="0.35">
      <c r="A9349" t="s">
        <v>847</v>
      </c>
      <c r="B9349" t="s">
        <v>691</v>
      </c>
      <c r="C9349" s="83">
        <v>46202</v>
      </c>
      <c r="D9349" t="s">
        <v>314</v>
      </c>
      <c r="E9349" t="s">
        <v>348</v>
      </c>
      <c r="F9349">
        <v>5</v>
      </c>
      <c r="G9349">
        <v>7.7907000000000002</v>
      </c>
    </row>
    <row r="9350" spans="1:7" x14ac:dyDescent="0.35">
      <c r="A9350" t="s">
        <v>847</v>
      </c>
      <c r="B9350" t="s">
        <v>691</v>
      </c>
      <c r="C9350" s="83">
        <v>46202</v>
      </c>
      <c r="D9350" t="s">
        <v>317</v>
      </c>
      <c r="E9350" t="s">
        <v>339</v>
      </c>
      <c r="F9350">
        <v>2</v>
      </c>
      <c r="G9350">
        <v>3.8428</v>
      </c>
    </row>
    <row r="9351" spans="1:7" x14ac:dyDescent="0.35">
      <c r="A9351" t="s">
        <v>847</v>
      </c>
      <c r="B9351" t="s">
        <v>691</v>
      </c>
      <c r="C9351" s="83">
        <v>46203</v>
      </c>
      <c r="D9351" t="s">
        <v>295</v>
      </c>
      <c r="E9351" t="s">
        <v>296</v>
      </c>
      <c r="F9351">
        <v>32</v>
      </c>
      <c r="G9351">
        <v>26.570599999999999</v>
      </c>
    </row>
    <row r="9352" spans="1:7" x14ac:dyDescent="0.35">
      <c r="A9352" t="s">
        <v>847</v>
      </c>
      <c r="B9352" t="s">
        <v>691</v>
      </c>
      <c r="C9352" s="83">
        <v>46203</v>
      </c>
      <c r="D9352" t="s">
        <v>299</v>
      </c>
      <c r="E9352" t="s">
        <v>296</v>
      </c>
      <c r="F9352">
        <v>35</v>
      </c>
      <c r="G9352">
        <v>18.827783333333301</v>
      </c>
    </row>
    <row r="9353" spans="1:7" x14ac:dyDescent="0.35">
      <c r="A9353" t="s">
        <v>847</v>
      </c>
      <c r="B9353" t="s">
        <v>691</v>
      </c>
      <c r="C9353" s="83">
        <v>46203</v>
      </c>
      <c r="D9353" t="s">
        <v>301</v>
      </c>
      <c r="E9353" t="s">
        <v>296</v>
      </c>
      <c r="F9353">
        <v>11</v>
      </c>
      <c r="G9353">
        <v>4.33191666666667</v>
      </c>
    </row>
    <row r="9354" spans="1:7" x14ac:dyDescent="0.35">
      <c r="A9354" t="s">
        <v>847</v>
      </c>
      <c r="B9354" t="s">
        <v>691</v>
      </c>
      <c r="C9354" s="83">
        <v>46203</v>
      </c>
      <c r="D9354" t="s">
        <v>303</v>
      </c>
      <c r="E9354" t="s">
        <v>302</v>
      </c>
      <c r="F9354">
        <v>8</v>
      </c>
      <c r="G9354">
        <v>3.0764999999999998</v>
      </c>
    </row>
    <row r="9355" spans="1:7" x14ac:dyDescent="0.35">
      <c r="A9355" t="s">
        <v>847</v>
      </c>
      <c r="B9355" t="s">
        <v>691</v>
      </c>
      <c r="C9355" s="83">
        <v>46203</v>
      </c>
      <c r="D9355" t="s">
        <v>310</v>
      </c>
      <c r="E9355" t="s">
        <v>312</v>
      </c>
      <c r="F9355">
        <v>10</v>
      </c>
      <c r="G9355">
        <v>4.2584</v>
      </c>
    </row>
    <row r="9356" spans="1:7" x14ac:dyDescent="0.35">
      <c r="A9356" t="s">
        <v>847</v>
      </c>
      <c r="B9356" t="s">
        <v>691</v>
      </c>
      <c r="C9356" s="83">
        <v>46203</v>
      </c>
      <c r="D9356" t="s">
        <v>310</v>
      </c>
      <c r="E9356" t="s">
        <v>126</v>
      </c>
      <c r="F9356">
        <v>10</v>
      </c>
      <c r="G9356">
        <v>4.4803666666666704</v>
      </c>
    </row>
    <row r="9357" spans="1:7" x14ac:dyDescent="0.35">
      <c r="A9357" t="s">
        <v>847</v>
      </c>
      <c r="B9357" t="s">
        <v>691</v>
      </c>
      <c r="C9357" s="83">
        <v>46203</v>
      </c>
      <c r="D9357" t="s">
        <v>310</v>
      </c>
      <c r="E9357" t="s">
        <v>311</v>
      </c>
      <c r="F9357">
        <v>7</v>
      </c>
      <c r="G9357">
        <v>15.799533333333301</v>
      </c>
    </row>
    <row r="9358" spans="1:7" x14ac:dyDescent="0.35">
      <c r="A9358" t="s">
        <v>847</v>
      </c>
      <c r="B9358" t="s">
        <v>691</v>
      </c>
      <c r="C9358" s="83">
        <v>46203</v>
      </c>
      <c r="D9358" t="s">
        <v>313</v>
      </c>
      <c r="E9358" t="s">
        <v>311</v>
      </c>
      <c r="F9358">
        <v>9</v>
      </c>
      <c r="G9358">
        <v>27.951516666666699</v>
      </c>
    </row>
    <row r="9359" spans="1:7" x14ac:dyDescent="0.35">
      <c r="A9359" t="s">
        <v>847</v>
      </c>
      <c r="B9359" t="s">
        <v>691</v>
      </c>
      <c r="C9359" s="83">
        <v>46203</v>
      </c>
      <c r="D9359" t="s">
        <v>313</v>
      </c>
      <c r="E9359" t="s">
        <v>312</v>
      </c>
      <c r="F9359">
        <v>5</v>
      </c>
      <c r="G9359">
        <v>3.97671666666667</v>
      </c>
    </row>
    <row r="9360" spans="1:7" x14ac:dyDescent="0.35">
      <c r="A9360" t="s">
        <v>847</v>
      </c>
      <c r="B9360" t="s">
        <v>691</v>
      </c>
      <c r="C9360" s="83">
        <v>46203</v>
      </c>
      <c r="D9360" t="s">
        <v>313</v>
      </c>
      <c r="E9360" t="s">
        <v>338</v>
      </c>
      <c r="F9360">
        <v>2</v>
      </c>
      <c r="G9360">
        <v>1.60476666666667</v>
      </c>
    </row>
    <row r="9361" spans="1:7" x14ac:dyDescent="0.35">
      <c r="A9361" t="s">
        <v>847</v>
      </c>
      <c r="B9361" t="s">
        <v>691</v>
      </c>
      <c r="C9361" s="83">
        <v>46203</v>
      </c>
      <c r="D9361" t="s">
        <v>314</v>
      </c>
      <c r="E9361" t="s">
        <v>126</v>
      </c>
      <c r="F9361">
        <v>4</v>
      </c>
      <c r="G9361">
        <v>6.9365333333333297</v>
      </c>
    </row>
    <row r="9362" spans="1:7" x14ac:dyDescent="0.35">
      <c r="A9362" t="s">
        <v>847</v>
      </c>
      <c r="B9362" t="s">
        <v>691</v>
      </c>
      <c r="C9362" s="83">
        <v>46203</v>
      </c>
      <c r="D9362" t="s">
        <v>314</v>
      </c>
      <c r="E9362" t="s">
        <v>347</v>
      </c>
      <c r="F9362">
        <v>4</v>
      </c>
      <c r="G9362">
        <v>1.22013333333333</v>
      </c>
    </row>
    <row r="9363" spans="1:7" x14ac:dyDescent="0.35">
      <c r="A9363" t="s">
        <v>847</v>
      </c>
      <c r="B9363" t="s">
        <v>691</v>
      </c>
      <c r="C9363" s="83">
        <v>46203</v>
      </c>
      <c r="D9363" t="s">
        <v>314</v>
      </c>
      <c r="E9363" t="s">
        <v>316</v>
      </c>
      <c r="F9363">
        <v>3</v>
      </c>
      <c r="G9363">
        <v>2.4169666666666698</v>
      </c>
    </row>
    <row r="9364" spans="1:7" x14ac:dyDescent="0.35">
      <c r="A9364" t="s">
        <v>847</v>
      </c>
      <c r="B9364" t="s">
        <v>691</v>
      </c>
      <c r="C9364" s="83">
        <v>46203</v>
      </c>
      <c r="D9364" t="s">
        <v>317</v>
      </c>
      <c r="E9364" t="s">
        <v>349</v>
      </c>
      <c r="F9364">
        <v>2</v>
      </c>
      <c r="G9364">
        <v>0.90175000000000005</v>
      </c>
    </row>
    <row r="9365" spans="1:7" x14ac:dyDescent="0.35">
      <c r="A9365" t="s">
        <v>847</v>
      </c>
      <c r="B9365" t="s">
        <v>691</v>
      </c>
      <c r="C9365" s="83">
        <v>46203</v>
      </c>
      <c r="D9365" t="s">
        <v>317</v>
      </c>
      <c r="E9365" t="s">
        <v>792</v>
      </c>
      <c r="F9365">
        <v>2</v>
      </c>
      <c r="G9365">
        <v>3.0334833333333302</v>
      </c>
    </row>
    <row r="9366" spans="1:7" x14ac:dyDescent="0.35">
      <c r="A9366" t="s">
        <v>847</v>
      </c>
      <c r="B9366" t="s">
        <v>691</v>
      </c>
      <c r="C9366" s="83">
        <v>46203</v>
      </c>
      <c r="D9366" t="s">
        <v>317</v>
      </c>
      <c r="E9366" t="s">
        <v>323</v>
      </c>
      <c r="F9366">
        <v>2</v>
      </c>
      <c r="G9366">
        <v>1.1889666666666701</v>
      </c>
    </row>
    <row r="9367" spans="1:7" x14ac:dyDescent="0.35">
      <c r="A9367" t="s">
        <v>847</v>
      </c>
      <c r="B9367" t="s">
        <v>691</v>
      </c>
      <c r="C9367" s="83">
        <v>46204</v>
      </c>
      <c r="D9367" t="s">
        <v>295</v>
      </c>
      <c r="E9367" t="s">
        <v>296</v>
      </c>
      <c r="F9367">
        <v>22</v>
      </c>
      <c r="G9367">
        <v>9.1666000000000007</v>
      </c>
    </row>
    <row r="9368" spans="1:7" x14ac:dyDescent="0.35">
      <c r="A9368" t="s">
        <v>847</v>
      </c>
      <c r="B9368" t="s">
        <v>691</v>
      </c>
      <c r="C9368" s="83">
        <v>46204</v>
      </c>
      <c r="D9368" t="s">
        <v>299</v>
      </c>
      <c r="E9368" t="s">
        <v>296</v>
      </c>
      <c r="F9368">
        <v>26</v>
      </c>
      <c r="G9368">
        <v>10.92</v>
      </c>
    </row>
    <row r="9369" spans="1:7" x14ac:dyDescent="0.35">
      <c r="A9369" t="s">
        <v>847</v>
      </c>
      <c r="B9369" t="s">
        <v>691</v>
      </c>
      <c r="C9369" s="83">
        <v>46204</v>
      </c>
      <c r="D9369" t="s">
        <v>310</v>
      </c>
      <c r="E9369" t="s">
        <v>312</v>
      </c>
      <c r="F9369">
        <v>9</v>
      </c>
      <c r="G9369">
        <v>41.720666666666702</v>
      </c>
    </row>
    <row r="9370" spans="1:7" x14ac:dyDescent="0.35">
      <c r="A9370" t="s">
        <v>847</v>
      </c>
      <c r="B9370" t="s">
        <v>691</v>
      </c>
      <c r="C9370" s="83">
        <v>46204</v>
      </c>
      <c r="D9370" t="s">
        <v>310</v>
      </c>
      <c r="E9370" t="s">
        <v>126</v>
      </c>
      <c r="F9370">
        <v>4</v>
      </c>
      <c r="G9370">
        <v>1.6645000000000001</v>
      </c>
    </row>
    <row r="9371" spans="1:7" x14ac:dyDescent="0.35">
      <c r="A9371" t="s">
        <v>847</v>
      </c>
      <c r="B9371" t="s">
        <v>691</v>
      </c>
      <c r="C9371" s="83">
        <v>46204</v>
      </c>
      <c r="D9371" t="s">
        <v>310</v>
      </c>
      <c r="E9371" t="s">
        <v>347</v>
      </c>
      <c r="F9371">
        <v>3</v>
      </c>
      <c r="G9371">
        <v>2.1427166666666699</v>
      </c>
    </row>
    <row r="9372" spans="1:7" x14ac:dyDescent="0.35">
      <c r="A9372" t="s">
        <v>847</v>
      </c>
      <c r="B9372" t="s">
        <v>691</v>
      </c>
      <c r="C9372" s="83">
        <v>46204</v>
      </c>
      <c r="D9372" t="s">
        <v>313</v>
      </c>
      <c r="E9372" t="s">
        <v>311</v>
      </c>
      <c r="F9372">
        <v>15</v>
      </c>
      <c r="G9372">
        <v>9.7256666666666707</v>
      </c>
    </row>
    <row r="9373" spans="1:7" x14ac:dyDescent="0.35">
      <c r="A9373" t="s">
        <v>847</v>
      </c>
      <c r="B9373" t="s">
        <v>691</v>
      </c>
      <c r="C9373" s="83">
        <v>46204</v>
      </c>
      <c r="D9373" t="s">
        <v>313</v>
      </c>
      <c r="E9373" t="s">
        <v>126</v>
      </c>
      <c r="F9373">
        <v>7</v>
      </c>
      <c r="G9373">
        <v>109.075883333333</v>
      </c>
    </row>
    <row r="9374" spans="1:7" x14ac:dyDescent="0.35">
      <c r="A9374" t="s">
        <v>847</v>
      </c>
      <c r="B9374" t="s">
        <v>691</v>
      </c>
      <c r="C9374" s="83">
        <v>46204</v>
      </c>
      <c r="D9374" t="s">
        <v>313</v>
      </c>
      <c r="E9374" t="s">
        <v>312</v>
      </c>
      <c r="F9374">
        <v>7</v>
      </c>
      <c r="G9374">
        <v>16.353466666666701</v>
      </c>
    </row>
    <row r="9375" spans="1:7" x14ac:dyDescent="0.35">
      <c r="A9375" t="s">
        <v>847</v>
      </c>
      <c r="B9375" t="s">
        <v>691</v>
      </c>
      <c r="C9375" s="83">
        <v>46204</v>
      </c>
      <c r="D9375" t="s">
        <v>314</v>
      </c>
      <c r="E9375" t="s">
        <v>321</v>
      </c>
      <c r="F9375">
        <v>4</v>
      </c>
      <c r="G9375">
        <v>1.3856333333333299</v>
      </c>
    </row>
    <row r="9376" spans="1:7" x14ac:dyDescent="0.35">
      <c r="A9376" t="s">
        <v>847</v>
      </c>
      <c r="B9376" t="s">
        <v>691</v>
      </c>
      <c r="C9376" s="83">
        <v>46204</v>
      </c>
      <c r="D9376" t="s">
        <v>314</v>
      </c>
      <c r="E9376" t="s">
        <v>311</v>
      </c>
      <c r="F9376">
        <v>4</v>
      </c>
      <c r="G9376">
        <v>18.82375</v>
      </c>
    </row>
    <row r="9377" spans="1:7" x14ac:dyDescent="0.35">
      <c r="A9377" t="s">
        <v>847</v>
      </c>
      <c r="B9377" t="s">
        <v>691</v>
      </c>
      <c r="C9377" s="83">
        <v>46204</v>
      </c>
      <c r="D9377" t="s">
        <v>314</v>
      </c>
      <c r="E9377" t="s">
        <v>774</v>
      </c>
      <c r="F9377">
        <v>3</v>
      </c>
      <c r="G9377">
        <v>1.2899499999999999</v>
      </c>
    </row>
    <row r="9378" spans="1:7" x14ac:dyDescent="0.35">
      <c r="A9378" t="s">
        <v>847</v>
      </c>
      <c r="B9378" t="s">
        <v>691</v>
      </c>
      <c r="C9378" s="83">
        <v>46204</v>
      </c>
      <c r="D9378" t="s">
        <v>317</v>
      </c>
      <c r="E9378" t="s">
        <v>322</v>
      </c>
      <c r="F9378">
        <v>2</v>
      </c>
      <c r="G9378">
        <v>0.83408333333333295</v>
      </c>
    </row>
    <row r="9379" spans="1:7" x14ac:dyDescent="0.35">
      <c r="A9379" t="s">
        <v>847</v>
      </c>
      <c r="B9379" t="s">
        <v>691</v>
      </c>
      <c r="C9379" s="83">
        <v>46204</v>
      </c>
      <c r="D9379" t="s">
        <v>317</v>
      </c>
      <c r="E9379" t="s">
        <v>837</v>
      </c>
      <c r="F9379">
        <v>2</v>
      </c>
      <c r="G9379">
        <v>0.29571666666666702</v>
      </c>
    </row>
    <row r="9380" spans="1:7" x14ac:dyDescent="0.35">
      <c r="A9380" t="s">
        <v>847</v>
      </c>
      <c r="B9380" t="s">
        <v>691</v>
      </c>
      <c r="C9380" s="83">
        <v>46205</v>
      </c>
      <c r="D9380" t="s">
        <v>295</v>
      </c>
      <c r="E9380" t="s">
        <v>296</v>
      </c>
      <c r="F9380">
        <v>56</v>
      </c>
      <c r="G9380">
        <v>23.945250000000001</v>
      </c>
    </row>
    <row r="9381" spans="1:7" x14ac:dyDescent="0.35">
      <c r="A9381" t="s">
        <v>847</v>
      </c>
      <c r="B9381" t="s">
        <v>691</v>
      </c>
      <c r="C9381" s="83">
        <v>46205</v>
      </c>
      <c r="D9381" t="s">
        <v>299</v>
      </c>
      <c r="E9381" t="s">
        <v>296</v>
      </c>
      <c r="F9381">
        <v>33</v>
      </c>
      <c r="G9381">
        <v>18.237183333333299</v>
      </c>
    </row>
    <row r="9382" spans="1:7" x14ac:dyDescent="0.35">
      <c r="A9382" t="s">
        <v>847</v>
      </c>
      <c r="B9382" t="s">
        <v>691</v>
      </c>
      <c r="C9382" s="83">
        <v>46205</v>
      </c>
      <c r="D9382" t="s">
        <v>310</v>
      </c>
      <c r="E9382" t="s">
        <v>333</v>
      </c>
      <c r="F9382">
        <v>5</v>
      </c>
      <c r="G9382">
        <v>1.0078833333333299</v>
      </c>
    </row>
    <row r="9383" spans="1:7" x14ac:dyDescent="0.35">
      <c r="A9383" t="s">
        <v>847</v>
      </c>
      <c r="B9383" t="s">
        <v>691</v>
      </c>
      <c r="C9383" s="83">
        <v>46205</v>
      </c>
      <c r="D9383" t="s">
        <v>310</v>
      </c>
      <c r="E9383" t="s">
        <v>316</v>
      </c>
      <c r="F9383">
        <v>4</v>
      </c>
      <c r="G9383">
        <v>9.0627499999999994</v>
      </c>
    </row>
    <row r="9384" spans="1:7" x14ac:dyDescent="0.35">
      <c r="A9384" t="s">
        <v>847</v>
      </c>
      <c r="B9384" t="s">
        <v>691</v>
      </c>
      <c r="C9384" s="83">
        <v>46205</v>
      </c>
      <c r="D9384" t="s">
        <v>310</v>
      </c>
      <c r="E9384" t="s">
        <v>311</v>
      </c>
      <c r="F9384">
        <v>3</v>
      </c>
      <c r="G9384">
        <v>0.45660000000000001</v>
      </c>
    </row>
    <row r="9385" spans="1:7" x14ac:dyDescent="0.35">
      <c r="A9385" t="s">
        <v>847</v>
      </c>
      <c r="B9385" t="s">
        <v>691</v>
      </c>
      <c r="C9385" s="83">
        <v>46205</v>
      </c>
      <c r="D9385" t="s">
        <v>313</v>
      </c>
      <c r="E9385" t="s">
        <v>311</v>
      </c>
      <c r="F9385">
        <v>20</v>
      </c>
      <c r="G9385">
        <v>19.4842166666667</v>
      </c>
    </row>
    <row r="9386" spans="1:7" x14ac:dyDescent="0.35">
      <c r="A9386" t="s">
        <v>847</v>
      </c>
      <c r="B9386" t="s">
        <v>691</v>
      </c>
      <c r="C9386" s="83">
        <v>46205</v>
      </c>
      <c r="D9386" t="s">
        <v>313</v>
      </c>
      <c r="E9386" t="s">
        <v>126</v>
      </c>
      <c r="F9386">
        <v>13</v>
      </c>
      <c r="G9386">
        <v>26.6145666666667</v>
      </c>
    </row>
    <row r="9387" spans="1:7" x14ac:dyDescent="0.35">
      <c r="A9387" t="s">
        <v>847</v>
      </c>
      <c r="B9387" t="s">
        <v>691</v>
      </c>
      <c r="C9387" s="83">
        <v>46205</v>
      </c>
      <c r="D9387" t="s">
        <v>313</v>
      </c>
      <c r="E9387" t="s">
        <v>312</v>
      </c>
      <c r="F9387">
        <v>9</v>
      </c>
      <c r="G9387">
        <v>55.3014333333333</v>
      </c>
    </row>
    <row r="9388" spans="1:7" x14ac:dyDescent="0.35">
      <c r="A9388" t="s">
        <v>847</v>
      </c>
      <c r="B9388" t="s">
        <v>691</v>
      </c>
      <c r="C9388" s="83">
        <v>46205</v>
      </c>
      <c r="D9388" t="s">
        <v>314</v>
      </c>
      <c r="E9388" t="s">
        <v>830</v>
      </c>
      <c r="F9388">
        <v>12</v>
      </c>
      <c r="G9388">
        <v>16.398716666666701</v>
      </c>
    </row>
    <row r="9389" spans="1:7" x14ac:dyDescent="0.35">
      <c r="A9389" t="s">
        <v>847</v>
      </c>
      <c r="B9389" t="s">
        <v>691</v>
      </c>
      <c r="C9389" s="83">
        <v>46205</v>
      </c>
      <c r="D9389" t="s">
        <v>314</v>
      </c>
      <c r="E9389" t="s">
        <v>126</v>
      </c>
      <c r="F9389">
        <v>8</v>
      </c>
      <c r="G9389">
        <v>11.02735</v>
      </c>
    </row>
    <row r="9390" spans="1:7" x14ac:dyDescent="0.35">
      <c r="A9390" t="s">
        <v>847</v>
      </c>
      <c r="B9390" t="s">
        <v>691</v>
      </c>
      <c r="C9390" s="83">
        <v>46205</v>
      </c>
      <c r="D9390" t="s">
        <v>314</v>
      </c>
      <c r="E9390" t="s">
        <v>321</v>
      </c>
      <c r="F9390">
        <v>3</v>
      </c>
      <c r="G9390">
        <v>1.0213000000000001</v>
      </c>
    </row>
    <row r="9391" spans="1:7" x14ac:dyDescent="0.35">
      <c r="A9391" t="s">
        <v>847</v>
      </c>
      <c r="B9391" t="s">
        <v>691</v>
      </c>
      <c r="C9391" s="83">
        <v>46206</v>
      </c>
      <c r="D9391" t="s">
        <v>295</v>
      </c>
      <c r="E9391" t="s">
        <v>296</v>
      </c>
      <c r="F9391">
        <v>13</v>
      </c>
      <c r="G9391">
        <v>6.7470333333333299</v>
      </c>
    </row>
    <row r="9392" spans="1:7" x14ac:dyDescent="0.35">
      <c r="A9392" t="s">
        <v>847</v>
      </c>
      <c r="B9392" t="s">
        <v>691</v>
      </c>
      <c r="C9392" s="83">
        <v>46206</v>
      </c>
      <c r="D9392" t="s">
        <v>299</v>
      </c>
      <c r="E9392" t="s">
        <v>296</v>
      </c>
      <c r="F9392">
        <v>8</v>
      </c>
      <c r="G9392">
        <v>1.4599500000000001</v>
      </c>
    </row>
    <row r="9393" spans="1:7" x14ac:dyDescent="0.35">
      <c r="A9393" t="s">
        <v>847</v>
      </c>
      <c r="B9393" t="s">
        <v>691</v>
      </c>
      <c r="C9393" s="83">
        <v>46206</v>
      </c>
      <c r="D9393" t="s">
        <v>310</v>
      </c>
      <c r="E9393" t="s">
        <v>333</v>
      </c>
      <c r="F9393">
        <v>9</v>
      </c>
      <c r="G9393">
        <v>97.853266666666698</v>
      </c>
    </row>
    <row r="9394" spans="1:7" x14ac:dyDescent="0.35">
      <c r="A9394" t="s">
        <v>847</v>
      </c>
      <c r="B9394" t="s">
        <v>691</v>
      </c>
      <c r="C9394" s="83">
        <v>46206</v>
      </c>
      <c r="D9394" t="s">
        <v>310</v>
      </c>
      <c r="E9394" t="s">
        <v>826</v>
      </c>
      <c r="F9394">
        <v>4</v>
      </c>
      <c r="G9394">
        <v>41.686166666666701</v>
      </c>
    </row>
    <row r="9395" spans="1:7" x14ac:dyDescent="0.35">
      <c r="A9395" t="s">
        <v>847</v>
      </c>
      <c r="B9395" t="s">
        <v>691</v>
      </c>
      <c r="C9395" s="83">
        <v>46206</v>
      </c>
      <c r="D9395" t="s">
        <v>310</v>
      </c>
      <c r="E9395" t="s">
        <v>126</v>
      </c>
      <c r="F9395">
        <v>3</v>
      </c>
      <c r="G9395">
        <v>1.1139666666666701</v>
      </c>
    </row>
    <row r="9396" spans="1:7" x14ac:dyDescent="0.35">
      <c r="A9396" t="s">
        <v>847</v>
      </c>
      <c r="B9396" t="s">
        <v>691</v>
      </c>
      <c r="C9396" s="83">
        <v>46206</v>
      </c>
      <c r="D9396" t="s">
        <v>313</v>
      </c>
      <c r="E9396" t="s">
        <v>312</v>
      </c>
      <c r="F9396">
        <v>4</v>
      </c>
      <c r="G9396">
        <v>5.0581333333333296</v>
      </c>
    </row>
    <row r="9397" spans="1:7" x14ac:dyDescent="0.35">
      <c r="A9397" t="s">
        <v>847</v>
      </c>
      <c r="B9397" t="s">
        <v>691</v>
      </c>
      <c r="C9397" s="83">
        <v>46206</v>
      </c>
      <c r="D9397" t="s">
        <v>313</v>
      </c>
      <c r="E9397" t="s">
        <v>126</v>
      </c>
      <c r="F9397">
        <v>3</v>
      </c>
      <c r="G9397">
        <v>10.8365666666667</v>
      </c>
    </row>
    <row r="9398" spans="1:7" x14ac:dyDescent="0.35">
      <c r="A9398" t="s">
        <v>847</v>
      </c>
      <c r="B9398" t="s">
        <v>691</v>
      </c>
      <c r="C9398" s="83">
        <v>46206</v>
      </c>
      <c r="D9398" t="s">
        <v>313</v>
      </c>
      <c r="E9398" t="s">
        <v>311</v>
      </c>
      <c r="F9398">
        <v>3</v>
      </c>
      <c r="G9398">
        <v>2.2095833333333301</v>
      </c>
    </row>
    <row r="9399" spans="1:7" x14ac:dyDescent="0.35">
      <c r="A9399" t="s">
        <v>847</v>
      </c>
      <c r="B9399" t="s">
        <v>691</v>
      </c>
      <c r="C9399" s="83">
        <v>46206</v>
      </c>
      <c r="D9399" t="s">
        <v>314</v>
      </c>
      <c r="E9399" t="s">
        <v>321</v>
      </c>
      <c r="F9399">
        <v>5</v>
      </c>
      <c r="G9399">
        <v>7.3487666666666698</v>
      </c>
    </row>
    <row r="9400" spans="1:7" x14ac:dyDescent="0.35">
      <c r="A9400" t="s">
        <v>847</v>
      </c>
      <c r="B9400" t="s">
        <v>691</v>
      </c>
      <c r="C9400" s="83">
        <v>46206</v>
      </c>
      <c r="D9400" t="s">
        <v>314</v>
      </c>
      <c r="E9400" t="s">
        <v>126</v>
      </c>
      <c r="F9400">
        <v>2</v>
      </c>
      <c r="G9400">
        <v>2.2235166666666699</v>
      </c>
    </row>
    <row r="9401" spans="1:7" x14ac:dyDescent="0.35">
      <c r="A9401" t="s">
        <v>847</v>
      </c>
      <c r="B9401" t="s">
        <v>691</v>
      </c>
      <c r="C9401" s="83">
        <v>46206</v>
      </c>
      <c r="D9401" t="s">
        <v>314</v>
      </c>
      <c r="E9401" t="s">
        <v>337</v>
      </c>
      <c r="F9401">
        <v>2</v>
      </c>
      <c r="G9401">
        <v>2.2137833333333301</v>
      </c>
    </row>
    <row r="9402" spans="1:7" x14ac:dyDescent="0.35">
      <c r="A9402" t="s">
        <v>847</v>
      </c>
      <c r="B9402" t="s">
        <v>691</v>
      </c>
      <c r="C9402" s="83">
        <v>46206</v>
      </c>
      <c r="D9402" t="s">
        <v>317</v>
      </c>
      <c r="E9402" t="s">
        <v>319</v>
      </c>
      <c r="F9402">
        <v>2</v>
      </c>
      <c r="G9402">
        <v>0.43871666666666698</v>
      </c>
    </row>
    <row r="9403" spans="1:7" x14ac:dyDescent="0.35">
      <c r="A9403" t="s">
        <v>847</v>
      </c>
      <c r="B9403" t="s">
        <v>691</v>
      </c>
      <c r="C9403" s="83">
        <v>46206</v>
      </c>
      <c r="D9403" t="s">
        <v>317</v>
      </c>
      <c r="E9403" t="s">
        <v>323</v>
      </c>
      <c r="F9403">
        <v>2</v>
      </c>
      <c r="G9403">
        <v>1.23823333333333</v>
      </c>
    </row>
    <row r="9404" spans="1:7" x14ac:dyDescent="0.35">
      <c r="A9404" t="s">
        <v>847</v>
      </c>
      <c r="B9404" t="s">
        <v>691</v>
      </c>
      <c r="C9404" s="83">
        <v>46207</v>
      </c>
      <c r="D9404" t="s">
        <v>295</v>
      </c>
      <c r="E9404" t="s">
        <v>296</v>
      </c>
      <c r="F9404">
        <v>20</v>
      </c>
      <c r="G9404">
        <v>8.3656333333333297</v>
      </c>
    </row>
    <row r="9405" spans="1:7" x14ac:dyDescent="0.35">
      <c r="A9405" t="s">
        <v>847</v>
      </c>
      <c r="B9405" t="s">
        <v>691</v>
      </c>
      <c r="C9405" s="83">
        <v>46207</v>
      </c>
      <c r="D9405" t="s">
        <v>299</v>
      </c>
      <c r="E9405" t="s">
        <v>296</v>
      </c>
      <c r="F9405">
        <v>21</v>
      </c>
      <c r="G9405">
        <v>20.322016666666698</v>
      </c>
    </row>
    <row r="9406" spans="1:7" x14ac:dyDescent="0.35">
      <c r="A9406" t="s">
        <v>847</v>
      </c>
      <c r="B9406" t="s">
        <v>691</v>
      </c>
      <c r="C9406" s="83">
        <v>46207</v>
      </c>
      <c r="D9406" t="s">
        <v>301</v>
      </c>
      <c r="E9406" t="s">
        <v>296</v>
      </c>
      <c r="F9406">
        <v>7</v>
      </c>
      <c r="G9406">
        <v>1.4966999999999999</v>
      </c>
    </row>
    <row r="9407" spans="1:7" x14ac:dyDescent="0.35">
      <c r="A9407" t="s">
        <v>847</v>
      </c>
      <c r="B9407" t="s">
        <v>691</v>
      </c>
      <c r="C9407" s="83">
        <v>46207</v>
      </c>
      <c r="D9407" t="s">
        <v>309</v>
      </c>
      <c r="E9407" t="s">
        <v>344</v>
      </c>
      <c r="F9407">
        <v>16</v>
      </c>
      <c r="G9407">
        <v>11.6376833333333</v>
      </c>
    </row>
    <row r="9408" spans="1:7" x14ac:dyDescent="0.35">
      <c r="A9408" t="s">
        <v>847</v>
      </c>
      <c r="B9408" t="s">
        <v>691</v>
      </c>
      <c r="C9408" s="83">
        <v>46207</v>
      </c>
      <c r="D9408" t="s">
        <v>310</v>
      </c>
      <c r="E9408" t="s">
        <v>126</v>
      </c>
      <c r="F9408">
        <v>6</v>
      </c>
      <c r="G9408">
        <v>14.413349999999999</v>
      </c>
    </row>
    <row r="9409" spans="1:7" x14ac:dyDescent="0.35">
      <c r="A9409" t="s">
        <v>847</v>
      </c>
      <c r="B9409" t="s">
        <v>691</v>
      </c>
      <c r="C9409" s="83">
        <v>46207</v>
      </c>
      <c r="D9409" t="s">
        <v>310</v>
      </c>
      <c r="E9409" t="s">
        <v>337</v>
      </c>
      <c r="F9409">
        <v>5</v>
      </c>
      <c r="G9409">
        <v>1.1301333333333301</v>
      </c>
    </row>
    <row r="9410" spans="1:7" x14ac:dyDescent="0.35">
      <c r="A9410" t="s">
        <v>847</v>
      </c>
      <c r="B9410" t="s">
        <v>691</v>
      </c>
      <c r="C9410" s="83">
        <v>46207</v>
      </c>
      <c r="D9410" t="s">
        <v>310</v>
      </c>
      <c r="E9410" t="s">
        <v>316</v>
      </c>
      <c r="F9410">
        <v>3</v>
      </c>
      <c r="G9410">
        <v>1.2709999999999999</v>
      </c>
    </row>
    <row r="9411" spans="1:7" x14ac:dyDescent="0.35">
      <c r="A9411" t="s">
        <v>847</v>
      </c>
      <c r="B9411" t="s">
        <v>691</v>
      </c>
      <c r="C9411" s="83">
        <v>46207</v>
      </c>
      <c r="D9411" t="s">
        <v>313</v>
      </c>
      <c r="E9411" t="s">
        <v>126</v>
      </c>
      <c r="F9411">
        <v>13</v>
      </c>
      <c r="G9411">
        <v>37.710749999999997</v>
      </c>
    </row>
    <row r="9412" spans="1:7" x14ac:dyDescent="0.35">
      <c r="A9412" t="s">
        <v>847</v>
      </c>
      <c r="B9412" t="s">
        <v>691</v>
      </c>
      <c r="C9412" s="83">
        <v>46207</v>
      </c>
      <c r="D9412" t="s">
        <v>313</v>
      </c>
      <c r="E9412" t="s">
        <v>312</v>
      </c>
      <c r="F9412">
        <v>9</v>
      </c>
      <c r="G9412">
        <v>8.4110333333333305</v>
      </c>
    </row>
    <row r="9413" spans="1:7" x14ac:dyDescent="0.35">
      <c r="A9413" t="s">
        <v>847</v>
      </c>
      <c r="B9413" t="s">
        <v>691</v>
      </c>
      <c r="C9413" s="83">
        <v>46207</v>
      </c>
      <c r="D9413" t="s">
        <v>313</v>
      </c>
      <c r="E9413" t="s">
        <v>311</v>
      </c>
      <c r="F9413">
        <v>6</v>
      </c>
      <c r="G9413">
        <v>9.0123499999999996</v>
      </c>
    </row>
    <row r="9414" spans="1:7" x14ac:dyDescent="0.35">
      <c r="A9414" t="s">
        <v>847</v>
      </c>
      <c r="B9414" t="s">
        <v>691</v>
      </c>
      <c r="C9414" s="83">
        <v>46207</v>
      </c>
      <c r="D9414" t="s">
        <v>314</v>
      </c>
      <c r="E9414" t="s">
        <v>126</v>
      </c>
      <c r="F9414">
        <v>4</v>
      </c>
      <c r="G9414">
        <v>6.5397666666666696</v>
      </c>
    </row>
    <row r="9415" spans="1:7" x14ac:dyDescent="0.35">
      <c r="A9415" t="s">
        <v>847</v>
      </c>
      <c r="B9415" t="s">
        <v>691</v>
      </c>
      <c r="C9415" s="83">
        <v>46207</v>
      </c>
      <c r="D9415" t="s">
        <v>314</v>
      </c>
      <c r="E9415" t="s">
        <v>316</v>
      </c>
      <c r="F9415">
        <v>4</v>
      </c>
      <c r="G9415">
        <v>16.876716666666699</v>
      </c>
    </row>
    <row r="9416" spans="1:7" x14ac:dyDescent="0.35">
      <c r="A9416" t="s">
        <v>847</v>
      </c>
      <c r="B9416" t="s">
        <v>691</v>
      </c>
      <c r="C9416" s="83">
        <v>46207</v>
      </c>
      <c r="D9416" t="s">
        <v>314</v>
      </c>
      <c r="E9416" t="s">
        <v>793</v>
      </c>
      <c r="F9416">
        <v>3</v>
      </c>
      <c r="G9416">
        <v>1.50731666666667</v>
      </c>
    </row>
    <row r="9417" spans="1:7" x14ac:dyDescent="0.35">
      <c r="A9417" t="s">
        <v>847</v>
      </c>
      <c r="B9417" t="s">
        <v>691</v>
      </c>
      <c r="C9417" s="83">
        <v>46207</v>
      </c>
      <c r="D9417" t="s">
        <v>317</v>
      </c>
      <c r="E9417" t="s">
        <v>725</v>
      </c>
      <c r="F9417">
        <v>3</v>
      </c>
      <c r="G9417">
        <v>0.30859999999999999</v>
      </c>
    </row>
    <row r="9418" spans="1:7" x14ac:dyDescent="0.35">
      <c r="A9418" t="s">
        <v>847</v>
      </c>
      <c r="B9418" t="s">
        <v>691</v>
      </c>
      <c r="C9418" s="83">
        <v>46207</v>
      </c>
      <c r="D9418" t="s">
        <v>317</v>
      </c>
      <c r="E9418" t="s">
        <v>319</v>
      </c>
      <c r="F9418">
        <v>2</v>
      </c>
      <c r="G9418">
        <v>1.1369</v>
      </c>
    </row>
    <row r="9419" spans="1:7" x14ac:dyDescent="0.35">
      <c r="A9419" t="s">
        <v>847</v>
      </c>
      <c r="B9419" t="s">
        <v>691</v>
      </c>
      <c r="C9419" s="83">
        <v>46207</v>
      </c>
      <c r="D9419" t="s">
        <v>317</v>
      </c>
      <c r="E9419" t="s">
        <v>322</v>
      </c>
      <c r="F9419">
        <v>2</v>
      </c>
      <c r="G9419">
        <v>0.97086666666666699</v>
      </c>
    </row>
    <row r="9420" spans="1:7" x14ac:dyDescent="0.35">
      <c r="A9420" t="s">
        <v>847</v>
      </c>
      <c r="B9420" t="s">
        <v>691</v>
      </c>
      <c r="C9420" s="83">
        <v>46208</v>
      </c>
      <c r="D9420" t="s">
        <v>295</v>
      </c>
      <c r="E9420" t="s">
        <v>296</v>
      </c>
      <c r="F9420">
        <v>55</v>
      </c>
      <c r="G9420">
        <v>22.594349999999999</v>
      </c>
    </row>
    <row r="9421" spans="1:7" x14ac:dyDescent="0.35">
      <c r="A9421" t="s">
        <v>847</v>
      </c>
      <c r="B9421" t="s">
        <v>691</v>
      </c>
      <c r="C9421" s="83">
        <v>46208</v>
      </c>
      <c r="D9421" t="s">
        <v>299</v>
      </c>
      <c r="E9421" t="s">
        <v>296</v>
      </c>
      <c r="F9421">
        <v>14</v>
      </c>
      <c r="G9421">
        <v>10.1129</v>
      </c>
    </row>
    <row r="9422" spans="1:7" x14ac:dyDescent="0.35">
      <c r="A9422" t="s">
        <v>847</v>
      </c>
      <c r="B9422" t="s">
        <v>691</v>
      </c>
      <c r="C9422" s="83">
        <v>46208</v>
      </c>
      <c r="D9422" t="s">
        <v>303</v>
      </c>
      <c r="E9422" t="s">
        <v>302</v>
      </c>
      <c r="F9422">
        <v>7</v>
      </c>
      <c r="G9422">
        <v>1.8533166666666701</v>
      </c>
    </row>
    <row r="9423" spans="1:7" x14ac:dyDescent="0.35">
      <c r="A9423" t="s">
        <v>847</v>
      </c>
      <c r="B9423" t="s">
        <v>691</v>
      </c>
      <c r="C9423" s="83">
        <v>46208</v>
      </c>
      <c r="D9423" t="s">
        <v>309</v>
      </c>
      <c r="E9423" t="s">
        <v>344</v>
      </c>
      <c r="F9423">
        <v>18</v>
      </c>
      <c r="G9423">
        <v>14.002700000000001</v>
      </c>
    </row>
    <row r="9424" spans="1:7" x14ac:dyDescent="0.35">
      <c r="A9424" t="s">
        <v>847</v>
      </c>
      <c r="B9424" t="s">
        <v>691</v>
      </c>
      <c r="C9424" s="83">
        <v>46208</v>
      </c>
      <c r="D9424" t="s">
        <v>310</v>
      </c>
      <c r="E9424" t="s">
        <v>126</v>
      </c>
      <c r="F9424">
        <v>11</v>
      </c>
      <c r="G9424">
        <v>18.267399999999999</v>
      </c>
    </row>
    <row r="9425" spans="1:7" x14ac:dyDescent="0.35">
      <c r="A9425" t="s">
        <v>847</v>
      </c>
      <c r="B9425" t="s">
        <v>691</v>
      </c>
      <c r="C9425" s="83">
        <v>46208</v>
      </c>
      <c r="D9425" t="s">
        <v>310</v>
      </c>
      <c r="E9425" t="s">
        <v>311</v>
      </c>
      <c r="F9425">
        <v>5</v>
      </c>
      <c r="G9425">
        <v>6.9404666666666701</v>
      </c>
    </row>
    <row r="9426" spans="1:7" x14ac:dyDescent="0.35">
      <c r="A9426" t="s">
        <v>847</v>
      </c>
      <c r="B9426" t="s">
        <v>691</v>
      </c>
      <c r="C9426" s="83">
        <v>46208</v>
      </c>
      <c r="D9426" t="s">
        <v>310</v>
      </c>
      <c r="E9426" t="s">
        <v>333</v>
      </c>
      <c r="F9426">
        <v>4</v>
      </c>
      <c r="G9426">
        <v>1.6785666666666701</v>
      </c>
    </row>
    <row r="9427" spans="1:7" x14ac:dyDescent="0.35">
      <c r="A9427" t="s">
        <v>847</v>
      </c>
      <c r="B9427" t="s">
        <v>691</v>
      </c>
      <c r="C9427" s="83">
        <v>46208</v>
      </c>
      <c r="D9427" t="s">
        <v>313</v>
      </c>
      <c r="E9427" t="s">
        <v>311</v>
      </c>
      <c r="F9427">
        <v>7</v>
      </c>
      <c r="G9427">
        <v>3.1225499999999999</v>
      </c>
    </row>
    <row r="9428" spans="1:7" x14ac:dyDescent="0.35">
      <c r="A9428" t="s">
        <v>847</v>
      </c>
      <c r="B9428" t="s">
        <v>691</v>
      </c>
      <c r="C9428" s="83">
        <v>46208</v>
      </c>
      <c r="D9428" t="s">
        <v>313</v>
      </c>
      <c r="E9428" t="s">
        <v>126</v>
      </c>
      <c r="F9428">
        <v>4</v>
      </c>
      <c r="G9428">
        <v>5.6824833333333302</v>
      </c>
    </row>
    <row r="9429" spans="1:7" x14ac:dyDescent="0.35">
      <c r="A9429" t="s">
        <v>847</v>
      </c>
      <c r="B9429" t="s">
        <v>691</v>
      </c>
      <c r="C9429" s="83">
        <v>46208</v>
      </c>
      <c r="D9429" t="s">
        <v>313</v>
      </c>
      <c r="E9429" t="s">
        <v>347</v>
      </c>
      <c r="F9429">
        <v>2</v>
      </c>
      <c r="G9429">
        <v>0.71755000000000002</v>
      </c>
    </row>
    <row r="9430" spans="1:7" x14ac:dyDescent="0.35">
      <c r="A9430" t="s">
        <v>847</v>
      </c>
      <c r="B9430" t="s">
        <v>691</v>
      </c>
      <c r="C9430" s="83">
        <v>46208</v>
      </c>
      <c r="D9430" t="s">
        <v>314</v>
      </c>
      <c r="E9430" t="s">
        <v>725</v>
      </c>
      <c r="F9430">
        <v>2</v>
      </c>
      <c r="G9430">
        <v>0.90154999999999996</v>
      </c>
    </row>
    <row r="9431" spans="1:7" x14ac:dyDescent="0.35">
      <c r="A9431" t="s">
        <v>847</v>
      </c>
      <c r="B9431" t="s">
        <v>691</v>
      </c>
      <c r="C9431" s="83">
        <v>46208</v>
      </c>
      <c r="D9431" t="s">
        <v>314</v>
      </c>
      <c r="E9431" t="s">
        <v>315</v>
      </c>
      <c r="F9431">
        <v>2</v>
      </c>
      <c r="G9431">
        <v>0.90069999999999995</v>
      </c>
    </row>
    <row r="9432" spans="1:7" x14ac:dyDescent="0.35">
      <c r="A9432" t="s">
        <v>847</v>
      </c>
      <c r="B9432" t="s">
        <v>691</v>
      </c>
      <c r="C9432" s="83">
        <v>46208</v>
      </c>
      <c r="D9432" t="s">
        <v>314</v>
      </c>
      <c r="E9432" t="s">
        <v>347</v>
      </c>
      <c r="F9432">
        <v>2</v>
      </c>
      <c r="G9432">
        <v>0.70621666666666705</v>
      </c>
    </row>
    <row r="9433" spans="1:7" x14ac:dyDescent="0.35">
      <c r="A9433" t="s">
        <v>847</v>
      </c>
      <c r="B9433" t="s">
        <v>691</v>
      </c>
      <c r="C9433" s="83">
        <v>46208</v>
      </c>
      <c r="D9433" t="s">
        <v>317</v>
      </c>
      <c r="E9433" t="s">
        <v>319</v>
      </c>
      <c r="F9433">
        <v>2</v>
      </c>
      <c r="G9433">
        <v>6.8571833333333299</v>
      </c>
    </row>
    <row r="9434" spans="1:7" x14ac:dyDescent="0.35">
      <c r="A9434" t="s">
        <v>847</v>
      </c>
      <c r="B9434" t="s">
        <v>691</v>
      </c>
      <c r="C9434" s="83">
        <v>46208</v>
      </c>
      <c r="D9434" t="s">
        <v>317</v>
      </c>
      <c r="E9434" t="s">
        <v>323</v>
      </c>
      <c r="F9434">
        <v>2</v>
      </c>
      <c r="G9434">
        <v>0.44645000000000001</v>
      </c>
    </row>
    <row r="9435" spans="1:7" x14ac:dyDescent="0.35">
      <c r="A9435" t="s">
        <v>847</v>
      </c>
      <c r="B9435" t="s">
        <v>691</v>
      </c>
      <c r="C9435" s="83">
        <v>46209</v>
      </c>
      <c r="D9435" t="s">
        <v>295</v>
      </c>
      <c r="E9435" t="s">
        <v>296</v>
      </c>
      <c r="F9435">
        <v>32</v>
      </c>
      <c r="G9435">
        <v>12.8489</v>
      </c>
    </row>
    <row r="9436" spans="1:7" x14ac:dyDescent="0.35">
      <c r="A9436" t="s">
        <v>847</v>
      </c>
      <c r="B9436" t="s">
        <v>691</v>
      </c>
      <c r="C9436" s="83">
        <v>46209</v>
      </c>
      <c r="D9436" t="s">
        <v>299</v>
      </c>
      <c r="E9436" t="s">
        <v>296</v>
      </c>
      <c r="F9436">
        <v>26</v>
      </c>
      <c r="G9436">
        <v>15.2338166666667</v>
      </c>
    </row>
    <row r="9437" spans="1:7" x14ac:dyDescent="0.35">
      <c r="A9437" t="s">
        <v>847</v>
      </c>
      <c r="B9437" t="s">
        <v>691</v>
      </c>
      <c r="C9437" s="83">
        <v>46209</v>
      </c>
      <c r="D9437" t="s">
        <v>301</v>
      </c>
      <c r="E9437" t="s">
        <v>296</v>
      </c>
      <c r="F9437">
        <v>27</v>
      </c>
      <c r="G9437">
        <v>13.6548</v>
      </c>
    </row>
    <row r="9438" spans="1:7" x14ac:dyDescent="0.35">
      <c r="A9438" t="s">
        <v>847</v>
      </c>
      <c r="B9438" t="s">
        <v>691</v>
      </c>
      <c r="C9438" s="83">
        <v>46209</v>
      </c>
      <c r="D9438" t="s">
        <v>303</v>
      </c>
      <c r="E9438" t="s">
        <v>831</v>
      </c>
      <c r="F9438">
        <v>9</v>
      </c>
      <c r="G9438">
        <v>2.4470333333333301</v>
      </c>
    </row>
    <row r="9439" spans="1:7" x14ac:dyDescent="0.35">
      <c r="A9439" t="s">
        <v>847</v>
      </c>
      <c r="B9439" t="s">
        <v>691</v>
      </c>
      <c r="C9439" s="83">
        <v>46209</v>
      </c>
      <c r="D9439" t="s">
        <v>310</v>
      </c>
      <c r="E9439" t="s">
        <v>316</v>
      </c>
      <c r="F9439">
        <v>9</v>
      </c>
      <c r="G9439">
        <v>9.7115666666666698</v>
      </c>
    </row>
    <row r="9440" spans="1:7" x14ac:dyDescent="0.35">
      <c r="A9440" t="s">
        <v>847</v>
      </c>
      <c r="B9440" t="s">
        <v>691</v>
      </c>
      <c r="C9440" s="83">
        <v>46209</v>
      </c>
      <c r="D9440" t="s">
        <v>310</v>
      </c>
      <c r="E9440" t="s">
        <v>311</v>
      </c>
      <c r="F9440">
        <v>4</v>
      </c>
      <c r="G9440">
        <v>2.5636000000000001</v>
      </c>
    </row>
    <row r="9441" spans="1:7" x14ac:dyDescent="0.35">
      <c r="A9441" t="s">
        <v>847</v>
      </c>
      <c r="B9441" t="s">
        <v>691</v>
      </c>
      <c r="C9441" s="83">
        <v>46209</v>
      </c>
      <c r="D9441" t="s">
        <v>310</v>
      </c>
      <c r="E9441" t="s">
        <v>126</v>
      </c>
      <c r="F9441">
        <v>4</v>
      </c>
      <c r="G9441">
        <v>2.77741666666667</v>
      </c>
    </row>
    <row r="9442" spans="1:7" x14ac:dyDescent="0.35">
      <c r="A9442" t="s">
        <v>847</v>
      </c>
      <c r="B9442" t="s">
        <v>691</v>
      </c>
      <c r="C9442" s="83">
        <v>46209</v>
      </c>
      <c r="D9442" t="s">
        <v>313</v>
      </c>
      <c r="E9442" t="s">
        <v>126</v>
      </c>
      <c r="F9442">
        <v>3</v>
      </c>
      <c r="G9442">
        <v>5.8018333333333301</v>
      </c>
    </row>
    <row r="9443" spans="1:7" x14ac:dyDescent="0.35">
      <c r="A9443" t="s">
        <v>847</v>
      </c>
      <c r="B9443" t="s">
        <v>691</v>
      </c>
      <c r="C9443" s="83">
        <v>46209</v>
      </c>
      <c r="D9443" t="s">
        <v>313</v>
      </c>
      <c r="E9443" t="s">
        <v>311</v>
      </c>
      <c r="F9443">
        <v>2</v>
      </c>
      <c r="G9443">
        <v>0.35491666666666699</v>
      </c>
    </row>
    <row r="9444" spans="1:7" x14ac:dyDescent="0.35">
      <c r="A9444" t="s">
        <v>847</v>
      </c>
      <c r="B9444" t="s">
        <v>691</v>
      </c>
      <c r="C9444" s="83">
        <v>46209</v>
      </c>
      <c r="D9444" t="s">
        <v>313</v>
      </c>
      <c r="E9444" t="s">
        <v>316</v>
      </c>
      <c r="F9444">
        <v>2</v>
      </c>
      <c r="G9444">
        <v>0.55466666666666697</v>
      </c>
    </row>
    <row r="9445" spans="1:7" x14ac:dyDescent="0.35">
      <c r="A9445" t="s">
        <v>847</v>
      </c>
      <c r="B9445" t="s">
        <v>691</v>
      </c>
      <c r="C9445" s="83">
        <v>46209</v>
      </c>
      <c r="D9445" t="s">
        <v>314</v>
      </c>
      <c r="E9445" t="s">
        <v>316</v>
      </c>
      <c r="F9445">
        <v>5</v>
      </c>
      <c r="G9445">
        <v>138.85526666666701</v>
      </c>
    </row>
    <row r="9446" spans="1:7" x14ac:dyDescent="0.35">
      <c r="A9446" t="s">
        <v>847</v>
      </c>
      <c r="B9446" t="s">
        <v>691</v>
      </c>
      <c r="C9446" s="83">
        <v>46209</v>
      </c>
      <c r="D9446" t="s">
        <v>314</v>
      </c>
      <c r="E9446" t="s">
        <v>321</v>
      </c>
      <c r="F9446">
        <v>5</v>
      </c>
      <c r="G9446">
        <v>2.8502000000000001</v>
      </c>
    </row>
    <row r="9447" spans="1:7" x14ac:dyDescent="0.35">
      <c r="A9447" t="s">
        <v>847</v>
      </c>
      <c r="B9447" t="s">
        <v>691</v>
      </c>
      <c r="C9447" s="83">
        <v>46209</v>
      </c>
      <c r="D9447" t="s">
        <v>314</v>
      </c>
      <c r="E9447" t="s">
        <v>126</v>
      </c>
      <c r="F9447">
        <v>5</v>
      </c>
      <c r="G9447">
        <v>8.4392833333333304</v>
      </c>
    </row>
    <row r="9448" spans="1:7" x14ac:dyDescent="0.35">
      <c r="A9448" t="s">
        <v>847</v>
      </c>
      <c r="B9448" t="s">
        <v>691</v>
      </c>
      <c r="C9448" s="83">
        <v>46209</v>
      </c>
      <c r="D9448" t="s">
        <v>317</v>
      </c>
      <c r="E9448" t="s">
        <v>323</v>
      </c>
      <c r="F9448">
        <v>3</v>
      </c>
      <c r="G9448">
        <v>0.38095000000000001</v>
      </c>
    </row>
    <row r="9449" spans="1:7" x14ac:dyDescent="0.35">
      <c r="A9449" t="s">
        <v>847</v>
      </c>
      <c r="B9449" t="s">
        <v>691</v>
      </c>
      <c r="C9449" s="83">
        <v>46209</v>
      </c>
      <c r="D9449" t="s">
        <v>317</v>
      </c>
      <c r="E9449" t="s">
        <v>339</v>
      </c>
      <c r="F9449">
        <v>3</v>
      </c>
      <c r="G9449">
        <v>2.3439999999999999</v>
      </c>
    </row>
    <row r="9450" spans="1:7" x14ac:dyDescent="0.35">
      <c r="A9450" t="s">
        <v>847</v>
      </c>
      <c r="B9450" t="s">
        <v>691</v>
      </c>
      <c r="C9450" s="83">
        <v>46209</v>
      </c>
      <c r="D9450" t="s">
        <v>317</v>
      </c>
      <c r="E9450" t="s">
        <v>319</v>
      </c>
      <c r="F9450">
        <v>2</v>
      </c>
      <c r="G9450">
        <v>0.94308333333333305</v>
      </c>
    </row>
    <row r="9451" spans="1:7" x14ac:dyDescent="0.35">
      <c r="A9451" t="s">
        <v>847</v>
      </c>
      <c r="B9451" t="s">
        <v>691</v>
      </c>
      <c r="C9451" s="83">
        <v>46210</v>
      </c>
      <c r="D9451" t="s">
        <v>295</v>
      </c>
      <c r="E9451" t="s">
        <v>296</v>
      </c>
      <c r="F9451">
        <v>25</v>
      </c>
      <c r="G9451">
        <v>7.5726833333333303</v>
      </c>
    </row>
    <row r="9452" spans="1:7" x14ac:dyDescent="0.35">
      <c r="A9452" t="s">
        <v>847</v>
      </c>
      <c r="B9452" t="s">
        <v>691</v>
      </c>
      <c r="C9452" s="83">
        <v>46210</v>
      </c>
      <c r="D9452" t="s">
        <v>299</v>
      </c>
      <c r="E9452" t="s">
        <v>296</v>
      </c>
      <c r="F9452">
        <v>14</v>
      </c>
      <c r="G9452">
        <v>10.625016666666699</v>
      </c>
    </row>
    <row r="9453" spans="1:7" x14ac:dyDescent="0.35">
      <c r="A9453" t="s">
        <v>847</v>
      </c>
      <c r="B9453" t="s">
        <v>691</v>
      </c>
      <c r="C9453" s="83">
        <v>46210</v>
      </c>
      <c r="D9453" t="s">
        <v>301</v>
      </c>
      <c r="E9453" t="s">
        <v>296</v>
      </c>
      <c r="F9453">
        <v>56</v>
      </c>
      <c r="G9453">
        <v>34.3904</v>
      </c>
    </row>
    <row r="9454" spans="1:7" x14ac:dyDescent="0.35">
      <c r="A9454" t="s">
        <v>847</v>
      </c>
      <c r="B9454" t="s">
        <v>691</v>
      </c>
      <c r="C9454" s="83">
        <v>46210</v>
      </c>
      <c r="D9454" t="s">
        <v>303</v>
      </c>
      <c r="E9454" t="s">
        <v>302</v>
      </c>
      <c r="F9454">
        <v>9</v>
      </c>
      <c r="G9454">
        <v>2.3169166666666698</v>
      </c>
    </row>
    <row r="9455" spans="1:7" x14ac:dyDescent="0.35">
      <c r="A9455" t="s">
        <v>847</v>
      </c>
      <c r="B9455" t="s">
        <v>691</v>
      </c>
      <c r="C9455" s="83">
        <v>46210</v>
      </c>
      <c r="D9455" t="s">
        <v>310</v>
      </c>
      <c r="E9455" t="s">
        <v>323</v>
      </c>
      <c r="F9455">
        <v>5</v>
      </c>
      <c r="G9455">
        <v>4.0881333333333298</v>
      </c>
    </row>
    <row r="9456" spans="1:7" x14ac:dyDescent="0.35">
      <c r="A9456" t="s">
        <v>847</v>
      </c>
      <c r="B9456" t="s">
        <v>691</v>
      </c>
      <c r="C9456" s="83">
        <v>46210</v>
      </c>
      <c r="D9456" t="s">
        <v>310</v>
      </c>
      <c r="E9456" t="s">
        <v>311</v>
      </c>
      <c r="F9456">
        <v>3</v>
      </c>
      <c r="G9456">
        <v>2.5565000000000002</v>
      </c>
    </row>
    <row r="9457" spans="1:7" x14ac:dyDescent="0.35">
      <c r="A9457" t="s">
        <v>847</v>
      </c>
      <c r="B9457" t="s">
        <v>691</v>
      </c>
      <c r="C9457" s="83">
        <v>46210</v>
      </c>
      <c r="D9457" t="s">
        <v>310</v>
      </c>
      <c r="E9457" t="s">
        <v>337</v>
      </c>
      <c r="F9457">
        <v>2</v>
      </c>
      <c r="G9457">
        <v>0.48075000000000001</v>
      </c>
    </row>
    <row r="9458" spans="1:7" x14ac:dyDescent="0.35">
      <c r="A9458" t="s">
        <v>847</v>
      </c>
      <c r="B9458" t="s">
        <v>691</v>
      </c>
      <c r="C9458" s="83">
        <v>46210</v>
      </c>
      <c r="D9458" t="s">
        <v>313</v>
      </c>
      <c r="E9458" t="s">
        <v>311</v>
      </c>
      <c r="F9458">
        <v>14</v>
      </c>
      <c r="G9458">
        <v>23.224</v>
      </c>
    </row>
    <row r="9459" spans="1:7" x14ac:dyDescent="0.35">
      <c r="A9459" t="s">
        <v>847</v>
      </c>
      <c r="B9459" t="s">
        <v>691</v>
      </c>
      <c r="C9459" s="83">
        <v>46210</v>
      </c>
      <c r="D9459" t="s">
        <v>313</v>
      </c>
      <c r="E9459" t="s">
        <v>347</v>
      </c>
      <c r="F9459">
        <v>4</v>
      </c>
      <c r="G9459">
        <v>2.1872833333333301</v>
      </c>
    </row>
    <row r="9460" spans="1:7" x14ac:dyDescent="0.35">
      <c r="A9460" t="s">
        <v>847</v>
      </c>
      <c r="B9460" t="s">
        <v>691</v>
      </c>
      <c r="C9460" s="83">
        <v>46210</v>
      </c>
      <c r="D9460" t="s">
        <v>313</v>
      </c>
      <c r="E9460" t="s">
        <v>316</v>
      </c>
      <c r="F9460">
        <v>4</v>
      </c>
      <c r="G9460">
        <v>0.48809999999999998</v>
      </c>
    </row>
    <row r="9461" spans="1:7" x14ac:dyDescent="0.35">
      <c r="A9461" t="s">
        <v>847</v>
      </c>
      <c r="B9461" t="s">
        <v>691</v>
      </c>
      <c r="C9461" s="83">
        <v>46210</v>
      </c>
      <c r="D9461" t="s">
        <v>314</v>
      </c>
      <c r="E9461" t="s">
        <v>316</v>
      </c>
      <c r="F9461">
        <v>5</v>
      </c>
      <c r="G9461">
        <v>5.6135666666666699</v>
      </c>
    </row>
    <row r="9462" spans="1:7" x14ac:dyDescent="0.35">
      <c r="A9462" t="s">
        <v>847</v>
      </c>
      <c r="B9462" t="s">
        <v>691</v>
      </c>
      <c r="C9462" s="83">
        <v>46210</v>
      </c>
      <c r="D9462" t="s">
        <v>314</v>
      </c>
      <c r="E9462" t="s">
        <v>321</v>
      </c>
      <c r="F9462">
        <v>3</v>
      </c>
      <c r="G9462">
        <v>3.8294666666666699</v>
      </c>
    </row>
    <row r="9463" spans="1:7" x14ac:dyDescent="0.35">
      <c r="A9463" t="s">
        <v>847</v>
      </c>
      <c r="B9463" t="s">
        <v>691</v>
      </c>
      <c r="C9463" s="83">
        <v>46210</v>
      </c>
      <c r="D9463" t="s">
        <v>314</v>
      </c>
      <c r="E9463" t="s">
        <v>774</v>
      </c>
      <c r="F9463">
        <v>2</v>
      </c>
      <c r="G9463">
        <v>1.9302333333333299</v>
      </c>
    </row>
    <row r="9464" spans="1:7" x14ac:dyDescent="0.35">
      <c r="A9464" t="s">
        <v>847</v>
      </c>
      <c r="B9464" t="s">
        <v>691</v>
      </c>
      <c r="C9464" s="83">
        <v>46210</v>
      </c>
      <c r="D9464" t="s">
        <v>317</v>
      </c>
      <c r="E9464" t="s">
        <v>323</v>
      </c>
      <c r="F9464">
        <v>3</v>
      </c>
      <c r="G9464">
        <v>0.79190000000000005</v>
      </c>
    </row>
    <row r="9465" spans="1:7" x14ac:dyDescent="0.35">
      <c r="A9465" t="s">
        <v>847</v>
      </c>
      <c r="B9465" t="s">
        <v>691</v>
      </c>
      <c r="C9465" s="83">
        <v>46210</v>
      </c>
      <c r="D9465" t="s">
        <v>317</v>
      </c>
      <c r="E9465" t="s">
        <v>725</v>
      </c>
      <c r="F9465">
        <v>2</v>
      </c>
      <c r="G9465">
        <v>1.3686166666666699</v>
      </c>
    </row>
    <row r="9466" spans="1:7" x14ac:dyDescent="0.35">
      <c r="A9466" t="s">
        <v>847</v>
      </c>
      <c r="B9466" t="s">
        <v>691</v>
      </c>
      <c r="C9466" s="83">
        <v>46211</v>
      </c>
      <c r="D9466" t="s">
        <v>295</v>
      </c>
      <c r="E9466" t="s">
        <v>296</v>
      </c>
      <c r="F9466">
        <v>52</v>
      </c>
      <c r="G9466">
        <v>47.121616666666696</v>
      </c>
    </row>
    <row r="9467" spans="1:7" x14ac:dyDescent="0.35">
      <c r="A9467" t="s">
        <v>847</v>
      </c>
      <c r="B9467" t="s">
        <v>691</v>
      </c>
      <c r="C9467" s="83">
        <v>46211</v>
      </c>
      <c r="D9467" t="s">
        <v>299</v>
      </c>
      <c r="E9467" t="s">
        <v>296</v>
      </c>
      <c r="F9467">
        <v>30</v>
      </c>
      <c r="G9467">
        <v>18.546383333333299</v>
      </c>
    </row>
    <row r="9468" spans="1:7" x14ac:dyDescent="0.35">
      <c r="A9468" t="s">
        <v>847</v>
      </c>
      <c r="B9468" t="s">
        <v>691</v>
      </c>
      <c r="C9468" s="83">
        <v>46211</v>
      </c>
      <c r="D9468" t="s">
        <v>301</v>
      </c>
      <c r="E9468" t="s">
        <v>296</v>
      </c>
      <c r="F9468">
        <v>58</v>
      </c>
      <c r="G9468">
        <v>27.639133333333302</v>
      </c>
    </row>
    <row r="9469" spans="1:7" x14ac:dyDescent="0.35">
      <c r="A9469" t="s">
        <v>847</v>
      </c>
      <c r="B9469" t="s">
        <v>691</v>
      </c>
      <c r="C9469" s="83">
        <v>46211</v>
      </c>
      <c r="D9469" t="s">
        <v>305</v>
      </c>
      <c r="E9469" t="s">
        <v>344</v>
      </c>
      <c r="F9469">
        <v>16</v>
      </c>
      <c r="G9469">
        <v>16.477533333333302</v>
      </c>
    </row>
    <row r="9470" spans="1:7" x14ac:dyDescent="0.35">
      <c r="A9470" t="s">
        <v>847</v>
      </c>
      <c r="B9470" t="s">
        <v>691</v>
      </c>
      <c r="C9470" s="83">
        <v>46211</v>
      </c>
      <c r="D9470" t="s">
        <v>310</v>
      </c>
      <c r="E9470" t="s">
        <v>338</v>
      </c>
      <c r="F9470">
        <v>6</v>
      </c>
      <c r="G9470">
        <v>2.7279833333333299</v>
      </c>
    </row>
    <row r="9471" spans="1:7" x14ac:dyDescent="0.35">
      <c r="A9471" t="s">
        <v>847</v>
      </c>
      <c r="B9471" t="s">
        <v>691</v>
      </c>
      <c r="C9471" s="83">
        <v>46211</v>
      </c>
      <c r="D9471" t="s">
        <v>310</v>
      </c>
      <c r="E9471" t="s">
        <v>333</v>
      </c>
      <c r="F9471">
        <v>4</v>
      </c>
      <c r="G9471">
        <v>2.9892833333333302</v>
      </c>
    </row>
    <row r="9472" spans="1:7" x14ac:dyDescent="0.35">
      <c r="A9472" t="s">
        <v>847</v>
      </c>
      <c r="B9472" t="s">
        <v>691</v>
      </c>
      <c r="C9472" s="83">
        <v>46211</v>
      </c>
      <c r="D9472" t="s">
        <v>310</v>
      </c>
      <c r="E9472" t="s">
        <v>321</v>
      </c>
      <c r="F9472">
        <v>3</v>
      </c>
      <c r="G9472">
        <v>2.4378333333333302</v>
      </c>
    </row>
    <row r="9473" spans="1:7" x14ac:dyDescent="0.35">
      <c r="A9473" t="s">
        <v>847</v>
      </c>
      <c r="B9473" t="s">
        <v>691</v>
      </c>
      <c r="C9473" s="83">
        <v>46211</v>
      </c>
      <c r="D9473" t="s">
        <v>313</v>
      </c>
      <c r="E9473" t="s">
        <v>311</v>
      </c>
      <c r="F9473">
        <v>4</v>
      </c>
      <c r="G9473">
        <v>1.87991666666667</v>
      </c>
    </row>
    <row r="9474" spans="1:7" x14ac:dyDescent="0.35">
      <c r="A9474" t="s">
        <v>847</v>
      </c>
      <c r="B9474" t="s">
        <v>691</v>
      </c>
      <c r="C9474" s="83">
        <v>46211</v>
      </c>
      <c r="D9474" t="s">
        <v>313</v>
      </c>
      <c r="E9474" t="s">
        <v>347</v>
      </c>
      <c r="F9474">
        <v>2</v>
      </c>
      <c r="G9474">
        <v>7.4950000000000003E-2</v>
      </c>
    </row>
    <row r="9475" spans="1:7" x14ac:dyDescent="0.35">
      <c r="A9475" t="s">
        <v>847</v>
      </c>
      <c r="B9475" t="s">
        <v>691</v>
      </c>
      <c r="C9475" s="83">
        <v>46211</v>
      </c>
      <c r="D9475" t="s">
        <v>313</v>
      </c>
      <c r="E9475" t="s">
        <v>734</v>
      </c>
      <c r="F9475">
        <v>2</v>
      </c>
      <c r="G9475">
        <v>0.54626666666666701</v>
      </c>
    </row>
    <row r="9476" spans="1:7" x14ac:dyDescent="0.35">
      <c r="A9476" t="s">
        <v>847</v>
      </c>
      <c r="B9476" t="s">
        <v>691</v>
      </c>
      <c r="C9476" s="83">
        <v>46211</v>
      </c>
      <c r="D9476" t="s">
        <v>314</v>
      </c>
      <c r="E9476" t="s">
        <v>126</v>
      </c>
      <c r="F9476">
        <v>4</v>
      </c>
      <c r="G9476">
        <v>4.3948166666666699</v>
      </c>
    </row>
    <row r="9477" spans="1:7" x14ac:dyDescent="0.35">
      <c r="A9477" t="s">
        <v>847</v>
      </c>
      <c r="B9477" t="s">
        <v>691</v>
      </c>
      <c r="C9477" s="83">
        <v>46211</v>
      </c>
      <c r="D9477" t="s">
        <v>314</v>
      </c>
      <c r="E9477" t="s">
        <v>347</v>
      </c>
      <c r="F9477">
        <v>3</v>
      </c>
      <c r="G9477">
        <v>0.912283333333333</v>
      </c>
    </row>
    <row r="9478" spans="1:7" x14ac:dyDescent="0.35">
      <c r="A9478" t="s">
        <v>847</v>
      </c>
      <c r="B9478" t="s">
        <v>691</v>
      </c>
      <c r="C9478" s="83">
        <v>46211</v>
      </c>
      <c r="D9478" t="s">
        <v>314</v>
      </c>
      <c r="E9478" t="s">
        <v>322</v>
      </c>
      <c r="F9478">
        <v>2</v>
      </c>
      <c r="G9478">
        <v>15.08615</v>
      </c>
    </row>
    <row r="9479" spans="1:7" x14ac:dyDescent="0.35">
      <c r="A9479" t="s">
        <v>847</v>
      </c>
      <c r="B9479" t="s">
        <v>691</v>
      </c>
      <c r="C9479" s="83">
        <v>46211</v>
      </c>
      <c r="D9479" t="s">
        <v>317</v>
      </c>
      <c r="E9479" t="s">
        <v>825</v>
      </c>
      <c r="F9479">
        <v>2</v>
      </c>
      <c r="G9479">
        <v>2.8236166666666702</v>
      </c>
    </row>
    <row r="9480" spans="1:7" x14ac:dyDescent="0.35">
      <c r="A9480" t="s">
        <v>847</v>
      </c>
      <c r="B9480" t="s">
        <v>691</v>
      </c>
      <c r="C9480" s="83">
        <v>46211</v>
      </c>
      <c r="D9480" t="s">
        <v>317</v>
      </c>
      <c r="E9480" t="s">
        <v>319</v>
      </c>
      <c r="F9480">
        <v>2</v>
      </c>
      <c r="G9480">
        <v>0.18558333333333299</v>
      </c>
    </row>
    <row r="9481" spans="1:7" x14ac:dyDescent="0.35">
      <c r="A9481" t="s">
        <v>847</v>
      </c>
      <c r="B9481" t="s">
        <v>691</v>
      </c>
      <c r="C9481" s="83">
        <v>46212</v>
      </c>
      <c r="D9481" t="s">
        <v>295</v>
      </c>
      <c r="E9481" t="s">
        <v>296</v>
      </c>
      <c r="F9481">
        <v>49</v>
      </c>
      <c r="G9481">
        <v>21.2013833333333</v>
      </c>
    </row>
    <row r="9482" spans="1:7" x14ac:dyDescent="0.35">
      <c r="A9482" t="s">
        <v>847</v>
      </c>
      <c r="B9482" t="s">
        <v>691</v>
      </c>
      <c r="C9482" s="83">
        <v>46212</v>
      </c>
      <c r="D9482" t="s">
        <v>299</v>
      </c>
      <c r="E9482" t="s">
        <v>296</v>
      </c>
      <c r="F9482">
        <v>27</v>
      </c>
      <c r="G9482">
        <v>22.4436</v>
      </c>
    </row>
    <row r="9483" spans="1:7" x14ac:dyDescent="0.35">
      <c r="A9483" t="s">
        <v>847</v>
      </c>
      <c r="B9483" t="s">
        <v>691</v>
      </c>
      <c r="C9483" s="83">
        <v>46212</v>
      </c>
      <c r="D9483" t="s">
        <v>301</v>
      </c>
      <c r="E9483" t="s">
        <v>296</v>
      </c>
      <c r="F9483">
        <v>32</v>
      </c>
      <c r="G9483">
        <v>15.8411333333333</v>
      </c>
    </row>
    <row r="9484" spans="1:7" x14ac:dyDescent="0.35">
      <c r="A9484" t="s">
        <v>847</v>
      </c>
      <c r="B9484" t="s">
        <v>691</v>
      </c>
      <c r="C9484" s="83">
        <v>46212</v>
      </c>
      <c r="D9484" t="s">
        <v>303</v>
      </c>
      <c r="E9484" t="s">
        <v>302</v>
      </c>
      <c r="F9484">
        <v>7</v>
      </c>
      <c r="G9484">
        <v>2.3383500000000002</v>
      </c>
    </row>
    <row r="9485" spans="1:7" x14ac:dyDescent="0.35">
      <c r="A9485" t="s">
        <v>847</v>
      </c>
      <c r="B9485" t="s">
        <v>691</v>
      </c>
      <c r="C9485" s="83">
        <v>46212</v>
      </c>
      <c r="D9485" t="s">
        <v>310</v>
      </c>
      <c r="E9485" t="s">
        <v>321</v>
      </c>
      <c r="F9485">
        <v>3</v>
      </c>
      <c r="G9485">
        <v>0.60719999999999996</v>
      </c>
    </row>
    <row r="9486" spans="1:7" x14ac:dyDescent="0.35">
      <c r="A9486" t="s">
        <v>847</v>
      </c>
      <c r="B9486" t="s">
        <v>691</v>
      </c>
      <c r="C9486" s="83">
        <v>46212</v>
      </c>
      <c r="D9486" t="s">
        <v>310</v>
      </c>
      <c r="E9486" t="s">
        <v>311</v>
      </c>
      <c r="F9486">
        <v>3</v>
      </c>
      <c r="G9486">
        <v>1.3168166666666701</v>
      </c>
    </row>
    <row r="9487" spans="1:7" x14ac:dyDescent="0.35">
      <c r="A9487" t="s">
        <v>847</v>
      </c>
      <c r="B9487" t="s">
        <v>691</v>
      </c>
      <c r="C9487" s="83">
        <v>46212</v>
      </c>
      <c r="D9487" t="s">
        <v>310</v>
      </c>
      <c r="E9487" t="s">
        <v>316</v>
      </c>
      <c r="F9487">
        <v>3</v>
      </c>
      <c r="G9487">
        <v>0.57181666666666697</v>
      </c>
    </row>
    <row r="9488" spans="1:7" x14ac:dyDescent="0.35">
      <c r="A9488" t="s">
        <v>847</v>
      </c>
      <c r="B9488" t="s">
        <v>691</v>
      </c>
      <c r="C9488" s="83">
        <v>46212</v>
      </c>
      <c r="D9488" t="s">
        <v>313</v>
      </c>
      <c r="E9488" t="s">
        <v>126</v>
      </c>
      <c r="F9488">
        <v>8</v>
      </c>
      <c r="G9488">
        <v>15.5099</v>
      </c>
    </row>
    <row r="9489" spans="1:7" x14ac:dyDescent="0.35">
      <c r="A9489" t="s">
        <v>847</v>
      </c>
      <c r="B9489" t="s">
        <v>691</v>
      </c>
      <c r="C9489" s="83">
        <v>46212</v>
      </c>
      <c r="D9489" t="s">
        <v>313</v>
      </c>
      <c r="E9489" t="s">
        <v>311</v>
      </c>
      <c r="F9489">
        <v>8</v>
      </c>
      <c r="G9489">
        <v>5.3693166666666698</v>
      </c>
    </row>
    <row r="9490" spans="1:7" x14ac:dyDescent="0.35">
      <c r="A9490" t="s">
        <v>847</v>
      </c>
      <c r="B9490" t="s">
        <v>691</v>
      </c>
      <c r="C9490" s="83">
        <v>46212</v>
      </c>
      <c r="D9490" t="s">
        <v>313</v>
      </c>
      <c r="E9490" t="s">
        <v>312</v>
      </c>
      <c r="F9490">
        <v>3</v>
      </c>
      <c r="G9490">
        <v>0.59035000000000004</v>
      </c>
    </row>
    <row r="9491" spans="1:7" x14ac:dyDescent="0.35">
      <c r="A9491" t="s">
        <v>847</v>
      </c>
      <c r="B9491" t="s">
        <v>691</v>
      </c>
      <c r="C9491" s="83">
        <v>46212</v>
      </c>
      <c r="D9491" t="s">
        <v>314</v>
      </c>
      <c r="E9491" t="s">
        <v>321</v>
      </c>
      <c r="F9491">
        <v>6</v>
      </c>
      <c r="G9491">
        <v>3.7080833333333301</v>
      </c>
    </row>
    <row r="9492" spans="1:7" x14ac:dyDescent="0.35">
      <c r="A9492" t="s">
        <v>847</v>
      </c>
      <c r="B9492" t="s">
        <v>691</v>
      </c>
      <c r="C9492" s="83">
        <v>46212</v>
      </c>
      <c r="D9492" t="s">
        <v>314</v>
      </c>
      <c r="E9492" t="s">
        <v>347</v>
      </c>
      <c r="F9492">
        <v>5</v>
      </c>
      <c r="G9492">
        <v>1.1052</v>
      </c>
    </row>
    <row r="9493" spans="1:7" x14ac:dyDescent="0.35">
      <c r="A9493" t="s">
        <v>847</v>
      </c>
      <c r="B9493" t="s">
        <v>691</v>
      </c>
      <c r="C9493" s="83">
        <v>46212</v>
      </c>
      <c r="D9493" t="s">
        <v>314</v>
      </c>
      <c r="E9493" t="s">
        <v>316</v>
      </c>
      <c r="F9493">
        <v>3</v>
      </c>
      <c r="G9493">
        <v>4.2649499999999998</v>
      </c>
    </row>
    <row r="9494" spans="1:7" x14ac:dyDescent="0.35">
      <c r="A9494" t="s">
        <v>847</v>
      </c>
      <c r="B9494" t="s">
        <v>691</v>
      </c>
      <c r="C9494" s="83">
        <v>46212</v>
      </c>
      <c r="D9494" t="s">
        <v>317</v>
      </c>
      <c r="E9494" t="s">
        <v>323</v>
      </c>
      <c r="F9494">
        <v>4</v>
      </c>
      <c r="G9494">
        <v>4.7209833333333302</v>
      </c>
    </row>
    <row r="9495" spans="1:7" x14ac:dyDescent="0.35">
      <c r="A9495" t="s">
        <v>847</v>
      </c>
      <c r="B9495" t="s">
        <v>691</v>
      </c>
      <c r="C9495" s="83">
        <v>46212</v>
      </c>
      <c r="D9495" t="s">
        <v>317</v>
      </c>
      <c r="E9495" t="s">
        <v>319</v>
      </c>
      <c r="F9495">
        <v>3</v>
      </c>
      <c r="G9495">
        <v>1.52748333333333</v>
      </c>
    </row>
    <row r="9496" spans="1:7" x14ac:dyDescent="0.35">
      <c r="A9496" t="s">
        <v>847</v>
      </c>
      <c r="B9496" t="s">
        <v>691</v>
      </c>
      <c r="C9496" s="83">
        <v>46212</v>
      </c>
      <c r="D9496" t="s">
        <v>317</v>
      </c>
      <c r="E9496" t="s">
        <v>774</v>
      </c>
      <c r="F9496">
        <v>3</v>
      </c>
      <c r="G9496">
        <v>2.4660833333333301</v>
      </c>
    </row>
    <row r="9497" spans="1:7" x14ac:dyDescent="0.35">
      <c r="A9497" t="s">
        <v>847</v>
      </c>
      <c r="B9497" t="s">
        <v>691</v>
      </c>
      <c r="C9497" s="83">
        <v>46213</v>
      </c>
      <c r="D9497" t="s">
        <v>295</v>
      </c>
      <c r="E9497" t="s">
        <v>296</v>
      </c>
      <c r="F9497">
        <v>73</v>
      </c>
      <c r="G9497">
        <v>30.235749999999999</v>
      </c>
    </row>
    <row r="9498" spans="1:7" x14ac:dyDescent="0.35">
      <c r="A9498" t="s">
        <v>847</v>
      </c>
      <c r="B9498" t="s">
        <v>691</v>
      </c>
      <c r="C9498" s="83">
        <v>46213</v>
      </c>
      <c r="D9498" t="s">
        <v>299</v>
      </c>
      <c r="E9498" t="s">
        <v>296</v>
      </c>
      <c r="F9498">
        <v>29</v>
      </c>
      <c r="G9498">
        <v>20.5442</v>
      </c>
    </row>
    <row r="9499" spans="1:7" x14ac:dyDescent="0.35">
      <c r="A9499" t="s">
        <v>847</v>
      </c>
      <c r="B9499" t="s">
        <v>691</v>
      </c>
      <c r="C9499" s="83">
        <v>46213</v>
      </c>
      <c r="D9499" t="s">
        <v>301</v>
      </c>
      <c r="E9499" t="s">
        <v>296</v>
      </c>
      <c r="F9499">
        <v>22</v>
      </c>
      <c r="G9499">
        <v>8.1282999999999994</v>
      </c>
    </row>
    <row r="9500" spans="1:7" x14ac:dyDescent="0.35">
      <c r="A9500" t="s">
        <v>847</v>
      </c>
      <c r="B9500" t="s">
        <v>691</v>
      </c>
      <c r="C9500" s="83">
        <v>46213</v>
      </c>
      <c r="D9500" t="s">
        <v>310</v>
      </c>
      <c r="E9500" t="s">
        <v>316</v>
      </c>
      <c r="F9500">
        <v>5</v>
      </c>
      <c r="G9500">
        <v>1.9039333333333299</v>
      </c>
    </row>
    <row r="9501" spans="1:7" x14ac:dyDescent="0.35">
      <c r="A9501" t="s">
        <v>847</v>
      </c>
      <c r="B9501" t="s">
        <v>691</v>
      </c>
      <c r="C9501" s="83">
        <v>46213</v>
      </c>
      <c r="D9501" t="s">
        <v>310</v>
      </c>
      <c r="E9501" t="s">
        <v>333</v>
      </c>
      <c r="F9501">
        <v>4</v>
      </c>
      <c r="G9501">
        <v>80.999983333333304</v>
      </c>
    </row>
    <row r="9502" spans="1:7" x14ac:dyDescent="0.35">
      <c r="A9502" t="s">
        <v>847</v>
      </c>
      <c r="B9502" t="s">
        <v>691</v>
      </c>
      <c r="C9502" s="83">
        <v>46213</v>
      </c>
      <c r="D9502" t="s">
        <v>310</v>
      </c>
      <c r="E9502" t="s">
        <v>311</v>
      </c>
      <c r="F9502">
        <v>3</v>
      </c>
      <c r="G9502">
        <v>1.1711499999999999</v>
      </c>
    </row>
    <row r="9503" spans="1:7" x14ac:dyDescent="0.35">
      <c r="A9503" t="s">
        <v>847</v>
      </c>
      <c r="B9503" t="s">
        <v>691</v>
      </c>
      <c r="C9503" s="83">
        <v>46213</v>
      </c>
      <c r="D9503" t="s">
        <v>313</v>
      </c>
      <c r="E9503" t="s">
        <v>311</v>
      </c>
      <c r="F9503">
        <v>4</v>
      </c>
      <c r="G9503">
        <v>2.6920666666666699</v>
      </c>
    </row>
    <row r="9504" spans="1:7" x14ac:dyDescent="0.35">
      <c r="A9504" t="s">
        <v>847</v>
      </c>
      <c r="B9504" t="s">
        <v>691</v>
      </c>
      <c r="C9504" s="83">
        <v>46213</v>
      </c>
      <c r="D9504" t="s">
        <v>313</v>
      </c>
      <c r="E9504" t="s">
        <v>725</v>
      </c>
      <c r="F9504">
        <v>3</v>
      </c>
      <c r="G9504">
        <v>1.4668666666666701</v>
      </c>
    </row>
    <row r="9505" spans="1:7" x14ac:dyDescent="0.35">
      <c r="A9505" t="s">
        <v>847</v>
      </c>
      <c r="B9505" t="s">
        <v>691</v>
      </c>
      <c r="C9505" s="83">
        <v>46213</v>
      </c>
      <c r="D9505" t="s">
        <v>313</v>
      </c>
      <c r="E9505" t="s">
        <v>827</v>
      </c>
      <c r="F9505">
        <v>3</v>
      </c>
      <c r="G9505">
        <v>3.1288</v>
      </c>
    </row>
    <row r="9506" spans="1:7" x14ac:dyDescent="0.35">
      <c r="A9506" t="s">
        <v>847</v>
      </c>
      <c r="B9506" t="s">
        <v>691</v>
      </c>
      <c r="C9506" s="83">
        <v>46213</v>
      </c>
      <c r="D9506" t="s">
        <v>314</v>
      </c>
      <c r="E9506" t="s">
        <v>126</v>
      </c>
      <c r="F9506">
        <v>3</v>
      </c>
      <c r="G9506">
        <v>5.0743</v>
      </c>
    </row>
    <row r="9507" spans="1:7" x14ac:dyDescent="0.35">
      <c r="A9507" t="s">
        <v>847</v>
      </c>
      <c r="B9507" t="s">
        <v>691</v>
      </c>
      <c r="C9507" s="83">
        <v>46213</v>
      </c>
      <c r="D9507" t="s">
        <v>314</v>
      </c>
      <c r="E9507" t="s">
        <v>347</v>
      </c>
      <c r="F9507">
        <v>2</v>
      </c>
      <c r="G9507">
        <v>0.26301666666666701</v>
      </c>
    </row>
    <row r="9508" spans="1:7" x14ac:dyDescent="0.35">
      <c r="A9508" t="s">
        <v>847</v>
      </c>
      <c r="B9508" t="s">
        <v>691</v>
      </c>
      <c r="C9508" s="83">
        <v>46213</v>
      </c>
      <c r="D9508" t="s">
        <v>314</v>
      </c>
      <c r="E9508" t="s">
        <v>792</v>
      </c>
      <c r="F9508">
        <v>2</v>
      </c>
      <c r="G9508">
        <v>0.41248333333333298</v>
      </c>
    </row>
    <row r="9509" spans="1:7" x14ac:dyDescent="0.35">
      <c r="A9509" t="s">
        <v>847</v>
      </c>
      <c r="B9509" t="s">
        <v>691</v>
      </c>
      <c r="C9509" s="83">
        <v>46213</v>
      </c>
      <c r="D9509" t="s">
        <v>317</v>
      </c>
      <c r="E9509" t="s">
        <v>318</v>
      </c>
      <c r="F9509">
        <v>2</v>
      </c>
      <c r="G9509">
        <v>1.25671666666667</v>
      </c>
    </row>
    <row r="9510" spans="1:7" x14ac:dyDescent="0.35">
      <c r="A9510" t="s">
        <v>847</v>
      </c>
      <c r="B9510" t="s">
        <v>691</v>
      </c>
      <c r="C9510" s="83">
        <v>46213</v>
      </c>
      <c r="D9510" t="s">
        <v>317</v>
      </c>
      <c r="E9510" t="s">
        <v>319</v>
      </c>
      <c r="F9510">
        <v>2</v>
      </c>
      <c r="G9510">
        <v>2.33436666666667</v>
      </c>
    </row>
    <row r="9511" spans="1:7" x14ac:dyDescent="0.35">
      <c r="A9511" t="s">
        <v>847</v>
      </c>
      <c r="B9511" t="s">
        <v>691</v>
      </c>
      <c r="C9511" s="83">
        <v>46214</v>
      </c>
      <c r="D9511" t="s">
        <v>295</v>
      </c>
      <c r="E9511" t="s">
        <v>296</v>
      </c>
      <c r="F9511">
        <v>56</v>
      </c>
      <c r="G9511">
        <v>31.351116666666702</v>
      </c>
    </row>
    <row r="9512" spans="1:7" x14ac:dyDescent="0.35">
      <c r="A9512" t="s">
        <v>847</v>
      </c>
      <c r="B9512" t="s">
        <v>691</v>
      </c>
      <c r="C9512" s="83">
        <v>46214</v>
      </c>
      <c r="D9512" t="s">
        <v>299</v>
      </c>
      <c r="E9512" t="s">
        <v>296</v>
      </c>
      <c r="F9512">
        <v>28</v>
      </c>
      <c r="G9512">
        <v>19.281283333333299</v>
      </c>
    </row>
    <row r="9513" spans="1:7" x14ac:dyDescent="0.35">
      <c r="A9513" t="s">
        <v>847</v>
      </c>
      <c r="B9513" t="s">
        <v>691</v>
      </c>
      <c r="C9513" s="83">
        <v>46214</v>
      </c>
      <c r="D9513" t="s">
        <v>299</v>
      </c>
      <c r="E9513" t="s">
        <v>637</v>
      </c>
      <c r="F9513">
        <v>19</v>
      </c>
      <c r="G9513">
        <v>14.459300000000001</v>
      </c>
    </row>
    <row r="9514" spans="1:7" x14ac:dyDescent="0.35">
      <c r="A9514" t="s">
        <v>847</v>
      </c>
      <c r="B9514" t="s">
        <v>691</v>
      </c>
      <c r="C9514" s="83">
        <v>46214</v>
      </c>
      <c r="D9514" t="s">
        <v>301</v>
      </c>
      <c r="E9514" t="s">
        <v>296</v>
      </c>
      <c r="F9514">
        <v>26</v>
      </c>
      <c r="G9514">
        <v>12.873950000000001</v>
      </c>
    </row>
    <row r="9515" spans="1:7" x14ac:dyDescent="0.35">
      <c r="A9515" t="s">
        <v>847</v>
      </c>
      <c r="B9515" t="s">
        <v>691</v>
      </c>
      <c r="C9515" s="83">
        <v>46214</v>
      </c>
      <c r="D9515" t="s">
        <v>301</v>
      </c>
      <c r="E9515" t="s">
        <v>302</v>
      </c>
      <c r="F9515">
        <v>12</v>
      </c>
      <c r="G9515">
        <v>4.8449833333333299</v>
      </c>
    </row>
    <row r="9516" spans="1:7" x14ac:dyDescent="0.35">
      <c r="A9516" t="s">
        <v>847</v>
      </c>
      <c r="B9516" t="s">
        <v>691</v>
      </c>
      <c r="C9516" s="83">
        <v>46214</v>
      </c>
      <c r="D9516" t="s">
        <v>309</v>
      </c>
      <c r="E9516" t="s">
        <v>344</v>
      </c>
      <c r="F9516">
        <v>17</v>
      </c>
      <c r="G9516">
        <v>12.5872166666667</v>
      </c>
    </row>
    <row r="9517" spans="1:7" x14ac:dyDescent="0.35">
      <c r="A9517" t="s">
        <v>847</v>
      </c>
      <c r="B9517" t="s">
        <v>691</v>
      </c>
      <c r="C9517" s="83">
        <v>46214</v>
      </c>
      <c r="D9517" t="s">
        <v>310</v>
      </c>
      <c r="E9517" t="s">
        <v>311</v>
      </c>
      <c r="F9517">
        <v>11</v>
      </c>
      <c r="G9517">
        <v>7.5061</v>
      </c>
    </row>
    <row r="9518" spans="1:7" x14ac:dyDescent="0.35">
      <c r="A9518" t="s">
        <v>847</v>
      </c>
      <c r="B9518" t="s">
        <v>691</v>
      </c>
      <c r="C9518" s="83">
        <v>46214</v>
      </c>
      <c r="D9518" t="s">
        <v>310</v>
      </c>
      <c r="E9518" t="s">
        <v>640</v>
      </c>
      <c r="F9518">
        <v>4</v>
      </c>
      <c r="G9518">
        <v>0.91716666666666702</v>
      </c>
    </row>
    <row r="9519" spans="1:7" x14ac:dyDescent="0.35">
      <c r="A9519" t="s">
        <v>847</v>
      </c>
      <c r="B9519" t="s">
        <v>694</v>
      </c>
      <c r="C9519" s="83"/>
      <c r="F9519">
        <v>142086</v>
      </c>
      <c r="G9519">
        <v>214923.184333982</v>
      </c>
    </row>
    <row r="9520" spans="1:7" x14ac:dyDescent="0.35">
      <c r="A9520" t="s">
        <v>847</v>
      </c>
      <c r="B9520" t="s">
        <v>691</v>
      </c>
      <c r="C9520" s="83">
        <v>46214</v>
      </c>
      <c r="D9520" t="s">
        <v>310</v>
      </c>
      <c r="E9520" t="s">
        <v>312</v>
      </c>
      <c r="F9520">
        <v>3</v>
      </c>
      <c r="G9520">
        <v>0.49753333333333299</v>
      </c>
    </row>
    <row r="9521" spans="1:7" x14ac:dyDescent="0.35">
      <c r="A9521" t="s">
        <v>847</v>
      </c>
      <c r="B9521" t="s">
        <v>691</v>
      </c>
      <c r="C9521" s="83">
        <v>46214</v>
      </c>
      <c r="D9521" t="s">
        <v>313</v>
      </c>
      <c r="E9521" t="s">
        <v>311</v>
      </c>
      <c r="F9521">
        <v>42</v>
      </c>
      <c r="G9521">
        <v>34.381966666666699</v>
      </c>
    </row>
    <row r="9522" spans="1:7" x14ac:dyDescent="0.35">
      <c r="A9522" t="s">
        <v>847</v>
      </c>
      <c r="B9522" t="s">
        <v>691</v>
      </c>
      <c r="C9522" s="83">
        <v>46214</v>
      </c>
      <c r="D9522" t="s">
        <v>313</v>
      </c>
      <c r="E9522" t="s">
        <v>640</v>
      </c>
      <c r="F9522">
        <v>8</v>
      </c>
      <c r="G9522">
        <v>26.14715</v>
      </c>
    </row>
    <row r="9523" spans="1:7" x14ac:dyDescent="0.35">
      <c r="A9523" t="s">
        <v>847</v>
      </c>
      <c r="B9523" t="s">
        <v>691</v>
      </c>
      <c r="C9523" s="83">
        <v>46214</v>
      </c>
      <c r="D9523" t="s">
        <v>313</v>
      </c>
      <c r="E9523" t="s">
        <v>126</v>
      </c>
      <c r="F9523">
        <v>6</v>
      </c>
      <c r="G9523">
        <v>14.7593666666667</v>
      </c>
    </row>
    <row r="9524" spans="1:7" x14ac:dyDescent="0.35">
      <c r="A9524" t="s">
        <v>847</v>
      </c>
      <c r="B9524" t="s">
        <v>691</v>
      </c>
      <c r="C9524" s="83">
        <v>46214</v>
      </c>
      <c r="D9524" t="s">
        <v>314</v>
      </c>
      <c r="E9524" t="s">
        <v>316</v>
      </c>
      <c r="F9524">
        <v>6</v>
      </c>
      <c r="G9524">
        <v>2.2049666666666701</v>
      </c>
    </row>
    <row r="9525" spans="1:7" x14ac:dyDescent="0.35">
      <c r="A9525" t="s">
        <v>847</v>
      </c>
      <c r="B9525" t="s">
        <v>691</v>
      </c>
      <c r="C9525" s="83">
        <v>46214</v>
      </c>
      <c r="D9525" t="s">
        <v>314</v>
      </c>
      <c r="E9525" t="s">
        <v>321</v>
      </c>
      <c r="F9525">
        <v>4</v>
      </c>
      <c r="G9525">
        <v>2.4198833333333298</v>
      </c>
    </row>
    <row r="9526" spans="1:7" x14ac:dyDescent="0.35">
      <c r="A9526" t="s">
        <v>847</v>
      </c>
      <c r="B9526" t="s">
        <v>691</v>
      </c>
      <c r="C9526" s="83">
        <v>46214</v>
      </c>
      <c r="D9526" t="s">
        <v>314</v>
      </c>
      <c r="E9526" t="s">
        <v>319</v>
      </c>
      <c r="F9526">
        <v>3</v>
      </c>
      <c r="G9526">
        <v>4.9096500000000001</v>
      </c>
    </row>
    <row r="9527" spans="1:7" x14ac:dyDescent="0.35">
      <c r="A9527" t="s">
        <v>847</v>
      </c>
      <c r="B9527" t="s">
        <v>691</v>
      </c>
      <c r="C9527" s="83">
        <v>46214</v>
      </c>
      <c r="D9527" t="s">
        <v>317</v>
      </c>
      <c r="E9527" t="s">
        <v>772</v>
      </c>
      <c r="F9527">
        <v>2</v>
      </c>
      <c r="G9527">
        <v>0.45608333333333301</v>
      </c>
    </row>
    <row r="9528" spans="1:7" x14ac:dyDescent="0.35">
      <c r="A9528" t="s">
        <v>847</v>
      </c>
      <c r="B9528" t="s">
        <v>691</v>
      </c>
      <c r="C9528" s="83">
        <v>46214</v>
      </c>
      <c r="D9528" t="s">
        <v>317</v>
      </c>
      <c r="E9528" t="s">
        <v>319</v>
      </c>
      <c r="F9528">
        <v>2</v>
      </c>
      <c r="G9528">
        <v>3.4218999999999999</v>
      </c>
    </row>
    <row r="9529" spans="1:7" x14ac:dyDescent="0.35">
      <c r="A9529" t="s">
        <v>847</v>
      </c>
      <c r="B9529" t="s">
        <v>691</v>
      </c>
      <c r="C9529" s="83">
        <v>46214</v>
      </c>
      <c r="D9529" t="s">
        <v>317</v>
      </c>
      <c r="E9529" t="s">
        <v>322</v>
      </c>
      <c r="F9529">
        <v>2</v>
      </c>
      <c r="G9529">
        <v>0.22825000000000001</v>
      </c>
    </row>
    <row r="9530" spans="1:7" x14ac:dyDescent="0.35">
      <c r="A9530" t="s">
        <v>847</v>
      </c>
      <c r="B9530" t="s">
        <v>691</v>
      </c>
      <c r="C9530" s="83">
        <v>46215</v>
      </c>
      <c r="D9530" t="s">
        <v>295</v>
      </c>
      <c r="E9530" t="s">
        <v>296</v>
      </c>
      <c r="F9530">
        <v>60</v>
      </c>
      <c r="G9530">
        <v>34.407200000000003</v>
      </c>
    </row>
    <row r="9531" spans="1:7" x14ac:dyDescent="0.35">
      <c r="A9531" t="s">
        <v>847</v>
      </c>
      <c r="B9531" t="s">
        <v>691</v>
      </c>
      <c r="C9531" s="83">
        <v>46215</v>
      </c>
      <c r="D9531" t="s">
        <v>299</v>
      </c>
      <c r="E9531" t="s">
        <v>296</v>
      </c>
      <c r="F9531">
        <v>31</v>
      </c>
      <c r="G9531">
        <v>12.683683333333301</v>
      </c>
    </row>
    <row r="9532" spans="1:7" x14ac:dyDescent="0.35">
      <c r="A9532" t="s">
        <v>847</v>
      </c>
      <c r="B9532" t="s">
        <v>691</v>
      </c>
      <c r="C9532" s="83">
        <v>46215</v>
      </c>
      <c r="D9532" t="s">
        <v>301</v>
      </c>
      <c r="E9532" t="s">
        <v>296</v>
      </c>
      <c r="F9532">
        <v>28</v>
      </c>
      <c r="G9532">
        <v>14.5261</v>
      </c>
    </row>
    <row r="9533" spans="1:7" x14ac:dyDescent="0.35">
      <c r="A9533" t="s">
        <v>847</v>
      </c>
      <c r="B9533" t="s">
        <v>691</v>
      </c>
      <c r="C9533" s="83">
        <v>46215</v>
      </c>
      <c r="D9533" t="s">
        <v>310</v>
      </c>
      <c r="E9533" t="s">
        <v>311</v>
      </c>
      <c r="F9533">
        <v>19</v>
      </c>
      <c r="G9533">
        <v>13.1481666666667</v>
      </c>
    </row>
    <row r="9534" spans="1:7" x14ac:dyDescent="0.35">
      <c r="A9534" t="s">
        <v>847</v>
      </c>
      <c r="B9534" t="s">
        <v>691</v>
      </c>
      <c r="C9534" s="83">
        <v>46215</v>
      </c>
      <c r="D9534" t="s">
        <v>310</v>
      </c>
      <c r="E9534" t="s">
        <v>640</v>
      </c>
      <c r="F9534">
        <v>6</v>
      </c>
      <c r="G9534">
        <v>8.3537833333333307</v>
      </c>
    </row>
    <row r="9535" spans="1:7" x14ac:dyDescent="0.35">
      <c r="A9535" t="s">
        <v>847</v>
      </c>
      <c r="B9535" t="s">
        <v>691</v>
      </c>
      <c r="C9535" s="83">
        <v>46215</v>
      </c>
      <c r="D9535" t="s">
        <v>310</v>
      </c>
      <c r="E9535" t="s">
        <v>338</v>
      </c>
      <c r="F9535">
        <v>5</v>
      </c>
      <c r="G9535">
        <v>2.1872166666666701</v>
      </c>
    </row>
    <row r="9536" spans="1:7" x14ac:dyDescent="0.35">
      <c r="A9536" t="s">
        <v>847</v>
      </c>
      <c r="B9536" t="s">
        <v>691</v>
      </c>
      <c r="C9536" s="83">
        <v>46215</v>
      </c>
      <c r="D9536" t="s">
        <v>313</v>
      </c>
      <c r="E9536" t="s">
        <v>311</v>
      </c>
      <c r="F9536">
        <v>12</v>
      </c>
      <c r="G9536">
        <v>6.2701000000000002</v>
      </c>
    </row>
    <row r="9537" spans="1:7" x14ac:dyDescent="0.35">
      <c r="A9537" t="s">
        <v>847</v>
      </c>
      <c r="B9537" t="s">
        <v>691</v>
      </c>
      <c r="C9537" s="83">
        <v>46215</v>
      </c>
      <c r="D9537" t="s">
        <v>313</v>
      </c>
      <c r="E9537" t="s">
        <v>316</v>
      </c>
      <c r="F9537">
        <v>12</v>
      </c>
      <c r="G9537">
        <v>33.949366666666698</v>
      </c>
    </row>
    <row r="9538" spans="1:7" x14ac:dyDescent="0.35">
      <c r="A9538" t="s">
        <v>847</v>
      </c>
      <c r="B9538" t="s">
        <v>691</v>
      </c>
      <c r="C9538" s="83">
        <v>46215</v>
      </c>
      <c r="D9538" t="s">
        <v>313</v>
      </c>
      <c r="E9538" t="s">
        <v>640</v>
      </c>
      <c r="F9538">
        <v>3</v>
      </c>
      <c r="G9538">
        <v>3.1891833333333302</v>
      </c>
    </row>
    <row r="9539" spans="1:7" x14ac:dyDescent="0.35">
      <c r="A9539" t="s">
        <v>847</v>
      </c>
      <c r="B9539" t="s">
        <v>691</v>
      </c>
      <c r="C9539" s="83">
        <v>46215</v>
      </c>
      <c r="D9539" t="s">
        <v>314</v>
      </c>
      <c r="E9539" t="s">
        <v>316</v>
      </c>
      <c r="F9539">
        <v>3</v>
      </c>
      <c r="G9539">
        <v>1.6953166666666699</v>
      </c>
    </row>
    <row r="9540" spans="1:7" x14ac:dyDescent="0.35">
      <c r="A9540" t="s">
        <v>847</v>
      </c>
      <c r="B9540" t="s">
        <v>691</v>
      </c>
      <c r="C9540" s="83">
        <v>46215</v>
      </c>
      <c r="D9540" t="s">
        <v>314</v>
      </c>
      <c r="E9540" t="s">
        <v>321</v>
      </c>
      <c r="F9540">
        <v>2</v>
      </c>
      <c r="G9540">
        <v>0.39824999999999999</v>
      </c>
    </row>
    <row r="9541" spans="1:7" x14ac:dyDescent="0.35">
      <c r="A9541" t="s">
        <v>847</v>
      </c>
      <c r="B9541" t="s">
        <v>691</v>
      </c>
      <c r="C9541" s="83">
        <v>46215</v>
      </c>
      <c r="D9541" t="s">
        <v>314</v>
      </c>
      <c r="E9541" t="s">
        <v>311</v>
      </c>
      <c r="F9541">
        <v>2</v>
      </c>
      <c r="G9541">
        <v>6.2437500000000004</v>
      </c>
    </row>
    <row r="9542" spans="1:7" x14ac:dyDescent="0.35">
      <c r="A9542" t="s">
        <v>847</v>
      </c>
      <c r="B9542" t="s">
        <v>691</v>
      </c>
      <c r="C9542" s="83">
        <v>46215</v>
      </c>
      <c r="D9542" t="s">
        <v>317</v>
      </c>
      <c r="E9542" t="s">
        <v>319</v>
      </c>
      <c r="F9542">
        <v>2</v>
      </c>
      <c r="G9542">
        <v>1.1749333333333301</v>
      </c>
    </row>
    <row r="9543" spans="1:7" x14ac:dyDescent="0.35">
      <c r="A9543" t="s">
        <v>847</v>
      </c>
      <c r="B9543" t="s">
        <v>691</v>
      </c>
      <c r="C9543" s="83">
        <v>46215</v>
      </c>
      <c r="D9543" t="s">
        <v>317</v>
      </c>
      <c r="E9543" t="s">
        <v>322</v>
      </c>
      <c r="F9543">
        <v>2</v>
      </c>
      <c r="G9543">
        <v>0.41284999999999999</v>
      </c>
    </row>
    <row r="9544" spans="1:7" x14ac:dyDescent="0.35">
      <c r="A9544" t="s">
        <v>847</v>
      </c>
      <c r="B9544" t="s">
        <v>691</v>
      </c>
      <c r="C9544" s="83">
        <v>46215</v>
      </c>
      <c r="D9544" t="s">
        <v>317</v>
      </c>
      <c r="E9544" t="s">
        <v>339</v>
      </c>
      <c r="F9544">
        <v>2</v>
      </c>
      <c r="G9544">
        <v>1.1708666666666701</v>
      </c>
    </row>
    <row r="9545" spans="1:7" x14ac:dyDescent="0.35">
      <c r="A9545" t="s">
        <v>847</v>
      </c>
      <c r="B9545" t="s">
        <v>691</v>
      </c>
      <c r="C9545" s="83">
        <v>46216</v>
      </c>
      <c r="D9545" t="s">
        <v>295</v>
      </c>
      <c r="E9545" t="s">
        <v>296</v>
      </c>
      <c r="F9545">
        <v>59</v>
      </c>
      <c r="G9545">
        <v>32.063499999999998</v>
      </c>
    </row>
    <row r="9546" spans="1:7" x14ac:dyDescent="0.35">
      <c r="A9546" t="s">
        <v>847</v>
      </c>
      <c r="B9546" t="s">
        <v>691</v>
      </c>
      <c r="C9546" s="83">
        <v>46216</v>
      </c>
      <c r="D9546" t="s">
        <v>299</v>
      </c>
      <c r="E9546" t="s">
        <v>296</v>
      </c>
      <c r="F9546">
        <v>17</v>
      </c>
      <c r="G9546">
        <v>8.5001333333333307</v>
      </c>
    </row>
    <row r="9547" spans="1:7" x14ac:dyDescent="0.35">
      <c r="A9547" t="s">
        <v>847</v>
      </c>
      <c r="B9547" t="s">
        <v>691</v>
      </c>
      <c r="C9547" s="83">
        <v>46216</v>
      </c>
      <c r="D9547" t="s">
        <v>310</v>
      </c>
      <c r="E9547" t="s">
        <v>338</v>
      </c>
      <c r="F9547">
        <v>9</v>
      </c>
      <c r="G9547">
        <v>6.6696499999999999</v>
      </c>
    </row>
    <row r="9548" spans="1:7" x14ac:dyDescent="0.35">
      <c r="A9548" t="s">
        <v>847</v>
      </c>
      <c r="B9548" t="s">
        <v>691</v>
      </c>
      <c r="C9548" s="83">
        <v>46216</v>
      </c>
      <c r="D9548" t="s">
        <v>310</v>
      </c>
      <c r="E9548" t="s">
        <v>311</v>
      </c>
      <c r="F9548">
        <v>8</v>
      </c>
      <c r="G9548">
        <v>6.6891333333333298</v>
      </c>
    </row>
    <row r="9549" spans="1:7" x14ac:dyDescent="0.35">
      <c r="A9549" t="s">
        <v>847</v>
      </c>
      <c r="B9549" t="s">
        <v>691</v>
      </c>
      <c r="C9549" s="83">
        <v>46216</v>
      </c>
      <c r="D9549" t="s">
        <v>310</v>
      </c>
      <c r="E9549" t="s">
        <v>333</v>
      </c>
      <c r="F9549">
        <v>6</v>
      </c>
      <c r="G9549">
        <v>2.5153333333333299</v>
      </c>
    </row>
    <row r="9550" spans="1:7" x14ac:dyDescent="0.35">
      <c r="A9550" t="s">
        <v>847</v>
      </c>
      <c r="B9550" t="s">
        <v>691</v>
      </c>
      <c r="C9550" s="83">
        <v>46216</v>
      </c>
      <c r="D9550" t="s">
        <v>313</v>
      </c>
      <c r="E9550" t="s">
        <v>126</v>
      </c>
      <c r="F9550">
        <v>22</v>
      </c>
      <c r="G9550">
        <v>31.652616666666699</v>
      </c>
    </row>
    <row r="9551" spans="1:7" x14ac:dyDescent="0.35">
      <c r="A9551" t="s">
        <v>847</v>
      </c>
      <c r="B9551" t="s">
        <v>691</v>
      </c>
      <c r="C9551" s="83">
        <v>46216</v>
      </c>
      <c r="D9551" t="s">
        <v>313</v>
      </c>
      <c r="E9551" t="s">
        <v>338</v>
      </c>
      <c r="F9551">
        <v>14</v>
      </c>
      <c r="G9551">
        <v>18.692233333333299</v>
      </c>
    </row>
    <row r="9552" spans="1:7" x14ac:dyDescent="0.35">
      <c r="A9552" t="s">
        <v>847</v>
      </c>
      <c r="B9552" t="s">
        <v>691</v>
      </c>
      <c r="C9552" s="83">
        <v>46216</v>
      </c>
      <c r="D9552" t="s">
        <v>313</v>
      </c>
      <c r="E9552" t="s">
        <v>640</v>
      </c>
      <c r="F9552">
        <v>9</v>
      </c>
      <c r="G9552">
        <v>14.562283333333299</v>
      </c>
    </row>
    <row r="9553" spans="1:7" x14ac:dyDescent="0.35">
      <c r="A9553" t="s">
        <v>847</v>
      </c>
      <c r="B9553" t="s">
        <v>691</v>
      </c>
      <c r="C9553" s="83">
        <v>46216</v>
      </c>
      <c r="D9553" t="s">
        <v>314</v>
      </c>
      <c r="E9553" t="s">
        <v>316</v>
      </c>
      <c r="F9553">
        <v>8</v>
      </c>
      <c r="G9553">
        <v>15.738766666666701</v>
      </c>
    </row>
    <row r="9554" spans="1:7" x14ac:dyDescent="0.35">
      <c r="A9554" t="s">
        <v>847</v>
      </c>
      <c r="B9554" t="s">
        <v>691</v>
      </c>
      <c r="C9554" s="83">
        <v>46216</v>
      </c>
      <c r="D9554" t="s">
        <v>314</v>
      </c>
      <c r="E9554" t="s">
        <v>640</v>
      </c>
      <c r="F9554">
        <v>6</v>
      </c>
      <c r="G9554">
        <v>24.6757666666667</v>
      </c>
    </row>
    <row r="9555" spans="1:7" x14ac:dyDescent="0.35">
      <c r="A9555" t="s">
        <v>847</v>
      </c>
      <c r="B9555" t="s">
        <v>691</v>
      </c>
      <c r="C9555" s="83">
        <v>46216</v>
      </c>
      <c r="D9555" t="s">
        <v>314</v>
      </c>
      <c r="E9555" t="s">
        <v>321</v>
      </c>
      <c r="F9555">
        <v>3</v>
      </c>
      <c r="G9555">
        <v>1.59836666666667</v>
      </c>
    </row>
    <row r="9556" spans="1:7" x14ac:dyDescent="0.35">
      <c r="A9556" t="s">
        <v>847</v>
      </c>
      <c r="B9556" t="s">
        <v>691</v>
      </c>
      <c r="C9556" s="83">
        <v>46216</v>
      </c>
      <c r="D9556" t="s">
        <v>317</v>
      </c>
      <c r="E9556" t="s">
        <v>318</v>
      </c>
      <c r="F9556">
        <v>2</v>
      </c>
      <c r="G9556">
        <v>0.27089999999999997</v>
      </c>
    </row>
    <row r="9557" spans="1:7" x14ac:dyDescent="0.35">
      <c r="A9557" t="s">
        <v>847</v>
      </c>
      <c r="B9557" t="s">
        <v>691</v>
      </c>
      <c r="C9557" s="83">
        <v>46216</v>
      </c>
      <c r="D9557" t="s">
        <v>317</v>
      </c>
      <c r="E9557" t="s">
        <v>319</v>
      </c>
      <c r="F9557">
        <v>2</v>
      </c>
      <c r="G9557">
        <v>0.41358333333333303</v>
      </c>
    </row>
    <row r="9558" spans="1:7" x14ac:dyDescent="0.35">
      <c r="A9558" t="s">
        <v>847</v>
      </c>
      <c r="B9558" t="s">
        <v>691</v>
      </c>
      <c r="C9558" s="83">
        <v>46216</v>
      </c>
      <c r="D9558" t="s">
        <v>317</v>
      </c>
      <c r="E9558" t="s">
        <v>323</v>
      </c>
      <c r="F9558">
        <v>2</v>
      </c>
      <c r="G9558">
        <v>0.219783333333333</v>
      </c>
    </row>
    <row r="9559" spans="1:7" x14ac:dyDescent="0.35">
      <c r="A9559" t="s">
        <v>847</v>
      </c>
      <c r="B9559" t="s">
        <v>691</v>
      </c>
      <c r="C9559" s="83">
        <v>46217</v>
      </c>
      <c r="D9559" t="s">
        <v>295</v>
      </c>
      <c r="E9559" t="s">
        <v>296</v>
      </c>
      <c r="F9559">
        <v>61</v>
      </c>
      <c r="G9559">
        <v>37.005933333333303</v>
      </c>
    </row>
    <row r="9560" spans="1:7" x14ac:dyDescent="0.35">
      <c r="A9560" t="s">
        <v>847</v>
      </c>
      <c r="B9560" t="s">
        <v>691</v>
      </c>
      <c r="C9560" s="83">
        <v>46217</v>
      </c>
      <c r="D9560" t="s">
        <v>299</v>
      </c>
      <c r="E9560" t="s">
        <v>296</v>
      </c>
      <c r="F9560">
        <v>23</v>
      </c>
      <c r="G9560">
        <v>17.684666666666701</v>
      </c>
    </row>
    <row r="9561" spans="1:7" x14ac:dyDescent="0.35">
      <c r="A9561" t="s">
        <v>847</v>
      </c>
      <c r="B9561" t="s">
        <v>691</v>
      </c>
      <c r="C9561" s="83">
        <v>46217</v>
      </c>
      <c r="D9561" t="s">
        <v>303</v>
      </c>
      <c r="E9561" t="s">
        <v>637</v>
      </c>
      <c r="F9561">
        <v>10</v>
      </c>
      <c r="G9561">
        <v>4.3464666666666698</v>
      </c>
    </row>
    <row r="9562" spans="1:7" x14ac:dyDescent="0.35">
      <c r="A9562" t="s">
        <v>847</v>
      </c>
      <c r="B9562" t="s">
        <v>691</v>
      </c>
      <c r="C9562" s="83">
        <v>46217</v>
      </c>
      <c r="D9562" t="s">
        <v>310</v>
      </c>
      <c r="E9562" t="s">
        <v>312</v>
      </c>
      <c r="F9562">
        <v>30</v>
      </c>
      <c r="G9562">
        <v>27.125150000000001</v>
      </c>
    </row>
    <row r="9563" spans="1:7" x14ac:dyDescent="0.35">
      <c r="A9563" t="s">
        <v>847</v>
      </c>
      <c r="B9563" t="s">
        <v>691</v>
      </c>
      <c r="C9563" s="83">
        <v>46217</v>
      </c>
      <c r="D9563" t="s">
        <v>310</v>
      </c>
      <c r="E9563" t="s">
        <v>311</v>
      </c>
      <c r="F9563">
        <v>9</v>
      </c>
      <c r="G9563">
        <v>7.6999833333333303</v>
      </c>
    </row>
    <row r="9564" spans="1:7" x14ac:dyDescent="0.35">
      <c r="A9564" t="s">
        <v>847</v>
      </c>
      <c r="B9564" t="s">
        <v>691</v>
      </c>
      <c r="C9564" s="83">
        <v>46217</v>
      </c>
      <c r="D9564" t="s">
        <v>310</v>
      </c>
      <c r="E9564" t="s">
        <v>333</v>
      </c>
      <c r="F9564">
        <v>7</v>
      </c>
      <c r="G9564">
        <v>12.8649</v>
      </c>
    </row>
    <row r="9565" spans="1:7" x14ac:dyDescent="0.35">
      <c r="A9565" t="s">
        <v>847</v>
      </c>
      <c r="B9565" t="s">
        <v>691</v>
      </c>
      <c r="C9565" s="83">
        <v>46217</v>
      </c>
      <c r="D9565" t="s">
        <v>313</v>
      </c>
      <c r="E9565" t="s">
        <v>312</v>
      </c>
      <c r="F9565">
        <v>17</v>
      </c>
      <c r="G9565">
        <v>10.139433333333301</v>
      </c>
    </row>
    <row r="9566" spans="1:7" x14ac:dyDescent="0.35">
      <c r="A9566" t="s">
        <v>847</v>
      </c>
      <c r="B9566" t="s">
        <v>691</v>
      </c>
      <c r="C9566" s="83">
        <v>46217</v>
      </c>
      <c r="D9566" t="s">
        <v>313</v>
      </c>
      <c r="E9566" t="s">
        <v>640</v>
      </c>
      <c r="F9566">
        <v>9</v>
      </c>
      <c r="G9566">
        <v>18.790966666666701</v>
      </c>
    </row>
    <row r="9567" spans="1:7" x14ac:dyDescent="0.35">
      <c r="A9567" t="s">
        <v>847</v>
      </c>
      <c r="B9567" t="s">
        <v>691</v>
      </c>
      <c r="C9567" s="83">
        <v>46217</v>
      </c>
      <c r="D9567" t="s">
        <v>313</v>
      </c>
      <c r="E9567" t="s">
        <v>311</v>
      </c>
      <c r="F9567">
        <v>8</v>
      </c>
      <c r="G9567">
        <v>38.611733333333298</v>
      </c>
    </row>
    <row r="9568" spans="1:7" x14ac:dyDescent="0.35">
      <c r="A9568" t="s">
        <v>847</v>
      </c>
      <c r="B9568" t="s">
        <v>691</v>
      </c>
      <c r="C9568" s="83">
        <v>46217</v>
      </c>
      <c r="D9568" t="s">
        <v>314</v>
      </c>
      <c r="E9568" t="s">
        <v>312</v>
      </c>
      <c r="F9568">
        <v>7</v>
      </c>
      <c r="G9568">
        <v>23.373899999999999</v>
      </c>
    </row>
    <row r="9569" spans="1:7" x14ac:dyDescent="0.35">
      <c r="A9569" t="s">
        <v>847</v>
      </c>
      <c r="B9569" t="s">
        <v>691</v>
      </c>
      <c r="C9569" s="83">
        <v>46217</v>
      </c>
      <c r="D9569" t="s">
        <v>314</v>
      </c>
      <c r="E9569" t="s">
        <v>640</v>
      </c>
      <c r="F9569">
        <v>7</v>
      </c>
      <c r="G9569">
        <v>13.851850000000001</v>
      </c>
    </row>
    <row r="9570" spans="1:7" x14ac:dyDescent="0.35">
      <c r="A9570" t="s">
        <v>847</v>
      </c>
      <c r="B9570" t="s">
        <v>691</v>
      </c>
      <c r="C9570" s="83">
        <v>46217</v>
      </c>
      <c r="D9570" t="s">
        <v>314</v>
      </c>
      <c r="E9570" t="s">
        <v>338</v>
      </c>
      <c r="F9570">
        <v>4</v>
      </c>
      <c r="G9570">
        <v>3.45556666666667</v>
      </c>
    </row>
    <row r="9571" spans="1:7" x14ac:dyDescent="0.35">
      <c r="A9571" t="s">
        <v>847</v>
      </c>
      <c r="B9571" t="s">
        <v>691</v>
      </c>
      <c r="C9571" s="83">
        <v>46217</v>
      </c>
      <c r="D9571" t="s">
        <v>317</v>
      </c>
      <c r="E9571" t="s">
        <v>315</v>
      </c>
      <c r="F9571">
        <v>2</v>
      </c>
      <c r="G9571">
        <v>0.52949999999999997</v>
      </c>
    </row>
    <row r="9572" spans="1:7" x14ac:dyDescent="0.35">
      <c r="A9572" t="s">
        <v>847</v>
      </c>
      <c r="B9572" t="s">
        <v>691</v>
      </c>
      <c r="C9572" s="83">
        <v>46218</v>
      </c>
      <c r="D9572" t="s">
        <v>295</v>
      </c>
      <c r="E9572" t="s">
        <v>296</v>
      </c>
      <c r="F9572">
        <v>68</v>
      </c>
      <c r="G9572">
        <v>38.5929</v>
      </c>
    </row>
    <row r="9573" spans="1:7" x14ac:dyDescent="0.35">
      <c r="A9573" t="s">
        <v>847</v>
      </c>
      <c r="B9573" t="s">
        <v>691</v>
      </c>
      <c r="C9573" s="83">
        <v>46218</v>
      </c>
      <c r="D9573" t="s">
        <v>299</v>
      </c>
      <c r="E9573" t="s">
        <v>296</v>
      </c>
      <c r="F9573">
        <v>27</v>
      </c>
      <c r="G9573">
        <v>14.716950000000001</v>
      </c>
    </row>
    <row r="9574" spans="1:7" x14ac:dyDescent="0.35">
      <c r="A9574" t="s">
        <v>847</v>
      </c>
      <c r="B9574" t="s">
        <v>691</v>
      </c>
      <c r="C9574" s="83">
        <v>46218</v>
      </c>
      <c r="D9574" t="s">
        <v>310</v>
      </c>
      <c r="E9574" t="s">
        <v>640</v>
      </c>
      <c r="F9574">
        <v>6</v>
      </c>
      <c r="G9574">
        <v>5.5761000000000003</v>
      </c>
    </row>
    <row r="9575" spans="1:7" x14ac:dyDescent="0.35">
      <c r="A9575" t="s">
        <v>847</v>
      </c>
      <c r="B9575" t="s">
        <v>691</v>
      </c>
      <c r="C9575" s="83">
        <v>46218</v>
      </c>
      <c r="D9575" t="s">
        <v>310</v>
      </c>
      <c r="E9575" t="s">
        <v>126</v>
      </c>
      <c r="F9575">
        <v>5</v>
      </c>
      <c r="G9575">
        <v>6.0558500000000004</v>
      </c>
    </row>
    <row r="9576" spans="1:7" x14ac:dyDescent="0.35">
      <c r="A9576" t="s">
        <v>847</v>
      </c>
      <c r="B9576" t="s">
        <v>691</v>
      </c>
      <c r="C9576" s="83">
        <v>46218</v>
      </c>
      <c r="D9576" t="s">
        <v>310</v>
      </c>
      <c r="E9576" t="s">
        <v>311</v>
      </c>
      <c r="F9576">
        <v>4</v>
      </c>
      <c r="G9576">
        <v>9.7917000000000005</v>
      </c>
    </row>
    <row r="9577" spans="1:7" x14ac:dyDescent="0.35">
      <c r="A9577" t="s">
        <v>847</v>
      </c>
      <c r="B9577" t="s">
        <v>691</v>
      </c>
      <c r="C9577" s="83">
        <v>46218</v>
      </c>
      <c r="D9577" t="s">
        <v>313</v>
      </c>
      <c r="E9577" t="s">
        <v>312</v>
      </c>
      <c r="F9577">
        <v>15</v>
      </c>
      <c r="G9577">
        <v>9.8862833333333295</v>
      </c>
    </row>
    <row r="9578" spans="1:7" x14ac:dyDescent="0.35">
      <c r="A9578" t="s">
        <v>847</v>
      </c>
      <c r="B9578" t="s">
        <v>691</v>
      </c>
      <c r="C9578" s="83">
        <v>46218</v>
      </c>
      <c r="D9578" t="s">
        <v>313</v>
      </c>
      <c r="E9578" t="s">
        <v>311</v>
      </c>
      <c r="F9578">
        <v>9</v>
      </c>
      <c r="G9578">
        <v>5.4131166666666699</v>
      </c>
    </row>
    <row r="9579" spans="1:7" x14ac:dyDescent="0.35">
      <c r="A9579" t="s">
        <v>847</v>
      </c>
      <c r="B9579" t="s">
        <v>691</v>
      </c>
      <c r="C9579" s="83">
        <v>46218</v>
      </c>
      <c r="D9579" t="s">
        <v>313</v>
      </c>
      <c r="E9579" t="s">
        <v>126</v>
      </c>
      <c r="F9579">
        <v>7</v>
      </c>
      <c r="G9579">
        <v>10.1698</v>
      </c>
    </row>
    <row r="9580" spans="1:7" x14ac:dyDescent="0.35">
      <c r="A9580" t="s">
        <v>847</v>
      </c>
      <c r="B9580" t="s">
        <v>691</v>
      </c>
      <c r="C9580" s="83">
        <v>46218</v>
      </c>
      <c r="D9580" t="s">
        <v>314</v>
      </c>
      <c r="E9580" t="s">
        <v>316</v>
      </c>
      <c r="F9580">
        <v>3</v>
      </c>
      <c r="G9580">
        <v>0.40301666666666702</v>
      </c>
    </row>
    <row r="9581" spans="1:7" x14ac:dyDescent="0.35">
      <c r="A9581" t="s">
        <v>847</v>
      </c>
      <c r="B9581" t="s">
        <v>691</v>
      </c>
      <c r="C9581" s="83">
        <v>46218</v>
      </c>
      <c r="D9581" t="s">
        <v>314</v>
      </c>
      <c r="E9581" t="s">
        <v>725</v>
      </c>
      <c r="F9581">
        <v>2</v>
      </c>
      <c r="G9581">
        <v>0.25268333333333298</v>
      </c>
    </row>
    <row r="9582" spans="1:7" x14ac:dyDescent="0.35">
      <c r="A9582" t="s">
        <v>847</v>
      </c>
      <c r="B9582" t="s">
        <v>691</v>
      </c>
      <c r="C9582" s="83">
        <v>46218</v>
      </c>
      <c r="D9582" t="s">
        <v>314</v>
      </c>
      <c r="E9582" t="s">
        <v>347</v>
      </c>
      <c r="F9582">
        <v>2</v>
      </c>
      <c r="G9582">
        <v>0.24511666666666701</v>
      </c>
    </row>
    <row r="9583" spans="1:7" x14ac:dyDescent="0.35">
      <c r="A9583" t="s">
        <v>847</v>
      </c>
      <c r="B9583" t="s">
        <v>691</v>
      </c>
      <c r="C9583" s="83">
        <v>46218</v>
      </c>
      <c r="D9583" t="s">
        <v>317</v>
      </c>
      <c r="E9583" t="s">
        <v>792</v>
      </c>
      <c r="F9583">
        <v>2</v>
      </c>
      <c r="G9583">
        <v>0.93059999999999998</v>
      </c>
    </row>
    <row r="9584" spans="1:7" x14ac:dyDescent="0.35">
      <c r="A9584" t="s">
        <v>847</v>
      </c>
      <c r="B9584" t="s">
        <v>691</v>
      </c>
      <c r="C9584" s="83">
        <v>46219</v>
      </c>
      <c r="D9584" t="s">
        <v>295</v>
      </c>
      <c r="E9584" t="s">
        <v>296</v>
      </c>
      <c r="F9584">
        <v>25</v>
      </c>
      <c r="G9584">
        <v>17.676783333333301</v>
      </c>
    </row>
    <row r="9585" spans="1:7" x14ac:dyDescent="0.35">
      <c r="A9585" t="s">
        <v>847</v>
      </c>
      <c r="B9585" t="s">
        <v>691</v>
      </c>
      <c r="C9585" s="83">
        <v>46219</v>
      </c>
      <c r="D9585" t="s">
        <v>299</v>
      </c>
      <c r="E9585" t="s">
        <v>828</v>
      </c>
      <c r="F9585">
        <v>13</v>
      </c>
      <c r="G9585">
        <v>11.681900000000001</v>
      </c>
    </row>
    <row r="9586" spans="1:7" x14ac:dyDescent="0.35">
      <c r="A9586" t="s">
        <v>847</v>
      </c>
      <c r="B9586" t="s">
        <v>691</v>
      </c>
      <c r="C9586" s="83">
        <v>46219</v>
      </c>
      <c r="D9586" t="s">
        <v>299</v>
      </c>
      <c r="E9586" t="s">
        <v>296</v>
      </c>
      <c r="F9586">
        <v>9</v>
      </c>
      <c r="G9586">
        <v>1.75111666666667</v>
      </c>
    </row>
    <row r="9587" spans="1:7" x14ac:dyDescent="0.35">
      <c r="A9587" t="s">
        <v>847</v>
      </c>
      <c r="B9587" t="s">
        <v>691</v>
      </c>
      <c r="C9587" s="83">
        <v>46219</v>
      </c>
      <c r="D9587" t="s">
        <v>301</v>
      </c>
      <c r="E9587" t="s">
        <v>302</v>
      </c>
      <c r="F9587">
        <v>8</v>
      </c>
      <c r="G9587">
        <v>113.9509</v>
      </c>
    </row>
    <row r="9588" spans="1:7" x14ac:dyDescent="0.35">
      <c r="A9588" t="s">
        <v>847</v>
      </c>
      <c r="B9588" t="s">
        <v>691</v>
      </c>
      <c r="C9588" s="83">
        <v>46219</v>
      </c>
      <c r="D9588" t="s">
        <v>303</v>
      </c>
      <c r="E9588" t="s">
        <v>637</v>
      </c>
      <c r="F9588">
        <v>35</v>
      </c>
      <c r="G9588">
        <v>16.516766666666701</v>
      </c>
    </row>
    <row r="9589" spans="1:7" x14ac:dyDescent="0.35">
      <c r="A9589" t="s">
        <v>847</v>
      </c>
      <c r="B9589" t="s">
        <v>691</v>
      </c>
      <c r="C9589" s="83">
        <v>46219</v>
      </c>
      <c r="D9589" t="s">
        <v>310</v>
      </c>
      <c r="E9589" t="s">
        <v>640</v>
      </c>
      <c r="F9589">
        <v>6</v>
      </c>
      <c r="G9589">
        <v>12.243399999999999</v>
      </c>
    </row>
    <row r="9590" spans="1:7" x14ac:dyDescent="0.35">
      <c r="A9590" t="s">
        <v>847</v>
      </c>
      <c r="B9590" t="s">
        <v>691</v>
      </c>
      <c r="C9590" s="83">
        <v>46219</v>
      </c>
      <c r="D9590" t="s">
        <v>310</v>
      </c>
      <c r="E9590" t="s">
        <v>333</v>
      </c>
      <c r="F9590">
        <v>3</v>
      </c>
      <c r="G9590">
        <v>617.18240000000003</v>
      </c>
    </row>
    <row r="9591" spans="1:7" x14ac:dyDescent="0.35">
      <c r="A9591" t="s">
        <v>847</v>
      </c>
      <c r="B9591" t="s">
        <v>691</v>
      </c>
      <c r="C9591" s="83">
        <v>46219</v>
      </c>
      <c r="D9591" t="s">
        <v>310</v>
      </c>
      <c r="E9591" t="s">
        <v>311</v>
      </c>
      <c r="F9591">
        <v>3</v>
      </c>
      <c r="G9591">
        <v>0.84426666666666705</v>
      </c>
    </row>
    <row r="9592" spans="1:7" x14ac:dyDescent="0.35">
      <c r="A9592" t="s">
        <v>847</v>
      </c>
      <c r="B9592" t="s">
        <v>691</v>
      </c>
      <c r="C9592" s="83">
        <v>46219</v>
      </c>
      <c r="D9592" t="s">
        <v>313</v>
      </c>
      <c r="E9592" t="s">
        <v>126</v>
      </c>
      <c r="F9592">
        <v>3</v>
      </c>
      <c r="G9592">
        <v>4.7186833333333302</v>
      </c>
    </row>
    <row r="9593" spans="1:7" x14ac:dyDescent="0.35">
      <c r="A9593" t="s">
        <v>847</v>
      </c>
      <c r="B9593" t="s">
        <v>691</v>
      </c>
      <c r="C9593" s="83">
        <v>46219</v>
      </c>
      <c r="D9593" t="s">
        <v>313</v>
      </c>
      <c r="E9593" t="s">
        <v>827</v>
      </c>
      <c r="F9593">
        <v>2</v>
      </c>
      <c r="G9593">
        <v>3.0168833333333298</v>
      </c>
    </row>
    <row r="9594" spans="1:7" x14ac:dyDescent="0.35">
      <c r="A9594" t="s">
        <v>847</v>
      </c>
      <c r="B9594" t="s">
        <v>691</v>
      </c>
      <c r="C9594" s="83">
        <v>46219</v>
      </c>
      <c r="D9594" t="s">
        <v>313</v>
      </c>
      <c r="E9594" t="s">
        <v>319</v>
      </c>
      <c r="F9594">
        <v>2</v>
      </c>
      <c r="G9594">
        <v>1.71126666666667</v>
      </c>
    </row>
    <row r="9595" spans="1:7" x14ac:dyDescent="0.35">
      <c r="A9595" t="s">
        <v>847</v>
      </c>
      <c r="B9595" t="s">
        <v>691</v>
      </c>
      <c r="C9595" s="83">
        <v>46219</v>
      </c>
      <c r="D9595" t="s">
        <v>314</v>
      </c>
      <c r="E9595" t="s">
        <v>316</v>
      </c>
      <c r="F9595">
        <v>2</v>
      </c>
      <c r="G9595">
        <v>0.96684999999999999</v>
      </c>
    </row>
    <row r="9596" spans="1:7" x14ac:dyDescent="0.35">
      <c r="A9596" t="s">
        <v>847</v>
      </c>
      <c r="B9596" t="s">
        <v>691</v>
      </c>
      <c r="C9596" s="83">
        <v>46219</v>
      </c>
      <c r="D9596" t="s">
        <v>314</v>
      </c>
      <c r="E9596" t="s">
        <v>777</v>
      </c>
      <c r="F9596">
        <v>2</v>
      </c>
      <c r="G9596">
        <v>1.5303166666666701</v>
      </c>
    </row>
    <row r="9597" spans="1:7" x14ac:dyDescent="0.35">
      <c r="A9597" t="s">
        <v>847</v>
      </c>
      <c r="B9597" t="s">
        <v>691</v>
      </c>
      <c r="C9597" s="83">
        <v>46219</v>
      </c>
      <c r="D9597" t="s">
        <v>314</v>
      </c>
      <c r="E9597" t="s">
        <v>347</v>
      </c>
      <c r="F9597">
        <v>2</v>
      </c>
      <c r="G9597">
        <v>0.69159999999999999</v>
      </c>
    </row>
    <row r="9598" spans="1:7" x14ac:dyDescent="0.35">
      <c r="A9598" t="s">
        <v>847</v>
      </c>
      <c r="B9598" t="s">
        <v>691</v>
      </c>
      <c r="C9598" s="83">
        <v>46219</v>
      </c>
      <c r="D9598" t="s">
        <v>317</v>
      </c>
      <c r="E9598" t="s">
        <v>318</v>
      </c>
      <c r="F9598">
        <v>2</v>
      </c>
      <c r="G9598">
        <v>0.35115000000000002</v>
      </c>
    </row>
    <row r="9599" spans="1:7" x14ac:dyDescent="0.35">
      <c r="A9599" t="s">
        <v>847</v>
      </c>
      <c r="B9599" t="s">
        <v>691</v>
      </c>
      <c r="C9599" s="83">
        <v>46219</v>
      </c>
      <c r="D9599" t="s">
        <v>317</v>
      </c>
      <c r="E9599" t="s">
        <v>319</v>
      </c>
      <c r="F9599">
        <v>2</v>
      </c>
      <c r="G9599">
        <v>1.06975</v>
      </c>
    </row>
    <row r="9600" spans="1:7" x14ac:dyDescent="0.35">
      <c r="A9600" t="s">
        <v>847</v>
      </c>
      <c r="B9600" t="s">
        <v>691</v>
      </c>
      <c r="C9600" s="83">
        <v>46220</v>
      </c>
      <c r="D9600" t="s">
        <v>295</v>
      </c>
      <c r="E9600" t="s">
        <v>296</v>
      </c>
      <c r="F9600">
        <v>86</v>
      </c>
      <c r="G9600">
        <v>59.990166666666703</v>
      </c>
    </row>
    <row r="9601" spans="1:7" x14ac:dyDescent="0.35">
      <c r="A9601" t="s">
        <v>847</v>
      </c>
      <c r="B9601" t="s">
        <v>691</v>
      </c>
      <c r="C9601" s="83">
        <v>46220</v>
      </c>
      <c r="D9601" t="s">
        <v>299</v>
      </c>
      <c r="E9601" t="s">
        <v>296</v>
      </c>
      <c r="F9601">
        <v>44</v>
      </c>
      <c r="G9601">
        <v>39.952183333333302</v>
      </c>
    </row>
    <row r="9602" spans="1:7" x14ac:dyDescent="0.35">
      <c r="A9602" t="s">
        <v>847</v>
      </c>
      <c r="B9602" t="s">
        <v>691</v>
      </c>
      <c r="C9602" s="83">
        <v>46220</v>
      </c>
      <c r="D9602" t="s">
        <v>301</v>
      </c>
      <c r="E9602" t="s">
        <v>296</v>
      </c>
      <c r="F9602">
        <v>29</v>
      </c>
      <c r="G9602">
        <v>18.9385166666667</v>
      </c>
    </row>
    <row r="9603" spans="1:7" x14ac:dyDescent="0.35">
      <c r="A9603" t="s">
        <v>847</v>
      </c>
      <c r="B9603" t="s">
        <v>691</v>
      </c>
      <c r="C9603" s="83">
        <v>46220</v>
      </c>
      <c r="D9603" t="s">
        <v>303</v>
      </c>
      <c r="E9603" t="s">
        <v>637</v>
      </c>
      <c r="F9603">
        <v>22</v>
      </c>
      <c r="G9603">
        <v>7.8630666666666702</v>
      </c>
    </row>
    <row r="9604" spans="1:7" x14ac:dyDescent="0.35">
      <c r="A9604" t="s">
        <v>847</v>
      </c>
      <c r="B9604" t="s">
        <v>691</v>
      </c>
      <c r="C9604" s="83">
        <v>46220</v>
      </c>
      <c r="D9604" t="s">
        <v>303</v>
      </c>
      <c r="E9604" t="s">
        <v>828</v>
      </c>
      <c r="F9604">
        <v>19</v>
      </c>
      <c r="G9604">
        <v>8.4917666666666705</v>
      </c>
    </row>
    <row r="9605" spans="1:7" x14ac:dyDescent="0.35">
      <c r="A9605" t="s">
        <v>847</v>
      </c>
      <c r="B9605" t="s">
        <v>691</v>
      </c>
      <c r="C9605" s="83">
        <v>46220</v>
      </c>
      <c r="D9605" t="s">
        <v>310</v>
      </c>
      <c r="E9605" t="s">
        <v>312</v>
      </c>
      <c r="F9605">
        <v>7</v>
      </c>
      <c r="G9605">
        <v>6.0253833333333304</v>
      </c>
    </row>
    <row r="9606" spans="1:7" x14ac:dyDescent="0.35">
      <c r="A9606" t="s">
        <v>847</v>
      </c>
      <c r="B9606" t="s">
        <v>691</v>
      </c>
      <c r="C9606" s="83">
        <v>46220</v>
      </c>
      <c r="D9606" t="s">
        <v>310</v>
      </c>
      <c r="E9606" t="s">
        <v>126</v>
      </c>
      <c r="F9606">
        <v>6</v>
      </c>
      <c r="G9606">
        <v>22.2116333333333</v>
      </c>
    </row>
    <row r="9607" spans="1:7" x14ac:dyDescent="0.35">
      <c r="A9607" t="s">
        <v>847</v>
      </c>
      <c r="B9607" t="s">
        <v>691</v>
      </c>
      <c r="C9607" s="83">
        <v>46220</v>
      </c>
      <c r="D9607" t="s">
        <v>310</v>
      </c>
      <c r="E9607" t="s">
        <v>333</v>
      </c>
      <c r="F9607">
        <v>4</v>
      </c>
      <c r="G9607">
        <v>6.2972000000000001</v>
      </c>
    </row>
    <row r="9608" spans="1:7" x14ac:dyDescent="0.35">
      <c r="A9608" t="s">
        <v>847</v>
      </c>
      <c r="B9608" t="s">
        <v>691</v>
      </c>
      <c r="C9608" s="83">
        <v>46220</v>
      </c>
      <c r="D9608" t="s">
        <v>313</v>
      </c>
      <c r="E9608" t="s">
        <v>311</v>
      </c>
      <c r="F9608">
        <v>9</v>
      </c>
      <c r="G9608">
        <v>4.4375833333333299</v>
      </c>
    </row>
    <row r="9609" spans="1:7" x14ac:dyDescent="0.35">
      <c r="A9609" t="s">
        <v>847</v>
      </c>
      <c r="B9609" t="s">
        <v>691</v>
      </c>
      <c r="C9609" s="83">
        <v>46220</v>
      </c>
      <c r="D9609" t="s">
        <v>313</v>
      </c>
      <c r="E9609" t="s">
        <v>640</v>
      </c>
      <c r="F9609">
        <v>2</v>
      </c>
      <c r="G9609">
        <v>2.931</v>
      </c>
    </row>
    <row r="9610" spans="1:7" x14ac:dyDescent="0.35">
      <c r="A9610" t="s">
        <v>847</v>
      </c>
      <c r="B9610" t="s">
        <v>691</v>
      </c>
      <c r="C9610" s="83">
        <v>46220</v>
      </c>
      <c r="D9610" t="s">
        <v>313</v>
      </c>
      <c r="E9610" t="s">
        <v>316</v>
      </c>
      <c r="F9610">
        <v>2</v>
      </c>
      <c r="G9610">
        <v>0.87665000000000004</v>
      </c>
    </row>
    <row r="9611" spans="1:7" x14ac:dyDescent="0.35">
      <c r="A9611" t="s">
        <v>847</v>
      </c>
      <c r="B9611" t="s">
        <v>691</v>
      </c>
      <c r="C9611" s="83">
        <v>46220</v>
      </c>
      <c r="D9611" t="s">
        <v>314</v>
      </c>
      <c r="E9611" t="s">
        <v>312</v>
      </c>
      <c r="F9611">
        <v>5</v>
      </c>
      <c r="G9611">
        <v>3.6420166666666698</v>
      </c>
    </row>
    <row r="9612" spans="1:7" x14ac:dyDescent="0.35">
      <c r="A9612" t="s">
        <v>847</v>
      </c>
      <c r="B9612" t="s">
        <v>691</v>
      </c>
      <c r="C9612" s="83">
        <v>46220</v>
      </c>
      <c r="D9612" t="s">
        <v>314</v>
      </c>
      <c r="E9612" t="s">
        <v>316</v>
      </c>
      <c r="F9612">
        <v>3</v>
      </c>
      <c r="G9612">
        <v>1.44221666666667</v>
      </c>
    </row>
    <row r="9613" spans="1:7" x14ac:dyDescent="0.35">
      <c r="A9613" t="s">
        <v>847</v>
      </c>
      <c r="B9613" t="s">
        <v>691</v>
      </c>
      <c r="C9613" s="83">
        <v>46220</v>
      </c>
      <c r="D9613" t="s">
        <v>314</v>
      </c>
      <c r="E9613" t="s">
        <v>640</v>
      </c>
      <c r="F9613">
        <v>3</v>
      </c>
      <c r="G9613">
        <v>2.9584333333333301</v>
      </c>
    </row>
    <row r="9614" spans="1:7" x14ac:dyDescent="0.35">
      <c r="A9614" t="s">
        <v>847</v>
      </c>
      <c r="B9614" t="s">
        <v>691</v>
      </c>
      <c r="C9614" s="83">
        <v>46221</v>
      </c>
      <c r="D9614" t="s">
        <v>295</v>
      </c>
      <c r="E9614" t="s">
        <v>296</v>
      </c>
      <c r="F9614">
        <v>67</v>
      </c>
      <c r="G9614">
        <v>26.775749999999999</v>
      </c>
    </row>
    <row r="9615" spans="1:7" x14ac:dyDescent="0.35">
      <c r="A9615" t="s">
        <v>847</v>
      </c>
      <c r="B9615" t="s">
        <v>691</v>
      </c>
      <c r="C9615" s="83">
        <v>46221</v>
      </c>
      <c r="D9615" t="s">
        <v>299</v>
      </c>
      <c r="E9615" t="s">
        <v>296</v>
      </c>
      <c r="F9615">
        <v>40</v>
      </c>
      <c r="G9615">
        <v>21.826250000000002</v>
      </c>
    </row>
    <row r="9616" spans="1:7" x14ac:dyDescent="0.35">
      <c r="A9616" t="s">
        <v>847</v>
      </c>
      <c r="B9616" t="s">
        <v>691</v>
      </c>
      <c r="C9616" s="83">
        <v>46221</v>
      </c>
      <c r="D9616" t="s">
        <v>299</v>
      </c>
      <c r="E9616" t="s">
        <v>831</v>
      </c>
      <c r="F9616">
        <v>9</v>
      </c>
      <c r="G9616">
        <v>2.6731166666666701</v>
      </c>
    </row>
    <row r="9617" spans="1:7" x14ac:dyDescent="0.35">
      <c r="A9617" t="s">
        <v>847</v>
      </c>
      <c r="B9617" t="s">
        <v>691</v>
      </c>
      <c r="C9617" s="83">
        <v>46221</v>
      </c>
      <c r="D9617" t="s">
        <v>303</v>
      </c>
      <c r="E9617" t="s">
        <v>637</v>
      </c>
      <c r="F9617">
        <v>23</v>
      </c>
      <c r="G9617">
        <v>9.3507999999999996</v>
      </c>
    </row>
    <row r="9618" spans="1:7" x14ac:dyDescent="0.35">
      <c r="A9618" t="s">
        <v>847</v>
      </c>
      <c r="B9618" t="s">
        <v>691</v>
      </c>
      <c r="C9618" s="83">
        <v>46221</v>
      </c>
      <c r="D9618" t="s">
        <v>310</v>
      </c>
      <c r="E9618" t="s">
        <v>311</v>
      </c>
      <c r="F9618">
        <v>6</v>
      </c>
      <c r="G9618">
        <v>4.74885</v>
      </c>
    </row>
    <row r="9619" spans="1:7" x14ac:dyDescent="0.35">
      <c r="A9619" t="s">
        <v>847</v>
      </c>
      <c r="B9619" t="s">
        <v>691</v>
      </c>
      <c r="C9619" s="83">
        <v>46221</v>
      </c>
      <c r="D9619" t="s">
        <v>310</v>
      </c>
      <c r="E9619" t="s">
        <v>312</v>
      </c>
      <c r="F9619">
        <v>5</v>
      </c>
      <c r="G9619">
        <v>3.4076</v>
      </c>
    </row>
    <row r="9620" spans="1:7" x14ac:dyDescent="0.35">
      <c r="A9620" t="s">
        <v>847</v>
      </c>
      <c r="B9620" t="s">
        <v>691</v>
      </c>
      <c r="C9620" s="83">
        <v>46221</v>
      </c>
      <c r="D9620" t="s">
        <v>310</v>
      </c>
      <c r="E9620" t="s">
        <v>126</v>
      </c>
      <c r="F9620">
        <v>5</v>
      </c>
      <c r="G9620">
        <v>4.4962666666666697</v>
      </c>
    </row>
    <row r="9621" spans="1:7" x14ac:dyDescent="0.35">
      <c r="A9621" t="s">
        <v>847</v>
      </c>
      <c r="B9621" t="s">
        <v>691</v>
      </c>
      <c r="C9621" s="83">
        <v>46221</v>
      </c>
      <c r="D9621" t="s">
        <v>313</v>
      </c>
      <c r="E9621" t="s">
        <v>126</v>
      </c>
      <c r="F9621">
        <v>18</v>
      </c>
      <c r="G9621">
        <v>34.337683333333302</v>
      </c>
    </row>
    <row r="9622" spans="1:7" x14ac:dyDescent="0.35">
      <c r="A9622" t="s">
        <v>847</v>
      </c>
      <c r="B9622" t="s">
        <v>691</v>
      </c>
      <c r="C9622" s="83">
        <v>46221</v>
      </c>
      <c r="D9622" t="s">
        <v>313</v>
      </c>
      <c r="E9622" t="s">
        <v>311</v>
      </c>
      <c r="F9622">
        <v>16</v>
      </c>
      <c r="G9622">
        <v>39.424550000000004</v>
      </c>
    </row>
    <row r="9623" spans="1:7" x14ac:dyDescent="0.35">
      <c r="A9623" t="s">
        <v>847</v>
      </c>
      <c r="B9623" t="s">
        <v>691</v>
      </c>
      <c r="C9623" s="83">
        <v>46221</v>
      </c>
      <c r="D9623" t="s">
        <v>313</v>
      </c>
      <c r="E9623" t="s">
        <v>338</v>
      </c>
      <c r="F9623">
        <v>13</v>
      </c>
      <c r="G9623">
        <v>61.503416666666702</v>
      </c>
    </row>
    <row r="9624" spans="1:7" x14ac:dyDescent="0.35">
      <c r="A9624" t="s">
        <v>847</v>
      </c>
      <c r="B9624" t="s">
        <v>691</v>
      </c>
      <c r="C9624" s="83">
        <v>46221</v>
      </c>
      <c r="D9624" t="s">
        <v>314</v>
      </c>
      <c r="E9624" t="s">
        <v>316</v>
      </c>
      <c r="F9624">
        <v>4</v>
      </c>
      <c r="G9624">
        <v>1.7225666666666699</v>
      </c>
    </row>
    <row r="9625" spans="1:7" x14ac:dyDescent="0.35">
      <c r="A9625" t="s">
        <v>847</v>
      </c>
      <c r="B9625" t="s">
        <v>691</v>
      </c>
      <c r="C9625" s="83">
        <v>46221</v>
      </c>
      <c r="D9625" t="s">
        <v>314</v>
      </c>
      <c r="E9625" t="s">
        <v>312</v>
      </c>
      <c r="F9625">
        <v>3</v>
      </c>
      <c r="G9625">
        <v>2.74521666666667</v>
      </c>
    </row>
    <row r="9626" spans="1:7" x14ac:dyDescent="0.35">
      <c r="A9626" t="s">
        <v>847</v>
      </c>
      <c r="B9626" t="s">
        <v>691</v>
      </c>
      <c r="C9626" s="83">
        <v>46221</v>
      </c>
      <c r="D9626" t="s">
        <v>314</v>
      </c>
      <c r="E9626" t="s">
        <v>311</v>
      </c>
      <c r="F9626">
        <v>3</v>
      </c>
      <c r="G9626">
        <v>60.454900000000002</v>
      </c>
    </row>
    <row r="9627" spans="1:7" x14ac:dyDescent="0.35">
      <c r="A9627" t="s">
        <v>847</v>
      </c>
      <c r="B9627" t="s">
        <v>691</v>
      </c>
      <c r="C9627" s="83">
        <v>46222</v>
      </c>
      <c r="D9627" t="s">
        <v>295</v>
      </c>
      <c r="E9627" t="s">
        <v>296</v>
      </c>
      <c r="F9627">
        <v>97</v>
      </c>
      <c r="G9627">
        <v>43.220683333333298</v>
      </c>
    </row>
    <row r="9628" spans="1:7" x14ac:dyDescent="0.35">
      <c r="A9628" t="s">
        <v>847</v>
      </c>
      <c r="B9628" t="s">
        <v>691</v>
      </c>
      <c r="C9628" s="83">
        <v>46222</v>
      </c>
      <c r="D9628" t="s">
        <v>299</v>
      </c>
      <c r="E9628" t="s">
        <v>296</v>
      </c>
      <c r="F9628">
        <v>69</v>
      </c>
      <c r="G9628">
        <v>33.1520333333333</v>
      </c>
    </row>
    <row r="9629" spans="1:7" x14ac:dyDescent="0.35">
      <c r="A9629" t="s">
        <v>847</v>
      </c>
      <c r="B9629" t="s">
        <v>691</v>
      </c>
      <c r="C9629" s="83">
        <v>46222</v>
      </c>
      <c r="D9629" t="s">
        <v>303</v>
      </c>
      <c r="E9629" t="s">
        <v>637</v>
      </c>
      <c r="F9629">
        <v>47</v>
      </c>
      <c r="G9629">
        <v>20.636283333333299</v>
      </c>
    </row>
    <row r="9630" spans="1:7" x14ac:dyDescent="0.35">
      <c r="A9630" t="s">
        <v>847</v>
      </c>
      <c r="B9630" t="s">
        <v>691</v>
      </c>
      <c r="C9630" s="83">
        <v>46222</v>
      </c>
      <c r="D9630" t="s">
        <v>310</v>
      </c>
      <c r="E9630" t="s">
        <v>333</v>
      </c>
      <c r="F9630">
        <v>8</v>
      </c>
      <c r="G9630">
        <v>36.9400166666667</v>
      </c>
    </row>
    <row r="9631" spans="1:7" x14ac:dyDescent="0.35">
      <c r="A9631" t="s">
        <v>847</v>
      </c>
      <c r="B9631" t="s">
        <v>691</v>
      </c>
      <c r="C9631" s="83">
        <v>46222</v>
      </c>
      <c r="D9631" t="s">
        <v>310</v>
      </c>
      <c r="E9631" t="s">
        <v>126</v>
      </c>
      <c r="F9631">
        <v>7</v>
      </c>
      <c r="G9631">
        <v>3.4408833333333302</v>
      </c>
    </row>
    <row r="9632" spans="1:7" x14ac:dyDescent="0.35">
      <c r="A9632" t="s">
        <v>847</v>
      </c>
      <c r="B9632" t="s">
        <v>691</v>
      </c>
      <c r="C9632" s="83">
        <v>46222</v>
      </c>
      <c r="D9632" t="s">
        <v>310</v>
      </c>
      <c r="E9632" t="s">
        <v>321</v>
      </c>
      <c r="F9632">
        <v>6</v>
      </c>
      <c r="G9632">
        <v>2.66211666666667</v>
      </c>
    </row>
    <row r="9633" spans="1:7" x14ac:dyDescent="0.35">
      <c r="A9633" t="s">
        <v>847</v>
      </c>
      <c r="B9633" t="s">
        <v>691</v>
      </c>
      <c r="C9633" s="83">
        <v>46222</v>
      </c>
      <c r="D9633" t="s">
        <v>313</v>
      </c>
      <c r="E9633" t="s">
        <v>126</v>
      </c>
      <c r="F9633">
        <v>14</v>
      </c>
      <c r="G9633">
        <v>36.119516666666698</v>
      </c>
    </row>
    <row r="9634" spans="1:7" x14ac:dyDescent="0.35">
      <c r="A9634" t="s">
        <v>847</v>
      </c>
      <c r="B9634" t="s">
        <v>691</v>
      </c>
      <c r="C9634" s="83">
        <v>46222</v>
      </c>
      <c r="D9634" t="s">
        <v>313</v>
      </c>
      <c r="E9634" t="s">
        <v>311</v>
      </c>
      <c r="F9634">
        <v>7</v>
      </c>
      <c r="G9634">
        <v>3.4193333333333298</v>
      </c>
    </row>
    <row r="9635" spans="1:7" x14ac:dyDescent="0.35">
      <c r="A9635" t="s">
        <v>847</v>
      </c>
      <c r="B9635" t="s">
        <v>691</v>
      </c>
      <c r="C9635" s="83">
        <v>46222</v>
      </c>
      <c r="D9635" t="s">
        <v>313</v>
      </c>
      <c r="E9635" t="s">
        <v>319</v>
      </c>
      <c r="F9635">
        <v>3</v>
      </c>
      <c r="G9635">
        <v>2.4085333333333301</v>
      </c>
    </row>
    <row r="9636" spans="1:7" x14ac:dyDescent="0.35">
      <c r="A9636" t="s">
        <v>847</v>
      </c>
      <c r="B9636" t="s">
        <v>691</v>
      </c>
      <c r="C9636" s="83">
        <v>46222</v>
      </c>
      <c r="D9636" t="s">
        <v>314</v>
      </c>
      <c r="E9636" t="s">
        <v>316</v>
      </c>
      <c r="F9636">
        <v>2</v>
      </c>
      <c r="G9636">
        <v>0.51013333333333299</v>
      </c>
    </row>
    <row r="9637" spans="1:7" x14ac:dyDescent="0.35">
      <c r="A9637" t="s">
        <v>847</v>
      </c>
      <c r="B9637" t="s">
        <v>691</v>
      </c>
      <c r="C9637" s="83">
        <v>46222</v>
      </c>
      <c r="D9637" t="s">
        <v>314</v>
      </c>
      <c r="E9637" t="s">
        <v>347</v>
      </c>
      <c r="F9637">
        <v>2</v>
      </c>
      <c r="G9637">
        <v>0.29613333333333303</v>
      </c>
    </row>
    <row r="9638" spans="1:7" x14ac:dyDescent="0.35">
      <c r="A9638" t="s">
        <v>847</v>
      </c>
      <c r="B9638" t="s">
        <v>691</v>
      </c>
      <c r="C9638" s="83">
        <v>46222</v>
      </c>
      <c r="D9638" t="s">
        <v>314</v>
      </c>
      <c r="E9638" t="s">
        <v>839</v>
      </c>
      <c r="F9638">
        <v>2</v>
      </c>
      <c r="G9638">
        <v>2.9681833333333301</v>
      </c>
    </row>
    <row r="9639" spans="1:7" x14ac:dyDescent="0.35">
      <c r="A9639" t="s">
        <v>847</v>
      </c>
      <c r="B9639" t="s">
        <v>691</v>
      </c>
      <c r="C9639" s="83">
        <v>46222</v>
      </c>
      <c r="D9639" t="s">
        <v>317</v>
      </c>
      <c r="E9639" t="s">
        <v>658</v>
      </c>
      <c r="F9639">
        <v>2</v>
      </c>
      <c r="G9639">
        <v>18.574483333333301</v>
      </c>
    </row>
    <row r="9640" spans="1:7" x14ac:dyDescent="0.35">
      <c r="A9640" t="s">
        <v>847</v>
      </c>
      <c r="B9640" t="s">
        <v>691</v>
      </c>
      <c r="C9640" s="83">
        <v>46223</v>
      </c>
      <c r="D9640" t="s">
        <v>295</v>
      </c>
      <c r="E9640" t="s">
        <v>296</v>
      </c>
      <c r="F9640">
        <v>74</v>
      </c>
      <c r="G9640">
        <v>30.05245</v>
      </c>
    </row>
    <row r="9641" spans="1:7" x14ac:dyDescent="0.35">
      <c r="A9641" t="s">
        <v>847</v>
      </c>
      <c r="B9641" t="s">
        <v>691</v>
      </c>
      <c r="C9641" s="83">
        <v>46223</v>
      </c>
      <c r="D9641" t="s">
        <v>299</v>
      </c>
      <c r="E9641" t="s">
        <v>296</v>
      </c>
      <c r="F9641">
        <v>28</v>
      </c>
      <c r="G9641">
        <v>10.6596666666667</v>
      </c>
    </row>
    <row r="9642" spans="1:7" x14ac:dyDescent="0.35">
      <c r="A9642" t="s">
        <v>847</v>
      </c>
      <c r="B9642" t="s">
        <v>691</v>
      </c>
      <c r="C9642" s="83">
        <v>46223</v>
      </c>
      <c r="D9642" t="s">
        <v>303</v>
      </c>
      <c r="E9642" t="s">
        <v>302</v>
      </c>
      <c r="F9642">
        <v>15</v>
      </c>
      <c r="G9642">
        <v>6.6784833333333298</v>
      </c>
    </row>
    <row r="9643" spans="1:7" x14ac:dyDescent="0.35">
      <c r="A9643" t="s">
        <v>847</v>
      </c>
      <c r="B9643" t="s">
        <v>691</v>
      </c>
      <c r="C9643" s="83">
        <v>46223</v>
      </c>
      <c r="D9643" t="s">
        <v>310</v>
      </c>
      <c r="E9643" t="s">
        <v>333</v>
      </c>
      <c r="F9643">
        <v>4</v>
      </c>
      <c r="G9643">
        <v>2.67201666666667</v>
      </c>
    </row>
    <row r="9644" spans="1:7" x14ac:dyDescent="0.35">
      <c r="A9644" t="s">
        <v>847</v>
      </c>
      <c r="B9644" t="s">
        <v>691</v>
      </c>
      <c r="C9644" s="83">
        <v>46223</v>
      </c>
      <c r="D9644" t="s">
        <v>310</v>
      </c>
      <c r="E9644" t="s">
        <v>316</v>
      </c>
      <c r="F9644">
        <v>4</v>
      </c>
      <c r="G9644">
        <v>6.3407666666666698</v>
      </c>
    </row>
    <row r="9645" spans="1:7" x14ac:dyDescent="0.35">
      <c r="A9645" t="s">
        <v>847</v>
      </c>
      <c r="B9645" t="s">
        <v>691</v>
      </c>
      <c r="C9645" s="83">
        <v>46223</v>
      </c>
      <c r="D9645" t="s">
        <v>310</v>
      </c>
      <c r="E9645" t="s">
        <v>311</v>
      </c>
      <c r="F9645">
        <v>3</v>
      </c>
      <c r="G9645">
        <v>0.5403</v>
      </c>
    </row>
    <row r="9646" spans="1:7" x14ac:dyDescent="0.35">
      <c r="A9646" t="s">
        <v>847</v>
      </c>
      <c r="B9646" t="s">
        <v>691</v>
      </c>
      <c r="C9646" s="83">
        <v>46223</v>
      </c>
      <c r="D9646" t="s">
        <v>313</v>
      </c>
      <c r="E9646" t="s">
        <v>126</v>
      </c>
      <c r="F9646">
        <v>17</v>
      </c>
      <c r="G9646">
        <v>37.347866666666697</v>
      </c>
    </row>
    <row r="9647" spans="1:7" x14ac:dyDescent="0.35">
      <c r="A9647" t="s">
        <v>847</v>
      </c>
      <c r="B9647" t="s">
        <v>691</v>
      </c>
      <c r="C9647" s="83">
        <v>46223</v>
      </c>
      <c r="D9647" t="s">
        <v>313</v>
      </c>
      <c r="E9647" t="s">
        <v>311</v>
      </c>
      <c r="F9647">
        <v>6</v>
      </c>
      <c r="G9647">
        <v>6.5490833333333303</v>
      </c>
    </row>
    <row r="9648" spans="1:7" x14ac:dyDescent="0.35">
      <c r="A9648" t="s">
        <v>847</v>
      </c>
      <c r="B9648" t="s">
        <v>691</v>
      </c>
      <c r="C9648" s="83">
        <v>46223</v>
      </c>
      <c r="D9648" t="s">
        <v>313</v>
      </c>
      <c r="E9648" t="s">
        <v>347</v>
      </c>
      <c r="F9648">
        <v>5</v>
      </c>
      <c r="G9648">
        <v>5.7700833333333303</v>
      </c>
    </row>
    <row r="9649" spans="1:7" x14ac:dyDescent="0.35">
      <c r="A9649" t="s">
        <v>847</v>
      </c>
      <c r="B9649" t="s">
        <v>691</v>
      </c>
      <c r="C9649" s="83">
        <v>46223</v>
      </c>
      <c r="D9649" t="s">
        <v>314</v>
      </c>
      <c r="E9649" t="s">
        <v>126</v>
      </c>
      <c r="F9649">
        <v>4</v>
      </c>
      <c r="G9649">
        <v>6.5136500000000002</v>
      </c>
    </row>
    <row r="9650" spans="1:7" x14ac:dyDescent="0.35">
      <c r="A9650" t="s">
        <v>847</v>
      </c>
      <c r="B9650" t="s">
        <v>691</v>
      </c>
      <c r="C9650" s="83">
        <v>46223</v>
      </c>
      <c r="D9650" t="s">
        <v>314</v>
      </c>
      <c r="E9650" t="s">
        <v>316</v>
      </c>
      <c r="F9650">
        <v>3</v>
      </c>
      <c r="G9650">
        <v>0.74346666666666705</v>
      </c>
    </row>
    <row r="9651" spans="1:7" x14ac:dyDescent="0.35">
      <c r="A9651" t="s">
        <v>847</v>
      </c>
      <c r="B9651" t="s">
        <v>691</v>
      </c>
      <c r="C9651" s="83">
        <v>46223</v>
      </c>
      <c r="D9651" t="s">
        <v>314</v>
      </c>
      <c r="E9651" t="s">
        <v>321</v>
      </c>
      <c r="F9651">
        <v>3</v>
      </c>
      <c r="G9651">
        <v>2.9883500000000001</v>
      </c>
    </row>
    <row r="9652" spans="1:7" x14ac:dyDescent="0.35">
      <c r="A9652" t="s">
        <v>847</v>
      </c>
      <c r="B9652" t="s">
        <v>691</v>
      </c>
      <c r="C9652" s="83">
        <v>46223</v>
      </c>
      <c r="D9652" t="s">
        <v>317</v>
      </c>
      <c r="E9652" t="s">
        <v>725</v>
      </c>
      <c r="F9652">
        <v>2</v>
      </c>
      <c r="G9652">
        <v>1.51216666666667</v>
      </c>
    </row>
    <row r="9653" spans="1:7" x14ac:dyDescent="0.35">
      <c r="A9653" t="s">
        <v>847</v>
      </c>
      <c r="B9653" t="s">
        <v>691</v>
      </c>
      <c r="C9653" s="83">
        <v>46224</v>
      </c>
      <c r="D9653" t="s">
        <v>295</v>
      </c>
      <c r="E9653" t="s">
        <v>296</v>
      </c>
      <c r="F9653">
        <v>45</v>
      </c>
      <c r="G9653">
        <v>19.472166666666698</v>
      </c>
    </row>
    <row r="9654" spans="1:7" x14ac:dyDescent="0.35">
      <c r="A9654" t="s">
        <v>847</v>
      </c>
      <c r="B9654" t="s">
        <v>691</v>
      </c>
      <c r="C9654" s="83">
        <v>46224</v>
      </c>
      <c r="D9654" t="s">
        <v>299</v>
      </c>
      <c r="E9654" t="s">
        <v>296</v>
      </c>
      <c r="F9654">
        <v>22</v>
      </c>
      <c r="G9654">
        <v>12.454599999999999</v>
      </c>
    </row>
    <row r="9655" spans="1:7" x14ac:dyDescent="0.35">
      <c r="A9655" t="s">
        <v>847</v>
      </c>
      <c r="B9655" t="s">
        <v>691</v>
      </c>
      <c r="C9655" s="83">
        <v>46224</v>
      </c>
      <c r="D9655" t="s">
        <v>301</v>
      </c>
      <c r="E9655" t="s">
        <v>302</v>
      </c>
      <c r="F9655">
        <v>11</v>
      </c>
      <c r="G9655">
        <v>9.5056166666666702</v>
      </c>
    </row>
    <row r="9656" spans="1:7" x14ac:dyDescent="0.35">
      <c r="A9656" t="s">
        <v>847</v>
      </c>
      <c r="B9656" t="s">
        <v>691</v>
      </c>
      <c r="C9656" s="83">
        <v>46224</v>
      </c>
      <c r="D9656" t="s">
        <v>310</v>
      </c>
      <c r="E9656" t="s">
        <v>333</v>
      </c>
      <c r="F9656">
        <v>8</v>
      </c>
      <c r="G9656">
        <v>267.99380000000002</v>
      </c>
    </row>
    <row r="9657" spans="1:7" x14ac:dyDescent="0.35">
      <c r="A9657" t="s">
        <v>847</v>
      </c>
      <c r="B9657" t="s">
        <v>691</v>
      </c>
      <c r="C9657" s="83">
        <v>46224</v>
      </c>
      <c r="D9657" t="s">
        <v>310</v>
      </c>
      <c r="E9657" t="s">
        <v>826</v>
      </c>
      <c r="F9657">
        <v>5</v>
      </c>
      <c r="G9657">
        <v>1.4114166666666701</v>
      </c>
    </row>
    <row r="9658" spans="1:7" x14ac:dyDescent="0.35">
      <c r="A9658" t="s">
        <v>847</v>
      </c>
      <c r="B9658" t="s">
        <v>691</v>
      </c>
      <c r="C9658" s="83">
        <v>46224</v>
      </c>
      <c r="D9658" t="s">
        <v>310</v>
      </c>
      <c r="E9658" t="s">
        <v>321</v>
      </c>
      <c r="F9658">
        <v>4</v>
      </c>
      <c r="G9658">
        <v>1.42326666666667</v>
      </c>
    </row>
    <row r="9659" spans="1:7" x14ac:dyDescent="0.35">
      <c r="A9659" t="s">
        <v>847</v>
      </c>
      <c r="B9659" t="s">
        <v>691</v>
      </c>
      <c r="C9659" s="83">
        <v>46224</v>
      </c>
      <c r="D9659" t="s">
        <v>313</v>
      </c>
      <c r="E9659" t="s">
        <v>126</v>
      </c>
      <c r="F9659">
        <v>7</v>
      </c>
      <c r="G9659">
        <v>12.0774333333333</v>
      </c>
    </row>
    <row r="9660" spans="1:7" x14ac:dyDescent="0.35">
      <c r="A9660" t="s">
        <v>847</v>
      </c>
      <c r="B9660" t="s">
        <v>691</v>
      </c>
      <c r="C9660" s="83">
        <v>46224</v>
      </c>
      <c r="D9660" t="s">
        <v>313</v>
      </c>
      <c r="E9660" t="s">
        <v>311</v>
      </c>
      <c r="F9660">
        <v>6</v>
      </c>
      <c r="G9660">
        <v>1.77918333333333</v>
      </c>
    </row>
    <row r="9661" spans="1:7" x14ac:dyDescent="0.35">
      <c r="A9661" t="s">
        <v>847</v>
      </c>
      <c r="B9661" t="s">
        <v>691</v>
      </c>
      <c r="C9661" s="83">
        <v>46224</v>
      </c>
      <c r="D9661" t="s">
        <v>313</v>
      </c>
      <c r="E9661" t="s">
        <v>312</v>
      </c>
      <c r="F9661">
        <v>5</v>
      </c>
      <c r="G9661">
        <v>1.4261666666666699</v>
      </c>
    </row>
    <row r="9662" spans="1:7" x14ac:dyDescent="0.35">
      <c r="A9662" t="s">
        <v>847</v>
      </c>
      <c r="B9662" t="s">
        <v>691</v>
      </c>
      <c r="C9662" s="83">
        <v>46224</v>
      </c>
      <c r="D9662" t="s">
        <v>314</v>
      </c>
      <c r="E9662" t="s">
        <v>126</v>
      </c>
      <c r="F9662">
        <v>5</v>
      </c>
      <c r="G9662">
        <v>9.3273333333333301</v>
      </c>
    </row>
    <row r="9663" spans="1:7" x14ac:dyDescent="0.35">
      <c r="A9663" t="s">
        <v>847</v>
      </c>
      <c r="B9663" t="s">
        <v>691</v>
      </c>
      <c r="C9663" s="83">
        <v>46224</v>
      </c>
      <c r="D9663" t="s">
        <v>314</v>
      </c>
      <c r="E9663" t="s">
        <v>321</v>
      </c>
      <c r="F9663">
        <v>2</v>
      </c>
      <c r="G9663">
        <v>0.650166666666667</v>
      </c>
    </row>
    <row r="9664" spans="1:7" x14ac:dyDescent="0.35">
      <c r="A9664" t="s">
        <v>847</v>
      </c>
      <c r="B9664" t="s">
        <v>691</v>
      </c>
      <c r="C9664" s="83">
        <v>46224</v>
      </c>
      <c r="D9664" t="s">
        <v>314</v>
      </c>
      <c r="E9664" t="s">
        <v>347</v>
      </c>
      <c r="F9664">
        <v>2</v>
      </c>
      <c r="G9664">
        <v>0.32971666666666699</v>
      </c>
    </row>
    <row r="9665" spans="1:7" x14ac:dyDescent="0.35">
      <c r="A9665" t="s">
        <v>847</v>
      </c>
      <c r="B9665" t="s">
        <v>691</v>
      </c>
      <c r="C9665" s="83">
        <v>46224</v>
      </c>
      <c r="D9665" t="s">
        <v>317</v>
      </c>
      <c r="E9665" t="s">
        <v>774</v>
      </c>
      <c r="F9665">
        <v>2</v>
      </c>
      <c r="G9665">
        <v>1.9070499999999999</v>
      </c>
    </row>
    <row r="9666" spans="1:7" x14ac:dyDescent="0.35">
      <c r="A9666" t="s">
        <v>847</v>
      </c>
      <c r="B9666" t="s">
        <v>691</v>
      </c>
      <c r="C9666" s="83">
        <v>46225</v>
      </c>
      <c r="D9666" t="s">
        <v>310</v>
      </c>
      <c r="E9666" t="s">
        <v>333</v>
      </c>
      <c r="F9666">
        <v>1</v>
      </c>
      <c r="G9666">
        <v>87.380516666666693</v>
      </c>
    </row>
    <row r="9667" spans="1:7" x14ac:dyDescent="0.35">
      <c r="A9667" t="s">
        <v>847</v>
      </c>
      <c r="B9667" t="s">
        <v>691</v>
      </c>
      <c r="C9667" s="83">
        <v>46225</v>
      </c>
      <c r="D9667" t="s">
        <v>310</v>
      </c>
      <c r="E9667" t="s">
        <v>826</v>
      </c>
      <c r="F9667">
        <v>1</v>
      </c>
      <c r="G9667">
        <v>351.80726666666698</v>
      </c>
    </row>
    <row r="9668" spans="1:7" x14ac:dyDescent="0.35">
      <c r="A9668" t="s">
        <v>847</v>
      </c>
      <c r="B9668" t="s">
        <v>691</v>
      </c>
      <c r="C9668" s="83">
        <v>46226</v>
      </c>
      <c r="D9668" t="s">
        <v>310</v>
      </c>
      <c r="E9668" t="s">
        <v>826</v>
      </c>
      <c r="F9668">
        <v>1</v>
      </c>
      <c r="G9668">
        <v>1440</v>
      </c>
    </row>
    <row r="9669" spans="1:7" x14ac:dyDescent="0.35">
      <c r="A9669" t="s">
        <v>847</v>
      </c>
      <c r="B9669" t="s">
        <v>691</v>
      </c>
      <c r="C9669" s="83">
        <v>46227</v>
      </c>
      <c r="D9669" t="s">
        <v>310</v>
      </c>
      <c r="E9669" t="s">
        <v>826</v>
      </c>
      <c r="F9669">
        <v>1</v>
      </c>
      <c r="G9669">
        <v>1440</v>
      </c>
    </row>
    <row r="9670" spans="1:7" x14ac:dyDescent="0.35">
      <c r="A9670" t="s">
        <v>847</v>
      </c>
      <c r="B9670" t="s">
        <v>691</v>
      </c>
      <c r="C9670" s="83">
        <v>46228</v>
      </c>
      <c r="D9670" t="s">
        <v>310</v>
      </c>
      <c r="E9670" t="s">
        <v>826</v>
      </c>
      <c r="F9670">
        <v>1</v>
      </c>
      <c r="G9670">
        <v>1440</v>
      </c>
    </row>
    <row r="9671" spans="1:7" x14ac:dyDescent="0.35">
      <c r="A9671" t="s">
        <v>847</v>
      </c>
      <c r="B9671" t="s">
        <v>691</v>
      </c>
      <c r="C9671" s="83">
        <v>46229</v>
      </c>
      <c r="D9671" t="s">
        <v>310</v>
      </c>
      <c r="E9671" t="s">
        <v>826</v>
      </c>
      <c r="F9671">
        <v>1</v>
      </c>
      <c r="G9671">
        <v>1440</v>
      </c>
    </row>
    <row r="9672" spans="1:7" x14ac:dyDescent="0.35">
      <c r="A9672" t="s">
        <v>847</v>
      </c>
      <c r="B9672" t="s">
        <v>691</v>
      </c>
      <c r="C9672" s="83">
        <v>46230</v>
      </c>
      <c r="D9672" t="s">
        <v>310</v>
      </c>
      <c r="E9672" t="s">
        <v>826</v>
      </c>
      <c r="F9672">
        <v>1</v>
      </c>
      <c r="G9672">
        <v>1440</v>
      </c>
    </row>
    <row r="9673" spans="1:7" x14ac:dyDescent="0.35">
      <c r="A9673" t="s">
        <v>847</v>
      </c>
      <c r="B9673" t="s">
        <v>691</v>
      </c>
      <c r="C9673" s="83">
        <v>46231</v>
      </c>
      <c r="D9673" t="s">
        <v>310</v>
      </c>
      <c r="E9673" t="s">
        <v>826</v>
      </c>
      <c r="F9673">
        <v>1</v>
      </c>
      <c r="G9673">
        <v>1440</v>
      </c>
    </row>
    <row r="9674" spans="1:7" x14ac:dyDescent="0.35">
      <c r="A9674" t="s">
        <v>847</v>
      </c>
      <c r="B9674" t="s">
        <v>691</v>
      </c>
      <c r="C9674" s="83">
        <v>46232</v>
      </c>
      <c r="D9674" t="s">
        <v>310</v>
      </c>
      <c r="E9674" t="s">
        <v>826</v>
      </c>
      <c r="F9674">
        <v>1</v>
      </c>
      <c r="G9674">
        <v>1440</v>
      </c>
    </row>
    <row r="9675" spans="1:7" x14ac:dyDescent="0.35">
      <c r="A9675" t="s">
        <v>847</v>
      </c>
      <c r="B9675" t="s">
        <v>691</v>
      </c>
      <c r="C9675" s="83">
        <v>46233</v>
      </c>
      <c r="D9675" t="s">
        <v>310</v>
      </c>
      <c r="E9675" t="s">
        <v>826</v>
      </c>
      <c r="F9675">
        <v>1</v>
      </c>
      <c r="G9675">
        <v>1440</v>
      </c>
    </row>
    <row r="9676" spans="1:7" x14ac:dyDescent="0.35">
      <c r="A9676" t="s">
        <v>847</v>
      </c>
      <c r="B9676" t="s">
        <v>691</v>
      </c>
      <c r="C9676" s="83">
        <v>46234</v>
      </c>
      <c r="D9676" t="s">
        <v>310</v>
      </c>
      <c r="E9676" t="s">
        <v>826</v>
      </c>
      <c r="F9676">
        <v>1</v>
      </c>
      <c r="G9676">
        <v>1440</v>
      </c>
    </row>
    <row r="9677" spans="1:7" x14ac:dyDescent="0.35">
      <c r="A9677" t="s">
        <v>847</v>
      </c>
      <c r="B9677" t="s">
        <v>691</v>
      </c>
      <c r="C9677" s="83">
        <v>46235</v>
      </c>
      <c r="D9677" t="s">
        <v>310</v>
      </c>
      <c r="E9677" t="s">
        <v>826</v>
      </c>
      <c r="F9677">
        <v>1</v>
      </c>
      <c r="G9677">
        <v>1440</v>
      </c>
    </row>
    <row r="9678" spans="1:7" x14ac:dyDescent="0.35">
      <c r="A9678" t="s">
        <v>847</v>
      </c>
      <c r="B9678" t="s">
        <v>691</v>
      </c>
      <c r="C9678" s="83">
        <v>46236</v>
      </c>
      <c r="D9678" t="s">
        <v>310</v>
      </c>
      <c r="E9678" t="s">
        <v>826</v>
      </c>
      <c r="F9678">
        <v>1</v>
      </c>
      <c r="G9678">
        <v>1440</v>
      </c>
    </row>
    <row r="9679" spans="1:7" x14ac:dyDescent="0.35">
      <c r="A9679" t="s">
        <v>847</v>
      </c>
      <c r="B9679" t="s">
        <v>691</v>
      </c>
      <c r="C9679" s="83">
        <v>46237</v>
      </c>
      <c r="D9679" t="s">
        <v>310</v>
      </c>
      <c r="E9679" t="s">
        <v>826</v>
      </c>
      <c r="F9679">
        <v>1</v>
      </c>
      <c r="G9679">
        <v>960</v>
      </c>
    </row>
    <row r="9680" spans="1:7" x14ac:dyDescent="0.35">
      <c r="A9680" t="s">
        <v>847</v>
      </c>
      <c r="B9680" t="s">
        <v>691</v>
      </c>
      <c r="C9680" s="83">
        <v>46238</v>
      </c>
      <c r="D9680" t="s">
        <v>310</v>
      </c>
      <c r="E9680" t="s">
        <v>826</v>
      </c>
      <c r="F9680">
        <v>1</v>
      </c>
      <c r="G9680">
        <v>1440</v>
      </c>
    </row>
    <row r="9681" spans="1:7" x14ac:dyDescent="0.35">
      <c r="A9681" t="s">
        <v>847</v>
      </c>
      <c r="B9681" t="s">
        <v>691</v>
      </c>
      <c r="C9681" s="83">
        <v>46239</v>
      </c>
      <c r="D9681" t="s">
        <v>310</v>
      </c>
      <c r="E9681" t="s">
        <v>826</v>
      </c>
      <c r="F9681">
        <v>1</v>
      </c>
      <c r="G9681">
        <v>1440</v>
      </c>
    </row>
    <row r="9682" spans="1:7" x14ac:dyDescent="0.35">
      <c r="A9682" t="s">
        <v>847</v>
      </c>
      <c r="B9682" t="s">
        <v>691</v>
      </c>
      <c r="C9682" s="83">
        <v>46240</v>
      </c>
      <c r="D9682" t="s">
        <v>310</v>
      </c>
      <c r="E9682" t="s">
        <v>826</v>
      </c>
      <c r="F9682">
        <v>1</v>
      </c>
      <c r="G9682">
        <v>1440</v>
      </c>
    </row>
    <row r="9683" spans="1:7" x14ac:dyDescent="0.35">
      <c r="A9683" t="s">
        <v>847</v>
      </c>
      <c r="B9683" t="s">
        <v>691</v>
      </c>
      <c r="C9683" s="83">
        <v>46241</v>
      </c>
      <c r="D9683" t="s">
        <v>310</v>
      </c>
      <c r="E9683" t="s">
        <v>826</v>
      </c>
      <c r="F9683">
        <v>1</v>
      </c>
      <c r="G9683">
        <v>330</v>
      </c>
    </row>
    <row r="9684" spans="1:7" x14ac:dyDescent="0.35">
      <c r="A9684" t="s">
        <v>847</v>
      </c>
      <c r="B9684" t="s">
        <v>691</v>
      </c>
      <c r="C9684" s="83">
        <v>46252</v>
      </c>
      <c r="D9684" t="s">
        <v>310</v>
      </c>
      <c r="E9684" t="s">
        <v>333</v>
      </c>
      <c r="F9684">
        <v>1</v>
      </c>
      <c r="G9684">
        <v>1110</v>
      </c>
    </row>
    <row r="9685" spans="1:7" x14ac:dyDescent="0.35">
      <c r="A9685" t="s">
        <v>847</v>
      </c>
      <c r="B9685" t="s">
        <v>691</v>
      </c>
      <c r="C9685" s="83">
        <v>46253</v>
      </c>
      <c r="D9685" t="s">
        <v>310</v>
      </c>
      <c r="E9685" t="s">
        <v>333</v>
      </c>
      <c r="F9685">
        <v>1</v>
      </c>
      <c r="G9685">
        <v>636.60961666666697</v>
      </c>
    </row>
    <row r="9686" spans="1:7" x14ac:dyDescent="0.35">
      <c r="A9686" t="s">
        <v>847</v>
      </c>
      <c r="B9686" t="s">
        <v>691</v>
      </c>
      <c r="C9686" s="83">
        <v>46253</v>
      </c>
      <c r="D9686" t="s">
        <v>313</v>
      </c>
      <c r="E9686" t="s">
        <v>830</v>
      </c>
      <c r="F9686">
        <v>2</v>
      </c>
      <c r="G9686">
        <v>27.994333333333302</v>
      </c>
    </row>
    <row r="9687" spans="1:7" x14ac:dyDescent="0.35">
      <c r="A9687" t="s">
        <v>847</v>
      </c>
      <c r="B9687" t="s">
        <v>691</v>
      </c>
      <c r="C9687" s="83">
        <v>46253</v>
      </c>
      <c r="D9687" t="s">
        <v>313</v>
      </c>
      <c r="E9687" t="s">
        <v>348</v>
      </c>
      <c r="F9687">
        <v>1</v>
      </c>
      <c r="G9687">
        <v>0.44576666666666698</v>
      </c>
    </row>
    <row r="9688" spans="1:7" x14ac:dyDescent="0.35">
      <c r="A9688" t="s">
        <v>847</v>
      </c>
      <c r="B9688" t="s">
        <v>691</v>
      </c>
      <c r="C9688" s="83">
        <v>46254</v>
      </c>
      <c r="D9688" t="s">
        <v>310</v>
      </c>
      <c r="E9688" t="s">
        <v>826</v>
      </c>
      <c r="F9688">
        <v>2</v>
      </c>
      <c r="G9688">
        <v>2.3623333333333298</v>
      </c>
    </row>
    <row r="9689" spans="1:7" x14ac:dyDescent="0.35">
      <c r="A9689" t="s">
        <v>847</v>
      </c>
      <c r="B9689" t="s">
        <v>691</v>
      </c>
      <c r="C9689" s="83">
        <v>46254</v>
      </c>
      <c r="D9689" t="s">
        <v>310</v>
      </c>
      <c r="E9689" t="s">
        <v>333</v>
      </c>
      <c r="F9689">
        <v>1</v>
      </c>
      <c r="G9689">
        <v>7.9672833333333299</v>
      </c>
    </row>
    <row r="9690" spans="1:7" x14ac:dyDescent="0.35">
      <c r="A9690" t="s">
        <v>847</v>
      </c>
      <c r="B9690" t="s">
        <v>691</v>
      </c>
      <c r="C9690" s="83">
        <v>46254</v>
      </c>
      <c r="D9690" t="s">
        <v>310</v>
      </c>
      <c r="E9690" t="s">
        <v>312</v>
      </c>
      <c r="F9690">
        <v>1</v>
      </c>
      <c r="G9690">
        <v>4.8156333333333299</v>
      </c>
    </row>
    <row r="9691" spans="1:7" x14ac:dyDescent="0.35">
      <c r="A9691" t="s">
        <v>847</v>
      </c>
      <c r="B9691" t="s">
        <v>691</v>
      </c>
      <c r="C9691" s="83">
        <v>46254</v>
      </c>
      <c r="D9691" t="s">
        <v>313</v>
      </c>
      <c r="E9691" t="s">
        <v>311</v>
      </c>
      <c r="F9691">
        <v>1</v>
      </c>
      <c r="G9691">
        <v>3.06646666666667</v>
      </c>
    </row>
    <row r="9692" spans="1:7" x14ac:dyDescent="0.35">
      <c r="A9692" t="s">
        <v>847</v>
      </c>
      <c r="B9692" t="s">
        <v>691</v>
      </c>
      <c r="C9692" s="83">
        <v>46255</v>
      </c>
      <c r="D9692" t="s">
        <v>295</v>
      </c>
      <c r="E9692" t="s">
        <v>296</v>
      </c>
      <c r="F9692">
        <v>36</v>
      </c>
      <c r="G9692">
        <v>203.944266666667</v>
      </c>
    </row>
    <row r="9693" spans="1:7" x14ac:dyDescent="0.35">
      <c r="A9693" t="s">
        <v>847</v>
      </c>
      <c r="B9693" t="s">
        <v>691</v>
      </c>
      <c r="C9693" s="83">
        <v>46255</v>
      </c>
      <c r="D9693" t="s">
        <v>295</v>
      </c>
      <c r="E9693" t="s">
        <v>831</v>
      </c>
      <c r="F9693">
        <v>3</v>
      </c>
      <c r="G9693">
        <v>0.62139999999999995</v>
      </c>
    </row>
    <row r="9694" spans="1:7" x14ac:dyDescent="0.35">
      <c r="A9694" t="s">
        <v>847</v>
      </c>
      <c r="B9694" t="s">
        <v>691</v>
      </c>
      <c r="C9694" s="83">
        <v>46255</v>
      </c>
      <c r="D9694" t="s">
        <v>299</v>
      </c>
      <c r="E9694" t="s">
        <v>296</v>
      </c>
      <c r="F9694">
        <v>44</v>
      </c>
      <c r="G9694">
        <v>88.611383333333293</v>
      </c>
    </row>
    <row r="9695" spans="1:7" x14ac:dyDescent="0.35">
      <c r="A9695" t="s">
        <v>847</v>
      </c>
      <c r="B9695" t="s">
        <v>691</v>
      </c>
      <c r="C9695" s="83">
        <v>46255</v>
      </c>
      <c r="D9695" t="s">
        <v>299</v>
      </c>
      <c r="E9695" t="s">
        <v>831</v>
      </c>
      <c r="F9695">
        <v>11</v>
      </c>
      <c r="G9695">
        <v>30.016466666666702</v>
      </c>
    </row>
    <row r="9696" spans="1:7" x14ac:dyDescent="0.35">
      <c r="A9696" t="s">
        <v>847</v>
      </c>
      <c r="B9696" t="s">
        <v>691</v>
      </c>
      <c r="C9696" s="83">
        <v>46255</v>
      </c>
      <c r="D9696" t="s">
        <v>299</v>
      </c>
      <c r="E9696" t="s">
        <v>302</v>
      </c>
      <c r="F9696">
        <v>8</v>
      </c>
      <c r="G9696">
        <v>4.9168166666666702</v>
      </c>
    </row>
    <row r="9697" spans="1:7" x14ac:dyDescent="0.35">
      <c r="A9697" t="s">
        <v>847</v>
      </c>
      <c r="B9697" t="s">
        <v>691</v>
      </c>
      <c r="C9697" s="83">
        <v>46255</v>
      </c>
      <c r="D9697" t="s">
        <v>301</v>
      </c>
      <c r="E9697" t="s">
        <v>296</v>
      </c>
      <c r="F9697">
        <v>34</v>
      </c>
      <c r="G9697">
        <v>44.541616666666698</v>
      </c>
    </row>
    <row r="9698" spans="1:7" x14ac:dyDescent="0.35">
      <c r="A9698" t="s">
        <v>847</v>
      </c>
      <c r="B9698" t="s">
        <v>691</v>
      </c>
      <c r="C9698" s="83">
        <v>46255</v>
      </c>
      <c r="D9698" t="s">
        <v>303</v>
      </c>
      <c r="E9698" t="s">
        <v>302</v>
      </c>
      <c r="F9698">
        <v>27</v>
      </c>
      <c r="G9698">
        <v>21.430316666666702</v>
      </c>
    </row>
    <row r="9699" spans="1:7" x14ac:dyDescent="0.35">
      <c r="A9699" t="s">
        <v>847</v>
      </c>
      <c r="B9699" t="s">
        <v>691</v>
      </c>
      <c r="C9699" s="83">
        <v>46255</v>
      </c>
      <c r="D9699" t="s">
        <v>310</v>
      </c>
      <c r="E9699" t="s">
        <v>338</v>
      </c>
      <c r="F9699">
        <v>4</v>
      </c>
      <c r="G9699">
        <v>4.7683499999999999</v>
      </c>
    </row>
    <row r="9700" spans="1:7" x14ac:dyDescent="0.35">
      <c r="A9700" t="s">
        <v>847</v>
      </c>
      <c r="B9700" t="s">
        <v>691</v>
      </c>
      <c r="C9700" s="83">
        <v>46255</v>
      </c>
      <c r="D9700" t="s">
        <v>310</v>
      </c>
      <c r="E9700" t="s">
        <v>311</v>
      </c>
      <c r="F9700">
        <v>3</v>
      </c>
      <c r="G9700">
        <v>1.72156666666667</v>
      </c>
    </row>
    <row r="9701" spans="1:7" x14ac:dyDescent="0.35">
      <c r="A9701" t="s">
        <v>847</v>
      </c>
      <c r="B9701" t="s">
        <v>691</v>
      </c>
      <c r="C9701" s="83">
        <v>46255</v>
      </c>
      <c r="D9701" t="s">
        <v>310</v>
      </c>
      <c r="E9701" t="s">
        <v>333</v>
      </c>
      <c r="F9701">
        <v>3</v>
      </c>
      <c r="G9701">
        <v>22.30255</v>
      </c>
    </row>
    <row r="9702" spans="1:7" x14ac:dyDescent="0.35">
      <c r="A9702" t="s">
        <v>847</v>
      </c>
      <c r="B9702" t="s">
        <v>691</v>
      </c>
      <c r="C9702" s="83">
        <v>46255</v>
      </c>
      <c r="D9702" t="s">
        <v>313</v>
      </c>
      <c r="E9702" t="s">
        <v>323</v>
      </c>
      <c r="F9702">
        <v>8</v>
      </c>
      <c r="G9702">
        <v>226.94595000000001</v>
      </c>
    </row>
    <row r="9703" spans="1:7" x14ac:dyDescent="0.35">
      <c r="A9703" t="s">
        <v>847</v>
      </c>
      <c r="B9703" t="s">
        <v>691</v>
      </c>
      <c r="C9703" s="83">
        <v>46255</v>
      </c>
      <c r="D9703" t="s">
        <v>313</v>
      </c>
      <c r="E9703" t="s">
        <v>316</v>
      </c>
      <c r="F9703">
        <v>7</v>
      </c>
      <c r="G9703">
        <v>98.4270833333333</v>
      </c>
    </row>
    <row r="9704" spans="1:7" x14ac:dyDescent="0.35">
      <c r="A9704" t="s">
        <v>847</v>
      </c>
      <c r="B9704" t="s">
        <v>691</v>
      </c>
      <c r="C9704" s="83">
        <v>46255</v>
      </c>
      <c r="D9704" t="s">
        <v>313</v>
      </c>
      <c r="E9704" t="s">
        <v>338</v>
      </c>
      <c r="F9704">
        <v>3</v>
      </c>
      <c r="G9704">
        <v>10.757350000000001</v>
      </c>
    </row>
    <row r="9705" spans="1:7" x14ac:dyDescent="0.35">
      <c r="A9705" t="s">
        <v>847</v>
      </c>
      <c r="B9705" t="s">
        <v>691</v>
      </c>
      <c r="C9705" s="83">
        <v>46255</v>
      </c>
      <c r="D9705" t="s">
        <v>314</v>
      </c>
      <c r="E9705" t="s">
        <v>256</v>
      </c>
      <c r="F9705">
        <v>4</v>
      </c>
      <c r="G9705">
        <v>7.0271166666666698</v>
      </c>
    </row>
    <row r="9706" spans="1:7" x14ac:dyDescent="0.35">
      <c r="A9706" t="s">
        <v>847</v>
      </c>
      <c r="B9706" t="s">
        <v>691</v>
      </c>
      <c r="C9706" s="83">
        <v>46255</v>
      </c>
      <c r="D9706" t="s">
        <v>314</v>
      </c>
      <c r="E9706" t="s">
        <v>311</v>
      </c>
      <c r="F9706">
        <v>4</v>
      </c>
      <c r="G9706">
        <v>29.172516666666699</v>
      </c>
    </row>
    <row r="9707" spans="1:7" x14ac:dyDescent="0.35">
      <c r="A9707" t="s">
        <v>847</v>
      </c>
      <c r="B9707" t="s">
        <v>691</v>
      </c>
      <c r="C9707" s="83">
        <v>46255</v>
      </c>
      <c r="D9707" t="s">
        <v>314</v>
      </c>
      <c r="E9707" t="s">
        <v>316</v>
      </c>
      <c r="F9707">
        <v>3</v>
      </c>
      <c r="G9707">
        <v>3.4805999999999999</v>
      </c>
    </row>
    <row r="9708" spans="1:7" x14ac:dyDescent="0.35">
      <c r="A9708" t="s">
        <v>847</v>
      </c>
      <c r="B9708" t="s">
        <v>691</v>
      </c>
      <c r="C9708" s="83">
        <v>46256</v>
      </c>
      <c r="D9708" t="s">
        <v>295</v>
      </c>
      <c r="E9708" t="s">
        <v>296</v>
      </c>
      <c r="F9708">
        <v>65</v>
      </c>
      <c r="G9708">
        <v>28.543516666666701</v>
      </c>
    </row>
    <row r="9709" spans="1:7" x14ac:dyDescent="0.35">
      <c r="A9709" t="s">
        <v>847</v>
      </c>
      <c r="B9709" t="s">
        <v>691</v>
      </c>
      <c r="C9709" s="83">
        <v>46256</v>
      </c>
      <c r="D9709" t="s">
        <v>299</v>
      </c>
      <c r="E9709" t="s">
        <v>296</v>
      </c>
      <c r="F9709">
        <v>29</v>
      </c>
      <c r="G9709">
        <v>13.2963166666667</v>
      </c>
    </row>
    <row r="9710" spans="1:7" x14ac:dyDescent="0.35">
      <c r="A9710" t="s">
        <v>847</v>
      </c>
      <c r="B9710" t="s">
        <v>691</v>
      </c>
      <c r="C9710" s="83">
        <v>46256</v>
      </c>
      <c r="D9710" t="s">
        <v>299</v>
      </c>
      <c r="E9710" t="s">
        <v>831</v>
      </c>
      <c r="F9710">
        <v>15</v>
      </c>
      <c r="G9710">
        <v>21.791266666666701</v>
      </c>
    </row>
    <row r="9711" spans="1:7" x14ac:dyDescent="0.35">
      <c r="A9711" t="s">
        <v>847</v>
      </c>
      <c r="B9711" t="s">
        <v>691</v>
      </c>
      <c r="C9711" s="83">
        <v>46256</v>
      </c>
      <c r="D9711" t="s">
        <v>299</v>
      </c>
      <c r="E9711" t="s">
        <v>302</v>
      </c>
      <c r="F9711">
        <v>15</v>
      </c>
      <c r="G9711">
        <v>17.140133333333299</v>
      </c>
    </row>
    <row r="9712" spans="1:7" x14ac:dyDescent="0.35">
      <c r="A9712" t="s">
        <v>847</v>
      </c>
      <c r="B9712" t="s">
        <v>691</v>
      </c>
      <c r="C9712" s="83">
        <v>46256</v>
      </c>
      <c r="D9712" t="s">
        <v>301</v>
      </c>
      <c r="E9712" t="s">
        <v>828</v>
      </c>
      <c r="F9712">
        <v>27</v>
      </c>
      <c r="G9712">
        <v>49.198966666666699</v>
      </c>
    </row>
    <row r="9713" spans="1:7" x14ac:dyDescent="0.35">
      <c r="A9713" t="s">
        <v>847</v>
      </c>
      <c r="B9713" t="s">
        <v>691</v>
      </c>
      <c r="C9713" s="83">
        <v>46256</v>
      </c>
      <c r="D9713" t="s">
        <v>303</v>
      </c>
      <c r="E9713" t="s">
        <v>637</v>
      </c>
      <c r="F9713">
        <v>40</v>
      </c>
      <c r="G9713">
        <v>18.964916666666699</v>
      </c>
    </row>
    <row r="9714" spans="1:7" x14ac:dyDescent="0.35">
      <c r="A9714" t="s">
        <v>847</v>
      </c>
      <c r="B9714" t="s">
        <v>691</v>
      </c>
      <c r="C9714" s="83">
        <v>46256</v>
      </c>
      <c r="D9714" t="s">
        <v>310</v>
      </c>
      <c r="E9714" t="s">
        <v>311</v>
      </c>
      <c r="F9714">
        <v>18</v>
      </c>
      <c r="G9714">
        <v>57.683916666666697</v>
      </c>
    </row>
    <row r="9715" spans="1:7" x14ac:dyDescent="0.35">
      <c r="A9715" t="s">
        <v>847</v>
      </c>
      <c r="B9715" t="s">
        <v>691</v>
      </c>
      <c r="C9715" s="83">
        <v>46256</v>
      </c>
      <c r="D9715" t="s">
        <v>310</v>
      </c>
      <c r="E9715" t="s">
        <v>333</v>
      </c>
      <c r="F9715">
        <v>9</v>
      </c>
      <c r="G9715">
        <v>12.5865166666667</v>
      </c>
    </row>
    <row r="9716" spans="1:7" x14ac:dyDescent="0.35">
      <c r="A9716" t="s">
        <v>847</v>
      </c>
      <c r="B9716" t="s">
        <v>691</v>
      </c>
      <c r="C9716" s="83">
        <v>46256</v>
      </c>
      <c r="D9716" t="s">
        <v>310</v>
      </c>
      <c r="E9716" t="s">
        <v>640</v>
      </c>
      <c r="F9716">
        <v>8</v>
      </c>
      <c r="G9716">
        <v>15.992100000000001</v>
      </c>
    </row>
    <row r="9717" spans="1:7" x14ac:dyDescent="0.35">
      <c r="A9717" t="s">
        <v>847</v>
      </c>
      <c r="B9717" t="s">
        <v>691</v>
      </c>
      <c r="C9717" s="83">
        <v>46256</v>
      </c>
      <c r="D9717" t="s">
        <v>313</v>
      </c>
      <c r="E9717" t="s">
        <v>126</v>
      </c>
      <c r="F9717">
        <v>19</v>
      </c>
      <c r="G9717">
        <v>33.698599999999999</v>
      </c>
    </row>
    <row r="9718" spans="1:7" x14ac:dyDescent="0.35">
      <c r="A9718" t="s">
        <v>847</v>
      </c>
      <c r="B9718" t="s">
        <v>691</v>
      </c>
      <c r="C9718" s="83">
        <v>46256</v>
      </c>
      <c r="D9718" t="s">
        <v>313</v>
      </c>
      <c r="E9718" t="s">
        <v>640</v>
      </c>
      <c r="F9718">
        <v>8</v>
      </c>
      <c r="G9718">
        <v>12.7287833333333</v>
      </c>
    </row>
    <row r="9719" spans="1:7" x14ac:dyDescent="0.35">
      <c r="A9719" t="s">
        <v>847</v>
      </c>
      <c r="B9719" t="s">
        <v>691</v>
      </c>
      <c r="C9719" s="83">
        <v>46256</v>
      </c>
      <c r="D9719" t="s">
        <v>313</v>
      </c>
      <c r="E9719" t="s">
        <v>338</v>
      </c>
      <c r="F9719">
        <v>5</v>
      </c>
      <c r="G9719">
        <v>6.2632500000000002</v>
      </c>
    </row>
    <row r="9720" spans="1:7" x14ac:dyDescent="0.35">
      <c r="A9720" t="s">
        <v>847</v>
      </c>
      <c r="B9720" t="s">
        <v>691</v>
      </c>
      <c r="C9720" s="83">
        <v>46256</v>
      </c>
      <c r="D9720" t="s">
        <v>314</v>
      </c>
      <c r="E9720" t="s">
        <v>640</v>
      </c>
      <c r="F9720">
        <v>6</v>
      </c>
      <c r="G9720">
        <v>6.0782333333333298</v>
      </c>
    </row>
    <row r="9721" spans="1:7" x14ac:dyDescent="0.35">
      <c r="A9721" t="s">
        <v>847</v>
      </c>
      <c r="B9721" t="s">
        <v>691</v>
      </c>
      <c r="C9721" s="83">
        <v>46256</v>
      </c>
      <c r="D9721" t="s">
        <v>314</v>
      </c>
      <c r="E9721" t="s">
        <v>319</v>
      </c>
      <c r="F9721">
        <v>3</v>
      </c>
      <c r="G9721">
        <v>1.25905</v>
      </c>
    </row>
    <row r="9722" spans="1:7" x14ac:dyDescent="0.35">
      <c r="A9722" t="s">
        <v>847</v>
      </c>
      <c r="B9722" t="s">
        <v>691</v>
      </c>
      <c r="C9722" s="83">
        <v>46256</v>
      </c>
      <c r="D9722" t="s">
        <v>314</v>
      </c>
      <c r="E9722" t="s">
        <v>311</v>
      </c>
      <c r="F9722">
        <v>3</v>
      </c>
      <c r="G9722">
        <v>341.308083333333</v>
      </c>
    </row>
    <row r="9723" spans="1:7" x14ac:dyDescent="0.35">
      <c r="A9723" t="s">
        <v>847</v>
      </c>
      <c r="B9723" t="s">
        <v>691</v>
      </c>
      <c r="C9723" s="83">
        <v>46257</v>
      </c>
      <c r="D9723" t="s">
        <v>295</v>
      </c>
      <c r="E9723" t="s">
        <v>296</v>
      </c>
      <c r="F9723">
        <v>76</v>
      </c>
      <c r="G9723">
        <v>45.202566666666698</v>
      </c>
    </row>
    <row r="9724" spans="1:7" x14ac:dyDescent="0.35">
      <c r="A9724" t="s">
        <v>847</v>
      </c>
      <c r="B9724" t="s">
        <v>691</v>
      </c>
      <c r="C9724" s="83">
        <v>46257</v>
      </c>
      <c r="D9724" t="s">
        <v>299</v>
      </c>
      <c r="E9724" t="s">
        <v>296</v>
      </c>
      <c r="F9724">
        <v>18</v>
      </c>
      <c r="G9724">
        <v>9.9650333333333307</v>
      </c>
    </row>
    <row r="9725" spans="1:7" x14ac:dyDescent="0.35">
      <c r="A9725" t="s">
        <v>847</v>
      </c>
      <c r="B9725" t="s">
        <v>691</v>
      </c>
      <c r="C9725" s="83">
        <v>46257</v>
      </c>
      <c r="D9725" t="s">
        <v>301</v>
      </c>
      <c r="E9725" t="s">
        <v>302</v>
      </c>
      <c r="F9725">
        <v>22</v>
      </c>
      <c r="G9725">
        <v>9.8284000000000002</v>
      </c>
    </row>
    <row r="9726" spans="1:7" x14ac:dyDescent="0.35">
      <c r="A9726" t="s">
        <v>847</v>
      </c>
      <c r="B9726" t="s">
        <v>691</v>
      </c>
      <c r="C9726" s="83">
        <v>46257</v>
      </c>
      <c r="D9726" t="s">
        <v>303</v>
      </c>
      <c r="E9726" t="s">
        <v>637</v>
      </c>
      <c r="F9726">
        <v>38</v>
      </c>
      <c r="G9726">
        <v>14.915516666666701</v>
      </c>
    </row>
    <row r="9727" spans="1:7" x14ac:dyDescent="0.35">
      <c r="A9727" t="s">
        <v>847</v>
      </c>
      <c r="B9727" t="s">
        <v>691</v>
      </c>
      <c r="C9727" s="83">
        <v>46257</v>
      </c>
      <c r="D9727" t="s">
        <v>310</v>
      </c>
      <c r="E9727" t="s">
        <v>311</v>
      </c>
      <c r="F9727">
        <v>29</v>
      </c>
      <c r="G9727">
        <v>41.094366666666701</v>
      </c>
    </row>
    <row r="9728" spans="1:7" x14ac:dyDescent="0.35">
      <c r="A9728" t="s">
        <v>847</v>
      </c>
      <c r="B9728" t="s">
        <v>691</v>
      </c>
      <c r="C9728" s="83">
        <v>46257</v>
      </c>
      <c r="D9728" t="s">
        <v>310</v>
      </c>
      <c r="E9728" t="s">
        <v>312</v>
      </c>
      <c r="F9728">
        <v>4</v>
      </c>
      <c r="G9728">
        <v>0.82126666666666703</v>
      </c>
    </row>
    <row r="9729" spans="1:7" x14ac:dyDescent="0.35">
      <c r="A9729" t="s">
        <v>847</v>
      </c>
      <c r="B9729" t="s">
        <v>691</v>
      </c>
      <c r="C9729" s="83">
        <v>46257</v>
      </c>
      <c r="D9729" t="s">
        <v>310</v>
      </c>
      <c r="E9729" t="s">
        <v>316</v>
      </c>
      <c r="F9729">
        <v>3</v>
      </c>
      <c r="G9729">
        <v>1.6846666666666701</v>
      </c>
    </row>
    <row r="9730" spans="1:7" x14ac:dyDescent="0.35">
      <c r="A9730" t="s">
        <v>847</v>
      </c>
      <c r="B9730" t="s">
        <v>691</v>
      </c>
      <c r="C9730" s="83">
        <v>46257</v>
      </c>
      <c r="D9730" t="s">
        <v>313</v>
      </c>
      <c r="E9730" t="s">
        <v>640</v>
      </c>
      <c r="F9730">
        <v>27</v>
      </c>
      <c r="G9730">
        <v>72.212433333333294</v>
      </c>
    </row>
    <row r="9731" spans="1:7" x14ac:dyDescent="0.35">
      <c r="A9731" t="s">
        <v>847</v>
      </c>
      <c r="B9731" t="s">
        <v>691</v>
      </c>
      <c r="C9731" s="83">
        <v>46257</v>
      </c>
      <c r="D9731" t="s">
        <v>313</v>
      </c>
      <c r="E9731" t="s">
        <v>126</v>
      </c>
      <c r="F9731">
        <v>26</v>
      </c>
      <c r="G9731">
        <v>149.393566666667</v>
      </c>
    </row>
    <row r="9732" spans="1:7" x14ac:dyDescent="0.35">
      <c r="A9732" t="s">
        <v>847</v>
      </c>
      <c r="B9732" t="s">
        <v>691</v>
      </c>
      <c r="C9732" s="83">
        <v>46257</v>
      </c>
      <c r="D9732" t="s">
        <v>313</v>
      </c>
      <c r="E9732" t="s">
        <v>312</v>
      </c>
      <c r="F9732">
        <v>8</v>
      </c>
      <c r="G9732">
        <v>13.185083333333299</v>
      </c>
    </row>
    <row r="9733" spans="1:7" x14ac:dyDescent="0.35">
      <c r="A9733" t="s">
        <v>847</v>
      </c>
      <c r="B9733" t="s">
        <v>691</v>
      </c>
      <c r="C9733" s="83">
        <v>46257</v>
      </c>
      <c r="D9733" t="s">
        <v>314</v>
      </c>
      <c r="E9733" t="s">
        <v>640</v>
      </c>
      <c r="F9733">
        <v>12</v>
      </c>
      <c r="G9733">
        <v>19.804283333333299</v>
      </c>
    </row>
    <row r="9734" spans="1:7" x14ac:dyDescent="0.35">
      <c r="A9734" t="s">
        <v>847</v>
      </c>
      <c r="B9734" t="s">
        <v>691</v>
      </c>
      <c r="C9734" s="83">
        <v>46257</v>
      </c>
      <c r="D9734" t="s">
        <v>314</v>
      </c>
      <c r="E9734" t="s">
        <v>316</v>
      </c>
      <c r="F9734">
        <v>8</v>
      </c>
      <c r="G9734">
        <v>6.6306500000000002</v>
      </c>
    </row>
    <row r="9735" spans="1:7" x14ac:dyDescent="0.35">
      <c r="A9735" t="s">
        <v>847</v>
      </c>
      <c r="B9735" t="s">
        <v>691</v>
      </c>
      <c r="C9735" s="83">
        <v>46257</v>
      </c>
      <c r="D9735" t="s">
        <v>314</v>
      </c>
      <c r="E9735" t="s">
        <v>311</v>
      </c>
      <c r="F9735">
        <v>6</v>
      </c>
      <c r="G9735">
        <v>33.763800000000003</v>
      </c>
    </row>
    <row r="9736" spans="1:7" x14ac:dyDescent="0.35">
      <c r="A9736" t="s">
        <v>847</v>
      </c>
      <c r="B9736" t="s">
        <v>691</v>
      </c>
      <c r="C9736" s="83">
        <v>46257</v>
      </c>
      <c r="D9736" t="s">
        <v>317</v>
      </c>
      <c r="E9736" t="s">
        <v>318</v>
      </c>
      <c r="F9736">
        <v>2</v>
      </c>
      <c r="G9736">
        <v>2.65946666666667</v>
      </c>
    </row>
    <row r="9737" spans="1:7" x14ac:dyDescent="0.35">
      <c r="A9737" t="s">
        <v>847</v>
      </c>
      <c r="B9737" t="s">
        <v>691</v>
      </c>
      <c r="C9737" s="83">
        <v>46258</v>
      </c>
      <c r="D9737" t="s">
        <v>295</v>
      </c>
      <c r="E9737" t="s">
        <v>296</v>
      </c>
      <c r="F9737">
        <v>72</v>
      </c>
      <c r="G9737">
        <v>23.561616666666701</v>
      </c>
    </row>
    <row r="9738" spans="1:7" x14ac:dyDescent="0.35">
      <c r="A9738" t="s">
        <v>847</v>
      </c>
      <c r="B9738" t="s">
        <v>691</v>
      </c>
      <c r="C9738" s="83">
        <v>46258</v>
      </c>
      <c r="D9738" t="s">
        <v>299</v>
      </c>
      <c r="E9738" t="s">
        <v>296</v>
      </c>
      <c r="F9738">
        <v>17</v>
      </c>
      <c r="G9738">
        <v>8.4857666666666702</v>
      </c>
    </row>
    <row r="9739" spans="1:7" x14ac:dyDescent="0.35">
      <c r="A9739" t="s">
        <v>847</v>
      </c>
      <c r="B9739" t="s">
        <v>691</v>
      </c>
      <c r="C9739" s="83">
        <v>46258</v>
      </c>
      <c r="D9739" t="s">
        <v>303</v>
      </c>
      <c r="E9739" t="s">
        <v>302</v>
      </c>
      <c r="F9739">
        <v>9</v>
      </c>
      <c r="G9739">
        <v>3.1004499999999999</v>
      </c>
    </row>
    <row r="9740" spans="1:7" x14ac:dyDescent="0.35">
      <c r="A9740" t="s">
        <v>847</v>
      </c>
      <c r="B9740" t="s">
        <v>691</v>
      </c>
      <c r="C9740" s="83">
        <v>46258</v>
      </c>
      <c r="D9740" t="s">
        <v>310</v>
      </c>
      <c r="E9740" t="s">
        <v>311</v>
      </c>
      <c r="F9740">
        <v>24</v>
      </c>
      <c r="G9740">
        <v>25.9600166666667</v>
      </c>
    </row>
    <row r="9741" spans="1:7" x14ac:dyDescent="0.35">
      <c r="A9741" t="s">
        <v>847</v>
      </c>
      <c r="B9741" t="s">
        <v>691</v>
      </c>
      <c r="C9741" s="83">
        <v>46258</v>
      </c>
      <c r="D9741" t="s">
        <v>310</v>
      </c>
      <c r="E9741" t="s">
        <v>312</v>
      </c>
      <c r="F9741">
        <v>11</v>
      </c>
      <c r="G9741">
        <v>12.5733333333333</v>
      </c>
    </row>
    <row r="9742" spans="1:7" x14ac:dyDescent="0.35">
      <c r="A9742" t="s">
        <v>847</v>
      </c>
      <c r="B9742" t="s">
        <v>691</v>
      </c>
      <c r="C9742" s="83">
        <v>46258</v>
      </c>
      <c r="D9742" t="s">
        <v>310</v>
      </c>
      <c r="E9742" t="s">
        <v>640</v>
      </c>
      <c r="F9742">
        <v>7</v>
      </c>
      <c r="G9742">
        <v>11.679033333333299</v>
      </c>
    </row>
    <row r="9743" spans="1:7" x14ac:dyDescent="0.35">
      <c r="A9743" t="s">
        <v>847</v>
      </c>
      <c r="B9743" t="s">
        <v>691</v>
      </c>
      <c r="C9743" s="83">
        <v>46258</v>
      </c>
      <c r="D9743" t="s">
        <v>313</v>
      </c>
      <c r="E9743" t="s">
        <v>311</v>
      </c>
      <c r="F9743">
        <v>28</v>
      </c>
      <c r="G9743">
        <v>44.847366666666701</v>
      </c>
    </row>
    <row r="9744" spans="1:7" x14ac:dyDescent="0.35">
      <c r="A9744" t="s">
        <v>847</v>
      </c>
      <c r="B9744" t="s">
        <v>691</v>
      </c>
      <c r="C9744" s="83">
        <v>46258</v>
      </c>
      <c r="D9744" t="s">
        <v>313</v>
      </c>
      <c r="E9744" t="s">
        <v>347</v>
      </c>
      <c r="F9744">
        <v>3</v>
      </c>
      <c r="G9744">
        <v>0.83083333333333298</v>
      </c>
    </row>
    <row r="9745" spans="1:7" x14ac:dyDescent="0.35">
      <c r="A9745" t="s">
        <v>847</v>
      </c>
      <c r="B9745" t="s">
        <v>691</v>
      </c>
      <c r="C9745" s="83">
        <v>46258</v>
      </c>
      <c r="D9745" t="s">
        <v>313</v>
      </c>
      <c r="E9745" t="s">
        <v>316</v>
      </c>
      <c r="F9745">
        <v>2</v>
      </c>
      <c r="G9745">
        <v>3.9203000000000001</v>
      </c>
    </row>
    <row r="9746" spans="1:7" x14ac:dyDescent="0.35">
      <c r="A9746" t="s">
        <v>847</v>
      </c>
      <c r="B9746" t="s">
        <v>691</v>
      </c>
      <c r="C9746" s="83">
        <v>46258</v>
      </c>
      <c r="D9746" t="s">
        <v>314</v>
      </c>
      <c r="E9746" t="s">
        <v>316</v>
      </c>
      <c r="F9746">
        <v>5</v>
      </c>
      <c r="G9746">
        <v>1.7782</v>
      </c>
    </row>
    <row r="9747" spans="1:7" x14ac:dyDescent="0.35">
      <c r="A9747" t="s">
        <v>847</v>
      </c>
      <c r="B9747" t="s">
        <v>691</v>
      </c>
      <c r="C9747" s="83">
        <v>46258</v>
      </c>
      <c r="D9747" t="s">
        <v>314</v>
      </c>
      <c r="E9747" t="s">
        <v>640</v>
      </c>
      <c r="F9747">
        <v>5</v>
      </c>
      <c r="G9747">
        <v>12.294916666666699</v>
      </c>
    </row>
    <row r="9748" spans="1:7" x14ac:dyDescent="0.35">
      <c r="A9748" t="s">
        <v>847</v>
      </c>
      <c r="B9748" t="s">
        <v>691</v>
      </c>
      <c r="C9748" s="83">
        <v>46258</v>
      </c>
      <c r="D9748" t="s">
        <v>314</v>
      </c>
      <c r="E9748" t="s">
        <v>126</v>
      </c>
      <c r="F9748">
        <v>4</v>
      </c>
      <c r="G9748">
        <v>9.2298666666666698</v>
      </c>
    </row>
    <row r="9749" spans="1:7" x14ac:dyDescent="0.35">
      <c r="A9749" t="s">
        <v>847</v>
      </c>
      <c r="B9749" t="s">
        <v>691</v>
      </c>
      <c r="C9749" s="83">
        <v>46258</v>
      </c>
      <c r="D9749" t="s">
        <v>317</v>
      </c>
      <c r="E9749" t="s">
        <v>319</v>
      </c>
      <c r="F9749">
        <v>5</v>
      </c>
      <c r="G9749">
        <v>2.4133833333333299</v>
      </c>
    </row>
    <row r="9750" spans="1:7" x14ac:dyDescent="0.35">
      <c r="A9750" t="s">
        <v>847</v>
      </c>
      <c r="B9750" t="s">
        <v>691</v>
      </c>
      <c r="C9750" s="83">
        <v>46258</v>
      </c>
      <c r="D9750" t="s">
        <v>317</v>
      </c>
      <c r="E9750" t="s">
        <v>840</v>
      </c>
      <c r="F9750">
        <v>2</v>
      </c>
      <c r="G9750">
        <v>0.31233333333333302</v>
      </c>
    </row>
    <row r="9751" spans="1:7" x14ac:dyDescent="0.35">
      <c r="A9751" t="s">
        <v>847</v>
      </c>
      <c r="B9751" t="s">
        <v>691</v>
      </c>
      <c r="C9751" s="83">
        <v>46258</v>
      </c>
      <c r="D9751" t="s">
        <v>317</v>
      </c>
      <c r="E9751" t="s">
        <v>339</v>
      </c>
      <c r="F9751">
        <v>2</v>
      </c>
      <c r="G9751">
        <v>2.2982666666666698</v>
      </c>
    </row>
    <row r="9752" spans="1:7" x14ac:dyDescent="0.35">
      <c r="A9752" t="s">
        <v>847</v>
      </c>
      <c r="B9752" t="s">
        <v>691</v>
      </c>
      <c r="C9752" s="83">
        <v>46259</v>
      </c>
      <c r="D9752" t="s">
        <v>295</v>
      </c>
      <c r="E9752" t="s">
        <v>296</v>
      </c>
      <c r="F9752">
        <v>38</v>
      </c>
      <c r="G9752">
        <v>23.418283333333299</v>
      </c>
    </row>
    <row r="9753" spans="1:7" x14ac:dyDescent="0.35">
      <c r="A9753" t="s">
        <v>847</v>
      </c>
      <c r="B9753" t="s">
        <v>691</v>
      </c>
      <c r="C9753" s="83">
        <v>46259</v>
      </c>
      <c r="D9753" t="s">
        <v>299</v>
      </c>
      <c r="E9753" t="s">
        <v>637</v>
      </c>
      <c r="F9753">
        <v>7</v>
      </c>
      <c r="G9753">
        <v>4.1694000000000004</v>
      </c>
    </row>
    <row r="9754" spans="1:7" x14ac:dyDescent="0.35">
      <c r="A9754" t="s">
        <v>847</v>
      </c>
      <c r="B9754" t="s">
        <v>691</v>
      </c>
      <c r="C9754" s="83">
        <v>46259</v>
      </c>
      <c r="D9754" t="s">
        <v>303</v>
      </c>
      <c r="E9754" t="s">
        <v>302</v>
      </c>
      <c r="F9754">
        <v>16</v>
      </c>
      <c r="G9754">
        <v>8.6084333333333305</v>
      </c>
    </row>
    <row r="9755" spans="1:7" x14ac:dyDescent="0.35">
      <c r="A9755" t="s">
        <v>847</v>
      </c>
      <c r="B9755" t="s">
        <v>691</v>
      </c>
      <c r="C9755" s="83">
        <v>46259</v>
      </c>
      <c r="D9755" t="s">
        <v>310</v>
      </c>
      <c r="E9755" t="s">
        <v>333</v>
      </c>
      <c r="F9755">
        <v>3</v>
      </c>
      <c r="G9755">
        <v>4.5656166666666698</v>
      </c>
    </row>
    <row r="9756" spans="1:7" x14ac:dyDescent="0.35">
      <c r="A9756" t="s">
        <v>847</v>
      </c>
      <c r="B9756" t="s">
        <v>691</v>
      </c>
      <c r="C9756" s="83">
        <v>46259</v>
      </c>
      <c r="D9756" t="s">
        <v>310</v>
      </c>
      <c r="E9756" t="s">
        <v>348</v>
      </c>
      <c r="F9756">
        <v>3</v>
      </c>
      <c r="G9756">
        <v>0.79398333333333304</v>
      </c>
    </row>
    <row r="9757" spans="1:7" x14ac:dyDescent="0.35">
      <c r="A9757" t="s">
        <v>847</v>
      </c>
      <c r="B9757" t="s">
        <v>691</v>
      </c>
      <c r="C9757" s="83">
        <v>46259</v>
      </c>
      <c r="D9757" t="s">
        <v>310</v>
      </c>
      <c r="E9757" t="s">
        <v>311</v>
      </c>
      <c r="F9757">
        <v>3</v>
      </c>
      <c r="G9757">
        <v>0.57276666666666698</v>
      </c>
    </row>
    <row r="9758" spans="1:7" x14ac:dyDescent="0.35">
      <c r="A9758" t="s">
        <v>847</v>
      </c>
      <c r="B9758" t="s">
        <v>691</v>
      </c>
      <c r="C9758" s="83">
        <v>46259</v>
      </c>
      <c r="D9758" t="s">
        <v>313</v>
      </c>
      <c r="E9758" t="s">
        <v>827</v>
      </c>
      <c r="F9758">
        <v>3</v>
      </c>
      <c r="G9758">
        <v>15.0577166666667</v>
      </c>
    </row>
    <row r="9759" spans="1:7" x14ac:dyDescent="0.35">
      <c r="A9759" t="s">
        <v>847</v>
      </c>
      <c r="B9759" t="s">
        <v>691</v>
      </c>
      <c r="C9759" s="83">
        <v>46259</v>
      </c>
      <c r="D9759" t="s">
        <v>313</v>
      </c>
      <c r="E9759" t="s">
        <v>311</v>
      </c>
      <c r="F9759">
        <v>3</v>
      </c>
      <c r="G9759">
        <v>0.99516666666666698</v>
      </c>
    </row>
    <row r="9760" spans="1:7" x14ac:dyDescent="0.35">
      <c r="A9760" t="s">
        <v>847</v>
      </c>
      <c r="B9760" t="s">
        <v>691</v>
      </c>
      <c r="C9760" s="83">
        <v>46259</v>
      </c>
      <c r="D9760" t="s">
        <v>313</v>
      </c>
      <c r="E9760" t="s">
        <v>777</v>
      </c>
      <c r="F9760">
        <v>2</v>
      </c>
      <c r="G9760">
        <v>0.8377</v>
      </c>
    </row>
    <row r="9761" spans="1:7" x14ac:dyDescent="0.35">
      <c r="A9761" t="s">
        <v>847</v>
      </c>
      <c r="B9761" t="s">
        <v>691</v>
      </c>
      <c r="C9761" s="83">
        <v>46259</v>
      </c>
      <c r="D9761" t="s">
        <v>314</v>
      </c>
      <c r="E9761" t="s">
        <v>126</v>
      </c>
      <c r="F9761">
        <v>4</v>
      </c>
      <c r="G9761">
        <v>6.79151666666667</v>
      </c>
    </row>
    <row r="9762" spans="1:7" x14ac:dyDescent="0.35">
      <c r="A9762" t="s">
        <v>847</v>
      </c>
      <c r="B9762" t="s">
        <v>691</v>
      </c>
      <c r="C9762" s="83">
        <v>46259</v>
      </c>
      <c r="D9762" t="s">
        <v>314</v>
      </c>
      <c r="E9762" t="s">
        <v>321</v>
      </c>
      <c r="F9762">
        <v>2</v>
      </c>
      <c r="G9762">
        <v>0.35010000000000002</v>
      </c>
    </row>
    <row r="9763" spans="1:7" x14ac:dyDescent="0.35">
      <c r="A9763" t="s">
        <v>847</v>
      </c>
      <c r="B9763" t="s">
        <v>691</v>
      </c>
      <c r="C9763" s="83">
        <v>46259</v>
      </c>
      <c r="D9763" t="s">
        <v>314</v>
      </c>
      <c r="E9763" t="s">
        <v>347</v>
      </c>
      <c r="F9763">
        <v>2</v>
      </c>
      <c r="G9763">
        <v>2.1935166666666701</v>
      </c>
    </row>
    <row r="9764" spans="1:7" x14ac:dyDescent="0.35">
      <c r="A9764" t="s">
        <v>847</v>
      </c>
      <c r="B9764" t="s">
        <v>691</v>
      </c>
      <c r="C9764" s="83">
        <v>46259</v>
      </c>
      <c r="D9764" t="s">
        <v>317</v>
      </c>
      <c r="E9764" t="s">
        <v>772</v>
      </c>
      <c r="F9764">
        <v>2</v>
      </c>
      <c r="G9764">
        <v>3.3297166666666702</v>
      </c>
    </row>
    <row r="9765" spans="1:7" x14ac:dyDescent="0.35">
      <c r="A9765" t="s">
        <v>847</v>
      </c>
      <c r="B9765" t="s">
        <v>691</v>
      </c>
      <c r="C9765" s="83">
        <v>46259</v>
      </c>
      <c r="D9765" t="s">
        <v>317</v>
      </c>
      <c r="E9765" t="s">
        <v>322</v>
      </c>
      <c r="F9765">
        <v>2</v>
      </c>
      <c r="G9765">
        <v>1.3075000000000001</v>
      </c>
    </row>
    <row r="9766" spans="1:7" x14ac:dyDescent="0.35">
      <c r="A9766" t="s">
        <v>847</v>
      </c>
      <c r="B9766" t="s">
        <v>691</v>
      </c>
      <c r="C9766" s="83">
        <v>46259</v>
      </c>
      <c r="D9766" t="s">
        <v>317</v>
      </c>
      <c r="E9766" t="s">
        <v>777</v>
      </c>
      <c r="F9766">
        <v>1</v>
      </c>
      <c r="G9766">
        <v>2.64496666666667</v>
      </c>
    </row>
    <row r="9767" spans="1:7" x14ac:dyDescent="0.35">
      <c r="A9767" t="s">
        <v>847</v>
      </c>
      <c r="B9767" t="s">
        <v>691</v>
      </c>
      <c r="C9767" s="83">
        <v>46260</v>
      </c>
      <c r="D9767" t="s">
        <v>295</v>
      </c>
      <c r="E9767" t="s">
        <v>296</v>
      </c>
      <c r="F9767">
        <v>177</v>
      </c>
      <c r="G9767">
        <v>94.725733333333295</v>
      </c>
    </row>
    <row r="9768" spans="1:7" x14ac:dyDescent="0.35">
      <c r="A9768" t="s">
        <v>847</v>
      </c>
      <c r="B9768" t="s">
        <v>691</v>
      </c>
      <c r="C9768" s="83">
        <v>46260</v>
      </c>
      <c r="D9768" t="s">
        <v>299</v>
      </c>
      <c r="E9768" t="s">
        <v>296</v>
      </c>
      <c r="F9768">
        <v>20</v>
      </c>
      <c r="G9768">
        <v>18.095883333333301</v>
      </c>
    </row>
    <row r="9769" spans="1:7" x14ac:dyDescent="0.35">
      <c r="A9769" t="s">
        <v>847</v>
      </c>
      <c r="B9769" t="s">
        <v>691</v>
      </c>
      <c r="C9769" s="83">
        <v>46260</v>
      </c>
      <c r="D9769" t="s">
        <v>309</v>
      </c>
      <c r="E9769" t="s">
        <v>344</v>
      </c>
      <c r="F9769">
        <v>26</v>
      </c>
      <c r="G9769">
        <v>50.927549999999997</v>
      </c>
    </row>
    <row r="9770" spans="1:7" x14ac:dyDescent="0.35">
      <c r="A9770" t="s">
        <v>847</v>
      </c>
      <c r="B9770" t="s">
        <v>691</v>
      </c>
      <c r="C9770" s="83">
        <v>46260</v>
      </c>
      <c r="D9770" t="s">
        <v>310</v>
      </c>
      <c r="E9770" t="s">
        <v>311</v>
      </c>
      <c r="F9770">
        <v>14</v>
      </c>
      <c r="G9770">
        <v>6.8643666666666698</v>
      </c>
    </row>
    <row r="9771" spans="1:7" x14ac:dyDescent="0.35">
      <c r="A9771" t="s">
        <v>847</v>
      </c>
      <c r="B9771" t="s">
        <v>691</v>
      </c>
      <c r="C9771" s="83">
        <v>46260</v>
      </c>
      <c r="D9771" t="s">
        <v>310</v>
      </c>
      <c r="E9771" t="s">
        <v>126</v>
      </c>
      <c r="F9771">
        <v>8</v>
      </c>
      <c r="G9771">
        <v>16.229133333333301</v>
      </c>
    </row>
    <row r="9772" spans="1:7" x14ac:dyDescent="0.35">
      <c r="A9772" t="s">
        <v>847</v>
      </c>
      <c r="B9772" t="s">
        <v>691</v>
      </c>
      <c r="C9772" s="83">
        <v>46260</v>
      </c>
      <c r="D9772" t="s">
        <v>310</v>
      </c>
      <c r="E9772" t="s">
        <v>333</v>
      </c>
      <c r="F9772">
        <v>7</v>
      </c>
      <c r="G9772">
        <v>6.6569166666666701</v>
      </c>
    </row>
    <row r="9773" spans="1:7" x14ac:dyDescent="0.35">
      <c r="A9773" t="s">
        <v>847</v>
      </c>
      <c r="B9773" t="s">
        <v>691</v>
      </c>
      <c r="C9773" s="83">
        <v>46260</v>
      </c>
      <c r="D9773" t="s">
        <v>313</v>
      </c>
      <c r="E9773" t="s">
        <v>126</v>
      </c>
      <c r="F9773">
        <v>7</v>
      </c>
      <c r="G9773">
        <v>17.669049999999999</v>
      </c>
    </row>
    <row r="9774" spans="1:7" x14ac:dyDescent="0.35">
      <c r="A9774" t="s">
        <v>847</v>
      </c>
      <c r="B9774" t="s">
        <v>691</v>
      </c>
      <c r="C9774" s="83">
        <v>46260</v>
      </c>
      <c r="D9774" t="s">
        <v>313</v>
      </c>
      <c r="E9774" t="s">
        <v>316</v>
      </c>
      <c r="F9774">
        <v>4</v>
      </c>
      <c r="G9774">
        <v>2.5677833333333302</v>
      </c>
    </row>
    <row r="9775" spans="1:7" x14ac:dyDescent="0.35">
      <c r="A9775" t="s">
        <v>847</v>
      </c>
      <c r="B9775" t="s">
        <v>691</v>
      </c>
      <c r="C9775" s="83">
        <v>46260</v>
      </c>
      <c r="D9775" t="s">
        <v>313</v>
      </c>
      <c r="E9775" t="s">
        <v>322</v>
      </c>
      <c r="F9775">
        <v>3</v>
      </c>
      <c r="G9775">
        <v>32.316783333333298</v>
      </c>
    </row>
    <row r="9776" spans="1:7" x14ac:dyDescent="0.35">
      <c r="A9776" t="s">
        <v>847</v>
      </c>
      <c r="B9776" t="s">
        <v>691</v>
      </c>
      <c r="C9776" s="83">
        <v>46260</v>
      </c>
      <c r="D9776" t="s">
        <v>314</v>
      </c>
      <c r="E9776" t="s">
        <v>311</v>
      </c>
      <c r="F9776">
        <v>7</v>
      </c>
      <c r="G9776">
        <v>89.9256666666667</v>
      </c>
    </row>
    <row r="9777" spans="1:7" x14ac:dyDescent="0.35">
      <c r="A9777" t="s">
        <v>847</v>
      </c>
      <c r="B9777" t="s">
        <v>691</v>
      </c>
      <c r="C9777" s="83">
        <v>46260</v>
      </c>
      <c r="D9777" t="s">
        <v>314</v>
      </c>
      <c r="E9777" t="s">
        <v>316</v>
      </c>
      <c r="F9777">
        <v>5</v>
      </c>
      <c r="G9777">
        <v>6.1266666666666696</v>
      </c>
    </row>
    <row r="9778" spans="1:7" x14ac:dyDescent="0.35">
      <c r="A9778" t="s">
        <v>847</v>
      </c>
      <c r="B9778" t="s">
        <v>691</v>
      </c>
      <c r="C9778" s="83">
        <v>46260</v>
      </c>
      <c r="D9778" t="s">
        <v>314</v>
      </c>
      <c r="E9778" t="s">
        <v>772</v>
      </c>
      <c r="F9778">
        <v>2</v>
      </c>
      <c r="G9778">
        <v>0.74473333333333303</v>
      </c>
    </row>
    <row r="9779" spans="1:7" x14ac:dyDescent="0.35">
      <c r="A9779" t="s">
        <v>847</v>
      </c>
      <c r="B9779" t="s">
        <v>691</v>
      </c>
      <c r="C9779" s="83">
        <v>46260</v>
      </c>
      <c r="D9779" t="s">
        <v>317</v>
      </c>
      <c r="E9779" t="s">
        <v>725</v>
      </c>
      <c r="F9779">
        <v>2</v>
      </c>
      <c r="G9779">
        <v>0.92959999999999998</v>
      </c>
    </row>
    <row r="9780" spans="1:7" x14ac:dyDescent="0.35">
      <c r="A9780" t="s">
        <v>847</v>
      </c>
      <c r="B9780" t="s">
        <v>691</v>
      </c>
      <c r="C9780" s="83">
        <v>46260</v>
      </c>
      <c r="D9780" t="s">
        <v>317</v>
      </c>
      <c r="E9780" t="s">
        <v>315</v>
      </c>
      <c r="F9780">
        <v>2</v>
      </c>
      <c r="G9780">
        <v>0.83084999999999998</v>
      </c>
    </row>
    <row r="9781" spans="1:7" x14ac:dyDescent="0.35">
      <c r="A9781" t="s">
        <v>847</v>
      </c>
      <c r="B9781" t="s">
        <v>691</v>
      </c>
      <c r="C9781" s="83">
        <v>46261</v>
      </c>
      <c r="D9781" t="s">
        <v>295</v>
      </c>
      <c r="E9781" t="s">
        <v>296</v>
      </c>
      <c r="F9781">
        <v>89</v>
      </c>
      <c r="G9781">
        <v>43.413083333333297</v>
      </c>
    </row>
    <row r="9782" spans="1:7" x14ac:dyDescent="0.35">
      <c r="A9782" t="s">
        <v>847</v>
      </c>
      <c r="B9782" t="s">
        <v>691</v>
      </c>
      <c r="C9782" s="83">
        <v>46261</v>
      </c>
      <c r="D9782" t="s">
        <v>299</v>
      </c>
      <c r="E9782" t="s">
        <v>296</v>
      </c>
      <c r="F9782">
        <v>41</v>
      </c>
      <c r="G9782">
        <v>31.707166666666701</v>
      </c>
    </row>
    <row r="9783" spans="1:7" x14ac:dyDescent="0.35">
      <c r="A9783" t="s">
        <v>847</v>
      </c>
      <c r="B9783" t="s">
        <v>691</v>
      </c>
      <c r="C9783" s="83">
        <v>46261</v>
      </c>
      <c r="D9783" t="s">
        <v>303</v>
      </c>
      <c r="E9783" t="s">
        <v>302</v>
      </c>
      <c r="F9783">
        <v>19</v>
      </c>
      <c r="G9783">
        <v>8.1144833333333306</v>
      </c>
    </row>
    <row r="9784" spans="1:7" x14ac:dyDescent="0.35">
      <c r="A9784" t="s">
        <v>847</v>
      </c>
      <c r="B9784" t="s">
        <v>691</v>
      </c>
      <c r="C9784" s="83">
        <v>46261</v>
      </c>
      <c r="D9784" t="s">
        <v>309</v>
      </c>
      <c r="E9784" t="s">
        <v>344</v>
      </c>
      <c r="F9784">
        <v>32</v>
      </c>
      <c r="G9784">
        <v>31.187266666666702</v>
      </c>
    </row>
    <row r="9785" spans="1:7" x14ac:dyDescent="0.35">
      <c r="A9785" t="s">
        <v>847</v>
      </c>
      <c r="B9785" t="s">
        <v>691</v>
      </c>
      <c r="C9785" s="83">
        <v>46261</v>
      </c>
      <c r="D9785" t="s">
        <v>310</v>
      </c>
      <c r="E9785" t="s">
        <v>312</v>
      </c>
      <c r="F9785">
        <v>21</v>
      </c>
      <c r="G9785">
        <v>31.3623333333333</v>
      </c>
    </row>
    <row r="9786" spans="1:7" x14ac:dyDescent="0.35">
      <c r="A9786" t="s">
        <v>847</v>
      </c>
      <c r="B9786" t="s">
        <v>691</v>
      </c>
      <c r="C9786" s="83">
        <v>46261</v>
      </c>
      <c r="D9786" t="s">
        <v>310</v>
      </c>
      <c r="E9786" t="s">
        <v>311</v>
      </c>
      <c r="F9786">
        <v>18</v>
      </c>
      <c r="G9786">
        <v>20.285516666666702</v>
      </c>
    </row>
    <row r="9787" spans="1:7" x14ac:dyDescent="0.35">
      <c r="A9787" t="s">
        <v>847</v>
      </c>
      <c r="B9787" t="s">
        <v>691</v>
      </c>
      <c r="C9787" s="83">
        <v>46261</v>
      </c>
      <c r="D9787" t="s">
        <v>310</v>
      </c>
      <c r="E9787" t="s">
        <v>126</v>
      </c>
      <c r="F9787">
        <v>12</v>
      </c>
      <c r="G9787">
        <v>9.8875499999999992</v>
      </c>
    </row>
    <row r="9788" spans="1:7" x14ac:dyDescent="0.35">
      <c r="A9788" t="s">
        <v>847</v>
      </c>
      <c r="B9788" t="s">
        <v>691</v>
      </c>
      <c r="C9788" s="83">
        <v>46261</v>
      </c>
      <c r="D9788" t="s">
        <v>313</v>
      </c>
      <c r="E9788" t="s">
        <v>311</v>
      </c>
      <c r="F9788">
        <v>17</v>
      </c>
      <c r="G9788">
        <v>87.1713666666667</v>
      </c>
    </row>
    <row r="9789" spans="1:7" x14ac:dyDescent="0.35">
      <c r="A9789" t="s">
        <v>847</v>
      </c>
      <c r="B9789" t="s">
        <v>691</v>
      </c>
      <c r="C9789" s="83">
        <v>46261</v>
      </c>
      <c r="D9789" t="s">
        <v>313</v>
      </c>
      <c r="E9789" t="s">
        <v>126</v>
      </c>
      <c r="F9789">
        <v>5</v>
      </c>
      <c r="G9789">
        <v>9.0907166666666708</v>
      </c>
    </row>
    <row r="9790" spans="1:7" x14ac:dyDescent="0.35">
      <c r="A9790" t="s">
        <v>847</v>
      </c>
      <c r="B9790" t="s">
        <v>691</v>
      </c>
      <c r="C9790" s="83">
        <v>46261</v>
      </c>
      <c r="D9790" t="s">
        <v>313</v>
      </c>
      <c r="E9790" t="s">
        <v>347</v>
      </c>
      <c r="F9790">
        <v>3</v>
      </c>
      <c r="G9790">
        <v>1.03823333333333</v>
      </c>
    </row>
    <row r="9791" spans="1:7" x14ac:dyDescent="0.35">
      <c r="A9791" t="s">
        <v>847</v>
      </c>
      <c r="B9791" t="s">
        <v>691</v>
      </c>
      <c r="C9791" s="83">
        <v>46261</v>
      </c>
      <c r="D9791" t="s">
        <v>314</v>
      </c>
      <c r="E9791" t="s">
        <v>316</v>
      </c>
      <c r="F9791">
        <v>4</v>
      </c>
      <c r="G9791">
        <v>2.9920499999999999</v>
      </c>
    </row>
    <row r="9792" spans="1:7" x14ac:dyDescent="0.35">
      <c r="A9792" t="s">
        <v>847</v>
      </c>
      <c r="B9792" t="s">
        <v>691</v>
      </c>
      <c r="C9792" s="83">
        <v>46261</v>
      </c>
      <c r="D9792" t="s">
        <v>314</v>
      </c>
      <c r="E9792" t="s">
        <v>126</v>
      </c>
      <c r="F9792">
        <v>4</v>
      </c>
      <c r="G9792">
        <v>8.3258333333333301</v>
      </c>
    </row>
    <row r="9793" spans="1:7" x14ac:dyDescent="0.35">
      <c r="A9793" t="s">
        <v>847</v>
      </c>
      <c r="B9793" t="s">
        <v>691</v>
      </c>
      <c r="C9793" s="83">
        <v>46261</v>
      </c>
      <c r="D9793" t="s">
        <v>314</v>
      </c>
      <c r="E9793" t="s">
        <v>321</v>
      </c>
      <c r="F9793">
        <v>3</v>
      </c>
      <c r="G9793">
        <v>1.7798166666666699</v>
      </c>
    </row>
    <row r="9794" spans="1:7" x14ac:dyDescent="0.35">
      <c r="A9794" t="s">
        <v>847</v>
      </c>
      <c r="B9794" t="s">
        <v>691</v>
      </c>
      <c r="C9794" s="83">
        <v>46261</v>
      </c>
      <c r="D9794" t="s">
        <v>317</v>
      </c>
      <c r="E9794" t="s">
        <v>318</v>
      </c>
      <c r="F9794">
        <v>2</v>
      </c>
      <c r="G9794">
        <v>0.236383333333333</v>
      </c>
    </row>
    <row r="9795" spans="1:7" x14ac:dyDescent="0.35">
      <c r="A9795" t="s">
        <v>847</v>
      </c>
      <c r="B9795" t="s">
        <v>691</v>
      </c>
      <c r="C9795" s="83">
        <v>46261</v>
      </c>
      <c r="D9795" t="s">
        <v>317</v>
      </c>
      <c r="E9795" t="s">
        <v>322</v>
      </c>
      <c r="F9795">
        <v>2</v>
      </c>
      <c r="G9795">
        <v>0.68894999999999995</v>
      </c>
    </row>
    <row r="9796" spans="1:7" x14ac:dyDescent="0.35">
      <c r="A9796" t="s">
        <v>847</v>
      </c>
      <c r="B9796" t="s">
        <v>691</v>
      </c>
      <c r="C9796" s="83">
        <v>46261</v>
      </c>
      <c r="D9796" t="s">
        <v>317</v>
      </c>
      <c r="E9796" t="s">
        <v>323</v>
      </c>
      <c r="F9796">
        <v>2</v>
      </c>
      <c r="G9796">
        <v>0.71184999999999998</v>
      </c>
    </row>
    <row r="9797" spans="1:7" x14ac:dyDescent="0.35">
      <c r="A9797" t="s">
        <v>847</v>
      </c>
      <c r="B9797" t="s">
        <v>691</v>
      </c>
      <c r="C9797" s="83">
        <v>46262</v>
      </c>
      <c r="D9797" t="s">
        <v>295</v>
      </c>
      <c r="E9797" t="s">
        <v>296</v>
      </c>
      <c r="F9797">
        <v>21</v>
      </c>
      <c r="G9797">
        <v>9.1503666666666597</v>
      </c>
    </row>
    <row r="9798" spans="1:7" x14ac:dyDescent="0.35">
      <c r="A9798" t="s">
        <v>847</v>
      </c>
      <c r="B9798" t="s">
        <v>691</v>
      </c>
      <c r="C9798" s="83">
        <v>46262</v>
      </c>
      <c r="D9798" t="s">
        <v>295</v>
      </c>
      <c r="E9798" t="s">
        <v>828</v>
      </c>
      <c r="F9798">
        <v>5</v>
      </c>
      <c r="G9798">
        <v>1.2202999999999999</v>
      </c>
    </row>
    <row r="9799" spans="1:7" x14ac:dyDescent="0.35">
      <c r="A9799" t="s">
        <v>847</v>
      </c>
      <c r="B9799" t="s">
        <v>691</v>
      </c>
      <c r="C9799" s="83">
        <v>46262</v>
      </c>
      <c r="D9799" t="s">
        <v>299</v>
      </c>
      <c r="E9799" t="s">
        <v>296</v>
      </c>
      <c r="F9799">
        <v>8</v>
      </c>
      <c r="G9799">
        <v>5.0338500000000002</v>
      </c>
    </row>
    <row r="9800" spans="1:7" x14ac:dyDescent="0.35">
      <c r="A9800" t="s">
        <v>847</v>
      </c>
      <c r="B9800" t="s">
        <v>691</v>
      </c>
      <c r="C9800" s="83">
        <v>46262</v>
      </c>
      <c r="D9800" t="s">
        <v>303</v>
      </c>
      <c r="E9800" t="s">
        <v>302</v>
      </c>
      <c r="F9800">
        <v>4</v>
      </c>
      <c r="G9800">
        <v>0.94343333333333301</v>
      </c>
    </row>
    <row r="9801" spans="1:7" x14ac:dyDescent="0.35">
      <c r="A9801" t="s">
        <v>847</v>
      </c>
      <c r="B9801" t="s">
        <v>691</v>
      </c>
      <c r="C9801" s="83">
        <v>46262</v>
      </c>
      <c r="D9801" t="s">
        <v>303</v>
      </c>
      <c r="E9801" t="s">
        <v>831</v>
      </c>
      <c r="F9801">
        <v>4</v>
      </c>
      <c r="G9801">
        <v>2.81175</v>
      </c>
    </row>
    <row r="9802" spans="1:7" x14ac:dyDescent="0.35">
      <c r="A9802" t="s">
        <v>847</v>
      </c>
      <c r="B9802" t="s">
        <v>691</v>
      </c>
      <c r="C9802" s="83">
        <v>46262</v>
      </c>
      <c r="D9802" t="s">
        <v>305</v>
      </c>
      <c r="E9802" t="s">
        <v>344</v>
      </c>
      <c r="F9802">
        <v>6</v>
      </c>
      <c r="G9802">
        <v>3.5906333333333298</v>
      </c>
    </row>
    <row r="9803" spans="1:7" x14ac:dyDescent="0.35">
      <c r="A9803" t="s">
        <v>847</v>
      </c>
      <c r="B9803" t="s">
        <v>691</v>
      </c>
      <c r="C9803" s="83">
        <v>46262</v>
      </c>
      <c r="D9803" t="s">
        <v>309</v>
      </c>
      <c r="E9803" t="s">
        <v>344</v>
      </c>
      <c r="F9803">
        <v>10</v>
      </c>
      <c r="G9803">
        <v>8.2527666666666697</v>
      </c>
    </row>
    <row r="9804" spans="1:7" x14ac:dyDescent="0.35">
      <c r="A9804" t="s">
        <v>847</v>
      </c>
      <c r="B9804" t="s">
        <v>691</v>
      </c>
      <c r="C9804" s="83">
        <v>46262</v>
      </c>
      <c r="D9804" t="s">
        <v>310</v>
      </c>
      <c r="E9804" t="s">
        <v>347</v>
      </c>
      <c r="F9804">
        <v>6</v>
      </c>
      <c r="G9804">
        <v>2.7357999999999998</v>
      </c>
    </row>
    <row r="9805" spans="1:7" x14ac:dyDescent="0.35">
      <c r="A9805" t="s">
        <v>847</v>
      </c>
      <c r="B9805" t="s">
        <v>691</v>
      </c>
      <c r="C9805" s="83">
        <v>46262</v>
      </c>
      <c r="D9805" t="s">
        <v>310</v>
      </c>
      <c r="E9805" t="s">
        <v>311</v>
      </c>
      <c r="F9805">
        <v>5</v>
      </c>
      <c r="G9805">
        <v>3.53223333333333</v>
      </c>
    </row>
    <row r="9806" spans="1:7" x14ac:dyDescent="0.35">
      <c r="A9806" t="s">
        <v>847</v>
      </c>
      <c r="B9806" t="s">
        <v>691</v>
      </c>
      <c r="C9806" s="83">
        <v>46262</v>
      </c>
      <c r="D9806" t="s">
        <v>310</v>
      </c>
      <c r="E9806" t="s">
        <v>312</v>
      </c>
      <c r="F9806">
        <v>4</v>
      </c>
      <c r="G9806">
        <v>3.23875</v>
      </c>
    </row>
    <row r="9807" spans="1:7" x14ac:dyDescent="0.35">
      <c r="A9807" t="s">
        <v>847</v>
      </c>
      <c r="B9807" t="s">
        <v>691</v>
      </c>
      <c r="C9807" s="83">
        <v>46262</v>
      </c>
      <c r="D9807" t="s">
        <v>313</v>
      </c>
      <c r="E9807" t="s">
        <v>319</v>
      </c>
      <c r="F9807">
        <v>2</v>
      </c>
      <c r="G9807">
        <v>1.1819500000000001</v>
      </c>
    </row>
    <row r="9808" spans="1:7" x14ac:dyDescent="0.35">
      <c r="A9808" t="s">
        <v>847</v>
      </c>
      <c r="B9808" t="s">
        <v>691</v>
      </c>
      <c r="C9808" s="83">
        <v>46262</v>
      </c>
      <c r="D9808" t="s">
        <v>313</v>
      </c>
      <c r="E9808" t="s">
        <v>322</v>
      </c>
      <c r="F9808">
        <v>2</v>
      </c>
      <c r="G9808">
        <v>0.99033333333333295</v>
      </c>
    </row>
    <row r="9809" spans="1:7" x14ac:dyDescent="0.35">
      <c r="A9809" t="s">
        <v>847</v>
      </c>
      <c r="B9809" t="s">
        <v>691</v>
      </c>
      <c r="C9809" s="83">
        <v>46262</v>
      </c>
      <c r="D9809" t="s">
        <v>313</v>
      </c>
      <c r="E9809" t="s">
        <v>316</v>
      </c>
      <c r="F9809">
        <v>2</v>
      </c>
      <c r="G9809">
        <v>2.3403666666666698</v>
      </c>
    </row>
    <row r="9810" spans="1:7" x14ac:dyDescent="0.35">
      <c r="A9810" t="s">
        <v>847</v>
      </c>
      <c r="B9810" t="s">
        <v>691</v>
      </c>
      <c r="C9810" s="83">
        <v>46262</v>
      </c>
      <c r="D9810" t="s">
        <v>314</v>
      </c>
      <c r="E9810" t="s">
        <v>311</v>
      </c>
      <c r="F9810">
        <v>1</v>
      </c>
      <c r="G9810">
        <v>3.4742166666666701</v>
      </c>
    </row>
    <row r="9811" spans="1:7" x14ac:dyDescent="0.35">
      <c r="A9811" t="s">
        <v>847</v>
      </c>
      <c r="B9811" t="s">
        <v>691</v>
      </c>
      <c r="C9811" s="83">
        <v>46263</v>
      </c>
      <c r="D9811" t="s">
        <v>295</v>
      </c>
      <c r="E9811" t="s">
        <v>296</v>
      </c>
      <c r="F9811">
        <v>32</v>
      </c>
      <c r="G9811">
        <v>67.792400000000001</v>
      </c>
    </row>
    <row r="9812" spans="1:7" x14ac:dyDescent="0.35">
      <c r="A9812" t="s">
        <v>847</v>
      </c>
      <c r="B9812" t="s">
        <v>691</v>
      </c>
      <c r="C9812" s="83">
        <v>46263</v>
      </c>
      <c r="D9812" t="s">
        <v>299</v>
      </c>
      <c r="E9812" t="s">
        <v>296</v>
      </c>
      <c r="F9812">
        <v>2</v>
      </c>
      <c r="G9812">
        <v>0.60663333333333302</v>
      </c>
    </row>
    <row r="9813" spans="1:7" x14ac:dyDescent="0.35">
      <c r="A9813" t="s">
        <v>847</v>
      </c>
      <c r="B9813" t="s">
        <v>691</v>
      </c>
      <c r="C9813" s="83">
        <v>46263</v>
      </c>
      <c r="D9813" t="s">
        <v>303</v>
      </c>
      <c r="E9813" t="s">
        <v>302</v>
      </c>
      <c r="F9813">
        <v>4</v>
      </c>
      <c r="G9813">
        <v>1.7292666666666701</v>
      </c>
    </row>
    <row r="9814" spans="1:7" x14ac:dyDescent="0.35">
      <c r="A9814" t="s">
        <v>847</v>
      </c>
      <c r="B9814" t="s">
        <v>691</v>
      </c>
      <c r="C9814" s="83">
        <v>46263</v>
      </c>
      <c r="D9814" t="s">
        <v>310</v>
      </c>
      <c r="E9814" t="s">
        <v>338</v>
      </c>
      <c r="F9814">
        <v>3</v>
      </c>
      <c r="G9814">
        <v>0.76385000000000003</v>
      </c>
    </row>
    <row r="9815" spans="1:7" x14ac:dyDescent="0.35">
      <c r="A9815" t="s">
        <v>847</v>
      </c>
      <c r="B9815" t="s">
        <v>691</v>
      </c>
      <c r="C9815" s="83">
        <v>46263</v>
      </c>
      <c r="D9815" t="s">
        <v>310</v>
      </c>
      <c r="E9815" t="s">
        <v>322</v>
      </c>
      <c r="F9815">
        <v>2</v>
      </c>
      <c r="G9815">
        <v>0.244666666666667</v>
      </c>
    </row>
    <row r="9816" spans="1:7" x14ac:dyDescent="0.35">
      <c r="A9816" t="s">
        <v>847</v>
      </c>
      <c r="B9816" t="s">
        <v>691</v>
      </c>
      <c r="C9816" s="83">
        <v>46263</v>
      </c>
      <c r="D9816" t="s">
        <v>310</v>
      </c>
      <c r="E9816" t="s">
        <v>316</v>
      </c>
      <c r="F9816">
        <v>2</v>
      </c>
      <c r="G9816">
        <v>52.232766666666699</v>
      </c>
    </row>
    <row r="9817" spans="1:7" x14ac:dyDescent="0.35">
      <c r="A9817" t="s">
        <v>847</v>
      </c>
      <c r="B9817" t="s">
        <v>691</v>
      </c>
      <c r="C9817" s="83">
        <v>46263</v>
      </c>
      <c r="D9817" t="s">
        <v>313</v>
      </c>
      <c r="E9817" t="s">
        <v>347</v>
      </c>
      <c r="F9817">
        <v>2</v>
      </c>
      <c r="G9817">
        <v>1.23823333333333</v>
      </c>
    </row>
    <row r="9818" spans="1:7" x14ac:dyDescent="0.35">
      <c r="A9818" t="s">
        <v>847</v>
      </c>
      <c r="B9818" t="s">
        <v>691</v>
      </c>
      <c r="C9818" s="83">
        <v>46263</v>
      </c>
      <c r="D9818" t="s">
        <v>314</v>
      </c>
      <c r="E9818" t="s">
        <v>312</v>
      </c>
      <c r="F9818">
        <v>2</v>
      </c>
      <c r="G9818">
        <v>1.3900333333333299</v>
      </c>
    </row>
    <row r="9819" spans="1:7" x14ac:dyDescent="0.35">
      <c r="A9819" t="s">
        <v>847</v>
      </c>
      <c r="B9819" t="s">
        <v>691</v>
      </c>
      <c r="C9819" s="83">
        <v>46264</v>
      </c>
      <c r="D9819" t="s">
        <v>295</v>
      </c>
      <c r="E9819" t="s">
        <v>296</v>
      </c>
      <c r="F9819">
        <v>169</v>
      </c>
      <c r="G9819">
        <v>91.795616666666703</v>
      </c>
    </row>
    <row r="9820" spans="1:7" x14ac:dyDescent="0.35">
      <c r="A9820" t="s">
        <v>847</v>
      </c>
      <c r="B9820" t="s">
        <v>691</v>
      </c>
      <c r="C9820" s="83">
        <v>46264</v>
      </c>
      <c r="D9820" t="s">
        <v>299</v>
      </c>
      <c r="E9820" t="s">
        <v>296</v>
      </c>
      <c r="F9820">
        <v>17</v>
      </c>
      <c r="G9820">
        <v>10.141816666666699</v>
      </c>
    </row>
    <row r="9821" spans="1:7" x14ac:dyDescent="0.35">
      <c r="A9821" t="s">
        <v>847</v>
      </c>
      <c r="B9821" t="s">
        <v>691</v>
      </c>
      <c r="C9821" s="83">
        <v>46264</v>
      </c>
      <c r="D9821" t="s">
        <v>301</v>
      </c>
      <c r="E9821" t="s">
        <v>302</v>
      </c>
      <c r="F9821">
        <v>19</v>
      </c>
      <c r="G9821">
        <v>11.717233333333301</v>
      </c>
    </row>
    <row r="9822" spans="1:7" x14ac:dyDescent="0.35">
      <c r="A9822" t="s">
        <v>847</v>
      </c>
      <c r="B9822" t="s">
        <v>691</v>
      </c>
      <c r="C9822" s="83">
        <v>46264</v>
      </c>
      <c r="D9822" t="s">
        <v>303</v>
      </c>
      <c r="E9822" t="s">
        <v>302</v>
      </c>
      <c r="F9822">
        <v>7</v>
      </c>
      <c r="G9822">
        <v>2.9508666666666699</v>
      </c>
    </row>
    <row r="9823" spans="1:7" x14ac:dyDescent="0.35">
      <c r="A9823" t="s">
        <v>847</v>
      </c>
      <c r="B9823" t="s">
        <v>691</v>
      </c>
      <c r="C9823" s="83">
        <v>46264</v>
      </c>
      <c r="D9823" t="s">
        <v>310</v>
      </c>
      <c r="E9823" t="s">
        <v>311</v>
      </c>
      <c r="F9823">
        <v>16</v>
      </c>
      <c r="G9823">
        <v>18.8107333333333</v>
      </c>
    </row>
    <row r="9824" spans="1:7" x14ac:dyDescent="0.35">
      <c r="A9824" t="s">
        <v>847</v>
      </c>
      <c r="B9824" t="s">
        <v>691</v>
      </c>
      <c r="C9824" s="83">
        <v>46264</v>
      </c>
      <c r="D9824" t="s">
        <v>310</v>
      </c>
      <c r="E9824" t="s">
        <v>312</v>
      </c>
      <c r="F9824">
        <v>7</v>
      </c>
      <c r="G9824">
        <v>6.1969166666666702</v>
      </c>
    </row>
    <row r="9825" spans="1:7" x14ac:dyDescent="0.35">
      <c r="A9825" t="s">
        <v>847</v>
      </c>
      <c r="B9825" t="s">
        <v>691</v>
      </c>
      <c r="C9825" s="83">
        <v>46264</v>
      </c>
      <c r="D9825" t="s">
        <v>310</v>
      </c>
      <c r="E9825" t="s">
        <v>347</v>
      </c>
      <c r="F9825">
        <v>5</v>
      </c>
      <c r="G9825">
        <v>2.5962000000000001</v>
      </c>
    </row>
    <row r="9826" spans="1:7" x14ac:dyDescent="0.35">
      <c r="A9826" t="s">
        <v>847</v>
      </c>
      <c r="B9826" t="s">
        <v>691</v>
      </c>
      <c r="C9826" s="83">
        <v>46264</v>
      </c>
      <c r="D9826" t="s">
        <v>313</v>
      </c>
      <c r="E9826" t="s">
        <v>126</v>
      </c>
      <c r="F9826">
        <v>10</v>
      </c>
      <c r="G9826">
        <v>28.817833333333301</v>
      </c>
    </row>
    <row r="9827" spans="1:7" x14ac:dyDescent="0.35">
      <c r="A9827" t="s">
        <v>847</v>
      </c>
      <c r="B9827" t="s">
        <v>691</v>
      </c>
      <c r="C9827" s="83">
        <v>46264</v>
      </c>
      <c r="D9827" t="s">
        <v>313</v>
      </c>
      <c r="E9827" t="s">
        <v>311</v>
      </c>
      <c r="F9827">
        <v>8</v>
      </c>
      <c r="G9827">
        <v>10.818300000000001</v>
      </c>
    </row>
    <row r="9828" spans="1:7" x14ac:dyDescent="0.35">
      <c r="A9828" t="s">
        <v>847</v>
      </c>
      <c r="B9828" t="s">
        <v>691</v>
      </c>
      <c r="C9828" s="83">
        <v>46264</v>
      </c>
      <c r="D9828" t="s">
        <v>313</v>
      </c>
      <c r="E9828" t="s">
        <v>316</v>
      </c>
      <c r="F9828">
        <v>3</v>
      </c>
      <c r="G9828">
        <v>1.1363000000000001</v>
      </c>
    </row>
    <row r="9829" spans="1:7" x14ac:dyDescent="0.35">
      <c r="A9829" t="s">
        <v>847</v>
      </c>
      <c r="B9829" t="s">
        <v>691</v>
      </c>
      <c r="C9829" s="83">
        <v>46264</v>
      </c>
      <c r="D9829" t="s">
        <v>314</v>
      </c>
      <c r="E9829" t="s">
        <v>126</v>
      </c>
      <c r="F9829">
        <v>11</v>
      </c>
      <c r="G9829">
        <v>36.033299999999997</v>
      </c>
    </row>
    <row r="9830" spans="1:7" x14ac:dyDescent="0.35">
      <c r="A9830" t="s">
        <v>847</v>
      </c>
      <c r="B9830" t="s">
        <v>691</v>
      </c>
      <c r="C9830" s="83">
        <v>46264</v>
      </c>
      <c r="D9830" t="s">
        <v>314</v>
      </c>
      <c r="E9830" t="s">
        <v>316</v>
      </c>
      <c r="F9830">
        <v>8</v>
      </c>
      <c r="G9830">
        <v>4.1533333333333298</v>
      </c>
    </row>
    <row r="9831" spans="1:7" x14ac:dyDescent="0.35">
      <c r="A9831" t="s">
        <v>847</v>
      </c>
      <c r="B9831" t="s">
        <v>691</v>
      </c>
      <c r="C9831" s="83">
        <v>46264</v>
      </c>
      <c r="D9831" t="s">
        <v>314</v>
      </c>
      <c r="E9831" t="s">
        <v>808</v>
      </c>
      <c r="F9831">
        <v>5</v>
      </c>
      <c r="G9831">
        <v>14.33085</v>
      </c>
    </row>
    <row r="9832" spans="1:7" x14ac:dyDescent="0.35">
      <c r="A9832" t="s">
        <v>847</v>
      </c>
      <c r="B9832" t="s">
        <v>691</v>
      </c>
      <c r="C9832" s="83">
        <v>46264</v>
      </c>
      <c r="D9832" t="s">
        <v>317</v>
      </c>
      <c r="E9832" t="s">
        <v>319</v>
      </c>
      <c r="F9832">
        <v>2</v>
      </c>
      <c r="G9832">
        <v>0.733866666666667</v>
      </c>
    </row>
    <row r="9833" spans="1:7" x14ac:dyDescent="0.35">
      <c r="A9833" t="s">
        <v>847</v>
      </c>
      <c r="B9833" t="s">
        <v>691</v>
      </c>
      <c r="C9833" s="83">
        <v>46265</v>
      </c>
      <c r="D9833" t="s">
        <v>295</v>
      </c>
      <c r="E9833" t="s">
        <v>296</v>
      </c>
      <c r="F9833">
        <v>27</v>
      </c>
      <c r="G9833">
        <v>13.1725166666667</v>
      </c>
    </row>
    <row r="9834" spans="1:7" x14ac:dyDescent="0.35">
      <c r="A9834" t="s">
        <v>847</v>
      </c>
      <c r="B9834" t="s">
        <v>691</v>
      </c>
      <c r="C9834" s="83">
        <v>46265</v>
      </c>
      <c r="D9834" t="s">
        <v>299</v>
      </c>
      <c r="E9834" t="s">
        <v>296</v>
      </c>
      <c r="F9834">
        <v>15</v>
      </c>
      <c r="G9834">
        <v>9.47596666666667</v>
      </c>
    </row>
    <row r="9835" spans="1:7" x14ac:dyDescent="0.35">
      <c r="A9835" t="s">
        <v>847</v>
      </c>
      <c r="B9835" t="s">
        <v>691</v>
      </c>
      <c r="C9835" s="83">
        <v>46265</v>
      </c>
      <c r="D9835" t="s">
        <v>301</v>
      </c>
      <c r="E9835" t="s">
        <v>302</v>
      </c>
      <c r="F9835">
        <v>13</v>
      </c>
      <c r="G9835">
        <v>7.4154999999999998</v>
      </c>
    </row>
    <row r="9836" spans="1:7" x14ac:dyDescent="0.35">
      <c r="A9836" t="s">
        <v>847</v>
      </c>
      <c r="B9836" t="s">
        <v>691</v>
      </c>
      <c r="C9836" s="83">
        <v>46265</v>
      </c>
      <c r="D9836" t="s">
        <v>303</v>
      </c>
      <c r="E9836" t="s">
        <v>302</v>
      </c>
      <c r="F9836">
        <v>9</v>
      </c>
      <c r="G9836">
        <v>3.8674833333333298</v>
      </c>
    </row>
    <row r="9837" spans="1:7" x14ac:dyDescent="0.35">
      <c r="A9837" t="s">
        <v>847</v>
      </c>
      <c r="B9837" t="s">
        <v>691</v>
      </c>
      <c r="C9837" s="83">
        <v>46265</v>
      </c>
      <c r="D9837" t="s">
        <v>310</v>
      </c>
      <c r="E9837" t="s">
        <v>311</v>
      </c>
      <c r="F9837">
        <v>37</v>
      </c>
      <c r="G9837">
        <v>28.590666666666699</v>
      </c>
    </row>
    <row r="9838" spans="1:7" x14ac:dyDescent="0.35">
      <c r="A9838" t="s">
        <v>847</v>
      </c>
      <c r="B9838" t="s">
        <v>691</v>
      </c>
      <c r="C9838" s="83">
        <v>46265</v>
      </c>
      <c r="D9838" t="s">
        <v>310</v>
      </c>
      <c r="E9838" t="s">
        <v>126</v>
      </c>
      <c r="F9838">
        <v>18</v>
      </c>
      <c r="G9838">
        <v>23.394016666666701</v>
      </c>
    </row>
    <row r="9839" spans="1:7" x14ac:dyDescent="0.35">
      <c r="A9839" t="s">
        <v>847</v>
      </c>
      <c r="B9839" t="s">
        <v>691</v>
      </c>
      <c r="C9839" s="83">
        <v>46265</v>
      </c>
      <c r="D9839" t="s">
        <v>310</v>
      </c>
      <c r="E9839" t="s">
        <v>312</v>
      </c>
      <c r="F9839">
        <v>17</v>
      </c>
      <c r="G9839">
        <v>16.480416666666699</v>
      </c>
    </row>
    <row r="9840" spans="1:7" x14ac:dyDescent="0.35">
      <c r="A9840" t="s">
        <v>847</v>
      </c>
      <c r="B9840" t="s">
        <v>691</v>
      </c>
      <c r="C9840" s="83">
        <v>46265</v>
      </c>
      <c r="D9840" t="s">
        <v>313</v>
      </c>
      <c r="E9840" t="s">
        <v>311</v>
      </c>
      <c r="F9840">
        <v>15</v>
      </c>
      <c r="G9840">
        <v>17.224733333333301</v>
      </c>
    </row>
    <row r="9841" spans="1:7" x14ac:dyDescent="0.35">
      <c r="A9841" t="s">
        <v>847</v>
      </c>
      <c r="B9841" t="s">
        <v>691</v>
      </c>
      <c r="C9841" s="83">
        <v>46265</v>
      </c>
      <c r="D9841" t="s">
        <v>313</v>
      </c>
      <c r="E9841" t="s">
        <v>126</v>
      </c>
      <c r="F9841">
        <v>5</v>
      </c>
      <c r="G9841">
        <v>8.7299000000000007</v>
      </c>
    </row>
    <row r="9842" spans="1:7" x14ac:dyDescent="0.35">
      <c r="A9842" t="s">
        <v>847</v>
      </c>
      <c r="B9842" t="s">
        <v>691</v>
      </c>
      <c r="C9842" s="83">
        <v>46265</v>
      </c>
      <c r="D9842" t="s">
        <v>313</v>
      </c>
      <c r="E9842" t="s">
        <v>312</v>
      </c>
      <c r="F9842">
        <v>5</v>
      </c>
      <c r="G9842">
        <v>2.5235500000000002</v>
      </c>
    </row>
    <row r="9843" spans="1:7" x14ac:dyDescent="0.35">
      <c r="A9843" t="s">
        <v>847</v>
      </c>
      <c r="B9843" t="s">
        <v>691</v>
      </c>
      <c r="C9843" s="83">
        <v>46265</v>
      </c>
      <c r="D9843" t="s">
        <v>314</v>
      </c>
      <c r="E9843" t="s">
        <v>316</v>
      </c>
      <c r="F9843">
        <v>12</v>
      </c>
      <c r="G9843">
        <v>8.1859833333333292</v>
      </c>
    </row>
    <row r="9844" spans="1:7" x14ac:dyDescent="0.35">
      <c r="A9844" t="s">
        <v>847</v>
      </c>
      <c r="B9844" t="s">
        <v>691</v>
      </c>
      <c r="C9844" s="83">
        <v>46265</v>
      </c>
      <c r="D9844" t="s">
        <v>314</v>
      </c>
      <c r="E9844" t="s">
        <v>126</v>
      </c>
      <c r="F9844">
        <v>4</v>
      </c>
      <c r="G9844">
        <v>9.3244666666666696</v>
      </c>
    </row>
    <row r="9845" spans="1:7" x14ac:dyDescent="0.35">
      <c r="A9845" t="s">
        <v>847</v>
      </c>
      <c r="B9845" t="s">
        <v>691</v>
      </c>
      <c r="C9845" s="83">
        <v>46265</v>
      </c>
      <c r="D9845" t="s">
        <v>314</v>
      </c>
      <c r="E9845" t="s">
        <v>315</v>
      </c>
      <c r="F9845">
        <v>3</v>
      </c>
      <c r="G9845">
        <v>0.62528333333333297</v>
      </c>
    </row>
    <row r="9846" spans="1:7" x14ac:dyDescent="0.35">
      <c r="A9846" t="s">
        <v>847</v>
      </c>
      <c r="B9846" t="s">
        <v>691</v>
      </c>
      <c r="C9846" s="83">
        <v>46265</v>
      </c>
      <c r="D9846" t="s">
        <v>317</v>
      </c>
      <c r="E9846" t="s">
        <v>318</v>
      </c>
      <c r="F9846">
        <v>3</v>
      </c>
      <c r="G9846">
        <v>1.74206666666667</v>
      </c>
    </row>
    <row r="9847" spans="1:7" x14ac:dyDescent="0.35">
      <c r="A9847" t="s">
        <v>847</v>
      </c>
      <c r="B9847" t="s">
        <v>691</v>
      </c>
      <c r="C9847" s="83">
        <v>46265</v>
      </c>
      <c r="D9847" t="s">
        <v>317</v>
      </c>
      <c r="E9847" t="s">
        <v>319</v>
      </c>
      <c r="F9847">
        <v>1</v>
      </c>
      <c r="G9847">
        <v>0.244416666666667</v>
      </c>
    </row>
    <row r="9848" spans="1:7" x14ac:dyDescent="0.35">
      <c r="A9848" t="s">
        <v>847</v>
      </c>
      <c r="B9848" t="s">
        <v>691</v>
      </c>
      <c r="C9848" s="83">
        <v>46266</v>
      </c>
      <c r="D9848" t="s">
        <v>295</v>
      </c>
      <c r="E9848" t="s">
        <v>296</v>
      </c>
      <c r="F9848">
        <v>28</v>
      </c>
      <c r="G9848">
        <v>12.6477166666667</v>
      </c>
    </row>
    <row r="9849" spans="1:7" x14ac:dyDescent="0.35">
      <c r="A9849" t="s">
        <v>847</v>
      </c>
      <c r="B9849" t="s">
        <v>691</v>
      </c>
      <c r="C9849" s="83">
        <v>46266</v>
      </c>
      <c r="D9849" t="s">
        <v>299</v>
      </c>
      <c r="E9849" t="s">
        <v>296</v>
      </c>
      <c r="F9849">
        <v>15</v>
      </c>
      <c r="G9849">
        <v>5.0693000000000001</v>
      </c>
    </row>
    <row r="9850" spans="1:7" x14ac:dyDescent="0.35">
      <c r="A9850" t="s">
        <v>847</v>
      </c>
      <c r="B9850" t="s">
        <v>691</v>
      </c>
      <c r="C9850" s="83">
        <v>46266</v>
      </c>
      <c r="D9850" t="s">
        <v>301</v>
      </c>
      <c r="E9850" t="s">
        <v>302</v>
      </c>
      <c r="F9850">
        <v>17</v>
      </c>
      <c r="G9850">
        <v>11.239599999999999</v>
      </c>
    </row>
    <row r="9851" spans="1:7" x14ac:dyDescent="0.35">
      <c r="A9851" t="s">
        <v>847</v>
      </c>
      <c r="B9851" t="s">
        <v>691</v>
      </c>
      <c r="C9851" s="83">
        <v>46266</v>
      </c>
      <c r="D9851" t="s">
        <v>303</v>
      </c>
      <c r="E9851" t="s">
        <v>302</v>
      </c>
      <c r="F9851">
        <v>24</v>
      </c>
      <c r="G9851">
        <v>14.622916666666701</v>
      </c>
    </row>
    <row r="9852" spans="1:7" x14ac:dyDescent="0.35">
      <c r="A9852" t="s">
        <v>847</v>
      </c>
      <c r="B9852" t="s">
        <v>691</v>
      </c>
      <c r="C9852" s="83">
        <v>46266</v>
      </c>
      <c r="D9852" t="s">
        <v>310</v>
      </c>
      <c r="E9852" t="s">
        <v>126</v>
      </c>
      <c r="F9852">
        <v>13</v>
      </c>
      <c r="G9852">
        <v>12.6012</v>
      </c>
    </row>
    <row r="9853" spans="1:7" x14ac:dyDescent="0.35">
      <c r="A9853" t="s">
        <v>847</v>
      </c>
      <c r="B9853" t="s">
        <v>691</v>
      </c>
      <c r="C9853" s="83">
        <v>46266</v>
      </c>
      <c r="D9853" t="s">
        <v>310</v>
      </c>
      <c r="E9853" t="s">
        <v>321</v>
      </c>
      <c r="F9853">
        <v>11</v>
      </c>
      <c r="G9853">
        <v>3.29613333333333</v>
      </c>
    </row>
    <row r="9854" spans="1:7" x14ac:dyDescent="0.35">
      <c r="A9854" t="s">
        <v>847</v>
      </c>
      <c r="B9854" t="s">
        <v>691</v>
      </c>
      <c r="C9854" s="83">
        <v>46266</v>
      </c>
      <c r="D9854" t="s">
        <v>310</v>
      </c>
      <c r="E9854" t="s">
        <v>312</v>
      </c>
      <c r="F9854">
        <v>11</v>
      </c>
      <c r="G9854">
        <v>10.888199999999999</v>
      </c>
    </row>
    <row r="9855" spans="1:7" x14ac:dyDescent="0.35">
      <c r="A9855" t="s">
        <v>847</v>
      </c>
      <c r="B9855" t="s">
        <v>691</v>
      </c>
      <c r="C9855" s="83">
        <v>46266</v>
      </c>
      <c r="D9855" t="s">
        <v>313</v>
      </c>
      <c r="E9855" t="s">
        <v>311</v>
      </c>
      <c r="F9855">
        <v>11</v>
      </c>
      <c r="G9855">
        <v>16.853633333333299</v>
      </c>
    </row>
    <row r="9856" spans="1:7" x14ac:dyDescent="0.35">
      <c r="A9856" t="s">
        <v>847</v>
      </c>
      <c r="B9856" t="s">
        <v>691</v>
      </c>
      <c r="C9856" s="83">
        <v>46266</v>
      </c>
      <c r="D9856" t="s">
        <v>313</v>
      </c>
      <c r="E9856" t="s">
        <v>126</v>
      </c>
      <c r="F9856">
        <v>4</v>
      </c>
      <c r="G9856">
        <v>6.3807499999999999</v>
      </c>
    </row>
    <row r="9857" spans="1:7" x14ac:dyDescent="0.35">
      <c r="A9857" t="s">
        <v>847</v>
      </c>
      <c r="B9857" t="s">
        <v>691</v>
      </c>
      <c r="C9857" s="83">
        <v>46266</v>
      </c>
      <c r="D9857" t="s">
        <v>313</v>
      </c>
      <c r="E9857" t="s">
        <v>322</v>
      </c>
      <c r="F9857">
        <v>2</v>
      </c>
      <c r="G9857">
        <v>1.38126666666667</v>
      </c>
    </row>
    <row r="9858" spans="1:7" x14ac:dyDescent="0.35">
      <c r="A9858" t="s">
        <v>847</v>
      </c>
      <c r="B9858" t="s">
        <v>691</v>
      </c>
      <c r="C9858" s="83">
        <v>46266</v>
      </c>
      <c r="D9858" t="s">
        <v>314</v>
      </c>
      <c r="E9858" t="s">
        <v>316</v>
      </c>
      <c r="F9858">
        <v>8</v>
      </c>
      <c r="G9858">
        <v>3.5085500000000001</v>
      </c>
    </row>
    <row r="9859" spans="1:7" x14ac:dyDescent="0.35">
      <c r="A9859" t="s">
        <v>847</v>
      </c>
      <c r="B9859" t="s">
        <v>691</v>
      </c>
      <c r="C9859" s="83">
        <v>46266</v>
      </c>
      <c r="D9859" t="s">
        <v>314</v>
      </c>
      <c r="E9859" t="s">
        <v>126</v>
      </c>
      <c r="F9859">
        <v>6</v>
      </c>
      <c r="G9859">
        <v>9.2937833333333302</v>
      </c>
    </row>
    <row r="9860" spans="1:7" x14ac:dyDescent="0.35">
      <c r="A9860" t="s">
        <v>847</v>
      </c>
      <c r="B9860" t="s">
        <v>691</v>
      </c>
      <c r="C9860" s="83">
        <v>46266</v>
      </c>
      <c r="D9860" t="s">
        <v>314</v>
      </c>
      <c r="E9860" t="s">
        <v>321</v>
      </c>
      <c r="F9860">
        <v>3</v>
      </c>
      <c r="G9860">
        <v>0.895183333333333</v>
      </c>
    </row>
    <row r="9861" spans="1:7" x14ac:dyDescent="0.35">
      <c r="A9861" t="s">
        <v>847</v>
      </c>
      <c r="B9861" t="s">
        <v>691</v>
      </c>
      <c r="C9861" s="83">
        <v>46266</v>
      </c>
      <c r="D9861" t="s">
        <v>317</v>
      </c>
      <c r="E9861" t="s">
        <v>323</v>
      </c>
      <c r="F9861">
        <v>2</v>
      </c>
      <c r="G9861">
        <v>1.39178333333333</v>
      </c>
    </row>
    <row r="9862" spans="1:7" x14ac:dyDescent="0.35">
      <c r="A9862" t="s">
        <v>847</v>
      </c>
      <c r="B9862" t="s">
        <v>691</v>
      </c>
      <c r="C9862" s="83">
        <v>46267</v>
      </c>
      <c r="D9862" t="s">
        <v>295</v>
      </c>
      <c r="E9862" t="s">
        <v>296</v>
      </c>
      <c r="F9862">
        <v>58</v>
      </c>
      <c r="G9862">
        <v>18.767616666666701</v>
      </c>
    </row>
    <row r="9863" spans="1:7" x14ac:dyDescent="0.35">
      <c r="A9863" t="s">
        <v>847</v>
      </c>
      <c r="B9863" t="s">
        <v>691</v>
      </c>
      <c r="C9863" s="83">
        <v>46267</v>
      </c>
      <c r="D9863" t="s">
        <v>299</v>
      </c>
      <c r="E9863" t="s">
        <v>296</v>
      </c>
      <c r="F9863">
        <v>13</v>
      </c>
      <c r="G9863">
        <v>8.8087666666666706</v>
      </c>
    </row>
    <row r="9864" spans="1:7" x14ac:dyDescent="0.35">
      <c r="A9864" t="s">
        <v>847</v>
      </c>
      <c r="B9864" t="s">
        <v>691</v>
      </c>
      <c r="C9864" s="83">
        <v>46267</v>
      </c>
      <c r="D9864" t="s">
        <v>301</v>
      </c>
      <c r="E9864" t="s">
        <v>302</v>
      </c>
      <c r="F9864">
        <v>21</v>
      </c>
      <c r="G9864">
        <v>9.1338833333333298</v>
      </c>
    </row>
    <row r="9865" spans="1:7" x14ac:dyDescent="0.35">
      <c r="A9865" t="s">
        <v>847</v>
      </c>
      <c r="B9865" t="s">
        <v>691</v>
      </c>
      <c r="C9865" s="83">
        <v>46267</v>
      </c>
      <c r="D9865" t="s">
        <v>303</v>
      </c>
      <c r="E9865" t="s">
        <v>302</v>
      </c>
      <c r="F9865">
        <v>33</v>
      </c>
      <c r="G9865">
        <v>16.346150000000002</v>
      </c>
    </row>
    <row r="9866" spans="1:7" x14ac:dyDescent="0.35">
      <c r="A9866" t="s">
        <v>847</v>
      </c>
      <c r="B9866" t="s">
        <v>691</v>
      </c>
      <c r="C9866" s="83">
        <v>46267</v>
      </c>
      <c r="D9866" t="s">
        <v>310</v>
      </c>
      <c r="E9866" t="s">
        <v>126</v>
      </c>
      <c r="F9866">
        <v>15</v>
      </c>
      <c r="G9866">
        <v>13.831049999999999</v>
      </c>
    </row>
    <row r="9867" spans="1:7" x14ac:dyDescent="0.35">
      <c r="A9867" t="s">
        <v>847</v>
      </c>
      <c r="B9867" t="s">
        <v>691</v>
      </c>
      <c r="C9867" s="83">
        <v>46267</v>
      </c>
      <c r="D9867" t="s">
        <v>310</v>
      </c>
      <c r="E9867" t="s">
        <v>321</v>
      </c>
      <c r="F9867">
        <v>6</v>
      </c>
      <c r="G9867">
        <v>6.1267333333333296</v>
      </c>
    </row>
    <row r="9868" spans="1:7" x14ac:dyDescent="0.35">
      <c r="A9868" t="s">
        <v>847</v>
      </c>
      <c r="B9868" t="s">
        <v>691</v>
      </c>
      <c r="C9868" s="83">
        <v>46267</v>
      </c>
      <c r="D9868" t="s">
        <v>310</v>
      </c>
      <c r="E9868" t="s">
        <v>333</v>
      </c>
      <c r="F9868">
        <v>6</v>
      </c>
      <c r="G9868">
        <v>3.2106499999999998</v>
      </c>
    </row>
    <row r="9869" spans="1:7" x14ac:dyDescent="0.35">
      <c r="A9869" t="s">
        <v>847</v>
      </c>
      <c r="B9869" t="s">
        <v>691</v>
      </c>
      <c r="C9869" s="83">
        <v>46267</v>
      </c>
      <c r="D9869" t="s">
        <v>313</v>
      </c>
      <c r="E9869" t="s">
        <v>126</v>
      </c>
      <c r="F9869">
        <v>7</v>
      </c>
      <c r="G9869">
        <v>24.3000333333333</v>
      </c>
    </row>
    <row r="9870" spans="1:7" x14ac:dyDescent="0.35">
      <c r="A9870" t="s">
        <v>847</v>
      </c>
      <c r="B9870" t="s">
        <v>691</v>
      </c>
      <c r="C9870" s="83">
        <v>46267</v>
      </c>
      <c r="D9870" t="s">
        <v>313</v>
      </c>
      <c r="E9870" t="s">
        <v>311</v>
      </c>
      <c r="F9870">
        <v>4</v>
      </c>
      <c r="G9870">
        <v>1.8768166666666699</v>
      </c>
    </row>
    <row r="9871" spans="1:7" x14ac:dyDescent="0.35">
      <c r="A9871" t="s">
        <v>847</v>
      </c>
      <c r="B9871" t="s">
        <v>691</v>
      </c>
      <c r="C9871" s="83">
        <v>46267</v>
      </c>
      <c r="D9871" t="s">
        <v>313</v>
      </c>
      <c r="E9871" t="s">
        <v>322</v>
      </c>
      <c r="F9871">
        <v>3</v>
      </c>
      <c r="G9871">
        <v>2.2901500000000001</v>
      </c>
    </row>
    <row r="9872" spans="1:7" x14ac:dyDescent="0.35">
      <c r="A9872" t="s">
        <v>847</v>
      </c>
      <c r="B9872" t="s">
        <v>691</v>
      </c>
      <c r="C9872" s="83">
        <v>46267</v>
      </c>
      <c r="D9872" t="s">
        <v>314</v>
      </c>
      <c r="E9872" t="s">
        <v>316</v>
      </c>
      <c r="F9872">
        <v>10</v>
      </c>
      <c r="G9872">
        <v>8.3561333333333305</v>
      </c>
    </row>
    <row r="9873" spans="1:7" x14ac:dyDescent="0.35">
      <c r="A9873" t="s">
        <v>847</v>
      </c>
      <c r="B9873" t="s">
        <v>691</v>
      </c>
      <c r="C9873" s="83">
        <v>46267</v>
      </c>
      <c r="D9873" t="s">
        <v>314</v>
      </c>
      <c r="E9873" t="s">
        <v>126</v>
      </c>
      <c r="F9873">
        <v>8</v>
      </c>
      <c r="G9873">
        <v>34.9146</v>
      </c>
    </row>
    <row r="9874" spans="1:7" x14ac:dyDescent="0.35">
      <c r="A9874" t="s">
        <v>847</v>
      </c>
      <c r="B9874" t="s">
        <v>691</v>
      </c>
      <c r="C9874" s="83">
        <v>46267</v>
      </c>
      <c r="D9874" t="s">
        <v>314</v>
      </c>
      <c r="E9874" t="s">
        <v>321</v>
      </c>
      <c r="F9874">
        <v>3</v>
      </c>
      <c r="G9874">
        <v>0.454616666666667</v>
      </c>
    </row>
    <row r="9875" spans="1:7" x14ac:dyDescent="0.35">
      <c r="A9875" t="s">
        <v>847</v>
      </c>
      <c r="B9875" t="s">
        <v>691</v>
      </c>
      <c r="C9875" s="83">
        <v>46267</v>
      </c>
      <c r="D9875" t="s">
        <v>317</v>
      </c>
      <c r="E9875" t="s">
        <v>319</v>
      </c>
      <c r="F9875">
        <v>4</v>
      </c>
      <c r="G9875">
        <v>6.0531166666666696</v>
      </c>
    </row>
    <row r="9876" spans="1:7" x14ac:dyDescent="0.35">
      <c r="A9876" t="s">
        <v>847</v>
      </c>
      <c r="B9876" t="s">
        <v>691</v>
      </c>
      <c r="C9876" s="83">
        <v>46267</v>
      </c>
      <c r="D9876" t="s">
        <v>317</v>
      </c>
      <c r="E9876" t="s">
        <v>322</v>
      </c>
      <c r="F9876">
        <v>3</v>
      </c>
      <c r="G9876">
        <v>7.0233166666666698</v>
      </c>
    </row>
    <row r="9877" spans="1:7" x14ac:dyDescent="0.35">
      <c r="A9877" t="s">
        <v>847</v>
      </c>
      <c r="B9877" t="s">
        <v>691</v>
      </c>
      <c r="C9877" s="83">
        <v>46267</v>
      </c>
      <c r="D9877" t="s">
        <v>317</v>
      </c>
      <c r="E9877" t="s">
        <v>318</v>
      </c>
      <c r="F9877">
        <v>2</v>
      </c>
      <c r="G9877">
        <v>0.49828333333333302</v>
      </c>
    </row>
    <row r="9878" spans="1:7" x14ac:dyDescent="0.35">
      <c r="A9878" t="s">
        <v>847</v>
      </c>
      <c r="B9878" t="s">
        <v>691</v>
      </c>
      <c r="C9878" s="83">
        <v>46268</v>
      </c>
      <c r="D9878" t="s">
        <v>295</v>
      </c>
      <c r="E9878" t="s">
        <v>296</v>
      </c>
      <c r="F9878">
        <v>27</v>
      </c>
      <c r="G9878">
        <v>14.208116666666699</v>
      </c>
    </row>
    <row r="9879" spans="1:7" x14ac:dyDescent="0.35">
      <c r="A9879" t="s">
        <v>847</v>
      </c>
      <c r="B9879" t="s">
        <v>691</v>
      </c>
      <c r="C9879" s="83">
        <v>46268</v>
      </c>
      <c r="D9879" t="s">
        <v>299</v>
      </c>
      <c r="E9879" t="s">
        <v>296</v>
      </c>
      <c r="F9879">
        <v>12</v>
      </c>
      <c r="G9879">
        <v>7.0272500000000004</v>
      </c>
    </row>
    <row r="9880" spans="1:7" x14ac:dyDescent="0.35">
      <c r="A9880" t="s">
        <v>847</v>
      </c>
      <c r="B9880" t="s">
        <v>691</v>
      </c>
      <c r="C9880" s="83">
        <v>46268</v>
      </c>
      <c r="D9880" t="s">
        <v>301</v>
      </c>
      <c r="E9880" t="s">
        <v>302</v>
      </c>
      <c r="F9880">
        <v>15</v>
      </c>
      <c r="G9880">
        <v>9.5541499999999999</v>
      </c>
    </row>
    <row r="9881" spans="1:7" x14ac:dyDescent="0.35">
      <c r="A9881" t="s">
        <v>847</v>
      </c>
      <c r="B9881" t="s">
        <v>691</v>
      </c>
      <c r="C9881" s="83">
        <v>46268</v>
      </c>
      <c r="D9881" t="s">
        <v>303</v>
      </c>
      <c r="E9881" t="s">
        <v>302</v>
      </c>
      <c r="F9881">
        <v>37</v>
      </c>
      <c r="G9881">
        <v>18.5458</v>
      </c>
    </row>
    <row r="9882" spans="1:7" x14ac:dyDescent="0.35">
      <c r="A9882" t="s">
        <v>847</v>
      </c>
      <c r="B9882" t="s">
        <v>691</v>
      </c>
      <c r="C9882" s="83">
        <v>46268</v>
      </c>
      <c r="D9882" t="s">
        <v>310</v>
      </c>
      <c r="E9882" t="s">
        <v>311</v>
      </c>
      <c r="F9882">
        <v>27</v>
      </c>
      <c r="G9882">
        <v>29.175916666666701</v>
      </c>
    </row>
    <row r="9883" spans="1:7" x14ac:dyDescent="0.35">
      <c r="A9883" t="s">
        <v>847</v>
      </c>
      <c r="B9883" t="s">
        <v>691</v>
      </c>
      <c r="C9883" s="83">
        <v>46268</v>
      </c>
      <c r="D9883" t="s">
        <v>310</v>
      </c>
      <c r="E9883" t="s">
        <v>321</v>
      </c>
      <c r="F9883">
        <v>11</v>
      </c>
      <c r="G9883">
        <v>55.843233333333302</v>
      </c>
    </row>
    <row r="9884" spans="1:7" x14ac:dyDescent="0.35">
      <c r="A9884" t="s">
        <v>847</v>
      </c>
      <c r="B9884" t="s">
        <v>691</v>
      </c>
      <c r="C9884" s="83">
        <v>46268</v>
      </c>
      <c r="D9884" t="s">
        <v>310</v>
      </c>
      <c r="E9884" t="s">
        <v>312</v>
      </c>
      <c r="F9884">
        <v>10</v>
      </c>
      <c r="G9884">
        <v>4.60558333333333</v>
      </c>
    </row>
    <row r="9885" spans="1:7" x14ac:dyDescent="0.35">
      <c r="A9885" t="s">
        <v>847</v>
      </c>
      <c r="B9885" t="s">
        <v>691</v>
      </c>
      <c r="C9885" s="83">
        <v>46268</v>
      </c>
      <c r="D9885" t="s">
        <v>313</v>
      </c>
      <c r="E9885" t="s">
        <v>311</v>
      </c>
      <c r="F9885">
        <v>23</v>
      </c>
      <c r="G9885">
        <v>17.51895</v>
      </c>
    </row>
    <row r="9886" spans="1:7" x14ac:dyDescent="0.35">
      <c r="A9886" t="s">
        <v>847</v>
      </c>
      <c r="B9886" t="s">
        <v>691</v>
      </c>
      <c r="C9886" s="83">
        <v>46268</v>
      </c>
      <c r="D9886" t="s">
        <v>313</v>
      </c>
      <c r="E9886" t="s">
        <v>126</v>
      </c>
      <c r="F9886">
        <v>11</v>
      </c>
      <c r="G9886">
        <v>29.499466666666699</v>
      </c>
    </row>
    <row r="9887" spans="1:7" x14ac:dyDescent="0.35">
      <c r="A9887" t="s">
        <v>847</v>
      </c>
      <c r="B9887" t="s">
        <v>691</v>
      </c>
      <c r="C9887" s="83">
        <v>46268</v>
      </c>
      <c r="D9887" t="s">
        <v>313</v>
      </c>
      <c r="E9887" t="s">
        <v>312</v>
      </c>
      <c r="F9887">
        <v>7</v>
      </c>
      <c r="G9887">
        <v>27.15325</v>
      </c>
    </row>
    <row r="9888" spans="1:7" x14ac:dyDescent="0.35">
      <c r="A9888" t="s">
        <v>847</v>
      </c>
      <c r="B9888" t="s">
        <v>691</v>
      </c>
      <c r="C9888" s="83">
        <v>46268</v>
      </c>
      <c r="D9888" t="s">
        <v>314</v>
      </c>
      <c r="E9888" t="s">
        <v>316</v>
      </c>
      <c r="F9888">
        <v>10</v>
      </c>
      <c r="G9888">
        <v>3.1525833333333302</v>
      </c>
    </row>
    <row r="9889" spans="1:7" x14ac:dyDescent="0.35">
      <c r="A9889" t="s">
        <v>847</v>
      </c>
      <c r="B9889" t="s">
        <v>691</v>
      </c>
      <c r="C9889" s="83">
        <v>46268</v>
      </c>
      <c r="D9889" t="s">
        <v>314</v>
      </c>
      <c r="E9889" t="s">
        <v>321</v>
      </c>
      <c r="F9889">
        <v>7</v>
      </c>
      <c r="G9889">
        <v>31.518633333333302</v>
      </c>
    </row>
    <row r="9890" spans="1:7" x14ac:dyDescent="0.35">
      <c r="A9890" t="s">
        <v>847</v>
      </c>
      <c r="B9890" t="s">
        <v>691</v>
      </c>
      <c r="C9890" s="83">
        <v>46268</v>
      </c>
      <c r="D9890" t="s">
        <v>314</v>
      </c>
      <c r="E9890" t="s">
        <v>126</v>
      </c>
      <c r="F9890">
        <v>4</v>
      </c>
      <c r="G9890">
        <v>7.9144500000000004</v>
      </c>
    </row>
    <row r="9891" spans="1:7" x14ac:dyDescent="0.35">
      <c r="A9891" t="s">
        <v>847</v>
      </c>
      <c r="B9891" t="s">
        <v>691</v>
      </c>
      <c r="C9891" s="83">
        <v>46268</v>
      </c>
      <c r="D9891" t="s">
        <v>317</v>
      </c>
      <c r="E9891" t="s">
        <v>319</v>
      </c>
      <c r="F9891">
        <v>2</v>
      </c>
      <c r="G9891">
        <v>50.399149999999999</v>
      </c>
    </row>
    <row r="9892" spans="1:7" x14ac:dyDescent="0.35">
      <c r="A9892" t="s">
        <v>847</v>
      </c>
      <c r="B9892" t="s">
        <v>691</v>
      </c>
      <c r="C9892" s="83">
        <v>46269</v>
      </c>
      <c r="D9892" t="s">
        <v>295</v>
      </c>
      <c r="E9892" t="s">
        <v>296</v>
      </c>
      <c r="F9892">
        <v>18</v>
      </c>
      <c r="G9892">
        <v>9.0304666666666709</v>
      </c>
    </row>
    <row r="9893" spans="1:7" x14ac:dyDescent="0.35">
      <c r="A9893" t="s">
        <v>847</v>
      </c>
      <c r="B9893" t="s">
        <v>691</v>
      </c>
      <c r="C9893" s="83">
        <v>46269</v>
      </c>
      <c r="D9893" t="s">
        <v>303</v>
      </c>
      <c r="E9893" t="s">
        <v>828</v>
      </c>
      <c r="F9893">
        <v>13</v>
      </c>
      <c r="G9893">
        <v>8.7461000000000002</v>
      </c>
    </row>
    <row r="9894" spans="1:7" x14ac:dyDescent="0.35">
      <c r="A9894" t="s">
        <v>847</v>
      </c>
      <c r="B9894" t="s">
        <v>691</v>
      </c>
      <c r="C9894" s="83">
        <v>46269</v>
      </c>
      <c r="D9894" t="s">
        <v>303</v>
      </c>
      <c r="E9894" t="s">
        <v>302</v>
      </c>
      <c r="F9894">
        <v>5</v>
      </c>
      <c r="G9894">
        <v>1.46536666666667</v>
      </c>
    </row>
    <row r="9895" spans="1:7" x14ac:dyDescent="0.35">
      <c r="A9895" t="s">
        <v>847</v>
      </c>
      <c r="B9895" t="s">
        <v>691</v>
      </c>
      <c r="C9895" s="83">
        <v>46269</v>
      </c>
      <c r="D9895" t="s">
        <v>310</v>
      </c>
      <c r="E9895" t="s">
        <v>311</v>
      </c>
      <c r="F9895">
        <v>18</v>
      </c>
      <c r="G9895">
        <v>26.401033333333299</v>
      </c>
    </row>
    <row r="9896" spans="1:7" x14ac:dyDescent="0.35">
      <c r="A9896" t="s">
        <v>847</v>
      </c>
      <c r="B9896" t="s">
        <v>691</v>
      </c>
      <c r="C9896" s="83">
        <v>46269</v>
      </c>
      <c r="D9896" t="s">
        <v>310</v>
      </c>
      <c r="E9896" t="s">
        <v>347</v>
      </c>
      <c r="F9896">
        <v>4</v>
      </c>
      <c r="G9896">
        <v>0.58086666666666698</v>
      </c>
    </row>
    <row r="9897" spans="1:7" x14ac:dyDescent="0.35">
      <c r="A9897" t="s">
        <v>847</v>
      </c>
      <c r="B9897" t="s">
        <v>691</v>
      </c>
      <c r="C9897" s="83">
        <v>46269</v>
      </c>
      <c r="D9897" t="s">
        <v>310</v>
      </c>
      <c r="E9897" t="s">
        <v>333</v>
      </c>
      <c r="F9897">
        <v>2</v>
      </c>
      <c r="G9897">
        <v>8.4833333333333302E-2</v>
      </c>
    </row>
    <row r="9898" spans="1:7" x14ac:dyDescent="0.35">
      <c r="A9898" t="s">
        <v>847</v>
      </c>
      <c r="B9898" t="s">
        <v>691</v>
      </c>
      <c r="C9898" s="83">
        <v>46269</v>
      </c>
      <c r="D9898" t="s">
        <v>313</v>
      </c>
      <c r="E9898" t="s">
        <v>822</v>
      </c>
      <c r="F9898">
        <v>2</v>
      </c>
      <c r="G9898">
        <v>14.1328666666667</v>
      </c>
    </row>
    <row r="9899" spans="1:7" x14ac:dyDescent="0.35">
      <c r="A9899" t="s">
        <v>847</v>
      </c>
      <c r="B9899" t="s">
        <v>691</v>
      </c>
      <c r="C9899" s="83">
        <v>46269</v>
      </c>
      <c r="D9899" t="s">
        <v>313</v>
      </c>
      <c r="E9899" t="s">
        <v>312</v>
      </c>
      <c r="F9899">
        <v>2</v>
      </c>
      <c r="G9899">
        <v>2.9160166666666698</v>
      </c>
    </row>
    <row r="9900" spans="1:7" x14ac:dyDescent="0.35">
      <c r="A9900" t="s">
        <v>847</v>
      </c>
      <c r="B9900" t="s">
        <v>691</v>
      </c>
      <c r="C9900" s="83">
        <v>46269</v>
      </c>
      <c r="D9900" t="s">
        <v>313</v>
      </c>
      <c r="E9900" t="s">
        <v>316</v>
      </c>
      <c r="F9900">
        <v>2</v>
      </c>
      <c r="G9900">
        <v>0.245216666666667</v>
      </c>
    </row>
    <row r="9901" spans="1:7" x14ac:dyDescent="0.35">
      <c r="A9901" t="s">
        <v>847</v>
      </c>
      <c r="B9901" t="s">
        <v>691</v>
      </c>
      <c r="C9901" s="83">
        <v>46269</v>
      </c>
      <c r="D9901" t="s">
        <v>317</v>
      </c>
      <c r="E9901" t="s">
        <v>319</v>
      </c>
      <c r="F9901">
        <v>3</v>
      </c>
      <c r="G9901">
        <v>60.443600000000004</v>
      </c>
    </row>
    <row r="9902" spans="1:7" x14ac:dyDescent="0.35">
      <c r="A9902" t="s">
        <v>847</v>
      </c>
      <c r="B9902" t="s">
        <v>691</v>
      </c>
      <c r="C9902" s="83">
        <v>46270</v>
      </c>
      <c r="D9902" t="s">
        <v>295</v>
      </c>
      <c r="E9902" t="s">
        <v>296</v>
      </c>
      <c r="F9902">
        <v>17</v>
      </c>
      <c r="G9902">
        <v>7.8388</v>
      </c>
    </row>
    <row r="9903" spans="1:7" x14ac:dyDescent="0.35">
      <c r="A9903" t="s">
        <v>847</v>
      </c>
      <c r="B9903" t="s">
        <v>691</v>
      </c>
      <c r="C9903" s="83">
        <v>46270</v>
      </c>
      <c r="D9903" t="s">
        <v>299</v>
      </c>
      <c r="E9903" t="s">
        <v>296</v>
      </c>
      <c r="F9903">
        <v>35</v>
      </c>
      <c r="G9903">
        <v>22.0349166666667</v>
      </c>
    </row>
    <row r="9904" spans="1:7" x14ac:dyDescent="0.35">
      <c r="A9904" t="s">
        <v>847</v>
      </c>
      <c r="B9904" t="s">
        <v>691</v>
      </c>
      <c r="C9904" s="83">
        <v>46270</v>
      </c>
      <c r="D9904" t="s">
        <v>303</v>
      </c>
      <c r="E9904" t="s">
        <v>302</v>
      </c>
      <c r="F9904">
        <v>32</v>
      </c>
      <c r="G9904">
        <v>12.437666666666701</v>
      </c>
    </row>
    <row r="9905" spans="1:7" x14ac:dyDescent="0.35">
      <c r="A9905" t="s">
        <v>847</v>
      </c>
      <c r="B9905" t="s">
        <v>691</v>
      </c>
      <c r="C9905" s="83">
        <v>46270</v>
      </c>
      <c r="D9905" t="s">
        <v>310</v>
      </c>
      <c r="E9905" t="s">
        <v>311</v>
      </c>
      <c r="F9905">
        <v>12</v>
      </c>
      <c r="G9905">
        <v>9.0332500000000007</v>
      </c>
    </row>
    <row r="9906" spans="1:7" x14ac:dyDescent="0.35">
      <c r="A9906" t="s">
        <v>847</v>
      </c>
      <c r="B9906" t="s">
        <v>691</v>
      </c>
      <c r="C9906" s="83">
        <v>46270</v>
      </c>
      <c r="D9906" t="s">
        <v>310</v>
      </c>
      <c r="E9906" t="s">
        <v>321</v>
      </c>
      <c r="F9906">
        <v>9</v>
      </c>
      <c r="G9906">
        <v>5.0593000000000004</v>
      </c>
    </row>
    <row r="9907" spans="1:7" x14ac:dyDescent="0.35">
      <c r="A9907" t="s">
        <v>847</v>
      </c>
      <c r="B9907" t="s">
        <v>691</v>
      </c>
      <c r="C9907" s="83">
        <v>46270</v>
      </c>
      <c r="D9907" t="s">
        <v>310</v>
      </c>
      <c r="E9907" t="s">
        <v>126</v>
      </c>
      <c r="F9907">
        <v>6</v>
      </c>
      <c r="G9907">
        <v>5.2930666666666699</v>
      </c>
    </row>
    <row r="9908" spans="1:7" x14ac:dyDescent="0.35">
      <c r="A9908" t="s">
        <v>847</v>
      </c>
      <c r="B9908" t="s">
        <v>691</v>
      </c>
      <c r="C9908" s="83">
        <v>46270</v>
      </c>
      <c r="D9908" t="s">
        <v>313</v>
      </c>
      <c r="E9908" t="s">
        <v>311</v>
      </c>
      <c r="F9908">
        <v>7</v>
      </c>
      <c r="G9908">
        <v>3.12863333333333</v>
      </c>
    </row>
    <row r="9909" spans="1:7" x14ac:dyDescent="0.35">
      <c r="A9909" t="s">
        <v>847</v>
      </c>
      <c r="B9909" t="s">
        <v>691</v>
      </c>
      <c r="C9909" s="83">
        <v>46270</v>
      </c>
      <c r="D9909" t="s">
        <v>313</v>
      </c>
      <c r="E9909" t="s">
        <v>312</v>
      </c>
      <c r="F9909">
        <v>3</v>
      </c>
      <c r="G9909">
        <v>1.1874499999999999</v>
      </c>
    </row>
    <row r="9910" spans="1:7" x14ac:dyDescent="0.35">
      <c r="A9910" t="s">
        <v>847</v>
      </c>
      <c r="B9910" t="s">
        <v>691</v>
      </c>
      <c r="C9910" s="83">
        <v>46270</v>
      </c>
      <c r="D9910" t="s">
        <v>313</v>
      </c>
      <c r="E9910" t="s">
        <v>337</v>
      </c>
      <c r="F9910">
        <v>2</v>
      </c>
      <c r="G9910">
        <v>2.42913333333333</v>
      </c>
    </row>
    <row r="9911" spans="1:7" x14ac:dyDescent="0.35">
      <c r="A9911" t="s">
        <v>847</v>
      </c>
      <c r="B9911" t="s">
        <v>691</v>
      </c>
      <c r="C9911" s="83">
        <v>46270</v>
      </c>
      <c r="D9911" t="s">
        <v>314</v>
      </c>
      <c r="E9911" t="s">
        <v>316</v>
      </c>
      <c r="F9911">
        <v>9</v>
      </c>
      <c r="G9911">
        <v>4.5457666666666698</v>
      </c>
    </row>
    <row r="9912" spans="1:7" x14ac:dyDescent="0.35">
      <c r="A9912" t="s">
        <v>847</v>
      </c>
      <c r="B9912" t="s">
        <v>691</v>
      </c>
      <c r="C9912" s="83">
        <v>46270</v>
      </c>
      <c r="D9912" t="s">
        <v>314</v>
      </c>
      <c r="E9912" t="s">
        <v>126</v>
      </c>
      <c r="F9912">
        <v>5</v>
      </c>
      <c r="G9912">
        <v>9.8615333333333304</v>
      </c>
    </row>
    <row r="9913" spans="1:7" x14ac:dyDescent="0.35">
      <c r="A9913" t="s">
        <v>847</v>
      </c>
      <c r="B9913" t="s">
        <v>691</v>
      </c>
      <c r="C9913" s="83">
        <v>46270</v>
      </c>
      <c r="D9913" t="s">
        <v>314</v>
      </c>
      <c r="E9913" t="s">
        <v>338</v>
      </c>
      <c r="F9913">
        <v>3</v>
      </c>
      <c r="G9913">
        <v>3.29653333333333</v>
      </c>
    </row>
    <row r="9914" spans="1:7" x14ac:dyDescent="0.35">
      <c r="A9914" t="s">
        <v>847</v>
      </c>
      <c r="B9914" t="s">
        <v>691</v>
      </c>
      <c r="C9914" s="83">
        <v>46270</v>
      </c>
      <c r="D9914" t="s">
        <v>317</v>
      </c>
      <c r="E9914" t="s">
        <v>339</v>
      </c>
      <c r="F9914">
        <v>4</v>
      </c>
      <c r="G9914">
        <v>11.5952</v>
      </c>
    </row>
    <row r="9915" spans="1:7" x14ac:dyDescent="0.35">
      <c r="A9915" t="s">
        <v>847</v>
      </c>
      <c r="B9915" t="s">
        <v>691</v>
      </c>
      <c r="C9915" s="83">
        <v>46270</v>
      </c>
      <c r="D9915" t="s">
        <v>317</v>
      </c>
      <c r="E9915" t="s">
        <v>319</v>
      </c>
      <c r="F9915">
        <v>2</v>
      </c>
      <c r="G9915">
        <v>0.24413333333333301</v>
      </c>
    </row>
    <row r="9916" spans="1:7" x14ac:dyDescent="0.35">
      <c r="A9916" t="s">
        <v>847</v>
      </c>
      <c r="B9916" t="s">
        <v>691</v>
      </c>
      <c r="C9916" s="83">
        <v>46270</v>
      </c>
      <c r="D9916" t="s">
        <v>317</v>
      </c>
      <c r="E9916" t="s">
        <v>322</v>
      </c>
      <c r="F9916">
        <v>2</v>
      </c>
      <c r="G9916">
        <v>0.45889999999999997</v>
      </c>
    </row>
    <row r="9917" spans="1:7" x14ac:dyDescent="0.35">
      <c r="A9917" t="s">
        <v>847</v>
      </c>
      <c r="B9917" t="s">
        <v>691</v>
      </c>
      <c r="C9917" s="83">
        <v>46271</v>
      </c>
      <c r="D9917" t="s">
        <v>295</v>
      </c>
      <c r="E9917" t="s">
        <v>296</v>
      </c>
      <c r="F9917">
        <v>51</v>
      </c>
      <c r="G9917">
        <v>32.8901166666667</v>
      </c>
    </row>
    <row r="9918" spans="1:7" x14ac:dyDescent="0.35">
      <c r="A9918" t="s">
        <v>847</v>
      </c>
      <c r="B9918" t="s">
        <v>691</v>
      </c>
      <c r="C9918" s="83">
        <v>46271</v>
      </c>
      <c r="D9918" t="s">
        <v>299</v>
      </c>
      <c r="E9918" t="s">
        <v>296</v>
      </c>
      <c r="F9918">
        <v>13</v>
      </c>
      <c r="G9918">
        <v>3.4294500000000001</v>
      </c>
    </row>
    <row r="9919" spans="1:7" x14ac:dyDescent="0.35">
      <c r="A9919" t="s">
        <v>847</v>
      </c>
      <c r="B9919" t="s">
        <v>691</v>
      </c>
      <c r="C9919" s="83">
        <v>46271</v>
      </c>
      <c r="D9919" t="s">
        <v>301</v>
      </c>
      <c r="E9919" t="s">
        <v>302</v>
      </c>
      <c r="F9919">
        <v>31</v>
      </c>
      <c r="G9919">
        <v>18.0597833333333</v>
      </c>
    </row>
    <row r="9920" spans="1:7" x14ac:dyDescent="0.35">
      <c r="A9920" t="s">
        <v>847</v>
      </c>
      <c r="B9920" t="s">
        <v>691</v>
      </c>
      <c r="C9920" s="83">
        <v>46271</v>
      </c>
      <c r="D9920" t="s">
        <v>303</v>
      </c>
      <c r="E9920" t="s">
        <v>302</v>
      </c>
      <c r="F9920">
        <v>103</v>
      </c>
      <c r="G9920">
        <v>50.357199999999999</v>
      </c>
    </row>
    <row r="9921" spans="1:7" x14ac:dyDescent="0.35">
      <c r="A9921" t="s">
        <v>847</v>
      </c>
      <c r="B9921" t="s">
        <v>691</v>
      </c>
      <c r="C9921" s="83">
        <v>46271</v>
      </c>
      <c r="D9921" t="s">
        <v>309</v>
      </c>
      <c r="E9921" t="s">
        <v>344</v>
      </c>
      <c r="F9921">
        <v>28</v>
      </c>
      <c r="G9921">
        <v>14.770566666666699</v>
      </c>
    </row>
    <row r="9922" spans="1:7" x14ac:dyDescent="0.35">
      <c r="A9922" t="s">
        <v>847</v>
      </c>
      <c r="B9922" t="s">
        <v>691</v>
      </c>
      <c r="C9922" s="83">
        <v>46271</v>
      </c>
      <c r="D9922" t="s">
        <v>310</v>
      </c>
      <c r="E9922" t="s">
        <v>311</v>
      </c>
      <c r="F9922">
        <v>25</v>
      </c>
      <c r="G9922">
        <v>18.3449666666667</v>
      </c>
    </row>
    <row r="9923" spans="1:7" x14ac:dyDescent="0.35">
      <c r="A9923" t="s">
        <v>847</v>
      </c>
      <c r="B9923" t="s">
        <v>691</v>
      </c>
      <c r="C9923" s="83">
        <v>46271</v>
      </c>
      <c r="D9923" t="s">
        <v>310</v>
      </c>
      <c r="E9923" t="s">
        <v>316</v>
      </c>
      <c r="F9923">
        <v>8</v>
      </c>
      <c r="G9923">
        <v>3.5429166666666698</v>
      </c>
    </row>
    <row r="9924" spans="1:7" x14ac:dyDescent="0.35">
      <c r="A9924" t="s">
        <v>847</v>
      </c>
      <c r="B9924" t="s">
        <v>691</v>
      </c>
      <c r="C9924" s="83">
        <v>46271</v>
      </c>
      <c r="D9924" t="s">
        <v>310</v>
      </c>
      <c r="E9924" t="s">
        <v>333</v>
      </c>
      <c r="F9924">
        <v>7</v>
      </c>
      <c r="G9924">
        <v>3.0039833333333301</v>
      </c>
    </row>
    <row r="9925" spans="1:7" x14ac:dyDescent="0.35">
      <c r="A9925" t="s">
        <v>847</v>
      </c>
      <c r="B9925" t="s">
        <v>691</v>
      </c>
      <c r="C9925" s="83">
        <v>46271</v>
      </c>
      <c r="D9925" t="s">
        <v>313</v>
      </c>
      <c r="E9925" t="s">
        <v>311</v>
      </c>
      <c r="F9925">
        <v>17</v>
      </c>
      <c r="G9925">
        <v>16.188883333333301</v>
      </c>
    </row>
    <row r="9926" spans="1:7" x14ac:dyDescent="0.35">
      <c r="A9926" t="s">
        <v>847</v>
      </c>
      <c r="B9926" t="s">
        <v>691</v>
      </c>
      <c r="C9926" s="83">
        <v>46271</v>
      </c>
      <c r="D9926" t="s">
        <v>313</v>
      </c>
      <c r="E9926" t="s">
        <v>316</v>
      </c>
      <c r="F9926">
        <v>4</v>
      </c>
      <c r="G9926">
        <v>6.2609166666666702</v>
      </c>
    </row>
    <row r="9927" spans="1:7" x14ac:dyDescent="0.35">
      <c r="A9927" t="s">
        <v>847</v>
      </c>
      <c r="B9927" t="s">
        <v>691</v>
      </c>
      <c r="C9927" s="83">
        <v>46271</v>
      </c>
      <c r="D9927" t="s">
        <v>313</v>
      </c>
      <c r="E9927" t="s">
        <v>347</v>
      </c>
      <c r="F9927">
        <v>3</v>
      </c>
      <c r="G9927">
        <v>0.36208333333333298</v>
      </c>
    </row>
    <row r="9928" spans="1:7" x14ac:dyDescent="0.35">
      <c r="A9928" t="s">
        <v>847</v>
      </c>
      <c r="B9928" t="s">
        <v>691</v>
      </c>
      <c r="C9928" s="83">
        <v>46271</v>
      </c>
      <c r="D9928" t="s">
        <v>314</v>
      </c>
      <c r="E9928" t="s">
        <v>256</v>
      </c>
      <c r="F9928">
        <v>12</v>
      </c>
      <c r="G9928">
        <v>8.7465499999999992</v>
      </c>
    </row>
    <row r="9929" spans="1:7" x14ac:dyDescent="0.35">
      <c r="A9929" t="s">
        <v>847</v>
      </c>
      <c r="B9929" t="s">
        <v>691</v>
      </c>
      <c r="C9929" s="83">
        <v>46271</v>
      </c>
      <c r="D9929" t="s">
        <v>314</v>
      </c>
      <c r="E9929" t="s">
        <v>348</v>
      </c>
      <c r="F9929">
        <v>6</v>
      </c>
      <c r="G9929">
        <v>28.358799999999999</v>
      </c>
    </row>
    <row r="9930" spans="1:7" x14ac:dyDescent="0.35">
      <c r="A9930" t="s">
        <v>847</v>
      </c>
      <c r="B9930" t="s">
        <v>691</v>
      </c>
      <c r="C9930" s="83">
        <v>46271</v>
      </c>
      <c r="D9930" t="s">
        <v>314</v>
      </c>
      <c r="E9930" t="s">
        <v>316</v>
      </c>
      <c r="F9930">
        <v>5</v>
      </c>
      <c r="G9930">
        <v>18.098883333333301</v>
      </c>
    </row>
    <row r="9931" spans="1:7" x14ac:dyDescent="0.35">
      <c r="A9931" t="s">
        <v>847</v>
      </c>
      <c r="B9931" t="s">
        <v>691</v>
      </c>
      <c r="C9931" s="83">
        <v>46271</v>
      </c>
      <c r="D9931" t="s">
        <v>317</v>
      </c>
      <c r="E9931" t="s">
        <v>339</v>
      </c>
      <c r="F9931">
        <v>3</v>
      </c>
      <c r="G9931">
        <v>1.4223666666666701</v>
      </c>
    </row>
    <row r="9932" spans="1:7" x14ac:dyDescent="0.35">
      <c r="A9932" t="s">
        <v>847</v>
      </c>
      <c r="B9932" t="s">
        <v>691</v>
      </c>
      <c r="C9932" s="83">
        <v>46271</v>
      </c>
      <c r="D9932" t="s">
        <v>317</v>
      </c>
      <c r="E9932" t="s">
        <v>349</v>
      </c>
      <c r="F9932">
        <v>2</v>
      </c>
      <c r="G9932">
        <v>0.97561666666666702</v>
      </c>
    </row>
    <row r="9933" spans="1:7" x14ac:dyDescent="0.35">
      <c r="A9933" t="s">
        <v>847</v>
      </c>
      <c r="B9933" t="s">
        <v>691</v>
      </c>
      <c r="C9933" s="83">
        <v>46272</v>
      </c>
      <c r="D9933" t="s">
        <v>295</v>
      </c>
      <c r="E9933" t="s">
        <v>296</v>
      </c>
      <c r="F9933">
        <v>42</v>
      </c>
      <c r="G9933">
        <v>21.241199999999999</v>
      </c>
    </row>
    <row r="9934" spans="1:7" x14ac:dyDescent="0.35">
      <c r="A9934" t="s">
        <v>847</v>
      </c>
      <c r="B9934" t="s">
        <v>691</v>
      </c>
      <c r="C9934" s="83">
        <v>46272</v>
      </c>
      <c r="D9934" t="s">
        <v>299</v>
      </c>
      <c r="E9934" t="s">
        <v>296</v>
      </c>
      <c r="F9934">
        <v>9</v>
      </c>
      <c r="G9934">
        <v>2.1315166666666698</v>
      </c>
    </row>
    <row r="9935" spans="1:7" x14ac:dyDescent="0.35">
      <c r="A9935" t="s">
        <v>847</v>
      </c>
      <c r="B9935" t="s">
        <v>691</v>
      </c>
      <c r="C9935" s="83">
        <v>46272</v>
      </c>
      <c r="D9935" t="s">
        <v>301</v>
      </c>
      <c r="E9935" t="s">
        <v>302</v>
      </c>
      <c r="F9935">
        <v>18</v>
      </c>
      <c r="G9935">
        <v>7.2274000000000003</v>
      </c>
    </row>
    <row r="9936" spans="1:7" x14ac:dyDescent="0.35">
      <c r="A9936" t="s">
        <v>847</v>
      </c>
      <c r="B9936" t="s">
        <v>691</v>
      </c>
      <c r="C9936" s="83">
        <v>46272</v>
      </c>
      <c r="D9936" t="s">
        <v>303</v>
      </c>
      <c r="E9936" t="s">
        <v>302</v>
      </c>
      <c r="F9936">
        <v>18</v>
      </c>
      <c r="G9936">
        <v>28.817250000000001</v>
      </c>
    </row>
    <row r="9937" spans="1:7" x14ac:dyDescent="0.35">
      <c r="A9937" t="s">
        <v>847</v>
      </c>
      <c r="B9937" t="s">
        <v>691</v>
      </c>
      <c r="C9937" s="83">
        <v>46272</v>
      </c>
      <c r="D9937" t="s">
        <v>310</v>
      </c>
      <c r="E9937" t="s">
        <v>311</v>
      </c>
      <c r="F9937">
        <v>24</v>
      </c>
      <c r="G9937">
        <v>13.253</v>
      </c>
    </row>
    <row r="9938" spans="1:7" x14ac:dyDescent="0.35">
      <c r="A9938" t="s">
        <v>847</v>
      </c>
      <c r="B9938" t="s">
        <v>691</v>
      </c>
      <c r="C9938" s="83">
        <v>46272</v>
      </c>
      <c r="D9938" t="s">
        <v>310</v>
      </c>
      <c r="E9938" t="s">
        <v>126</v>
      </c>
      <c r="F9938">
        <v>10</v>
      </c>
      <c r="G9938">
        <v>8.3198833333333297</v>
      </c>
    </row>
    <row r="9939" spans="1:7" x14ac:dyDescent="0.35">
      <c r="A9939" t="s">
        <v>847</v>
      </c>
      <c r="B9939" t="s">
        <v>691</v>
      </c>
      <c r="C9939" s="83">
        <v>46272</v>
      </c>
      <c r="D9939" t="s">
        <v>310</v>
      </c>
      <c r="E9939" t="s">
        <v>347</v>
      </c>
      <c r="F9939">
        <v>5</v>
      </c>
      <c r="G9939">
        <v>0.88761666666666705</v>
      </c>
    </row>
    <row r="9940" spans="1:7" x14ac:dyDescent="0.35">
      <c r="A9940" t="s">
        <v>847</v>
      </c>
      <c r="B9940" t="s">
        <v>691</v>
      </c>
      <c r="C9940" s="83">
        <v>46272</v>
      </c>
      <c r="D9940" t="s">
        <v>313</v>
      </c>
      <c r="E9940" t="s">
        <v>311</v>
      </c>
      <c r="F9940">
        <v>19</v>
      </c>
      <c r="G9940">
        <v>23.252300000000002</v>
      </c>
    </row>
    <row r="9941" spans="1:7" x14ac:dyDescent="0.35">
      <c r="A9941" t="s">
        <v>847</v>
      </c>
      <c r="B9941" t="s">
        <v>691</v>
      </c>
      <c r="C9941" s="83">
        <v>46272</v>
      </c>
      <c r="D9941" t="s">
        <v>313</v>
      </c>
      <c r="E9941" t="s">
        <v>312</v>
      </c>
      <c r="F9941">
        <v>9</v>
      </c>
      <c r="G9941">
        <v>3.26065</v>
      </c>
    </row>
    <row r="9942" spans="1:7" x14ac:dyDescent="0.35">
      <c r="A9942" t="s">
        <v>847</v>
      </c>
      <c r="B9942" t="s">
        <v>691</v>
      </c>
      <c r="C9942" s="83">
        <v>46272</v>
      </c>
      <c r="D9942" t="s">
        <v>313</v>
      </c>
      <c r="E9942" t="s">
        <v>126</v>
      </c>
      <c r="F9942">
        <v>8</v>
      </c>
      <c r="G9942">
        <v>15.9440333333333</v>
      </c>
    </row>
    <row r="9943" spans="1:7" x14ac:dyDescent="0.35">
      <c r="A9943" t="s">
        <v>847</v>
      </c>
      <c r="B9943" t="s">
        <v>691</v>
      </c>
      <c r="C9943" s="83">
        <v>46272</v>
      </c>
      <c r="D9943" t="s">
        <v>314</v>
      </c>
      <c r="E9943" t="s">
        <v>316</v>
      </c>
      <c r="F9943">
        <v>7</v>
      </c>
      <c r="G9943">
        <v>4.6536833333333298</v>
      </c>
    </row>
    <row r="9944" spans="1:7" x14ac:dyDescent="0.35">
      <c r="A9944" t="s">
        <v>847</v>
      </c>
      <c r="B9944" t="s">
        <v>691</v>
      </c>
      <c r="C9944" s="83">
        <v>46272</v>
      </c>
      <c r="D9944" t="s">
        <v>314</v>
      </c>
      <c r="E9944" t="s">
        <v>126</v>
      </c>
      <c r="F9944">
        <v>4</v>
      </c>
      <c r="G9944">
        <v>4.0786833333333297</v>
      </c>
    </row>
    <row r="9945" spans="1:7" x14ac:dyDescent="0.35">
      <c r="A9945" t="s">
        <v>847</v>
      </c>
      <c r="B9945" t="s">
        <v>691</v>
      </c>
      <c r="C9945" s="83">
        <v>46272</v>
      </c>
      <c r="D9945" t="s">
        <v>314</v>
      </c>
      <c r="E9945" t="s">
        <v>321</v>
      </c>
      <c r="F9945">
        <v>3</v>
      </c>
      <c r="G9945">
        <v>1.6209166666666699</v>
      </c>
    </row>
    <row r="9946" spans="1:7" x14ac:dyDescent="0.35">
      <c r="A9946" t="s">
        <v>847</v>
      </c>
      <c r="B9946" t="s">
        <v>691</v>
      </c>
      <c r="C9946" s="83">
        <v>46272</v>
      </c>
      <c r="D9946" t="s">
        <v>317</v>
      </c>
      <c r="E9946" t="s">
        <v>725</v>
      </c>
      <c r="F9946">
        <v>2</v>
      </c>
      <c r="G9946">
        <v>0.46386666666666698</v>
      </c>
    </row>
    <row r="9947" spans="1:7" x14ac:dyDescent="0.35">
      <c r="A9947" t="s">
        <v>847</v>
      </c>
      <c r="B9947" t="s">
        <v>691</v>
      </c>
      <c r="C9947" s="83">
        <v>46272</v>
      </c>
      <c r="D9947" t="s">
        <v>317</v>
      </c>
      <c r="E9947" t="s">
        <v>322</v>
      </c>
      <c r="F9947">
        <v>2</v>
      </c>
      <c r="G9947">
        <v>1.0032000000000001</v>
      </c>
    </row>
    <row r="9948" spans="1:7" x14ac:dyDescent="0.35">
      <c r="A9948" t="s">
        <v>847</v>
      </c>
      <c r="B9948" t="s">
        <v>691</v>
      </c>
      <c r="C9948" s="83">
        <v>46273</v>
      </c>
      <c r="D9948" t="s">
        <v>295</v>
      </c>
      <c r="E9948" t="s">
        <v>296</v>
      </c>
      <c r="F9948">
        <v>40</v>
      </c>
      <c r="G9948">
        <v>25.0879333333333</v>
      </c>
    </row>
    <row r="9949" spans="1:7" x14ac:dyDescent="0.35">
      <c r="A9949" t="s">
        <v>847</v>
      </c>
      <c r="B9949" t="s">
        <v>691</v>
      </c>
      <c r="C9949" s="83">
        <v>46273</v>
      </c>
      <c r="D9949" t="s">
        <v>299</v>
      </c>
      <c r="E9949" t="s">
        <v>296</v>
      </c>
      <c r="F9949">
        <v>19</v>
      </c>
      <c r="G9949">
        <v>6.2803666666666702</v>
      </c>
    </row>
    <row r="9950" spans="1:7" x14ac:dyDescent="0.35">
      <c r="A9950" t="s">
        <v>847</v>
      </c>
      <c r="B9950" t="s">
        <v>691</v>
      </c>
      <c r="C9950" s="83">
        <v>46273</v>
      </c>
      <c r="D9950" t="s">
        <v>301</v>
      </c>
      <c r="E9950" t="s">
        <v>302</v>
      </c>
      <c r="F9950">
        <v>17</v>
      </c>
      <c r="G9950">
        <v>8.0145</v>
      </c>
    </row>
    <row r="9951" spans="1:7" x14ac:dyDescent="0.35">
      <c r="A9951" t="s">
        <v>847</v>
      </c>
      <c r="B9951" t="s">
        <v>691</v>
      </c>
      <c r="C9951" s="83">
        <v>46273</v>
      </c>
      <c r="D9951" t="s">
        <v>303</v>
      </c>
      <c r="E9951" t="s">
        <v>302</v>
      </c>
      <c r="F9951">
        <v>6</v>
      </c>
      <c r="G9951">
        <v>2.6137000000000001</v>
      </c>
    </row>
    <row r="9952" spans="1:7" x14ac:dyDescent="0.35">
      <c r="A9952" t="s">
        <v>847</v>
      </c>
      <c r="B9952" t="s">
        <v>691</v>
      </c>
      <c r="C9952" s="83">
        <v>46273</v>
      </c>
      <c r="D9952" t="s">
        <v>310</v>
      </c>
      <c r="E9952" t="s">
        <v>311</v>
      </c>
      <c r="F9952">
        <v>81</v>
      </c>
      <c r="G9952">
        <v>43.230516666666702</v>
      </c>
    </row>
    <row r="9953" spans="1:7" x14ac:dyDescent="0.35">
      <c r="A9953" t="s">
        <v>847</v>
      </c>
      <c r="B9953" t="s">
        <v>691</v>
      </c>
      <c r="C9953" s="83">
        <v>46273</v>
      </c>
      <c r="D9953" t="s">
        <v>310</v>
      </c>
      <c r="E9953" t="s">
        <v>126</v>
      </c>
      <c r="F9953">
        <v>5</v>
      </c>
      <c r="G9953">
        <v>2.97718333333333</v>
      </c>
    </row>
    <row r="9954" spans="1:7" x14ac:dyDescent="0.35">
      <c r="A9954" t="s">
        <v>847</v>
      </c>
      <c r="B9954" t="s">
        <v>691</v>
      </c>
      <c r="C9954" s="83">
        <v>46273</v>
      </c>
      <c r="D9954" t="s">
        <v>310</v>
      </c>
      <c r="E9954" t="s">
        <v>347</v>
      </c>
      <c r="F9954">
        <v>4</v>
      </c>
      <c r="G9954">
        <v>1.5179</v>
      </c>
    </row>
    <row r="9955" spans="1:7" x14ac:dyDescent="0.35">
      <c r="A9955" t="s">
        <v>847</v>
      </c>
      <c r="B9955" t="s">
        <v>691</v>
      </c>
      <c r="C9955" s="83">
        <v>46273</v>
      </c>
      <c r="D9955" t="s">
        <v>313</v>
      </c>
      <c r="E9955" t="s">
        <v>311</v>
      </c>
      <c r="F9955">
        <v>9</v>
      </c>
      <c r="G9955">
        <v>8.7810166666666696</v>
      </c>
    </row>
    <row r="9956" spans="1:7" x14ac:dyDescent="0.35">
      <c r="A9956" t="s">
        <v>847</v>
      </c>
      <c r="B9956" t="s">
        <v>691</v>
      </c>
      <c r="C9956" s="83">
        <v>46273</v>
      </c>
      <c r="D9956" t="s">
        <v>313</v>
      </c>
      <c r="E9956" t="s">
        <v>312</v>
      </c>
      <c r="F9956">
        <v>6</v>
      </c>
      <c r="G9956">
        <v>3.0400666666666698</v>
      </c>
    </row>
    <row r="9957" spans="1:7" x14ac:dyDescent="0.35">
      <c r="A9957" t="s">
        <v>847</v>
      </c>
      <c r="B9957" t="s">
        <v>691</v>
      </c>
      <c r="C9957" s="83">
        <v>46273</v>
      </c>
      <c r="D9957" t="s">
        <v>313</v>
      </c>
      <c r="E9957" t="s">
        <v>126</v>
      </c>
      <c r="F9957">
        <v>4</v>
      </c>
      <c r="G9957">
        <v>6.1156833333333296</v>
      </c>
    </row>
    <row r="9958" spans="1:7" x14ac:dyDescent="0.35">
      <c r="A9958" t="s">
        <v>847</v>
      </c>
      <c r="B9958" t="s">
        <v>691</v>
      </c>
      <c r="C9958" s="83">
        <v>46273</v>
      </c>
      <c r="D9958" t="s">
        <v>314</v>
      </c>
      <c r="E9958" t="s">
        <v>316</v>
      </c>
      <c r="F9958">
        <v>11</v>
      </c>
      <c r="G9958">
        <v>5.2814333333333296</v>
      </c>
    </row>
    <row r="9959" spans="1:7" x14ac:dyDescent="0.35">
      <c r="A9959" t="s">
        <v>847</v>
      </c>
      <c r="B9959" t="s">
        <v>691</v>
      </c>
      <c r="C9959" s="83">
        <v>46273</v>
      </c>
      <c r="D9959" t="s">
        <v>314</v>
      </c>
      <c r="E9959" t="s">
        <v>126</v>
      </c>
      <c r="F9959">
        <v>5</v>
      </c>
      <c r="G9959">
        <v>44.265349999999998</v>
      </c>
    </row>
    <row r="9960" spans="1:7" x14ac:dyDescent="0.35">
      <c r="A9960" t="s">
        <v>847</v>
      </c>
      <c r="B9960" t="s">
        <v>691</v>
      </c>
      <c r="C9960" s="83">
        <v>46273</v>
      </c>
      <c r="D9960" t="s">
        <v>314</v>
      </c>
      <c r="E9960" t="s">
        <v>347</v>
      </c>
      <c r="F9960">
        <v>2</v>
      </c>
      <c r="G9960">
        <v>0.17695</v>
      </c>
    </row>
    <row r="9961" spans="1:7" x14ac:dyDescent="0.35">
      <c r="A9961" t="s">
        <v>847</v>
      </c>
      <c r="B9961" t="s">
        <v>691</v>
      </c>
      <c r="C9961" s="83">
        <v>46273</v>
      </c>
      <c r="D9961" t="s">
        <v>317</v>
      </c>
      <c r="E9961" t="s">
        <v>318</v>
      </c>
      <c r="F9961">
        <v>2</v>
      </c>
      <c r="G9961">
        <v>0.65671666666666695</v>
      </c>
    </row>
    <row r="9962" spans="1:7" x14ac:dyDescent="0.35">
      <c r="A9962" t="s">
        <v>847</v>
      </c>
      <c r="B9962" t="s">
        <v>691</v>
      </c>
      <c r="C9962" s="83">
        <v>46273</v>
      </c>
      <c r="D9962" t="s">
        <v>317</v>
      </c>
      <c r="E9962" t="s">
        <v>319</v>
      </c>
      <c r="F9962">
        <v>2</v>
      </c>
      <c r="G9962">
        <v>0.84143333333333303</v>
      </c>
    </row>
    <row r="9963" spans="1:7" x14ac:dyDescent="0.35">
      <c r="A9963" t="s">
        <v>847</v>
      </c>
      <c r="B9963" t="s">
        <v>691</v>
      </c>
      <c r="C9963" s="83">
        <v>46273</v>
      </c>
      <c r="D9963" t="s">
        <v>317</v>
      </c>
      <c r="E9963" t="s">
        <v>322</v>
      </c>
      <c r="F9963">
        <v>2</v>
      </c>
      <c r="G9963">
        <v>1.23786666666667</v>
      </c>
    </row>
    <row r="9964" spans="1:7" x14ac:dyDescent="0.35">
      <c r="A9964" t="s">
        <v>847</v>
      </c>
      <c r="B9964" t="s">
        <v>691</v>
      </c>
      <c r="C9964" s="83">
        <v>46274</v>
      </c>
      <c r="D9964" t="s">
        <v>295</v>
      </c>
      <c r="E9964" t="s">
        <v>296</v>
      </c>
      <c r="F9964">
        <v>32</v>
      </c>
      <c r="G9964">
        <v>15.097633333333301</v>
      </c>
    </row>
    <row r="9965" spans="1:7" x14ac:dyDescent="0.35">
      <c r="A9965" t="s">
        <v>847</v>
      </c>
      <c r="B9965" t="s">
        <v>691</v>
      </c>
      <c r="C9965" s="83">
        <v>46274</v>
      </c>
      <c r="D9965" t="s">
        <v>299</v>
      </c>
      <c r="E9965" t="s">
        <v>296</v>
      </c>
      <c r="F9965">
        <v>27</v>
      </c>
      <c r="G9965">
        <v>14.2300166666667</v>
      </c>
    </row>
    <row r="9966" spans="1:7" x14ac:dyDescent="0.35">
      <c r="A9966" t="s">
        <v>847</v>
      </c>
      <c r="B9966" t="s">
        <v>691</v>
      </c>
      <c r="C9966" s="83">
        <v>46274</v>
      </c>
      <c r="D9966" t="s">
        <v>301</v>
      </c>
      <c r="E9966" t="s">
        <v>302</v>
      </c>
      <c r="F9966">
        <v>22</v>
      </c>
      <c r="G9966">
        <v>15.5719833333333</v>
      </c>
    </row>
    <row r="9967" spans="1:7" x14ac:dyDescent="0.35">
      <c r="A9967" t="s">
        <v>847</v>
      </c>
      <c r="B9967" t="s">
        <v>691</v>
      </c>
      <c r="C9967" s="83">
        <v>46274</v>
      </c>
      <c r="D9967" t="s">
        <v>303</v>
      </c>
      <c r="E9967" t="s">
        <v>302</v>
      </c>
      <c r="F9967">
        <v>15</v>
      </c>
      <c r="G9967">
        <v>14.3987833333333</v>
      </c>
    </row>
    <row r="9968" spans="1:7" x14ac:dyDescent="0.35">
      <c r="A9968" t="s">
        <v>847</v>
      </c>
      <c r="B9968" t="s">
        <v>691</v>
      </c>
      <c r="C9968" s="83">
        <v>46274</v>
      </c>
      <c r="D9968" t="s">
        <v>310</v>
      </c>
      <c r="E9968" t="s">
        <v>311</v>
      </c>
      <c r="F9968">
        <v>66</v>
      </c>
      <c r="G9968">
        <v>150.13679999999999</v>
      </c>
    </row>
    <row r="9969" spans="1:7" x14ac:dyDescent="0.35">
      <c r="A9969" t="s">
        <v>847</v>
      </c>
      <c r="B9969" t="s">
        <v>691</v>
      </c>
      <c r="C9969" s="83">
        <v>46274</v>
      </c>
      <c r="D9969" t="s">
        <v>310</v>
      </c>
      <c r="E9969" t="s">
        <v>333</v>
      </c>
      <c r="F9969">
        <v>8</v>
      </c>
      <c r="G9969">
        <v>4.8393333333333297</v>
      </c>
    </row>
    <row r="9970" spans="1:7" x14ac:dyDescent="0.35">
      <c r="A9970" t="s">
        <v>847</v>
      </c>
      <c r="B9970" t="s">
        <v>691</v>
      </c>
      <c r="C9970" s="83">
        <v>46274</v>
      </c>
      <c r="D9970" t="s">
        <v>310</v>
      </c>
      <c r="E9970" t="s">
        <v>312</v>
      </c>
      <c r="F9970">
        <v>7</v>
      </c>
      <c r="G9970">
        <v>11.420066666666701</v>
      </c>
    </row>
    <row r="9971" spans="1:7" x14ac:dyDescent="0.35">
      <c r="A9971" t="s">
        <v>847</v>
      </c>
      <c r="B9971" t="s">
        <v>691</v>
      </c>
      <c r="C9971" s="83">
        <v>46274</v>
      </c>
      <c r="D9971" t="s">
        <v>313</v>
      </c>
      <c r="E9971" t="s">
        <v>311</v>
      </c>
      <c r="F9971">
        <v>19</v>
      </c>
      <c r="G9971">
        <v>15.0721333333333</v>
      </c>
    </row>
    <row r="9972" spans="1:7" x14ac:dyDescent="0.35">
      <c r="A9972" t="s">
        <v>847</v>
      </c>
      <c r="B9972" t="s">
        <v>691</v>
      </c>
      <c r="C9972" s="83">
        <v>46274</v>
      </c>
      <c r="D9972" t="s">
        <v>313</v>
      </c>
      <c r="E9972" t="s">
        <v>126</v>
      </c>
      <c r="F9972">
        <v>9</v>
      </c>
      <c r="G9972">
        <v>29.092966666666701</v>
      </c>
    </row>
    <row r="9973" spans="1:7" x14ac:dyDescent="0.35">
      <c r="A9973" t="s">
        <v>847</v>
      </c>
      <c r="B9973" t="s">
        <v>691</v>
      </c>
      <c r="C9973" s="83">
        <v>46274</v>
      </c>
      <c r="D9973" t="s">
        <v>313</v>
      </c>
      <c r="E9973" t="s">
        <v>319</v>
      </c>
      <c r="F9973">
        <v>3</v>
      </c>
      <c r="G9973">
        <v>2.0811500000000001</v>
      </c>
    </row>
    <row r="9974" spans="1:7" x14ac:dyDescent="0.35">
      <c r="A9974" t="s">
        <v>847</v>
      </c>
      <c r="B9974" t="s">
        <v>691</v>
      </c>
      <c r="C9974" s="83">
        <v>46274</v>
      </c>
      <c r="D9974" t="s">
        <v>314</v>
      </c>
      <c r="E9974" t="s">
        <v>316</v>
      </c>
      <c r="F9974">
        <v>7</v>
      </c>
      <c r="G9974">
        <v>7.6364999999999998</v>
      </c>
    </row>
    <row r="9975" spans="1:7" x14ac:dyDescent="0.35">
      <c r="A9975" t="s">
        <v>847</v>
      </c>
      <c r="B9975" t="s">
        <v>691</v>
      </c>
      <c r="C9975" s="83">
        <v>46274</v>
      </c>
      <c r="D9975" t="s">
        <v>314</v>
      </c>
      <c r="E9975" t="s">
        <v>126</v>
      </c>
      <c r="F9975">
        <v>6</v>
      </c>
      <c r="G9975">
        <v>14.6168333333333</v>
      </c>
    </row>
    <row r="9976" spans="1:7" x14ac:dyDescent="0.35">
      <c r="A9976" t="s">
        <v>847</v>
      </c>
      <c r="B9976" t="s">
        <v>691</v>
      </c>
      <c r="C9976" s="83">
        <v>46274</v>
      </c>
      <c r="D9976" t="s">
        <v>314</v>
      </c>
      <c r="E9976" t="s">
        <v>321</v>
      </c>
      <c r="F9976">
        <v>4</v>
      </c>
      <c r="G9976">
        <v>2.17566666666667</v>
      </c>
    </row>
    <row r="9977" spans="1:7" x14ac:dyDescent="0.35">
      <c r="A9977" t="s">
        <v>847</v>
      </c>
      <c r="B9977" t="s">
        <v>691</v>
      </c>
      <c r="C9977" s="83">
        <v>46274</v>
      </c>
      <c r="D9977" t="s">
        <v>317</v>
      </c>
      <c r="E9977" t="s">
        <v>315</v>
      </c>
      <c r="F9977">
        <v>2</v>
      </c>
      <c r="G9977">
        <v>0.12636666666666699</v>
      </c>
    </row>
    <row r="9978" spans="1:7" x14ac:dyDescent="0.35">
      <c r="A9978" t="s">
        <v>847</v>
      </c>
      <c r="B9978" t="s">
        <v>691</v>
      </c>
      <c r="C9978" s="83">
        <v>46274</v>
      </c>
      <c r="D9978" t="s">
        <v>317</v>
      </c>
      <c r="E9978" t="s">
        <v>322</v>
      </c>
      <c r="F9978">
        <v>2</v>
      </c>
      <c r="G9978">
        <v>1.30771666666667</v>
      </c>
    </row>
    <row r="9979" spans="1:7" x14ac:dyDescent="0.35">
      <c r="A9979" t="s">
        <v>847</v>
      </c>
      <c r="B9979" t="s">
        <v>691</v>
      </c>
      <c r="C9979" s="83">
        <v>46274</v>
      </c>
      <c r="D9979" t="s">
        <v>317</v>
      </c>
      <c r="E9979" t="s">
        <v>772</v>
      </c>
      <c r="F9979">
        <v>1</v>
      </c>
      <c r="G9979">
        <v>0.26955000000000001</v>
      </c>
    </row>
    <row r="9980" spans="1:7" x14ac:dyDescent="0.35">
      <c r="A9980" t="s">
        <v>847</v>
      </c>
      <c r="B9980" t="s">
        <v>691</v>
      </c>
      <c r="C9980" s="83">
        <v>46275</v>
      </c>
      <c r="D9980" t="s">
        <v>295</v>
      </c>
      <c r="E9980" t="s">
        <v>296</v>
      </c>
      <c r="F9980">
        <v>14</v>
      </c>
      <c r="G9980">
        <v>5.6805166666666702</v>
      </c>
    </row>
    <row r="9981" spans="1:7" x14ac:dyDescent="0.35">
      <c r="A9981" t="s">
        <v>847</v>
      </c>
      <c r="B9981" t="s">
        <v>691</v>
      </c>
      <c r="C9981" s="83">
        <v>46275</v>
      </c>
      <c r="D9981" t="s">
        <v>299</v>
      </c>
      <c r="E9981" t="s">
        <v>296</v>
      </c>
      <c r="F9981">
        <v>10</v>
      </c>
      <c r="G9981">
        <v>3.4913500000000002</v>
      </c>
    </row>
    <row r="9982" spans="1:7" x14ac:dyDescent="0.35">
      <c r="A9982" t="s">
        <v>847</v>
      </c>
      <c r="B9982" t="s">
        <v>691</v>
      </c>
      <c r="C9982" s="83">
        <v>46275</v>
      </c>
      <c r="D9982" t="s">
        <v>301</v>
      </c>
      <c r="E9982" t="s">
        <v>302</v>
      </c>
      <c r="F9982">
        <v>9</v>
      </c>
      <c r="G9982">
        <v>5.4824999999999999</v>
      </c>
    </row>
    <row r="9983" spans="1:7" x14ac:dyDescent="0.35">
      <c r="A9983" t="s">
        <v>847</v>
      </c>
      <c r="B9983" t="s">
        <v>691</v>
      </c>
      <c r="C9983" s="83">
        <v>46275</v>
      </c>
      <c r="D9983" t="s">
        <v>309</v>
      </c>
      <c r="E9983" t="s">
        <v>344</v>
      </c>
      <c r="F9983">
        <v>9</v>
      </c>
      <c r="G9983">
        <v>3.9734333333333298</v>
      </c>
    </row>
    <row r="9984" spans="1:7" x14ac:dyDescent="0.35">
      <c r="A9984" t="s">
        <v>847</v>
      </c>
      <c r="B9984" t="s">
        <v>691</v>
      </c>
      <c r="C9984" s="83">
        <v>46275</v>
      </c>
      <c r="D9984" t="s">
        <v>310</v>
      </c>
      <c r="E9984" t="s">
        <v>311</v>
      </c>
      <c r="F9984">
        <v>4</v>
      </c>
      <c r="G9984">
        <v>3.60496666666667</v>
      </c>
    </row>
    <row r="9985" spans="1:7" x14ac:dyDescent="0.35">
      <c r="A9985" t="s">
        <v>847</v>
      </c>
      <c r="B9985" t="s">
        <v>691</v>
      </c>
      <c r="C9985" s="83">
        <v>46275</v>
      </c>
      <c r="D9985" t="s">
        <v>310</v>
      </c>
      <c r="E9985" t="s">
        <v>338</v>
      </c>
      <c r="F9985">
        <v>3</v>
      </c>
      <c r="G9985">
        <v>1.0538666666666701</v>
      </c>
    </row>
    <row r="9986" spans="1:7" x14ac:dyDescent="0.35">
      <c r="A9986" t="s">
        <v>847</v>
      </c>
      <c r="B9986" t="s">
        <v>691</v>
      </c>
      <c r="C9986" s="83">
        <v>46275</v>
      </c>
      <c r="D9986" t="s">
        <v>310</v>
      </c>
      <c r="E9986" t="s">
        <v>321</v>
      </c>
      <c r="F9986">
        <v>2</v>
      </c>
      <c r="G9986">
        <v>0.77263333333333295</v>
      </c>
    </row>
    <row r="9987" spans="1:7" x14ac:dyDescent="0.35">
      <c r="A9987" t="s">
        <v>847</v>
      </c>
      <c r="B9987" t="s">
        <v>691</v>
      </c>
      <c r="C9987" s="83">
        <v>46275</v>
      </c>
      <c r="D9987" t="s">
        <v>313</v>
      </c>
      <c r="E9987" t="s">
        <v>126</v>
      </c>
      <c r="F9987">
        <v>26</v>
      </c>
      <c r="G9987">
        <v>551.30808333333403</v>
      </c>
    </row>
    <row r="9988" spans="1:7" x14ac:dyDescent="0.35">
      <c r="A9988" t="s">
        <v>847</v>
      </c>
      <c r="B9988" t="s">
        <v>691</v>
      </c>
      <c r="C9988" s="83">
        <v>46275</v>
      </c>
      <c r="D9988" t="s">
        <v>313</v>
      </c>
      <c r="E9988" t="s">
        <v>311</v>
      </c>
      <c r="F9988">
        <v>11</v>
      </c>
      <c r="G9988">
        <v>20.8017</v>
      </c>
    </row>
    <row r="9989" spans="1:7" x14ac:dyDescent="0.35">
      <c r="A9989" t="s">
        <v>847</v>
      </c>
      <c r="B9989" t="s">
        <v>691</v>
      </c>
      <c r="C9989" s="83">
        <v>46275</v>
      </c>
      <c r="D9989" t="s">
        <v>313</v>
      </c>
      <c r="E9989" t="s">
        <v>319</v>
      </c>
      <c r="F9989">
        <v>3</v>
      </c>
      <c r="G9989">
        <v>1.0562</v>
      </c>
    </row>
    <row r="9990" spans="1:7" x14ac:dyDescent="0.35">
      <c r="A9990" t="s">
        <v>847</v>
      </c>
      <c r="B9990" t="s">
        <v>691</v>
      </c>
      <c r="C9990" s="83">
        <v>46275</v>
      </c>
      <c r="D9990" t="s">
        <v>314</v>
      </c>
      <c r="E9990" t="s">
        <v>126</v>
      </c>
      <c r="F9990">
        <v>9</v>
      </c>
      <c r="G9990">
        <v>35.829883333333299</v>
      </c>
    </row>
    <row r="9991" spans="1:7" x14ac:dyDescent="0.35">
      <c r="A9991" t="s">
        <v>847</v>
      </c>
      <c r="B9991" t="s">
        <v>691</v>
      </c>
      <c r="C9991" s="83">
        <v>46275</v>
      </c>
      <c r="D9991" t="s">
        <v>314</v>
      </c>
      <c r="E9991" t="s">
        <v>316</v>
      </c>
      <c r="F9991">
        <v>7</v>
      </c>
      <c r="G9991">
        <v>4.5096833333333297</v>
      </c>
    </row>
    <row r="9992" spans="1:7" x14ac:dyDescent="0.35">
      <c r="A9992" t="s">
        <v>847</v>
      </c>
      <c r="B9992" t="s">
        <v>691</v>
      </c>
      <c r="C9992" s="83">
        <v>46275</v>
      </c>
      <c r="D9992" t="s">
        <v>314</v>
      </c>
      <c r="E9992" t="s">
        <v>339</v>
      </c>
      <c r="F9992">
        <v>3</v>
      </c>
      <c r="G9992">
        <v>2.4875333333333298</v>
      </c>
    </row>
    <row r="9993" spans="1:7" x14ac:dyDescent="0.35">
      <c r="A9993" t="s">
        <v>847</v>
      </c>
      <c r="B9993" t="s">
        <v>691</v>
      </c>
      <c r="C9993" s="83">
        <v>46275</v>
      </c>
      <c r="D9993" t="s">
        <v>317</v>
      </c>
      <c r="E9993" t="s">
        <v>319</v>
      </c>
      <c r="F9993">
        <v>2</v>
      </c>
      <c r="G9993">
        <v>114.71708333333299</v>
      </c>
    </row>
    <row r="9994" spans="1:7" x14ac:dyDescent="0.35">
      <c r="A9994" t="s">
        <v>847</v>
      </c>
      <c r="B9994" t="s">
        <v>691</v>
      </c>
      <c r="C9994" s="83">
        <v>46276</v>
      </c>
      <c r="D9994" t="s">
        <v>295</v>
      </c>
      <c r="E9994" t="s">
        <v>302</v>
      </c>
      <c r="F9994">
        <v>8</v>
      </c>
      <c r="G9994">
        <v>3.0376666666666701</v>
      </c>
    </row>
    <row r="9995" spans="1:7" x14ac:dyDescent="0.35">
      <c r="A9995" t="s">
        <v>847</v>
      </c>
      <c r="B9995" t="s">
        <v>691</v>
      </c>
      <c r="C9995" s="83">
        <v>46276</v>
      </c>
      <c r="D9995" t="s">
        <v>299</v>
      </c>
      <c r="E9995" t="s">
        <v>296</v>
      </c>
      <c r="F9995">
        <v>5</v>
      </c>
      <c r="G9995">
        <v>1.83896666666667</v>
      </c>
    </row>
    <row r="9996" spans="1:7" x14ac:dyDescent="0.35">
      <c r="A9996" t="s">
        <v>847</v>
      </c>
      <c r="B9996" t="s">
        <v>691</v>
      </c>
      <c r="C9996" s="83">
        <v>46276</v>
      </c>
      <c r="D9996" t="s">
        <v>301</v>
      </c>
      <c r="E9996" t="s">
        <v>302</v>
      </c>
      <c r="F9996">
        <v>63</v>
      </c>
      <c r="G9996">
        <v>39.316383333333299</v>
      </c>
    </row>
    <row r="9997" spans="1:7" x14ac:dyDescent="0.35">
      <c r="A9997" t="s">
        <v>847</v>
      </c>
      <c r="B9997" t="s">
        <v>691</v>
      </c>
      <c r="C9997" s="83">
        <v>46276</v>
      </c>
      <c r="D9997" t="s">
        <v>303</v>
      </c>
      <c r="E9997" t="s">
        <v>828</v>
      </c>
      <c r="F9997">
        <v>3</v>
      </c>
      <c r="G9997">
        <v>0.67535000000000001</v>
      </c>
    </row>
    <row r="9998" spans="1:7" x14ac:dyDescent="0.35">
      <c r="A9998" t="s">
        <v>847</v>
      </c>
      <c r="B9998" t="s">
        <v>691</v>
      </c>
      <c r="C9998" s="83">
        <v>46276</v>
      </c>
      <c r="D9998" t="s">
        <v>310</v>
      </c>
      <c r="E9998" t="s">
        <v>321</v>
      </c>
      <c r="F9998">
        <v>3</v>
      </c>
      <c r="G9998">
        <v>1.76976666666667</v>
      </c>
    </row>
    <row r="9999" spans="1:7" x14ac:dyDescent="0.35">
      <c r="A9999" t="s">
        <v>847</v>
      </c>
      <c r="B9999" t="s">
        <v>691</v>
      </c>
      <c r="C9999" s="83">
        <v>46276</v>
      </c>
      <c r="D9999" t="s">
        <v>310</v>
      </c>
      <c r="E9999" t="s">
        <v>772</v>
      </c>
      <c r="F9999">
        <v>2</v>
      </c>
      <c r="G9999">
        <v>0.72494999999999998</v>
      </c>
    </row>
    <row r="10000" spans="1:7" x14ac:dyDescent="0.35">
      <c r="A10000" t="s">
        <v>847</v>
      </c>
      <c r="B10000" t="s">
        <v>691</v>
      </c>
      <c r="C10000" s="83">
        <v>46276</v>
      </c>
      <c r="D10000" t="s">
        <v>310</v>
      </c>
      <c r="E10000" t="s">
        <v>316</v>
      </c>
      <c r="F10000">
        <v>2</v>
      </c>
      <c r="G10000">
        <v>0.21891666666666701</v>
      </c>
    </row>
    <row r="10001" spans="1:7" x14ac:dyDescent="0.35">
      <c r="A10001" t="s">
        <v>847</v>
      </c>
      <c r="B10001" t="s">
        <v>691</v>
      </c>
      <c r="C10001" s="83">
        <v>46276</v>
      </c>
      <c r="D10001" t="s">
        <v>313</v>
      </c>
      <c r="E10001" t="s">
        <v>311</v>
      </c>
      <c r="F10001">
        <v>10</v>
      </c>
      <c r="G10001">
        <v>7.7526000000000002</v>
      </c>
    </row>
    <row r="10002" spans="1:7" x14ac:dyDescent="0.35">
      <c r="A10002" t="s">
        <v>847</v>
      </c>
      <c r="B10002" t="s">
        <v>691</v>
      </c>
      <c r="C10002" s="83">
        <v>46276</v>
      </c>
      <c r="D10002" t="s">
        <v>313</v>
      </c>
      <c r="E10002" t="s">
        <v>312</v>
      </c>
      <c r="F10002">
        <v>7</v>
      </c>
      <c r="G10002">
        <v>4.0993166666666703</v>
      </c>
    </row>
    <row r="10003" spans="1:7" x14ac:dyDescent="0.35">
      <c r="A10003" t="s">
        <v>847</v>
      </c>
      <c r="B10003" t="s">
        <v>691</v>
      </c>
      <c r="C10003" s="83">
        <v>46276</v>
      </c>
      <c r="D10003" t="s">
        <v>313</v>
      </c>
      <c r="E10003" t="s">
        <v>347</v>
      </c>
      <c r="F10003">
        <v>3</v>
      </c>
      <c r="G10003">
        <v>0.69036666666666702</v>
      </c>
    </row>
    <row r="10004" spans="1:7" x14ac:dyDescent="0.35">
      <c r="A10004" t="s">
        <v>847</v>
      </c>
      <c r="B10004" t="s">
        <v>691</v>
      </c>
      <c r="C10004" s="83">
        <v>46276</v>
      </c>
      <c r="D10004" t="s">
        <v>314</v>
      </c>
      <c r="E10004" t="s">
        <v>316</v>
      </c>
      <c r="F10004">
        <v>4</v>
      </c>
      <c r="G10004">
        <v>1.92025</v>
      </c>
    </row>
    <row r="10005" spans="1:7" x14ac:dyDescent="0.35">
      <c r="A10005" t="s">
        <v>847</v>
      </c>
      <c r="B10005" t="s">
        <v>691</v>
      </c>
      <c r="C10005" s="83">
        <v>46276</v>
      </c>
      <c r="D10005" t="s">
        <v>314</v>
      </c>
      <c r="E10005" t="s">
        <v>321</v>
      </c>
      <c r="F10005">
        <v>3</v>
      </c>
      <c r="G10005">
        <v>1.93618333333333</v>
      </c>
    </row>
    <row r="10006" spans="1:7" x14ac:dyDescent="0.35">
      <c r="A10006" t="s">
        <v>847</v>
      </c>
      <c r="B10006" t="s">
        <v>691</v>
      </c>
      <c r="C10006" s="83">
        <v>46276</v>
      </c>
      <c r="D10006" t="s">
        <v>314</v>
      </c>
      <c r="E10006" t="s">
        <v>312</v>
      </c>
      <c r="F10006">
        <v>3</v>
      </c>
      <c r="G10006">
        <v>0.60696666666666699</v>
      </c>
    </row>
    <row r="10007" spans="1:7" x14ac:dyDescent="0.35">
      <c r="A10007" t="s">
        <v>847</v>
      </c>
      <c r="B10007" t="s">
        <v>691</v>
      </c>
      <c r="C10007" s="83">
        <v>46276</v>
      </c>
      <c r="D10007" t="s">
        <v>317</v>
      </c>
      <c r="E10007" t="s">
        <v>319</v>
      </c>
      <c r="F10007">
        <v>3</v>
      </c>
      <c r="G10007">
        <v>4.7316333333333302</v>
      </c>
    </row>
    <row r="10008" spans="1:7" x14ac:dyDescent="0.35">
      <c r="A10008" t="s">
        <v>847</v>
      </c>
      <c r="B10008" t="s">
        <v>691</v>
      </c>
      <c r="C10008" s="83">
        <v>46276</v>
      </c>
      <c r="D10008" t="s">
        <v>317</v>
      </c>
      <c r="E10008" t="s">
        <v>322</v>
      </c>
      <c r="F10008">
        <v>2</v>
      </c>
      <c r="G10008">
        <v>1.0540499999999999</v>
      </c>
    </row>
    <row r="10009" spans="1:7" x14ac:dyDescent="0.35">
      <c r="A10009" t="s">
        <v>847</v>
      </c>
      <c r="B10009" t="s">
        <v>691</v>
      </c>
      <c r="C10009" s="83">
        <v>46276</v>
      </c>
      <c r="D10009" t="s">
        <v>317</v>
      </c>
      <c r="E10009" t="s">
        <v>339</v>
      </c>
      <c r="F10009">
        <v>2</v>
      </c>
      <c r="G10009">
        <v>0.44853333333333301</v>
      </c>
    </row>
    <row r="10010" spans="1:7" x14ac:dyDescent="0.35">
      <c r="A10010" t="s">
        <v>847</v>
      </c>
      <c r="B10010" t="s">
        <v>691</v>
      </c>
      <c r="C10010" s="83">
        <v>46277</v>
      </c>
      <c r="D10010" t="s">
        <v>295</v>
      </c>
      <c r="E10010" t="s">
        <v>296</v>
      </c>
      <c r="F10010">
        <v>8</v>
      </c>
      <c r="G10010">
        <v>6.7986833333333303</v>
      </c>
    </row>
    <row r="10011" spans="1:7" x14ac:dyDescent="0.35">
      <c r="A10011" t="s">
        <v>847</v>
      </c>
      <c r="B10011" t="s">
        <v>691</v>
      </c>
      <c r="C10011" s="83">
        <v>46277</v>
      </c>
      <c r="D10011" t="s">
        <v>299</v>
      </c>
      <c r="E10011" t="s">
        <v>296</v>
      </c>
      <c r="F10011">
        <v>10</v>
      </c>
      <c r="G10011">
        <v>6.9674166666666704</v>
      </c>
    </row>
    <row r="10012" spans="1:7" x14ac:dyDescent="0.35">
      <c r="A10012" t="s">
        <v>847</v>
      </c>
      <c r="B10012" t="s">
        <v>691</v>
      </c>
      <c r="C10012" s="83">
        <v>46277</v>
      </c>
      <c r="D10012" t="s">
        <v>303</v>
      </c>
      <c r="E10012" t="s">
        <v>302</v>
      </c>
      <c r="F10012">
        <v>14</v>
      </c>
      <c r="G10012">
        <v>8.3421333333333294</v>
      </c>
    </row>
    <row r="10013" spans="1:7" x14ac:dyDescent="0.35">
      <c r="A10013" t="s">
        <v>847</v>
      </c>
      <c r="B10013" t="s">
        <v>691</v>
      </c>
      <c r="C10013" s="83">
        <v>46277</v>
      </c>
      <c r="D10013" t="s">
        <v>310</v>
      </c>
      <c r="E10013" t="s">
        <v>126</v>
      </c>
      <c r="F10013">
        <v>6</v>
      </c>
      <c r="G10013">
        <v>4.9349499999999997</v>
      </c>
    </row>
    <row r="10014" spans="1:7" x14ac:dyDescent="0.35">
      <c r="A10014" t="s">
        <v>847</v>
      </c>
      <c r="B10014" t="s">
        <v>691</v>
      </c>
      <c r="C10014" s="83">
        <v>46277</v>
      </c>
      <c r="D10014" t="s">
        <v>310</v>
      </c>
      <c r="E10014" t="s">
        <v>312</v>
      </c>
      <c r="F10014">
        <v>5</v>
      </c>
      <c r="G10014">
        <v>3.6589166666666699</v>
      </c>
    </row>
    <row r="10015" spans="1:7" x14ac:dyDescent="0.35">
      <c r="A10015" t="s">
        <v>847</v>
      </c>
      <c r="B10015" t="s">
        <v>691</v>
      </c>
      <c r="C10015" s="83">
        <v>46277</v>
      </c>
      <c r="D10015" t="s">
        <v>310</v>
      </c>
      <c r="E10015" t="s">
        <v>316</v>
      </c>
      <c r="F10015">
        <v>3</v>
      </c>
      <c r="G10015">
        <v>2.9033333333333302</v>
      </c>
    </row>
    <row r="10016" spans="1:7" x14ac:dyDescent="0.35">
      <c r="A10016" t="s">
        <v>847</v>
      </c>
      <c r="B10016" t="s">
        <v>691</v>
      </c>
      <c r="C10016" s="83">
        <v>46277</v>
      </c>
      <c r="D10016" t="s">
        <v>313</v>
      </c>
      <c r="E10016" t="s">
        <v>311</v>
      </c>
      <c r="F10016">
        <v>11</v>
      </c>
      <c r="G10016">
        <v>10.9533166666667</v>
      </c>
    </row>
    <row r="10017" spans="1:7" x14ac:dyDescent="0.35">
      <c r="A10017" t="s">
        <v>847</v>
      </c>
      <c r="B10017" t="s">
        <v>691</v>
      </c>
      <c r="C10017" s="83">
        <v>46277</v>
      </c>
      <c r="D10017" t="s">
        <v>313</v>
      </c>
      <c r="E10017" t="s">
        <v>323</v>
      </c>
      <c r="F10017">
        <v>3</v>
      </c>
      <c r="G10017">
        <v>0.47266666666666701</v>
      </c>
    </row>
    <row r="10018" spans="1:7" x14ac:dyDescent="0.35">
      <c r="A10018" t="s">
        <v>847</v>
      </c>
      <c r="B10018" t="s">
        <v>691</v>
      </c>
      <c r="C10018" s="83">
        <v>46277</v>
      </c>
      <c r="D10018" t="s">
        <v>313</v>
      </c>
      <c r="E10018" t="s">
        <v>347</v>
      </c>
      <c r="F10018">
        <v>2</v>
      </c>
      <c r="G10018">
        <v>0.54735</v>
      </c>
    </row>
    <row r="10019" spans="1:7" x14ac:dyDescent="0.35">
      <c r="A10019" t="s">
        <v>847</v>
      </c>
      <c r="B10019" t="s">
        <v>691</v>
      </c>
      <c r="C10019" s="83">
        <v>46277</v>
      </c>
      <c r="D10019" t="s">
        <v>314</v>
      </c>
      <c r="E10019" t="s">
        <v>126</v>
      </c>
      <c r="F10019">
        <v>5</v>
      </c>
      <c r="G10019">
        <v>10.256349999999999</v>
      </c>
    </row>
    <row r="10020" spans="1:7" x14ac:dyDescent="0.35">
      <c r="A10020" t="s">
        <v>847</v>
      </c>
      <c r="B10020" t="s">
        <v>694</v>
      </c>
      <c r="C10020" s="83"/>
      <c r="F10020">
        <v>142086</v>
      </c>
      <c r="G10020">
        <v>214923.184333982</v>
      </c>
    </row>
    <row r="10021" spans="1:7" x14ac:dyDescent="0.35">
      <c r="A10021" t="s">
        <v>847</v>
      </c>
      <c r="B10021" t="s">
        <v>691</v>
      </c>
      <c r="C10021" s="83">
        <v>46277</v>
      </c>
      <c r="D10021" t="s">
        <v>314</v>
      </c>
      <c r="E10021" t="s">
        <v>316</v>
      </c>
      <c r="F10021">
        <v>3</v>
      </c>
      <c r="G10021">
        <v>0.454616666666667</v>
      </c>
    </row>
    <row r="10022" spans="1:7" x14ac:dyDescent="0.35">
      <c r="A10022" t="s">
        <v>847</v>
      </c>
      <c r="B10022" t="s">
        <v>691</v>
      </c>
      <c r="C10022" s="83">
        <v>46277</v>
      </c>
      <c r="D10022" t="s">
        <v>314</v>
      </c>
      <c r="E10022" t="s">
        <v>319</v>
      </c>
      <c r="F10022">
        <v>2</v>
      </c>
      <c r="G10022">
        <v>0.26131666666666697</v>
      </c>
    </row>
    <row r="10023" spans="1:7" x14ac:dyDescent="0.35">
      <c r="A10023" t="s">
        <v>847</v>
      </c>
      <c r="B10023" t="s">
        <v>691</v>
      </c>
      <c r="C10023" s="83">
        <v>46277</v>
      </c>
      <c r="D10023" t="s">
        <v>317</v>
      </c>
      <c r="E10023" t="s">
        <v>339</v>
      </c>
      <c r="F10023">
        <v>2</v>
      </c>
      <c r="G10023">
        <v>0.91159999999999997</v>
      </c>
    </row>
    <row r="10024" spans="1:7" x14ac:dyDescent="0.35">
      <c r="A10024" t="s">
        <v>847</v>
      </c>
      <c r="B10024" t="s">
        <v>694</v>
      </c>
      <c r="C10024" s="83"/>
      <c r="F10024">
        <v>142086</v>
      </c>
      <c r="G10024">
        <v>214923.184333982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7C270-ECED-4AC5-8C5D-632D8C485160}">
  <sheetPr codeName="Sheet14"/>
  <dimension ref="A1:AK3"/>
  <sheetViews>
    <sheetView showGridLines="0" topLeftCell="A26" zoomScale="80" zoomScaleNormal="80" workbookViewId="0">
      <selection activeCell="A46" sqref="A46"/>
    </sheetView>
  </sheetViews>
  <sheetFormatPr defaultRowHeight="14.5" x14ac:dyDescent="0.35"/>
  <sheetData>
    <row r="1" spans="1:37" x14ac:dyDescent="0.35">
      <c r="A1" s="66"/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</row>
    <row r="2" spans="1:37" x14ac:dyDescent="0.35">
      <c r="A2" s="66"/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</row>
    <row r="3" spans="1:37" x14ac:dyDescent="0.35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ABC150-08E1-4B27-B138-F50834F99FCF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a9324442-4656-4fca-b26e-099b64ea741e}" enabled="1" method="Standard" siteId="{18a01ad8-9727-498a-a47d-17374c6fd9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96</vt:i4>
      </vt:variant>
    </vt:vector>
  </HeadingPairs>
  <TitlesOfParts>
    <vt:vector size="112" baseType="lpstr">
      <vt:lpstr>Report</vt:lpstr>
      <vt:lpstr>Shift Wise Downtime</vt:lpstr>
      <vt:lpstr>Shift Wise-Data Sheet</vt:lpstr>
      <vt:lpstr>Downtime Data</vt:lpstr>
      <vt:lpstr>Data Sheet</vt:lpstr>
      <vt:lpstr>GE Loss%</vt:lpstr>
      <vt:lpstr>Pivot Tables</vt:lpstr>
      <vt:lpstr>Line Name</vt:lpstr>
      <vt:lpstr>Coated Rework Data</vt:lpstr>
      <vt:lpstr>DMS-2</vt:lpstr>
      <vt:lpstr>Attendance</vt:lpstr>
      <vt:lpstr>Overweight Data</vt:lpstr>
      <vt:lpstr>Look up (2)</vt:lpstr>
      <vt:lpstr>MTBF &amp; EFFICIENCY</vt:lpstr>
      <vt:lpstr>Minor Stops (2)</vt:lpstr>
      <vt:lpstr>Analysis Dashboard</vt:lpstr>
      <vt:lpstr>'Look up (2)'!_10.3GM</vt:lpstr>
      <vt:lpstr>'Overweight Data'!_10.3GM</vt:lpstr>
      <vt:lpstr>_10.3GM</vt:lpstr>
      <vt:lpstr>_10.3GM_HT</vt:lpstr>
      <vt:lpstr>_10GM</vt:lpstr>
      <vt:lpstr>_10GM_HT</vt:lpstr>
      <vt:lpstr>_11GM</vt:lpstr>
      <vt:lpstr>_11GM_HT</vt:lpstr>
      <vt:lpstr>_12GM</vt:lpstr>
      <vt:lpstr>_9.1_GM</vt:lpstr>
      <vt:lpstr>_9.1_GM_HT</vt:lpstr>
      <vt:lpstr>ADS_</vt:lpstr>
      <vt:lpstr>ADS_HLL</vt:lpstr>
      <vt:lpstr>Batching</vt:lpstr>
      <vt:lpstr>Batching_Hopper_H_4101</vt:lpstr>
      <vt:lpstr>Batching_Hopper_H_4102</vt:lpstr>
      <vt:lpstr>Batter_Mixer_T_4108</vt:lpstr>
      <vt:lpstr>Batter_Mixer_T_4109</vt:lpstr>
      <vt:lpstr>Book_Cooler</vt:lpstr>
      <vt:lpstr>Book_Cooler_</vt:lpstr>
      <vt:lpstr>Cbox_Checkweigher</vt:lpstr>
      <vt:lpstr>ChargingSystem</vt:lpstr>
      <vt:lpstr>Chilled_water</vt:lpstr>
      <vt:lpstr>Compressed_air</vt:lpstr>
      <vt:lpstr>Cooling_Tunnel_HLL</vt:lpstr>
      <vt:lpstr>Cooling_Tunnel_Samridhi</vt:lpstr>
      <vt:lpstr>CoolingTunnel</vt:lpstr>
      <vt:lpstr>Cutter_</vt:lpstr>
      <vt:lpstr>Cutter_HLL</vt:lpstr>
      <vt:lpstr>Cutter_Samridhi</vt:lpstr>
      <vt:lpstr>DCI1_</vt:lpstr>
      <vt:lpstr>DCI2_</vt:lpstr>
      <vt:lpstr>DCI3_</vt:lpstr>
      <vt:lpstr>DCI4_</vt:lpstr>
      <vt:lpstr>Enrober_</vt:lpstr>
      <vt:lpstr>Enrober_HL</vt:lpstr>
      <vt:lpstr>Enrober_Samridhi</vt:lpstr>
      <vt:lpstr>Full_Line</vt:lpstr>
      <vt:lpstr>HCM_</vt:lpstr>
      <vt:lpstr>HCM1_</vt:lpstr>
      <vt:lpstr>HCM2_</vt:lpstr>
      <vt:lpstr>HCM3_</vt:lpstr>
      <vt:lpstr>HCM4_</vt:lpstr>
      <vt:lpstr>HCM5_</vt:lpstr>
      <vt:lpstr>HCM6_</vt:lpstr>
      <vt:lpstr>HCM7_</vt:lpstr>
      <vt:lpstr>Holding_Tank_T_4118</vt:lpstr>
      <vt:lpstr>Holding_Tank_T_4119</vt:lpstr>
      <vt:lpstr>Hot_water</vt:lpstr>
      <vt:lpstr>HT_Sam</vt:lpstr>
      <vt:lpstr>HT_Sam_HLL_10.3G</vt:lpstr>
      <vt:lpstr>HT_Sam_HLL_HT</vt:lpstr>
      <vt:lpstr>Laminator</vt:lpstr>
      <vt:lpstr>Laminator_</vt:lpstr>
      <vt:lpstr>Line_</vt:lpstr>
      <vt:lpstr>Metal_Detector</vt:lpstr>
      <vt:lpstr>MetalDetector</vt:lpstr>
      <vt:lpstr>Outer_Checkweigher</vt:lpstr>
      <vt:lpstr>Outer_ConveyoR</vt:lpstr>
      <vt:lpstr>Oven</vt:lpstr>
      <vt:lpstr>Oven_</vt:lpstr>
      <vt:lpstr>Perk_Cutter</vt:lpstr>
      <vt:lpstr>Perk_HCM_1</vt:lpstr>
      <vt:lpstr>Perk_HCM_2</vt:lpstr>
      <vt:lpstr>Perk_HCM_3</vt:lpstr>
      <vt:lpstr>Perk_HCM_4</vt:lpstr>
      <vt:lpstr>Perk_HLL_Cutter</vt:lpstr>
      <vt:lpstr>Perk_HLM_1</vt:lpstr>
      <vt:lpstr>Perk_HLM_2</vt:lpstr>
      <vt:lpstr>Perk_HLM_3</vt:lpstr>
      <vt:lpstr>Perk_TTLi_1</vt:lpstr>
      <vt:lpstr>Perk_TTLi_2</vt:lpstr>
      <vt:lpstr>Perk_TTLi_3</vt:lpstr>
      <vt:lpstr>Perk_TTLi_4</vt:lpstr>
      <vt:lpstr>Perk_TTM_5</vt:lpstr>
      <vt:lpstr>Planned_Loss</vt:lpstr>
      <vt:lpstr>Power_failure</vt:lpstr>
      <vt:lpstr>RotaryShifter</vt:lpstr>
      <vt:lpstr>Secondary_Packing</vt:lpstr>
      <vt:lpstr>Silo</vt:lpstr>
      <vt:lpstr>Storage_Tank_T_4110</vt:lpstr>
      <vt:lpstr>SugarChargingStation</vt:lpstr>
      <vt:lpstr>Technical_Module</vt:lpstr>
      <vt:lpstr>Temperor_</vt:lpstr>
      <vt:lpstr>Temperor__HL</vt:lpstr>
      <vt:lpstr>Temperor_Samridhi</vt:lpstr>
      <vt:lpstr>TippingStation</vt:lpstr>
      <vt:lpstr>TTLI_</vt:lpstr>
      <vt:lpstr>TTLI1_</vt:lpstr>
      <vt:lpstr>TTLI2_</vt:lpstr>
      <vt:lpstr>TTLI3_</vt:lpstr>
      <vt:lpstr>TTLI4_</vt:lpstr>
      <vt:lpstr>TTME_</vt:lpstr>
      <vt:lpstr>Unplanned_Loss</vt:lpstr>
      <vt:lpstr>Utility</vt:lpstr>
      <vt:lpstr>Utility_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Chauhan, Himanshu</dc:creator>
  <cp:keywords/>
  <dc:description/>
  <cp:lastModifiedBy>Chauhan, Himanshu</cp:lastModifiedBy>
  <cp:revision/>
  <dcterms:created xsi:type="dcterms:W3CDTF">2026-01-03T04:09:45Z</dcterms:created>
  <dcterms:modified xsi:type="dcterms:W3CDTF">2026-09-13T08:08:19Z</dcterms:modified>
  <cp:category/>
  <cp:contentStatus/>
</cp:coreProperties>
</file>